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xw/Desktop/"/>
    </mc:Choice>
  </mc:AlternateContent>
  <xr:revisionPtr revIDLastSave="0" documentId="13_ncr:1_{84ACCB30-D0F0-BD4E-B0F7-0CDD6400EBF4}" xr6:coauthVersionLast="45" xr6:coauthVersionMax="45" xr10:uidLastSave="{00000000-0000-0000-0000-000000000000}"/>
  <bookViews>
    <workbookView xWindow="0" yWindow="460" windowWidth="23040" windowHeight="9340" activeTab="1" xr2:uid="{00000000-000D-0000-FFFF-FFFF00000000}"/>
  </bookViews>
  <sheets>
    <sheet name="汇总-自动取数" sheetId="2" r:id="rId1"/>
    <sheet name="汇总表2" sheetId="6" r:id="rId2"/>
    <sheet name="卡片数据" sheetId="1" r:id="rId3"/>
    <sheet name="省外划拨" sheetId="3" r:id="rId4"/>
    <sheet name="省内地市间划拨" sheetId="4" r:id="rId5"/>
    <sheet name="子分公司间划转资产" sheetId="5" r:id="rId6"/>
    <sheet name="Sheet1" sheetId="8" state="hidden" r:id="rId7"/>
  </sheets>
  <definedNames>
    <definedName name="_xlnm._FilterDatabase" localSheetId="1" hidden="1">汇总表2!$A$4:$V$4</definedName>
    <definedName name="_xlnm._FilterDatabase" localSheetId="2" hidden="1">卡片数据!$A$4:$X$14592</definedName>
  </definedNames>
  <calcPr calcId="191029" calcMode="manual" fullPrecision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1" i="5" l="1"/>
  <c r="F21" i="5"/>
  <c r="G21" i="4"/>
  <c r="F21" i="4"/>
  <c r="E21" i="4"/>
  <c r="D21" i="4"/>
  <c r="G21" i="3"/>
  <c r="F21" i="3"/>
  <c r="E21" i="3"/>
  <c r="D21" i="3"/>
  <c r="K14592" i="1"/>
  <c r="H14592" i="1"/>
  <c r="K14591" i="1"/>
  <c r="H14591" i="1"/>
  <c r="K14590" i="1"/>
  <c r="H14590" i="1"/>
  <c r="K14589" i="1"/>
  <c r="H14589" i="1"/>
  <c r="K14588" i="1"/>
  <c r="H14588" i="1"/>
  <c r="K14587" i="1"/>
  <c r="H14587" i="1"/>
  <c r="K14586" i="1"/>
  <c r="H14586" i="1"/>
  <c r="K14585" i="1"/>
  <c r="H14585" i="1"/>
  <c r="K14584" i="1"/>
  <c r="H14584" i="1"/>
  <c r="K14583" i="1"/>
  <c r="H14583" i="1"/>
  <c r="K14582" i="1"/>
  <c r="H14582" i="1"/>
  <c r="K14581" i="1"/>
  <c r="H14581" i="1"/>
  <c r="K14580" i="1"/>
  <c r="H14580" i="1"/>
  <c r="K14579" i="1"/>
  <c r="H14579" i="1"/>
  <c r="K14578" i="1"/>
  <c r="H14578" i="1"/>
  <c r="K14577" i="1"/>
  <c r="H14577" i="1"/>
  <c r="K14576" i="1"/>
  <c r="H14576" i="1"/>
  <c r="K14575" i="1"/>
  <c r="H14575" i="1"/>
  <c r="K14574" i="1"/>
  <c r="H14574" i="1"/>
  <c r="K14573" i="1"/>
  <c r="H14573" i="1"/>
  <c r="K14572" i="1"/>
  <c r="H14572" i="1"/>
  <c r="K14571" i="1"/>
  <c r="H14571" i="1"/>
  <c r="K14570" i="1"/>
  <c r="H14570" i="1"/>
  <c r="K14569" i="1"/>
  <c r="H14569" i="1"/>
  <c r="K14568" i="1"/>
  <c r="H14568" i="1"/>
  <c r="K14567" i="1"/>
  <c r="H14567" i="1"/>
  <c r="K14566" i="1"/>
  <c r="H14566" i="1"/>
  <c r="K14565" i="1"/>
  <c r="H14565" i="1"/>
  <c r="K14564" i="1"/>
  <c r="H14564" i="1"/>
  <c r="K14563" i="1"/>
  <c r="H14563" i="1"/>
  <c r="K14562" i="1"/>
  <c r="H14562" i="1"/>
  <c r="K14561" i="1"/>
  <c r="H14561" i="1"/>
  <c r="K14560" i="1"/>
  <c r="H14560" i="1"/>
  <c r="K14559" i="1"/>
  <c r="H14559" i="1"/>
  <c r="K14558" i="1"/>
  <c r="H14558" i="1"/>
  <c r="K14557" i="1"/>
  <c r="H14557" i="1"/>
  <c r="K14556" i="1"/>
  <c r="H14556" i="1"/>
  <c r="K14555" i="1"/>
  <c r="H14555" i="1"/>
  <c r="K14554" i="1"/>
  <c r="H14554" i="1"/>
  <c r="K14553" i="1"/>
  <c r="H14553" i="1"/>
  <c r="K14552" i="1"/>
  <c r="H14552" i="1"/>
  <c r="K14551" i="1"/>
  <c r="H14551" i="1"/>
  <c r="K14550" i="1"/>
  <c r="H14550" i="1"/>
  <c r="K14549" i="1"/>
  <c r="H14549" i="1"/>
  <c r="K14548" i="1"/>
  <c r="H14548" i="1"/>
  <c r="K14547" i="1"/>
  <c r="H14547" i="1"/>
  <c r="K14546" i="1"/>
  <c r="H14546" i="1"/>
  <c r="K14545" i="1"/>
  <c r="H14545" i="1"/>
  <c r="K14544" i="1"/>
  <c r="H14544" i="1"/>
  <c r="K14543" i="1"/>
  <c r="H14543" i="1"/>
  <c r="K14542" i="1"/>
  <c r="H14542" i="1"/>
  <c r="K14541" i="1"/>
  <c r="H14541" i="1"/>
  <c r="K14540" i="1"/>
  <c r="H14540" i="1"/>
  <c r="K14539" i="1"/>
  <c r="H14539" i="1"/>
  <c r="K14538" i="1"/>
  <c r="H14538" i="1"/>
  <c r="K14537" i="1"/>
  <c r="H14537" i="1"/>
  <c r="K14536" i="1"/>
  <c r="H14536" i="1"/>
  <c r="K14535" i="1"/>
  <c r="H14535" i="1"/>
  <c r="K14534" i="1"/>
  <c r="H14534" i="1"/>
  <c r="K14533" i="1"/>
  <c r="H14533" i="1"/>
  <c r="K14532" i="1"/>
  <c r="H14532" i="1"/>
  <c r="K14531" i="1"/>
  <c r="H14531" i="1"/>
  <c r="K14530" i="1"/>
  <c r="H14530" i="1"/>
  <c r="K14529" i="1"/>
  <c r="H14529" i="1"/>
  <c r="K14528" i="1"/>
  <c r="H14528" i="1"/>
  <c r="K14527" i="1"/>
  <c r="H14527" i="1"/>
  <c r="K14526" i="1"/>
  <c r="H14526" i="1"/>
  <c r="K14525" i="1"/>
  <c r="H14525" i="1"/>
  <c r="K14524" i="1"/>
  <c r="H14524" i="1"/>
  <c r="K14523" i="1"/>
  <c r="H14523" i="1"/>
  <c r="K14522" i="1"/>
  <c r="H14522" i="1"/>
  <c r="K14521" i="1"/>
  <c r="H14521" i="1"/>
  <c r="K14520" i="1"/>
  <c r="H14520" i="1"/>
  <c r="K14519" i="1"/>
  <c r="H14519" i="1"/>
  <c r="K14518" i="1"/>
  <c r="H14518" i="1"/>
  <c r="K14517" i="1"/>
  <c r="H14517" i="1"/>
  <c r="K14516" i="1"/>
  <c r="H14516" i="1"/>
  <c r="K14515" i="1"/>
  <c r="H14515" i="1"/>
  <c r="K14514" i="1"/>
  <c r="H14514" i="1"/>
  <c r="K14513" i="1"/>
  <c r="H14513" i="1"/>
  <c r="K14512" i="1"/>
  <c r="H14512" i="1"/>
  <c r="K14511" i="1"/>
  <c r="H14511" i="1"/>
  <c r="K14510" i="1"/>
  <c r="H14510" i="1"/>
  <c r="K14509" i="1"/>
  <c r="H14509" i="1"/>
  <c r="K14508" i="1"/>
  <c r="H14508" i="1"/>
  <c r="K14507" i="1"/>
  <c r="H14507" i="1"/>
  <c r="K14506" i="1"/>
  <c r="H14506" i="1"/>
  <c r="K14505" i="1"/>
  <c r="H14505" i="1"/>
  <c r="K14504" i="1"/>
  <c r="H14504" i="1"/>
  <c r="K14503" i="1"/>
  <c r="H14503" i="1"/>
  <c r="K14502" i="1"/>
  <c r="H14502" i="1"/>
  <c r="K14501" i="1"/>
  <c r="H14501" i="1"/>
  <c r="K14500" i="1"/>
  <c r="H14500" i="1"/>
  <c r="K14499" i="1"/>
  <c r="H14499" i="1"/>
  <c r="K14498" i="1"/>
  <c r="H14498" i="1"/>
  <c r="K14497" i="1"/>
  <c r="H14497" i="1"/>
  <c r="K14496" i="1"/>
  <c r="H14496" i="1"/>
  <c r="K14495" i="1"/>
  <c r="H14495" i="1"/>
  <c r="K14494" i="1"/>
  <c r="H14494" i="1"/>
  <c r="K14493" i="1"/>
  <c r="H14493" i="1"/>
  <c r="K14492" i="1"/>
  <c r="H14492" i="1"/>
  <c r="K14491" i="1"/>
  <c r="H14491" i="1"/>
  <c r="K14490" i="1"/>
  <c r="H14490" i="1"/>
  <c r="K14489" i="1"/>
  <c r="H14489" i="1"/>
  <c r="K14488" i="1"/>
  <c r="H14488" i="1"/>
  <c r="K14487" i="1"/>
  <c r="H14487" i="1"/>
  <c r="K14486" i="1"/>
  <c r="H14486" i="1"/>
  <c r="K14485" i="1"/>
  <c r="H14485" i="1"/>
  <c r="K14484" i="1"/>
  <c r="H14484" i="1"/>
  <c r="K14483" i="1"/>
  <c r="H14483" i="1"/>
  <c r="K14482" i="1"/>
  <c r="H14482" i="1"/>
  <c r="K14481" i="1"/>
  <c r="H14481" i="1"/>
  <c r="K14480" i="1"/>
  <c r="H14480" i="1"/>
  <c r="K14479" i="1"/>
  <c r="H14479" i="1"/>
  <c r="K14478" i="1"/>
  <c r="H14478" i="1"/>
  <c r="K14477" i="1"/>
  <c r="H14477" i="1"/>
  <c r="K14476" i="1"/>
  <c r="H14476" i="1"/>
  <c r="K14475" i="1"/>
  <c r="H14475" i="1"/>
  <c r="K14474" i="1"/>
  <c r="H14474" i="1"/>
  <c r="K14473" i="1"/>
  <c r="H14473" i="1"/>
  <c r="K14472" i="1"/>
  <c r="H14472" i="1"/>
  <c r="K14471" i="1"/>
  <c r="H14471" i="1"/>
  <c r="K14470" i="1"/>
  <c r="H14470" i="1"/>
  <c r="K14469" i="1"/>
  <c r="H14469" i="1"/>
  <c r="K14468" i="1"/>
  <c r="H14468" i="1"/>
  <c r="K14467" i="1"/>
  <c r="H14467" i="1"/>
  <c r="K14466" i="1"/>
  <c r="H14466" i="1"/>
  <c r="K14465" i="1"/>
  <c r="H14465" i="1"/>
  <c r="K14464" i="1"/>
  <c r="H14464" i="1"/>
  <c r="K14463" i="1"/>
  <c r="H14463" i="1"/>
  <c r="K14462" i="1"/>
  <c r="H14462" i="1"/>
  <c r="K14461" i="1"/>
  <c r="H14461" i="1"/>
  <c r="K14460" i="1"/>
  <c r="H14460" i="1"/>
  <c r="K14459" i="1"/>
  <c r="H14459" i="1"/>
  <c r="K14458" i="1"/>
  <c r="H14458" i="1"/>
  <c r="K14457" i="1"/>
  <c r="H14457" i="1"/>
  <c r="K14456" i="1"/>
  <c r="H14456" i="1"/>
  <c r="K14455" i="1"/>
  <c r="H14455" i="1"/>
  <c r="K14454" i="1"/>
  <c r="H14454" i="1"/>
  <c r="K14453" i="1"/>
  <c r="H14453" i="1"/>
  <c r="K14452" i="1"/>
  <c r="H14452" i="1"/>
  <c r="K14451" i="1"/>
  <c r="H14451" i="1"/>
  <c r="K14450" i="1"/>
  <c r="H14450" i="1"/>
  <c r="K14449" i="1"/>
  <c r="H14449" i="1"/>
  <c r="K14448" i="1"/>
  <c r="H14448" i="1"/>
  <c r="K14447" i="1"/>
  <c r="H14447" i="1"/>
  <c r="K14446" i="1"/>
  <c r="H14446" i="1"/>
  <c r="K14445" i="1"/>
  <c r="H14445" i="1"/>
  <c r="K14444" i="1"/>
  <c r="H14444" i="1"/>
  <c r="K14443" i="1"/>
  <c r="H14443" i="1"/>
  <c r="K14442" i="1"/>
  <c r="H14442" i="1"/>
  <c r="K14441" i="1"/>
  <c r="H14441" i="1"/>
  <c r="K14440" i="1"/>
  <c r="H14440" i="1"/>
  <c r="K14439" i="1"/>
  <c r="H14439" i="1"/>
  <c r="K14438" i="1"/>
  <c r="H14438" i="1"/>
  <c r="K14437" i="1"/>
  <c r="H14437" i="1"/>
  <c r="K14436" i="1"/>
  <c r="H14436" i="1"/>
  <c r="K14435" i="1"/>
  <c r="H14435" i="1"/>
  <c r="K14434" i="1"/>
  <c r="H14434" i="1"/>
  <c r="K14433" i="1"/>
  <c r="H14433" i="1"/>
  <c r="K14432" i="1"/>
  <c r="H14432" i="1"/>
  <c r="K14431" i="1"/>
  <c r="H14431" i="1"/>
  <c r="K14430" i="1"/>
  <c r="H14430" i="1"/>
  <c r="K14429" i="1"/>
  <c r="H14429" i="1"/>
  <c r="K14428" i="1"/>
  <c r="H14428" i="1"/>
  <c r="K14427" i="1"/>
  <c r="H14427" i="1"/>
  <c r="K14426" i="1"/>
  <c r="H14426" i="1"/>
  <c r="K14425" i="1"/>
  <c r="H14425" i="1"/>
  <c r="K14424" i="1"/>
  <c r="H14424" i="1"/>
  <c r="K14423" i="1"/>
  <c r="H14423" i="1"/>
  <c r="K14422" i="1"/>
  <c r="H14422" i="1"/>
  <c r="K14421" i="1"/>
  <c r="H14421" i="1"/>
  <c r="K14420" i="1"/>
  <c r="H14420" i="1"/>
  <c r="K14419" i="1"/>
  <c r="H14419" i="1"/>
  <c r="K14418" i="1"/>
  <c r="H14418" i="1"/>
  <c r="K14417" i="1"/>
  <c r="H14417" i="1"/>
  <c r="K14416" i="1"/>
  <c r="H14416" i="1"/>
  <c r="K14415" i="1"/>
  <c r="H14415" i="1"/>
  <c r="K14414" i="1"/>
  <c r="H14414" i="1"/>
  <c r="K14413" i="1"/>
  <c r="H14413" i="1"/>
  <c r="K14412" i="1"/>
  <c r="H14412" i="1"/>
  <c r="K14411" i="1"/>
  <c r="H14411" i="1"/>
  <c r="K14410" i="1"/>
  <c r="H14410" i="1"/>
  <c r="K14409" i="1"/>
  <c r="H14409" i="1"/>
  <c r="K14408" i="1"/>
  <c r="H14408" i="1"/>
  <c r="K14407" i="1"/>
  <c r="H14407" i="1"/>
  <c r="K14406" i="1"/>
  <c r="H14406" i="1"/>
  <c r="K14405" i="1"/>
  <c r="H14405" i="1"/>
  <c r="K14404" i="1"/>
  <c r="H14404" i="1"/>
  <c r="K14403" i="1"/>
  <c r="H14403" i="1"/>
  <c r="K14402" i="1"/>
  <c r="H14402" i="1"/>
  <c r="K14401" i="1"/>
  <c r="H14401" i="1"/>
  <c r="K14400" i="1"/>
  <c r="H14400" i="1"/>
  <c r="K14399" i="1"/>
  <c r="H14399" i="1"/>
  <c r="K14398" i="1"/>
  <c r="H14398" i="1"/>
  <c r="K14397" i="1"/>
  <c r="H14397" i="1"/>
  <c r="K14396" i="1"/>
  <c r="H14396" i="1"/>
  <c r="K14395" i="1"/>
  <c r="H14395" i="1"/>
  <c r="K14394" i="1"/>
  <c r="H14394" i="1"/>
  <c r="K14393" i="1"/>
  <c r="H14393" i="1"/>
  <c r="K14392" i="1"/>
  <c r="H14392" i="1"/>
  <c r="K14391" i="1"/>
  <c r="H14391" i="1"/>
  <c r="K14390" i="1"/>
  <c r="H14390" i="1"/>
  <c r="K14389" i="1"/>
  <c r="H14389" i="1"/>
  <c r="K14388" i="1"/>
  <c r="H14388" i="1"/>
  <c r="K14387" i="1"/>
  <c r="H14387" i="1"/>
  <c r="K14386" i="1"/>
  <c r="H14386" i="1"/>
  <c r="K14385" i="1"/>
  <c r="H14385" i="1"/>
  <c r="K14384" i="1"/>
  <c r="H14384" i="1"/>
  <c r="K14383" i="1"/>
  <c r="H14383" i="1"/>
  <c r="K14382" i="1"/>
  <c r="H14382" i="1"/>
  <c r="K14381" i="1"/>
  <c r="H14381" i="1"/>
  <c r="K14380" i="1"/>
  <c r="H14380" i="1"/>
  <c r="K14379" i="1"/>
  <c r="H14379" i="1"/>
  <c r="K14378" i="1"/>
  <c r="H14378" i="1"/>
  <c r="K14377" i="1"/>
  <c r="H14377" i="1"/>
  <c r="K14376" i="1"/>
  <c r="H14376" i="1"/>
  <c r="K14375" i="1"/>
  <c r="H14375" i="1"/>
  <c r="K14374" i="1"/>
  <c r="H14374" i="1"/>
  <c r="K14373" i="1"/>
  <c r="H14373" i="1"/>
  <c r="K14372" i="1"/>
  <c r="H14372" i="1"/>
  <c r="K14371" i="1"/>
  <c r="H14371" i="1"/>
  <c r="K14370" i="1"/>
  <c r="H14370" i="1"/>
  <c r="K14369" i="1"/>
  <c r="H14369" i="1"/>
  <c r="K14368" i="1"/>
  <c r="H14368" i="1"/>
  <c r="K14367" i="1"/>
  <c r="H14367" i="1"/>
  <c r="K14366" i="1"/>
  <c r="H14366" i="1"/>
  <c r="K14365" i="1"/>
  <c r="H14365" i="1"/>
  <c r="K14364" i="1"/>
  <c r="H14364" i="1"/>
  <c r="K14363" i="1"/>
  <c r="H14363" i="1"/>
  <c r="K14362" i="1"/>
  <c r="H14362" i="1"/>
  <c r="K14361" i="1"/>
  <c r="H14361" i="1"/>
  <c r="K14360" i="1"/>
  <c r="H14360" i="1"/>
  <c r="K14359" i="1"/>
  <c r="H14359" i="1"/>
  <c r="K14358" i="1"/>
  <c r="H14358" i="1"/>
  <c r="K14357" i="1"/>
  <c r="H14357" i="1"/>
  <c r="K14356" i="1"/>
  <c r="H14356" i="1"/>
  <c r="K14355" i="1"/>
  <c r="H14355" i="1"/>
  <c r="K14354" i="1"/>
  <c r="H14354" i="1"/>
  <c r="K14353" i="1"/>
  <c r="H14353" i="1"/>
  <c r="K14352" i="1"/>
  <c r="H14352" i="1"/>
  <c r="K14351" i="1"/>
  <c r="H14351" i="1"/>
  <c r="K14350" i="1"/>
  <c r="H14350" i="1"/>
  <c r="K14349" i="1"/>
  <c r="H14349" i="1"/>
  <c r="K14348" i="1"/>
  <c r="H14348" i="1"/>
  <c r="K14347" i="1"/>
  <c r="H14347" i="1"/>
  <c r="K14346" i="1"/>
  <c r="H14346" i="1"/>
  <c r="K14345" i="1"/>
  <c r="H14345" i="1"/>
  <c r="K14344" i="1"/>
  <c r="H14344" i="1"/>
  <c r="K14343" i="1"/>
  <c r="H14343" i="1"/>
  <c r="K14342" i="1"/>
  <c r="H14342" i="1"/>
  <c r="K14341" i="1"/>
  <c r="H14341" i="1"/>
  <c r="K14340" i="1"/>
  <c r="H14340" i="1"/>
  <c r="K14339" i="1"/>
  <c r="H14339" i="1"/>
  <c r="K14338" i="1"/>
  <c r="H14338" i="1"/>
  <c r="K14337" i="1"/>
  <c r="H14337" i="1"/>
  <c r="K14336" i="1"/>
  <c r="H14336" i="1"/>
  <c r="K14335" i="1"/>
  <c r="H14335" i="1"/>
  <c r="K14334" i="1"/>
  <c r="H14334" i="1"/>
  <c r="K14333" i="1"/>
  <c r="H14333" i="1"/>
  <c r="K14332" i="1"/>
  <c r="H14332" i="1"/>
  <c r="K14331" i="1"/>
  <c r="H14331" i="1"/>
  <c r="K14330" i="1"/>
  <c r="H14330" i="1"/>
  <c r="K14329" i="1"/>
  <c r="H14329" i="1"/>
  <c r="K14328" i="1"/>
  <c r="H14328" i="1"/>
  <c r="K14327" i="1"/>
  <c r="H14327" i="1"/>
  <c r="K14326" i="1"/>
  <c r="H14326" i="1"/>
  <c r="K14325" i="1"/>
  <c r="H14325" i="1"/>
  <c r="K14324" i="1"/>
  <c r="H14324" i="1"/>
  <c r="K14323" i="1"/>
  <c r="H14323" i="1"/>
  <c r="K14322" i="1"/>
  <c r="H14322" i="1"/>
  <c r="K14321" i="1"/>
  <c r="H14321" i="1"/>
  <c r="K14320" i="1"/>
  <c r="H14320" i="1"/>
  <c r="K14319" i="1"/>
  <c r="H14319" i="1"/>
  <c r="K14318" i="1"/>
  <c r="H14318" i="1"/>
  <c r="K14317" i="1"/>
  <c r="H14317" i="1"/>
  <c r="K14316" i="1"/>
  <c r="H14316" i="1"/>
  <c r="K14315" i="1"/>
  <c r="H14315" i="1"/>
  <c r="K14314" i="1"/>
  <c r="H14314" i="1"/>
  <c r="K14313" i="1"/>
  <c r="H14313" i="1"/>
  <c r="K14312" i="1"/>
  <c r="H14312" i="1"/>
  <c r="K14311" i="1"/>
  <c r="H14311" i="1"/>
  <c r="K14310" i="1"/>
  <c r="H14310" i="1"/>
  <c r="K14309" i="1"/>
  <c r="H14309" i="1"/>
  <c r="K14308" i="1"/>
  <c r="H14308" i="1"/>
  <c r="K14307" i="1"/>
  <c r="H14307" i="1"/>
  <c r="K14306" i="1"/>
  <c r="H14306" i="1"/>
  <c r="K14305" i="1"/>
  <c r="H14305" i="1"/>
  <c r="K14304" i="1"/>
  <c r="H14304" i="1"/>
  <c r="K14303" i="1"/>
  <c r="H14303" i="1"/>
  <c r="K14302" i="1"/>
  <c r="H14302" i="1"/>
  <c r="K14301" i="1"/>
  <c r="H14301" i="1"/>
  <c r="K14300" i="1"/>
  <c r="H14300" i="1"/>
  <c r="K14299" i="1"/>
  <c r="H14299" i="1"/>
  <c r="K14298" i="1"/>
  <c r="H14298" i="1"/>
  <c r="K14297" i="1"/>
  <c r="H14297" i="1"/>
  <c r="K14296" i="1"/>
  <c r="H14296" i="1"/>
  <c r="K14295" i="1"/>
  <c r="H14295" i="1"/>
  <c r="K14294" i="1"/>
  <c r="H14294" i="1"/>
  <c r="K14293" i="1"/>
  <c r="H14293" i="1"/>
  <c r="K14292" i="1"/>
  <c r="H14292" i="1"/>
  <c r="K14291" i="1"/>
  <c r="H14291" i="1"/>
  <c r="K14290" i="1"/>
  <c r="H14290" i="1"/>
  <c r="K14289" i="1"/>
  <c r="H14289" i="1"/>
  <c r="K14288" i="1"/>
  <c r="H14288" i="1"/>
  <c r="K14287" i="1"/>
  <c r="H14287" i="1"/>
  <c r="K14286" i="1"/>
  <c r="H14286" i="1"/>
  <c r="K14285" i="1"/>
  <c r="H14285" i="1"/>
  <c r="K14284" i="1"/>
  <c r="H14284" i="1"/>
  <c r="K14283" i="1"/>
  <c r="H14283" i="1"/>
  <c r="K14282" i="1"/>
  <c r="H14282" i="1"/>
  <c r="K14281" i="1"/>
  <c r="H14281" i="1"/>
  <c r="K14280" i="1"/>
  <c r="H14280" i="1"/>
  <c r="K14279" i="1"/>
  <c r="H14279" i="1"/>
  <c r="K14278" i="1"/>
  <c r="H14278" i="1"/>
  <c r="K14277" i="1"/>
  <c r="H14277" i="1"/>
  <c r="K14276" i="1"/>
  <c r="H14276" i="1"/>
  <c r="K14275" i="1"/>
  <c r="H14275" i="1"/>
  <c r="K14274" i="1"/>
  <c r="H14274" i="1"/>
  <c r="K14273" i="1"/>
  <c r="H14273" i="1"/>
  <c r="K14272" i="1"/>
  <c r="H14272" i="1"/>
  <c r="K14271" i="1"/>
  <c r="H14271" i="1"/>
  <c r="K14270" i="1"/>
  <c r="H14270" i="1"/>
  <c r="K14269" i="1"/>
  <c r="H14269" i="1"/>
  <c r="K14268" i="1"/>
  <c r="H14268" i="1"/>
  <c r="K14267" i="1"/>
  <c r="H14267" i="1"/>
  <c r="K14266" i="1"/>
  <c r="H14266" i="1"/>
  <c r="K14265" i="1"/>
  <c r="H14265" i="1"/>
  <c r="K14264" i="1"/>
  <c r="H14264" i="1"/>
  <c r="K14263" i="1"/>
  <c r="H14263" i="1"/>
  <c r="K14262" i="1"/>
  <c r="H14262" i="1"/>
  <c r="K14261" i="1"/>
  <c r="H14261" i="1"/>
  <c r="K14260" i="1"/>
  <c r="H14260" i="1"/>
  <c r="K14259" i="1"/>
  <c r="H14259" i="1"/>
  <c r="K14258" i="1"/>
  <c r="H14258" i="1"/>
  <c r="K14257" i="1"/>
  <c r="H14257" i="1"/>
  <c r="K14256" i="1"/>
  <c r="H14256" i="1"/>
  <c r="K14255" i="1"/>
  <c r="H14255" i="1"/>
  <c r="K14254" i="1"/>
  <c r="H14254" i="1"/>
  <c r="K14253" i="1"/>
  <c r="H14253" i="1"/>
  <c r="K14252" i="1"/>
  <c r="H14252" i="1"/>
  <c r="K14251" i="1"/>
  <c r="H14251" i="1"/>
  <c r="K14250" i="1"/>
  <c r="H14250" i="1"/>
  <c r="K14249" i="1"/>
  <c r="H14249" i="1"/>
  <c r="K14248" i="1"/>
  <c r="H14248" i="1"/>
  <c r="K14247" i="1"/>
  <c r="H14247" i="1"/>
  <c r="K14246" i="1"/>
  <c r="H14246" i="1"/>
  <c r="K14245" i="1"/>
  <c r="H14245" i="1"/>
  <c r="K14244" i="1"/>
  <c r="H14244" i="1"/>
  <c r="K14243" i="1"/>
  <c r="H14243" i="1"/>
  <c r="K14242" i="1"/>
  <c r="H14242" i="1"/>
  <c r="K14241" i="1"/>
  <c r="H14241" i="1"/>
  <c r="K14240" i="1"/>
  <c r="H14240" i="1"/>
  <c r="K14239" i="1"/>
  <c r="H14239" i="1"/>
  <c r="K14238" i="1"/>
  <c r="H14238" i="1"/>
  <c r="K14237" i="1"/>
  <c r="H14237" i="1"/>
  <c r="K14236" i="1"/>
  <c r="H14236" i="1"/>
  <c r="K14235" i="1"/>
  <c r="H14235" i="1"/>
  <c r="K14234" i="1"/>
  <c r="H14234" i="1"/>
  <c r="K14233" i="1"/>
  <c r="H14233" i="1"/>
  <c r="K14232" i="1"/>
  <c r="H14232" i="1"/>
  <c r="K14231" i="1"/>
  <c r="H14231" i="1"/>
  <c r="K14230" i="1"/>
  <c r="H14230" i="1"/>
  <c r="K14229" i="1"/>
  <c r="H14229" i="1"/>
  <c r="K14228" i="1"/>
  <c r="H14228" i="1"/>
  <c r="K14227" i="1"/>
  <c r="H14227" i="1"/>
  <c r="K14226" i="1"/>
  <c r="H14226" i="1"/>
  <c r="K14225" i="1"/>
  <c r="H14225" i="1"/>
  <c r="K14224" i="1"/>
  <c r="H14224" i="1"/>
  <c r="K14223" i="1"/>
  <c r="H14223" i="1"/>
  <c r="K14222" i="1"/>
  <c r="H14222" i="1"/>
  <c r="K14221" i="1"/>
  <c r="H14221" i="1"/>
  <c r="K14220" i="1"/>
  <c r="H14220" i="1"/>
  <c r="K14219" i="1"/>
  <c r="H14219" i="1"/>
  <c r="K14218" i="1"/>
  <c r="H14218" i="1"/>
  <c r="K14217" i="1"/>
  <c r="H14217" i="1"/>
  <c r="K14216" i="1"/>
  <c r="H14216" i="1"/>
  <c r="K14215" i="1"/>
  <c r="H14215" i="1"/>
  <c r="K14214" i="1"/>
  <c r="H14214" i="1"/>
  <c r="K14213" i="1"/>
  <c r="H14213" i="1"/>
  <c r="K14212" i="1"/>
  <c r="H14212" i="1"/>
  <c r="K14211" i="1"/>
  <c r="H14211" i="1"/>
  <c r="K14210" i="1"/>
  <c r="H14210" i="1"/>
  <c r="K14209" i="1"/>
  <c r="H14209" i="1"/>
  <c r="K14208" i="1"/>
  <c r="H14208" i="1"/>
  <c r="K14207" i="1"/>
  <c r="H14207" i="1"/>
  <c r="K14206" i="1"/>
  <c r="H14206" i="1"/>
  <c r="K14205" i="1"/>
  <c r="H14205" i="1"/>
  <c r="K14204" i="1"/>
  <c r="H14204" i="1"/>
  <c r="K14203" i="1"/>
  <c r="H14203" i="1"/>
  <c r="K14202" i="1"/>
  <c r="H14202" i="1"/>
  <c r="K14201" i="1"/>
  <c r="H14201" i="1"/>
  <c r="K14200" i="1"/>
  <c r="H14200" i="1"/>
  <c r="K14199" i="1"/>
  <c r="H14199" i="1"/>
  <c r="K14198" i="1"/>
  <c r="H14198" i="1"/>
  <c r="K14197" i="1"/>
  <c r="H14197" i="1"/>
  <c r="K14196" i="1"/>
  <c r="H14196" i="1"/>
  <c r="K14195" i="1"/>
  <c r="H14195" i="1"/>
  <c r="K14194" i="1"/>
  <c r="H14194" i="1"/>
  <c r="K14193" i="1"/>
  <c r="H14193" i="1"/>
  <c r="K14192" i="1"/>
  <c r="H14192" i="1"/>
  <c r="K14191" i="1"/>
  <c r="H14191" i="1"/>
  <c r="K14190" i="1"/>
  <c r="H14190" i="1"/>
  <c r="K14189" i="1"/>
  <c r="H14189" i="1"/>
  <c r="K14188" i="1"/>
  <c r="H14188" i="1"/>
  <c r="K14187" i="1"/>
  <c r="H14187" i="1"/>
  <c r="K14186" i="1"/>
  <c r="H14186" i="1"/>
  <c r="K14185" i="1"/>
  <c r="H14185" i="1"/>
  <c r="K14184" i="1"/>
  <c r="H14184" i="1"/>
  <c r="K14183" i="1"/>
  <c r="H14183" i="1"/>
  <c r="K14182" i="1"/>
  <c r="H14182" i="1"/>
  <c r="K14181" i="1"/>
  <c r="H14181" i="1"/>
  <c r="K14180" i="1"/>
  <c r="H14180" i="1"/>
  <c r="K14179" i="1"/>
  <c r="H14179" i="1"/>
  <c r="K14178" i="1"/>
  <c r="H14178" i="1"/>
  <c r="K14177" i="1"/>
  <c r="H14177" i="1"/>
  <c r="K14176" i="1"/>
  <c r="H14176" i="1"/>
  <c r="K14175" i="1"/>
  <c r="H14175" i="1"/>
  <c r="K14174" i="1"/>
  <c r="H14174" i="1"/>
  <c r="K14173" i="1"/>
  <c r="H14173" i="1"/>
  <c r="K14172" i="1"/>
  <c r="H14172" i="1"/>
  <c r="K14171" i="1"/>
  <c r="H14171" i="1"/>
  <c r="K14170" i="1"/>
  <c r="H14170" i="1"/>
  <c r="K14169" i="1"/>
  <c r="H14169" i="1"/>
  <c r="K14168" i="1"/>
  <c r="H14168" i="1"/>
  <c r="K14167" i="1"/>
  <c r="H14167" i="1"/>
  <c r="K14166" i="1"/>
  <c r="H14166" i="1"/>
  <c r="K14165" i="1"/>
  <c r="H14165" i="1"/>
  <c r="K14164" i="1"/>
  <c r="H14164" i="1"/>
  <c r="K14163" i="1"/>
  <c r="H14163" i="1"/>
  <c r="K14162" i="1"/>
  <c r="H14162" i="1"/>
  <c r="K14161" i="1"/>
  <c r="H14161" i="1"/>
  <c r="K14160" i="1"/>
  <c r="H14160" i="1"/>
  <c r="K14159" i="1"/>
  <c r="H14159" i="1"/>
  <c r="K14158" i="1"/>
  <c r="H14158" i="1"/>
  <c r="K14157" i="1"/>
  <c r="H14157" i="1"/>
  <c r="K14156" i="1"/>
  <c r="H14156" i="1"/>
  <c r="K14155" i="1"/>
  <c r="H14155" i="1"/>
  <c r="K14154" i="1"/>
  <c r="H14154" i="1"/>
  <c r="K14153" i="1"/>
  <c r="H14153" i="1"/>
  <c r="K14152" i="1"/>
  <c r="H14152" i="1"/>
  <c r="K14151" i="1"/>
  <c r="H14151" i="1"/>
  <c r="K14150" i="1"/>
  <c r="H14150" i="1"/>
  <c r="K14149" i="1"/>
  <c r="H14149" i="1"/>
  <c r="K14148" i="1"/>
  <c r="H14148" i="1"/>
  <c r="K14147" i="1"/>
  <c r="H14147" i="1"/>
  <c r="K14146" i="1"/>
  <c r="H14146" i="1"/>
  <c r="K14145" i="1"/>
  <c r="H14145" i="1"/>
  <c r="K14144" i="1"/>
  <c r="H14144" i="1"/>
  <c r="K14143" i="1"/>
  <c r="H14143" i="1"/>
  <c r="K14142" i="1"/>
  <c r="H14142" i="1"/>
  <c r="K14141" i="1"/>
  <c r="H14141" i="1"/>
  <c r="K14140" i="1"/>
  <c r="H14140" i="1"/>
  <c r="K14139" i="1"/>
  <c r="H14139" i="1"/>
  <c r="K14138" i="1"/>
  <c r="H14138" i="1"/>
  <c r="K14137" i="1"/>
  <c r="H14137" i="1"/>
  <c r="K14136" i="1"/>
  <c r="H14136" i="1"/>
  <c r="K14135" i="1"/>
  <c r="H14135" i="1"/>
  <c r="K14134" i="1"/>
  <c r="H14134" i="1"/>
  <c r="K14133" i="1"/>
  <c r="H14133" i="1"/>
  <c r="K14132" i="1"/>
  <c r="H14132" i="1"/>
  <c r="K14131" i="1"/>
  <c r="H14131" i="1"/>
  <c r="K14130" i="1"/>
  <c r="H14130" i="1"/>
  <c r="K14129" i="1"/>
  <c r="H14129" i="1"/>
  <c r="K14128" i="1"/>
  <c r="H14128" i="1"/>
  <c r="K14127" i="1"/>
  <c r="H14127" i="1"/>
  <c r="K14126" i="1"/>
  <c r="H14126" i="1"/>
  <c r="K14125" i="1"/>
  <c r="H14125" i="1"/>
  <c r="K14124" i="1"/>
  <c r="H14124" i="1"/>
  <c r="K14123" i="1"/>
  <c r="H14123" i="1"/>
  <c r="K14122" i="1"/>
  <c r="H14122" i="1"/>
  <c r="K14121" i="1"/>
  <c r="H14121" i="1"/>
  <c r="K14120" i="1"/>
  <c r="H14120" i="1"/>
  <c r="K14119" i="1"/>
  <c r="H14119" i="1"/>
  <c r="K14118" i="1"/>
  <c r="H14118" i="1"/>
  <c r="K14117" i="1"/>
  <c r="H14117" i="1"/>
  <c r="K14116" i="1"/>
  <c r="H14116" i="1"/>
  <c r="K14115" i="1"/>
  <c r="H14115" i="1"/>
  <c r="K14114" i="1"/>
  <c r="H14114" i="1"/>
  <c r="K14113" i="1"/>
  <c r="H14113" i="1"/>
  <c r="K14112" i="1"/>
  <c r="H14112" i="1"/>
  <c r="K14111" i="1"/>
  <c r="H14111" i="1"/>
  <c r="K14110" i="1"/>
  <c r="H14110" i="1"/>
  <c r="K14109" i="1"/>
  <c r="H14109" i="1"/>
  <c r="K14108" i="1"/>
  <c r="H14108" i="1"/>
  <c r="K14107" i="1"/>
  <c r="H14107" i="1"/>
  <c r="K14106" i="1"/>
  <c r="H14106" i="1"/>
  <c r="K14105" i="1"/>
  <c r="H14105" i="1"/>
  <c r="K14104" i="1"/>
  <c r="H14104" i="1"/>
  <c r="K14103" i="1"/>
  <c r="H14103" i="1"/>
  <c r="K14102" i="1"/>
  <c r="H14102" i="1"/>
  <c r="K14101" i="1"/>
  <c r="H14101" i="1"/>
  <c r="K14100" i="1"/>
  <c r="H14100" i="1"/>
  <c r="K14099" i="1"/>
  <c r="H14099" i="1"/>
  <c r="K14098" i="1"/>
  <c r="H14098" i="1"/>
  <c r="K14097" i="1"/>
  <c r="H14097" i="1"/>
  <c r="K14096" i="1"/>
  <c r="H14096" i="1"/>
  <c r="K14095" i="1"/>
  <c r="H14095" i="1"/>
  <c r="K14094" i="1"/>
  <c r="H14094" i="1"/>
  <c r="K14093" i="1"/>
  <c r="H14093" i="1"/>
  <c r="K14092" i="1"/>
  <c r="H14092" i="1"/>
  <c r="K14091" i="1"/>
  <c r="H14091" i="1"/>
  <c r="K14090" i="1"/>
  <c r="H14090" i="1"/>
  <c r="K14089" i="1"/>
  <c r="H14089" i="1"/>
  <c r="K14088" i="1"/>
  <c r="H14088" i="1"/>
  <c r="K14087" i="1"/>
  <c r="H14087" i="1"/>
  <c r="K14086" i="1"/>
  <c r="H14086" i="1"/>
  <c r="K14085" i="1"/>
  <c r="H14085" i="1"/>
  <c r="K14084" i="1"/>
  <c r="H14084" i="1"/>
  <c r="K14083" i="1"/>
  <c r="H14083" i="1"/>
  <c r="K14082" i="1"/>
  <c r="H14082" i="1"/>
  <c r="K14081" i="1"/>
  <c r="H14081" i="1"/>
  <c r="K14080" i="1"/>
  <c r="H14080" i="1"/>
  <c r="K14079" i="1"/>
  <c r="H14079" i="1"/>
  <c r="K14078" i="1"/>
  <c r="H14078" i="1"/>
  <c r="K14077" i="1"/>
  <c r="H14077" i="1"/>
  <c r="K14076" i="1"/>
  <c r="H14076" i="1"/>
  <c r="K14075" i="1"/>
  <c r="H14075" i="1"/>
  <c r="K14074" i="1"/>
  <c r="H14074" i="1"/>
  <c r="K14073" i="1"/>
  <c r="H14073" i="1"/>
  <c r="K14072" i="1"/>
  <c r="H14072" i="1"/>
  <c r="K14071" i="1"/>
  <c r="H14071" i="1"/>
  <c r="K14070" i="1"/>
  <c r="H14070" i="1"/>
  <c r="K14069" i="1"/>
  <c r="H14069" i="1"/>
  <c r="K14068" i="1"/>
  <c r="H14068" i="1"/>
  <c r="K14067" i="1"/>
  <c r="H14067" i="1"/>
  <c r="K14066" i="1"/>
  <c r="H14066" i="1"/>
  <c r="K14065" i="1"/>
  <c r="H14065" i="1"/>
  <c r="K14064" i="1"/>
  <c r="H14064" i="1"/>
  <c r="K14063" i="1"/>
  <c r="H14063" i="1"/>
  <c r="K14062" i="1"/>
  <c r="H14062" i="1"/>
  <c r="K14061" i="1"/>
  <c r="H14061" i="1"/>
  <c r="K14060" i="1"/>
  <c r="H14060" i="1"/>
  <c r="K14059" i="1"/>
  <c r="H14059" i="1"/>
  <c r="K14058" i="1"/>
  <c r="H14058" i="1"/>
  <c r="K14057" i="1"/>
  <c r="H14057" i="1"/>
  <c r="K14056" i="1"/>
  <c r="H14056" i="1"/>
  <c r="K14055" i="1"/>
  <c r="H14055" i="1"/>
  <c r="K14054" i="1"/>
  <c r="H14054" i="1"/>
  <c r="K14053" i="1"/>
  <c r="H14053" i="1"/>
  <c r="K14052" i="1"/>
  <c r="H14052" i="1"/>
  <c r="K14051" i="1"/>
  <c r="H14051" i="1"/>
  <c r="K14050" i="1"/>
  <c r="H14050" i="1"/>
  <c r="K14049" i="1"/>
  <c r="H14049" i="1"/>
  <c r="K14048" i="1"/>
  <c r="H14048" i="1"/>
  <c r="K14047" i="1"/>
  <c r="H14047" i="1"/>
  <c r="K14046" i="1"/>
  <c r="H14046" i="1"/>
  <c r="K14045" i="1"/>
  <c r="H14045" i="1"/>
  <c r="K14044" i="1"/>
  <c r="H14044" i="1"/>
  <c r="K14043" i="1"/>
  <c r="H14043" i="1"/>
  <c r="K14042" i="1"/>
  <c r="H14042" i="1"/>
  <c r="K14041" i="1"/>
  <c r="H14041" i="1"/>
  <c r="K14040" i="1"/>
  <c r="H14040" i="1"/>
  <c r="K14039" i="1"/>
  <c r="H14039" i="1"/>
  <c r="K14038" i="1"/>
  <c r="H14038" i="1"/>
  <c r="K14037" i="1"/>
  <c r="H14037" i="1"/>
  <c r="K14036" i="1"/>
  <c r="H14036" i="1"/>
  <c r="K14035" i="1"/>
  <c r="H14035" i="1"/>
  <c r="K14034" i="1"/>
  <c r="H14034" i="1"/>
  <c r="K14033" i="1"/>
  <c r="H14033" i="1"/>
  <c r="K14032" i="1"/>
  <c r="H14032" i="1"/>
  <c r="K14031" i="1"/>
  <c r="H14031" i="1"/>
  <c r="K14030" i="1"/>
  <c r="H14030" i="1"/>
  <c r="K14029" i="1"/>
  <c r="H14029" i="1"/>
  <c r="K14028" i="1"/>
  <c r="H14028" i="1"/>
  <c r="K14027" i="1"/>
  <c r="H14027" i="1"/>
  <c r="K14026" i="1"/>
  <c r="H14026" i="1"/>
  <c r="K14025" i="1"/>
  <c r="H14025" i="1"/>
  <c r="K14024" i="1"/>
  <c r="H14024" i="1"/>
  <c r="K14023" i="1"/>
  <c r="H14023" i="1"/>
  <c r="K14022" i="1"/>
  <c r="H14022" i="1"/>
  <c r="K14021" i="1"/>
  <c r="H14021" i="1"/>
  <c r="K14020" i="1"/>
  <c r="H14020" i="1"/>
  <c r="K14019" i="1"/>
  <c r="H14019" i="1"/>
  <c r="K14018" i="1"/>
  <c r="H14018" i="1"/>
  <c r="K14017" i="1"/>
  <c r="H14017" i="1"/>
  <c r="K14016" i="1"/>
  <c r="H14016" i="1"/>
  <c r="K14015" i="1"/>
  <c r="H14015" i="1"/>
  <c r="K14014" i="1"/>
  <c r="H14014" i="1"/>
  <c r="K14013" i="1"/>
  <c r="H14013" i="1"/>
  <c r="K14012" i="1"/>
  <c r="H14012" i="1"/>
  <c r="K14011" i="1"/>
  <c r="H14011" i="1"/>
  <c r="K14010" i="1"/>
  <c r="H14010" i="1"/>
  <c r="K14009" i="1"/>
  <c r="H14009" i="1"/>
  <c r="K14008" i="1"/>
  <c r="H14008" i="1"/>
  <c r="K14007" i="1"/>
  <c r="H14007" i="1"/>
  <c r="K14006" i="1"/>
  <c r="H14006" i="1"/>
  <c r="K14005" i="1"/>
  <c r="H14005" i="1"/>
  <c r="K14004" i="1"/>
  <c r="H14004" i="1"/>
  <c r="K14003" i="1"/>
  <c r="H14003" i="1"/>
  <c r="K14002" i="1"/>
  <c r="H14002" i="1"/>
  <c r="K14001" i="1"/>
  <c r="H14001" i="1"/>
  <c r="K14000" i="1"/>
  <c r="H14000" i="1"/>
  <c r="K13999" i="1"/>
  <c r="H13999" i="1"/>
  <c r="K13998" i="1"/>
  <c r="H13998" i="1"/>
  <c r="K13997" i="1"/>
  <c r="H13997" i="1"/>
  <c r="K13996" i="1"/>
  <c r="H13996" i="1"/>
  <c r="K13995" i="1"/>
  <c r="H13995" i="1"/>
  <c r="K13994" i="1"/>
  <c r="H13994" i="1"/>
  <c r="K13993" i="1"/>
  <c r="H13993" i="1"/>
  <c r="K13992" i="1"/>
  <c r="H13992" i="1"/>
  <c r="K13991" i="1"/>
  <c r="H13991" i="1"/>
  <c r="K13990" i="1"/>
  <c r="H13990" i="1"/>
  <c r="K13989" i="1"/>
  <c r="H13989" i="1"/>
  <c r="K13988" i="1"/>
  <c r="H13988" i="1"/>
  <c r="K13987" i="1"/>
  <c r="H13987" i="1"/>
  <c r="K13986" i="1"/>
  <c r="H13986" i="1"/>
  <c r="K13985" i="1"/>
  <c r="H13985" i="1"/>
  <c r="K13984" i="1"/>
  <c r="H13984" i="1"/>
  <c r="K13983" i="1"/>
  <c r="H13983" i="1"/>
  <c r="K13982" i="1"/>
  <c r="H13982" i="1"/>
  <c r="K13981" i="1"/>
  <c r="H13981" i="1"/>
  <c r="K13980" i="1"/>
  <c r="H13980" i="1"/>
  <c r="K13979" i="1"/>
  <c r="H13979" i="1"/>
  <c r="K13978" i="1"/>
  <c r="H13978" i="1"/>
  <c r="K13977" i="1"/>
  <c r="H13977" i="1"/>
  <c r="K13976" i="1"/>
  <c r="H13976" i="1"/>
  <c r="K13975" i="1"/>
  <c r="H13975" i="1"/>
  <c r="K13974" i="1"/>
  <c r="H13974" i="1"/>
  <c r="K13973" i="1"/>
  <c r="H13973" i="1"/>
  <c r="K13972" i="1"/>
  <c r="H13972" i="1"/>
  <c r="K13971" i="1"/>
  <c r="H13971" i="1"/>
  <c r="K13970" i="1"/>
  <c r="H13970" i="1"/>
  <c r="K13969" i="1"/>
  <c r="H13969" i="1"/>
  <c r="K13968" i="1"/>
  <c r="H13968" i="1"/>
  <c r="K13967" i="1"/>
  <c r="H13967" i="1"/>
  <c r="K13966" i="1"/>
  <c r="H13966" i="1"/>
  <c r="K13965" i="1"/>
  <c r="H13965" i="1"/>
  <c r="K13964" i="1"/>
  <c r="H13964" i="1"/>
  <c r="K13963" i="1"/>
  <c r="H13963" i="1"/>
  <c r="K13962" i="1"/>
  <c r="H13962" i="1"/>
  <c r="K13961" i="1"/>
  <c r="H13961" i="1"/>
  <c r="K13960" i="1"/>
  <c r="H13960" i="1"/>
  <c r="K13959" i="1"/>
  <c r="H13959" i="1"/>
  <c r="K13958" i="1"/>
  <c r="H13958" i="1"/>
  <c r="K13957" i="1"/>
  <c r="H13957" i="1"/>
  <c r="K13956" i="1"/>
  <c r="H13956" i="1"/>
  <c r="K13955" i="1"/>
  <c r="H13955" i="1"/>
  <c r="K13954" i="1"/>
  <c r="H13954" i="1"/>
  <c r="K13953" i="1"/>
  <c r="H13953" i="1"/>
  <c r="K13952" i="1"/>
  <c r="H13952" i="1"/>
  <c r="K13951" i="1"/>
  <c r="H13951" i="1"/>
  <c r="K13950" i="1"/>
  <c r="H13950" i="1"/>
  <c r="K13949" i="1"/>
  <c r="H13949" i="1"/>
  <c r="K13948" i="1"/>
  <c r="H13948" i="1"/>
  <c r="K13947" i="1"/>
  <c r="H13947" i="1"/>
  <c r="K13946" i="1"/>
  <c r="H13946" i="1"/>
  <c r="K13945" i="1"/>
  <c r="H13945" i="1"/>
  <c r="K13944" i="1"/>
  <c r="H13944" i="1"/>
  <c r="K13943" i="1"/>
  <c r="H13943" i="1"/>
  <c r="K13942" i="1"/>
  <c r="H13942" i="1"/>
  <c r="K13941" i="1"/>
  <c r="H13941" i="1"/>
  <c r="K13940" i="1"/>
  <c r="H13940" i="1"/>
  <c r="K13939" i="1"/>
  <c r="H13939" i="1"/>
  <c r="K13938" i="1"/>
  <c r="H13938" i="1"/>
  <c r="K13937" i="1"/>
  <c r="H13937" i="1"/>
  <c r="K13936" i="1"/>
  <c r="H13936" i="1"/>
  <c r="K13935" i="1"/>
  <c r="H13935" i="1"/>
  <c r="K13934" i="1"/>
  <c r="H13934" i="1"/>
  <c r="K13933" i="1"/>
  <c r="H13933" i="1"/>
  <c r="K13932" i="1"/>
  <c r="H13932" i="1"/>
  <c r="K13931" i="1"/>
  <c r="H13931" i="1"/>
  <c r="K13930" i="1"/>
  <c r="H13930" i="1"/>
  <c r="K13929" i="1"/>
  <c r="H13929" i="1"/>
  <c r="K13928" i="1"/>
  <c r="H13928" i="1"/>
  <c r="K13927" i="1"/>
  <c r="H13927" i="1"/>
  <c r="K13926" i="1"/>
  <c r="H13926" i="1"/>
  <c r="K13925" i="1"/>
  <c r="H13925" i="1"/>
  <c r="K13924" i="1"/>
  <c r="H13924" i="1"/>
  <c r="K13923" i="1"/>
  <c r="H13923" i="1"/>
  <c r="K13922" i="1"/>
  <c r="H13922" i="1"/>
  <c r="K13921" i="1"/>
  <c r="H13921" i="1"/>
  <c r="K13920" i="1"/>
  <c r="H13920" i="1"/>
  <c r="K13919" i="1"/>
  <c r="H13919" i="1"/>
  <c r="K13918" i="1"/>
  <c r="H13918" i="1"/>
  <c r="K13917" i="1"/>
  <c r="H13917" i="1"/>
  <c r="K13916" i="1"/>
  <c r="H13916" i="1"/>
  <c r="K13915" i="1"/>
  <c r="H13915" i="1"/>
  <c r="K13914" i="1"/>
  <c r="H13914" i="1"/>
  <c r="K13913" i="1"/>
  <c r="H13913" i="1"/>
  <c r="K13912" i="1"/>
  <c r="H13912" i="1"/>
  <c r="K13911" i="1"/>
  <c r="H13911" i="1"/>
  <c r="K13910" i="1"/>
  <c r="H13910" i="1"/>
  <c r="K13909" i="1"/>
  <c r="H13909" i="1"/>
  <c r="K13908" i="1"/>
  <c r="H13908" i="1"/>
  <c r="K13907" i="1"/>
  <c r="H13907" i="1"/>
  <c r="K13906" i="1"/>
  <c r="H13906" i="1"/>
  <c r="K13905" i="1"/>
  <c r="H13905" i="1"/>
  <c r="K13904" i="1"/>
  <c r="H13904" i="1"/>
  <c r="K13903" i="1"/>
  <c r="H13903" i="1"/>
  <c r="K13902" i="1"/>
  <c r="H13902" i="1"/>
  <c r="K13901" i="1"/>
  <c r="H13901" i="1"/>
  <c r="K13900" i="1"/>
  <c r="H13900" i="1"/>
  <c r="K13899" i="1"/>
  <c r="H13899" i="1"/>
  <c r="K13898" i="1"/>
  <c r="H13898" i="1"/>
  <c r="K13897" i="1"/>
  <c r="H13897" i="1"/>
  <c r="K13896" i="1"/>
  <c r="H13896" i="1"/>
  <c r="K13895" i="1"/>
  <c r="H13895" i="1"/>
  <c r="K13894" i="1"/>
  <c r="H13894" i="1"/>
  <c r="K13893" i="1"/>
  <c r="H13893" i="1"/>
  <c r="K13892" i="1"/>
  <c r="H13892" i="1"/>
  <c r="K13891" i="1"/>
  <c r="H13891" i="1"/>
  <c r="K13890" i="1"/>
  <c r="H13890" i="1"/>
  <c r="K13889" i="1"/>
  <c r="H13889" i="1"/>
  <c r="K13888" i="1"/>
  <c r="H13888" i="1"/>
  <c r="K13887" i="1"/>
  <c r="H13887" i="1"/>
  <c r="K13886" i="1"/>
  <c r="H13886" i="1"/>
  <c r="K13885" i="1"/>
  <c r="H13885" i="1"/>
  <c r="K13884" i="1"/>
  <c r="H13884" i="1"/>
  <c r="K13883" i="1"/>
  <c r="H13883" i="1"/>
  <c r="K13882" i="1"/>
  <c r="H13882" i="1"/>
  <c r="K13881" i="1"/>
  <c r="H13881" i="1"/>
  <c r="K13880" i="1"/>
  <c r="H13880" i="1"/>
  <c r="K13879" i="1"/>
  <c r="H13879" i="1"/>
  <c r="K13878" i="1"/>
  <c r="H13878" i="1"/>
  <c r="K13877" i="1"/>
  <c r="H13877" i="1"/>
  <c r="K13876" i="1"/>
  <c r="H13876" i="1"/>
  <c r="K13875" i="1"/>
  <c r="H13875" i="1"/>
  <c r="K13874" i="1"/>
  <c r="H13874" i="1"/>
  <c r="K13873" i="1"/>
  <c r="H13873" i="1"/>
  <c r="K13872" i="1"/>
  <c r="H13872" i="1"/>
  <c r="K13871" i="1"/>
  <c r="H13871" i="1"/>
  <c r="K13870" i="1"/>
  <c r="H13870" i="1"/>
  <c r="K13869" i="1"/>
  <c r="H13869" i="1"/>
  <c r="K13868" i="1"/>
  <c r="H13868" i="1"/>
  <c r="K13867" i="1"/>
  <c r="H13867" i="1"/>
  <c r="K13866" i="1"/>
  <c r="H13866" i="1"/>
  <c r="K13865" i="1"/>
  <c r="H13865" i="1"/>
  <c r="K13864" i="1"/>
  <c r="H13864" i="1"/>
  <c r="K13863" i="1"/>
  <c r="H13863" i="1"/>
  <c r="K13862" i="1"/>
  <c r="H13862" i="1"/>
  <c r="K13861" i="1"/>
  <c r="H13861" i="1"/>
  <c r="K13860" i="1"/>
  <c r="H13860" i="1"/>
  <c r="K13859" i="1"/>
  <c r="H13859" i="1"/>
  <c r="K13858" i="1"/>
  <c r="H13858" i="1"/>
  <c r="K13857" i="1"/>
  <c r="H13857" i="1"/>
  <c r="K13856" i="1"/>
  <c r="H13856" i="1"/>
  <c r="K13855" i="1"/>
  <c r="H13855" i="1"/>
  <c r="K13854" i="1"/>
  <c r="H13854" i="1"/>
  <c r="K13853" i="1"/>
  <c r="H13853" i="1"/>
  <c r="K13852" i="1"/>
  <c r="H13852" i="1"/>
  <c r="K13851" i="1"/>
  <c r="H13851" i="1"/>
  <c r="K13850" i="1"/>
  <c r="H13850" i="1"/>
  <c r="K13849" i="1"/>
  <c r="H13849" i="1"/>
  <c r="K13848" i="1"/>
  <c r="H13848" i="1"/>
  <c r="K13847" i="1"/>
  <c r="H13847" i="1"/>
  <c r="K13846" i="1"/>
  <c r="H13846" i="1"/>
  <c r="K13845" i="1"/>
  <c r="H13845" i="1"/>
  <c r="K13844" i="1"/>
  <c r="H13844" i="1"/>
  <c r="K13843" i="1"/>
  <c r="H13843" i="1"/>
  <c r="K13842" i="1"/>
  <c r="H13842" i="1"/>
  <c r="K13841" i="1"/>
  <c r="H13841" i="1"/>
  <c r="K13840" i="1"/>
  <c r="H13840" i="1"/>
  <c r="K13839" i="1"/>
  <c r="H13839" i="1"/>
  <c r="K13838" i="1"/>
  <c r="H13838" i="1"/>
  <c r="K13837" i="1"/>
  <c r="H13837" i="1"/>
  <c r="K13836" i="1"/>
  <c r="H13836" i="1"/>
  <c r="K13835" i="1"/>
  <c r="H13835" i="1"/>
  <c r="K13834" i="1"/>
  <c r="H13834" i="1"/>
  <c r="K13833" i="1"/>
  <c r="H13833" i="1"/>
  <c r="K13832" i="1"/>
  <c r="H13832" i="1"/>
  <c r="K13831" i="1"/>
  <c r="H13831" i="1"/>
  <c r="K13830" i="1"/>
  <c r="H13830" i="1"/>
  <c r="K13829" i="1"/>
  <c r="H13829" i="1"/>
  <c r="K13828" i="1"/>
  <c r="H13828" i="1"/>
  <c r="K13827" i="1"/>
  <c r="H13827" i="1"/>
  <c r="K13826" i="1"/>
  <c r="H13826" i="1"/>
  <c r="K13825" i="1"/>
  <c r="H13825" i="1"/>
  <c r="K13824" i="1"/>
  <c r="H13824" i="1"/>
  <c r="K13823" i="1"/>
  <c r="H13823" i="1"/>
  <c r="K13822" i="1"/>
  <c r="H13822" i="1"/>
  <c r="K13821" i="1"/>
  <c r="H13821" i="1"/>
  <c r="K13820" i="1"/>
  <c r="H13820" i="1"/>
  <c r="K13819" i="1"/>
  <c r="H13819" i="1"/>
  <c r="K13818" i="1"/>
  <c r="H13818" i="1"/>
  <c r="K13817" i="1"/>
  <c r="H13817" i="1"/>
  <c r="K13816" i="1"/>
  <c r="H13816" i="1"/>
  <c r="K13815" i="1"/>
  <c r="H13815" i="1"/>
  <c r="K13814" i="1"/>
  <c r="H13814" i="1"/>
  <c r="K13813" i="1"/>
  <c r="H13813" i="1"/>
  <c r="K13812" i="1"/>
  <c r="H13812" i="1"/>
  <c r="K13811" i="1"/>
  <c r="H13811" i="1"/>
  <c r="K13810" i="1"/>
  <c r="H13810" i="1"/>
  <c r="K13809" i="1"/>
  <c r="H13809" i="1"/>
  <c r="K13808" i="1"/>
  <c r="H13808" i="1"/>
  <c r="K13807" i="1"/>
  <c r="H13807" i="1"/>
  <c r="K13806" i="1"/>
  <c r="H13806" i="1"/>
  <c r="K13805" i="1"/>
  <c r="H13805" i="1"/>
  <c r="K13804" i="1"/>
  <c r="H13804" i="1"/>
  <c r="K13803" i="1"/>
  <c r="H13803" i="1"/>
  <c r="K13802" i="1"/>
  <c r="H13802" i="1"/>
  <c r="K13801" i="1"/>
  <c r="H13801" i="1"/>
  <c r="K13800" i="1"/>
  <c r="H13800" i="1"/>
  <c r="K13799" i="1"/>
  <c r="H13799" i="1"/>
  <c r="K13798" i="1"/>
  <c r="H13798" i="1"/>
  <c r="K13797" i="1"/>
  <c r="H13797" i="1"/>
  <c r="K13796" i="1"/>
  <c r="H13796" i="1"/>
  <c r="K13795" i="1"/>
  <c r="H13795" i="1"/>
  <c r="K13794" i="1"/>
  <c r="H13794" i="1"/>
  <c r="K13793" i="1"/>
  <c r="H13793" i="1"/>
  <c r="K13792" i="1"/>
  <c r="H13792" i="1"/>
  <c r="K13791" i="1"/>
  <c r="H13791" i="1"/>
  <c r="K13790" i="1"/>
  <c r="H13790" i="1"/>
  <c r="K13789" i="1"/>
  <c r="H13789" i="1"/>
  <c r="K13788" i="1"/>
  <c r="H13788" i="1"/>
  <c r="K13787" i="1"/>
  <c r="H13787" i="1"/>
  <c r="K13786" i="1"/>
  <c r="H13786" i="1"/>
  <c r="K13785" i="1"/>
  <c r="H13785" i="1"/>
  <c r="K13784" i="1"/>
  <c r="H13784" i="1"/>
  <c r="K13783" i="1"/>
  <c r="H13783" i="1"/>
  <c r="K13782" i="1"/>
  <c r="H13782" i="1"/>
  <c r="K13781" i="1"/>
  <c r="H13781" i="1"/>
  <c r="K13780" i="1"/>
  <c r="H13780" i="1"/>
  <c r="K13779" i="1"/>
  <c r="H13779" i="1"/>
  <c r="K13778" i="1"/>
  <c r="H13778" i="1"/>
  <c r="K13777" i="1"/>
  <c r="H13777" i="1"/>
  <c r="K13776" i="1"/>
  <c r="H13776" i="1"/>
  <c r="K13775" i="1"/>
  <c r="H13775" i="1"/>
  <c r="K13774" i="1"/>
  <c r="H13774" i="1"/>
  <c r="K13773" i="1"/>
  <c r="H13773" i="1"/>
  <c r="K13772" i="1"/>
  <c r="H13772" i="1"/>
  <c r="K13771" i="1"/>
  <c r="H13771" i="1"/>
  <c r="K13770" i="1"/>
  <c r="H13770" i="1"/>
  <c r="K13769" i="1"/>
  <c r="H13769" i="1"/>
  <c r="K13768" i="1"/>
  <c r="H13768" i="1"/>
  <c r="K13767" i="1"/>
  <c r="H13767" i="1"/>
  <c r="K13766" i="1"/>
  <c r="H13766" i="1"/>
  <c r="K13765" i="1"/>
  <c r="H13765" i="1"/>
  <c r="K13764" i="1"/>
  <c r="H13764" i="1"/>
  <c r="K13763" i="1"/>
  <c r="H13763" i="1"/>
  <c r="K13762" i="1"/>
  <c r="H13762" i="1"/>
  <c r="K13761" i="1"/>
  <c r="H13761" i="1"/>
  <c r="K13760" i="1"/>
  <c r="H13760" i="1"/>
  <c r="K13759" i="1"/>
  <c r="H13759" i="1"/>
  <c r="K13758" i="1"/>
  <c r="H13758" i="1"/>
  <c r="K13757" i="1"/>
  <c r="H13757" i="1"/>
  <c r="K13756" i="1"/>
  <c r="H13756" i="1"/>
  <c r="K13755" i="1"/>
  <c r="H13755" i="1"/>
  <c r="K13754" i="1"/>
  <c r="H13754" i="1"/>
  <c r="K13753" i="1"/>
  <c r="H13753" i="1"/>
  <c r="K13752" i="1"/>
  <c r="H13752" i="1"/>
  <c r="K13751" i="1"/>
  <c r="H13751" i="1"/>
  <c r="K13750" i="1"/>
  <c r="H13750" i="1"/>
  <c r="K13749" i="1"/>
  <c r="H13749" i="1"/>
  <c r="K13748" i="1"/>
  <c r="H13748" i="1"/>
  <c r="K13747" i="1"/>
  <c r="H13747" i="1"/>
  <c r="K13746" i="1"/>
  <c r="H13746" i="1"/>
  <c r="K13745" i="1"/>
  <c r="H13745" i="1"/>
  <c r="K13744" i="1"/>
  <c r="H13744" i="1"/>
  <c r="K13743" i="1"/>
  <c r="H13743" i="1"/>
  <c r="K13742" i="1"/>
  <c r="H13742" i="1"/>
  <c r="K13741" i="1"/>
  <c r="H13741" i="1"/>
  <c r="K13740" i="1"/>
  <c r="H13740" i="1"/>
  <c r="K13739" i="1"/>
  <c r="H13739" i="1"/>
  <c r="K13738" i="1"/>
  <c r="H13738" i="1"/>
  <c r="K13737" i="1"/>
  <c r="H13737" i="1"/>
  <c r="K13736" i="1"/>
  <c r="H13736" i="1"/>
  <c r="K13735" i="1"/>
  <c r="H13735" i="1"/>
  <c r="K13734" i="1"/>
  <c r="H13734" i="1"/>
  <c r="K13733" i="1"/>
  <c r="H13733" i="1"/>
  <c r="K13732" i="1"/>
  <c r="H13732" i="1"/>
  <c r="K13731" i="1"/>
  <c r="H13731" i="1"/>
  <c r="K13730" i="1"/>
  <c r="H13730" i="1"/>
  <c r="K13729" i="1"/>
  <c r="H13729" i="1"/>
  <c r="K13728" i="1"/>
  <c r="H13728" i="1"/>
  <c r="K13727" i="1"/>
  <c r="H13727" i="1"/>
  <c r="K13726" i="1"/>
  <c r="H13726" i="1"/>
  <c r="K13725" i="1"/>
  <c r="H13725" i="1"/>
  <c r="K13724" i="1"/>
  <c r="H13724" i="1"/>
  <c r="K13723" i="1"/>
  <c r="H13723" i="1"/>
  <c r="K13722" i="1"/>
  <c r="H13722" i="1"/>
  <c r="K13721" i="1"/>
  <c r="H13721" i="1"/>
  <c r="K13720" i="1"/>
  <c r="H13720" i="1"/>
  <c r="K13719" i="1"/>
  <c r="H13719" i="1"/>
  <c r="K13718" i="1"/>
  <c r="H13718" i="1"/>
  <c r="K13717" i="1"/>
  <c r="H13717" i="1"/>
  <c r="K13716" i="1"/>
  <c r="H13716" i="1"/>
  <c r="K13715" i="1"/>
  <c r="H13715" i="1"/>
  <c r="K13714" i="1"/>
  <c r="H13714" i="1"/>
  <c r="K13713" i="1"/>
  <c r="H13713" i="1"/>
  <c r="K13712" i="1"/>
  <c r="H13712" i="1"/>
  <c r="K13711" i="1"/>
  <c r="H13711" i="1"/>
  <c r="K13710" i="1"/>
  <c r="H13710" i="1"/>
  <c r="K13709" i="1"/>
  <c r="H13709" i="1"/>
  <c r="K13708" i="1"/>
  <c r="H13708" i="1"/>
  <c r="K13707" i="1"/>
  <c r="H13707" i="1"/>
  <c r="K13706" i="1"/>
  <c r="H13706" i="1"/>
  <c r="K13705" i="1"/>
  <c r="H13705" i="1"/>
  <c r="K13704" i="1"/>
  <c r="H13704" i="1"/>
  <c r="K13703" i="1"/>
  <c r="H13703" i="1"/>
  <c r="K13702" i="1"/>
  <c r="H13702" i="1"/>
  <c r="K13701" i="1"/>
  <c r="H13701" i="1"/>
  <c r="K13700" i="1"/>
  <c r="H13700" i="1"/>
  <c r="K13699" i="1"/>
  <c r="H13699" i="1"/>
  <c r="K13698" i="1"/>
  <c r="H13698" i="1"/>
  <c r="K13697" i="1"/>
  <c r="H13697" i="1"/>
  <c r="K13696" i="1"/>
  <c r="H13696" i="1"/>
  <c r="K13695" i="1"/>
  <c r="H13695" i="1"/>
  <c r="K13694" i="1"/>
  <c r="H13694" i="1"/>
  <c r="K13693" i="1"/>
  <c r="H13693" i="1"/>
  <c r="K13692" i="1"/>
  <c r="H13692" i="1"/>
  <c r="K13691" i="1"/>
  <c r="H13691" i="1"/>
  <c r="K13690" i="1"/>
  <c r="H13690" i="1"/>
  <c r="K13689" i="1"/>
  <c r="H13689" i="1"/>
  <c r="K13688" i="1"/>
  <c r="H13688" i="1"/>
  <c r="K13687" i="1"/>
  <c r="H13687" i="1"/>
  <c r="K13686" i="1"/>
  <c r="H13686" i="1"/>
  <c r="K13685" i="1"/>
  <c r="H13685" i="1"/>
  <c r="K13684" i="1"/>
  <c r="H13684" i="1"/>
  <c r="K13683" i="1"/>
  <c r="H13683" i="1"/>
  <c r="K13682" i="1"/>
  <c r="H13682" i="1"/>
  <c r="K13681" i="1"/>
  <c r="H13681" i="1"/>
  <c r="K13680" i="1"/>
  <c r="H13680" i="1"/>
  <c r="K13679" i="1"/>
  <c r="H13679" i="1"/>
  <c r="K13678" i="1"/>
  <c r="H13678" i="1"/>
  <c r="K13677" i="1"/>
  <c r="H13677" i="1"/>
  <c r="K13676" i="1"/>
  <c r="H13676" i="1"/>
  <c r="K13675" i="1"/>
  <c r="H13675" i="1"/>
  <c r="K13674" i="1"/>
  <c r="H13674" i="1"/>
  <c r="K13673" i="1"/>
  <c r="H13673" i="1"/>
  <c r="K13672" i="1"/>
  <c r="H13672" i="1"/>
  <c r="K13671" i="1"/>
  <c r="H13671" i="1"/>
  <c r="K13670" i="1"/>
  <c r="H13670" i="1"/>
  <c r="K13669" i="1"/>
  <c r="H13669" i="1"/>
  <c r="K13668" i="1"/>
  <c r="H13668" i="1"/>
  <c r="K13667" i="1"/>
  <c r="H13667" i="1"/>
  <c r="K13666" i="1"/>
  <c r="H13666" i="1"/>
  <c r="K13665" i="1"/>
  <c r="H13665" i="1"/>
  <c r="K13664" i="1"/>
  <c r="H13664" i="1"/>
  <c r="K13663" i="1"/>
  <c r="H13663" i="1"/>
  <c r="K13662" i="1"/>
  <c r="H13662" i="1"/>
  <c r="K13661" i="1"/>
  <c r="H13661" i="1"/>
  <c r="K13660" i="1"/>
  <c r="H13660" i="1"/>
  <c r="K13659" i="1"/>
  <c r="H13659" i="1"/>
  <c r="K13658" i="1"/>
  <c r="H13658" i="1"/>
  <c r="K13657" i="1"/>
  <c r="H13657" i="1"/>
  <c r="K13656" i="1"/>
  <c r="H13656" i="1"/>
  <c r="K13655" i="1"/>
  <c r="H13655" i="1"/>
  <c r="K13654" i="1"/>
  <c r="H13654" i="1"/>
  <c r="K13653" i="1"/>
  <c r="H13653" i="1"/>
  <c r="K13652" i="1"/>
  <c r="H13652" i="1"/>
  <c r="K13651" i="1"/>
  <c r="H13651" i="1"/>
  <c r="K13650" i="1"/>
  <c r="H13650" i="1"/>
  <c r="K13649" i="1"/>
  <c r="H13649" i="1"/>
  <c r="K13648" i="1"/>
  <c r="H13648" i="1"/>
  <c r="K13647" i="1"/>
  <c r="H13647" i="1"/>
  <c r="K13646" i="1"/>
  <c r="H13646" i="1"/>
  <c r="K13645" i="1"/>
  <c r="H13645" i="1"/>
  <c r="K13644" i="1"/>
  <c r="H13644" i="1"/>
  <c r="K13643" i="1"/>
  <c r="H13643" i="1"/>
  <c r="K13642" i="1"/>
  <c r="H13642" i="1"/>
  <c r="K13641" i="1"/>
  <c r="H13641" i="1"/>
  <c r="K13640" i="1"/>
  <c r="H13640" i="1"/>
  <c r="K13639" i="1"/>
  <c r="H13639" i="1"/>
  <c r="K13638" i="1"/>
  <c r="H13638" i="1"/>
  <c r="K13637" i="1"/>
  <c r="H13637" i="1"/>
  <c r="K13636" i="1"/>
  <c r="H13636" i="1"/>
  <c r="K13635" i="1"/>
  <c r="H13635" i="1"/>
  <c r="K13634" i="1"/>
  <c r="H13634" i="1"/>
  <c r="K13633" i="1"/>
  <c r="H13633" i="1"/>
  <c r="K13632" i="1"/>
  <c r="H13632" i="1"/>
  <c r="K13631" i="1"/>
  <c r="H13631" i="1"/>
  <c r="K13630" i="1"/>
  <c r="H13630" i="1"/>
  <c r="K13629" i="1"/>
  <c r="H13629" i="1"/>
  <c r="K13628" i="1"/>
  <c r="H13628" i="1"/>
  <c r="K13627" i="1"/>
  <c r="H13627" i="1"/>
  <c r="K13626" i="1"/>
  <c r="H13626" i="1"/>
  <c r="K13625" i="1"/>
  <c r="H13625" i="1"/>
  <c r="K13624" i="1"/>
  <c r="H13624" i="1"/>
  <c r="K13623" i="1"/>
  <c r="H13623" i="1"/>
  <c r="K13622" i="1"/>
  <c r="H13622" i="1"/>
  <c r="K13621" i="1"/>
  <c r="H13621" i="1"/>
  <c r="K13620" i="1"/>
  <c r="H13620" i="1"/>
  <c r="K13619" i="1"/>
  <c r="H13619" i="1"/>
  <c r="K13618" i="1"/>
  <c r="H13618" i="1"/>
  <c r="K13617" i="1"/>
  <c r="H13617" i="1"/>
  <c r="K13616" i="1"/>
  <c r="H13616" i="1"/>
  <c r="K13615" i="1"/>
  <c r="H13615" i="1"/>
  <c r="K13614" i="1"/>
  <c r="H13614" i="1"/>
  <c r="K13613" i="1"/>
  <c r="H13613" i="1"/>
  <c r="K13612" i="1"/>
  <c r="H13612" i="1"/>
  <c r="K13611" i="1"/>
  <c r="H13611" i="1"/>
  <c r="K13610" i="1"/>
  <c r="H13610" i="1"/>
  <c r="K13609" i="1"/>
  <c r="H13609" i="1"/>
  <c r="K13608" i="1"/>
  <c r="H13608" i="1"/>
  <c r="K13607" i="1"/>
  <c r="H13607" i="1"/>
  <c r="K13606" i="1"/>
  <c r="H13606" i="1"/>
  <c r="K13605" i="1"/>
  <c r="H13605" i="1"/>
  <c r="K13604" i="1"/>
  <c r="H13604" i="1"/>
  <c r="K13603" i="1"/>
  <c r="H13603" i="1"/>
  <c r="K13602" i="1"/>
  <c r="H13602" i="1"/>
  <c r="K13601" i="1"/>
  <c r="H13601" i="1"/>
  <c r="K13600" i="1"/>
  <c r="H13600" i="1"/>
  <c r="K13599" i="1"/>
  <c r="H13599" i="1"/>
  <c r="K13598" i="1"/>
  <c r="H13598" i="1"/>
  <c r="K13597" i="1"/>
  <c r="H13597" i="1"/>
  <c r="K13596" i="1"/>
  <c r="H13596" i="1"/>
  <c r="K13595" i="1"/>
  <c r="H13595" i="1"/>
  <c r="K13594" i="1"/>
  <c r="H13594" i="1"/>
  <c r="K13593" i="1"/>
  <c r="H13593" i="1"/>
  <c r="K13592" i="1"/>
  <c r="H13592" i="1"/>
  <c r="K13591" i="1"/>
  <c r="H13591" i="1"/>
  <c r="K13590" i="1"/>
  <c r="H13590" i="1"/>
  <c r="K13589" i="1"/>
  <c r="H13589" i="1"/>
  <c r="K13588" i="1"/>
  <c r="H13588" i="1"/>
  <c r="K13587" i="1"/>
  <c r="H13587" i="1"/>
  <c r="K13586" i="1"/>
  <c r="H13586" i="1"/>
  <c r="K13585" i="1"/>
  <c r="H13585" i="1"/>
  <c r="K13584" i="1"/>
  <c r="H13584" i="1"/>
  <c r="K13583" i="1"/>
  <c r="H13583" i="1"/>
  <c r="K13582" i="1"/>
  <c r="H13582" i="1"/>
  <c r="K13581" i="1"/>
  <c r="H13581" i="1"/>
  <c r="K13580" i="1"/>
  <c r="H13580" i="1"/>
  <c r="K13579" i="1"/>
  <c r="H13579" i="1"/>
  <c r="K13578" i="1"/>
  <c r="H13578" i="1"/>
  <c r="K13577" i="1"/>
  <c r="H13577" i="1"/>
  <c r="K13576" i="1"/>
  <c r="H13576" i="1"/>
  <c r="K13575" i="1"/>
  <c r="H13575" i="1"/>
  <c r="K13574" i="1"/>
  <c r="H13574" i="1"/>
  <c r="K13573" i="1"/>
  <c r="H13573" i="1"/>
  <c r="K13572" i="1"/>
  <c r="H13572" i="1"/>
  <c r="K13571" i="1"/>
  <c r="H13571" i="1"/>
  <c r="K13570" i="1"/>
  <c r="H13570" i="1"/>
  <c r="K13569" i="1"/>
  <c r="H13569" i="1"/>
  <c r="K13568" i="1"/>
  <c r="H13568" i="1"/>
  <c r="K13567" i="1"/>
  <c r="H13567" i="1"/>
  <c r="K13566" i="1"/>
  <c r="H13566" i="1"/>
  <c r="K13565" i="1"/>
  <c r="H13565" i="1"/>
  <c r="K13564" i="1"/>
  <c r="H13564" i="1"/>
  <c r="K13563" i="1"/>
  <c r="H13563" i="1"/>
  <c r="K13562" i="1"/>
  <c r="H13562" i="1"/>
  <c r="K13561" i="1"/>
  <c r="H13561" i="1"/>
  <c r="K13560" i="1"/>
  <c r="H13560" i="1"/>
  <c r="K13559" i="1"/>
  <c r="H13559" i="1"/>
  <c r="K13558" i="1"/>
  <c r="H13558" i="1"/>
  <c r="K13557" i="1"/>
  <c r="H13557" i="1"/>
  <c r="K13556" i="1"/>
  <c r="H13556" i="1"/>
  <c r="K13555" i="1"/>
  <c r="H13555" i="1"/>
  <c r="K13554" i="1"/>
  <c r="H13554" i="1"/>
  <c r="K13553" i="1"/>
  <c r="H13553" i="1"/>
  <c r="K13552" i="1"/>
  <c r="H13552" i="1"/>
  <c r="K13551" i="1"/>
  <c r="H13551" i="1"/>
  <c r="K13550" i="1"/>
  <c r="H13550" i="1"/>
  <c r="K13549" i="1"/>
  <c r="H13549" i="1"/>
  <c r="K13548" i="1"/>
  <c r="H13548" i="1"/>
  <c r="K13547" i="1"/>
  <c r="H13547" i="1"/>
  <c r="K13546" i="1"/>
  <c r="H13546" i="1"/>
  <c r="K13545" i="1"/>
  <c r="H13545" i="1"/>
  <c r="K13544" i="1"/>
  <c r="H13544" i="1"/>
  <c r="K13543" i="1"/>
  <c r="H13543" i="1"/>
  <c r="K13542" i="1"/>
  <c r="H13542" i="1"/>
  <c r="K13541" i="1"/>
  <c r="H13541" i="1"/>
  <c r="K13540" i="1"/>
  <c r="H13540" i="1"/>
  <c r="K13539" i="1"/>
  <c r="H13539" i="1"/>
  <c r="K13538" i="1"/>
  <c r="H13538" i="1"/>
  <c r="K13537" i="1"/>
  <c r="H13537" i="1"/>
  <c r="K13536" i="1"/>
  <c r="H13536" i="1"/>
  <c r="K13535" i="1"/>
  <c r="H13535" i="1"/>
  <c r="K13534" i="1"/>
  <c r="H13534" i="1"/>
  <c r="K13533" i="1"/>
  <c r="H13533" i="1"/>
  <c r="K13532" i="1"/>
  <c r="H13532" i="1"/>
  <c r="K13531" i="1"/>
  <c r="H13531" i="1"/>
  <c r="K13530" i="1"/>
  <c r="H13530" i="1"/>
  <c r="K13529" i="1"/>
  <c r="H13529" i="1"/>
  <c r="K13528" i="1"/>
  <c r="H13528" i="1"/>
  <c r="K13527" i="1"/>
  <c r="H13527" i="1"/>
  <c r="K13526" i="1"/>
  <c r="H13526" i="1"/>
  <c r="K13525" i="1"/>
  <c r="H13525" i="1"/>
  <c r="K13524" i="1"/>
  <c r="H13524" i="1"/>
  <c r="K13523" i="1"/>
  <c r="H13523" i="1"/>
  <c r="K13522" i="1"/>
  <c r="H13522" i="1"/>
  <c r="K13521" i="1"/>
  <c r="H13521" i="1"/>
  <c r="K13520" i="1"/>
  <c r="H13520" i="1"/>
  <c r="K13519" i="1"/>
  <c r="H13519" i="1"/>
  <c r="K13518" i="1"/>
  <c r="H13518" i="1"/>
  <c r="K13517" i="1"/>
  <c r="H13517" i="1"/>
  <c r="K13516" i="1"/>
  <c r="H13516" i="1"/>
  <c r="K13515" i="1"/>
  <c r="H13515" i="1"/>
  <c r="K13514" i="1"/>
  <c r="H13514" i="1"/>
  <c r="K13513" i="1"/>
  <c r="H13513" i="1"/>
  <c r="K13512" i="1"/>
  <c r="H13512" i="1"/>
  <c r="K13511" i="1"/>
  <c r="H13511" i="1"/>
  <c r="K13510" i="1"/>
  <c r="H13510" i="1"/>
  <c r="K13509" i="1"/>
  <c r="H13509" i="1"/>
  <c r="K13508" i="1"/>
  <c r="H13508" i="1"/>
  <c r="K13507" i="1"/>
  <c r="H13507" i="1"/>
  <c r="K13506" i="1"/>
  <c r="H13506" i="1"/>
  <c r="K13505" i="1"/>
  <c r="H13505" i="1"/>
  <c r="K13504" i="1"/>
  <c r="H13504" i="1"/>
  <c r="K13503" i="1"/>
  <c r="H13503" i="1"/>
  <c r="K13502" i="1"/>
  <c r="H13502" i="1"/>
  <c r="K13501" i="1"/>
  <c r="H13501" i="1"/>
  <c r="K13500" i="1"/>
  <c r="H13500" i="1"/>
  <c r="K13499" i="1"/>
  <c r="H13499" i="1"/>
  <c r="K13498" i="1"/>
  <c r="H13498" i="1"/>
  <c r="K13497" i="1"/>
  <c r="H13497" i="1"/>
  <c r="K13496" i="1"/>
  <c r="H13496" i="1"/>
  <c r="K13495" i="1"/>
  <c r="H13495" i="1"/>
  <c r="K13494" i="1"/>
  <c r="H13494" i="1"/>
  <c r="K13493" i="1"/>
  <c r="H13493" i="1"/>
  <c r="K13492" i="1"/>
  <c r="H13492" i="1"/>
  <c r="K13491" i="1"/>
  <c r="H13491" i="1"/>
  <c r="K13490" i="1"/>
  <c r="H13490" i="1"/>
  <c r="K13489" i="1"/>
  <c r="H13489" i="1"/>
  <c r="K13488" i="1"/>
  <c r="H13488" i="1"/>
  <c r="K13487" i="1"/>
  <c r="H13487" i="1"/>
  <c r="K13486" i="1"/>
  <c r="H13486" i="1"/>
  <c r="K13485" i="1"/>
  <c r="H13485" i="1"/>
  <c r="K13484" i="1"/>
  <c r="H13484" i="1"/>
  <c r="K13483" i="1"/>
  <c r="H13483" i="1"/>
  <c r="K13482" i="1"/>
  <c r="H13482" i="1"/>
  <c r="K13481" i="1"/>
  <c r="H13481" i="1"/>
  <c r="K13480" i="1"/>
  <c r="H13480" i="1"/>
  <c r="K13479" i="1"/>
  <c r="H13479" i="1"/>
  <c r="K13478" i="1"/>
  <c r="H13478" i="1"/>
  <c r="K13477" i="1"/>
  <c r="H13477" i="1"/>
  <c r="K13476" i="1"/>
  <c r="H13476" i="1"/>
  <c r="K13475" i="1"/>
  <c r="H13475" i="1"/>
  <c r="K13474" i="1"/>
  <c r="H13474" i="1"/>
  <c r="K13473" i="1"/>
  <c r="H13473" i="1"/>
  <c r="K13472" i="1"/>
  <c r="H13472" i="1"/>
  <c r="K13471" i="1"/>
  <c r="H13471" i="1"/>
  <c r="K13470" i="1"/>
  <c r="H13470" i="1"/>
  <c r="K13469" i="1"/>
  <c r="H13469" i="1"/>
  <c r="K13468" i="1"/>
  <c r="H13468" i="1"/>
  <c r="K13467" i="1"/>
  <c r="H13467" i="1"/>
  <c r="K13466" i="1"/>
  <c r="H13466" i="1"/>
  <c r="K13465" i="1"/>
  <c r="H13465" i="1"/>
  <c r="K13464" i="1"/>
  <c r="H13464" i="1"/>
  <c r="K13463" i="1"/>
  <c r="H13463" i="1"/>
  <c r="K13462" i="1"/>
  <c r="H13462" i="1"/>
  <c r="K13461" i="1"/>
  <c r="H13461" i="1"/>
  <c r="K13460" i="1"/>
  <c r="H13460" i="1"/>
  <c r="K13459" i="1"/>
  <c r="H13459" i="1"/>
  <c r="K13458" i="1"/>
  <c r="H13458" i="1"/>
  <c r="K13457" i="1"/>
  <c r="H13457" i="1"/>
  <c r="K13456" i="1"/>
  <c r="H13456" i="1"/>
  <c r="K13455" i="1"/>
  <c r="H13455" i="1"/>
  <c r="K13454" i="1"/>
  <c r="H13454" i="1"/>
  <c r="K13453" i="1"/>
  <c r="H13453" i="1"/>
  <c r="K13452" i="1"/>
  <c r="H13452" i="1"/>
  <c r="K13451" i="1"/>
  <c r="H13451" i="1"/>
  <c r="K13450" i="1"/>
  <c r="H13450" i="1"/>
  <c r="K13449" i="1"/>
  <c r="H13449" i="1"/>
  <c r="K13448" i="1"/>
  <c r="H13448" i="1"/>
  <c r="K13447" i="1"/>
  <c r="H13447" i="1"/>
  <c r="K13446" i="1"/>
  <c r="H13446" i="1"/>
  <c r="K13445" i="1"/>
  <c r="H13445" i="1"/>
  <c r="K13444" i="1"/>
  <c r="H13444" i="1"/>
  <c r="K13443" i="1"/>
  <c r="H13443" i="1"/>
  <c r="K13442" i="1"/>
  <c r="H13442" i="1"/>
  <c r="K13441" i="1"/>
  <c r="H13441" i="1"/>
  <c r="K13440" i="1"/>
  <c r="H13440" i="1"/>
  <c r="K13439" i="1"/>
  <c r="H13439" i="1"/>
  <c r="K13438" i="1"/>
  <c r="H13438" i="1"/>
  <c r="K13437" i="1"/>
  <c r="H13437" i="1"/>
  <c r="K13436" i="1"/>
  <c r="H13436" i="1"/>
  <c r="K13435" i="1"/>
  <c r="H13435" i="1"/>
  <c r="K13434" i="1"/>
  <c r="H13434" i="1"/>
  <c r="K13433" i="1"/>
  <c r="H13433" i="1"/>
  <c r="K13432" i="1"/>
  <c r="H13432" i="1"/>
  <c r="K13431" i="1"/>
  <c r="H13431" i="1"/>
  <c r="K13430" i="1"/>
  <c r="H13430" i="1"/>
  <c r="K13429" i="1"/>
  <c r="H13429" i="1"/>
  <c r="K13428" i="1"/>
  <c r="H13428" i="1"/>
  <c r="K13427" i="1"/>
  <c r="H13427" i="1"/>
  <c r="K13426" i="1"/>
  <c r="H13426" i="1"/>
  <c r="K13425" i="1"/>
  <c r="H13425" i="1"/>
  <c r="K13424" i="1"/>
  <c r="H13424" i="1"/>
  <c r="K13423" i="1"/>
  <c r="H13423" i="1"/>
  <c r="K13422" i="1"/>
  <c r="H13422" i="1"/>
  <c r="K13421" i="1"/>
  <c r="H13421" i="1"/>
  <c r="K13420" i="1"/>
  <c r="H13420" i="1"/>
  <c r="K13419" i="1"/>
  <c r="H13419" i="1"/>
  <c r="K13418" i="1"/>
  <c r="H13418" i="1"/>
  <c r="K13417" i="1"/>
  <c r="H13417" i="1"/>
  <c r="K13416" i="1"/>
  <c r="H13416" i="1"/>
  <c r="K13415" i="1"/>
  <c r="H13415" i="1"/>
  <c r="K13414" i="1"/>
  <c r="H13414" i="1"/>
  <c r="K13413" i="1"/>
  <c r="H13413" i="1"/>
  <c r="K13412" i="1"/>
  <c r="H13412" i="1"/>
  <c r="K13411" i="1"/>
  <c r="H13411" i="1"/>
  <c r="K13410" i="1"/>
  <c r="H13410" i="1"/>
  <c r="K13409" i="1"/>
  <c r="H13409" i="1"/>
  <c r="K13408" i="1"/>
  <c r="H13408" i="1"/>
  <c r="K13407" i="1"/>
  <c r="H13407" i="1"/>
  <c r="K13406" i="1"/>
  <c r="H13406" i="1"/>
  <c r="K13405" i="1"/>
  <c r="H13405" i="1"/>
  <c r="K13404" i="1"/>
  <c r="H13404" i="1"/>
  <c r="K13403" i="1"/>
  <c r="H13403" i="1"/>
  <c r="K13402" i="1"/>
  <c r="H13402" i="1"/>
  <c r="K13401" i="1"/>
  <c r="H13401" i="1"/>
  <c r="K13400" i="1"/>
  <c r="H13400" i="1"/>
  <c r="K13399" i="1"/>
  <c r="H13399" i="1"/>
  <c r="K13398" i="1"/>
  <c r="H13398" i="1"/>
  <c r="K13397" i="1"/>
  <c r="H13397" i="1"/>
  <c r="K13396" i="1"/>
  <c r="H13396" i="1"/>
  <c r="K13395" i="1"/>
  <c r="H13395" i="1"/>
  <c r="K13394" i="1"/>
  <c r="H13394" i="1"/>
  <c r="K13393" i="1"/>
  <c r="H13393" i="1"/>
  <c r="K13392" i="1"/>
  <c r="H13392" i="1"/>
  <c r="K13391" i="1"/>
  <c r="H13391" i="1"/>
  <c r="K13390" i="1"/>
  <c r="H13390" i="1"/>
  <c r="K13389" i="1"/>
  <c r="H13389" i="1"/>
  <c r="K13388" i="1"/>
  <c r="H13388" i="1"/>
  <c r="K13387" i="1"/>
  <c r="H13387" i="1"/>
  <c r="K13386" i="1"/>
  <c r="H13386" i="1"/>
  <c r="K13385" i="1"/>
  <c r="H13385" i="1"/>
  <c r="K13384" i="1"/>
  <c r="H13384" i="1"/>
  <c r="K13383" i="1"/>
  <c r="H13383" i="1"/>
  <c r="K13382" i="1"/>
  <c r="H13382" i="1"/>
  <c r="K13381" i="1"/>
  <c r="H13381" i="1"/>
  <c r="K13380" i="1"/>
  <c r="H13380" i="1"/>
  <c r="K13379" i="1"/>
  <c r="H13379" i="1"/>
  <c r="K13378" i="1"/>
  <c r="H13378" i="1"/>
  <c r="K13377" i="1"/>
  <c r="H13377" i="1"/>
  <c r="K13376" i="1"/>
  <c r="H13376" i="1"/>
  <c r="K13375" i="1"/>
  <c r="H13375" i="1"/>
  <c r="K13374" i="1"/>
  <c r="H13374" i="1"/>
  <c r="K13373" i="1"/>
  <c r="H13373" i="1"/>
  <c r="K13372" i="1"/>
  <c r="H13372" i="1"/>
  <c r="K13371" i="1"/>
  <c r="H13371" i="1"/>
  <c r="K13370" i="1"/>
  <c r="H13370" i="1"/>
  <c r="K13369" i="1"/>
  <c r="H13369" i="1"/>
  <c r="K13368" i="1"/>
  <c r="H13368" i="1"/>
  <c r="K13367" i="1"/>
  <c r="H13367" i="1"/>
  <c r="K13366" i="1"/>
  <c r="H13366" i="1"/>
  <c r="K13365" i="1"/>
  <c r="H13365" i="1"/>
  <c r="K13364" i="1"/>
  <c r="H13364" i="1"/>
  <c r="K13363" i="1"/>
  <c r="H13363" i="1"/>
  <c r="K13362" i="1"/>
  <c r="H13362" i="1"/>
  <c r="K13361" i="1"/>
  <c r="H13361" i="1"/>
  <c r="K13360" i="1"/>
  <c r="H13360" i="1"/>
  <c r="K13359" i="1"/>
  <c r="H13359" i="1"/>
  <c r="K13358" i="1"/>
  <c r="H13358" i="1"/>
  <c r="K13357" i="1"/>
  <c r="H13357" i="1"/>
  <c r="K13356" i="1"/>
  <c r="H13356" i="1"/>
  <c r="K13355" i="1"/>
  <c r="H13355" i="1"/>
  <c r="K13354" i="1"/>
  <c r="H13354" i="1"/>
  <c r="K13353" i="1"/>
  <c r="H13353" i="1"/>
  <c r="K13352" i="1"/>
  <c r="H13352" i="1"/>
  <c r="K13351" i="1"/>
  <c r="H13351" i="1"/>
  <c r="K13350" i="1"/>
  <c r="H13350" i="1"/>
  <c r="K13349" i="1"/>
  <c r="H13349" i="1"/>
  <c r="K13348" i="1"/>
  <c r="H13348" i="1"/>
  <c r="K13347" i="1"/>
  <c r="H13347" i="1"/>
  <c r="K13346" i="1"/>
  <c r="H13346" i="1"/>
  <c r="K13345" i="1"/>
  <c r="H13345" i="1"/>
  <c r="K13344" i="1"/>
  <c r="H13344" i="1"/>
  <c r="K13343" i="1"/>
  <c r="H13343" i="1"/>
  <c r="K13342" i="1"/>
  <c r="H13342" i="1"/>
  <c r="K13341" i="1"/>
  <c r="H13341" i="1"/>
  <c r="K13340" i="1"/>
  <c r="H13340" i="1"/>
  <c r="K13339" i="1"/>
  <c r="H13339" i="1"/>
  <c r="K13338" i="1"/>
  <c r="H13338" i="1"/>
  <c r="K13337" i="1"/>
  <c r="H13337" i="1"/>
  <c r="K13336" i="1"/>
  <c r="H13336" i="1"/>
  <c r="K13335" i="1"/>
  <c r="H13335" i="1"/>
  <c r="K13334" i="1"/>
  <c r="H13334" i="1"/>
  <c r="K13333" i="1"/>
  <c r="H13333" i="1"/>
  <c r="K13332" i="1"/>
  <c r="H13332" i="1"/>
  <c r="K13331" i="1"/>
  <c r="H13331" i="1"/>
  <c r="K13330" i="1"/>
  <c r="H13330" i="1"/>
  <c r="K13329" i="1"/>
  <c r="H13329" i="1"/>
  <c r="K13328" i="1"/>
  <c r="H13328" i="1"/>
  <c r="K13327" i="1"/>
  <c r="H13327" i="1"/>
  <c r="K13326" i="1"/>
  <c r="H13326" i="1"/>
  <c r="K13325" i="1"/>
  <c r="H13325" i="1"/>
  <c r="K13324" i="1"/>
  <c r="H13324" i="1"/>
  <c r="K13323" i="1"/>
  <c r="H13323" i="1"/>
  <c r="K13322" i="1"/>
  <c r="H13322" i="1"/>
  <c r="K13321" i="1"/>
  <c r="H13321" i="1"/>
  <c r="K13320" i="1"/>
  <c r="H13320" i="1"/>
  <c r="K13319" i="1"/>
  <c r="H13319" i="1"/>
  <c r="K13318" i="1"/>
  <c r="H13318" i="1"/>
  <c r="K13317" i="1"/>
  <c r="H13317" i="1"/>
  <c r="K13316" i="1"/>
  <c r="H13316" i="1"/>
  <c r="K13315" i="1"/>
  <c r="H13315" i="1"/>
  <c r="K13314" i="1"/>
  <c r="H13314" i="1"/>
  <c r="K13313" i="1"/>
  <c r="H13313" i="1"/>
  <c r="K13312" i="1"/>
  <c r="H13312" i="1"/>
  <c r="K13311" i="1"/>
  <c r="H13311" i="1"/>
  <c r="K13310" i="1"/>
  <c r="H13310" i="1"/>
  <c r="K13309" i="1"/>
  <c r="H13309" i="1"/>
  <c r="K13308" i="1"/>
  <c r="H13308" i="1"/>
  <c r="K13307" i="1"/>
  <c r="H13307" i="1"/>
  <c r="K13306" i="1"/>
  <c r="H13306" i="1"/>
  <c r="K13305" i="1"/>
  <c r="H13305" i="1"/>
  <c r="K13304" i="1"/>
  <c r="H13304" i="1"/>
  <c r="K13303" i="1"/>
  <c r="H13303" i="1"/>
  <c r="K13302" i="1"/>
  <c r="H13302" i="1"/>
  <c r="K13301" i="1"/>
  <c r="H13301" i="1"/>
  <c r="K13300" i="1"/>
  <c r="H13300" i="1"/>
  <c r="K13299" i="1"/>
  <c r="H13299" i="1"/>
  <c r="K13298" i="1"/>
  <c r="H13298" i="1"/>
  <c r="K13297" i="1"/>
  <c r="H13297" i="1"/>
  <c r="K13296" i="1"/>
  <c r="H13296" i="1"/>
  <c r="K13295" i="1"/>
  <c r="H13295" i="1"/>
  <c r="K13294" i="1"/>
  <c r="H13294" i="1"/>
  <c r="K13293" i="1"/>
  <c r="H13293" i="1"/>
  <c r="K13292" i="1"/>
  <c r="H13292" i="1"/>
  <c r="K13291" i="1"/>
  <c r="H13291" i="1"/>
  <c r="K13290" i="1"/>
  <c r="H13290" i="1"/>
  <c r="K13289" i="1"/>
  <c r="H13289" i="1"/>
  <c r="K13288" i="1"/>
  <c r="H13288" i="1"/>
  <c r="K13287" i="1"/>
  <c r="H13287" i="1"/>
  <c r="K13286" i="1"/>
  <c r="H13286" i="1"/>
  <c r="K13285" i="1"/>
  <c r="H13285" i="1"/>
  <c r="K13284" i="1"/>
  <c r="H13284" i="1"/>
  <c r="K13283" i="1"/>
  <c r="H13283" i="1"/>
  <c r="K13282" i="1"/>
  <c r="H13282" i="1"/>
  <c r="K13281" i="1"/>
  <c r="H13281" i="1"/>
  <c r="K13280" i="1"/>
  <c r="H13280" i="1"/>
  <c r="K13279" i="1"/>
  <c r="H13279" i="1"/>
  <c r="K13278" i="1"/>
  <c r="H13278" i="1"/>
  <c r="K13277" i="1"/>
  <c r="H13277" i="1"/>
  <c r="K13276" i="1"/>
  <c r="H13276" i="1"/>
  <c r="K13275" i="1"/>
  <c r="H13275" i="1"/>
  <c r="K13274" i="1"/>
  <c r="H13274" i="1"/>
  <c r="K13273" i="1"/>
  <c r="H13273" i="1"/>
  <c r="K13272" i="1"/>
  <c r="H13272" i="1"/>
  <c r="K13271" i="1"/>
  <c r="H13271" i="1"/>
  <c r="K13270" i="1"/>
  <c r="H13270" i="1"/>
  <c r="K13269" i="1"/>
  <c r="H13269" i="1"/>
  <c r="K13268" i="1"/>
  <c r="H13268" i="1"/>
  <c r="K13267" i="1"/>
  <c r="H13267" i="1"/>
  <c r="K13266" i="1"/>
  <c r="H13266" i="1"/>
  <c r="K13265" i="1"/>
  <c r="H13265" i="1"/>
  <c r="K13264" i="1"/>
  <c r="H13264" i="1"/>
  <c r="K13263" i="1"/>
  <c r="H13263" i="1"/>
  <c r="K13262" i="1"/>
  <c r="H13262" i="1"/>
  <c r="K13261" i="1"/>
  <c r="H13261" i="1"/>
  <c r="K13260" i="1"/>
  <c r="H13260" i="1"/>
  <c r="K13259" i="1"/>
  <c r="H13259" i="1"/>
  <c r="K13258" i="1"/>
  <c r="H13258" i="1"/>
  <c r="K13257" i="1"/>
  <c r="H13257" i="1"/>
  <c r="K13256" i="1"/>
  <c r="H13256" i="1"/>
  <c r="K13255" i="1"/>
  <c r="H13255" i="1"/>
  <c r="K13254" i="1"/>
  <c r="H13254" i="1"/>
  <c r="K13253" i="1"/>
  <c r="H13253" i="1"/>
  <c r="K13252" i="1"/>
  <c r="H13252" i="1"/>
  <c r="K13251" i="1"/>
  <c r="H13251" i="1"/>
  <c r="K13250" i="1"/>
  <c r="H13250" i="1"/>
  <c r="K13249" i="1"/>
  <c r="H13249" i="1"/>
  <c r="K13248" i="1"/>
  <c r="H13248" i="1"/>
  <c r="K13247" i="1"/>
  <c r="H13247" i="1"/>
  <c r="K13246" i="1"/>
  <c r="H13246" i="1"/>
  <c r="K13245" i="1"/>
  <c r="H13245" i="1"/>
  <c r="K13244" i="1"/>
  <c r="H13244" i="1"/>
  <c r="K13243" i="1"/>
  <c r="H13243" i="1"/>
  <c r="K13242" i="1"/>
  <c r="H13242" i="1"/>
  <c r="K13241" i="1"/>
  <c r="H13241" i="1"/>
  <c r="K13240" i="1"/>
  <c r="H13240" i="1"/>
  <c r="K13239" i="1"/>
  <c r="H13239" i="1"/>
  <c r="K13238" i="1"/>
  <c r="H13238" i="1"/>
  <c r="K13237" i="1"/>
  <c r="H13237" i="1"/>
  <c r="K13236" i="1"/>
  <c r="H13236" i="1"/>
  <c r="K13235" i="1"/>
  <c r="H13235" i="1"/>
  <c r="K13234" i="1"/>
  <c r="H13234" i="1"/>
  <c r="K13233" i="1"/>
  <c r="H13233" i="1"/>
  <c r="K13232" i="1"/>
  <c r="H13232" i="1"/>
  <c r="K13231" i="1"/>
  <c r="H13231" i="1"/>
  <c r="K13230" i="1"/>
  <c r="H13230" i="1"/>
  <c r="K13229" i="1"/>
  <c r="H13229" i="1"/>
  <c r="K13228" i="1"/>
  <c r="H13228" i="1"/>
  <c r="K13227" i="1"/>
  <c r="H13227" i="1"/>
  <c r="K13226" i="1"/>
  <c r="H13226" i="1"/>
  <c r="K13225" i="1"/>
  <c r="H13225" i="1"/>
  <c r="K13224" i="1"/>
  <c r="H13224" i="1"/>
  <c r="K13223" i="1"/>
  <c r="H13223" i="1"/>
  <c r="K13222" i="1"/>
  <c r="H13222" i="1"/>
  <c r="K13221" i="1"/>
  <c r="H13221" i="1"/>
  <c r="K13220" i="1"/>
  <c r="H13220" i="1"/>
  <c r="K13219" i="1"/>
  <c r="H13219" i="1"/>
  <c r="K13218" i="1"/>
  <c r="H13218" i="1"/>
  <c r="K13217" i="1"/>
  <c r="H13217" i="1"/>
  <c r="K13216" i="1"/>
  <c r="H13216" i="1"/>
  <c r="K13215" i="1"/>
  <c r="H13215" i="1"/>
  <c r="K13214" i="1"/>
  <c r="H13214" i="1"/>
  <c r="K13213" i="1"/>
  <c r="H13213" i="1"/>
  <c r="K13212" i="1"/>
  <c r="H13212" i="1"/>
  <c r="K13211" i="1"/>
  <c r="H13211" i="1"/>
  <c r="K13210" i="1"/>
  <c r="H13210" i="1"/>
  <c r="K13209" i="1"/>
  <c r="H13209" i="1"/>
  <c r="K13208" i="1"/>
  <c r="H13208" i="1"/>
  <c r="K13207" i="1"/>
  <c r="H13207" i="1"/>
  <c r="K13206" i="1"/>
  <c r="H13206" i="1"/>
  <c r="K13205" i="1"/>
  <c r="H13205" i="1"/>
  <c r="K13204" i="1"/>
  <c r="H13204" i="1"/>
  <c r="K13203" i="1"/>
  <c r="H13203" i="1"/>
  <c r="K13202" i="1"/>
  <c r="H13202" i="1"/>
  <c r="K13201" i="1"/>
  <c r="H13201" i="1"/>
  <c r="K13200" i="1"/>
  <c r="H13200" i="1"/>
  <c r="K13199" i="1"/>
  <c r="H13199" i="1"/>
  <c r="K13198" i="1"/>
  <c r="H13198" i="1"/>
  <c r="K13197" i="1"/>
  <c r="H13197" i="1"/>
  <c r="K13196" i="1"/>
  <c r="H13196" i="1"/>
  <c r="K13195" i="1"/>
  <c r="H13195" i="1"/>
  <c r="K13194" i="1"/>
  <c r="H13194" i="1"/>
  <c r="K13193" i="1"/>
  <c r="H13193" i="1"/>
  <c r="K13192" i="1"/>
  <c r="H13192" i="1"/>
  <c r="K13191" i="1"/>
  <c r="H13191" i="1"/>
  <c r="K13190" i="1"/>
  <c r="H13190" i="1"/>
  <c r="K13189" i="1"/>
  <c r="H13189" i="1"/>
  <c r="K13188" i="1"/>
  <c r="H13188" i="1"/>
  <c r="K13187" i="1"/>
  <c r="H13187" i="1"/>
  <c r="K13186" i="1"/>
  <c r="H13186" i="1"/>
  <c r="K13185" i="1"/>
  <c r="H13185" i="1"/>
  <c r="K13184" i="1"/>
  <c r="H13184" i="1"/>
  <c r="K13183" i="1"/>
  <c r="H13183" i="1"/>
  <c r="K13182" i="1"/>
  <c r="H13182" i="1"/>
  <c r="K13181" i="1"/>
  <c r="H13181" i="1"/>
  <c r="K13180" i="1"/>
  <c r="H13180" i="1"/>
  <c r="K13179" i="1"/>
  <c r="H13179" i="1"/>
  <c r="K13178" i="1"/>
  <c r="H13178" i="1"/>
  <c r="K13177" i="1"/>
  <c r="H13177" i="1"/>
  <c r="K13176" i="1"/>
  <c r="H13176" i="1"/>
  <c r="K13175" i="1"/>
  <c r="H13175" i="1"/>
  <c r="K13174" i="1"/>
  <c r="H13174" i="1"/>
  <c r="K13173" i="1"/>
  <c r="H13173" i="1"/>
  <c r="K13172" i="1"/>
  <c r="H13172" i="1"/>
  <c r="K13171" i="1"/>
  <c r="H13171" i="1"/>
  <c r="K13170" i="1"/>
  <c r="H13170" i="1"/>
  <c r="K13169" i="1"/>
  <c r="H13169" i="1"/>
  <c r="K13168" i="1"/>
  <c r="H13168" i="1"/>
  <c r="K13167" i="1"/>
  <c r="H13167" i="1"/>
  <c r="K13166" i="1"/>
  <c r="H13166" i="1"/>
  <c r="K13165" i="1"/>
  <c r="H13165" i="1"/>
  <c r="K13164" i="1"/>
  <c r="H13164" i="1"/>
  <c r="K13163" i="1"/>
  <c r="H13163" i="1"/>
  <c r="K13162" i="1"/>
  <c r="H13162" i="1"/>
  <c r="K13161" i="1"/>
  <c r="H13161" i="1"/>
  <c r="K13160" i="1"/>
  <c r="H13160" i="1"/>
  <c r="K13159" i="1"/>
  <c r="H13159" i="1"/>
  <c r="K13158" i="1"/>
  <c r="H13158" i="1"/>
  <c r="K13157" i="1"/>
  <c r="H13157" i="1"/>
  <c r="K13156" i="1"/>
  <c r="H13156" i="1"/>
  <c r="K13155" i="1"/>
  <c r="H13155" i="1"/>
  <c r="K13154" i="1"/>
  <c r="H13154" i="1"/>
  <c r="K13153" i="1"/>
  <c r="H13153" i="1"/>
  <c r="K13152" i="1"/>
  <c r="H13152" i="1"/>
  <c r="K13151" i="1"/>
  <c r="H13151" i="1"/>
  <c r="K13150" i="1"/>
  <c r="H13150" i="1"/>
  <c r="K13149" i="1"/>
  <c r="H13149" i="1"/>
  <c r="K13148" i="1"/>
  <c r="H13148" i="1"/>
  <c r="K13147" i="1"/>
  <c r="H13147" i="1"/>
  <c r="K13146" i="1"/>
  <c r="H13146" i="1"/>
  <c r="K13145" i="1"/>
  <c r="H13145" i="1"/>
  <c r="K13144" i="1"/>
  <c r="H13144" i="1"/>
  <c r="K13143" i="1"/>
  <c r="H13143" i="1"/>
  <c r="K13142" i="1"/>
  <c r="H13142" i="1"/>
  <c r="K13141" i="1"/>
  <c r="H13141" i="1"/>
  <c r="K13140" i="1"/>
  <c r="H13140" i="1"/>
  <c r="K13139" i="1"/>
  <c r="H13139" i="1"/>
  <c r="K13138" i="1"/>
  <c r="H13138" i="1"/>
  <c r="K13137" i="1"/>
  <c r="H13137" i="1"/>
  <c r="K13136" i="1"/>
  <c r="H13136" i="1"/>
  <c r="K13135" i="1"/>
  <c r="H13135" i="1"/>
  <c r="K13134" i="1"/>
  <c r="H13134" i="1"/>
  <c r="K13133" i="1"/>
  <c r="H13133" i="1"/>
  <c r="K13132" i="1"/>
  <c r="H13132" i="1"/>
  <c r="K13131" i="1"/>
  <c r="H13131" i="1"/>
  <c r="K13130" i="1"/>
  <c r="H13130" i="1"/>
  <c r="K13129" i="1"/>
  <c r="H13129" i="1"/>
  <c r="K13128" i="1"/>
  <c r="H13128" i="1"/>
  <c r="K13127" i="1"/>
  <c r="H13127" i="1"/>
  <c r="K13126" i="1"/>
  <c r="H13126" i="1"/>
  <c r="K13125" i="1"/>
  <c r="H13125" i="1"/>
  <c r="K13124" i="1"/>
  <c r="H13124" i="1"/>
  <c r="K13123" i="1"/>
  <c r="H13123" i="1"/>
  <c r="K13122" i="1"/>
  <c r="H13122" i="1"/>
  <c r="K13121" i="1"/>
  <c r="H13121" i="1"/>
  <c r="K13120" i="1"/>
  <c r="H13120" i="1"/>
  <c r="K13119" i="1"/>
  <c r="H13119" i="1"/>
  <c r="K13118" i="1"/>
  <c r="H13118" i="1"/>
  <c r="K13117" i="1"/>
  <c r="H13117" i="1"/>
  <c r="K13116" i="1"/>
  <c r="H13116" i="1"/>
  <c r="K13115" i="1"/>
  <c r="H13115" i="1"/>
  <c r="K13114" i="1"/>
  <c r="H13114" i="1"/>
  <c r="K13113" i="1"/>
  <c r="H13113" i="1"/>
  <c r="K13112" i="1"/>
  <c r="H13112" i="1"/>
  <c r="K13111" i="1"/>
  <c r="H13111" i="1"/>
  <c r="K13110" i="1"/>
  <c r="H13110" i="1"/>
  <c r="K13109" i="1"/>
  <c r="H13109" i="1"/>
  <c r="K13108" i="1"/>
  <c r="H13108" i="1"/>
  <c r="K13107" i="1"/>
  <c r="H13107" i="1"/>
  <c r="K13106" i="1"/>
  <c r="H13106" i="1"/>
  <c r="K13105" i="1"/>
  <c r="H13105" i="1"/>
  <c r="K13104" i="1"/>
  <c r="H13104" i="1"/>
  <c r="K13103" i="1"/>
  <c r="H13103" i="1"/>
  <c r="K13102" i="1"/>
  <c r="H13102" i="1"/>
  <c r="K13101" i="1"/>
  <c r="H13101" i="1"/>
  <c r="K13100" i="1"/>
  <c r="H13100" i="1"/>
  <c r="K13099" i="1"/>
  <c r="H13099" i="1"/>
  <c r="K13098" i="1"/>
  <c r="H13098" i="1"/>
  <c r="K13097" i="1"/>
  <c r="H13097" i="1"/>
  <c r="K13096" i="1"/>
  <c r="H13096" i="1"/>
  <c r="K13095" i="1"/>
  <c r="H13095" i="1"/>
  <c r="K13094" i="1"/>
  <c r="H13094" i="1"/>
  <c r="K13093" i="1"/>
  <c r="H13093" i="1"/>
  <c r="K13092" i="1"/>
  <c r="H13092" i="1"/>
  <c r="K13091" i="1"/>
  <c r="H13091" i="1"/>
  <c r="K13090" i="1"/>
  <c r="H13090" i="1"/>
  <c r="K13089" i="1"/>
  <c r="H13089" i="1"/>
  <c r="K13088" i="1"/>
  <c r="H13088" i="1"/>
  <c r="K13087" i="1"/>
  <c r="H13087" i="1"/>
  <c r="K13086" i="1"/>
  <c r="H13086" i="1"/>
  <c r="K13085" i="1"/>
  <c r="H13085" i="1"/>
  <c r="K13084" i="1"/>
  <c r="H13084" i="1"/>
  <c r="K13083" i="1"/>
  <c r="H13083" i="1"/>
  <c r="K13082" i="1"/>
  <c r="H13082" i="1"/>
  <c r="K13081" i="1"/>
  <c r="H13081" i="1"/>
  <c r="K13080" i="1"/>
  <c r="H13080" i="1"/>
  <c r="K13079" i="1"/>
  <c r="H13079" i="1"/>
  <c r="K13078" i="1"/>
  <c r="H13078" i="1"/>
  <c r="K13077" i="1"/>
  <c r="H13077" i="1"/>
  <c r="K13076" i="1"/>
  <c r="H13076" i="1"/>
  <c r="K13075" i="1"/>
  <c r="H13075" i="1"/>
  <c r="K13074" i="1"/>
  <c r="H13074" i="1"/>
  <c r="K13073" i="1"/>
  <c r="H13073" i="1"/>
  <c r="K13072" i="1"/>
  <c r="H13072" i="1"/>
  <c r="K13071" i="1"/>
  <c r="H13071" i="1"/>
  <c r="K13070" i="1"/>
  <c r="H13070" i="1"/>
  <c r="K13069" i="1"/>
  <c r="H13069" i="1"/>
  <c r="K13068" i="1"/>
  <c r="H13068" i="1"/>
  <c r="K13067" i="1"/>
  <c r="H13067" i="1"/>
  <c r="K13066" i="1"/>
  <c r="H13066" i="1"/>
  <c r="K13065" i="1"/>
  <c r="H13065" i="1"/>
  <c r="K13064" i="1"/>
  <c r="H13064" i="1"/>
  <c r="K13063" i="1"/>
  <c r="H13063" i="1"/>
  <c r="K13062" i="1"/>
  <c r="H13062" i="1"/>
  <c r="K13061" i="1"/>
  <c r="H13061" i="1"/>
  <c r="K13060" i="1"/>
  <c r="H13060" i="1"/>
  <c r="K13059" i="1"/>
  <c r="H13059" i="1"/>
  <c r="K13058" i="1"/>
  <c r="H13058" i="1"/>
  <c r="K13057" i="1"/>
  <c r="H13057" i="1"/>
  <c r="K13056" i="1"/>
  <c r="H13056" i="1"/>
  <c r="K13055" i="1"/>
  <c r="H13055" i="1"/>
  <c r="K13054" i="1"/>
  <c r="H13054" i="1"/>
  <c r="K13053" i="1"/>
  <c r="H13053" i="1"/>
  <c r="K13052" i="1"/>
  <c r="H13052" i="1"/>
  <c r="K13051" i="1"/>
  <c r="H13051" i="1"/>
  <c r="K13050" i="1"/>
  <c r="H13050" i="1"/>
  <c r="K13049" i="1"/>
  <c r="H13049" i="1"/>
  <c r="K13048" i="1"/>
  <c r="H13048" i="1"/>
  <c r="K13047" i="1"/>
  <c r="H13047" i="1"/>
  <c r="K13046" i="1"/>
  <c r="H13046" i="1"/>
  <c r="K13045" i="1"/>
  <c r="H13045" i="1"/>
  <c r="K13044" i="1"/>
  <c r="H13044" i="1"/>
  <c r="K13043" i="1"/>
  <c r="H13043" i="1"/>
  <c r="K13042" i="1"/>
  <c r="H13042" i="1"/>
  <c r="K13041" i="1"/>
  <c r="H13041" i="1"/>
  <c r="K13040" i="1"/>
  <c r="H13040" i="1"/>
  <c r="K13039" i="1"/>
  <c r="H13039" i="1"/>
  <c r="K13038" i="1"/>
  <c r="H13038" i="1"/>
  <c r="K13037" i="1"/>
  <c r="H13037" i="1"/>
  <c r="K13036" i="1"/>
  <c r="H13036" i="1"/>
  <c r="K13035" i="1"/>
  <c r="H13035" i="1"/>
  <c r="K13034" i="1"/>
  <c r="H13034" i="1"/>
  <c r="K13033" i="1"/>
  <c r="H13033" i="1"/>
  <c r="K13032" i="1"/>
  <c r="H13032" i="1"/>
  <c r="K13031" i="1"/>
  <c r="H13031" i="1"/>
  <c r="K13030" i="1"/>
  <c r="H13030" i="1"/>
  <c r="K13029" i="1"/>
  <c r="H13029" i="1"/>
  <c r="K13028" i="1"/>
  <c r="H13028" i="1"/>
  <c r="K13027" i="1"/>
  <c r="H13027" i="1"/>
  <c r="K13026" i="1"/>
  <c r="H13026" i="1"/>
  <c r="K13025" i="1"/>
  <c r="H13025" i="1"/>
  <c r="K13024" i="1"/>
  <c r="H13024" i="1"/>
  <c r="K13023" i="1"/>
  <c r="H13023" i="1"/>
  <c r="K13022" i="1"/>
  <c r="H13022" i="1"/>
  <c r="K13021" i="1"/>
  <c r="H13021" i="1"/>
  <c r="K13020" i="1"/>
  <c r="H13020" i="1"/>
  <c r="K13019" i="1"/>
  <c r="H13019" i="1"/>
  <c r="K13018" i="1"/>
  <c r="H13018" i="1"/>
  <c r="K13017" i="1"/>
  <c r="H13017" i="1"/>
  <c r="K13016" i="1"/>
  <c r="H13016" i="1"/>
  <c r="K13015" i="1"/>
  <c r="H13015" i="1"/>
  <c r="K13014" i="1"/>
  <c r="H13014" i="1"/>
  <c r="K13013" i="1"/>
  <c r="H13013" i="1"/>
  <c r="K13012" i="1"/>
  <c r="H13012" i="1"/>
  <c r="K13011" i="1"/>
  <c r="H13011" i="1"/>
  <c r="K13010" i="1"/>
  <c r="H13010" i="1"/>
  <c r="K13009" i="1"/>
  <c r="H13009" i="1"/>
  <c r="K13008" i="1"/>
  <c r="H13008" i="1"/>
  <c r="K13007" i="1"/>
  <c r="H13007" i="1"/>
  <c r="K13006" i="1"/>
  <c r="H13006" i="1"/>
  <c r="K13005" i="1"/>
  <c r="H13005" i="1"/>
  <c r="K13004" i="1"/>
  <c r="H13004" i="1"/>
  <c r="K13003" i="1"/>
  <c r="H13003" i="1"/>
  <c r="K13002" i="1"/>
  <c r="H13002" i="1"/>
  <c r="K13001" i="1"/>
  <c r="H13001" i="1"/>
  <c r="K13000" i="1"/>
  <c r="H13000" i="1"/>
  <c r="K12999" i="1"/>
  <c r="H12999" i="1"/>
  <c r="K12998" i="1"/>
  <c r="H12998" i="1"/>
  <c r="K12997" i="1"/>
  <c r="H12997" i="1"/>
  <c r="K12996" i="1"/>
  <c r="H12996" i="1"/>
  <c r="K12995" i="1"/>
  <c r="H12995" i="1"/>
  <c r="K12994" i="1"/>
  <c r="H12994" i="1"/>
  <c r="K12993" i="1"/>
  <c r="H12993" i="1"/>
  <c r="K12992" i="1"/>
  <c r="H12992" i="1"/>
  <c r="K12991" i="1"/>
  <c r="H12991" i="1"/>
  <c r="K12990" i="1"/>
  <c r="H12990" i="1"/>
  <c r="K12989" i="1"/>
  <c r="H12989" i="1"/>
  <c r="K12988" i="1"/>
  <c r="H12988" i="1"/>
  <c r="K12987" i="1"/>
  <c r="H12987" i="1"/>
  <c r="K12986" i="1"/>
  <c r="H12986" i="1"/>
  <c r="K12985" i="1"/>
  <c r="H12985" i="1"/>
  <c r="K12984" i="1"/>
  <c r="H12984" i="1"/>
  <c r="K12983" i="1"/>
  <c r="H12983" i="1"/>
  <c r="K12982" i="1"/>
  <c r="H12982" i="1"/>
  <c r="K12981" i="1"/>
  <c r="H12981" i="1"/>
  <c r="K12980" i="1"/>
  <c r="H12980" i="1"/>
  <c r="K12979" i="1"/>
  <c r="H12979" i="1"/>
  <c r="K12978" i="1"/>
  <c r="H12978" i="1"/>
  <c r="K12977" i="1"/>
  <c r="H12977" i="1"/>
  <c r="K12976" i="1"/>
  <c r="H12976" i="1"/>
  <c r="K12975" i="1"/>
  <c r="H12975" i="1"/>
  <c r="K12974" i="1"/>
  <c r="H12974" i="1"/>
  <c r="K12973" i="1"/>
  <c r="H12973" i="1"/>
  <c r="K12972" i="1"/>
  <c r="H12972" i="1"/>
  <c r="K12971" i="1"/>
  <c r="H12971" i="1"/>
  <c r="K12970" i="1"/>
  <c r="H12970" i="1"/>
  <c r="K12969" i="1"/>
  <c r="H12969" i="1"/>
  <c r="K12968" i="1"/>
  <c r="H12968" i="1"/>
  <c r="K12967" i="1"/>
  <c r="H12967" i="1"/>
  <c r="K12966" i="1"/>
  <c r="H12966" i="1"/>
  <c r="K12965" i="1"/>
  <c r="H12965" i="1"/>
  <c r="K12964" i="1"/>
  <c r="H12964" i="1"/>
  <c r="K12963" i="1"/>
  <c r="H12963" i="1"/>
  <c r="K12962" i="1"/>
  <c r="H12962" i="1"/>
  <c r="K12961" i="1"/>
  <c r="H12961" i="1"/>
  <c r="K12960" i="1"/>
  <c r="H12960" i="1"/>
  <c r="K12959" i="1"/>
  <c r="H12959" i="1"/>
  <c r="K12958" i="1"/>
  <c r="H12958" i="1"/>
  <c r="K12957" i="1"/>
  <c r="H12957" i="1"/>
  <c r="K12956" i="1"/>
  <c r="H12956" i="1"/>
  <c r="K12955" i="1"/>
  <c r="H12955" i="1"/>
  <c r="K12954" i="1"/>
  <c r="H12954" i="1"/>
  <c r="K12953" i="1"/>
  <c r="H12953" i="1"/>
  <c r="K12952" i="1"/>
  <c r="H12952" i="1"/>
  <c r="K12951" i="1"/>
  <c r="H12951" i="1"/>
  <c r="K12950" i="1"/>
  <c r="H12950" i="1"/>
  <c r="K12949" i="1"/>
  <c r="H12949" i="1"/>
  <c r="K12948" i="1"/>
  <c r="H12948" i="1"/>
  <c r="K12947" i="1"/>
  <c r="H12947" i="1"/>
  <c r="K12946" i="1"/>
  <c r="H12946" i="1"/>
  <c r="K12945" i="1"/>
  <c r="H12945" i="1"/>
  <c r="K12944" i="1"/>
  <c r="H12944" i="1"/>
  <c r="K12943" i="1"/>
  <c r="H12943" i="1"/>
  <c r="K12942" i="1"/>
  <c r="H12942" i="1"/>
  <c r="K12941" i="1"/>
  <c r="H12941" i="1"/>
  <c r="K12940" i="1"/>
  <c r="H12940" i="1"/>
  <c r="K12939" i="1"/>
  <c r="H12939" i="1"/>
  <c r="K12938" i="1"/>
  <c r="H12938" i="1"/>
  <c r="K12937" i="1"/>
  <c r="H12937" i="1"/>
  <c r="K12936" i="1"/>
  <c r="H12936" i="1"/>
  <c r="K12935" i="1"/>
  <c r="H12935" i="1"/>
  <c r="K12934" i="1"/>
  <c r="H12934" i="1"/>
  <c r="K12933" i="1"/>
  <c r="H12933" i="1"/>
  <c r="K12932" i="1"/>
  <c r="H12932" i="1"/>
  <c r="K12931" i="1"/>
  <c r="H12931" i="1"/>
  <c r="K12930" i="1"/>
  <c r="H12930" i="1"/>
  <c r="K12929" i="1"/>
  <c r="H12929" i="1"/>
  <c r="K12928" i="1"/>
  <c r="H12928" i="1"/>
  <c r="K12927" i="1"/>
  <c r="H12927" i="1"/>
  <c r="K12926" i="1"/>
  <c r="H12926" i="1"/>
  <c r="K12925" i="1"/>
  <c r="H12925" i="1"/>
  <c r="K12924" i="1"/>
  <c r="H12924" i="1"/>
  <c r="K12923" i="1"/>
  <c r="H12923" i="1"/>
  <c r="K12922" i="1"/>
  <c r="H12922" i="1"/>
  <c r="K12921" i="1"/>
  <c r="H12921" i="1"/>
  <c r="K12920" i="1"/>
  <c r="H12920" i="1"/>
  <c r="K12919" i="1"/>
  <c r="H12919" i="1"/>
  <c r="K12918" i="1"/>
  <c r="H12918" i="1"/>
  <c r="K12917" i="1"/>
  <c r="H12917" i="1"/>
  <c r="K12916" i="1"/>
  <c r="H12916" i="1"/>
  <c r="K12915" i="1"/>
  <c r="H12915" i="1"/>
  <c r="K12914" i="1"/>
  <c r="H12914" i="1"/>
  <c r="K12913" i="1"/>
  <c r="H12913" i="1"/>
  <c r="K12912" i="1"/>
  <c r="H12912" i="1"/>
  <c r="K12911" i="1"/>
  <c r="H12911" i="1"/>
  <c r="K12910" i="1"/>
  <c r="H12910" i="1"/>
  <c r="K12909" i="1"/>
  <c r="H12909" i="1"/>
  <c r="K12908" i="1"/>
  <c r="H12908" i="1"/>
  <c r="K12907" i="1"/>
  <c r="H12907" i="1"/>
  <c r="K12906" i="1"/>
  <c r="H12906" i="1"/>
  <c r="K12905" i="1"/>
  <c r="H12905" i="1"/>
  <c r="K12904" i="1"/>
  <c r="H12904" i="1"/>
  <c r="K12903" i="1"/>
  <c r="H12903" i="1"/>
  <c r="K12902" i="1"/>
  <c r="H12902" i="1"/>
  <c r="K12901" i="1"/>
  <c r="H12901" i="1"/>
  <c r="K12900" i="1"/>
  <c r="H12900" i="1"/>
  <c r="K12899" i="1"/>
  <c r="H12899" i="1"/>
  <c r="K12898" i="1"/>
  <c r="H12898" i="1"/>
  <c r="K12897" i="1"/>
  <c r="H12897" i="1"/>
  <c r="K12896" i="1"/>
  <c r="H12896" i="1"/>
  <c r="K12895" i="1"/>
  <c r="H12895" i="1"/>
  <c r="K12894" i="1"/>
  <c r="H12894" i="1"/>
  <c r="K12893" i="1"/>
  <c r="H12893" i="1"/>
  <c r="K12892" i="1"/>
  <c r="H12892" i="1"/>
  <c r="K12891" i="1"/>
  <c r="H12891" i="1"/>
  <c r="K12890" i="1"/>
  <c r="H12890" i="1"/>
  <c r="K12889" i="1"/>
  <c r="H12889" i="1"/>
  <c r="K12888" i="1"/>
  <c r="H12888" i="1"/>
  <c r="K12887" i="1"/>
  <c r="H12887" i="1"/>
  <c r="K12886" i="1"/>
  <c r="H12886" i="1"/>
  <c r="K12885" i="1"/>
  <c r="H12885" i="1"/>
  <c r="K12884" i="1"/>
  <c r="H12884" i="1"/>
  <c r="K12883" i="1"/>
  <c r="H12883" i="1"/>
  <c r="K12882" i="1"/>
  <c r="H12882" i="1"/>
  <c r="K12881" i="1"/>
  <c r="H12881" i="1"/>
  <c r="K12880" i="1"/>
  <c r="H12880" i="1"/>
  <c r="K12879" i="1"/>
  <c r="H12879" i="1"/>
  <c r="K12878" i="1"/>
  <c r="H12878" i="1"/>
  <c r="K12877" i="1"/>
  <c r="H12877" i="1"/>
  <c r="K12876" i="1"/>
  <c r="H12876" i="1"/>
  <c r="K12875" i="1"/>
  <c r="H12875" i="1"/>
  <c r="K12874" i="1"/>
  <c r="H12874" i="1"/>
  <c r="K12873" i="1"/>
  <c r="H12873" i="1"/>
  <c r="K12872" i="1"/>
  <c r="H12872" i="1"/>
  <c r="K12871" i="1"/>
  <c r="H12871" i="1"/>
  <c r="K12870" i="1"/>
  <c r="H12870" i="1"/>
  <c r="K12869" i="1"/>
  <c r="H12869" i="1"/>
  <c r="K12868" i="1"/>
  <c r="H12868" i="1"/>
  <c r="K12867" i="1"/>
  <c r="H12867" i="1"/>
  <c r="K12866" i="1"/>
  <c r="H12866" i="1"/>
  <c r="K12865" i="1"/>
  <c r="H12865" i="1"/>
  <c r="K12864" i="1"/>
  <c r="H12864" i="1"/>
  <c r="K12863" i="1"/>
  <c r="H12863" i="1"/>
  <c r="K12862" i="1"/>
  <c r="H12862" i="1"/>
  <c r="K12861" i="1"/>
  <c r="H12861" i="1"/>
  <c r="K12860" i="1"/>
  <c r="H12860" i="1"/>
  <c r="K12859" i="1"/>
  <c r="H12859" i="1"/>
  <c r="K12858" i="1"/>
  <c r="H12858" i="1"/>
  <c r="K12857" i="1"/>
  <c r="H12857" i="1"/>
  <c r="K12856" i="1"/>
  <c r="H12856" i="1"/>
  <c r="K12855" i="1"/>
  <c r="H12855" i="1"/>
  <c r="K12854" i="1"/>
  <c r="H12854" i="1"/>
  <c r="K12853" i="1"/>
  <c r="H12853" i="1"/>
  <c r="K12852" i="1"/>
  <c r="H12852" i="1"/>
  <c r="K12851" i="1"/>
  <c r="H12851" i="1"/>
  <c r="K12850" i="1"/>
  <c r="H12850" i="1"/>
  <c r="K12849" i="1"/>
  <c r="H12849" i="1"/>
  <c r="K12848" i="1"/>
  <c r="H12848" i="1"/>
  <c r="K12847" i="1"/>
  <c r="H12847" i="1"/>
  <c r="K12846" i="1"/>
  <c r="H12846" i="1"/>
  <c r="K12845" i="1"/>
  <c r="H12845" i="1"/>
  <c r="K12844" i="1"/>
  <c r="H12844" i="1"/>
  <c r="K12843" i="1"/>
  <c r="H12843" i="1"/>
  <c r="K12842" i="1"/>
  <c r="H12842" i="1"/>
  <c r="K12841" i="1"/>
  <c r="H12841" i="1"/>
  <c r="K12840" i="1"/>
  <c r="H12840" i="1"/>
  <c r="K12839" i="1"/>
  <c r="H12839" i="1"/>
  <c r="K12838" i="1"/>
  <c r="H12838" i="1"/>
  <c r="K12837" i="1"/>
  <c r="H12837" i="1"/>
  <c r="K12836" i="1"/>
  <c r="H12836" i="1"/>
  <c r="K12835" i="1"/>
  <c r="H12835" i="1"/>
  <c r="K12834" i="1"/>
  <c r="H12834" i="1"/>
  <c r="K12833" i="1"/>
  <c r="H12833" i="1"/>
  <c r="K12832" i="1"/>
  <c r="H12832" i="1"/>
  <c r="K12831" i="1"/>
  <c r="H12831" i="1"/>
  <c r="K12830" i="1"/>
  <c r="H12830" i="1"/>
  <c r="K12829" i="1"/>
  <c r="H12829" i="1"/>
  <c r="K12828" i="1"/>
  <c r="H12828" i="1"/>
  <c r="K12827" i="1"/>
  <c r="H12827" i="1"/>
  <c r="K12826" i="1"/>
  <c r="H12826" i="1"/>
  <c r="K12825" i="1"/>
  <c r="H12825" i="1"/>
  <c r="K12824" i="1"/>
  <c r="H12824" i="1"/>
  <c r="K12823" i="1"/>
  <c r="H12823" i="1"/>
  <c r="K12822" i="1"/>
  <c r="H12822" i="1"/>
  <c r="K12821" i="1"/>
  <c r="H12821" i="1"/>
  <c r="K12820" i="1"/>
  <c r="H12820" i="1"/>
  <c r="K12819" i="1"/>
  <c r="H12819" i="1"/>
  <c r="K12818" i="1"/>
  <c r="H12818" i="1"/>
  <c r="K12817" i="1"/>
  <c r="H12817" i="1"/>
  <c r="K12816" i="1"/>
  <c r="H12816" i="1"/>
  <c r="K12815" i="1"/>
  <c r="H12815" i="1"/>
  <c r="K12814" i="1"/>
  <c r="H12814" i="1"/>
  <c r="K12813" i="1"/>
  <c r="H12813" i="1"/>
  <c r="K12812" i="1"/>
  <c r="H12812" i="1"/>
  <c r="K12811" i="1"/>
  <c r="H12811" i="1"/>
  <c r="K12810" i="1"/>
  <c r="H12810" i="1"/>
  <c r="K12809" i="1"/>
  <c r="H12809" i="1"/>
  <c r="K12808" i="1"/>
  <c r="H12808" i="1"/>
  <c r="K12807" i="1"/>
  <c r="H12807" i="1"/>
  <c r="K12806" i="1"/>
  <c r="H12806" i="1"/>
  <c r="K12805" i="1"/>
  <c r="H12805" i="1"/>
  <c r="K12804" i="1"/>
  <c r="H12804" i="1"/>
  <c r="K12803" i="1"/>
  <c r="H12803" i="1"/>
  <c r="K12802" i="1"/>
  <c r="H12802" i="1"/>
  <c r="K12801" i="1"/>
  <c r="H12801" i="1"/>
  <c r="K12800" i="1"/>
  <c r="H12800" i="1"/>
  <c r="K12799" i="1"/>
  <c r="H12799" i="1"/>
  <c r="K12798" i="1"/>
  <c r="H12798" i="1"/>
  <c r="K12797" i="1"/>
  <c r="H12797" i="1"/>
  <c r="K12796" i="1"/>
  <c r="H12796" i="1"/>
  <c r="K12795" i="1"/>
  <c r="H12795" i="1"/>
  <c r="K12794" i="1"/>
  <c r="H12794" i="1"/>
  <c r="K12793" i="1"/>
  <c r="H12793" i="1"/>
  <c r="K12792" i="1"/>
  <c r="H12792" i="1"/>
  <c r="K12791" i="1"/>
  <c r="H12791" i="1"/>
  <c r="K12790" i="1"/>
  <c r="H12790" i="1"/>
  <c r="K12789" i="1"/>
  <c r="H12789" i="1"/>
  <c r="K12788" i="1"/>
  <c r="H12788" i="1"/>
  <c r="K12787" i="1"/>
  <c r="H12787" i="1"/>
  <c r="K12786" i="1"/>
  <c r="H12786" i="1"/>
  <c r="K12785" i="1"/>
  <c r="H12785" i="1"/>
  <c r="K12784" i="1"/>
  <c r="H12784" i="1"/>
  <c r="K12783" i="1"/>
  <c r="H12783" i="1"/>
  <c r="K12782" i="1"/>
  <c r="H12782" i="1"/>
  <c r="K12781" i="1"/>
  <c r="H12781" i="1"/>
  <c r="K12780" i="1"/>
  <c r="H12780" i="1"/>
  <c r="K12779" i="1"/>
  <c r="H12779" i="1"/>
  <c r="K12778" i="1"/>
  <c r="H12778" i="1"/>
  <c r="K12777" i="1"/>
  <c r="H12777" i="1"/>
  <c r="K12776" i="1"/>
  <c r="H12776" i="1"/>
  <c r="K12775" i="1"/>
  <c r="H12775" i="1"/>
  <c r="K12774" i="1"/>
  <c r="H12774" i="1"/>
  <c r="K12773" i="1"/>
  <c r="H12773" i="1"/>
  <c r="K12772" i="1"/>
  <c r="H12772" i="1"/>
  <c r="K12771" i="1"/>
  <c r="H12771" i="1"/>
  <c r="K12770" i="1"/>
  <c r="H12770" i="1"/>
  <c r="K12769" i="1"/>
  <c r="H12769" i="1"/>
  <c r="K12768" i="1"/>
  <c r="H12768" i="1"/>
  <c r="K12767" i="1"/>
  <c r="H12767" i="1"/>
  <c r="K12766" i="1"/>
  <c r="H12766" i="1"/>
  <c r="K12765" i="1"/>
  <c r="H12765" i="1"/>
  <c r="K12764" i="1"/>
  <c r="H12764" i="1"/>
  <c r="K12763" i="1"/>
  <c r="H12763" i="1"/>
  <c r="K12762" i="1"/>
  <c r="H12762" i="1"/>
  <c r="K12761" i="1"/>
  <c r="H12761" i="1"/>
  <c r="K12760" i="1"/>
  <c r="H12760" i="1"/>
  <c r="K12759" i="1"/>
  <c r="H12759" i="1"/>
  <c r="K12758" i="1"/>
  <c r="H12758" i="1"/>
  <c r="K12757" i="1"/>
  <c r="H12757" i="1"/>
  <c r="K12756" i="1"/>
  <c r="H12756" i="1"/>
  <c r="K12755" i="1"/>
  <c r="H12755" i="1"/>
  <c r="K12754" i="1"/>
  <c r="H12754" i="1"/>
  <c r="K12753" i="1"/>
  <c r="H12753" i="1"/>
  <c r="K12752" i="1"/>
  <c r="H12752" i="1"/>
  <c r="K12751" i="1"/>
  <c r="H12751" i="1"/>
  <c r="K12750" i="1"/>
  <c r="H12750" i="1"/>
  <c r="K12749" i="1"/>
  <c r="H12749" i="1"/>
  <c r="K12748" i="1"/>
  <c r="H12748" i="1"/>
  <c r="K12747" i="1"/>
  <c r="H12747" i="1"/>
  <c r="K12746" i="1"/>
  <c r="H12746" i="1"/>
  <c r="K12745" i="1"/>
  <c r="H12745" i="1"/>
  <c r="K12744" i="1"/>
  <c r="H12744" i="1"/>
  <c r="K12743" i="1"/>
  <c r="H12743" i="1"/>
  <c r="K12742" i="1"/>
  <c r="H12742" i="1"/>
  <c r="K12741" i="1"/>
  <c r="H12741" i="1"/>
  <c r="K12740" i="1"/>
  <c r="H12740" i="1"/>
  <c r="K12739" i="1"/>
  <c r="H12739" i="1"/>
  <c r="K12738" i="1"/>
  <c r="H12738" i="1"/>
  <c r="K12737" i="1"/>
  <c r="H12737" i="1"/>
  <c r="K12736" i="1"/>
  <c r="H12736" i="1"/>
  <c r="K12735" i="1"/>
  <c r="H12735" i="1"/>
  <c r="K12734" i="1"/>
  <c r="H12734" i="1"/>
  <c r="K12733" i="1"/>
  <c r="H12733" i="1"/>
  <c r="K12732" i="1"/>
  <c r="H12732" i="1"/>
  <c r="K12731" i="1"/>
  <c r="H12731" i="1"/>
  <c r="K12730" i="1"/>
  <c r="H12730" i="1"/>
  <c r="K12729" i="1"/>
  <c r="H12729" i="1"/>
  <c r="K12728" i="1"/>
  <c r="H12728" i="1"/>
  <c r="K12727" i="1"/>
  <c r="H12727" i="1"/>
  <c r="K12726" i="1"/>
  <c r="H12726" i="1"/>
  <c r="K12725" i="1"/>
  <c r="H12725" i="1"/>
  <c r="K12724" i="1"/>
  <c r="H12724" i="1"/>
  <c r="K12723" i="1"/>
  <c r="H12723" i="1"/>
  <c r="K12722" i="1"/>
  <c r="H12722" i="1"/>
  <c r="K12721" i="1"/>
  <c r="H12721" i="1"/>
  <c r="K12720" i="1"/>
  <c r="H12720" i="1"/>
  <c r="K12719" i="1"/>
  <c r="H12719" i="1"/>
  <c r="K12718" i="1"/>
  <c r="H12718" i="1"/>
  <c r="K12717" i="1"/>
  <c r="H12717" i="1"/>
  <c r="K12716" i="1"/>
  <c r="H12716" i="1"/>
  <c r="K12715" i="1"/>
  <c r="H12715" i="1"/>
  <c r="K12714" i="1"/>
  <c r="H12714" i="1"/>
  <c r="K12713" i="1"/>
  <c r="H12713" i="1"/>
  <c r="K12712" i="1"/>
  <c r="H12712" i="1"/>
  <c r="K12711" i="1"/>
  <c r="H12711" i="1"/>
  <c r="K12710" i="1"/>
  <c r="H12710" i="1"/>
  <c r="K12709" i="1"/>
  <c r="H12709" i="1"/>
  <c r="K12708" i="1"/>
  <c r="H12708" i="1"/>
  <c r="K12707" i="1"/>
  <c r="H12707" i="1"/>
  <c r="K12706" i="1"/>
  <c r="H12706" i="1"/>
  <c r="K12705" i="1"/>
  <c r="H12705" i="1"/>
  <c r="K12704" i="1"/>
  <c r="H12704" i="1"/>
  <c r="K12703" i="1"/>
  <c r="H12703" i="1"/>
  <c r="K12702" i="1"/>
  <c r="H12702" i="1"/>
  <c r="K12701" i="1"/>
  <c r="H12701" i="1"/>
  <c r="K12700" i="1"/>
  <c r="H12700" i="1"/>
  <c r="K12699" i="1"/>
  <c r="H12699" i="1"/>
  <c r="K12698" i="1"/>
  <c r="H12698" i="1"/>
  <c r="K12697" i="1"/>
  <c r="H12697" i="1"/>
  <c r="K12696" i="1"/>
  <c r="H12696" i="1"/>
  <c r="K12695" i="1"/>
  <c r="H12695" i="1"/>
  <c r="K12694" i="1"/>
  <c r="H12694" i="1"/>
  <c r="K12693" i="1"/>
  <c r="H12693" i="1"/>
  <c r="K12692" i="1"/>
  <c r="H12692" i="1"/>
  <c r="K12691" i="1"/>
  <c r="H12691" i="1"/>
  <c r="K12690" i="1"/>
  <c r="H12690" i="1"/>
  <c r="K12689" i="1"/>
  <c r="H12689" i="1"/>
  <c r="K12688" i="1"/>
  <c r="H12688" i="1"/>
  <c r="K12687" i="1"/>
  <c r="H12687" i="1"/>
  <c r="K12686" i="1"/>
  <c r="H12686" i="1"/>
  <c r="K12685" i="1"/>
  <c r="H12685" i="1"/>
  <c r="K12684" i="1"/>
  <c r="H12684" i="1"/>
  <c r="K12683" i="1"/>
  <c r="H12683" i="1"/>
  <c r="K12682" i="1"/>
  <c r="H12682" i="1"/>
  <c r="K12681" i="1"/>
  <c r="H12681" i="1"/>
  <c r="K12680" i="1"/>
  <c r="H12680" i="1"/>
  <c r="K12679" i="1"/>
  <c r="H12679" i="1"/>
  <c r="K12678" i="1"/>
  <c r="H12678" i="1"/>
  <c r="K12677" i="1"/>
  <c r="H12677" i="1"/>
  <c r="K12676" i="1"/>
  <c r="H12676" i="1"/>
  <c r="K12675" i="1"/>
  <c r="H12675" i="1"/>
  <c r="K12674" i="1"/>
  <c r="H12674" i="1"/>
  <c r="K12673" i="1"/>
  <c r="H12673" i="1"/>
  <c r="K12672" i="1"/>
  <c r="H12672" i="1"/>
  <c r="K12671" i="1"/>
  <c r="H12671" i="1"/>
  <c r="K12670" i="1"/>
  <c r="H12670" i="1"/>
  <c r="K12669" i="1"/>
  <c r="H12669" i="1"/>
  <c r="K12668" i="1"/>
  <c r="H12668" i="1"/>
  <c r="K12667" i="1"/>
  <c r="H12667" i="1"/>
  <c r="K12666" i="1"/>
  <c r="H12666" i="1"/>
  <c r="K12665" i="1"/>
  <c r="H12665" i="1"/>
  <c r="K12664" i="1"/>
  <c r="H12664" i="1"/>
  <c r="K12663" i="1"/>
  <c r="H12663" i="1"/>
  <c r="K12662" i="1"/>
  <c r="H12662" i="1"/>
  <c r="K12661" i="1"/>
  <c r="H12661" i="1"/>
  <c r="K12660" i="1"/>
  <c r="H12660" i="1"/>
  <c r="K12659" i="1"/>
  <c r="H12659" i="1"/>
  <c r="K12658" i="1"/>
  <c r="H12658" i="1"/>
  <c r="K12657" i="1"/>
  <c r="H12657" i="1"/>
  <c r="K12656" i="1"/>
  <c r="H12656" i="1"/>
  <c r="K12655" i="1"/>
  <c r="H12655" i="1"/>
  <c r="K12654" i="1"/>
  <c r="H12654" i="1"/>
  <c r="K12653" i="1"/>
  <c r="H12653" i="1"/>
  <c r="K12652" i="1"/>
  <c r="H12652" i="1"/>
  <c r="K12651" i="1"/>
  <c r="H12651" i="1"/>
  <c r="K12650" i="1"/>
  <c r="H12650" i="1"/>
  <c r="K12649" i="1"/>
  <c r="H12649" i="1"/>
  <c r="K12648" i="1"/>
  <c r="H12648" i="1"/>
  <c r="K12647" i="1"/>
  <c r="H12647" i="1"/>
  <c r="K12646" i="1"/>
  <c r="H12646" i="1"/>
  <c r="K12645" i="1"/>
  <c r="H12645" i="1"/>
  <c r="K12644" i="1"/>
  <c r="H12644" i="1"/>
  <c r="K12643" i="1"/>
  <c r="H12643" i="1"/>
  <c r="K12642" i="1"/>
  <c r="H12642" i="1"/>
  <c r="K12641" i="1"/>
  <c r="H12641" i="1"/>
  <c r="K12640" i="1"/>
  <c r="H12640" i="1"/>
  <c r="K12639" i="1"/>
  <c r="H12639" i="1"/>
  <c r="K12638" i="1"/>
  <c r="H12638" i="1"/>
  <c r="K12637" i="1"/>
  <c r="H12637" i="1"/>
  <c r="K12636" i="1"/>
  <c r="H12636" i="1"/>
  <c r="K12635" i="1"/>
  <c r="H12635" i="1"/>
  <c r="K12634" i="1"/>
  <c r="H12634" i="1"/>
  <c r="K12633" i="1"/>
  <c r="H12633" i="1"/>
  <c r="K12632" i="1"/>
  <c r="H12632" i="1"/>
  <c r="K12631" i="1"/>
  <c r="H12631" i="1"/>
  <c r="K12630" i="1"/>
  <c r="H12630" i="1"/>
  <c r="K12629" i="1"/>
  <c r="H12629" i="1"/>
  <c r="K12628" i="1"/>
  <c r="H12628" i="1"/>
  <c r="K12627" i="1"/>
  <c r="H12627" i="1"/>
  <c r="K12626" i="1"/>
  <c r="H12626" i="1"/>
  <c r="K12625" i="1"/>
  <c r="H12625" i="1"/>
  <c r="K12624" i="1"/>
  <c r="H12624" i="1"/>
  <c r="K12623" i="1"/>
  <c r="H12623" i="1"/>
  <c r="K12622" i="1"/>
  <c r="H12622" i="1"/>
  <c r="K12621" i="1"/>
  <c r="H12621" i="1"/>
  <c r="K12620" i="1"/>
  <c r="H12620" i="1"/>
  <c r="K12619" i="1"/>
  <c r="H12619" i="1"/>
  <c r="K12618" i="1"/>
  <c r="H12618" i="1"/>
  <c r="K12617" i="1"/>
  <c r="H12617" i="1"/>
  <c r="K12616" i="1"/>
  <c r="H12616" i="1"/>
  <c r="K12615" i="1"/>
  <c r="H12615" i="1"/>
  <c r="K12614" i="1"/>
  <c r="H12614" i="1"/>
  <c r="K12613" i="1"/>
  <c r="H12613" i="1"/>
  <c r="K12612" i="1"/>
  <c r="H12612" i="1"/>
  <c r="K12611" i="1"/>
  <c r="H12611" i="1"/>
  <c r="K12610" i="1"/>
  <c r="H12610" i="1"/>
  <c r="K12609" i="1"/>
  <c r="H12609" i="1"/>
  <c r="K12608" i="1"/>
  <c r="H12608" i="1"/>
  <c r="K12607" i="1"/>
  <c r="H12607" i="1"/>
  <c r="K12606" i="1"/>
  <c r="H12606" i="1"/>
  <c r="K12605" i="1"/>
  <c r="H12605" i="1"/>
  <c r="K12604" i="1"/>
  <c r="H12604" i="1"/>
  <c r="K12603" i="1"/>
  <c r="H12603" i="1"/>
  <c r="K12602" i="1"/>
  <c r="H12602" i="1"/>
  <c r="K12601" i="1"/>
  <c r="H12601" i="1"/>
  <c r="K12600" i="1"/>
  <c r="H12600" i="1"/>
  <c r="K12599" i="1"/>
  <c r="H12599" i="1"/>
  <c r="K12598" i="1"/>
  <c r="H12598" i="1"/>
  <c r="K12597" i="1"/>
  <c r="H12597" i="1"/>
  <c r="K12596" i="1"/>
  <c r="H12596" i="1"/>
  <c r="K12595" i="1"/>
  <c r="H12595" i="1"/>
  <c r="K12594" i="1"/>
  <c r="H12594" i="1"/>
  <c r="K12593" i="1"/>
  <c r="H12593" i="1"/>
  <c r="K12592" i="1"/>
  <c r="H12592" i="1"/>
  <c r="K12591" i="1"/>
  <c r="H12591" i="1"/>
  <c r="K12590" i="1"/>
  <c r="H12590" i="1"/>
  <c r="K12589" i="1"/>
  <c r="H12589" i="1"/>
  <c r="K12588" i="1"/>
  <c r="H12588" i="1"/>
  <c r="K12587" i="1"/>
  <c r="H12587" i="1"/>
  <c r="K12586" i="1"/>
  <c r="H12586" i="1"/>
  <c r="K12585" i="1"/>
  <c r="H12585" i="1"/>
  <c r="K12584" i="1"/>
  <c r="H12584" i="1"/>
  <c r="K12583" i="1"/>
  <c r="H12583" i="1"/>
  <c r="K12582" i="1"/>
  <c r="H12582" i="1"/>
  <c r="K12581" i="1"/>
  <c r="H12581" i="1"/>
  <c r="K12580" i="1"/>
  <c r="H12580" i="1"/>
  <c r="K12579" i="1"/>
  <c r="H12579" i="1"/>
  <c r="K12578" i="1"/>
  <c r="H12578" i="1"/>
  <c r="K12577" i="1"/>
  <c r="H12577" i="1"/>
  <c r="K12576" i="1"/>
  <c r="H12576" i="1"/>
  <c r="K12575" i="1"/>
  <c r="H12575" i="1"/>
  <c r="K12574" i="1"/>
  <c r="H12574" i="1"/>
  <c r="K12573" i="1"/>
  <c r="H12573" i="1"/>
  <c r="K12572" i="1"/>
  <c r="H12572" i="1"/>
  <c r="K12571" i="1"/>
  <c r="H12571" i="1"/>
  <c r="K12570" i="1"/>
  <c r="H12570" i="1"/>
  <c r="K12569" i="1"/>
  <c r="H12569" i="1"/>
  <c r="K12568" i="1"/>
  <c r="H12568" i="1"/>
  <c r="K12567" i="1"/>
  <c r="H12567" i="1"/>
  <c r="K12566" i="1"/>
  <c r="H12566" i="1"/>
  <c r="K12565" i="1"/>
  <c r="H12565" i="1"/>
  <c r="K12564" i="1"/>
  <c r="H12564" i="1"/>
  <c r="K12563" i="1"/>
  <c r="H12563" i="1"/>
  <c r="K12562" i="1"/>
  <c r="H12562" i="1"/>
  <c r="K12561" i="1"/>
  <c r="H12561" i="1"/>
  <c r="K12560" i="1"/>
  <c r="H12560" i="1"/>
  <c r="K12559" i="1"/>
  <c r="H12559" i="1"/>
  <c r="K12558" i="1"/>
  <c r="H12558" i="1"/>
  <c r="K12557" i="1"/>
  <c r="H12557" i="1"/>
  <c r="K12556" i="1"/>
  <c r="H12556" i="1"/>
  <c r="K12555" i="1"/>
  <c r="H12555" i="1"/>
  <c r="K12554" i="1"/>
  <c r="H12554" i="1"/>
  <c r="K12553" i="1"/>
  <c r="H12553" i="1"/>
  <c r="K12552" i="1"/>
  <c r="H12552" i="1"/>
  <c r="K12551" i="1"/>
  <c r="H12551" i="1"/>
  <c r="K12550" i="1"/>
  <c r="H12550" i="1"/>
  <c r="K12549" i="1"/>
  <c r="H12549" i="1"/>
  <c r="K12548" i="1"/>
  <c r="H12548" i="1"/>
  <c r="K12547" i="1"/>
  <c r="H12547" i="1"/>
  <c r="K12546" i="1"/>
  <c r="H12546" i="1"/>
  <c r="K12545" i="1"/>
  <c r="H12545" i="1"/>
  <c r="K12544" i="1"/>
  <c r="H12544" i="1"/>
  <c r="K12543" i="1"/>
  <c r="H12543" i="1"/>
  <c r="K12542" i="1"/>
  <c r="H12542" i="1"/>
  <c r="K12541" i="1"/>
  <c r="H12541" i="1"/>
  <c r="K12540" i="1"/>
  <c r="H12540" i="1"/>
  <c r="K12539" i="1"/>
  <c r="H12539" i="1"/>
  <c r="K12538" i="1"/>
  <c r="H12538" i="1"/>
  <c r="K12537" i="1"/>
  <c r="H12537" i="1"/>
  <c r="K12536" i="1"/>
  <c r="H12536" i="1"/>
  <c r="K12535" i="1"/>
  <c r="H12535" i="1"/>
  <c r="K12534" i="1"/>
  <c r="H12534" i="1"/>
  <c r="K12533" i="1"/>
  <c r="H12533" i="1"/>
  <c r="K12532" i="1"/>
  <c r="H12532" i="1"/>
  <c r="K12531" i="1"/>
  <c r="H12531" i="1"/>
  <c r="K12530" i="1"/>
  <c r="H12530" i="1"/>
  <c r="K12529" i="1"/>
  <c r="H12529" i="1"/>
  <c r="K12528" i="1"/>
  <c r="H12528" i="1"/>
  <c r="K12527" i="1"/>
  <c r="H12527" i="1"/>
  <c r="K12526" i="1"/>
  <c r="H12526" i="1"/>
  <c r="K12525" i="1"/>
  <c r="H12525" i="1"/>
  <c r="K12524" i="1"/>
  <c r="H12524" i="1"/>
  <c r="K12523" i="1"/>
  <c r="H12523" i="1"/>
  <c r="K12522" i="1"/>
  <c r="H12522" i="1"/>
  <c r="K12521" i="1"/>
  <c r="H12521" i="1"/>
  <c r="K12520" i="1"/>
  <c r="H12520" i="1"/>
  <c r="K12519" i="1"/>
  <c r="H12519" i="1"/>
  <c r="K12518" i="1"/>
  <c r="H12518" i="1"/>
  <c r="K12517" i="1"/>
  <c r="H12517" i="1"/>
  <c r="K12516" i="1"/>
  <c r="H12516" i="1"/>
  <c r="K12515" i="1"/>
  <c r="H12515" i="1"/>
  <c r="K12514" i="1"/>
  <c r="H12514" i="1"/>
  <c r="K12513" i="1"/>
  <c r="H12513" i="1"/>
  <c r="K12512" i="1"/>
  <c r="H12512" i="1"/>
  <c r="K12511" i="1"/>
  <c r="H12511" i="1"/>
  <c r="K12510" i="1"/>
  <c r="H12510" i="1"/>
  <c r="K12509" i="1"/>
  <c r="H12509" i="1"/>
  <c r="K12508" i="1"/>
  <c r="H12508" i="1"/>
  <c r="K12507" i="1"/>
  <c r="H12507" i="1"/>
  <c r="K12506" i="1"/>
  <c r="H12506" i="1"/>
  <c r="K12505" i="1"/>
  <c r="H12505" i="1"/>
  <c r="K12504" i="1"/>
  <c r="H12504" i="1"/>
  <c r="K12503" i="1"/>
  <c r="H12503" i="1"/>
  <c r="K12502" i="1"/>
  <c r="H12502" i="1"/>
  <c r="K12501" i="1"/>
  <c r="H12501" i="1"/>
  <c r="K12500" i="1"/>
  <c r="H12500" i="1"/>
  <c r="K12499" i="1"/>
  <c r="H12499" i="1"/>
  <c r="K12498" i="1"/>
  <c r="H12498" i="1"/>
  <c r="K12497" i="1"/>
  <c r="H12497" i="1"/>
  <c r="K12496" i="1"/>
  <c r="H12496" i="1"/>
  <c r="K12495" i="1"/>
  <c r="H12495" i="1"/>
  <c r="K12494" i="1"/>
  <c r="H12494" i="1"/>
  <c r="K12493" i="1"/>
  <c r="H12493" i="1"/>
  <c r="K12492" i="1"/>
  <c r="H12492" i="1"/>
  <c r="K12491" i="1"/>
  <c r="H12491" i="1"/>
  <c r="K12490" i="1"/>
  <c r="H12490" i="1"/>
  <c r="K12489" i="1"/>
  <c r="H12489" i="1"/>
  <c r="K12488" i="1"/>
  <c r="H12488" i="1"/>
  <c r="K12487" i="1"/>
  <c r="H12487" i="1"/>
  <c r="K12486" i="1"/>
  <c r="H12486" i="1"/>
  <c r="K12485" i="1"/>
  <c r="H12485" i="1"/>
  <c r="K12484" i="1"/>
  <c r="H12484" i="1"/>
  <c r="K12483" i="1"/>
  <c r="H12483" i="1"/>
  <c r="K12482" i="1"/>
  <c r="H12482" i="1"/>
  <c r="K12481" i="1"/>
  <c r="H12481" i="1"/>
  <c r="K12480" i="1"/>
  <c r="H12480" i="1"/>
  <c r="K12479" i="1"/>
  <c r="H12479" i="1"/>
  <c r="K12478" i="1"/>
  <c r="H12478" i="1"/>
  <c r="K12477" i="1"/>
  <c r="H12477" i="1"/>
  <c r="K12476" i="1"/>
  <c r="H12476" i="1"/>
  <c r="K12475" i="1"/>
  <c r="H12475" i="1"/>
  <c r="K12474" i="1"/>
  <c r="H12474" i="1"/>
  <c r="K12473" i="1"/>
  <c r="H12473" i="1"/>
  <c r="K12472" i="1"/>
  <c r="H12472" i="1"/>
  <c r="K12471" i="1"/>
  <c r="H12471" i="1"/>
  <c r="K12470" i="1"/>
  <c r="H12470" i="1"/>
  <c r="K12469" i="1"/>
  <c r="H12469" i="1"/>
  <c r="K12468" i="1"/>
  <c r="H12468" i="1"/>
  <c r="K12467" i="1"/>
  <c r="H12467" i="1"/>
  <c r="K12466" i="1"/>
  <c r="H12466" i="1"/>
  <c r="K12465" i="1"/>
  <c r="H12465" i="1"/>
  <c r="K12464" i="1"/>
  <c r="H12464" i="1"/>
  <c r="K12463" i="1"/>
  <c r="H12463" i="1"/>
  <c r="K12462" i="1"/>
  <c r="H12462" i="1"/>
  <c r="K12461" i="1"/>
  <c r="H12461" i="1"/>
  <c r="K12460" i="1"/>
  <c r="H12460" i="1"/>
  <c r="K12459" i="1"/>
  <c r="H12459" i="1"/>
  <c r="K12458" i="1"/>
  <c r="H12458" i="1"/>
  <c r="K12457" i="1"/>
  <c r="H12457" i="1"/>
  <c r="K12456" i="1"/>
  <c r="H12456" i="1"/>
  <c r="K12455" i="1"/>
  <c r="H12455" i="1"/>
  <c r="K12454" i="1"/>
  <c r="H12454" i="1"/>
  <c r="K12453" i="1"/>
  <c r="H12453" i="1"/>
  <c r="K12452" i="1"/>
  <c r="H12452" i="1"/>
  <c r="K12451" i="1"/>
  <c r="H12451" i="1"/>
  <c r="K12450" i="1"/>
  <c r="H12450" i="1"/>
  <c r="K12449" i="1"/>
  <c r="H12449" i="1"/>
  <c r="K12448" i="1"/>
  <c r="H12448" i="1"/>
  <c r="K12447" i="1"/>
  <c r="H12447" i="1"/>
  <c r="K12446" i="1"/>
  <c r="H12446" i="1"/>
  <c r="K12445" i="1"/>
  <c r="H12445" i="1"/>
  <c r="K12444" i="1"/>
  <c r="H12444" i="1"/>
  <c r="K12443" i="1"/>
  <c r="H12443" i="1"/>
  <c r="K12442" i="1"/>
  <c r="H12442" i="1"/>
  <c r="K12441" i="1"/>
  <c r="H12441" i="1"/>
  <c r="K12440" i="1"/>
  <c r="H12440" i="1"/>
  <c r="K12439" i="1"/>
  <c r="H12439" i="1"/>
  <c r="K12438" i="1"/>
  <c r="H12438" i="1"/>
  <c r="K12437" i="1"/>
  <c r="H12437" i="1"/>
  <c r="K12436" i="1"/>
  <c r="H12436" i="1"/>
  <c r="K12435" i="1"/>
  <c r="H12435" i="1"/>
  <c r="K12434" i="1"/>
  <c r="H12434" i="1"/>
  <c r="K12433" i="1"/>
  <c r="H12433" i="1"/>
  <c r="K12432" i="1"/>
  <c r="H12432" i="1"/>
  <c r="K12431" i="1"/>
  <c r="H12431" i="1"/>
  <c r="K12430" i="1"/>
  <c r="H12430" i="1"/>
  <c r="K12429" i="1"/>
  <c r="H12429" i="1"/>
  <c r="K12428" i="1"/>
  <c r="H12428" i="1"/>
  <c r="K12427" i="1"/>
  <c r="H12427" i="1"/>
  <c r="K12426" i="1"/>
  <c r="H12426" i="1"/>
  <c r="K12425" i="1"/>
  <c r="H12425" i="1"/>
  <c r="K12424" i="1"/>
  <c r="H12424" i="1"/>
  <c r="K12423" i="1"/>
  <c r="H12423" i="1"/>
  <c r="K12422" i="1"/>
  <c r="H12422" i="1"/>
  <c r="K12421" i="1"/>
  <c r="H12421" i="1"/>
  <c r="K12420" i="1"/>
  <c r="H12420" i="1"/>
  <c r="K12419" i="1"/>
  <c r="H12419" i="1"/>
  <c r="K12418" i="1"/>
  <c r="H12418" i="1"/>
  <c r="K12417" i="1"/>
  <c r="H12417" i="1"/>
  <c r="K12416" i="1"/>
  <c r="H12416" i="1"/>
  <c r="K12415" i="1"/>
  <c r="H12415" i="1"/>
  <c r="K12414" i="1"/>
  <c r="H12414" i="1"/>
  <c r="K12413" i="1"/>
  <c r="H12413" i="1"/>
  <c r="K12412" i="1"/>
  <c r="H12412" i="1"/>
  <c r="K12411" i="1"/>
  <c r="H12411" i="1"/>
  <c r="K12410" i="1"/>
  <c r="H12410" i="1"/>
  <c r="K12409" i="1"/>
  <c r="H12409" i="1"/>
  <c r="K12408" i="1"/>
  <c r="H12408" i="1"/>
  <c r="K12407" i="1"/>
  <c r="H12407" i="1"/>
  <c r="K12406" i="1"/>
  <c r="H12406" i="1"/>
  <c r="K12405" i="1"/>
  <c r="H12405" i="1"/>
  <c r="K12404" i="1"/>
  <c r="H12404" i="1"/>
  <c r="K12403" i="1"/>
  <c r="H12403" i="1"/>
  <c r="K12402" i="1"/>
  <c r="H12402" i="1"/>
  <c r="K12401" i="1"/>
  <c r="H12401" i="1"/>
  <c r="K12400" i="1"/>
  <c r="H12400" i="1"/>
  <c r="K12399" i="1"/>
  <c r="H12399" i="1"/>
  <c r="K12398" i="1"/>
  <c r="H12398" i="1"/>
  <c r="K12397" i="1"/>
  <c r="H12397" i="1"/>
  <c r="K12396" i="1"/>
  <c r="H12396" i="1"/>
  <c r="K12395" i="1"/>
  <c r="H12395" i="1"/>
  <c r="K12394" i="1"/>
  <c r="H12394" i="1"/>
  <c r="K12393" i="1"/>
  <c r="H12393" i="1"/>
  <c r="K12392" i="1"/>
  <c r="H12392" i="1"/>
  <c r="K12391" i="1"/>
  <c r="H12391" i="1"/>
  <c r="K12390" i="1"/>
  <c r="H12390" i="1"/>
  <c r="K12389" i="1"/>
  <c r="H12389" i="1"/>
  <c r="K12388" i="1"/>
  <c r="H12388" i="1"/>
  <c r="K12387" i="1"/>
  <c r="H12387" i="1"/>
  <c r="K12386" i="1"/>
  <c r="H12386" i="1"/>
  <c r="K12385" i="1"/>
  <c r="H12385" i="1"/>
  <c r="K12384" i="1"/>
  <c r="H12384" i="1"/>
  <c r="K12383" i="1"/>
  <c r="H12383" i="1"/>
  <c r="K12382" i="1"/>
  <c r="H12382" i="1"/>
  <c r="K12381" i="1"/>
  <c r="H12381" i="1"/>
  <c r="K12380" i="1"/>
  <c r="H12380" i="1"/>
  <c r="K12379" i="1"/>
  <c r="H12379" i="1"/>
  <c r="K12378" i="1"/>
  <c r="H12378" i="1"/>
  <c r="K12377" i="1"/>
  <c r="H12377" i="1"/>
  <c r="K12376" i="1"/>
  <c r="H12376" i="1"/>
  <c r="K12375" i="1"/>
  <c r="H12375" i="1"/>
  <c r="K12374" i="1"/>
  <c r="H12374" i="1"/>
  <c r="K12373" i="1"/>
  <c r="H12373" i="1"/>
  <c r="K12372" i="1"/>
  <c r="H12372" i="1"/>
  <c r="K12371" i="1"/>
  <c r="H12371" i="1"/>
  <c r="K12370" i="1"/>
  <c r="H12370" i="1"/>
  <c r="K12369" i="1"/>
  <c r="H12369" i="1"/>
  <c r="K12368" i="1"/>
  <c r="H12368" i="1"/>
  <c r="K12367" i="1"/>
  <c r="H12367" i="1"/>
  <c r="K12366" i="1"/>
  <c r="H12366" i="1"/>
  <c r="K12365" i="1"/>
  <c r="H12365" i="1"/>
  <c r="K12364" i="1"/>
  <c r="H12364" i="1"/>
  <c r="K12363" i="1"/>
  <c r="H12363" i="1"/>
  <c r="K12362" i="1"/>
  <c r="H12362" i="1"/>
  <c r="K12361" i="1"/>
  <c r="H12361" i="1"/>
  <c r="K12360" i="1"/>
  <c r="H12360" i="1"/>
  <c r="K12359" i="1"/>
  <c r="H12359" i="1"/>
  <c r="K12358" i="1"/>
  <c r="H12358" i="1"/>
  <c r="K12357" i="1"/>
  <c r="H12357" i="1"/>
  <c r="K12356" i="1"/>
  <c r="H12356" i="1"/>
  <c r="K12355" i="1"/>
  <c r="H12355" i="1"/>
  <c r="K12354" i="1"/>
  <c r="H12354" i="1"/>
  <c r="K12353" i="1"/>
  <c r="H12353" i="1"/>
  <c r="K12352" i="1"/>
  <c r="H12352" i="1"/>
  <c r="K12351" i="1"/>
  <c r="H12351" i="1"/>
  <c r="K12350" i="1"/>
  <c r="H12350" i="1"/>
  <c r="K12349" i="1"/>
  <c r="H12349" i="1"/>
  <c r="K12348" i="1"/>
  <c r="H12348" i="1"/>
  <c r="K12347" i="1"/>
  <c r="H12347" i="1"/>
  <c r="K12346" i="1"/>
  <c r="H12346" i="1"/>
  <c r="K12345" i="1"/>
  <c r="H12345" i="1"/>
  <c r="K12344" i="1"/>
  <c r="H12344" i="1"/>
  <c r="K12343" i="1"/>
  <c r="H12343" i="1"/>
  <c r="K12342" i="1"/>
  <c r="H12342" i="1"/>
  <c r="K12341" i="1"/>
  <c r="H12341" i="1"/>
  <c r="K12340" i="1"/>
  <c r="H12340" i="1"/>
  <c r="K12339" i="1"/>
  <c r="H12339" i="1"/>
  <c r="K12338" i="1"/>
  <c r="H12338" i="1"/>
  <c r="K12337" i="1"/>
  <c r="H12337" i="1"/>
  <c r="K12336" i="1"/>
  <c r="H12336" i="1"/>
  <c r="K12335" i="1"/>
  <c r="H12335" i="1"/>
  <c r="K12334" i="1"/>
  <c r="H12334" i="1"/>
  <c r="K12333" i="1"/>
  <c r="H12333" i="1"/>
  <c r="K12332" i="1"/>
  <c r="H12332" i="1"/>
  <c r="K12331" i="1"/>
  <c r="H12331" i="1"/>
  <c r="K12330" i="1"/>
  <c r="H12330" i="1"/>
  <c r="K12329" i="1"/>
  <c r="H12329" i="1"/>
  <c r="K12328" i="1"/>
  <c r="H12328" i="1"/>
  <c r="K12327" i="1"/>
  <c r="H12327" i="1"/>
  <c r="K12326" i="1"/>
  <c r="H12326" i="1"/>
  <c r="K12325" i="1"/>
  <c r="H12325" i="1"/>
  <c r="K12324" i="1"/>
  <c r="H12324" i="1"/>
  <c r="K12323" i="1"/>
  <c r="H12323" i="1"/>
  <c r="K12322" i="1"/>
  <c r="H12322" i="1"/>
  <c r="K12321" i="1"/>
  <c r="H12321" i="1"/>
  <c r="K12320" i="1"/>
  <c r="H12320" i="1"/>
  <c r="K12319" i="1"/>
  <c r="H12319" i="1"/>
  <c r="K12318" i="1"/>
  <c r="H12318" i="1"/>
  <c r="K12317" i="1"/>
  <c r="H12317" i="1"/>
  <c r="K12316" i="1"/>
  <c r="H12316" i="1"/>
  <c r="K12315" i="1"/>
  <c r="H12315" i="1"/>
  <c r="K12314" i="1"/>
  <c r="H12314" i="1"/>
  <c r="K12313" i="1"/>
  <c r="H12313" i="1"/>
  <c r="K12312" i="1"/>
  <c r="H12312" i="1"/>
  <c r="K12311" i="1"/>
  <c r="H12311" i="1"/>
  <c r="K12310" i="1"/>
  <c r="H12310" i="1"/>
  <c r="K12309" i="1"/>
  <c r="H12309" i="1"/>
  <c r="K12308" i="1"/>
  <c r="H12308" i="1"/>
  <c r="K12307" i="1"/>
  <c r="H12307" i="1"/>
  <c r="K12306" i="1"/>
  <c r="H12306" i="1"/>
  <c r="K12305" i="1"/>
  <c r="H12305" i="1"/>
  <c r="K12304" i="1"/>
  <c r="H12304" i="1"/>
  <c r="K12303" i="1"/>
  <c r="H12303" i="1"/>
  <c r="K12302" i="1"/>
  <c r="H12302" i="1"/>
  <c r="K12301" i="1"/>
  <c r="H12301" i="1"/>
  <c r="K12300" i="1"/>
  <c r="H12300" i="1"/>
  <c r="K12299" i="1"/>
  <c r="H12299" i="1"/>
  <c r="K12298" i="1"/>
  <c r="H12298" i="1"/>
  <c r="K12297" i="1"/>
  <c r="H12297" i="1"/>
  <c r="K12296" i="1"/>
  <c r="H12296" i="1"/>
  <c r="K12295" i="1"/>
  <c r="H12295" i="1"/>
  <c r="K12294" i="1"/>
  <c r="H12294" i="1"/>
  <c r="K12293" i="1"/>
  <c r="H12293" i="1"/>
  <c r="K12292" i="1"/>
  <c r="H12292" i="1"/>
  <c r="K12291" i="1"/>
  <c r="H12291" i="1"/>
  <c r="K12290" i="1"/>
  <c r="H12290" i="1"/>
  <c r="K12289" i="1"/>
  <c r="H12289" i="1"/>
  <c r="K12288" i="1"/>
  <c r="H12288" i="1"/>
  <c r="K12287" i="1"/>
  <c r="H12287" i="1"/>
  <c r="K12286" i="1"/>
  <c r="H12286" i="1"/>
  <c r="K12285" i="1"/>
  <c r="H12285" i="1"/>
  <c r="K12284" i="1"/>
  <c r="H12284" i="1"/>
  <c r="K12283" i="1"/>
  <c r="H12283" i="1"/>
  <c r="K12282" i="1"/>
  <c r="H12282" i="1"/>
  <c r="K12281" i="1"/>
  <c r="H12281" i="1"/>
  <c r="K12280" i="1"/>
  <c r="H12280" i="1"/>
  <c r="K12279" i="1"/>
  <c r="H12279" i="1"/>
  <c r="K12278" i="1"/>
  <c r="H12278" i="1"/>
  <c r="K12277" i="1"/>
  <c r="H12277" i="1"/>
  <c r="K12276" i="1"/>
  <c r="H12276" i="1"/>
  <c r="K12275" i="1"/>
  <c r="H12275" i="1"/>
  <c r="K12274" i="1"/>
  <c r="H12274" i="1"/>
  <c r="K12273" i="1"/>
  <c r="H12273" i="1"/>
  <c r="K12272" i="1"/>
  <c r="H12272" i="1"/>
  <c r="K12271" i="1"/>
  <c r="H12271" i="1"/>
  <c r="K12270" i="1"/>
  <c r="H12270" i="1"/>
  <c r="K12269" i="1"/>
  <c r="H12269" i="1"/>
  <c r="K12268" i="1"/>
  <c r="H12268" i="1"/>
  <c r="K12267" i="1"/>
  <c r="H12267" i="1"/>
  <c r="K12266" i="1"/>
  <c r="H12266" i="1"/>
  <c r="K12265" i="1"/>
  <c r="H12265" i="1"/>
  <c r="K12264" i="1"/>
  <c r="H12264" i="1"/>
  <c r="K12263" i="1"/>
  <c r="H12263" i="1"/>
  <c r="K12262" i="1"/>
  <c r="H12262" i="1"/>
  <c r="K12261" i="1"/>
  <c r="H12261" i="1"/>
  <c r="K12260" i="1"/>
  <c r="H12260" i="1"/>
  <c r="K12259" i="1"/>
  <c r="H12259" i="1"/>
  <c r="K12258" i="1"/>
  <c r="H12258" i="1"/>
  <c r="K12257" i="1"/>
  <c r="H12257" i="1"/>
  <c r="K12256" i="1"/>
  <c r="H12256" i="1"/>
  <c r="K12255" i="1"/>
  <c r="H12255" i="1"/>
  <c r="K12254" i="1"/>
  <c r="H12254" i="1"/>
  <c r="K12253" i="1"/>
  <c r="H12253" i="1"/>
  <c r="K12252" i="1"/>
  <c r="H12252" i="1"/>
  <c r="K12251" i="1"/>
  <c r="H12251" i="1"/>
  <c r="K12250" i="1"/>
  <c r="H12250" i="1"/>
  <c r="K12249" i="1"/>
  <c r="H12249" i="1"/>
  <c r="K12248" i="1"/>
  <c r="H12248" i="1"/>
  <c r="K12247" i="1"/>
  <c r="H12247" i="1"/>
  <c r="K12246" i="1"/>
  <c r="H12246" i="1"/>
  <c r="K12245" i="1"/>
  <c r="H12245" i="1"/>
  <c r="K12244" i="1"/>
  <c r="H12244" i="1"/>
  <c r="K12243" i="1"/>
  <c r="H12243" i="1"/>
  <c r="K12242" i="1"/>
  <c r="H12242" i="1"/>
  <c r="K12241" i="1"/>
  <c r="H12241" i="1"/>
  <c r="K12240" i="1"/>
  <c r="H12240" i="1"/>
  <c r="K12239" i="1"/>
  <c r="H12239" i="1"/>
  <c r="K12238" i="1"/>
  <c r="H12238" i="1"/>
  <c r="K12237" i="1"/>
  <c r="H12237" i="1"/>
  <c r="K12236" i="1"/>
  <c r="H12236" i="1"/>
  <c r="K12235" i="1"/>
  <c r="H12235" i="1"/>
  <c r="K12234" i="1"/>
  <c r="H12234" i="1"/>
  <c r="K12233" i="1"/>
  <c r="H12233" i="1"/>
  <c r="K12232" i="1"/>
  <c r="H12232" i="1"/>
  <c r="K12231" i="1"/>
  <c r="H12231" i="1"/>
  <c r="K12230" i="1"/>
  <c r="H12230" i="1"/>
  <c r="K12229" i="1"/>
  <c r="H12229" i="1"/>
  <c r="K12228" i="1"/>
  <c r="H12228" i="1"/>
  <c r="K12227" i="1"/>
  <c r="H12227" i="1"/>
  <c r="K12226" i="1"/>
  <c r="H12226" i="1"/>
  <c r="K12225" i="1"/>
  <c r="H12225" i="1"/>
  <c r="K12224" i="1"/>
  <c r="H12224" i="1"/>
  <c r="K12223" i="1"/>
  <c r="H12223" i="1"/>
  <c r="K12222" i="1"/>
  <c r="H12222" i="1"/>
  <c r="K12221" i="1"/>
  <c r="H12221" i="1"/>
  <c r="K12220" i="1"/>
  <c r="H12220" i="1"/>
  <c r="K12219" i="1"/>
  <c r="H12219" i="1"/>
  <c r="K12218" i="1"/>
  <c r="H12218" i="1"/>
  <c r="K12217" i="1"/>
  <c r="H12217" i="1"/>
  <c r="K12216" i="1"/>
  <c r="H12216" i="1"/>
  <c r="K12215" i="1"/>
  <c r="H12215" i="1"/>
  <c r="K12214" i="1"/>
  <c r="H12214" i="1"/>
  <c r="K12213" i="1"/>
  <c r="H12213" i="1"/>
  <c r="K12212" i="1"/>
  <c r="H12212" i="1"/>
  <c r="K12211" i="1"/>
  <c r="H12211" i="1"/>
  <c r="K12210" i="1"/>
  <c r="H12210" i="1"/>
  <c r="K12209" i="1"/>
  <c r="H12209" i="1"/>
  <c r="K12208" i="1"/>
  <c r="H12208" i="1"/>
  <c r="K12207" i="1"/>
  <c r="H12207" i="1"/>
  <c r="K12206" i="1"/>
  <c r="H12206" i="1"/>
  <c r="K12205" i="1"/>
  <c r="H12205" i="1"/>
  <c r="K12204" i="1"/>
  <c r="H12204" i="1"/>
  <c r="K12203" i="1"/>
  <c r="H12203" i="1"/>
  <c r="K12202" i="1"/>
  <c r="H12202" i="1"/>
  <c r="K12201" i="1"/>
  <c r="H12201" i="1"/>
  <c r="K12200" i="1"/>
  <c r="H12200" i="1"/>
  <c r="K12199" i="1"/>
  <c r="H12199" i="1"/>
  <c r="K12198" i="1"/>
  <c r="H12198" i="1"/>
  <c r="K12197" i="1"/>
  <c r="H12197" i="1"/>
  <c r="K12196" i="1"/>
  <c r="H12196" i="1"/>
  <c r="K12195" i="1"/>
  <c r="H12195" i="1"/>
  <c r="K12194" i="1"/>
  <c r="H12194" i="1"/>
  <c r="K12193" i="1"/>
  <c r="H12193" i="1"/>
  <c r="K12192" i="1"/>
  <c r="H12192" i="1"/>
  <c r="K12191" i="1"/>
  <c r="H12191" i="1"/>
  <c r="K12190" i="1"/>
  <c r="H12190" i="1"/>
  <c r="K12189" i="1"/>
  <c r="H12189" i="1"/>
  <c r="K12188" i="1"/>
  <c r="H12188" i="1"/>
  <c r="K12187" i="1"/>
  <c r="H12187" i="1"/>
  <c r="K12186" i="1"/>
  <c r="H12186" i="1"/>
  <c r="K12185" i="1"/>
  <c r="H12185" i="1"/>
  <c r="K12184" i="1"/>
  <c r="H12184" i="1"/>
  <c r="K12183" i="1"/>
  <c r="H12183" i="1"/>
  <c r="K12182" i="1"/>
  <c r="H12182" i="1"/>
  <c r="K12181" i="1"/>
  <c r="H12181" i="1"/>
  <c r="K12180" i="1"/>
  <c r="H12180" i="1"/>
  <c r="K12179" i="1"/>
  <c r="H12179" i="1"/>
  <c r="K12178" i="1"/>
  <c r="H12178" i="1"/>
  <c r="K12177" i="1"/>
  <c r="H12177" i="1"/>
  <c r="K12176" i="1"/>
  <c r="H12176" i="1"/>
  <c r="K12175" i="1"/>
  <c r="H12175" i="1"/>
  <c r="K12174" i="1"/>
  <c r="H12174" i="1"/>
  <c r="K12173" i="1"/>
  <c r="H12173" i="1"/>
  <c r="K12172" i="1"/>
  <c r="H12172" i="1"/>
  <c r="K12171" i="1"/>
  <c r="H12171" i="1"/>
  <c r="K12170" i="1"/>
  <c r="H12170" i="1"/>
  <c r="K12169" i="1"/>
  <c r="H12169" i="1"/>
  <c r="K12168" i="1"/>
  <c r="H12168" i="1"/>
  <c r="K12167" i="1"/>
  <c r="H12167" i="1"/>
  <c r="K12166" i="1"/>
  <c r="H12166" i="1"/>
  <c r="K12165" i="1"/>
  <c r="H12165" i="1"/>
  <c r="K12164" i="1"/>
  <c r="H12164" i="1"/>
  <c r="K12163" i="1"/>
  <c r="H12163" i="1"/>
  <c r="K12162" i="1"/>
  <c r="H12162" i="1"/>
  <c r="K12161" i="1"/>
  <c r="H12161" i="1"/>
  <c r="K12160" i="1"/>
  <c r="H12160" i="1"/>
  <c r="K12159" i="1"/>
  <c r="H12159" i="1"/>
  <c r="K12158" i="1"/>
  <c r="H12158" i="1"/>
  <c r="K12157" i="1"/>
  <c r="H12157" i="1"/>
  <c r="K12156" i="1"/>
  <c r="H12156" i="1"/>
  <c r="K12155" i="1"/>
  <c r="H12155" i="1"/>
  <c r="K12154" i="1"/>
  <c r="H12154" i="1"/>
  <c r="K12153" i="1"/>
  <c r="H12153" i="1"/>
  <c r="K12152" i="1"/>
  <c r="H12152" i="1"/>
  <c r="K12151" i="1"/>
  <c r="H12151" i="1"/>
  <c r="K12150" i="1"/>
  <c r="H12150" i="1"/>
  <c r="K12149" i="1"/>
  <c r="H12149" i="1"/>
  <c r="K12148" i="1"/>
  <c r="H12148" i="1"/>
  <c r="K12147" i="1"/>
  <c r="H12147" i="1"/>
  <c r="K12146" i="1"/>
  <c r="H12146" i="1"/>
  <c r="K12145" i="1"/>
  <c r="H12145" i="1"/>
  <c r="K12144" i="1"/>
  <c r="H12144" i="1"/>
  <c r="K12143" i="1"/>
  <c r="H12143" i="1"/>
  <c r="K12142" i="1"/>
  <c r="H12142" i="1"/>
  <c r="K12141" i="1"/>
  <c r="H12141" i="1"/>
  <c r="K12140" i="1"/>
  <c r="H12140" i="1"/>
  <c r="K12139" i="1"/>
  <c r="H12139" i="1"/>
  <c r="K12138" i="1"/>
  <c r="H12138" i="1"/>
  <c r="K12137" i="1"/>
  <c r="H12137" i="1"/>
  <c r="K12136" i="1"/>
  <c r="H12136" i="1"/>
  <c r="K12135" i="1"/>
  <c r="H12135" i="1"/>
  <c r="K12134" i="1"/>
  <c r="H12134" i="1"/>
  <c r="K12133" i="1"/>
  <c r="H12133" i="1"/>
  <c r="K12132" i="1"/>
  <c r="H12132" i="1"/>
  <c r="K12131" i="1"/>
  <c r="H12131" i="1"/>
  <c r="K12130" i="1"/>
  <c r="H12130" i="1"/>
  <c r="K12129" i="1"/>
  <c r="H12129" i="1"/>
  <c r="K12128" i="1"/>
  <c r="H12128" i="1"/>
  <c r="K12127" i="1"/>
  <c r="H12127" i="1"/>
  <c r="K12126" i="1"/>
  <c r="H12126" i="1"/>
  <c r="K12125" i="1"/>
  <c r="H12125" i="1"/>
  <c r="K12124" i="1"/>
  <c r="H12124" i="1"/>
  <c r="K12123" i="1"/>
  <c r="H12123" i="1"/>
  <c r="K12122" i="1"/>
  <c r="H12122" i="1"/>
  <c r="K12121" i="1"/>
  <c r="H12121" i="1"/>
  <c r="K12120" i="1"/>
  <c r="H12120" i="1"/>
  <c r="K12119" i="1"/>
  <c r="H12119" i="1"/>
  <c r="K12118" i="1"/>
  <c r="H12118" i="1"/>
  <c r="K12117" i="1"/>
  <c r="H12117" i="1"/>
  <c r="K12116" i="1"/>
  <c r="H12116" i="1"/>
  <c r="K12115" i="1"/>
  <c r="H12115" i="1"/>
  <c r="K12114" i="1"/>
  <c r="H12114" i="1"/>
  <c r="K12113" i="1"/>
  <c r="H12113" i="1"/>
  <c r="K12112" i="1"/>
  <c r="H12112" i="1"/>
  <c r="K12111" i="1"/>
  <c r="H12111" i="1"/>
  <c r="K12110" i="1"/>
  <c r="H12110" i="1"/>
  <c r="K12109" i="1"/>
  <c r="H12109" i="1"/>
  <c r="K12108" i="1"/>
  <c r="H12108" i="1"/>
  <c r="K12107" i="1"/>
  <c r="H12107" i="1"/>
  <c r="K12106" i="1"/>
  <c r="H12106" i="1"/>
  <c r="K12105" i="1"/>
  <c r="H12105" i="1"/>
  <c r="K12104" i="1"/>
  <c r="H12104" i="1"/>
  <c r="K12103" i="1"/>
  <c r="H12103" i="1"/>
  <c r="K12102" i="1"/>
  <c r="H12102" i="1"/>
  <c r="K12101" i="1"/>
  <c r="H12101" i="1"/>
  <c r="K12100" i="1"/>
  <c r="H12100" i="1"/>
  <c r="K12099" i="1"/>
  <c r="H12099" i="1"/>
  <c r="K12098" i="1"/>
  <c r="H12098" i="1"/>
  <c r="K12097" i="1"/>
  <c r="H12097" i="1"/>
  <c r="K12096" i="1"/>
  <c r="H12096" i="1"/>
  <c r="K12095" i="1"/>
  <c r="H12095" i="1"/>
  <c r="K12094" i="1"/>
  <c r="H12094" i="1"/>
  <c r="K12093" i="1"/>
  <c r="H12093" i="1"/>
  <c r="K12092" i="1"/>
  <c r="H12092" i="1"/>
  <c r="K12091" i="1"/>
  <c r="H12091" i="1"/>
  <c r="K12090" i="1"/>
  <c r="H12090" i="1"/>
  <c r="K12089" i="1"/>
  <c r="H12089" i="1"/>
  <c r="K12088" i="1"/>
  <c r="H12088" i="1"/>
  <c r="K12087" i="1"/>
  <c r="H12087" i="1"/>
  <c r="K12086" i="1"/>
  <c r="H12086" i="1"/>
  <c r="K12085" i="1"/>
  <c r="H12085" i="1"/>
  <c r="K12084" i="1"/>
  <c r="H12084" i="1"/>
  <c r="K12083" i="1"/>
  <c r="H12083" i="1"/>
  <c r="K12082" i="1"/>
  <c r="H12082" i="1"/>
  <c r="K12081" i="1"/>
  <c r="H12081" i="1"/>
  <c r="K12080" i="1"/>
  <c r="H12080" i="1"/>
  <c r="K12079" i="1"/>
  <c r="H12079" i="1"/>
  <c r="K12078" i="1"/>
  <c r="H12078" i="1"/>
  <c r="K12077" i="1"/>
  <c r="H12077" i="1"/>
  <c r="K12076" i="1"/>
  <c r="H12076" i="1"/>
  <c r="K12075" i="1"/>
  <c r="H12075" i="1"/>
  <c r="K12074" i="1"/>
  <c r="H12074" i="1"/>
  <c r="K12073" i="1"/>
  <c r="H12073" i="1"/>
  <c r="K12072" i="1"/>
  <c r="H12072" i="1"/>
  <c r="K12071" i="1"/>
  <c r="H12071" i="1"/>
  <c r="K12070" i="1"/>
  <c r="H12070" i="1"/>
  <c r="K12069" i="1"/>
  <c r="H12069" i="1"/>
  <c r="K12068" i="1"/>
  <c r="H12068" i="1"/>
  <c r="K12067" i="1"/>
  <c r="H12067" i="1"/>
  <c r="K12066" i="1"/>
  <c r="H12066" i="1"/>
  <c r="K12065" i="1"/>
  <c r="H12065" i="1"/>
  <c r="K12064" i="1"/>
  <c r="H12064" i="1"/>
  <c r="K12063" i="1"/>
  <c r="H12063" i="1"/>
  <c r="K12062" i="1"/>
  <c r="H12062" i="1"/>
  <c r="K12061" i="1"/>
  <c r="H12061" i="1"/>
  <c r="K12060" i="1"/>
  <c r="H12060" i="1"/>
  <c r="K12059" i="1"/>
  <c r="H12059" i="1"/>
  <c r="K12058" i="1"/>
  <c r="H12058" i="1"/>
  <c r="K12057" i="1"/>
  <c r="H12057" i="1"/>
  <c r="K12056" i="1"/>
  <c r="H12056" i="1"/>
  <c r="K12055" i="1"/>
  <c r="H12055" i="1"/>
  <c r="K12054" i="1"/>
  <c r="H12054" i="1"/>
  <c r="K12053" i="1"/>
  <c r="H12053" i="1"/>
  <c r="K12052" i="1"/>
  <c r="H12052" i="1"/>
  <c r="K12051" i="1"/>
  <c r="H12051" i="1"/>
  <c r="K12050" i="1"/>
  <c r="H12050" i="1"/>
  <c r="K12049" i="1"/>
  <c r="H12049" i="1"/>
  <c r="K12048" i="1"/>
  <c r="H12048" i="1"/>
  <c r="K12047" i="1"/>
  <c r="H12047" i="1"/>
  <c r="K12046" i="1"/>
  <c r="H12046" i="1"/>
  <c r="K12045" i="1"/>
  <c r="H12045" i="1"/>
  <c r="K12044" i="1"/>
  <c r="H12044" i="1"/>
  <c r="K12043" i="1"/>
  <c r="H12043" i="1"/>
  <c r="K12042" i="1"/>
  <c r="H12042" i="1"/>
  <c r="K12041" i="1"/>
  <c r="H12041" i="1"/>
  <c r="K12040" i="1"/>
  <c r="H12040" i="1"/>
  <c r="K12039" i="1"/>
  <c r="H12039" i="1"/>
  <c r="K12038" i="1"/>
  <c r="H12038" i="1"/>
  <c r="K12037" i="1"/>
  <c r="H12037" i="1"/>
  <c r="K12036" i="1"/>
  <c r="H12036" i="1"/>
  <c r="K12035" i="1"/>
  <c r="H12035" i="1"/>
  <c r="K12034" i="1"/>
  <c r="H12034" i="1"/>
  <c r="K12033" i="1"/>
  <c r="H12033" i="1"/>
  <c r="K12032" i="1"/>
  <c r="H12032" i="1"/>
  <c r="K12031" i="1"/>
  <c r="H12031" i="1"/>
  <c r="K12030" i="1"/>
  <c r="H12030" i="1"/>
  <c r="K12029" i="1"/>
  <c r="H12029" i="1"/>
  <c r="K12028" i="1"/>
  <c r="H12028" i="1"/>
  <c r="K12027" i="1"/>
  <c r="H12027" i="1"/>
  <c r="K12026" i="1"/>
  <c r="H12026" i="1"/>
  <c r="K12025" i="1"/>
  <c r="H12025" i="1"/>
  <c r="K12024" i="1"/>
  <c r="H12024" i="1"/>
  <c r="K12023" i="1"/>
  <c r="H12023" i="1"/>
  <c r="K12022" i="1"/>
  <c r="H12022" i="1"/>
  <c r="K12021" i="1"/>
  <c r="H12021" i="1"/>
  <c r="K12020" i="1"/>
  <c r="H12020" i="1"/>
  <c r="K12019" i="1"/>
  <c r="H12019" i="1"/>
  <c r="K12018" i="1"/>
  <c r="H12018" i="1"/>
  <c r="K12017" i="1"/>
  <c r="H12017" i="1"/>
  <c r="K12016" i="1"/>
  <c r="H12016" i="1"/>
  <c r="K12015" i="1"/>
  <c r="H12015" i="1"/>
  <c r="K12014" i="1"/>
  <c r="H12014" i="1"/>
  <c r="K12013" i="1"/>
  <c r="H12013" i="1"/>
  <c r="K12012" i="1"/>
  <c r="H12012" i="1"/>
  <c r="K12011" i="1"/>
  <c r="H12011" i="1"/>
  <c r="K12010" i="1"/>
  <c r="H12010" i="1"/>
  <c r="K12009" i="1"/>
  <c r="H12009" i="1"/>
  <c r="K12008" i="1"/>
  <c r="H12008" i="1"/>
  <c r="K12007" i="1"/>
  <c r="H12007" i="1"/>
  <c r="K12006" i="1"/>
  <c r="H12006" i="1"/>
  <c r="K12005" i="1"/>
  <c r="H12005" i="1"/>
  <c r="K12004" i="1"/>
  <c r="H12004" i="1"/>
  <c r="K12003" i="1"/>
  <c r="H12003" i="1"/>
  <c r="K12002" i="1"/>
  <c r="H12002" i="1"/>
  <c r="K12001" i="1"/>
  <c r="H12001" i="1"/>
  <c r="K12000" i="1"/>
  <c r="H12000" i="1"/>
  <c r="K11999" i="1"/>
  <c r="H11999" i="1"/>
  <c r="K11998" i="1"/>
  <c r="H11998" i="1"/>
  <c r="K11997" i="1"/>
  <c r="H11997" i="1"/>
  <c r="K11996" i="1"/>
  <c r="H11996" i="1"/>
  <c r="K11995" i="1"/>
  <c r="H11995" i="1"/>
  <c r="K11994" i="1"/>
  <c r="H11994" i="1"/>
  <c r="K11993" i="1"/>
  <c r="H11993" i="1"/>
  <c r="K11992" i="1"/>
  <c r="H11992" i="1"/>
  <c r="K11991" i="1"/>
  <c r="H11991" i="1"/>
  <c r="K11990" i="1"/>
  <c r="H11990" i="1"/>
  <c r="K11989" i="1"/>
  <c r="H11989" i="1"/>
  <c r="K11988" i="1"/>
  <c r="H11988" i="1"/>
  <c r="K11987" i="1"/>
  <c r="H11987" i="1"/>
  <c r="K11986" i="1"/>
  <c r="H11986" i="1"/>
  <c r="K11985" i="1"/>
  <c r="H11985" i="1"/>
  <c r="K11984" i="1"/>
  <c r="H11984" i="1"/>
  <c r="K11983" i="1"/>
  <c r="H11983" i="1"/>
  <c r="K11982" i="1"/>
  <c r="H11982" i="1"/>
  <c r="K11981" i="1"/>
  <c r="H11981" i="1"/>
  <c r="K11980" i="1"/>
  <c r="H11980" i="1"/>
  <c r="K11979" i="1"/>
  <c r="H11979" i="1"/>
  <c r="K11978" i="1"/>
  <c r="H11978" i="1"/>
  <c r="K11977" i="1"/>
  <c r="H11977" i="1"/>
  <c r="K11976" i="1"/>
  <c r="H11976" i="1"/>
  <c r="K11975" i="1"/>
  <c r="H11975" i="1"/>
  <c r="K11974" i="1"/>
  <c r="H11974" i="1"/>
  <c r="K11973" i="1"/>
  <c r="H11973" i="1"/>
  <c r="K11972" i="1"/>
  <c r="H11972" i="1"/>
  <c r="K11971" i="1"/>
  <c r="H11971" i="1"/>
  <c r="K11970" i="1"/>
  <c r="H11970" i="1"/>
  <c r="K11969" i="1"/>
  <c r="H11969" i="1"/>
  <c r="K11968" i="1"/>
  <c r="H11968" i="1"/>
  <c r="K11967" i="1"/>
  <c r="H11967" i="1"/>
  <c r="K11966" i="1"/>
  <c r="H11966" i="1"/>
  <c r="K11965" i="1"/>
  <c r="H11965" i="1"/>
  <c r="K11964" i="1"/>
  <c r="H11964" i="1"/>
  <c r="K11963" i="1"/>
  <c r="H11963" i="1"/>
  <c r="K11962" i="1"/>
  <c r="H11962" i="1"/>
  <c r="K11961" i="1"/>
  <c r="H11961" i="1"/>
  <c r="K11960" i="1"/>
  <c r="H11960" i="1"/>
  <c r="K11959" i="1"/>
  <c r="H11959" i="1"/>
  <c r="K11958" i="1"/>
  <c r="H11958" i="1"/>
  <c r="K11957" i="1"/>
  <c r="H11957" i="1"/>
  <c r="K11956" i="1"/>
  <c r="H11956" i="1"/>
  <c r="K11955" i="1"/>
  <c r="H11955" i="1"/>
  <c r="K11954" i="1"/>
  <c r="H11954" i="1"/>
  <c r="K11953" i="1"/>
  <c r="H11953" i="1"/>
  <c r="K11952" i="1"/>
  <c r="H11952" i="1"/>
  <c r="K11951" i="1"/>
  <c r="H11951" i="1"/>
  <c r="K11950" i="1"/>
  <c r="H11950" i="1"/>
  <c r="K11949" i="1"/>
  <c r="H11949" i="1"/>
  <c r="K11948" i="1"/>
  <c r="H11948" i="1"/>
  <c r="K11947" i="1"/>
  <c r="H11947" i="1"/>
  <c r="K11946" i="1"/>
  <c r="H11946" i="1"/>
  <c r="K11945" i="1"/>
  <c r="H11945" i="1"/>
  <c r="K11944" i="1"/>
  <c r="H11944" i="1"/>
  <c r="K11943" i="1"/>
  <c r="H11943" i="1"/>
  <c r="K11942" i="1"/>
  <c r="H11942" i="1"/>
  <c r="K11941" i="1"/>
  <c r="H11941" i="1"/>
  <c r="K11940" i="1"/>
  <c r="H11940" i="1"/>
  <c r="K11939" i="1"/>
  <c r="H11939" i="1"/>
  <c r="K11938" i="1"/>
  <c r="H11938" i="1"/>
  <c r="K11937" i="1"/>
  <c r="H11937" i="1"/>
  <c r="K11936" i="1"/>
  <c r="H11936" i="1"/>
  <c r="K11935" i="1"/>
  <c r="H11935" i="1"/>
  <c r="K11934" i="1"/>
  <c r="H11934" i="1"/>
  <c r="K11933" i="1"/>
  <c r="H11933" i="1"/>
  <c r="K11932" i="1"/>
  <c r="H11932" i="1"/>
  <c r="K11931" i="1"/>
  <c r="H11931" i="1"/>
  <c r="K11930" i="1"/>
  <c r="H11930" i="1"/>
  <c r="K11929" i="1"/>
  <c r="H11929" i="1"/>
  <c r="K11928" i="1"/>
  <c r="H11928" i="1"/>
  <c r="K11927" i="1"/>
  <c r="H11927" i="1"/>
  <c r="K11926" i="1"/>
  <c r="H11926" i="1"/>
  <c r="K11925" i="1"/>
  <c r="H11925" i="1"/>
  <c r="K11924" i="1"/>
  <c r="H11924" i="1"/>
  <c r="K11923" i="1"/>
  <c r="H11923" i="1"/>
  <c r="K11922" i="1"/>
  <c r="H11922" i="1"/>
  <c r="K11921" i="1"/>
  <c r="H11921" i="1"/>
  <c r="K11920" i="1"/>
  <c r="H11920" i="1"/>
  <c r="K11919" i="1"/>
  <c r="H11919" i="1"/>
  <c r="K11918" i="1"/>
  <c r="H11918" i="1"/>
  <c r="K11917" i="1"/>
  <c r="H11917" i="1"/>
  <c r="K11916" i="1"/>
  <c r="H11916" i="1"/>
  <c r="K11915" i="1"/>
  <c r="H11915" i="1"/>
  <c r="K11914" i="1"/>
  <c r="H11914" i="1"/>
  <c r="K11913" i="1"/>
  <c r="H11913" i="1"/>
  <c r="K11912" i="1"/>
  <c r="H11912" i="1"/>
  <c r="K11911" i="1"/>
  <c r="H11911" i="1"/>
  <c r="K11910" i="1"/>
  <c r="H11910" i="1"/>
  <c r="K11909" i="1"/>
  <c r="H11909" i="1"/>
  <c r="K11908" i="1"/>
  <c r="H11908" i="1"/>
  <c r="K11907" i="1"/>
  <c r="H11907" i="1"/>
  <c r="K11906" i="1"/>
  <c r="H11906" i="1"/>
  <c r="K11905" i="1"/>
  <c r="H11905" i="1"/>
  <c r="K11904" i="1"/>
  <c r="H11904" i="1"/>
  <c r="K11903" i="1"/>
  <c r="H11903" i="1"/>
  <c r="K11902" i="1"/>
  <c r="H11902" i="1"/>
  <c r="K11901" i="1"/>
  <c r="H11901" i="1"/>
  <c r="K11900" i="1"/>
  <c r="H11900" i="1"/>
  <c r="K11899" i="1"/>
  <c r="H11899" i="1"/>
  <c r="K11898" i="1"/>
  <c r="H11898" i="1"/>
  <c r="K11897" i="1"/>
  <c r="H11897" i="1"/>
  <c r="K11896" i="1"/>
  <c r="H11896" i="1"/>
  <c r="K11895" i="1"/>
  <c r="H11895" i="1"/>
  <c r="K11894" i="1"/>
  <c r="H11894" i="1"/>
  <c r="K11893" i="1"/>
  <c r="H11893" i="1"/>
  <c r="K11892" i="1"/>
  <c r="H11892" i="1"/>
  <c r="K11891" i="1"/>
  <c r="H11891" i="1"/>
  <c r="K11890" i="1"/>
  <c r="H11890" i="1"/>
  <c r="K11889" i="1"/>
  <c r="H11889" i="1"/>
  <c r="K11888" i="1"/>
  <c r="H11888" i="1"/>
  <c r="K11887" i="1"/>
  <c r="H11887" i="1"/>
  <c r="K11886" i="1"/>
  <c r="H11886" i="1"/>
  <c r="K11885" i="1"/>
  <c r="H11885" i="1"/>
  <c r="K11884" i="1"/>
  <c r="H11884" i="1"/>
  <c r="K11883" i="1"/>
  <c r="H11883" i="1"/>
  <c r="K11882" i="1"/>
  <c r="H11882" i="1"/>
  <c r="K11881" i="1"/>
  <c r="H11881" i="1"/>
  <c r="K11880" i="1"/>
  <c r="H11880" i="1"/>
  <c r="K11879" i="1"/>
  <c r="H11879" i="1"/>
  <c r="K11878" i="1"/>
  <c r="H11878" i="1"/>
  <c r="K11877" i="1"/>
  <c r="H11877" i="1"/>
  <c r="K11876" i="1"/>
  <c r="H11876" i="1"/>
  <c r="K11875" i="1"/>
  <c r="H11875" i="1"/>
  <c r="K11874" i="1"/>
  <c r="H11874" i="1"/>
  <c r="K11873" i="1"/>
  <c r="H11873" i="1"/>
  <c r="K11872" i="1"/>
  <c r="H11872" i="1"/>
  <c r="K11871" i="1"/>
  <c r="H11871" i="1"/>
  <c r="K11870" i="1"/>
  <c r="H11870" i="1"/>
  <c r="K11869" i="1"/>
  <c r="H11869" i="1"/>
  <c r="K11868" i="1"/>
  <c r="H11868" i="1"/>
  <c r="K11867" i="1"/>
  <c r="H11867" i="1"/>
  <c r="K11866" i="1"/>
  <c r="H11866" i="1"/>
  <c r="K11865" i="1"/>
  <c r="H11865" i="1"/>
  <c r="K11864" i="1"/>
  <c r="H11864" i="1"/>
  <c r="K11863" i="1"/>
  <c r="H11863" i="1"/>
  <c r="K11862" i="1"/>
  <c r="H11862" i="1"/>
  <c r="K11861" i="1"/>
  <c r="H11861" i="1"/>
  <c r="K11860" i="1"/>
  <c r="H11860" i="1"/>
  <c r="K11859" i="1"/>
  <c r="H11859" i="1"/>
  <c r="K11858" i="1"/>
  <c r="H11858" i="1"/>
  <c r="K11857" i="1"/>
  <c r="H11857" i="1"/>
  <c r="K11856" i="1"/>
  <c r="H11856" i="1"/>
  <c r="K11855" i="1"/>
  <c r="H11855" i="1"/>
  <c r="K11854" i="1"/>
  <c r="H11854" i="1"/>
  <c r="K11853" i="1"/>
  <c r="H11853" i="1"/>
  <c r="K11852" i="1"/>
  <c r="H11852" i="1"/>
  <c r="K11851" i="1"/>
  <c r="H11851" i="1"/>
  <c r="K11850" i="1"/>
  <c r="H11850" i="1"/>
  <c r="K11849" i="1"/>
  <c r="H11849" i="1"/>
  <c r="K11848" i="1"/>
  <c r="H11848" i="1"/>
  <c r="K11847" i="1"/>
  <c r="H11847" i="1"/>
  <c r="K11846" i="1"/>
  <c r="H11846" i="1"/>
  <c r="K11845" i="1"/>
  <c r="H11845" i="1"/>
  <c r="K11844" i="1"/>
  <c r="H11844" i="1"/>
  <c r="K11843" i="1"/>
  <c r="H11843" i="1"/>
  <c r="K11842" i="1"/>
  <c r="H11842" i="1"/>
  <c r="K11841" i="1"/>
  <c r="H11841" i="1"/>
  <c r="K11840" i="1"/>
  <c r="H11840" i="1"/>
  <c r="K11839" i="1"/>
  <c r="H11839" i="1"/>
  <c r="K11838" i="1"/>
  <c r="H11838" i="1"/>
  <c r="K11837" i="1"/>
  <c r="H11837" i="1"/>
  <c r="K11836" i="1"/>
  <c r="H11836" i="1"/>
  <c r="K11835" i="1"/>
  <c r="H11835" i="1"/>
  <c r="K11834" i="1"/>
  <c r="H11834" i="1"/>
  <c r="K11833" i="1"/>
  <c r="H11833" i="1"/>
  <c r="K11832" i="1"/>
  <c r="H11832" i="1"/>
  <c r="K11831" i="1"/>
  <c r="H11831" i="1"/>
  <c r="K11830" i="1"/>
  <c r="H11830" i="1"/>
  <c r="K11829" i="1"/>
  <c r="H11829" i="1"/>
  <c r="K11828" i="1"/>
  <c r="H11828" i="1"/>
  <c r="K11827" i="1"/>
  <c r="H11827" i="1"/>
  <c r="K11826" i="1"/>
  <c r="H11826" i="1"/>
  <c r="K11825" i="1"/>
  <c r="H11825" i="1"/>
  <c r="K11824" i="1"/>
  <c r="H11824" i="1"/>
  <c r="K11823" i="1"/>
  <c r="H11823" i="1"/>
  <c r="K11822" i="1"/>
  <c r="H11822" i="1"/>
  <c r="K11821" i="1"/>
  <c r="H11821" i="1"/>
  <c r="K11820" i="1"/>
  <c r="H11820" i="1"/>
  <c r="K11819" i="1"/>
  <c r="H11819" i="1"/>
  <c r="K11818" i="1"/>
  <c r="H11818" i="1"/>
  <c r="K11817" i="1"/>
  <c r="H11817" i="1"/>
  <c r="K11816" i="1"/>
  <c r="H11816" i="1"/>
  <c r="K11815" i="1"/>
  <c r="H11815" i="1"/>
  <c r="K11814" i="1"/>
  <c r="H11814" i="1"/>
  <c r="K11813" i="1"/>
  <c r="H11813" i="1"/>
  <c r="K11812" i="1"/>
  <c r="H11812" i="1"/>
  <c r="K11811" i="1"/>
  <c r="H11811" i="1"/>
  <c r="K11810" i="1"/>
  <c r="H11810" i="1"/>
  <c r="K11809" i="1"/>
  <c r="H11809" i="1"/>
  <c r="K11808" i="1"/>
  <c r="H11808" i="1"/>
  <c r="K11807" i="1"/>
  <c r="H11807" i="1"/>
  <c r="K11806" i="1"/>
  <c r="H11806" i="1"/>
  <c r="K11805" i="1"/>
  <c r="H11805" i="1"/>
  <c r="K11804" i="1"/>
  <c r="H11804" i="1"/>
  <c r="K11803" i="1"/>
  <c r="H11803" i="1"/>
  <c r="K11802" i="1"/>
  <c r="H11802" i="1"/>
  <c r="K11801" i="1"/>
  <c r="H11801" i="1"/>
  <c r="K11800" i="1"/>
  <c r="H11800" i="1"/>
  <c r="K11799" i="1"/>
  <c r="H11799" i="1"/>
  <c r="K11798" i="1"/>
  <c r="H11798" i="1"/>
  <c r="K11797" i="1"/>
  <c r="H11797" i="1"/>
  <c r="K11796" i="1"/>
  <c r="H11796" i="1"/>
  <c r="K11795" i="1"/>
  <c r="H11795" i="1"/>
  <c r="K11794" i="1"/>
  <c r="H11794" i="1"/>
  <c r="K11793" i="1"/>
  <c r="H11793" i="1"/>
  <c r="K11792" i="1"/>
  <c r="H11792" i="1"/>
  <c r="K11791" i="1"/>
  <c r="H11791" i="1"/>
  <c r="K11790" i="1"/>
  <c r="H11790" i="1"/>
  <c r="K11789" i="1"/>
  <c r="H11789" i="1"/>
  <c r="K11788" i="1"/>
  <c r="H11788" i="1"/>
  <c r="K11787" i="1"/>
  <c r="H11787" i="1"/>
  <c r="K11786" i="1"/>
  <c r="H11786" i="1"/>
  <c r="K11785" i="1"/>
  <c r="H11785" i="1"/>
  <c r="K11784" i="1"/>
  <c r="H11784" i="1"/>
  <c r="K11783" i="1"/>
  <c r="H11783" i="1"/>
  <c r="K11782" i="1"/>
  <c r="H11782" i="1"/>
  <c r="K11781" i="1"/>
  <c r="H11781" i="1"/>
  <c r="K11780" i="1"/>
  <c r="H11780" i="1"/>
  <c r="K11779" i="1"/>
  <c r="H11779" i="1"/>
  <c r="K11778" i="1"/>
  <c r="H11778" i="1"/>
  <c r="K11777" i="1"/>
  <c r="H11777" i="1"/>
  <c r="K11776" i="1"/>
  <c r="H11776" i="1"/>
  <c r="K11775" i="1"/>
  <c r="H11775" i="1"/>
  <c r="K11774" i="1"/>
  <c r="H11774" i="1"/>
  <c r="K11773" i="1"/>
  <c r="H11773" i="1"/>
  <c r="K11772" i="1"/>
  <c r="H11772" i="1"/>
  <c r="K11771" i="1"/>
  <c r="H11771" i="1"/>
  <c r="K11770" i="1"/>
  <c r="H11770" i="1"/>
  <c r="K11769" i="1"/>
  <c r="H11769" i="1"/>
  <c r="K11768" i="1"/>
  <c r="H11768" i="1"/>
  <c r="K11767" i="1"/>
  <c r="H11767" i="1"/>
  <c r="K11766" i="1"/>
  <c r="H11766" i="1"/>
  <c r="K11765" i="1"/>
  <c r="H11765" i="1"/>
  <c r="K11764" i="1"/>
  <c r="H11764" i="1"/>
  <c r="K11763" i="1"/>
  <c r="H11763" i="1"/>
  <c r="K11762" i="1"/>
  <c r="H11762" i="1"/>
  <c r="K11761" i="1"/>
  <c r="H11761" i="1"/>
  <c r="K11760" i="1"/>
  <c r="H11760" i="1"/>
  <c r="K11759" i="1"/>
  <c r="H11759" i="1"/>
  <c r="K11758" i="1"/>
  <c r="H11758" i="1"/>
  <c r="K11757" i="1"/>
  <c r="H11757" i="1"/>
  <c r="K11756" i="1"/>
  <c r="H11756" i="1"/>
  <c r="K11755" i="1"/>
  <c r="H11755" i="1"/>
  <c r="K11754" i="1"/>
  <c r="H11754" i="1"/>
  <c r="K11753" i="1"/>
  <c r="H11753" i="1"/>
  <c r="K11752" i="1"/>
  <c r="H11752" i="1"/>
  <c r="K11751" i="1"/>
  <c r="H11751" i="1"/>
  <c r="K11750" i="1"/>
  <c r="H11750" i="1"/>
  <c r="K11749" i="1"/>
  <c r="H11749" i="1"/>
  <c r="K11748" i="1"/>
  <c r="H11748" i="1"/>
  <c r="K11747" i="1"/>
  <c r="H11747" i="1"/>
  <c r="K11746" i="1"/>
  <c r="H11746" i="1"/>
  <c r="K11745" i="1"/>
  <c r="H11745" i="1"/>
  <c r="K11744" i="1"/>
  <c r="H11744" i="1"/>
  <c r="K11743" i="1"/>
  <c r="H11743" i="1"/>
  <c r="K11742" i="1"/>
  <c r="H11742" i="1"/>
  <c r="K11741" i="1"/>
  <c r="H11741" i="1"/>
  <c r="K11740" i="1"/>
  <c r="H11740" i="1"/>
  <c r="K11739" i="1"/>
  <c r="H11739" i="1"/>
  <c r="K11738" i="1"/>
  <c r="H11738" i="1"/>
  <c r="K11737" i="1"/>
  <c r="H11737" i="1"/>
  <c r="K11736" i="1"/>
  <c r="H11736" i="1"/>
  <c r="K11735" i="1"/>
  <c r="H11735" i="1"/>
  <c r="K11734" i="1"/>
  <c r="H11734" i="1"/>
  <c r="K11733" i="1"/>
  <c r="H11733" i="1"/>
  <c r="K11732" i="1"/>
  <c r="H11732" i="1"/>
  <c r="K11731" i="1"/>
  <c r="H11731" i="1"/>
  <c r="K11730" i="1"/>
  <c r="H11730" i="1"/>
  <c r="K11729" i="1"/>
  <c r="H11729" i="1"/>
  <c r="K11728" i="1"/>
  <c r="H11728" i="1"/>
  <c r="K11727" i="1"/>
  <c r="H11727" i="1"/>
  <c r="K11726" i="1"/>
  <c r="H11726" i="1"/>
  <c r="K11725" i="1"/>
  <c r="H11725" i="1"/>
  <c r="K11724" i="1"/>
  <c r="H11724" i="1"/>
  <c r="K11723" i="1"/>
  <c r="H11723" i="1"/>
  <c r="K11722" i="1"/>
  <c r="H11722" i="1"/>
  <c r="K11721" i="1"/>
  <c r="H11721" i="1"/>
  <c r="K11720" i="1"/>
  <c r="H11720" i="1"/>
  <c r="K11719" i="1"/>
  <c r="H11719" i="1"/>
  <c r="K11718" i="1"/>
  <c r="H11718" i="1"/>
  <c r="K11717" i="1"/>
  <c r="H11717" i="1"/>
  <c r="K11716" i="1"/>
  <c r="H11716" i="1"/>
  <c r="K11715" i="1"/>
  <c r="H11715" i="1"/>
  <c r="K11714" i="1"/>
  <c r="H11714" i="1"/>
  <c r="K11713" i="1"/>
  <c r="H11713" i="1"/>
  <c r="K11712" i="1"/>
  <c r="H11712" i="1"/>
  <c r="K11711" i="1"/>
  <c r="H11711" i="1"/>
  <c r="K11710" i="1"/>
  <c r="H11710" i="1"/>
  <c r="K11709" i="1"/>
  <c r="H11709" i="1"/>
  <c r="K11708" i="1"/>
  <c r="H11708" i="1"/>
  <c r="K11707" i="1"/>
  <c r="H11707" i="1"/>
  <c r="K11706" i="1"/>
  <c r="H11706" i="1"/>
  <c r="K11705" i="1"/>
  <c r="H11705" i="1"/>
  <c r="K11704" i="1"/>
  <c r="H11704" i="1"/>
  <c r="K11703" i="1"/>
  <c r="H11703" i="1"/>
  <c r="K11702" i="1"/>
  <c r="H11702" i="1"/>
  <c r="K11701" i="1"/>
  <c r="H11701" i="1"/>
  <c r="K11700" i="1"/>
  <c r="H11700" i="1"/>
  <c r="K11699" i="1"/>
  <c r="H11699" i="1"/>
  <c r="K11698" i="1"/>
  <c r="H11698" i="1"/>
  <c r="K11697" i="1"/>
  <c r="H11697" i="1"/>
  <c r="K11696" i="1"/>
  <c r="H11696" i="1"/>
  <c r="K11695" i="1"/>
  <c r="H11695" i="1"/>
  <c r="K11694" i="1"/>
  <c r="H11694" i="1"/>
  <c r="K11693" i="1"/>
  <c r="H11693" i="1"/>
  <c r="K11692" i="1"/>
  <c r="H11692" i="1"/>
  <c r="K11691" i="1"/>
  <c r="H11691" i="1"/>
  <c r="K11690" i="1"/>
  <c r="H11690" i="1"/>
  <c r="K11689" i="1"/>
  <c r="H11689" i="1"/>
  <c r="K11688" i="1"/>
  <c r="H11688" i="1"/>
  <c r="K11687" i="1"/>
  <c r="H11687" i="1"/>
  <c r="K11686" i="1"/>
  <c r="H11686" i="1"/>
  <c r="K11685" i="1"/>
  <c r="H11685" i="1"/>
  <c r="K11684" i="1"/>
  <c r="H11684" i="1"/>
  <c r="K11683" i="1"/>
  <c r="H11683" i="1"/>
  <c r="K11682" i="1"/>
  <c r="H11682" i="1"/>
  <c r="K11681" i="1"/>
  <c r="H11681" i="1"/>
  <c r="K11680" i="1"/>
  <c r="H11680" i="1"/>
  <c r="K11679" i="1"/>
  <c r="H11679" i="1"/>
  <c r="K11678" i="1"/>
  <c r="H11678" i="1"/>
  <c r="K11677" i="1"/>
  <c r="H11677" i="1"/>
  <c r="K11676" i="1"/>
  <c r="H11676" i="1"/>
  <c r="K11675" i="1"/>
  <c r="H11675" i="1"/>
  <c r="K11674" i="1"/>
  <c r="H11674" i="1"/>
  <c r="K11673" i="1"/>
  <c r="H11673" i="1"/>
  <c r="K11672" i="1"/>
  <c r="H11672" i="1"/>
  <c r="K11671" i="1"/>
  <c r="H11671" i="1"/>
  <c r="K11670" i="1"/>
  <c r="H11670" i="1"/>
  <c r="K11669" i="1"/>
  <c r="H11669" i="1"/>
  <c r="K11668" i="1"/>
  <c r="H11668" i="1"/>
  <c r="K11667" i="1"/>
  <c r="H11667" i="1"/>
  <c r="K11666" i="1"/>
  <c r="H11666" i="1"/>
  <c r="K11665" i="1"/>
  <c r="H11665" i="1"/>
  <c r="K11664" i="1"/>
  <c r="H11664" i="1"/>
  <c r="K11663" i="1"/>
  <c r="H11663" i="1"/>
  <c r="K11662" i="1"/>
  <c r="H11662" i="1"/>
  <c r="K11661" i="1"/>
  <c r="H11661" i="1"/>
  <c r="K11660" i="1"/>
  <c r="H11660" i="1"/>
  <c r="K11659" i="1"/>
  <c r="H11659" i="1"/>
  <c r="K11658" i="1"/>
  <c r="H11658" i="1"/>
  <c r="K11657" i="1"/>
  <c r="H11657" i="1"/>
  <c r="K11656" i="1"/>
  <c r="H11656" i="1"/>
  <c r="K11655" i="1"/>
  <c r="H11655" i="1"/>
  <c r="K11654" i="1"/>
  <c r="H11654" i="1"/>
  <c r="K11653" i="1"/>
  <c r="H11653" i="1"/>
  <c r="K11652" i="1"/>
  <c r="H11652" i="1"/>
  <c r="K11651" i="1"/>
  <c r="H11651" i="1"/>
  <c r="K11650" i="1"/>
  <c r="H11650" i="1"/>
  <c r="K11649" i="1"/>
  <c r="H11649" i="1"/>
  <c r="K11648" i="1"/>
  <c r="H11648" i="1"/>
  <c r="K11647" i="1"/>
  <c r="H11647" i="1"/>
  <c r="K11646" i="1"/>
  <c r="H11646" i="1"/>
  <c r="K11645" i="1"/>
  <c r="H11645" i="1"/>
  <c r="K11644" i="1"/>
  <c r="H11644" i="1"/>
  <c r="K11643" i="1"/>
  <c r="H11643" i="1"/>
  <c r="K11642" i="1"/>
  <c r="H11642" i="1"/>
  <c r="K11641" i="1"/>
  <c r="H11641" i="1"/>
  <c r="K11640" i="1"/>
  <c r="H11640" i="1"/>
  <c r="K11639" i="1"/>
  <c r="H11639" i="1"/>
  <c r="K11638" i="1"/>
  <c r="H11638" i="1"/>
  <c r="K11637" i="1"/>
  <c r="H11637" i="1"/>
  <c r="K11636" i="1"/>
  <c r="H11636" i="1"/>
  <c r="K11635" i="1"/>
  <c r="H11635" i="1"/>
  <c r="K11634" i="1"/>
  <c r="H11634" i="1"/>
  <c r="K11633" i="1"/>
  <c r="H11633" i="1"/>
  <c r="K11632" i="1"/>
  <c r="H11632" i="1"/>
  <c r="K11631" i="1"/>
  <c r="H11631" i="1"/>
  <c r="K11630" i="1"/>
  <c r="H11630" i="1"/>
  <c r="K11629" i="1"/>
  <c r="H11629" i="1"/>
  <c r="K11628" i="1"/>
  <c r="H11628" i="1"/>
  <c r="K11627" i="1"/>
  <c r="H11627" i="1"/>
  <c r="K11626" i="1"/>
  <c r="H11626" i="1"/>
  <c r="K11625" i="1"/>
  <c r="H11625" i="1"/>
  <c r="K11624" i="1"/>
  <c r="H11624" i="1"/>
  <c r="K11623" i="1"/>
  <c r="H11623" i="1"/>
  <c r="K11622" i="1"/>
  <c r="H11622" i="1"/>
  <c r="K11621" i="1"/>
  <c r="H11621" i="1"/>
  <c r="K11620" i="1"/>
  <c r="H11620" i="1"/>
  <c r="K11619" i="1"/>
  <c r="H11619" i="1"/>
  <c r="K11618" i="1"/>
  <c r="H11618" i="1"/>
  <c r="K11617" i="1"/>
  <c r="H11617" i="1"/>
  <c r="K11616" i="1"/>
  <c r="H11616" i="1"/>
  <c r="K11615" i="1"/>
  <c r="H11615" i="1"/>
  <c r="K11614" i="1"/>
  <c r="H11614" i="1"/>
  <c r="K11613" i="1"/>
  <c r="H11613" i="1"/>
  <c r="K11612" i="1"/>
  <c r="H11612" i="1"/>
  <c r="K11611" i="1"/>
  <c r="H11611" i="1"/>
  <c r="K11610" i="1"/>
  <c r="H11610" i="1"/>
  <c r="K11609" i="1"/>
  <c r="H11609" i="1"/>
  <c r="K11608" i="1"/>
  <c r="H11608" i="1"/>
  <c r="K11607" i="1"/>
  <c r="H11607" i="1"/>
  <c r="K11606" i="1"/>
  <c r="H11606" i="1"/>
  <c r="K11605" i="1"/>
  <c r="H11605" i="1"/>
  <c r="K11604" i="1"/>
  <c r="H11604" i="1"/>
  <c r="K11603" i="1"/>
  <c r="H11603" i="1"/>
  <c r="K11602" i="1"/>
  <c r="H11602" i="1"/>
  <c r="K11601" i="1"/>
  <c r="H11601" i="1"/>
  <c r="K11600" i="1"/>
  <c r="H11600" i="1"/>
  <c r="K11599" i="1"/>
  <c r="H11599" i="1"/>
  <c r="K11598" i="1"/>
  <c r="H11598" i="1"/>
  <c r="K11597" i="1"/>
  <c r="H11597" i="1"/>
  <c r="K11596" i="1"/>
  <c r="H11596" i="1"/>
  <c r="K11595" i="1"/>
  <c r="H11595" i="1"/>
  <c r="K11594" i="1"/>
  <c r="H11594" i="1"/>
  <c r="K11593" i="1"/>
  <c r="H11593" i="1"/>
  <c r="K11592" i="1"/>
  <c r="H11592" i="1"/>
  <c r="K11591" i="1"/>
  <c r="H11591" i="1"/>
  <c r="K11590" i="1"/>
  <c r="H11590" i="1"/>
  <c r="K11589" i="1"/>
  <c r="H11589" i="1"/>
  <c r="K11588" i="1"/>
  <c r="H11588" i="1"/>
  <c r="K11587" i="1"/>
  <c r="H11587" i="1"/>
  <c r="K11586" i="1"/>
  <c r="H11586" i="1"/>
  <c r="K11585" i="1"/>
  <c r="H11585" i="1"/>
  <c r="K11584" i="1"/>
  <c r="H11584" i="1"/>
  <c r="K11583" i="1"/>
  <c r="H11583" i="1"/>
  <c r="K11582" i="1"/>
  <c r="H11582" i="1"/>
  <c r="K11581" i="1"/>
  <c r="H11581" i="1"/>
  <c r="K11580" i="1"/>
  <c r="H11580" i="1"/>
  <c r="K11579" i="1"/>
  <c r="H11579" i="1"/>
  <c r="K11578" i="1"/>
  <c r="H11578" i="1"/>
  <c r="K11577" i="1"/>
  <c r="H11577" i="1"/>
  <c r="K11576" i="1"/>
  <c r="H11576" i="1"/>
  <c r="K11575" i="1"/>
  <c r="H11575" i="1"/>
  <c r="K11574" i="1"/>
  <c r="H11574" i="1"/>
  <c r="K11573" i="1"/>
  <c r="H11573" i="1"/>
  <c r="K11572" i="1"/>
  <c r="H11572" i="1"/>
  <c r="K11571" i="1"/>
  <c r="H11571" i="1"/>
  <c r="K11570" i="1"/>
  <c r="H11570" i="1"/>
  <c r="K11569" i="1"/>
  <c r="H11569" i="1"/>
  <c r="K11568" i="1"/>
  <c r="H11568" i="1"/>
  <c r="K11567" i="1"/>
  <c r="H11567" i="1"/>
  <c r="K11566" i="1"/>
  <c r="H11566" i="1"/>
  <c r="K11565" i="1"/>
  <c r="H11565" i="1"/>
  <c r="K11564" i="1"/>
  <c r="H11564" i="1"/>
  <c r="K11563" i="1"/>
  <c r="H11563" i="1"/>
  <c r="K11562" i="1"/>
  <c r="H11562" i="1"/>
  <c r="K11561" i="1"/>
  <c r="H11561" i="1"/>
  <c r="K11560" i="1"/>
  <c r="H11560" i="1"/>
  <c r="K11559" i="1"/>
  <c r="H11559" i="1"/>
  <c r="K11558" i="1"/>
  <c r="H11558" i="1"/>
  <c r="K11557" i="1"/>
  <c r="H11557" i="1"/>
  <c r="K11556" i="1"/>
  <c r="H11556" i="1"/>
  <c r="K11555" i="1"/>
  <c r="H11555" i="1"/>
  <c r="K11554" i="1"/>
  <c r="H11554" i="1"/>
  <c r="K11553" i="1"/>
  <c r="H11553" i="1"/>
  <c r="K11552" i="1"/>
  <c r="H11552" i="1"/>
  <c r="K11551" i="1"/>
  <c r="H11551" i="1"/>
  <c r="K11550" i="1"/>
  <c r="H11550" i="1"/>
  <c r="K11549" i="1"/>
  <c r="H11549" i="1"/>
  <c r="K11548" i="1"/>
  <c r="H11548" i="1"/>
  <c r="K11547" i="1"/>
  <c r="H11547" i="1"/>
  <c r="K11546" i="1"/>
  <c r="H11546" i="1"/>
  <c r="K11545" i="1"/>
  <c r="H11545" i="1"/>
  <c r="K11544" i="1"/>
  <c r="H11544" i="1"/>
  <c r="K11543" i="1"/>
  <c r="H11543" i="1"/>
  <c r="K11542" i="1"/>
  <c r="H11542" i="1"/>
  <c r="K11541" i="1"/>
  <c r="H11541" i="1"/>
  <c r="K11540" i="1"/>
  <c r="H11540" i="1"/>
  <c r="K11539" i="1"/>
  <c r="H11539" i="1"/>
  <c r="K11538" i="1"/>
  <c r="H11538" i="1"/>
  <c r="K11537" i="1"/>
  <c r="H11537" i="1"/>
  <c r="K11536" i="1"/>
  <c r="H11536" i="1"/>
  <c r="K11535" i="1"/>
  <c r="H11535" i="1"/>
  <c r="K11534" i="1"/>
  <c r="H11534" i="1"/>
  <c r="K11533" i="1"/>
  <c r="H11533" i="1"/>
  <c r="K11532" i="1"/>
  <c r="H11532" i="1"/>
  <c r="K11531" i="1"/>
  <c r="H11531" i="1"/>
  <c r="K11530" i="1"/>
  <c r="H11530" i="1"/>
  <c r="K11529" i="1"/>
  <c r="H11529" i="1"/>
  <c r="K11528" i="1"/>
  <c r="H11528" i="1"/>
  <c r="K11527" i="1"/>
  <c r="H11527" i="1"/>
  <c r="K11526" i="1"/>
  <c r="H11526" i="1"/>
  <c r="K11525" i="1"/>
  <c r="H11525" i="1"/>
  <c r="K11524" i="1"/>
  <c r="H11524" i="1"/>
  <c r="K11523" i="1"/>
  <c r="H11523" i="1"/>
  <c r="K11522" i="1"/>
  <c r="H11522" i="1"/>
  <c r="K11521" i="1"/>
  <c r="H11521" i="1"/>
  <c r="K11520" i="1"/>
  <c r="H11520" i="1"/>
  <c r="K11519" i="1"/>
  <c r="H11519" i="1"/>
  <c r="K11518" i="1"/>
  <c r="H11518" i="1"/>
  <c r="K11517" i="1"/>
  <c r="H11517" i="1"/>
  <c r="K11516" i="1"/>
  <c r="H11516" i="1"/>
  <c r="K11515" i="1"/>
  <c r="H11515" i="1"/>
  <c r="K11514" i="1"/>
  <c r="H11514" i="1"/>
  <c r="K11513" i="1"/>
  <c r="H11513" i="1"/>
  <c r="K11512" i="1"/>
  <c r="H11512" i="1"/>
  <c r="K11511" i="1"/>
  <c r="H11511" i="1"/>
  <c r="K11510" i="1"/>
  <c r="H11510" i="1"/>
  <c r="K11509" i="1"/>
  <c r="H11509" i="1"/>
  <c r="K11508" i="1"/>
  <c r="H11508" i="1"/>
  <c r="K11507" i="1"/>
  <c r="H11507" i="1"/>
  <c r="K11506" i="1"/>
  <c r="H11506" i="1"/>
  <c r="K11505" i="1"/>
  <c r="H11505" i="1"/>
  <c r="K11504" i="1"/>
  <c r="H11504" i="1"/>
  <c r="K11503" i="1"/>
  <c r="H11503" i="1"/>
  <c r="K11502" i="1"/>
  <c r="H11502" i="1"/>
  <c r="K11501" i="1"/>
  <c r="H11501" i="1"/>
  <c r="K11500" i="1"/>
  <c r="H11500" i="1"/>
  <c r="K11499" i="1"/>
  <c r="H11499" i="1"/>
  <c r="K11498" i="1"/>
  <c r="H11498" i="1"/>
  <c r="K11497" i="1"/>
  <c r="H11497" i="1"/>
  <c r="K11496" i="1"/>
  <c r="H11496" i="1"/>
  <c r="K11495" i="1"/>
  <c r="H11495" i="1"/>
  <c r="K11494" i="1"/>
  <c r="H11494" i="1"/>
  <c r="K11493" i="1"/>
  <c r="H11493" i="1"/>
  <c r="K11492" i="1"/>
  <c r="H11492" i="1"/>
  <c r="K11491" i="1"/>
  <c r="H11491" i="1"/>
  <c r="K11490" i="1"/>
  <c r="H11490" i="1"/>
  <c r="K11489" i="1"/>
  <c r="H11489" i="1"/>
  <c r="K11488" i="1"/>
  <c r="H11488" i="1"/>
  <c r="K11487" i="1"/>
  <c r="H11487" i="1"/>
  <c r="K11486" i="1"/>
  <c r="H11486" i="1"/>
  <c r="K11485" i="1"/>
  <c r="H11485" i="1"/>
  <c r="K11484" i="1"/>
  <c r="H11484" i="1"/>
  <c r="K11483" i="1"/>
  <c r="H11483" i="1"/>
  <c r="K11482" i="1"/>
  <c r="H11482" i="1"/>
  <c r="K11481" i="1"/>
  <c r="H11481" i="1"/>
  <c r="K11480" i="1"/>
  <c r="H11480" i="1"/>
  <c r="K11479" i="1"/>
  <c r="H11479" i="1"/>
  <c r="K11478" i="1"/>
  <c r="H11478" i="1"/>
  <c r="K11477" i="1"/>
  <c r="H11477" i="1"/>
  <c r="K11476" i="1"/>
  <c r="H11476" i="1"/>
  <c r="K11475" i="1"/>
  <c r="H11475" i="1"/>
  <c r="K11474" i="1"/>
  <c r="H11474" i="1"/>
  <c r="K11473" i="1"/>
  <c r="H11473" i="1"/>
  <c r="K11472" i="1"/>
  <c r="H11472" i="1"/>
  <c r="K11471" i="1"/>
  <c r="H11471" i="1"/>
  <c r="K11470" i="1"/>
  <c r="H11470" i="1"/>
  <c r="K11469" i="1"/>
  <c r="H11469" i="1"/>
  <c r="K11468" i="1"/>
  <c r="H11468" i="1"/>
  <c r="K11467" i="1"/>
  <c r="H11467" i="1"/>
  <c r="K11466" i="1"/>
  <c r="H11466" i="1"/>
  <c r="K11465" i="1"/>
  <c r="H11465" i="1"/>
  <c r="K11464" i="1"/>
  <c r="H11464" i="1"/>
  <c r="K11463" i="1"/>
  <c r="H11463" i="1"/>
  <c r="K11462" i="1"/>
  <c r="H11462" i="1"/>
  <c r="K11461" i="1"/>
  <c r="H11461" i="1"/>
  <c r="K11460" i="1"/>
  <c r="H11460" i="1"/>
  <c r="K11459" i="1"/>
  <c r="H11459" i="1"/>
  <c r="K11458" i="1"/>
  <c r="H11458" i="1"/>
  <c r="K11457" i="1"/>
  <c r="H11457" i="1"/>
  <c r="K11456" i="1"/>
  <c r="H11456" i="1"/>
  <c r="K11455" i="1"/>
  <c r="H11455" i="1"/>
  <c r="K11454" i="1"/>
  <c r="H11454" i="1"/>
  <c r="K11453" i="1"/>
  <c r="H11453" i="1"/>
  <c r="K11452" i="1"/>
  <c r="H11452" i="1"/>
  <c r="K11451" i="1"/>
  <c r="H11451" i="1"/>
  <c r="K11450" i="1"/>
  <c r="H11450" i="1"/>
  <c r="K11449" i="1"/>
  <c r="H11449" i="1"/>
  <c r="K11448" i="1"/>
  <c r="H11448" i="1"/>
  <c r="K11447" i="1"/>
  <c r="H11447" i="1"/>
  <c r="K11446" i="1"/>
  <c r="H11446" i="1"/>
  <c r="K11445" i="1"/>
  <c r="H11445" i="1"/>
  <c r="K11444" i="1"/>
  <c r="H11444" i="1"/>
  <c r="K11443" i="1"/>
  <c r="H11443" i="1"/>
  <c r="K11442" i="1"/>
  <c r="H11442" i="1"/>
  <c r="K11441" i="1"/>
  <c r="H11441" i="1"/>
  <c r="K11440" i="1"/>
  <c r="H11440" i="1"/>
  <c r="K11439" i="1"/>
  <c r="H11439" i="1"/>
  <c r="K11438" i="1"/>
  <c r="H11438" i="1"/>
  <c r="K11437" i="1"/>
  <c r="H11437" i="1"/>
  <c r="K11436" i="1"/>
  <c r="H11436" i="1"/>
  <c r="K11435" i="1"/>
  <c r="H11435" i="1"/>
  <c r="K11434" i="1"/>
  <c r="H11434" i="1"/>
  <c r="K11433" i="1"/>
  <c r="H11433" i="1"/>
  <c r="K11432" i="1"/>
  <c r="H11432" i="1"/>
  <c r="K11431" i="1"/>
  <c r="H11431" i="1"/>
  <c r="K11430" i="1"/>
  <c r="H11430" i="1"/>
  <c r="K11429" i="1"/>
  <c r="H11429" i="1"/>
  <c r="K11428" i="1"/>
  <c r="H11428" i="1"/>
  <c r="K11427" i="1"/>
  <c r="H11427" i="1"/>
  <c r="K11426" i="1"/>
  <c r="H11426" i="1"/>
  <c r="K11425" i="1"/>
  <c r="H11425" i="1"/>
  <c r="K11424" i="1"/>
  <c r="H11424" i="1"/>
  <c r="K11423" i="1"/>
  <c r="H11423" i="1"/>
  <c r="K11422" i="1"/>
  <c r="H11422" i="1"/>
  <c r="K11421" i="1"/>
  <c r="H11421" i="1"/>
  <c r="K11420" i="1"/>
  <c r="H11420" i="1"/>
  <c r="K11419" i="1"/>
  <c r="H11419" i="1"/>
  <c r="K11418" i="1"/>
  <c r="H11418" i="1"/>
  <c r="K11417" i="1"/>
  <c r="H11417" i="1"/>
  <c r="K11416" i="1"/>
  <c r="H11416" i="1"/>
  <c r="K11415" i="1"/>
  <c r="H11415" i="1"/>
  <c r="K11414" i="1"/>
  <c r="H11414" i="1"/>
  <c r="K11413" i="1"/>
  <c r="H11413" i="1"/>
  <c r="K11412" i="1"/>
  <c r="H11412" i="1"/>
  <c r="K11411" i="1"/>
  <c r="H11411" i="1"/>
  <c r="K11410" i="1"/>
  <c r="H11410" i="1"/>
  <c r="K11409" i="1"/>
  <c r="H11409" i="1"/>
  <c r="K11408" i="1"/>
  <c r="H11408" i="1"/>
  <c r="K11407" i="1"/>
  <c r="H11407" i="1"/>
  <c r="K11406" i="1"/>
  <c r="H11406" i="1"/>
  <c r="K11405" i="1"/>
  <c r="H11405" i="1"/>
  <c r="K11404" i="1"/>
  <c r="H11404" i="1"/>
  <c r="K11403" i="1"/>
  <c r="H11403" i="1"/>
  <c r="K11402" i="1"/>
  <c r="H11402" i="1"/>
  <c r="K11401" i="1"/>
  <c r="H11401" i="1"/>
  <c r="K11400" i="1"/>
  <c r="H11400" i="1"/>
  <c r="K11399" i="1"/>
  <c r="H11399" i="1"/>
  <c r="K11398" i="1"/>
  <c r="H11398" i="1"/>
  <c r="K11397" i="1"/>
  <c r="H11397" i="1"/>
  <c r="K11396" i="1"/>
  <c r="H11396" i="1"/>
  <c r="K11395" i="1"/>
  <c r="H11395" i="1"/>
  <c r="K11394" i="1"/>
  <c r="H11394" i="1"/>
  <c r="K11393" i="1"/>
  <c r="H11393" i="1"/>
  <c r="K11392" i="1"/>
  <c r="H11392" i="1"/>
  <c r="K11391" i="1"/>
  <c r="H11391" i="1"/>
  <c r="K11390" i="1"/>
  <c r="H11390" i="1"/>
  <c r="K11389" i="1"/>
  <c r="H11389" i="1"/>
  <c r="K11388" i="1"/>
  <c r="H11388" i="1"/>
  <c r="K11387" i="1"/>
  <c r="H11387" i="1"/>
  <c r="K11386" i="1"/>
  <c r="H11386" i="1"/>
  <c r="K11385" i="1"/>
  <c r="H11385" i="1"/>
  <c r="K11384" i="1"/>
  <c r="H11384" i="1"/>
  <c r="K11383" i="1"/>
  <c r="H11383" i="1"/>
  <c r="K11382" i="1"/>
  <c r="H11382" i="1"/>
  <c r="K11381" i="1"/>
  <c r="H11381" i="1"/>
  <c r="K11380" i="1"/>
  <c r="H11380" i="1"/>
  <c r="K11379" i="1"/>
  <c r="H11379" i="1"/>
  <c r="K11378" i="1"/>
  <c r="H11378" i="1"/>
  <c r="K11377" i="1"/>
  <c r="H11377" i="1"/>
  <c r="K11376" i="1"/>
  <c r="H11376" i="1"/>
  <c r="K11375" i="1"/>
  <c r="H11375" i="1"/>
  <c r="K11374" i="1"/>
  <c r="H11374" i="1"/>
  <c r="K11373" i="1"/>
  <c r="H11373" i="1"/>
  <c r="K11372" i="1"/>
  <c r="H11372" i="1"/>
  <c r="K11371" i="1"/>
  <c r="H11371" i="1"/>
  <c r="K11370" i="1"/>
  <c r="H11370" i="1"/>
  <c r="K11369" i="1"/>
  <c r="H11369" i="1"/>
  <c r="K11368" i="1"/>
  <c r="H11368" i="1"/>
  <c r="K11367" i="1"/>
  <c r="H11367" i="1"/>
  <c r="K11366" i="1"/>
  <c r="H11366" i="1"/>
  <c r="K11365" i="1"/>
  <c r="H11365" i="1"/>
  <c r="K11364" i="1"/>
  <c r="H11364" i="1"/>
  <c r="K11363" i="1"/>
  <c r="H11363" i="1"/>
  <c r="K11362" i="1"/>
  <c r="H11362" i="1"/>
  <c r="K11361" i="1"/>
  <c r="H11361" i="1"/>
  <c r="K11360" i="1"/>
  <c r="H11360" i="1"/>
  <c r="K11359" i="1"/>
  <c r="H11359" i="1"/>
  <c r="K11358" i="1"/>
  <c r="H11358" i="1"/>
  <c r="K11357" i="1"/>
  <c r="H11357" i="1"/>
  <c r="K11356" i="1"/>
  <c r="H11356" i="1"/>
  <c r="K11355" i="1"/>
  <c r="H11355" i="1"/>
  <c r="K11354" i="1"/>
  <c r="H11354" i="1"/>
  <c r="K11353" i="1"/>
  <c r="H11353" i="1"/>
  <c r="K11352" i="1"/>
  <c r="H11352" i="1"/>
  <c r="K11351" i="1"/>
  <c r="H11351" i="1"/>
  <c r="K11350" i="1"/>
  <c r="H11350" i="1"/>
  <c r="K11349" i="1"/>
  <c r="H11349" i="1"/>
  <c r="K11348" i="1"/>
  <c r="H11348" i="1"/>
  <c r="K11347" i="1"/>
  <c r="H11347" i="1"/>
  <c r="K11346" i="1"/>
  <c r="H11346" i="1"/>
  <c r="K11345" i="1"/>
  <c r="H11345" i="1"/>
  <c r="K11344" i="1"/>
  <c r="H11344" i="1"/>
  <c r="K11343" i="1"/>
  <c r="H11343" i="1"/>
  <c r="K11342" i="1"/>
  <c r="H11342" i="1"/>
  <c r="K11341" i="1"/>
  <c r="H11341" i="1"/>
  <c r="K11340" i="1"/>
  <c r="H11340" i="1"/>
  <c r="K11339" i="1"/>
  <c r="H11339" i="1"/>
  <c r="K11338" i="1"/>
  <c r="H11338" i="1"/>
  <c r="K11337" i="1"/>
  <c r="H11337" i="1"/>
  <c r="K11336" i="1"/>
  <c r="H11336" i="1"/>
  <c r="K11335" i="1"/>
  <c r="H11335" i="1"/>
  <c r="K11334" i="1"/>
  <c r="H11334" i="1"/>
  <c r="K11333" i="1"/>
  <c r="H11333" i="1"/>
  <c r="K11332" i="1"/>
  <c r="H11332" i="1"/>
  <c r="K11331" i="1"/>
  <c r="H11331" i="1"/>
  <c r="K11330" i="1"/>
  <c r="H11330" i="1"/>
  <c r="K11329" i="1"/>
  <c r="H11329" i="1"/>
  <c r="K11328" i="1"/>
  <c r="H11328" i="1"/>
  <c r="K11327" i="1"/>
  <c r="H11327" i="1"/>
  <c r="K11326" i="1"/>
  <c r="H11326" i="1"/>
  <c r="K11325" i="1"/>
  <c r="H11325" i="1"/>
  <c r="K11324" i="1"/>
  <c r="H11324" i="1"/>
  <c r="K11323" i="1"/>
  <c r="H11323" i="1"/>
  <c r="K11322" i="1"/>
  <c r="H11322" i="1"/>
  <c r="K11321" i="1"/>
  <c r="H11321" i="1"/>
  <c r="K11320" i="1"/>
  <c r="H11320" i="1"/>
  <c r="K11319" i="1"/>
  <c r="H11319" i="1"/>
  <c r="K11318" i="1"/>
  <c r="H11318" i="1"/>
  <c r="K11317" i="1"/>
  <c r="H11317" i="1"/>
  <c r="K11316" i="1"/>
  <c r="H11316" i="1"/>
  <c r="K11315" i="1"/>
  <c r="H11315" i="1"/>
  <c r="K11314" i="1"/>
  <c r="H11314" i="1"/>
  <c r="K11313" i="1"/>
  <c r="H11313" i="1"/>
  <c r="K11312" i="1"/>
  <c r="H11312" i="1"/>
  <c r="K11311" i="1"/>
  <c r="H11311" i="1"/>
  <c r="K11310" i="1"/>
  <c r="H11310" i="1"/>
  <c r="K11309" i="1"/>
  <c r="H11309" i="1"/>
  <c r="K11308" i="1"/>
  <c r="H11308" i="1"/>
  <c r="K11307" i="1"/>
  <c r="H11307" i="1"/>
  <c r="K11306" i="1"/>
  <c r="H11306" i="1"/>
  <c r="K11305" i="1"/>
  <c r="H11305" i="1"/>
  <c r="K11304" i="1"/>
  <c r="H11304" i="1"/>
  <c r="K11303" i="1"/>
  <c r="H11303" i="1"/>
  <c r="K11302" i="1"/>
  <c r="H11302" i="1"/>
  <c r="K11301" i="1"/>
  <c r="H11301" i="1"/>
  <c r="K11300" i="1"/>
  <c r="H11300" i="1"/>
  <c r="K11299" i="1"/>
  <c r="H11299" i="1"/>
  <c r="K11298" i="1"/>
  <c r="H11298" i="1"/>
  <c r="K11297" i="1"/>
  <c r="H11297" i="1"/>
  <c r="K11296" i="1"/>
  <c r="H11296" i="1"/>
  <c r="K11295" i="1"/>
  <c r="H11295" i="1"/>
  <c r="K11294" i="1"/>
  <c r="H11294" i="1"/>
  <c r="K11293" i="1"/>
  <c r="H11293" i="1"/>
  <c r="K11292" i="1"/>
  <c r="H11292" i="1"/>
  <c r="K11291" i="1"/>
  <c r="H11291" i="1"/>
  <c r="K11290" i="1"/>
  <c r="H11290" i="1"/>
  <c r="K11289" i="1"/>
  <c r="H11289" i="1"/>
  <c r="K11288" i="1"/>
  <c r="H11288" i="1"/>
  <c r="K11287" i="1"/>
  <c r="H11287" i="1"/>
  <c r="K11286" i="1"/>
  <c r="H11286" i="1"/>
  <c r="K11285" i="1"/>
  <c r="H11285" i="1"/>
  <c r="K11284" i="1"/>
  <c r="H11284" i="1"/>
  <c r="K11283" i="1"/>
  <c r="H11283" i="1"/>
  <c r="K11282" i="1"/>
  <c r="H11282" i="1"/>
  <c r="K11281" i="1"/>
  <c r="H11281" i="1"/>
  <c r="K11280" i="1"/>
  <c r="H11280" i="1"/>
  <c r="K11279" i="1"/>
  <c r="H11279" i="1"/>
  <c r="K11278" i="1"/>
  <c r="H11278" i="1"/>
  <c r="K11277" i="1"/>
  <c r="H11277" i="1"/>
  <c r="K11276" i="1"/>
  <c r="H11276" i="1"/>
  <c r="K11275" i="1"/>
  <c r="H11275" i="1"/>
  <c r="K11274" i="1"/>
  <c r="H11274" i="1"/>
  <c r="K11273" i="1"/>
  <c r="H11273" i="1"/>
  <c r="K11272" i="1"/>
  <c r="H11272" i="1"/>
  <c r="K11271" i="1"/>
  <c r="H11271" i="1"/>
  <c r="K11270" i="1"/>
  <c r="H11270" i="1"/>
  <c r="K11269" i="1"/>
  <c r="H11269" i="1"/>
  <c r="K11268" i="1"/>
  <c r="H11268" i="1"/>
  <c r="K11267" i="1"/>
  <c r="H11267" i="1"/>
  <c r="K11266" i="1"/>
  <c r="H11266" i="1"/>
  <c r="K11265" i="1"/>
  <c r="H11265" i="1"/>
  <c r="K11264" i="1"/>
  <c r="H11264" i="1"/>
  <c r="K11263" i="1"/>
  <c r="H11263" i="1"/>
  <c r="K11262" i="1"/>
  <c r="H11262" i="1"/>
  <c r="K11261" i="1"/>
  <c r="H11261" i="1"/>
  <c r="K11260" i="1"/>
  <c r="H11260" i="1"/>
  <c r="K11259" i="1"/>
  <c r="H11259" i="1"/>
  <c r="K11258" i="1"/>
  <c r="H11258" i="1"/>
  <c r="K11257" i="1"/>
  <c r="H11257" i="1"/>
  <c r="K11256" i="1"/>
  <c r="H11256" i="1"/>
  <c r="K11255" i="1"/>
  <c r="H11255" i="1"/>
  <c r="K11254" i="1"/>
  <c r="H11254" i="1"/>
  <c r="K11253" i="1"/>
  <c r="H11253" i="1"/>
  <c r="K11252" i="1"/>
  <c r="H11252" i="1"/>
  <c r="K11251" i="1"/>
  <c r="H11251" i="1"/>
  <c r="K11250" i="1"/>
  <c r="H11250" i="1"/>
  <c r="K11249" i="1"/>
  <c r="H11249" i="1"/>
  <c r="K11248" i="1"/>
  <c r="H11248" i="1"/>
  <c r="K11247" i="1"/>
  <c r="H11247" i="1"/>
  <c r="K11246" i="1"/>
  <c r="H11246" i="1"/>
  <c r="K11245" i="1"/>
  <c r="H11245" i="1"/>
  <c r="K11244" i="1"/>
  <c r="H11244" i="1"/>
  <c r="K11243" i="1"/>
  <c r="H11243" i="1"/>
  <c r="K11242" i="1"/>
  <c r="H11242" i="1"/>
  <c r="K11241" i="1"/>
  <c r="H11241" i="1"/>
  <c r="K11240" i="1"/>
  <c r="H11240" i="1"/>
  <c r="K11239" i="1"/>
  <c r="H11239" i="1"/>
  <c r="K11238" i="1"/>
  <c r="H11238" i="1"/>
  <c r="K11237" i="1"/>
  <c r="H11237" i="1"/>
  <c r="K11236" i="1"/>
  <c r="H11236" i="1"/>
  <c r="K11235" i="1"/>
  <c r="H11235" i="1"/>
  <c r="K11234" i="1"/>
  <c r="H11234" i="1"/>
  <c r="K11233" i="1"/>
  <c r="H11233" i="1"/>
  <c r="K11232" i="1"/>
  <c r="H11232" i="1"/>
  <c r="K11231" i="1"/>
  <c r="H11231" i="1"/>
  <c r="K11230" i="1"/>
  <c r="H11230" i="1"/>
  <c r="K11229" i="1"/>
  <c r="H11229" i="1"/>
  <c r="K11228" i="1"/>
  <c r="H11228" i="1"/>
  <c r="K11227" i="1"/>
  <c r="H11227" i="1"/>
  <c r="K11226" i="1"/>
  <c r="H11226" i="1"/>
  <c r="K11225" i="1"/>
  <c r="H11225" i="1"/>
  <c r="K11224" i="1"/>
  <c r="H11224" i="1"/>
  <c r="K11223" i="1"/>
  <c r="H11223" i="1"/>
  <c r="K11222" i="1"/>
  <c r="H11222" i="1"/>
  <c r="K11221" i="1"/>
  <c r="H11221" i="1"/>
  <c r="K11220" i="1"/>
  <c r="H11220" i="1"/>
  <c r="K11219" i="1"/>
  <c r="H11219" i="1"/>
  <c r="K11218" i="1"/>
  <c r="H11218" i="1"/>
  <c r="K11217" i="1"/>
  <c r="H11217" i="1"/>
  <c r="K11216" i="1"/>
  <c r="H11216" i="1"/>
  <c r="K11215" i="1"/>
  <c r="H11215" i="1"/>
  <c r="K11214" i="1"/>
  <c r="H11214" i="1"/>
  <c r="K11213" i="1"/>
  <c r="H11213" i="1"/>
  <c r="K11212" i="1"/>
  <c r="H11212" i="1"/>
  <c r="K11211" i="1"/>
  <c r="H11211" i="1"/>
  <c r="K11210" i="1"/>
  <c r="H11210" i="1"/>
  <c r="K11209" i="1"/>
  <c r="H11209" i="1"/>
  <c r="K11208" i="1"/>
  <c r="H11208" i="1"/>
  <c r="K11207" i="1"/>
  <c r="H11207" i="1"/>
  <c r="K11206" i="1"/>
  <c r="H11206" i="1"/>
  <c r="K11205" i="1"/>
  <c r="H11205" i="1"/>
  <c r="K11204" i="1"/>
  <c r="H11204" i="1"/>
  <c r="K11203" i="1"/>
  <c r="H11203" i="1"/>
  <c r="K11202" i="1"/>
  <c r="H11202" i="1"/>
  <c r="K11201" i="1"/>
  <c r="H11201" i="1"/>
  <c r="K11200" i="1"/>
  <c r="H11200" i="1"/>
  <c r="K11199" i="1"/>
  <c r="H11199" i="1"/>
  <c r="K11198" i="1"/>
  <c r="H11198" i="1"/>
  <c r="K11197" i="1"/>
  <c r="H11197" i="1"/>
  <c r="K11196" i="1"/>
  <c r="H11196" i="1"/>
  <c r="K11195" i="1"/>
  <c r="H11195" i="1"/>
  <c r="K11194" i="1"/>
  <c r="H11194" i="1"/>
  <c r="K11193" i="1"/>
  <c r="H11193" i="1"/>
  <c r="K11192" i="1"/>
  <c r="H11192" i="1"/>
  <c r="K11191" i="1"/>
  <c r="H11191" i="1"/>
  <c r="K11190" i="1"/>
  <c r="H11190" i="1"/>
  <c r="K11189" i="1"/>
  <c r="H11189" i="1"/>
  <c r="K11188" i="1"/>
  <c r="H11188" i="1"/>
  <c r="K11187" i="1"/>
  <c r="H11187" i="1"/>
  <c r="K11186" i="1"/>
  <c r="H11186" i="1"/>
  <c r="K11185" i="1"/>
  <c r="H11185" i="1"/>
  <c r="K11184" i="1"/>
  <c r="H11184" i="1"/>
  <c r="K11183" i="1"/>
  <c r="H11183" i="1"/>
  <c r="K11182" i="1"/>
  <c r="H11182" i="1"/>
  <c r="K11181" i="1"/>
  <c r="H11181" i="1"/>
  <c r="K11180" i="1"/>
  <c r="H11180" i="1"/>
  <c r="K11179" i="1"/>
  <c r="H11179" i="1"/>
  <c r="K11178" i="1"/>
  <c r="H11178" i="1"/>
  <c r="K11177" i="1"/>
  <c r="H11177" i="1"/>
  <c r="K11176" i="1"/>
  <c r="H11176" i="1"/>
  <c r="K11175" i="1"/>
  <c r="H11175" i="1"/>
  <c r="K11174" i="1"/>
  <c r="H11174" i="1"/>
  <c r="K11173" i="1"/>
  <c r="H11173" i="1"/>
  <c r="K11172" i="1"/>
  <c r="H11172" i="1"/>
  <c r="K11171" i="1"/>
  <c r="H11171" i="1"/>
  <c r="K11170" i="1"/>
  <c r="H11170" i="1"/>
  <c r="K11169" i="1"/>
  <c r="H11169" i="1"/>
  <c r="K11168" i="1"/>
  <c r="H11168" i="1"/>
  <c r="K11167" i="1"/>
  <c r="H11167" i="1"/>
  <c r="K11166" i="1"/>
  <c r="H11166" i="1"/>
  <c r="K11165" i="1"/>
  <c r="H11165" i="1"/>
  <c r="K11164" i="1"/>
  <c r="H11164" i="1"/>
  <c r="K11163" i="1"/>
  <c r="H11163" i="1"/>
  <c r="K11162" i="1"/>
  <c r="H11162" i="1"/>
  <c r="K11161" i="1"/>
  <c r="H11161" i="1"/>
  <c r="K11160" i="1"/>
  <c r="H11160" i="1"/>
  <c r="K11159" i="1"/>
  <c r="H11159" i="1"/>
  <c r="K11158" i="1"/>
  <c r="H11158" i="1"/>
  <c r="K11157" i="1"/>
  <c r="H11157" i="1"/>
  <c r="K11156" i="1"/>
  <c r="H11156" i="1"/>
  <c r="K11155" i="1"/>
  <c r="H11155" i="1"/>
  <c r="K11154" i="1"/>
  <c r="H11154" i="1"/>
  <c r="K11153" i="1"/>
  <c r="H11153" i="1"/>
  <c r="K11152" i="1"/>
  <c r="H11152" i="1"/>
  <c r="K11151" i="1"/>
  <c r="H11151" i="1"/>
  <c r="K11150" i="1"/>
  <c r="H11150" i="1"/>
  <c r="K11149" i="1"/>
  <c r="H11149" i="1"/>
  <c r="K11148" i="1"/>
  <c r="H11148" i="1"/>
  <c r="K11147" i="1"/>
  <c r="H11147" i="1"/>
  <c r="K11146" i="1"/>
  <c r="H11146" i="1"/>
  <c r="K11145" i="1"/>
  <c r="H11145" i="1"/>
  <c r="K11144" i="1"/>
  <c r="H11144" i="1"/>
  <c r="K11143" i="1"/>
  <c r="H11143" i="1"/>
  <c r="K11142" i="1"/>
  <c r="H11142" i="1"/>
  <c r="K11141" i="1"/>
  <c r="H11141" i="1"/>
  <c r="K11140" i="1"/>
  <c r="H11140" i="1"/>
  <c r="K11139" i="1"/>
  <c r="H11139" i="1"/>
  <c r="K11138" i="1"/>
  <c r="H11138" i="1"/>
  <c r="K11137" i="1"/>
  <c r="H11137" i="1"/>
  <c r="K11136" i="1"/>
  <c r="H11136" i="1"/>
  <c r="K11135" i="1"/>
  <c r="H11135" i="1"/>
  <c r="K11134" i="1"/>
  <c r="H11134" i="1"/>
  <c r="K11133" i="1"/>
  <c r="H11133" i="1"/>
  <c r="K11132" i="1"/>
  <c r="H11132" i="1"/>
  <c r="K11131" i="1"/>
  <c r="H11131" i="1"/>
  <c r="K11130" i="1"/>
  <c r="H11130" i="1"/>
  <c r="K11129" i="1"/>
  <c r="H11129" i="1"/>
  <c r="K11128" i="1"/>
  <c r="H11128" i="1"/>
  <c r="K11127" i="1"/>
  <c r="H11127" i="1"/>
  <c r="K11126" i="1"/>
  <c r="H11126" i="1"/>
  <c r="K11125" i="1"/>
  <c r="H11125" i="1"/>
  <c r="K11124" i="1"/>
  <c r="H11124" i="1"/>
  <c r="K11123" i="1"/>
  <c r="H11123" i="1"/>
  <c r="K11122" i="1"/>
  <c r="H11122" i="1"/>
  <c r="K11121" i="1"/>
  <c r="H11121" i="1"/>
  <c r="K11120" i="1"/>
  <c r="H11120" i="1"/>
  <c r="K11119" i="1"/>
  <c r="H11119" i="1"/>
  <c r="K11118" i="1"/>
  <c r="H11118" i="1"/>
  <c r="K11117" i="1"/>
  <c r="H11117" i="1"/>
  <c r="K11116" i="1"/>
  <c r="H11116" i="1"/>
  <c r="K11115" i="1"/>
  <c r="H11115" i="1"/>
  <c r="K11114" i="1"/>
  <c r="H11114" i="1"/>
  <c r="K11113" i="1"/>
  <c r="H11113" i="1"/>
  <c r="K11112" i="1"/>
  <c r="H11112" i="1"/>
  <c r="K11111" i="1"/>
  <c r="H11111" i="1"/>
  <c r="K11110" i="1"/>
  <c r="H11110" i="1"/>
  <c r="K11109" i="1"/>
  <c r="H11109" i="1"/>
  <c r="K11108" i="1"/>
  <c r="H11108" i="1"/>
  <c r="K11107" i="1"/>
  <c r="H11107" i="1"/>
  <c r="K11106" i="1"/>
  <c r="H11106" i="1"/>
  <c r="K11105" i="1"/>
  <c r="H11105" i="1"/>
  <c r="K11104" i="1"/>
  <c r="H11104" i="1"/>
  <c r="K11103" i="1"/>
  <c r="H11103" i="1"/>
  <c r="K11102" i="1"/>
  <c r="H11102" i="1"/>
  <c r="K11101" i="1"/>
  <c r="H11101" i="1"/>
  <c r="K11100" i="1"/>
  <c r="H11100" i="1"/>
  <c r="K11099" i="1"/>
  <c r="H11099" i="1"/>
  <c r="K11098" i="1"/>
  <c r="H11098" i="1"/>
  <c r="K11097" i="1"/>
  <c r="H11097" i="1"/>
  <c r="K11096" i="1"/>
  <c r="H11096" i="1"/>
  <c r="K11095" i="1"/>
  <c r="H11095" i="1"/>
  <c r="K11094" i="1"/>
  <c r="H11094" i="1"/>
  <c r="K11093" i="1"/>
  <c r="H11093" i="1"/>
  <c r="K11092" i="1"/>
  <c r="H11092" i="1"/>
  <c r="K11091" i="1"/>
  <c r="H11091" i="1"/>
  <c r="K11090" i="1"/>
  <c r="H11090" i="1"/>
  <c r="K11089" i="1"/>
  <c r="H11089" i="1"/>
  <c r="K11088" i="1"/>
  <c r="H11088" i="1"/>
  <c r="K11087" i="1"/>
  <c r="H11087" i="1"/>
  <c r="K11086" i="1"/>
  <c r="H11086" i="1"/>
  <c r="K11085" i="1"/>
  <c r="H11085" i="1"/>
  <c r="K11084" i="1"/>
  <c r="H11084" i="1"/>
  <c r="K11083" i="1"/>
  <c r="H11083" i="1"/>
  <c r="K11082" i="1"/>
  <c r="H11082" i="1"/>
  <c r="K11081" i="1"/>
  <c r="H11081" i="1"/>
  <c r="K11080" i="1"/>
  <c r="H11080" i="1"/>
  <c r="K11079" i="1"/>
  <c r="H11079" i="1"/>
  <c r="K11078" i="1"/>
  <c r="H11078" i="1"/>
  <c r="K11077" i="1"/>
  <c r="H11077" i="1"/>
  <c r="K11076" i="1"/>
  <c r="H11076" i="1"/>
  <c r="K11075" i="1"/>
  <c r="H11075" i="1"/>
  <c r="K11074" i="1"/>
  <c r="H11074" i="1"/>
  <c r="K11073" i="1"/>
  <c r="H11073" i="1"/>
  <c r="K11072" i="1"/>
  <c r="H11072" i="1"/>
  <c r="K11071" i="1"/>
  <c r="H11071" i="1"/>
  <c r="K11070" i="1"/>
  <c r="H11070" i="1"/>
  <c r="K11069" i="1"/>
  <c r="H11069" i="1"/>
  <c r="K11068" i="1"/>
  <c r="H11068" i="1"/>
  <c r="K11067" i="1"/>
  <c r="H11067" i="1"/>
  <c r="K11066" i="1"/>
  <c r="H11066" i="1"/>
  <c r="K11065" i="1"/>
  <c r="H11065" i="1"/>
  <c r="K11064" i="1"/>
  <c r="H11064" i="1"/>
  <c r="K11063" i="1"/>
  <c r="H11063" i="1"/>
  <c r="K11062" i="1"/>
  <c r="H11062" i="1"/>
  <c r="K11061" i="1"/>
  <c r="H11061" i="1"/>
  <c r="K11060" i="1"/>
  <c r="H11060" i="1"/>
  <c r="K11059" i="1"/>
  <c r="H11059" i="1"/>
  <c r="K11058" i="1"/>
  <c r="H11058" i="1"/>
  <c r="K11057" i="1"/>
  <c r="H11057" i="1"/>
  <c r="K11056" i="1"/>
  <c r="H11056" i="1"/>
  <c r="K11055" i="1"/>
  <c r="H11055" i="1"/>
  <c r="K11054" i="1"/>
  <c r="H11054" i="1"/>
  <c r="K11053" i="1"/>
  <c r="H11053" i="1"/>
  <c r="K11052" i="1"/>
  <c r="H11052" i="1"/>
  <c r="K11051" i="1"/>
  <c r="H11051" i="1"/>
  <c r="K11050" i="1"/>
  <c r="H11050" i="1"/>
  <c r="K11049" i="1"/>
  <c r="H11049" i="1"/>
  <c r="K11048" i="1"/>
  <c r="H11048" i="1"/>
  <c r="K11047" i="1"/>
  <c r="H11047" i="1"/>
  <c r="K11046" i="1"/>
  <c r="H11046" i="1"/>
  <c r="K11045" i="1"/>
  <c r="H11045" i="1"/>
  <c r="K11044" i="1"/>
  <c r="H11044" i="1"/>
  <c r="K11043" i="1"/>
  <c r="H11043" i="1"/>
  <c r="K11042" i="1"/>
  <c r="H11042" i="1"/>
  <c r="K11041" i="1"/>
  <c r="H11041" i="1"/>
  <c r="K11040" i="1"/>
  <c r="H11040" i="1"/>
  <c r="K11039" i="1"/>
  <c r="H11039" i="1"/>
  <c r="K11038" i="1"/>
  <c r="H11038" i="1"/>
  <c r="K11037" i="1"/>
  <c r="H11037" i="1"/>
  <c r="K11036" i="1"/>
  <c r="H11036" i="1"/>
  <c r="K11035" i="1"/>
  <c r="H11035" i="1"/>
  <c r="K11034" i="1"/>
  <c r="H11034" i="1"/>
  <c r="K11033" i="1"/>
  <c r="H11033" i="1"/>
  <c r="K11032" i="1"/>
  <c r="H11032" i="1"/>
  <c r="K11031" i="1"/>
  <c r="H11031" i="1"/>
  <c r="K11030" i="1"/>
  <c r="H11030" i="1"/>
  <c r="K11029" i="1"/>
  <c r="H11029" i="1"/>
  <c r="K11028" i="1"/>
  <c r="H11028" i="1"/>
  <c r="K11027" i="1"/>
  <c r="H11027" i="1"/>
  <c r="K11026" i="1"/>
  <c r="H11026" i="1"/>
  <c r="K11025" i="1"/>
  <c r="H11025" i="1"/>
  <c r="K11024" i="1"/>
  <c r="H11024" i="1"/>
  <c r="K11023" i="1"/>
  <c r="H11023" i="1"/>
  <c r="K11022" i="1"/>
  <c r="H11022" i="1"/>
  <c r="K11021" i="1"/>
  <c r="H11021" i="1"/>
  <c r="K11020" i="1"/>
  <c r="H11020" i="1"/>
  <c r="K11019" i="1"/>
  <c r="H11019" i="1"/>
  <c r="K11018" i="1"/>
  <c r="H11018" i="1"/>
  <c r="K11017" i="1"/>
  <c r="H11017" i="1"/>
  <c r="K11016" i="1"/>
  <c r="H11016" i="1"/>
  <c r="K11015" i="1"/>
  <c r="H11015" i="1"/>
  <c r="K11014" i="1"/>
  <c r="H11014" i="1"/>
  <c r="K11013" i="1"/>
  <c r="H11013" i="1"/>
  <c r="K11012" i="1"/>
  <c r="H11012" i="1"/>
  <c r="K11011" i="1"/>
  <c r="H11011" i="1"/>
  <c r="K11010" i="1"/>
  <c r="H11010" i="1"/>
  <c r="K11009" i="1"/>
  <c r="H11009" i="1"/>
  <c r="K11008" i="1"/>
  <c r="H11008" i="1"/>
  <c r="K11007" i="1"/>
  <c r="H11007" i="1"/>
  <c r="K11006" i="1"/>
  <c r="H11006" i="1"/>
  <c r="K11005" i="1"/>
  <c r="H11005" i="1"/>
  <c r="K11004" i="1"/>
  <c r="H11004" i="1"/>
  <c r="K11003" i="1"/>
  <c r="H11003" i="1"/>
  <c r="K11002" i="1"/>
  <c r="H11002" i="1"/>
  <c r="K11001" i="1"/>
  <c r="H11001" i="1"/>
  <c r="K11000" i="1"/>
  <c r="H11000" i="1"/>
  <c r="K10999" i="1"/>
  <c r="H10999" i="1"/>
  <c r="K10998" i="1"/>
  <c r="H10998" i="1"/>
  <c r="K10997" i="1"/>
  <c r="H10997" i="1"/>
  <c r="K10996" i="1"/>
  <c r="H10996" i="1"/>
  <c r="K10995" i="1"/>
  <c r="H10995" i="1"/>
  <c r="K10994" i="1"/>
  <c r="H10994" i="1"/>
  <c r="K10993" i="1"/>
  <c r="H10993" i="1"/>
  <c r="K10992" i="1"/>
  <c r="H10992" i="1"/>
  <c r="K10991" i="1"/>
  <c r="H10991" i="1"/>
  <c r="K10990" i="1"/>
  <c r="H10990" i="1"/>
  <c r="K10989" i="1"/>
  <c r="H10989" i="1"/>
  <c r="K10988" i="1"/>
  <c r="H10988" i="1"/>
  <c r="K10987" i="1"/>
  <c r="H10987" i="1"/>
  <c r="K10986" i="1"/>
  <c r="H10986" i="1"/>
  <c r="K10985" i="1"/>
  <c r="H10985" i="1"/>
  <c r="K10984" i="1"/>
  <c r="H10984" i="1"/>
  <c r="K10983" i="1"/>
  <c r="H10983" i="1"/>
  <c r="K10982" i="1"/>
  <c r="H10982" i="1"/>
  <c r="K10981" i="1"/>
  <c r="H10981" i="1"/>
  <c r="K10980" i="1"/>
  <c r="H10980" i="1"/>
  <c r="K10979" i="1"/>
  <c r="H10979" i="1"/>
  <c r="K10978" i="1"/>
  <c r="H10978" i="1"/>
  <c r="K10977" i="1"/>
  <c r="H10977" i="1"/>
  <c r="K10976" i="1"/>
  <c r="H10976" i="1"/>
  <c r="K10975" i="1"/>
  <c r="H10975" i="1"/>
  <c r="K10974" i="1"/>
  <c r="H10974" i="1"/>
  <c r="K10973" i="1"/>
  <c r="H10973" i="1"/>
  <c r="K10972" i="1"/>
  <c r="H10972" i="1"/>
  <c r="K10971" i="1"/>
  <c r="H10971" i="1"/>
  <c r="K10970" i="1"/>
  <c r="H10970" i="1"/>
  <c r="K10969" i="1"/>
  <c r="H10969" i="1"/>
  <c r="K10968" i="1"/>
  <c r="H10968" i="1"/>
  <c r="K10967" i="1"/>
  <c r="H10967" i="1"/>
  <c r="K10966" i="1"/>
  <c r="H10966" i="1"/>
  <c r="K10965" i="1"/>
  <c r="H10965" i="1"/>
  <c r="K10964" i="1"/>
  <c r="H10964" i="1"/>
  <c r="K10963" i="1"/>
  <c r="H10963" i="1"/>
  <c r="K10962" i="1"/>
  <c r="H10962" i="1"/>
  <c r="K10961" i="1"/>
  <c r="H10961" i="1"/>
  <c r="K10960" i="1"/>
  <c r="H10960" i="1"/>
  <c r="K10959" i="1"/>
  <c r="H10959" i="1"/>
  <c r="K10958" i="1"/>
  <c r="H10958" i="1"/>
  <c r="K10957" i="1"/>
  <c r="H10957" i="1"/>
  <c r="K10956" i="1"/>
  <c r="H10956" i="1"/>
  <c r="K10955" i="1"/>
  <c r="H10955" i="1"/>
  <c r="K10954" i="1"/>
  <c r="H10954" i="1"/>
  <c r="K10953" i="1"/>
  <c r="H10953" i="1"/>
  <c r="K10952" i="1"/>
  <c r="H10952" i="1"/>
  <c r="K10951" i="1"/>
  <c r="H10951" i="1"/>
  <c r="K10950" i="1"/>
  <c r="H10950" i="1"/>
  <c r="K10949" i="1"/>
  <c r="H10949" i="1"/>
  <c r="K10948" i="1"/>
  <c r="H10948" i="1"/>
  <c r="K10947" i="1"/>
  <c r="H10947" i="1"/>
  <c r="K10946" i="1"/>
  <c r="H10946" i="1"/>
  <c r="K10945" i="1"/>
  <c r="H10945" i="1"/>
  <c r="K10944" i="1"/>
  <c r="H10944" i="1"/>
  <c r="K10943" i="1"/>
  <c r="H10943" i="1"/>
  <c r="K10942" i="1"/>
  <c r="H10942" i="1"/>
  <c r="K10941" i="1"/>
  <c r="H10941" i="1"/>
  <c r="K10940" i="1"/>
  <c r="H10940" i="1"/>
  <c r="K10939" i="1"/>
  <c r="H10939" i="1"/>
  <c r="K10938" i="1"/>
  <c r="H10938" i="1"/>
  <c r="K10937" i="1"/>
  <c r="H10937" i="1"/>
  <c r="K10936" i="1"/>
  <c r="H10936" i="1"/>
  <c r="K10935" i="1"/>
  <c r="H10935" i="1"/>
  <c r="K10934" i="1"/>
  <c r="H10934" i="1"/>
  <c r="K10933" i="1"/>
  <c r="H10933" i="1"/>
  <c r="K10932" i="1"/>
  <c r="H10932" i="1"/>
  <c r="K10931" i="1"/>
  <c r="H10931" i="1"/>
  <c r="K10930" i="1"/>
  <c r="H10930" i="1"/>
  <c r="K10929" i="1"/>
  <c r="H10929" i="1"/>
  <c r="K10928" i="1"/>
  <c r="H10928" i="1"/>
  <c r="K10927" i="1"/>
  <c r="H10927" i="1"/>
  <c r="K10926" i="1"/>
  <c r="H10926" i="1"/>
  <c r="K10925" i="1"/>
  <c r="H10925" i="1"/>
  <c r="K10924" i="1"/>
  <c r="H10924" i="1"/>
  <c r="K10923" i="1"/>
  <c r="H10923" i="1"/>
  <c r="K10922" i="1"/>
  <c r="H10922" i="1"/>
  <c r="K10921" i="1"/>
  <c r="H10921" i="1"/>
  <c r="K10920" i="1"/>
  <c r="H10920" i="1"/>
  <c r="K10919" i="1"/>
  <c r="H10919" i="1"/>
  <c r="K10918" i="1"/>
  <c r="H10918" i="1"/>
  <c r="K10917" i="1"/>
  <c r="H10917" i="1"/>
  <c r="K10916" i="1"/>
  <c r="H10916" i="1"/>
  <c r="K10915" i="1"/>
  <c r="H10915" i="1"/>
  <c r="K10914" i="1"/>
  <c r="H10914" i="1"/>
  <c r="K10913" i="1"/>
  <c r="H10913" i="1"/>
  <c r="K10912" i="1"/>
  <c r="H10912" i="1"/>
  <c r="K10911" i="1"/>
  <c r="H10911" i="1"/>
  <c r="K10910" i="1"/>
  <c r="H10910" i="1"/>
  <c r="K10909" i="1"/>
  <c r="H10909" i="1"/>
  <c r="K10908" i="1"/>
  <c r="H10908" i="1"/>
  <c r="K10907" i="1"/>
  <c r="H10907" i="1"/>
  <c r="K10906" i="1"/>
  <c r="H10906" i="1"/>
  <c r="K10905" i="1"/>
  <c r="H10905" i="1"/>
  <c r="K10904" i="1"/>
  <c r="H10904" i="1"/>
  <c r="K10903" i="1"/>
  <c r="H10903" i="1"/>
  <c r="K10902" i="1"/>
  <c r="H10902" i="1"/>
  <c r="K10901" i="1"/>
  <c r="H10901" i="1"/>
  <c r="K10900" i="1"/>
  <c r="H10900" i="1"/>
  <c r="K10899" i="1"/>
  <c r="H10899" i="1"/>
  <c r="K10898" i="1"/>
  <c r="H10898" i="1"/>
  <c r="K10897" i="1"/>
  <c r="H10897" i="1"/>
  <c r="K10896" i="1"/>
  <c r="H10896" i="1"/>
  <c r="K10895" i="1"/>
  <c r="H10895" i="1"/>
  <c r="K10894" i="1"/>
  <c r="H10894" i="1"/>
  <c r="K10893" i="1"/>
  <c r="H10893" i="1"/>
  <c r="K10892" i="1"/>
  <c r="H10892" i="1"/>
  <c r="K10891" i="1"/>
  <c r="H10891" i="1"/>
  <c r="K10890" i="1"/>
  <c r="H10890" i="1"/>
  <c r="K10889" i="1"/>
  <c r="H10889" i="1"/>
  <c r="K10888" i="1"/>
  <c r="H10888" i="1"/>
  <c r="K10887" i="1"/>
  <c r="H10887" i="1"/>
  <c r="K10886" i="1"/>
  <c r="H10886" i="1"/>
  <c r="K10885" i="1"/>
  <c r="H10885" i="1"/>
  <c r="K10884" i="1"/>
  <c r="H10884" i="1"/>
  <c r="K10883" i="1"/>
  <c r="H10883" i="1"/>
  <c r="K10882" i="1"/>
  <c r="H10882" i="1"/>
  <c r="K10881" i="1"/>
  <c r="H10881" i="1"/>
  <c r="K10880" i="1"/>
  <c r="H10880" i="1"/>
  <c r="K10879" i="1"/>
  <c r="H10879" i="1"/>
  <c r="K10878" i="1"/>
  <c r="H10878" i="1"/>
  <c r="K10877" i="1"/>
  <c r="H10877" i="1"/>
  <c r="K10876" i="1"/>
  <c r="H10876" i="1"/>
  <c r="K10875" i="1"/>
  <c r="H10875" i="1"/>
  <c r="K10874" i="1"/>
  <c r="H10874" i="1"/>
  <c r="K10873" i="1"/>
  <c r="H10873" i="1"/>
  <c r="K10872" i="1"/>
  <c r="H10872" i="1"/>
  <c r="K10871" i="1"/>
  <c r="H10871" i="1"/>
  <c r="K10870" i="1"/>
  <c r="H10870" i="1"/>
  <c r="K10869" i="1"/>
  <c r="H10869" i="1"/>
  <c r="K10868" i="1"/>
  <c r="H10868" i="1"/>
  <c r="K10867" i="1"/>
  <c r="H10867" i="1"/>
  <c r="K10866" i="1"/>
  <c r="H10866" i="1"/>
  <c r="K10865" i="1"/>
  <c r="H10865" i="1"/>
  <c r="K10864" i="1"/>
  <c r="H10864" i="1"/>
  <c r="K10863" i="1"/>
  <c r="H10863" i="1"/>
  <c r="K10862" i="1"/>
  <c r="H10862" i="1"/>
  <c r="K10861" i="1"/>
  <c r="H10861" i="1"/>
  <c r="K10860" i="1"/>
  <c r="H10860" i="1"/>
  <c r="K10859" i="1"/>
  <c r="H10859" i="1"/>
  <c r="K10858" i="1"/>
  <c r="H10858" i="1"/>
  <c r="K10857" i="1"/>
  <c r="H10857" i="1"/>
  <c r="K10856" i="1"/>
  <c r="H10856" i="1"/>
  <c r="K10855" i="1"/>
  <c r="H10855" i="1"/>
  <c r="K10854" i="1"/>
  <c r="H10854" i="1"/>
  <c r="K10853" i="1"/>
  <c r="H10853" i="1"/>
  <c r="K10852" i="1"/>
  <c r="H10852" i="1"/>
  <c r="K10851" i="1"/>
  <c r="H10851" i="1"/>
  <c r="K10850" i="1"/>
  <c r="H10850" i="1"/>
  <c r="K10849" i="1"/>
  <c r="H10849" i="1"/>
  <c r="K10848" i="1"/>
  <c r="H10848" i="1"/>
  <c r="K10847" i="1"/>
  <c r="H10847" i="1"/>
  <c r="K10846" i="1"/>
  <c r="H10846" i="1"/>
  <c r="K10845" i="1"/>
  <c r="H10845" i="1"/>
  <c r="K10844" i="1"/>
  <c r="H10844" i="1"/>
  <c r="K10843" i="1"/>
  <c r="H10843" i="1"/>
  <c r="K10842" i="1"/>
  <c r="H10842" i="1"/>
  <c r="K10841" i="1"/>
  <c r="H10841" i="1"/>
  <c r="K10840" i="1"/>
  <c r="H10840" i="1"/>
  <c r="K10839" i="1"/>
  <c r="H10839" i="1"/>
  <c r="K10838" i="1"/>
  <c r="H10838" i="1"/>
  <c r="K10837" i="1"/>
  <c r="H10837" i="1"/>
  <c r="K10836" i="1"/>
  <c r="H10836" i="1"/>
  <c r="K10835" i="1"/>
  <c r="H10835" i="1"/>
  <c r="K10834" i="1"/>
  <c r="H10834" i="1"/>
  <c r="K10833" i="1"/>
  <c r="H10833" i="1"/>
  <c r="K10832" i="1"/>
  <c r="H10832" i="1"/>
  <c r="K10831" i="1"/>
  <c r="H10831" i="1"/>
  <c r="K10830" i="1"/>
  <c r="H10830" i="1"/>
  <c r="K10829" i="1"/>
  <c r="H10829" i="1"/>
  <c r="K10828" i="1"/>
  <c r="H10828" i="1"/>
  <c r="K10827" i="1"/>
  <c r="H10827" i="1"/>
  <c r="K10826" i="1"/>
  <c r="H10826" i="1"/>
  <c r="K10825" i="1"/>
  <c r="H10825" i="1"/>
  <c r="K10824" i="1"/>
  <c r="H10824" i="1"/>
  <c r="K10823" i="1"/>
  <c r="H10823" i="1"/>
  <c r="K10822" i="1"/>
  <c r="H10822" i="1"/>
  <c r="K10821" i="1"/>
  <c r="H10821" i="1"/>
  <c r="K10820" i="1"/>
  <c r="H10820" i="1"/>
  <c r="K10819" i="1"/>
  <c r="H10819" i="1"/>
  <c r="K10818" i="1"/>
  <c r="H10818" i="1"/>
  <c r="K10817" i="1"/>
  <c r="H10817" i="1"/>
  <c r="K10816" i="1"/>
  <c r="H10816" i="1"/>
  <c r="K10815" i="1"/>
  <c r="H10815" i="1"/>
  <c r="K10814" i="1"/>
  <c r="H10814" i="1"/>
  <c r="K10813" i="1"/>
  <c r="H10813" i="1"/>
  <c r="K10812" i="1"/>
  <c r="H10812" i="1"/>
  <c r="K10811" i="1"/>
  <c r="H10811" i="1"/>
  <c r="K10810" i="1"/>
  <c r="H10810" i="1"/>
  <c r="K10809" i="1"/>
  <c r="H10809" i="1"/>
  <c r="K10808" i="1"/>
  <c r="H10808" i="1"/>
  <c r="K10807" i="1"/>
  <c r="H10807" i="1"/>
  <c r="K10806" i="1"/>
  <c r="H10806" i="1"/>
  <c r="K10805" i="1"/>
  <c r="H10805" i="1"/>
  <c r="K10804" i="1"/>
  <c r="H10804" i="1"/>
  <c r="K10803" i="1"/>
  <c r="H10803" i="1"/>
  <c r="K10802" i="1"/>
  <c r="H10802" i="1"/>
  <c r="K10801" i="1"/>
  <c r="H10801" i="1"/>
  <c r="K10800" i="1"/>
  <c r="H10800" i="1"/>
  <c r="K10799" i="1"/>
  <c r="H10799" i="1"/>
  <c r="K10798" i="1"/>
  <c r="H10798" i="1"/>
  <c r="K10797" i="1"/>
  <c r="H10797" i="1"/>
  <c r="K10796" i="1"/>
  <c r="H10796" i="1"/>
  <c r="K10795" i="1"/>
  <c r="H10795" i="1"/>
  <c r="K10794" i="1"/>
  <c r="H10794" i="1"/>
  <c r="K10793" i="1"/>
  <c r="H10793" i="1"/>
  <c r="K10792" i="1"/>
  <c r="H10792" i="1"/>
  <c r="K10791" i="1"/>
  <c r="H10791" i="1"/>
  <c r="K10790" i="1"/>
  <c r="H10790" i="1"/>
  <c r="K10789" i="1"/>
  <c r="H10789" i="1"/>
  <c r="K10788" i="1"/>
  <c r="H10788" i="1"/>
  <c r="K10787" i="1"/>
  <c r="H10787" i="1"/>
  <c r="K10786" i="1"/>
  <c r="H10786" i="1"/>
  <c r="K10785" i="1"/>
  <c r="H10785" i="1"/>
  <c r="K10784" i="1"/>
  <c r="H10784" i="1"/>
  <c r="K10783" i="1"/>
  <c r="H10783" i="1"/>
  <c r="K10782" i="1"/>
  <c r="H10782" i="1"/>
  <c r="K10781" i="1"/>
  <c r="H10781" i="1"/>
  <c r="K10780" i="1"/>
  <c r="H10780" i="1"/>
  <c r="K10779" i="1"/>
  <c r="H10779" i="1"/>
  <c r="K10778" i="1"/>
  <c r="H10778" i="1"/>
  <c r="K10777" i="1"/>
  <c r="H10777" i="1"/>
  <c r="K10776" i="1"/>
  <c r="H10776" i="1"/>
  <c r="K10775" i="1"/>
  <c r="H10775" i="1"/>
  <c r="K10774" i="1"/>
  <c r="H10774" i="1"/>
  <c r="K10773" i="1"/>
  <c r="H10773" i="1"/>
  <c r="K10772" i="1"/>
  <c r="H10772" i="1"/>
  <c r="K10771" i="1"/>
  <c r="H10771" i="1"/>
  <c r="K10770" i="1"/>
  <c r="H10770" i="1"/>
  <c r="K10769" i="1"/>
  <c r="H10769" i="1"/>
  <c r="K10768" i="1"/>
  <c r="H10768" i="1"/>
  <c r="K10767" i="1"/>
  <c r="H10767" i="1"/>
  <c r="K10766" i="1"/>
  <c r="H10766" i="1"/>
  <c r="K10765" i="1"/>
  <c r="H10765" i="1"/>
  <c r="K10764" i="1"/>
  <c r="H10764" i="1"/>
  <c r="K10763" i="1"/>
  <c r="H10763" i="1"/>
  <c r="K10762" i="1"/>
  <c r="H10762" i="1"/>
  <c r="K10761" i="1"/>
  <c r="H10761" i="1"/>
  <c r="K10760" i="1"/>
  <c r="H10760" i="1"/>
  <c r="K10759" i="1"/>
  <c r="H10759" i="1"/>
  <c r="K10758" i="1"/>
  <c r="H10758" i="1"/>
  <c r="K10757" i="1"/>
  <c r="H10757" i="1"/>
  <c r="K10756" i="1"/>
  <c r="H10756" i="1"/>
  <c r="K10755" i="1"/>
  <c r="H10755" i="1"/>
  <c r="K10754" i="1"/>
  <c r="H10754" i="1"/>
  <c r="K10753" i="1"/>
  <c r="H10753" i="1"/>
  <c r="K10752" i="1"/>
  <c r="H10752" i="1"/>
  <c r="K10751" i="1"/>
  <c r="H10751" i="1"/>
  <c r="K10750" i="1"/>
  <c r="H10750" i="1"/>
  <c r="K10749" i="1"/>
  <c r="H10749" i="1"/>
  <c r="K10748" i="1"/>
  <c r="H10748" i="1"/>
  <c r="K10747" i="1"/>
  <c r="H10747" i="1"/>
  <c r="K10746" i="1"/>
  <c r="H10746" i="1"/>
  <c r="K10745" i="1"/>
  <c r="H10745" i="1"/>
  <c r="K10744" i="1"/>
  <c r="H10744" i="1"/>
  <c r="K10743" i="1"/>
  <c r="H10743" i="1"/>
  <c r="K10742" i="1"/>
  <c r="H10742" i="1"/>
  <c r="K10741" i="1"/>
  <c r="H10741" i="1"/>
  <c r="K10740" i="1"/>
  <c r="H10740" i="1"/>
  <c r="K10739" i="1"/>
  <c r="H10739" i="1"/>
  <c r="K10738" i="1"/>
  <c r="H10738" i="1"/>
  <c r="K10737" i="1"/>
  <c r="H10737" i="1"/>
  <c r="K10736" i="1"/>
  <c r="H10736" i="1"/>
  <c r="K10735" i="1"/>
  <c r="H10735" i="1"/>
  <c r="K10734" i="1"/>
  <c r="H10734" i="1"/>
  <c r="K10733" i="1"/>
  <c r="H10733" i="1"/>
  <c r="K10732" i="1"/>
  <c r="H10732" i="1"/>
  <c r="K10731" i="1"/>
  <c r="H10731" i="1"/>
  <c r="K10730" i="1"/>
  <c r="H10730" i="1"/>
  <c r="K10729" i="1"/>
  <c r="H10729" i="1"/>
  <c r="K10728" i="1"/>
  <c r="H10728" i="1"/>
  <c r="K10727" i="1"/>
  <c r="H10727" i="1"/>
  <c r="K10726" i="1"/>
  <c r="H10726" i="1"/>
  <c r="K10725" i="1"/>
  <c r="H10725" i="1"/>
  <c r="K10724" i="1"/>
  <c r="H10724" i="1"/>
  <c r="K10723" i="1"/>
  <c r="H10723" i="1"/>
  <c r="K10722" i="1"/>
  <c r="H10722" i="1"/>
  <c r="K10721" i="1"/>
  <c r="H10721" i="1"/>
  <c r="K10720" i="1"/>
  <c r="H10720" i="1"/>
  <c r="K10719" i="1"/>
  <c r="H10719" i="1"/>
  <c r="K10718" i="1"/>
  <c r="H10718" i="1"/>
  <c r="K10717" i="1"/>
  <c r="H10717" i="1"/>
  <c r="K10716" i="1"/>
  <c r="H10716" i="1"/>
  <c r="K10715" i="1"/>
  <c r="H10715" i="1"/>
  <c r="K10714" i="1"/>
  <c r="H10714" i="1"/>
  <c r="K10713" i="1"/>
  <c r="H10713" i="1"/>
  <c r="K10712" i="1"/>
  <c r="H10712" i="1"/>
  <c r="K10711" i="1"/>
  <c r="H10711" i="1"/>
  <c r="K10710" i="1"/>
  <c r="H10710" i="1"/>
  <c r="K10709" i="1"/>
  <c r="H10709" i="1"/>
  <c r="K10708" i="1"/>
  <c r="H10708" i="1"/>
  <c r="K10707" i="1"/>
  <c r="H10707" i="1"/>
  <c r="K10706" i="1"/>
  <c r="H10706" i="1"/>
  <c r="K10705" i="1"/>
  <c r="H10705" i="1"/>
  <c r="K10704" i="1"/>
  <c r="H10704" i="1"/>
  <c r="K10703" i="1"/>
  <c r="H10703" i="1"/>
  <c r="K10702" i="1"/>
  <c r="H10702" i="1"/>
  <c r="K10701" i="1"/>
  <c r="H10701" i="1"/>
  <c r="K10700" i="1"/>
  <c r="H10700" i="1"/>
  <c r="K10699" i="1"/>
  <c r="H10699" i="1"/>
  <c r="K10698" i="1"/>
  <c r="H10698" i="1"/>
  <c r="K10697" i="1"/>
  <c r="H10697" i="1"/>
  <c r="K10696" i="1"/>
  <c r="H10696" i="1"/>
  <c r="K10695" i="1"/>
  <c r="H10695" i="1"/>
  <c r="K10694" i="1"/>
  <c r="H10694" i="1"/>
  <c r="K10693" i="1"/>
  <c r="H10693" i="1"/>
  <c r="K10692" i="1"/>
  <c r="H10692" i="1"/>
  <c r="K10691" i="1"/>
  <c r="H10691" i="1"/>
  <c r="K10690" i="1"/>
  <c r="H10690" i="1"/>
  <c r="K10689" i="1"/>
  <c r="H10689" i="1"/>
  <c r="K10688" i="1"/>
  <c r="H10688" i="1"/>
  <c r="K10687" i="1"/>
  <c r="H10687" i="1"/>
  <c r="K10686" i="1"/>
  <c r="H10686" i="1"/>
  <c r="K10685" i="1"/>
  <c r="H10685" i="1"/>
  <c r="K10684" i="1"/>
  <c r="H10684" i="1"/>
  <c r="K10683" i="1"/>
  <c r="H10683" i="1"/>
  <c r="K10682" i="1"/>
  <c r="H10682" i="1"/>
  <c r="K10681" i="1"/>
  <c r="H10681" i="1"/>
  <c r="K10680" i="1"/>
  <c r="H10680" i="1"/>
  <c r="K10679" i="1"/>
  <c r="H10679" i="1"/>
  <c r="K10678" i="1"/>
  <c r="H10678" i="1"/>
  <c r="K10677" i="1"/>
  <c r="H10677" i="1"/>
  <c r="K10676" i="1"/>
  <c r="H10676" i="1"/>
  <c r="K10675" i="1"/>
  <c r="H10675" i="1"/>
  <c r="K10674" i="1"/>
  <c r="H10674" i="1"/>
  <c r="K10673" i="1"/>
  <c r="H10673" i="1"/>
  <c r="K10672" i="1"/>
  <c r="H10672" i="1"/>
  <c r="K10671" i="1"/>
  <c r="H10671" i="1"/>
  <c r="K10670" i="1"/>
  <c r="H10670" i="1"/>
  <c r="K10669" i="1"/>
  <c r="H10669" i="1"/>
  <c r="K10668" i="1"/>
  <c r="H10668" i="1"/>
  <c r="K10667" i="1"/>
  <c r="H10667" i="1"/>
  <c r="K10666" i="1"/>
  <c r="H10666" i="1"/>
  <c r="K10665" i="1"/>
  <c r="H10665" i="1"/>
  <c r="K10664" i="1"/>
  <c r="H10664" i="1"/>
  <c r="K10663" i="1"/>
  <c r="H10663" i="1"/>
  <c r="K10662" i="1"/>
  <c r="H10662" i="1"/>
  <c r="K10661" i="1"/>
  <c r="H10661" i="1"/>
  <c r="K10660" i="1"/>
  <c r="H10660" i="1"/>
  <c r="K10659" i="1"/>
  <c r="H10659" i="1"/>
  <c r="K10658" i="1"/>
  <c r="H10658" i="1"/>
  <c r="K10657" i="1"/>
  <c r="H10657" i="1"/>
  <c r="K10656" i="1"/>
  <c r="H10656" i="1"/>
  <c r="K10655" i="1"/>
  <c r="H10655" i="1"/>
  <c r="K10654" i="1"/>
  <c r="H10654" i="1"/>
  <c r="K10653" i="1"/>
  <c r="H10653" i="1"/>
  <c r="K10652" i="1"/>
  <c r="H10652" i="1"/>
  <c r="K10651" i="1"/>
  <c r="H10651" i="1"/>
  <c r="K10650" i="1"/>
  <c r="H10650" i="1"/>
  <c r="K10649" i="1"/>
  <c r="H10649" i="1"/>
  <c r="K10648" i="1"/>
  <c r="H10648" i="1"/>
  <c r="K10647" i="1"/>
  <c r="H10647" i="1"/>
  <c r="K10646" i="1"/>
  <c r="H10646" i="1"/>
  <c r="K10645" i="1"/>
  <c r="H10645" i="1"/>
  <c r="K10644" i="1"/>
  <c r="H10644" i="1"/>
  <c r="K10643" i="1"/>
  <c r="H10643" i="1"/>
  <c r="K10642" i="1"/>
  <c r="H10642" i="1"/>
  <c r="K10641" i="1"/>
  <c r="H10641" i="1"/>
  <c r="K10640" i="1"/>
  <c r="H10640" i="1"/>
  <c r="K10639" i="1"/>
  <c r="H10639" i="1"/>
  <c r="K10638" i="1"/>
  <c r="H10638" i="1"/>
  <c r="K10637" i="1"/>
  <c r="H10637" i="1"/>
  <c r="K10636" i="1"/>
  <c r="H10636" i="1"/>
  <c r="K10635" i="1"/>
  <c r="H10635" i="1"/>
  <c r="K10634" i="1"/>
  <c r="H10634" i="1"/>
  <c r="K10633" i="1"/>
  <c r="H10633" i="1"/>
  <c r="K10632" i="1"/>
  <c r="H10632" i="1"/>
  <c r="K10631" i="1"/>
  <c r="H10631" i="1"/>
  <c r="K10630" i="1"/>
  <c r="H10630" i="1"/>
  <c r="K10629" i="1"/>
  <c r="H10629" i="1"/>
  <c r="K10628" i="1"/>
  <c r="H10628" i="1"/>
  <c r="K10627" i="1"/>
  <c r="H10627" i="1"/>
  <c r="K10626" i="1"/>
  <c r="H10626" i="1"/>
  <c r="K10625" i="1"/>
  <c r="H10625" i="1"/>
  <c r="K10624" i="1"/>
  <c r="H10624" i="1"/>
  <c r="K10623" i="1"/>
  <c r="H10623" i="1"/>
  <c r="K10622" i="1"/>
  <c r="H10622" i="1"/>
  <c r="K10621" i="1"/>
  <c r="H10621" i="1"/>
  <c r="K10620" i="1"/>
  <c r="H10620" i="1"/>
  <c r="K10619" i="1"/>
  <c r="H10619" i="1"/>
  <c r="K10618" i="1"/>
  <c r="H10618" i="1"/>
  <c r="K10617" i="1"/>
  <c r="H10617" i="1"/>
  <c r="K10616" i="1"/>
  <c r="H10616" i="1"/>
  <c r="K10615" i="1"/>
  <c r="H10615" i="1"/>
  <c r="K10614" i="1"/>
  <c r="H10614" i="1"/>
  <c r="K10613" i="1"/>
  <c r="H10613" i="1"/>
  <c r="K10612" i="1"/>
  <c r="H10612" i="1"/>
  <c r="K10611" i="1"/>
  <c r="H10611" i="1"/>
  <c r="K10610" i="1"/>
  <c r="H10610" i="1"/>
  <c r="K10609" i="1"/>
  <c r="H10609" i="1"/>
  <c r="K10608" i="1"/>
  <c r="H10608" i="1"/>
  <c r="K10607" i="1"/>
  <c r="H10607" i="1"/>
  <c r="K10606" i="1"/>
  <c r="H10606" i="1"/>
  <c r="K10605" i="1"/>
  <c r="H10605" i="1"/>
  <c r="K10604" i="1"/>
  <c r="H10604" i="1"/>
  <c r="K10603" i="1"/>
  <c r="H10603" i="1"/>
  <c r="K10602" i="1"/>
  <c r="H10602" i="1"/>
  <c r="K10601" i="1"/>
  <c r="H10601" i="1"/>
  <c r="K10600" i="1"/>
  <c r="H10600" i="1"/>
  <c r="K10599" i="1"/>
  <c r="H10599" i="1"/>
  <c r="K10598" i="1"/>
  <c r="H10598" i="1"/>
  <c r="K10597" i="1"/>
  <c r="H10597" i="1"/>
  <c r="K10596" i="1"/>
  <c r="H10596" i="1"/>
  <c r="K10595" i="1"/>
  <c r="H10595" i="1"/>
  <c r="K10594" i="1"/>
  <c r="H10594" i="1"/>
  <c r="K10593" i="1"/>
  <c r="H10593" i="1"/>
  <c r="K10592" i="1"/>
  <c r="H10592" i="1"/>
  <c r="K10591" i="1"/>
  <c r="H10591" i="1"/>
  <c r="K10590" i="1"/>
  <c r="H10590" i="1"/>
  <c r="K10589" i="1"/>
  <c r="H10589" i="1"/>
  <c r="K10588" i="1"/>
  <c r="H10588" i="1"/>
  <c r="K10587" i="1"/>
  <c r="H10587" i="1"/>
  <c r="K10586" i="1"/>
  <c r="H10586" i="1"/>
  <c r="K10585" i="1"/>
  <c r="H10585" i="1"/>
  <c r="K10584" i="1"/>
  <c r="H10584" i="1"/>
  <c r="K10583" i="1"/>
  <c r="H10583" i="1"/>
  <c r="K10582" i="1"/>
  <c r="H10582" i="1"/>
  <c r="K10581" i="1"/>
  <c r="H10581" i="1"/>
  <c r="K10580" i="1"/>
  <c r="H10580" i="1"/>
  <c r="K10579" i="1"/>
  <c r="H10579" i="1"/>
  <c r="K10578" i="1"/>
  <c r="H10578" i="1"/>
  <c r="K10577" i="1"/>
  <c r="H10577" i="1"/>
  <c r="K10576" i="1"/>
  <c r="H10576" i="1"/>
  <c r="K10575" i="1"/>
  <c r="H10575" i="1"/>
  <c r="K10574" i="1"/>
  <c r="H10574" i="1"/>
  <c r="K10573" i="1"/>
  <c r="H10573" i="1"/>
  <c r="K10572" i="1"/>
  <c r="H10572" i="1"/>
  <c r="K10571" i="1"/>
  <c r="H10571" i="1"/>
  <c r="K10570" i="1"/>
  <c r="H10570" i="1"/>
  <c r="K10569" i="1"/>
  <c r="H10569" i="1"/>
  <c r="K10568" i="1"/>
  <c r="H10568" i="1"/>
  <c r="K10567" i="1"/>
  <c r="H10567" i="1"/>
  <c r="K10566" i="1"/>
  <c r="H10566" i="1"/>
  <c r="K10565" i="1"/>
  <c r="H10565" i="1"/>
  <c r="K10564" i="1"/>
  <c r="H10564" i="1"/>
  <c r="K10563" i="1"/>
  <c r="H10563" i="1"/>
  <c r="K10562" i="1"/>
  <c r="H10562" i="1"/>
  <c r="K10561" i="1"/>
  <c r="H10561" i="1"/>
  <c r="K10560" i="1"/>
  <c r="H10560" i="1"/>
  <c r="K10559" i="1"/>
  <c r="H10559" i="1"/>
  <c r="K10558" i="1"/>
  <c r="H10558" i="1"/>
  <c r="K10557" i="1"/>
  <c r="H10557" i="1"/>
  <c r="K10556" i="1"/>
  <c r="H10556" i="1"/>
  <c r="K10555" i="1"/>
  <c r="H10555" i="1"/>
  <c r="K10554" i="1"/>
  <c r="H10554" i="1"/>
  <c r="K10553" i="1"/>
  <c r="H10553" i="1"/>
  <c r="K10552" i="1"/>
  <c r="H10552" i="1"/>
  <c r="K10551" i="1"/>
  <c r="H10551" i="1"/>
  <c r="K10550" i="1"/>
  <c r="H10550" i="1"/>
  <c r="K10549" i="1"/>
  <c r="H10549" i="1"/>
  <c r="K10548" i="1"/>
  <c r="H10548" i="1"/>
  <c r="K10547" i="1"/>
  <c r="H10547" i="1"/>
  <c r="K10546" i="1"/>
  <c r="H10546" i="1"/>
  <c r="K10545" i="1"/>
  <c r="H10545" i="1"/>
  <c r="K10544" i="1"/>
  <c r="H10544" i="1"/>
  <c r="K10543" i="1"/>
  <c r="H10543" i="1"/>
  <c r="K10542" i="1"/>
  <c r="H10542" i="1"/>
  <c r="K10541" i="1"/>
  <c r="H10541" i="1"/>
  <c r="K10540" i="1"/>
  <c r="H10540" i="1"/>
  <c r="K10539" i="1"/>
  <c r="H10539" i="1"/>
  <c r="K10538" i="1"/>
  <c r="H10538" i="1"/>
  <c r="K10537" i="1"/>
  <c r="H10537" i="1"/>
  <c r="K10536" i="1"/>
  <c r="H10536" i="1"/>
  <c r="K10535" i="1"/>
  <c r="H10535" i="1"/>
  <c r="K10534" i="1"/>
  <c r="H10534" i="1"/>
  <c r="K10533" i="1"/>
  <c r="H10533" i="1"/>
  <c r="K10532" i="1"/>
  <c r="H10532" i="1"/>
  <c r="K10531" i="1"/>
  <c r="H10531" i="1"/>
  <c r="K10530" i="1"/>
  <c r="H10530" i="1"/>
  <c r="K10529" i="1"/>
  <c r="H10529" i="1"/>
  <c r="K10528" i="1"/>
  <c r="H10528" i="1"/>
  <c r="K10527" i="1"/>
  <c r="H10527" i="1"/>
  <c r="K10526" i="1"/>
  <c r="H10526" i="1"/>
  <c r="K10525" i="1"/>
  <c r="H10525" i="1"/>
  <c r="K10524" i="1"/>
  <c r="H10524" i="1"/>
  <c r="K10523" i="1"/>
  <c r="H10523" i="1"/>
  <c r="K10522" i="1"/>
  <c r="H10522" i="1"/>
  <c r="K10521" i="1"/>
  <c r="H10521" i="1"/>
  <c r="K10520" i="1"/>
  <c r="H10520" i="1"/>
  <c r="K10519" i="1"/>
  <c r="H10519" i="1"/>
  <c r="K10518" i="1"/>
  <c r="H10518" i="1"/>
  <c r="K10517" i="1"/>
  <c r="H10517" i="1"/>
  <c r="K10516" i="1"/>
  <c r="H10516" i="1"/>
  <c r="K10515" i="1"/>
  <c r="H10515" i="1"/>
  <c r="K10514" i="1"/>
  <c r="H10514" i="1"/>
  <c r="K10513" i="1"/>
  <c r="H10513" i="1"/>
  <c r="K10512" i="1"/>
  <c r="H10512" i="1"/>
  <c r="K10511" i="1"/>
  <c r="H10511" i="1"/>
  <c r="K10510" i="1"/>
  <c r="H10510" i="1"/>
  <c r="K10509" i="1"/>
  <c r="H10509" i="1"/>
  <c r="K10508" i="1"/>
  <c r="H10508" i="1"/>
  <c r="K10507" i="1"/>
  <c r="H10507" i="1"/>
  <c r="K10506" i="1"/>
  <c r="H10506" i="1"/>
  <c r="K10505" i="1"/>
  <c r="H10505" i="1"/>
  <c r="K10504" i="1"/>
  <c r="H10504" i="1"/>
  <c r="K10503" i="1"/>
  <c r="H10503" i="1"/>
  <c r="K10502" i="1"/>
  <c r="H10502" i="1"/>
  <c r="K10501" i="1"/>
  <c r="H10501" i="1"/>
  <c r="K10500" i="1"/>
  <c r="H10500" i="1"/>
  <c r="K10499" i="1"/>
  <c r="H10499" i="1"/>
  <c r="K10498" i="1"/>
  <c r="H10498" i="1"/>
  <c r="K10497" i="1"/>
  <c r="H10497" i="1"/>
  <c r="K10496" i="1"/>
  <c r="H10496" i="1"/>
  <c r="K10495" i="1"/>
  <c r="H10495" i="1"/>
  <c r="K10494" i="1"/>
  <c r="H10494" i="1"/>
  <c r="K10493" i="1"/>
  <c r="H10493" i="1"/>
  <c r="K10492" i="1"/>
  <c r="H10492" i="1"/>
  <c r="K10491" i="1"/>
  <c r="H10491" i="1"/>
  <c r="K10490" i="1"/>
  <c r="H10490" i="1"/>
  <c r="K10489" i="1"/>
  <c r="H10489" i="1"/>
  <c r="K10488" i="1"/>
  <c r="H10488" i="1"/>
  <c r="K10487" i="1"/>
  <c r="H10487" i="1"/>
  <c r="K10486" i="1"/>
  <c r="H10486" i="1"/>
  <c r="K10485" i="1"/>
  <c r="H10485" i="1"/>
  <c r="K10484" i="1"/>
  <c r="H10484" i="1"/>
  <c r="K10483" i="1"/>
  <c r="H10483" i="1"/>
  <c r="K10482" i="1"/>
  <c r="H10482" i="1"/>
  <c r="K10481" i="1"/>
  <c r="H10481" i="1"/>
  <c r="K10480" i="1"/>
  <c r="H10480" i="1"/>
  <c r="K10479" i="1"/>
  <c r="H10479" i="1"/>
  <c r="K10478" i="1"/>
  <c r="H10478" i="1"/>
  <c r="K10477" i="1"/>
  <c r="H10477" i="1"/>
  <c r="K10476" i="1"/>
  <c r="H10476" i="1"/>
  <c r="K10475" i="1"/>
  <c r="H10475" i="1"/>
  <c r="K10474" i="1"/>
  <c r="H10474" i="1"/>
  <c r="K10473" i="1"/>
  <c r="H10473" i="1"/>
  <c r="K10472" i="1"/>
  <c r="H10472" i="1"/>
  <c r="K10471" i="1"/>
  <c r="H10471" i="1"/>
  <c r="K10470" i="1"/>
  <c r="H10470" i="1"/>
  <c r="K10469" i="1"/>
  <c r="H10469" i="1"/>
  <c r="K10468" i="1"/>
  <c r="H10468" i="1"/>
  <c r="K10467" i="1"/>
  <c r="H10467" i="1"/>
  <c r="K10466" i="1"/>
  <c r="H10466" i="1"/>
  <c r="K10465" i="1"/>
  <c r="H10465" i="1"/>
  <c r="K10464" i="1"/>
  <c r="H10464" i="1"/>
  <c r="K10463" i="1"/>
  <c r="H10463" i="1"/>
  <c r="K10462" i="1"/>
  <c r="H10462" i="1"/>
  <c r="K10461" i="1"/>
  <c r="H10461" i="1"/>
  <c r="K10460" i="1"/>
  <c r="H10460" i="1"/>
  <c r="K10459" i="1"/>
  <c r="H10459" i="1"/>
  <c r="K10458" i="1"/>
  <c r="H10458" i="1"/>
  <c r="K10457" i="1"/>
  <c r="H10457" i="1"/>
  <c r="K10456" i="1"/>
  <c r="H10456" i="1"/>
  <c r="K10455" i="1"/>
  <c r="H10455" i="1"/>
  <c r="K10454" i="1"/>
  <c r="H10454" i="1"/>
  <c r="K10453" i="1"/>
  <c r="H10453" i="1"/>
  <c r="K10452" i="1"/>
  <c r="H10452" i="1"/>
  <c r="K10451" i="1"/>
  <c r="H10451" i="1"/>
  <c r="K10450" i="1"/>
  <c r="H10450" i="1"/>
  <c r="K10449" i="1"/>
  <c r="H10449" i="1"/>
  <c r="K10448" i="1"/>
  <c r="H10448" i="1"/>
  <c r="K10447" i="1"/>
  <c r="H10447" i="1"/>
  <c r="K10446" i="1"/>
  <c r="H10446" i="1"/>
  <c r="K10445" i="1"/>
  <c r="H10445" i="1"/>
  <c r="K10444" i="1"/>
  <c r="H10444" i="1"/>
  <c r="K10443" i="1"/>
  <c r="H10443" i="1"/>
  <c r="K10442" i="1"/>
  <c r="H10442" i="1"/>
  <c r="K10441" i="1"/>
  <c r="H10441" i="1"/>
  <c r="K10440" i="1"/>
  <c r="H10440" i="1"/>
  <c r="K10439" i="1"/>
  <c r="H10439" i="1"/>
  <c r="K10438" i="1"/>
  <c r="H10438" i="1"/>
  <c r="K10437" i="1"/>
  <c r="H10437" i="1"/>
  <c r="K10436" i="1"/>
  <c r="H10436" i="1"/>
  <c r="K10435" i="1"/>
  <c r="H10435" i="1"/>
  <c r="K10434" i="1"/>
  <c r="H10434" i="1"/>
  <c r="K10433" i="1"/>
  <c r="H10433" i="1"/>
  <c r="K10432" i="1"/>
  <c r="H10432" i="1"/>
  <c r="K10431" i="1"/>
  <c r="H10431" i="1"/>
  <c r="K10430" i="1"/>
  <c r="H10430" i="1"/>
  <c r="K10429" i="1"/>
  <c r="H10429" i="1"/>
  <c r="K10428" i="1"/>
  <c r="H10428" i="1"/>
  <c r="K10427" i="1"/>
  <c r="H10427" i="1"/>
  <c r="K10426" i="1"/>
  <c r="H10426" i="1"/>
  <c r="K10425" i="1"/>
  <c r="H10425" i="1"/>
  <c r="K10424" i="1"/>
  <c r="H10424" i="1"/>
  <c r="K10423" i="1"/>
  <c r="H10423" i="1"/>
  <c r="K10422" i="1"/>
  <c r="H10422" i="1"/>
  <c r="K10421" i="1"/>
  <c r="H10421" i="1"/>
  <c r="K10420" i="1"/>
  <c r="H10420" i="1"/>
  <c r="K10419" i="1"/>
  <c r="H10419" i="1"/>
  <c r="K10418" i="1"/>
  <c r="H10418" i="1"/>
  <c r="K10417" i="1"/>
  <c r="H10417" i="1"/>
  <c r="K10416" i="1"/>
  <c r="H10416" i="1"/>
  <c r="K10415" i="1"/>
  <c r="H10415" i="1"/>
  <c r="K10414" i="1"/>
  <c r="H10414" i="1"/>
  <c r="K10413" i="1"/>
  <c r="H10413" i="1"/>
  <c r="K10412" i="1"/>
  <c r="H10412" i="1"/>
  <c r="K10411" i="1"/>
  <c r="H10411" i="1"/>
  <c r="K10410" i="1"/>
  <c r="H10410" i="1"/>
  <c r="K10409" i="1"/>
  <c r="H10409" i="1"/>
  <c r="K10408" i="1"/>
  <c r="H10408" i="1"/>
  <c r="K10407" i="1"/>
  <c r="H10407" i="1"/>
  <c r="K10406" i="1"/>
  <c r="H10406" i="1"/>
  <c r="K10405" i="1"/>
  <c r="H10405" i="1"/>
  <c r="K10404" i="1"/>
  <c r="H10404" i="1"/>
  <c r="K10403" i="1"/>
  <c r="H10403" i="1"/>
  <c r="K10402" i="1"/>
  <c r="H10402" i="1"/>
  <c r="K10401" i="1"/>
  <c r="H10401" i="1"/>
  <c r="K10400" i="1"/>
  <c r="H10400" i="1"/>
  <c r="K10399" i="1"/>
  <c r="H10399" i="1"/>
  <c r="K10398" i="1"/>
  <c r="H10398" i="1"/>
  <c r="K10397" i="1"/>
  <c r="H10397" i="1"/>
  <c r="K10396" i="1"/>
  <c r="H10396" i="1"/>
  <c r="K10395" i="1"/>
  <c r="H10395" i="1"/>
  <c r="K10394" i="1"/>
  <c r="H10394" i="1"/>
  <c r="K10393" i="1"/>
  <c r="H10393" i="1"/>
  <c r="K10392" i="1"/>
  <c r="H10392" i="1"/>
  <c r="K10391" i="1"/>
  <c r="H10391" i="1"/>
  <c r="K10390" i="1"/>
  <c r="H10390" i="1"/>
  <c r="K10389" i="1"/>
  <c r="H10389" i="1"/>
  <c r="K10388" i="1"/>
  <c r="H10388" i="1"/>
  <c r="K10387" i="1"/>
  <c r="H10387" i="1"/>
  <c r="K10386" i="1"/>
  <c r="H10386" i="1"/>
  <c r="K10385" i="1"/>
  <c r="H10385" i="1"/>
  <c r="K10384" i="1"/>
  <c r="H10384" i="1"/>
  <c r="K10383" i="1"/>
  <c r="H10383" i="1"/>
  <c r="K10382" i="1"/>
  <c r="H10382" i="1"/>
  <c r="K10381" i="1"/>
  <c r="H10381" i="1"/>
  <c r="K10380" i="1"/>
  <c r="H10380" i="1"/>
  <c r="K10379" i="1"/>
  <c r="H10379" i="1"/>
  <c r="K10378" i="1"/>
  <c r="H10378" i="1"/>
  <c r="K10377" i="1"/>
  <c r="H10377" i="1"/>
  <c r="K10376" i="1"/>
  <c r="H10376" i="1"/>
  <c r="K10375" i="1"/>
  <c r="H10375" i="1"/>
  <c r="K10374" i="1"/>
  <c r="H10374" i="1"/>
  <c r="K10373" i="1"/>
  <c r="H10373" i="1"/>
  <c r="K10372" i="1"/>
  <c r="H10372" i="1"/>
  <c r="K10371" i="1"/>
  <c r="H10371" i="1"/>
  <c r="K10370" i="1"/>
  <c r="H10370" i="1"/>
  <c r="K10369" i="1"/>
  <c r="H10369" i="1"/>
  <c r="K10368" i="1"/>
  <c r="H10368" i="1"/>
  <c r="K10367" i="1"/>
  <c r="H10367" i="1"/>
  <c r="K10366" i="1"/>
  <c r="H10366" i="1"/>
  <c r="K10365" i="1"/>
  <c r="H10365" i="1"/>
  <c r="K10364" i="1"/>
  <c r="H10364" i="1"/>
  <c r="K10363" i="1"/>
  <c r="H10363" i="1"/>
  <c r="K10362" i="1"/>
  <c r="H10362" i="1"/>
  <c r="K10361" i="1"/>
  <c r="H10361" i="1"/>
  <c r="K10360" i="1"/>
  <c r="H10360" i="1"/>
  <c r="K10359" i="1"/>
  <c r="H10359" i="1"/>
  <c r="K10358" i="1"/>
  <c r="H10358" i="1"/>
  <c r="K10357" i="1"/>
  <c r="H10357" i="1"/>
  <c r="K10356" i="1"/>
  <c r="H10356" i="1"/>
  <c r="K10355" i="1"/>
  <c r="H10355" i="1"/>
  <c r="K10354" i="1"/>
  <c r="H10354" i="1"/>
  <c r="K10353" i="1"/>
  <c r="H10353" i="1"/>
  <c r="K10352" i="1"/>
  <c r="H10352" i="1"/>
  <c r="K10351" i="1"/>
  <c r="H10351" i="1"/>
  <c r="K10350" i="1"/>
  <c r="H10350" i="1"/>
  <c r="K10349" i="1"/>
  <c r="H10349" i="1"/>
  <c r="K10348" i="1"/>
  <c r="H10348" i="1"/>
  <c r="K10347" i="1"/>
  <c r="H10347" i="1"/>
  <c r="K10346" i="1"/>
  <c r="H10346" i="1"/>
  <c r="K10345" i="1"/>
  <c r="H10345" i="1"/>
  <c r="K10344" i="1"/>
  <c r="H10344" i="1"/>
  <c r="K10343" i="1"/>
  <c r="H10343" i="1"/>
  <c r="K10342" i="1"/>
  <c r="H10342" i="1"/>
  <c r="K10341" i="1"/>
  <c r="H10341" i="1"/>
  <c r="K10340" i="1"/>
  <c r="H10340" i="1"/>
  <c r="K10339" i="1"/>
  <c r="H10339" i="1"/>
  <c r="K10338" i="1"/>
  <c r="H10338" i="1"/>
  <c r="K10337" i="1"/>
  <c r="H10337" i="1"/>
  <c r="K10336" i="1"/>
  <c r="H10336" i="1"/>
  <c r="K10335" i="1"/>
  <c r="H10335" i="1"/>
  <c r="K10334" i="1"/>
  <c r="H10334" i="1"/>
  <c r="K10333" i="1"/>
  <c r="H10333" i="1"/>
  <c r="K10332" i="1"/>
  <c r="H10332" i="1"/>
  <c r="K10331" i="1"/>
  <c r="H10331" i="1"/>
  <c r="K10330" i="1"/>
  <c r="H10330" i="1"/>
  <c r="K10329" i="1"/>
  <c r="H10329" i="1"/>
  <c r="K10328" i="1"/>
  <c r="H10328" i="1"/>
  <c r="K10327" i="1"/>
  <c r="H10327" i="1"/>
  <c r="K10326" i="1"/>
  <c r="H10326" i="1"/>
  <c r="K10325" i="1"/>
  <c r="H10325" i="1"/>
  <c r="K10324" i="1"/>
  <c r="H10324" i="1"/>
  <c r="K10323" i="1"/>
  <c r="H10323" i="1"/>
  <c r="K10322" i="1"/>
  <c r="H10322" i="1"/>
  <c r="K10321" i="1"/>
  <c r="H10321" i="1"/>
  <c r="K10320" i="1"/>
  <c r="H10320" i="1"/>
  <c r="K10319" i="1"/>
  <c r="H10319" i="1"/>
  <c r="K10318" i="1"/>
  <c r="H10318" i="1"/>
  <c r="K10317" i="1"/>
  <c r="H10317" i="1"/>
  <c r="K10316" i="1"/>
  <c r="H10316" i="1"/>
  <c r="K10315" i="1"/>
  <c r="H10315" i="1"/>
  <c r="K10314" i="1"/>
  <c r="H10314" i="1"/>
  <c r="K10313" i="1"/>
  <c r="H10313" i="1"/>
  <c r="K10312" i="1"/>
  <c r="H10312" i="1"/>
  <c r="K10311" i="1"/>
  <c r="H10311" i="1"/>
  <c r="K10310" i="1"/>
  <c r="H10310" i="1"/>
  <c r="K10309" i="1"/>
  <c r="H10309" i="1"/>
  <c r="K10308" i="1"/>
  <c r="H10308" i="1"/>
  <c r="K10307" i="1"/>
  <c r="H10307" i="1"/>
  <c r="K10306" i="1"/>
  <c r="H10306" i="1"/>
  <c r="K10305" i="1"/>
  <c r="H10305" i="1"/>
  <c r="K10304" i="1"/>
  <c r="H10304" i="1"/>
  <c r="K10303" i="1"/>
  <c r="H10303" i="1"/>
  <c r="K10302" i="1"/>
  <c r="H10302" i="1"/>
  <c r="K10301" i="1"/>
  <c r="H10301" i="1"/>
  <c r="K10300" i="1"/>
  <c r="H10300" i="1"/>
  <c r="K10299" i="1"/>
  <c r="H10299" i="1"/>
  <c r="K10298" i="1"/>
  <c r="H10298" i="1"/>
  <c r="K10297" i="1"/>
  <c r="H10297" i="1"/>
  <c r="K10296" i="1"/>
  <c r="H10296" i="1"/>
  <c r="K10295" i="1"/>
  <c r="H10295" i="1"/>
  <c r="K10294" i="1"/>
  <c r="H10294" i="1"/>
  <c r="K10293" i="1"/>
  <c r="H10293" i="1"/>
  <c r="K10292" i="1"/>
  <c r="H10292" i="1"/>
  <c r="K10291" i="1"/>
  <c r="H10291" i="1"/>
  <c r="K10290" i="1"/>
  <c r="H10290" i="1"/>
  <c r="K10289" i="1"/>
  <c r="H10289" i="1"/>
  <c r="K10288" i="1"/>
  <c r="H10288" i="1"/>
  <c r="K10287" i="1"/>
  <c r="H10287" i="1"/>
  <c r="K10286" i="1"/>
  <c r="H10286" i="1"/>
  <c r="K10285" i="1"/>
  <c r="H10285" i="1"/>
  <c r="K10284" i="1"/>
  <c r="H10284" i="1"/>
  <c r="K10283" i="1"/>
  <c r="H10283" i="1"/>
  <c r="K10282" i="1"/>
  <c r="H10282" i="1"/>
  <c r="K10281" i="1"/>
  <c r="H10281" i="1"/>
  <c r="K10280" i="1"/>
  <c r="H10280" i="1"/>
  <c r="K10279" i="1"/>
  <c r="H10279" i="1"/>
  <c r="K10278" i="1"/>
  <c r="H10278" i="1"/>
  <c r="K10277" i="1"/>
  <c r="H10277" i="1"/>
  <c r="K10276" i="1"/>
  <c r="H10276" i="1"/>
  <c r="K10275" i="1"/>
  <c r="H10275" i="1"/>
  <c r="K10274" i="1"/>
  <c r="H10274" i="1"/>
  <c r="K10273" i="1"/>
  <c r="H10273" i="1"/>
  <c r="K10272" i="1"/>
  <c r="H10272" i="1"/>
  <c r="K10271" i="1"/>
  <c r="H10271" i="1"/>
  <c r="K10270" i="1"/>
  <c r="H10270" i="1"/>
  <c r="K10269" i="1"/>
  <c r="H10269" i="1"/>
  <c r="K10268" i="1"/>
  <c r="H10268" i="1"/>
  <c r="K10267" i="1"/>
  <c r="H10267" i="1"/>
  <c r="K10266" i="1"/>
  <c r="H10266" i="1"/>
  <c r="K10265" i="1"/>
  <c r="H10265" i="1"/>
  <c r="K10264" i="1"/>
  <c r="H10264" i="1"/>
  <c r="K10263" i="1"/>
  <c r="H10263" i="1"/>
  <c r="K10262" i="1"/>
  <c r="H10262" i="1"/>
  <c r="K10261" i="1"/>
  <c r="H10261" i="1"/>
  <c r="K10260" i="1"/>
  <c r="H10260" i="1"/>
  <c r="K10259" i="1"/>
  <c r="H10259" i="1"/>
  <c r="K10258" i="1"/>
  <c r="H10258" i="1"/>
  <c r="K10257" i="1"/>
  <c r="H10257" i="1"/>
  <c r="K10256" i="1"/>
  <c r="H10256" i="1"/>
  <c r="K10255" i="1"/>
  <c r="H10255" i="1"/>
  <c r="K10254" i="1"/>
  <c r="H10254" i="1"/>
  <c r="K10253" i="1"/>
  <c r="H10253" i="1"/>
  <c r="K10252" i="1"/>
  <c r="H10252" i="1"/>
  <c r="K10251" i="1"/>
  <c r="H10251" i="1"/>
  <c r="K10250" i="1"/>
  <c r="H10250" i="1"/>
  <c r="K10249" i="1"/>
  <c r="H10249" i="1"/>
  <c r="K10248" i="1"/>
  <c r="H10248" i="1"/>
  <c r="K10247" i="1"/>
  <c r="H10247" i="1"/>
  <c r="K10246" i="1"/>
  <c r="H10246" i="1"/>
  <c r="K10245" i="1"/>
  <c r="H10245" i="1"/>
  <c r="K10244" i="1"/>
  <c r="H10244" i="1"/>
  <c r="K10243" i="1"/>
  <c r="H10243" i="1"/>
  <c r="K10242" i="1"/>
  <c r="H10242" i="1"/>
  <c r="K10241" i="1"/>
  <c r="H10241" i="1"/>
  <c r="K10240" i="1"/>
  <c r="H10240" i="1"/>
  <c r="K10239" i="1"/>
  <c r="H10239" i="1"/>
  <c r="K10238" i="1"/>
  <c r="H10238" i="1"/>
  <c r="K10237" i="1"/>
  <c r="H10237" i="1"/>
  <c r="K10236" i="1"/>
  <c r="H10236" i="1"/>
  <c r="K10235" i="1"/>
  <c r="H10235" i="1"/>
  <c r="K10234" i="1"/>
  <c r="H10234" i="1"/>
  <c r="K10233" i="1"/>
  <c r="H10233" i="1"/>
  <c r="K10232" i="1"/>
  <c r="H10232" i="1"/>
  <c r="K10231" i="1"/>
  <c r="H10231" i="1"/>
  <c r="K10230" i="1"/>
  <c r="H10230" i="1"/>
  <c r="K10229" i="1"/>
  <c r="H10229" i="1"/>
  <c r="K10228" i="1"/>
  <c r="H10228" i="1"/>
  <c r="K10227" i="1"/>
  <c r="H10227" i="1"/>
  <c r="K10226" i="1"/>
  <c r="H10226" i="1"/>
  <c r="K10225" i="1"/>
  <c r="H10225" i="1"/>
  <c r="K10224" i="1"/>
  <c r="H10224" i="1"/>
  <c r="K10223" i="1"/>
  <c r="H10223" i="1"/>
  <c r="K10222" i="1"/>
  <c r="H10222" i="1"/>
  <c r="K10221" i="1"/>
  <c r="H10221" i="1"/>
  <c r="K10220" i="1"/>
  <c r="H10220" i="1"/>
  <c r="K10219" i="1"/>
  <c r="H10219" i="1"/>
  <c r="K10218" i="1"/>
  <c r="H10218" i="1"/>
  <c r="K10217" i="1"/>
  <c r="H10217" i="1"/>
  <c r="K10216" i="1"/>
  <c r="H10216" i="1"/>
  <c r="K10215" i="1"/>
  <c r="H10215" i="1"/>
  <c r="K10214" i="1"/>
  <c r="H10214" i="1"/>
  <c r="K10213" i="1"/>
  <c r="H10213" i="1"/>
  <c r="K10212" i="1"/>
  <c r="H10212" i="1"/>
  <c r="K10211" i="1"/>
  <c r="H10211" i="1"/>
  <c r="K10210" i="1"/>
  <c r="H10210" i="1"/>
  <c r="K10209" i="1"/>
  <c r="H10209" i="1"/>
  <c r="K10208" i="1"/>
  <c r="H10208" i="1"/>
  <c r="K10207" i="1"/>
  <c r="H10207" i="1"/>
  <c r="K10206" i="1"/>
  <c r="H10206" i="1"/>
  <c r="K10205" i="1"/>
  <c r="H10205" i="1"/>
  <c r="K10204" i="1"/>
  <c r="H10204" i="1"/>
  <c r="K10203" i="1"/>
  <c r="H10203" i="1"/>
  <c r="K10202" i="1"/>
  <c r="H10202" i="1"/>
  <c r="K10201" i="1"/>
  <c r="H10201" i="1"/>
  <c r="K10200" i="1"/>
  <c r="H10200" i="1"/>
  <c r="K10199" i="1"/>
  <c r="H10199" i="1"/>
  <c r="K10198" i="1"/>
  <c r="H10198" i="1"/>
  <c r="K10197" i="1"/>
  <c r="H10197" i="1"/>
  <c r="K10196" i="1"/>
  <c r="H10196" i="1"/>
  <c r="K10195" i="1"/>
  <c r="H10195" i="1"/>
  <c r="K10194" i="1"/>
  <c r="H10194" i="1"/>
  <c r="K10193" i="1"/>
  <c r="H10193" i="1"/>
  <c r="K10192" i="1"/>
  <c r="H10192" i="1"/>
  <c r="K10191" i="1"/>
  <c r="H10191" i="1"/>
  <c r="K10190" i="1"/>
  <c r="H10190" i="1"/>
  <c r="K10189" i="1"/>
  <c r="H10189" i="1"/>
  <c r="K10188" i="1"/>
  <c r="H10188" i="1"/>
  <c r="K10187" i="1"/>
  <c r="H10187" i="1"/>
  <c r="K10186" i="1"/>
  <c r="H10186" i="1"/>
  <c r="K10185" i="1"/>
  <c r="H10185" i="1"/>
  <c r="K10184" i="1"/>
  <c r="H10184" i="1"/>
  <c r="K10183" i="1"/>
  <c r="H10183" i="1"/>
  <c r="K10182" i="1"/>
  <c r="H10182" i="1"/>
  <c r="K10181" i="1"/>
  <c r="H10181" i="1"/>
  <c r="K10180" i="1"/>
  <c r="H10180" i="1"/>
  <c r="K10179" i="1"/>
  <c r="H10179" i="1"/>
  <c r="K10178" i="1"/>
  <c r="H10178" i="1"/>
  <c r="K10177" i="1"/>
  <c r="H10177" i="1"/>
  <c r="K10176" i="1"/>
  <c r="H10176" i="1"/>
  <c r="K10175" i="1"/>
  <c r="H10175" i="1"/>
  <c r="K10174" i="1"/>
  <c r="H10174" i="1"/>
  <c r="K10173" i="1"/>
  <c r="H10173" i="1"/>
  <c r="K10172" i="1"/>
  <c r="H10172" i="1"/>
  <c r="K10171" i="1"/>
  <c r="H10171" i="1"/>
  <c r="K10170" i="1"/>
  <c r="H10170" i="1"/>
  <c r="K10169" i="1"/>
  <c r="H10169" i="1"/>
  <c r="K10168" i="1"/>
  <c r="H10168" i="1"/>
  <c r="K10167" i="1"/>
  <c r="H10167" i="1"/>
  <c r="K10166" i="1"/>
  <c r="H10166" i="1"/>
  <c r="K10165" i="1"/>
  <c r="H10165" i="1"/>
  <c r="K10164" i="1"/>
  <c r="H10164" i="1"/>
  <c r="K10163" i="1"/>
  <c r="H10163" i="1"/>
  <c r="K10162" i="1"/>
  <c r="H10162" i="1"/>
  <c r="K10161" i="1"/>
  <c r="H10161" i="1"/>
  <c r="K10160" i="1"/>
  <c r="H10160" i="1"/>
  <c r="K10159" i="1"/>
  <c r="H10159" i="1"/>
  <c r="K10158" i="1"/>
  <c r="H10158" i="1"/>
  <c r="K10157" i="1"/>
  <c r="H10157" i="1"/>
  <c r="K10156" i="1"/>
  <c r="H10156" i="1"/>
  <c r="K10155" i="1"/>
  <c r="H10155" i="1"/>
  <c r="K10154" i="1"/>
  <c r="H10154" i="1"/>
  <c r="K10153" i="1"/>
  <c r="H10153" i="1"/>
  <c r="K10152" i="1"/>
  <c r="H10152" i="1"/>
  <c r="K10151" i="1"/>
  <c r="H10151" i="1"/>
  <c r="K10150" i="1"/>
  <c r="H10150" i="1"/>
  <c r="K10149" i="1"/>
  <c r="H10149" i="1"/>
  <c r="K10148" i="1"/>
  <c r="H10148" i="1"/>
  <c r="K10147" i="1"/>
  <c r="H10147" i="1"/>
  <c r="K10146" i="1"/>
  <c r="H10146" i="1"/>
  <c r="K10145" i="1"/>
  <c r="H10145" i="1"/>
  <c r="K10144" i="1"/>
  <c r="H10144" i="1"/>
  <c r="K10143" i="1"/>
  <c r="H10143" i="1"/>
  <c r="K10142" i="1"/>
  <c r="H10142" i="1"/>
  <c r="K10141" i="1"/>
  <c r="H10141" i="1"/>
  <c r="K10140" i="1"/>
  <c r="H10140" i="1"/>
  <c r="K10139" i="1"/>
  <c r="H10139" i="1"/>
  <c r="K10138" i="1"/>
  <c r="H10138" i="1"/>
  <c r="K10137" i="1"/>
  <c r="H10137" i="1"/>
  <c r="K10136" i="1"/>
  <c r="H10136" i="1"/>
  <c r="K10135" i="1"/>
  <c r="H10135" i="1"/>
  <c r="K10134" i="1"/>
  <c r="H10134" i="1"/>
  <c r="K10133" i="1"/>
  <c r="H10133" i="1"/>
  <c r="K10132" i="1"/>
  <c r="H10132" i="1"/>
  <c r="K10131" i="1"/>
  <c r="H10131" i="1"/>
  <c r="K10130" i="1"/>
  <c r="H10130" i="1"/>
  <c r="K10129" i="1"/>
  <c r="H10129" i="1"/>
  <c r="K10128" i="1"/>
  <c r="H10128" i="1"/>
  <c r="K10127" i="1"/>
  <c r="H10127" i="1"/>
  <c r="K10126" i="1"/>
  <c r="H10126" i="1"/>
  <c r="K10125" i="1"/>
  <c r="H10125" i="1"/>
  <c r="K10124" i="1"/>
  <c r="H10124" i="1"/>
  <c r="K10123" i="1"/>
  <c r="H10123" i="1"/>
  <c r="K10122" i="1"/>
  <c r="H10122" i="1"/>
  <c r="K10121" i="1"/>
  <c r="H10121" i="1"/>
  <c r="K10120" i="1"/>
  <c r="H10120" i="1"/>
  <c r="K10119" i="1"/>
  <c r="H10119" i="1"/>
  <c r="K10118" i="1"/>
  <c r="H10118" i="1"/>
  <c r="K10117" i="1"/>
  <c r="H10117" i="1"/>
  <c r="K10116" i="1"/>
  <c r="H10116" i="1"/>
  <c r="K10115" i="1"/>
  <c r="H10115" i="1"/>
  <c r="K10114" i="1"/>
  <c r="H10114" i="1"/>
  <c r="K10113" i="1"/>
  <c r="H10113" i="1"/>
  <c r="K10112" i="1"/>
  <c r="H10112" i="1"/>
  <c r="K10111" i="1"/>
  <c r="H10111" i="1"/>
  <c r="K10110" i="1"/>
  <c r="H10110" i="1"/>
  <c r="K10109" i="1"/>
  <c r="H10109" i="1"/>
  <c r="K10108" i="1"/>
  <c r="H10108" i="1"/>
  <c r="K10107" i="1"/>
  <c r="H10107" i="1"/>
  <c r="K10106" i="1"/>
  <c r="H10106" i="1"/>
  <c r="K10105" i="1"/>
  <c r="H10105" i="1"/>
  <c r="K10104" i="1"/>
  <c r="H10104" i="1"/>
  <c r="K10103" i="1"/>
  <c r="H10103" i="1"/>
  <c r="K10102" i="1"/>
  <c r="H10102" i="1"/>
  <c r="K10101" i="1"/>
  <c r="H10101" i="1"/>
  <c r="K10100" i="1"/>
  <c r="H10100" i="1"/>
  <c r="K10099" i="1"/>
  <c r="H10099" i="1"/>
  <c r="K10098" i="1"/>
  <c r="H10098" i="1"/>
  <c r="K10097" i="1"/>
  <c r="H10097" i="1"/>
  <c r="K10096" i="1"/>
  <c r="H10096" i="1"/>
  <c r="K10095" i="1"/>
  <c r="H10095" i="1"/>
  <c r="K10094" i="1"/>
  <c r="H10094" i="1"/>
  <c r="K10093" i="1"/>
  <c r="H10093" i="1"/>
  <c r="K10092" i="1"/>
  <c r="H10092" i="1"/>
  <c r="K10091" i="1"/>
  <c r="H10091" i="1"/>
  <c r="K10090" i="1"/>
  <c r="H10090" i="1"/>
  <c r="K10089" i="1"/>
  <c r="H10089" i="1"/>
  <c r="K10088" i="1"/>
  <c r="H10088" i="1"/>
  <c r="K10087" i="1"/>
  <c r="H10087" i="1"/>
  <c r="K10086" i="1"/>
  <c r="H10086" i="1"/>
  <c r="K10085" i="1"/>
  <c r="H10085" i="1"/>
  <c r="K10084" i="1"/>
  <c r="H10084" i="1"/>
  <c r="K10083" i="1"/>
  <c r="H10083" i="1"/>
  <c r="K10082" i="1"/>
  <c r="H10082" i="1"/>
  <c r="K10081" i="1"/>
  <c r="H10081" i="1"/>
  <c r="K10080" i="1"/>
  <c r="H10080" i="1"/>
  <c r="K10079" i="1"/>
  <c r="H10079" i="1"/>
  <c r="K10078" i="1"/>
  <c r="H10078" i="1"/>
  <c r="K10077" i="1"/>
  <c r="H10077" i="1"/>
  <c r="K10076" i="1"/>
  <c r="H10076" i="1"/>
  <c r="K10075" i="1"/>
  <c r="H10075" i="1"/>
  <c r="K10074" i="1"/>
  <c r="H10074" i="1"/>
  <c r="K10073" i="1"/>
  <c r="H10073" i="1"/>
  <c r="K10072" i="1"/>
  <c r="H10072" i="1"/>
  <c r="K10071" i="1"/>
  <c r="H10071" i="1"/>
  <c r="K10070" i="1"/>
  <c r="H10070" i="1"/>
  <c r="K10069" i="1"/>
  <c r="H10069" i="1"/>
  <c r="K10068" i="1"/>
  <c r="H10068" i="1"/>
  <c r="K10067" i="1"/>
  <c r="H10067" i="1"/>
  <c r="K10066" i="1"/>
  <c r="H10066" i="1"/>
  <c r="K10065" i="1"/>
  <c r="H10065" i="1"/>
  <c r="K10064" i="1"/>
  <c r="H10064" i="1"/>
  <c r="K10063" i="1"/>
  <c r="H10063" i="1"/>
  <c r="K10062" i="1"/>
  <c r="H10062" i="1"/>
  <c r="K10061" i="1"/>
  <c r="H10061" i="1"/>
  <c r="K10060" i="1"/>
  <c r="H10060" i="1"/>
  <c r="K10059" i="1"/>
  <c r="H10059" i="1"/>
  <c r="K10058" i="1"/>
  <c r="H10058" i="1"/>
  <c r="K10057" i="1"/>
  <c r="H10057" i="1"/>
  <c r="K10056" i="1"/>
  <c r="H10056" i="1"/>
  <c r="K10055" i="1"/>
  <c r="H10055" i="1"/>
  <c r="K10054" i="1"/>
  <c r="H10054" i="1"/>
  <c r="K10053" i="1"/>
  <c r="H10053" i="1"/>
  <c r="K10052" i="1"/>
  <c r="H10052" i="1"/>
  <c r="K10051" i="1"/>
  <c r="H10051" i="1"/>
  <c r="K10050" i="1"/>
  <c r="H10050" i="1"/>
  <c r="K10049" i="1"/>
  <c r="H10049" i="1"/>
  <c r="K10048" i="1"/>
  <c r="H10048" i="1"/>
  <c r="K10047" i="1"/>
  <c r="H10047" i="1"/>
  <c r="K10046" i="1"/>
  <c r="H10046" i="1"/>
  <c r="K10045" i="1"/>
  <c r="H10045" i="1"/>
  <c r="K10044" i="1"/>
  <c r="H10044" i="1"/>
  <c r="K10043" i="1"/>
  <c r="H10043" i="1"/>
  <c r="K10042" i="1"/>
  <c r="H10042" i="1"/>
  <c r="K10041" i="1"/>
  <c r="H10041" i="1"/>
  <c r="K10040" i="1"/>
  <c r="H10040" i="1"/>
  <c r="K10039" i="1"/>
  <c r="H10039" i="1"/>
  <c r="K10038" i="1"/>
  <c r="H10038" i="1"/>
  <c r="K10037" i="1"/>
  <c r="H10037" i="1"/>
  <c r="K10036" i="1"/>
  <c r="H10036" i="1"/>
  <c r="K10035" i="1"/>
  <c r="H10035" i="1"/>
  <c r="K10034" i="1"/>
  <c r="H10034" i="1"/>
  <c r="K10033" i="1"/>
  <c r="H10033" i="1"/>
  <c r="K10032" i="1"/>
  <c r="H10032" i="1"/>
  <c r="K10031" i="1"/>
  <c r="H10031" i="1"/>
  <c r="K10030" i="1"/>
  <c r="H10030" i="1"/>
  <c r="K10029" i="1"/>
  <c r="H10029" i="1"/>
  <c r="K10028" i="1"/>
  <c r="H10028" i="1"/>
  <c r="K10027" i="1"/>
  <c r="H10027" i="1"/>
  <c r="K10026" i="1"/>
  <c r="H10026" i="1"/>
  <c r="K10025" i="1"/>
  <c r="H10025" i="1"/>
  <c r="K10024" i="1"/>
  <c r="H10024" i="1"/>
  <c r="K10023" i="1"/>
  <c r="H10023" i="1"/>
  <c r="K10022" i="1"/>
  <c r="H10022" i="1"/>
  <c r="K10021" i="1"/>
  <c r="H10021" i="1"/>
  <c r="K10020" i="1"/>
  <c r="H10020" i="1"/>
  <c r="K10019" i="1"/>
  <c r="H10019" i="1"/>
  <c r="K10018" i="1"/>
  <c r="H10018" i="1"/>
  <c r="K10017" i="1"/>
  <c r="H10017" i="1"/>
  <c r="K10016" i="1"/>
  <c r="H10016" i="1"/>
  <c r="K10015" i="1"/>
  <c r="H10015" i="1"/>
  <c r="K10014" i="1"/>
  <c r="H10014" i="1"/>
  <c r="K10013" i="1"/>
  <c r="H10013" i="1"/>
  <c r="K10012" i="1"/>
  <c r="H10012" i="1"/>
  <c r="K10011" i="1"/>
  <c r="H10011" i="1"/>
  <c r="K10010" i="1"/>
  <c r="H10010" i="1"/>
  <c r="K10009" i="1"/>
  <c r="H10009" i="1"/>
  <c r="K10008" i="1"/>
  <c r="H10008" i="1"/>
  <c r="K10007" i="1"/>
  <c r="H10007" i="1"/>
  <c r="K10006" i="1"/>
  <c r="H10006" i="1"/>
  <c r="K10005" i="1"/>
  <c r="H10005" i="1"/>
  <c r="K10004" i="1"/>
  <c r="H10004" i="1"/>
  <c r="K10003" i="1"/>
  <c r="H10003" i="1"/>
  <c r="K10002" i="1"/>
  <c r="H10002" i="1"/>
  <c r="K10001" i="1"/>
  <c r="H10001" i="1"/>
  <c r="K10000" i="1"/>
  <c r="H10000" i="1"/>
  <c r="K9999" i="1"/>
  <c r="H9999" i="1"/>
  <c r="K9998" i="1"/>
  <c r="H9998" i="1"/>
  <c r="K9997" i="1"/>
  <c r="H9997" i="1"/>
  <c r="K9996" i="1"/>
  <c r="H9996" i="1"/>
  <c r="K9995" i="1"/>
  <c r="H9995" i="1"/>
  <c r="K9994" i="1"/>
  <c r="H9994" i="1"/>
  <c r="K9993" i="1"/>
  <c r="H9993" i="1"/>
  <c r="K9992" i="1"/>
  <c r="H9992" i="1"/>
  <c r="K9991" i="1"/>
  <c r="H9991" i="1"/>
  <c r="K9990" i="1"/>
  <c r="H9990" i="1"/>
  <c r="K9989" i="1"/>
  <c r="H9989" i="1"/>
  <c r="K9988" i="1"/>
  <c r="H9988" i="1"/>
  <c r="K9987" i="1"/>
  <c r="H9987" i="1"/>
  <c r="K9986" i="1"/>
  <c r="H9986" i="1"/>
  <c r="K9985" i="1"/>
  <c r="H9985" i="1"/>
  <c r="K9984" i="1"/>
  <c r="H9984" i="1"/>
  <c r="K9983" i="1"/>
  <c r="H9983" i="1"/>
  <c r="K9982" i="1"/>
  <c r="H9982" i="1"/>
  <c r="K9981" i="1"/>
  <c r="H9981" i="1"/>
  <c r="K9980" i="1"/>
  <c r="H9980" i="1"/>
  <c r="K9979" i="1"/>
  <c r="H9979" i="1"/>
  <c r="K9978" i="1"/>
  <c r="H9978" i="1"/>
  <c r="K9977" i="1"/>
  <c r="H9977" i="1"/>
  <c r="K9976" i="1"/>
  <c r="H9976" i="1"/>
  <c r="K9975" i="1"/>
  <c r="H9975" i="1"/>
  <c r="K9974" i="1"/>
  <c r="H9974" i="1"/>
  <c r="K9973" i="1"/>
  <c r="H9973" i="1"/>
  <c r="K9972" i="1"/>
  <c r="H9972" i="1"/>
  <c r="K9971" i="1"/>
  <c r="H9971" i="1"/>
  <c r="K9970" i="1"/>
  <c r="H9970" i="1"/>
  <c r="K9969" i="1"/>
  <c r="H9969" i="1"/>
  <c r="K9968" i="1"/>
  <c r="H9968" i="1"/>
  <c r="K9967" i="1"/>
  <c r="H9967" i="1"/>
  <c r="K9966" i="1"/>
  <c r="H9966" i="1"/>
  <c r="K9965" i="1"/>
  <c r="H9965" i="1"/>
  <c r="K9964" i="1"/>
  <c r="H9964" i="1"/>
  <c r="K9963" i="1"/>
  <c r="H9963" i="1"/>
  <c r="K9962" i="1"/>
  <c r="H9962" i="1"/>
  <c r="K9961" i="1"/>
  <c r="H9961" i="1"/>
  <c r="K9960" i="1"/>
  <c r="H9960" i="1"/>
  <c r="K9959" i="1"/>
  <c r="H9959" i="1"/>
  <c r="K9958" i="1"/>
  <c r="H9958" i="1"/>
  <c r="K9957" i="1"/>
  <c r="H9957" i="1"/>
  <c r="K9956" i="1"/>
  <c r="H9956" i="1"/>
  <c r="K9955" i="1"/>
  <c r="H9955" i="1"/>
  <c r="K9954" i="1"/>
  <c r="H9954" i="1"/>
  <c r="K9953" i="1"/>
  <c r="H9953" i="1"/>
  <c r="K9952" i="1"/>
  <c r="H9952" i="1"/>
  <c r="K9951" i="1"/>
  <c r="H9951" i="1"/>
  <c r="K9950" i="1"/>
  <c r="H9950" i="1"/>
  <c r="K9949" i="1"/>
  <c r="H9949" i="1"/>
  <c r="K9948" i="1"/>
  <c r="H9948" i="1"/>
  <c r="K9947" i="1"/>
  <c r="H9947" i="1"/>
  <c r="K9946" i="1"/>
  <c r="H9946" i="1"/>
  <c r="K9945" i="1"/>
  <c r="H9945" i="1"/>
  <c r="K9944" i="1"/>
  <c r="H9944" i="1"/>
  <c r="K9943" i="1"/>
  <c r="H9943" i="1"/>
  <c r="K9942" i="1"/>
  <c r="H9942" i="1"/>
  <c r="K9941" i="1"/>
  <c r="H9941" i="1"/>
  <c r="K9940" i="1"/>
  <c r="H9940" i="1"/>
  <c r="K9939" i="1"/>
  <c r="H9939" i="1"/>
  <c r="K9938" i="1"/>
  <c r="H9938" i="1"/>
  <c r="K9937" i="1"/>
  <c r="H9937" i="1"/>
  <c r="K9936" i="1"/>
  <c r="H9936" i="1"/>
  <c r="K9935" i="1"/>
  <c r="H9935" i="1"/>
  <c r="K9934" i="1"/>
  <c r="H9934" i="1"/>
  <c r="K9933" i="1"/>
  <c r="H9933" i="1"/>
  <c r="K9932" i="1"/>
  <c r="H9932" i="1"/>
  <c r="K9931" i="1"/>
  <c r="H9931" i="1"/>
  <c r="K9930" i="1"/>
  <c r="H9930" i="1"/>
  <c r="K9929" i="1"/>
  <c r="H9929" i="1"/>
  <c r="K9928" i="1"/>
  <c r="H9928" i="1"/>
  <c r="K9927" i="1"/>
  <c r="H9927" i="1"/>
  <c r="K9926" i="1"/>
  <c r="H9926" i="1"/>
  <c r="K9925" i="1"/>
  <c r="H9925" i="1"/>
  <c r="K9924" i="1"/>
  <c r="H9924" i="1"/>
  <c r="K9923" i="1"/>
  <c r="H9923" i="1"/>
  <c r="K9922" i="1"/>
  <c r="H9922" i="1"/>
  <c r="K9921" i="1"/>
  <c r="H9921" i="1"/>
  <c r="K9920" i="1"/>
  <c r="H9920" i="1"/>
  <c r="K9919" i="1"/>
  <c r="H9919" i="1"/>
  <c r="K9918" i="1"/>
  <c r="H9918" i="1"/>
  <c r="K9917" i="1"/>
  <c r="H9917" i="1"/>
  <c r="K9916" i="1"/>
  <c r="H9916" i="1"/>
  <c r="K9915" i="1"/>
  <c r="H9915" i="1"/>
  <c r="K9914" i="1"/>
  <c r="H9914" i="1"/>
  <c r="K9913" i="1"/>
  <c r="H9913" i="1"/>
  <c r="K9912" i="1"/>
  <c r="H9912" i="1"/>
  <c r="K9911" i="1"/>
  <c r="H9911" i="1"/>
  <c r="K9910" i="1"/>
  <c r="H9910" i="1"/>
  <c r="K9909" i="1"/>
  <c r="H9909" i="1"/>
  <c r="K9908" i="1"/>
  <c r="H9908" i="1"/>
  <c r="K9907" i="1"/>
  <c r="H9907" i="1"/>
  <c r="K9906" i="1"/>
  <c r="H9906" i="1"/>
  <c r="K9905" i="1"/>
  <c r="H9905" i="1"/>
  <c r="K9904" i="1"/>
  <c r="H9904" i="1"/>
  <c r="K9903" i="1"/>
  <c r="H9903" i="1"/>
  <c r="K9902" i="1"/>
  <c r="H9902" i="1"/>
  <c r="K9901" i="1"/>
  <c r="H9901" i="1"/>
  <c r="K9900" i="1"/>
  <c r="H9900" i="1"/>
  <c r="K9899" i="1"/>
  <c r="H9899" i="1"/>
  <c r="K9898" i="1"/>
  <c r="H9898" i="1"/>
  <c r="K9897" i="1"/>
  <c r="H9897" i="1"/>
  <c r="K9896" i="1"/>
  <c r="H9896" i="1"/>
  <c r="K9895" i="1"/>
  <c r="H9895" i="1"/>
  <c r="K9894" i="1"/>
  <c r="H9894" i="1"/>
  <c r="K9893" i="1"/>
  <c r="H9893" i="1"/>
  <c r="K9892" i="1"/>
  <c r="H9892" i="1"/>
  <c r="K9891" i="1"/>
  <c r="H9891" i="1"/>
  <c r="K9890" i="1"/>
  <c r="H9890" i="1"/>
  <c r="K9889" i="1"/>
  <c r="H9889" i="1"/>
  <c r="K9888" i="1"/>
  <c r="H9888" i="1"/>
  <c r="K9887" i="1"/>
  <c r="H9887" i="1"/>
  <c r="K9886" i="1"/>
  <c r="H9886" i="1"/>
  <c r="K9885" i="1"/>
  <c r="H9885" i="1"/>
  <c r="K9884" i="1"/>
  <c r="H9884" i="1"/>
  <c r="K9883" i="1"/>
  <c r="H9883" i="1"/>
  <c r="K9882" i="1"/>
  <c r="H9882" i="1"/>
  <c r="K9881" i="1"/>
  <c r="H9881" i="1"/>
  <c r="K9880" i="1"/>
  <c r="H9880" i="1"/>
  <c r="K9879" i="1"/>
  <c r="H9879" i="1"/>
  <c r="K9878" i="1"/>
  <c r="H9878" i="1"/>
  <c r="K9877" i="1"/>
  <c r="H9877" i="1"/>
  <c r="K9876" i="1"/>
  <c r="H9876" i="1"/>
  <c r="K9875" i="1"/>
  <c r="H9875" i="1"/>
  <c r="K9874" i="1"/>
  <c r="H9874" i="1"/>
  <c r="K9873" i="1"/>
  <c r="H9873" i="1"/>
  <c r="K9872" i="1"/>
  <c r="H9872" i="1"/>
  <c r="K9871" i="1"/>
  <c r="H9871" i="1"/>
  <c r="K9870" i="1"/>
  <c r="H9870" i="1"/>
  <c r="K9869" i="1"/>
  <c r="H9869" i="1"/>
  <c r="K9868" i="1"/>
  <c r="H9868" i="1"/>
  <c r="K9867" i="1"/>
  <c r="H9867" i="1"/>
  <c r="K9866" i="1"/>
  <c r="H9866" i="1"/>
  <c r="K9865" i="1"/>
  <c r="H9865" i="1"/>
  <c r="K9864" i="1"/>
  <c r="H9864" i="1"/>
  <c r="K9863" i="1"/>
  <c r="H9863" i="1"/>
  <c r="K9862" i="1"/>
  <c r="H9862" i="1"/>
  <c r="K9861" i="1"/>
  <c r="H9861" i="1"/>
  <c r="K9860" i="1"/>
  <c r="H9860" i="1"/>
  <c r="K9859" i="1"/>
  <c r="H9859" i="1"/>
  <c r="K9858" i="1"/>
  <c r="H9858" i="1"/>
  <c r="K9857" i="1"/>
  <c r="H9857" i="1"/>
  <c r="K9856" i="1"/>
  <c r="H9856" i="1"/>
  <c r="K9855" i="1"/>
  <c r="H9855" i="1"/>
  <c r="K9854" i="1"/>
  <c r="H9854" i="1"/>
  <c r="K9853" i="1"/>
  <c r="H9853" i="1"/>
  <c r="K9852" i="1"/>
  <c r="H9852" i="1"/>
  <c r="K9851" i="1"/>
  <c r="H9851" i="1"/>
  <c r="K9850" i="1"/>
  <c r="H9850" i="1"/>
  <c r="K9849" i="1"/>
  <c r="H9849" i="1"/>
  <c r="K9848" i="1"/>
  <c r="H9848" i="1"/>
  <c r="K9847" i="1"/>
  <c r="H9847" i="1"/>
  <c r="K9846" i="1"/>
  <c r="H9846" i="1"/>
  <c r="K9845" i="1"/>
  <c r="H9845" i="1"/>
  <c r="K9844" i="1"/>
  <c r="H9844" i="1"/>
  <c r="K9843" i="1"/>
  <c r="H9843" i="1"/>
  <c r="K9842" i="1"/>
  <c r="H9842" i="1"/>
  <c r="K9841" i="1"/>
  <c r="H9841" i="1"/>
  <c r="K9840" i="1"/>
  <c r="H9840" i="1"/>
  <c r="K9839" i="1"/>
  <c r="H9839" i="1"/>
  <c r="K9838" i="1"/>
  <c r="H9838" i="1"/>
  <c r="K9837" i="1"/>
  <c r="H9837" i="1"/>
  <c r="K9836" i="1"/>
  <c r="H9836" i="1"/>
  <c r="K9835" i="1"/>
  <c r="H9835" i="1"/>
  <c r="K9834" i="1"/>
  <c r="H9834" i="1"/>
  <c r="K9833" i="1"/>
  <c r="H9833" i="1"/>
  <c r="K9832" i="1"/>
  <c r="H9832" i="1"/>
  <c r="K9831" i="1"/>
  <c r="H9831" i="1"/>
  <c r="K9830" i="1"/>
  <c r="H9830" i="1"/>
  <c r="K9829" i="1"/>
  <c r="H9829" i="1"/>
  <c r="K9828" i="1"/>
  <c r="H9828" i="1"/>
  <c r="K9827" i="1"/>
  <c r="H9827" i="1"/>
  <c r="K9826" i="1"/>
  <c r="H9826" i="1"/>
  <c r="K9825" i="1"/>
  <c r="H9825" i="1"/>
  <c r="K9824" i="1"/>
  <c r="H9824" i="1"/>
  <c r="K9823" i="1"/>
  <c r="H9823" i="1"/>
  <c r="K9822" i="1"/>
  <c r="H9822" i="1"/>
  <c r="K9821" i="1"/>
  <c r="H9821" i="1"/>
  <c r="K9820" i="1"/>
  <c r="H9820" i="1"/>
  <c r="K9819" i="1"/>
  <c r="H9819" i="1"/>
  <c r="K9818" i="1"/>
  <c r="H9818" i="1"/>
  <c r="K9817" i="1"/>
  <c r="H9817" i="1"/>
  <c r="K9816" i="1"/>
  <c r="H9816" i="1"/>
  <c r="K9815" i="1"/>
  <c r="H9815" i="1"/>
  <c r="K9814" i="1"/>
  <c r="H9814" i="1"/>
  <c r="K9813" i="1"/>
  <c r="H9813" i="1"/>
  <c r="K9812" i="1"/>
  <c r="H9812" i="1"/>
  <c r="K9811" i="1"/>
  <c r="H9811" i="1"/>
  <c r="K9810" i="1"/>
  <c r="H9810" i="1"/>
  <c r="K9809" i="1"/>
  <c r="H9809" i="1"/>
  <c r="K9808" i="1"/>
  <c r="H9808" i="1"/>
  <c r="K9807" i="1"/>
  <c r="H9807" i="1"/>
  <c r="K9806" i="1"/>
  <c r="H9806" i="1"/>
  <c r="K9805" i="1"/>
  <c r="H9805" i="1"/>
  <c r="K9804" i="1"/>
  <c r="H9804" i="1"/>
  <c r="K9803" i="1"/>
  <c r="H9803" i="1"/>
  <c r="K9802" i="1"/>
  <c r="H9802" i="1"/>
  <c r="K9801" i="1"/>
  <c r="H9801" i="1"/>
  <c r="K9800" i="1"/>
  <c r="H9800" i="1"/>
  <c r="K9799" i="1"/>
  <c r="H9799" i="1"/>
  <c r="K9798" i="1"/>
  <c r="H9798" i="1"/>
  <c r="K9797" i="1"/>
  <c r="H9797" i="1"/>
  <c r="K9796" i="1"/>
  <c r="H9796" i="1"/>
  <c r="K9795" i="1"/>
  <c r="H9795" i="1"/>
  <c r="K9794" i="1"/>
  <c r="H9794" i="1"/>
  <c r="K9793" i="1"/>
  <c r="H9793" i="1"/>
  <c r="K9792" i="1"/>
  <c r="H9792" i="1"/>
  <c r="K9791" i="1"/>
  <c r="H9791" i="1"/>
  <c r="K9790" i="1"/>
  <c r="H9790" i="1"/>
  <c r="K9789" i="1"/>
  <c r="H9789" i="1"/>
  <c r="K9788" i="1"/>
  <c r="H9788" i="1"/>
  <c r="K9787" i="1"/>
  <c r="H9787" i="1"/>
  <c r="K9786" i="1"/>
  <c r="H9786" i="1"/>
  <c r="K9785" i="1"/>
  <c r="H9785" i="1"/>
  <c r="K9784" i="1"/>
  <c r="H9784" i="1"/>
  <c r="K9783" i="1"/>
  <c r="H9783" i="1"/>
  <c r="K9782" i="1"/>
  <c r="H9782" i="1"/>
  <c r="K9781" i="1"/>
  <c r="H9781" i="1"/>
  <c r="K9780" i="1"/>
  <c r="H9780" i="1"/>
  <c r="K9779" i="1"/>
  <c r="H9779" i="1"/>
  <c r="K9778" i="1"/>
  <c r="H9778" i="1"/>
  <c r="K9777" i="1"/>
  <c r="H9777" i="1"/>
  <c r="K9776" i="1"/>
  <c r="H9776" i="1"/>
  <c r="K9775" i="1"/>
  <c r="H9775" i="1"/>
  <c r="K9774" i="1"/>
  <c r="H9774" i="1"/>
  <c r="K9773" i="1"/>
  <c r="H9773" i="1"/>
  <c r="K9772" i="1"/>
  <c r="H9772" i="1"/>
  <c r="K9771" i="1"/>
  <c r="H9771" i="1"/>
  <c r="K9770" i="1"/>
  <c r="H9770" i="1"/>
  <c r="K9769" i="1"/>
  <c r="H9769" i="1"/>
  <c r="K9768" i="1"/>
  <c r="H9768" i="1"/>
  <c r="K9767" i="1"/>
  <c r="H9767" i="1"/>
  <c r="K9766" i="1"/>
  <c r="H9766" i="1"/>
  <c r="K9765" i="1"/>
  <c r="H9765" i="1"/>
  <c r="K9764" i="1"/>
  <c r="H9764" i="1"/>
  <c r="K9763" i="1"/>
  <c r="H9763" i="1"/>
  <c r="K9762" i="1"/>
  <c r="H9762" i="1"/>
  <c r="K9761" i="1"/>
  <c r="H9761" i="1"/>
  <c r="K9760" i="1"/>
  <c r="H9760" i="1"/>
  <c r="K9759" i="1"/>
  <c r="H9759" i="1"/>
  <c r="K9758" i="1"/>
  <c r="H9758" i="1"/>
  <c r="K9757" i="1"/>
  <c r="H9757" i="1"/>
  <c r="K9756" i="1"/>
  <c r="H9756" i="1"/>
  <c r="K9755" i="1"/>
  <c r="H9755" i="1"/>
  <c r="K9754" i="1"/>
  <c r="H9754" i="1"/>
  <c r="K9753" i="1"/>
  <c r="H9753" i="1"/>
  <c r="K9752" i="1"/>
  <c r="H9752" i="1"/>
  <c r="K9751" i="1"/>
  <c r="H9751" i="1"/>
  <c r="K9750" i="1"/>
  <c r="H9750" i="1"/>
  <c r="K9749" i="1"/>
  <c r="H9749" i="1"/>
  <c r="K9748" i="1"/>
  <c r="H9748" i="1"/>
  <c r="K9747" i="1"/>
  <c r="H9747" i="1"/>
  <c r="K9746" i="1"/>
  <c r="H9746" i="1"/>
  <c r="K9745" i="1"/>
  <c r="H9745" i="1"/>
  <c r="K9744" i="1"/>
  <c r="H9744" i="1"/>
  <c r="K9743" i="1"/>
  <c r="H9743" i="1"/>
  <c r="K9742" i="1"/>
  <c r="H9742" i="1"/>
  <c r="K9741" i="1"/>
  <c r="H9741" i="1"/>
  <c r="K9740" i="1"/>
  <c r="H9740" i="1"/>
  <c r="K9739" i="1"/>
  <c r="H9739" i="1"/>
  <c r="K9738" i="1"/>
  <c r="H9738" i="1"/>
  <c r="K9737" i="1"/>
  <c r="H9737" i="1"/>
  <c r="K9736" i="1"/>
  <c r="H9736" i="1"/>
  <c r="K9735" i="1"/>
  <c r="H9735" i="1"/>
  <c r="K9734" i="1"/>
  <c r="H9734" i="1"/>
  <c r="K9733" i="1"/>
  <c r="H9733" i="1"/>
  <c r="K9732" i="1"/>
  <c r="H9732" i="1"/>
  <c r="K9731" i="1"/>
  <c r="H9731" i="1"/>
  <c r="K9730" i="1"/>
  <c r="H9730" i="1"/>
  <c r="K9729" i="1"/>
  <c r="H9729" i="1"/>
  <c r="K9728" i="1"/>
  <c r="H9728" i="1"/>
  <c r="K9727" i="1"/>
  <c r="H9727" i="1"/>
  <c r="K9726" i="1"/>
  <c r="H9726" i="1"/>
  <c r="K9725" i="1"/>
  <c r="H9725" i="1"/>
  <c r="K9724" i="1"/>
  <c r="H9724" i="1"/>
  <c r="K9723" i="1"/>
  <c r="H9723" i="1"/>
  <c r="K9722" i="1"/>
  <c r="H9722" i="1"/>
  <c r="K9721" i="1"/>
  <c r="H9721" i="1"/>
  <c r="K9720" i="1"/>
  <c r="H9720" i="1"/>
  <c r="K9719" i="1"/>
  <c r="H9719" i="1"/>
  <c r="K9718" i="1"/>
  <c r="H9718" i="1"/>
  <c r="K9717" i="1"/>
  <c r="H9717" i="1"/>
  <c r="K9716" i="1"/>
  <c r="H9716" i="1"/>
  <c r="K9715" i="1"/>
  <c r="H9715" i="1"/>
  <c r="K9714" i="1"/>
  <c r="H9714" i="1"/>
  <c r="K9713" i="1"/>
  <c r="H9713" i="1"/>
  <c r="K9712" i="1"/>
  <c r="H9712" i="1"/>
  <c r="K9711" i="1"/>
  <c r="H9711" i="1"/>
  <c r="K9710" i="1"/>
  <c r="H9710" i="1"/>
  <c r="K9709" i="1"/>
  <c r="H9709" i="1"/>
  <c r="K9708" i="1"/>
  <c r="H9708" i="1"/>
  <c r="K9707" i="1"/>
  <c r="H9707" i="1"/>
  <c r="K9706" i="1"/>
  <c r="H9706" i="1"/>
  <c r="K9705" i="1"/>
  <c r="H9705" i="1"/>
  <c r="K9704" i="1"/>
  <c r="H9704" i="1"/>
  <c r="K9703" i="1"/>
  <c r="H9703" i="1"/>
  <c r="K9702" i="1"/>
  <c r="H9702" i="1"/>
  <c r="K9701" i="1"/>
  <c r="H9701" i="1"/>
  <c r="K9700" i="1"/>
  <c r="H9700" i="1"/>
  <c r="K9699" i="1"/>
  <c r="H9699" i="1"/>
  <c r="K9698" i="1"/>
  <c r="H9698" i="1"/>
  <c r="K9697" i="1"/>
  <c r="H9697" i="1"/>
  <c r="K9696" i="1"/>
  <c r="H9696" i="1"/>
  <c r="K9695" i="1"/>
  <c r="H9695" i="1"/>
  <c r="K9694" i="1"/>
  <c r="H9694" i="1"/>
  <c r="K9693" i="1"/>
  <c r="H9693" i="1"/>
  <c r="K9692" i="1"/>
  <c r="H9692" i="1"/>
  <c r="K9691" i="1"/>
  <c r="H9691" i="1"/>
  <c r="K9690" i="1"/>
  <c r="H9690" i="1"/>
  <c r="K9689" i="1"/>
  <c r="H9689" i="1"/>
  <c r="K9688" i="1"/>
  <c r="H9688" i="1"/>
  <c r="K9687" i="1"/>
  <c r="H9687" i="1"/>
  <c r="K9686" i="1"/>
  <c r="H9686" i="1"/>
  <c r="K9685" i="1"/>
  <c r="H9685" i="1"/>
  <c r="K9684" i="1"/>
  <c r="H9684" i="1"/>
  <c r="K9683" i="1"/>
  <c r="H9683" i="1"/>
  <c r="K9682" i="1"/>
  <c r="H9682" i="1"/>
  <c r="K9681" i="1"/>
  <c r="H9681" i="1"/>
  <c r="K9680" i="1"/>
  <c r="H9680" i="1"/>
  <c r="K9679" i="1"/>
  <c r="H9679" i="1"/>
  <c r="K9678" i="1"/>
  <c r="H9678" i="1"/>
  <c r="K9677" i="1"/>
  <c r="H9677" i="1"/>
  <c r="K9676" i="1"/>
  <c r="H9676" i="1"/>
  <c r="K9675" i="1"/>
  <c r="H9675" i="1"/>
  <c r="K9674" i="1"/>
  <c r="H9674" i="1"/>
  <c r="K9673" i="1"/>
  <c r="H9673" i="1"/>
  <c r="K9672" i="1"/>
  <c r="H9672" i="1"/>
  <c r="K9671" i="1"/>
  <c r="H9671" i="1"/>
  <c r="K9670" i="1"/>
  <c r="H9670" i="1"/>
  <c r="K9669" i="1"/>
  <c r="H9669" i="1"/>
  <c r="K9668" i="1"/>
  <c r="H9668" i="1"/>
  <c r="K9667" i="1"/>
  <c r="H9667" i="1"/>
  <c r="K9666" i="1"/>
  <c r="H9666" i="1"/>
  <c r="K9665" i="1"/>
  <c r="H9665" i="1"/>
  <c r="K9664" i="1"/>
  <c r="H9664" i="1"/>
  <c r="K9663" i="1"/>
  <c r="H9663" i="1"/>
  <c r="K9662" i="1"/>
  <c r="H9662" i="1"/>
  <c r="K9661" i="1"/>
  <c r="H9661" i="1"/>
  <c r="K9660" i="1"/>
  <c r="H9660" i="1"/>
  <c r="K9659" i="1"/>
  <c r="H9659" i="1"/>
  <c r="K9658" i="1"/>
  <c r="H9658" i="1"/>
  <c r="K9657" i="1"/>
  <c r="H9657" i="1"/>
  <c r="K9656" i="1"/>
  <c r="H9656" i="1"/>
  <c r="K9655" i="1"/>
  <c r="H9655" i="1"/>
  <c r="K9654" i="1"/>
  <c r="H9654" i="1"/>
  <c r="K9653" i="1"/>
  <c r="H9653" i="1"/>
  <c r="K9652" i="1"/>
  <c r="H9652" i="1"/>
  <c r="K9651" i="1"/>
  <c r="H9651" i="1"/>
  <c r="K9650" i="1"/>
  <c r="H9650" i="1"/>
  <c r="K9649" i="1"/>
  <c r="H9649" i="1"/>
  <c r="K9648" i="1"/>
  <c r="H9648" i="1"/>
  <c r="K9647" i="1"/>
  <c r="H9647" i="1"/>
  <c r="K9646" i="1"/>
  <c r="H9646" i="1"/>
  <c r="K9645" i="1"/>
  <c r="H9645" i="1"/>
  <c r="K9644" i="1"/>
  <c r="H9644" i="1"/>
  <c r="K9643" i="1"/>
  <c r="H9643" i="1"/>
  <c r="K9642" i="1"/>
  <c r="H9642" i="1"/>
  <c r="K9641" i="1"/>
  <c r="H9641" i="1"/>
  <c r="K9640" i="1"/>
  <c r="H9640" i="1"/>
  <c r="K9639" i="1"/>
  <c r="H9639" i="1"/>
  <c r="K9638" i="1"/>
  <c r="H9638" i="1"/>
  <c r="K9637" i="1"/>
  <c r="H9637" i="1"/>
  <c r="K9636" i="1"/>
  <c r="H9636" i="1"/>
  <c r="K9635" i="1"/>
  <c r="H9635" i="1"/>
  <c r="K9634" i="1"/>
  <c r="H9634" i="1"/>
  <c r="K9633" i="1"/>
  <c r="H9633" i="1"/>
  <c r="K9632" i="1"/>
  <c r="H9632" i="1"/>
  <c r="K9631" i="1"/>
  <c r="H9631" i="1"/>
  <c r="K9630" i="1"/>
  <c r="H9630" i="1"/>
  <c r="K9629" i="1"/>
  <c r="H9629" i="1"/>
  <c r="K9628" i="1"/>
  <c r="H9628" i="1"/>
  <c r="K9627" i="1"/>
  <c r="H9627" i="1"/>
  <c r="K9626" i="1"/>
  <c r="H9626" i="1"/>
  <c r="K9625" i="1"/>
  <c r="H9625" i="1"/>
  <c r="K9624" i="1"/>
  <c r="H9624" i="1"/>
  <c r="K9623" i="1"/>
  <c r="H9623" i="1"/>
  <c r="K9622" i="1"/>
  <c r="H9622" i="1"/>
  <c r="K9621" i="1"/>
  <c r="H9621" i="1"/>
  <c r="K9620" i="1"/>
  <c r="H9620" i="1"/>
  <c r="K9619" i="1"/>
  <c r="H9619" i="1"/>
  <c r="K9618" i="1"/>
  <c r="H9618" i="1"/>
  <c r="K9617" i="1"/>
  <c r="H9617" i="1"/>
  <c r="K9616" i="1"/>
  <c r="H9616" i="1"/>
  <c r="K9615" i="1"/>
  <c r="H9615" i="1"/>
  <c r="K9614" i="1"/>
  <c r="H9614" i="1"/>
  <c r="K9613" i="1"/>
  <c r="H9613" i="1"/>
  <c r="K9612" i="1"/>
  <c r="H9612" i="1"/>
  <c r="K9611" i="1"/>
  <c r="H9611" i="1"/>
  <c r="K9610" i="1"/>
  <c r="H9610" i="1"/>
  <c r="K9609" i="1"/>
  <c r="H9609" i="1"/>
  <c r="K9608" i="1"/>
  <c r="H9608" i="1"/>
  <c r="K9607" i="1"/>
  <c r="H9607" i="1"/>
  <c r="K9606" i="1"/>
  <c r="H9606" i="1"/>
  <c r="K9605" i="1"/>
  <c r="H9605" i="1"/>
  <c r="K9604" i="1"/>
  <c r="H9604" i="1"/>
  <c r="K9603" i="1"/>
  <c r="H9603" i="1"/>
  <c r="K9602" i="1"/>
  <c r="H9602" i="1"/>
  <c r="K9601" i="1"/>
  <c r="H9601" i="1"/>
  <c r="K9600" i="1"/>
  <c r="H9600" i="1"/>
  <c r="K9599" i="1"/>
  <c r="H9599" i="1"/>
  <c r="K9598" i="1"/>
  <c r="H9598" i="1"/>
  <c r="K9597" i="1"/>
  <c r="H9597" i="1"/>
  <c r="K9596" i="1"/>
  <c r="H9596" i="1"/>
  <c r="K9595" i="1"/>
  <c r="H9595" i="1"/>
  <c r="K9594" i="1"/>
  <c r="H9594" i="1"/>
  <c r="K9593" i="1"/>
  <c r="H9593" i="1"/>
  <c r="K9592" i="1"/>
  <c r="H9592" i="1"/>
  <c r="K9591" i="1"/>
  <c r="H9591" i="1"/>
  <c r="K9590" i="1"/>
  <c r="H9590" i="1"/>
  <c r="K9589" i="1"/>
  <c r="H9589" i="1"/>
  <c r="K9588" i="1"/>
  <c r="H9588" i="1"/>
  <c r="K9587" i="1"/>
  <c r="H9587" i="1"/>
  <c r="K9586" i="1"/>
  <c r="H9586" i="1"/>
  <c r="K9585" i="1"/>
  <c r="H9585" i="1"/>
  <c r="K9584" i="1"/>
  <c r="H9584" i="1"/>
  <c r="K9583" i="1"/>
  <c r="H9583" i="1"/>
  <c r="K9582" i="1"/>
  <c r="H9582" i="1"/>
  <c r="K9581" i="1"/>
  <c r="H9581" i="1"/>
  <c r="K9580" i="1"/>
  <c r="H9580" i="1"/>
  <c r="K9579" i="1"/>
  <c r="H9579" i="1"/>
  <c r="K9578" i="1"/>
  <c r="H9578" i="1"/>
  <c r="K9577" i="1"/>
  <c r="H9577" i="1"/>
  <c r="K9576" i="1"/>
  <c r="H9576" i="1"/>
  <c r="K9575" i="1"/>
  <c r="H9575" i="1"/>
  <c r="K9574" i="1"/>
  <c r="H9574" i="1"/>
  <c r="K9573" i="1"/>
  <c r="H9573" i="1"/>
  <c r="K9572" i="1"/>
  <c r="H9572" i="1"/>
  <c r="K9571" i="1"/>
  <c r="H9571" i="1"/>
  <c r="K9570" i="1"/>
  <c r="H9570" i="1"/>
  <c r="K9569" i="1"/>
  <c r="H9569" i="1"/>
  <c r="K9568" i="1"/>
  <c r="H9568" i="1"/>
  <c r="K9567" i="1"/>
  <c r="H9567" i="1"/>
  <c r="K9566" i="1"/>
  <c r="H9566" i="1"/>
  <c r="K9565" i="1"/>
  <c r="H9565" i="1"/>
  <c r="K9564" i="1"/>
  <c r="H9564" i="1"/>
  <c r="K9563" i="1"/>
  <c r="H9563" i="1"/>
  <c r="K9562" i="1"/>
  <c r="H9562" i="1"/>
  <c r="K9561" i="1"/>
  <c r="H9561" i="1"/>
  <c r="K9560" i="1"/>
  <c r="H9560" i="1"/>
  <c r="K9559" i="1"/>
  <c r="H9559" i="1"/>
  <c r="K9558" i="1"/>
  <c r="H9558" i="1"/>
  <c r="K9557" i="1"/>
  <c r="H9557" i="1"/>
  <c r="K9556" i="1"/>
  <c r="H9556" i="1"/>
  <c r="K9555" i="1"/>
  <c r="H9555" i="1"/>
  <c r="K9554" i="1"/>
  <c r="H9554" i="1"/>
  <c r="K9553" i="1"/>
  <c r="H9553" i="1"/>
  <c r="K9552" i="1"/>
  <c r="H9552" i="1"/>
  <c r="K9551" i="1"/>
  <c r="H9551" i="1"/>
  <c r="K9550" i="1"/>
  <c r="H9550" i="1"/>
  <c r="K9549" i="1"/>
  <c r="H9549" i="1"/>
  <c r="K9548" i="1"/>
  <c r="H9548" i="1"/>
  <c r="K9547" i="1"/>
  <c r="H9547" i="1"/>
  <c r="K9546" i="1"/>
  <c r="H9546" i="1"/>
  <c r="K9545" i="1"/>
  <c r="H9545" i="1"/>
  <c r="K9544" i="1"/>
  <c r="H9544" i="1"/>
  <c r="K9543" i="1"/>
  <c r="H9543" i="1"/>
  <c r="K9542" i="1"/>
  <c r="H9542" i="1"/>
  <c r="K9541" i="1"/>
  <c r="H9541" i="1"/>
  <c r="K9540" i="1"/>
  <c r="H9540" i="1"/>
  <c r="K9539" i="1"/>
  <c r="H9539" i="1"/>
  <c r="K9538" i="1"/>
  <c r="H9538" i="1"/>
  <c r="K9537" i="1"/>
  <c r="H9537" i="1"/>
  <c r="K9536" i="1"/>
  <c r="H9536" i="1"/>
  <c r="K9535" i="1"/>
  <c r="H9535" i="1"/>
  <c r="K9534" i="1"/>
  <c r="H9534" i="1"/>
  <c r="K9533" i="1"/>
  <c r="H9533" i="1"/>
  <c r="K9532" i="1"/>
  <c r="H9532" i="1"/>
  <c r="K9531" i="1"/>
  <c r="H9531" i="1"/>
  <c r="K9530" i="1"/>
  <c r="H9530" i="1"/>
  <c r="K9529" i="1"/>
  <c r="H9529" i="1"/>
  <c r="K9528" i="1"/>
  <c r="H9528" i="1"/>
  <c r="K9527" i="1"/>
  <c r="H9527" i="1"/>
  <c r="K9526" i="1"/>
  <c r="H9526" i="1"/>
  <c r="K9525" i="1"/>
  <c r="H9525" i="1"/>
  <c r="K9524" i="1"/>
  <c r="H9524" i="1"/>
  <c r="K9523" i="1"/>
  <c r="H9523" i="1"/>
  <c r="K9522" i="1"/>
  <c r="H9522" i="1"/>
  <c r="K9521" i="1"/>
  <c r="H9521" i="1"/>
  <c r="K9520" i="1"/>
  <c r="H9520" i="1"/>
  <c r="K9519" i="1"/>
  <c r="H9519" i="1"/>
  <c r="K9518" i="1"/>
  <c r="H9518" i="1"/>
  <c r="K9517" i="1"/>
  <c r="H9517" i="1"/>
  <c r="K9516" i="1"/>
  <c r="H9516" i="1"/>
  <c r="K9515" i="1"/>
  <c r="H9515" i="1"/>
  <c r="K9514" i="1"/>
  <c r="H9514" i="1"/>
  <c r="K9513" i="1"/>
  <c r="H9513" i="1"/>
  <c r="K9512" i="1"/>
  <c r="H9512" i="1"/>
  <c r="K9511" i="1"/>
  <c r="H9511" i="1"/>
  <c r="K9510" i="1"/>
  <c r="H9510" i="1"/>
  <c r="K9509" i="1"/>
  <c r="H9509" i="1"/>
  <c r="K9508" i="1"/>
  <c r="H9508" i="1"/>
  <c r="K9507" i="1"/>
  <c r="H9507" i="1"/>
  <c r="K9506" i="1"/>
  <c r="H9506" i="1"/>
  <c r="K9505" i="1"/>
  <c r="H9505" i="1"/>
  <c r="K9504" i="1"/>
  <c r="H9504" i="1"/>
  <c r="K9503" i="1"/>
  <c r="H9503" i="1"/>
  <c r="K9502" i="1"/>
  <c r="H9502" i="1"/>
  <c r="K9501" i="1"/>
  <c r="H9501" i="1"/>
  <c r="K9500" i="1"/>
  <c r="H9500" i="1"/>
  <c r="K9499" i="1"/>
  <c r="H9499" i="1"/>
  <c r="K9498" i="1"/>
  <c r="H9498" i="1"/>
  <c r="K9497" i="1"/>
  <c r="H9497" i="1"/>
  <c r="K9496" i="1"/>
  <c r="H9496" i="1"/>
  <c r="K9495" i="1"/>
  <c r="H9495" i="1"/>
  <c r="K9494" i="1"/>
  <c r="H9494" i="1"/>
  <c r="K9493" i="1"/>
  <c r="H9493" i="1"/>
  <c r="K9492" i="1"/>
  <c r="H9492" i="1"/>
  <c r="K9491" i="1"/>
  <c r="H9491" i="1"/>
  <c r="K9490" i="1"/>
  <c r="H9490" i="1"/>
  <c r="K9489" i="1"/>
  <c r="H9489" i="1"/>
  <c r="K9488" i="1"/>
  <c r="H9488" i="1"/>
  <c r="K9487" i="1"/>
  <c r="H9487" i="1"/>
  <c r="K9486" i="1"/>
  <c r="H9486" i="1"/>
  <c r="K9485" i="1"/>
  <c r="H9485" i="1"/>
  <c r="K9484" i="1"/>
  <c r="H9484" i="1"/>
  <c r="K9483" i="1"/>
  <c r="H9483" i="1"/>
  <c r="K9482" i="1"/>
  <c r="H9482" i="1"/>
  <c r="K9481" i="1"/>
  <c r="H9481" i="1"/>
  <c r="K9480" i="1"/>
  <c r="H9480" i="1"/>
  <c r="K9479" i="1"/>
  <c r="H9479" i="1"/>
  <c r="K9478" i="1"/>
  <c r="H9478" i="1"/>
  <c r="K9477" i="1"/>
  <c r="H9477" i="1"/>
  <c r="K9476" i="1"/>
  <c r="H9476" i="1"/>
  <c r="K9475" i="1"/>
  <c r="H9475" i="1"/>
  <c r="K9474" i="1"/>
  <c r="H9474" i="1"/>
  <c r="K9473" i="1"/>
  <c r="H9473" i="1"/>
  <c r="K9472" i="1"/>
  <c r="H9472" i="1"/>
  <c r="K9471" i="1"/>
  <c r="H9471" i="1"/>
  <c r="K9470" i="1"/>
  <c r="H9470" i="1"/>
  <c r="K9469" i="1"/>
  <c r="H9469" i="1"/>
  <c r="K9468" i="1"/>
  <c r="H9468" i="1"/>
  <c r="K9467" i="1"/>
  <c r="H9467" i="1"/>
  <c r="K9466" i="1"/>
  <c r="H9466" i="1"/>
  <c r="K9465" i="1"/>
  <c r="H9465" i="1"/>
  <c r="K9464" i="1"/>
  <c r="H9464" i="1"/>
  <c r="K9463" i="1"/>
  <c r="H9463" i="1"/>
  <c r="K9462" i="1"/>
  <c r="H9462" i="1"/>
  <c r="K9461" i="1"/>
  <c r="H9461" i="1"/>
  <c r="K9460" i="1"/>
  <c r="H9460" i="1"/>
  <c r="K9459" i="1"/>
  <c r="H9459" i="1"/>
  <c r="K9458" i="1"/>
  <c r="H9458" i="1"/>
  <c r="K9457" i="1"/>
  <c r="H9457" i="1"/>
  <c r="K9456" i="1"/>
  <c r="H9456" i="1"/>
  <c r="K9455" i="1"/>
  <c r="H9455" i="1"/>
  <c r="K9454" i="1"/>
  <c r="H9454" i="1"/>
  <c r="K9453" i="1"/>
  <c r="H9453" i="1"/>
  <c r="K9452" i="1"/>
  <c r="H9452" i="1"/>
  <c r="K9451" i="1"/>
  <c r="H9451" i="1"/>
  <c r="K9450" i="1"/>
  <c r="H9450" i="1"/>
  <c r="K9449" i="1"/>
  <c r="H9449" i="1"/>
  <c r="K9448" i="1"/>
  <c r="H9448" i="1"/>
  <c r="K9447" i="1"/>
  <c r="H9447" i="1"/>
  <c r="K9446" i="1"/>
  <c r="H9446" i="1"/>
  <c r="K9445" i="1"/>
  <c r="H9445" i="1"/>
  <c r="K9444" i="1"/>
  <c r="H9444" i="1"/>
  <c r="K9443" i="1"/>
  <c r="H9443" i="1"/>
  <c r="K9442" i="1"/>
  <c r="H9442" i="1"/>
  <c r="K9441" i="1"/>
  <c r="H9441" i="1"/>
  <c r="K9440" i="1"/>
  <c r="H9440" i="1"/>
  <c r="K9439" i="1"/>
  <c r="H9439" i="1"/>
  <c r="K9438" i="1"/>
  <c r="H9438" i="1"/>
  <c r="K9437" i="1"/>
  <c r="H9437" i="1"/>
  <c r="K9436" i="1"/>
  <c r="H9436" i="1"/>
  <c r="K9435" i="1"/>
  <c r="H9435" i="1"/>
  <c r="K9434" i="1"/>
  <c r="H9434" i="1"/>
  <c r="K9433" i="1"/>
  <c r="H9433" i="1"/>
  <c r="K9432" i="1"/>
  <c r="H9432" i="1"/>
  <c r="K9431" i="1"/>
  <c r="H9431" i="1"/>
  <c r="K9430" i="1"/>
  <c r="H9430" i="1"/>
  <c r="K9429" i="1"/>
  <c r="H9429" i="1"/>
  <c r="K9428" i="1"/>
  <c r="H9428" i="1"/>
  <c r="K9427" i="1"/>
  <c r="H9427" i="1"/>
  <c r="K9426" i="1"/>
  <c r="H9426" i="1"/>
  <c r="K9425" i="1"/>
  <c r="H9425" i="1"/>
  <c r="K9424" i="1"/>
  <c r="H9424" i="1"/>
  <c r="K9423" i="1"/>
  <c r="H9423" i="1"/>
  <c r="K9422" i="1"/>
  <c r="H9422" i="1"/>
  <c r="K9421" i="1"/>
  <c r="H9421" i="1"/>
  <c r="K9420" i="1"/>
  <c r="H9420" i="1"/>
  <c r="K9419" i="1"/>
  <c r="H9419" i="1"/>
  <c r="K9418" i="1"/>
  <c r="H9418" i="1"/>
  <c r="K9417" i="1"/>
  <c r="H9417" i="1"/>
  <c r="K9416" i="1"/>
  <c r="H9416" i="1"/>
  <c r="K9415" i="1"/>
  <c r="H9415" i="1"/>
  <c r="K9414" i="1"/>
  <c r="H9414" i="1"/>
  <c r="K9413" i="1"/>
  <c r="H9413" i="1"/>
  <c r="K9412" i="1"/>
  <c r="H9412" i="1"/>
  <c r="K9411" i="1"/>
  <c r="H9411" i="1"/>
  <c r="K9410" i="1"/>
  <c r="H9410" i="1"/>
  <c r="K9409" i="1"/>
  <c r="H9409" i="1"/>
  <c r="K9408" i="1"/>
  <c r="H9408" i="1"/>
  <c r="K9407" i="1"/>
  <c r="H9407" i="1"/>
  <c r="K9406" i="1"/>
  <c r="H9406" i="1"/>
  <c r="K9405" i="1"/>
  <c r="H9405" i="1"/>
  <c r="K9404" i="1"/>
  <c r="H9404" i="1"/>
  <c r="K9403" i="1"/>
  <c r="H9403" i="1"/>
  <c r="K9402" i="1"/>
  <c r="H9402" i="1"/>
  <c r="K9401" i="1"/>
  <c r="H9401" i="1"/>
  <c r="K9400" i="1"/>
  <c r="H9400" i="1"/>
  <c r="K9399" i="1"/>
  <c r="H9399" i="1"/>
  <c r="K9398" i="1"/>
  <c r="H9398" i="1"/>
  <c r="K9397" i="1"/>
  <c r="H9397" i="1"/>
  <c r="K9396" i="1"/>
  <c r="H9396" i="1"/>
  <c r="K9395" i="1"/>
  <c r="H9395" i="1"/>
  <c r="K9394" i="1"/>
  <c r="H9394" i="1"/>
  <c r="K9393" i="1"/>
  <c r="H9393" i="1"/>
  <c r="K9392" i="1"/>
  <c r="H9392" i="1"/>
  <c r="K9391" i="1"/>
  <c r="H9391" i="1"/>
  <c r="K9390" i="1"/>
  <c r="H9390" i="1"/>
  <c r="K9389" i="1"/>
  <c r="H9389" i="1"/>
  <c r="K9388" i="1"/>
  <c r="H9388" i="1"/>
  <c r="K9387" i="1"/>
  <c r="H9387" i="1"/>
  <c r="K9386" i="1"/>
  <c r="H9386" i="1"/>
  <c r="K9385" i="1"/>
  <c r="H9385" i="1"/>
  <c r="K9384" i="1"/>
  <c r="H9384" i="1"/>
  <c r="K9383" i="1"/>
  <c r="H9383" i="1"/>
  <c r="K9382" i="1"/>
  <c r="H9382" i="1"/>
  <c r="K9381" i="1"/>
  <c r="H9381" i="1"/>
  <c r="K9380" i="1"/>
  <c r="H9380" i="1"/>
  <c r="K9379" i="1"/>
  <c r="H9379" i="1"/>
  <c r="K9378" i="1"/>
  <c r="H9378" i="1"/>
  <c r="K9377" i="1"/>
  <c r="H9377" i="1"/>
  <c r="K9376" i="1"/>
  <c r="H9376" i="1"/>
  <c r="K9375" i="1"/>
  <c r="H9375" i="1"/>
  <c r="K9374" i="1"/>
  <c r="H9374" i="1"/>
  <c r="K9373" i="1"/>
  <c r="H9373" i="1"/>
  <c r="K9372" i="1"/>
  <c r="H9372" i="1"/>
  <c r="K9371" i="1"/>
  <c r="H9371" i="1"/>
  <c r="K9370" i="1"/>
  <c r="H9370" i="1"/>
  <c r="K9369" i="1"/>
  <c r="H9369" i="1"/>
  <c r="K9368" i="1"/>
  <c r="H9368" i="1"/>
  <c r="K9367" i="1"/>
  <c r="H9367" i="1"/>
  <c r="K9366" i="1"/>
  <c r="H9366" i="1"/>
  <c r="K9365" i="1"/>
  <c r="H9365" i="1"/>
  <c r="K9364" i="1"/>
  <c r="H9364" i="1"/>
  <c r="K9363" i="1"/>
  <c r="H9363" i="1"/>
  <c r="K9362" i="1"/>
  <c r="H9362" i="1"/>
  <c r="K9361" i="1"/>
  <c r="H9361" i="1"/>
  <c r="K9360" i="1"/>
  <c r="H9360" i="1"/>
  <c r="K9359" i="1"/>
  <c r="H9359" i="1"/>
  <c r="K9358" i="1"/>
  <c r="H9358" i="1"/>
  <c r="K9357" i="1"/>
  <c r="H9357" i="1"/>
  <c r="K9356" i="1"/>
  <c r="H9356" i="1"/>
  <c r="K9355" i="1"/>
  <c r="H9355" i="1"/>
  <c r="K9354" i="1"/>
  <c r="H9354" i="1"/>
  <c r="K9353" i="1"/>
  <c r="H9353" i="1"/>
  <c r="K9352" i="1"/>
  <c r="H9352" i="1"/>
  <c r="K9351" i="1"/>
  <c r="H9351" i="1"/>
  <c r="K9350" i="1"/>
  <c r="H9350" i="1"/>
  <c r="K9349" i="1"/>
  <c r="H9349" i="1"/>
  <c r="K9348" i="1"/>
  <c r="H9348" i="1"/>
  <c r="K9347" i="1"/>
  <c r="H9347" i="1"/>
  <c r="K9346" i="1"/>
  <c r="H9346" i="1"/>
  <c r="K9345" i="1"/>
  <c r="H9345" i="1"/>
  <c r="K9344" i="1"/>
  <c r="H9344" i="1"/>
  <c r="K9343" i="1"/>
  <c r="H9343" i="1"/>
  <c r="K9342" i="1"/>
  <c r="H9342" i="1"/>
  <c r="K9341" i="1"/>
  <c r="H9341" i="1"/>
  <c r="K9340" i="1"/>
  <c r="H9340" i="1"/>
  <c r="K9339" i="1"/>
  <c r="H9339" i="1"/>
  <c r="K9338" i="1"/>
  <c r="H9338" i="1"/>
  <c r="K9337" i="1"/>
  <c r="H9337" i="1"/>
  <c r="K9336" i="1"/>
  <c r="H9336" i="1"/>
  <c r="K9335" i="1"/>
  <c r="H9335" i="1"/>
  <c r="K9334" i="1"/>
  <c r="H9334" i="1"/>
  <c r="K9333" i="1"/>
  <c r="H9333" i="1"/>
  <c r="K9332" i="1"/>
  <c r="H9332" i="1"/>
  <c r="K9331" i="1"/>
  <c r="H9331" i="1"/>
  <c r="K9330" i="1"/>
  <c r="H9330" i="1"/>
  <c r="K9329" i="1"/>
  <c r="H9329" i="1"/>
  <c r="K9328" i="1"/>
  <c r="H9328" i="1"/>
  <c r="K9327" i="1"/>
  <c r="H9327" i="1"/>
  <c r="K9326" i="1"/>
  <c r="H9326" i="1"/>
  <c r="K9325" i="1"/>
  <c r="H9325" i="1"/>
  <c r="K9324" i="1"/>
  <c r="H9324" i="1"/>
  <c r="K9323" i="1"/>
  <c r="H9323" i="1"/>
  <c r="K9322" i="1"/>
  <c r="H9322" i="1"/>
  <c r="K9321" i="1"/>
  <c r="H9321" i="1"/>
  <c r="K9320" i="1"/>
  <c r="H9320" i="1"/>
  <c r="K9319" i="1"/>
  <c r="H9319" i="1"/>
  <c r="K9318" i="1"/>
  <c r="H9318" i="1"/>
  <c r="K9317" i="1"/>
  <c r="H9317" i="1"/>
  <c r="K9316" i="1"/>
  <c r="H9316" i="1"/>
  <c r="K9315" i="1"/>
  <c r="H9315" i="1"/>
  <c r="K9314" i="1"/>
  <c r="H9314" i="1"/>
  <c r="K9313" i="1"/>
  <c r="H9313" i="1"/>
  <c r="K9312" i="1"/>
  <c r="H9312" i="1"/>
  <c r="K9311" i="1"/>
  <c r="H9311" i="1"/>
  <c r="K9310" i="1"/>
  <c r="H9310" i="1"/>
  <c r="K9309" i="1"/>
  <c r="H9309" i="1"/>
  <c r="K9308" i="1"/>
  <c r="H9308" i="1"/>
  <c r="K9307" i="1"/>
  <c r="H9307" i="1"/>
  <c r="K9306" i="1"/>
  <c r="H9306" i="1"/>
  <c r="K9305" i="1"/>
  <c r="H9305" i="1"/>
  <c r="K9304" i="1"/>
  <c r="H9304" i="1"/>
  <c r="K9303" i="1"/>
  <c r="H9303" i="1"/>
  <c r="K9302" i="1"/>
  <c r="H9302" i="1"/>
  <c r="K9301" i="1"/>
  <c r="H9301" i="1"/>
  <c r="K9300" i="1"/>
  <c r="H9300" i="1"/>
  <c r="K9299" i="1"/>
  <c r="H9299" i="1"/>
  <c r="K9298" i="1"/>
  <c r="H9298" i="1"/>
  <c r="K9297" i="1"/>
  <c r="H9297" i="1"/>
  <c r="K9296" i="1"/>
  <c r="H9296" i="1"/>
  <c r="K9295" i="1"/>
  <c r="H9295" i="1"/>
  <c r="K9294" i="1"/>
  <c r="H9294" i="1"/>
  <c r="K9293" i="1"/>
  <c r="H9293" i="1"/>
  <c r="K9292" i="1"/>
  <c r="H9292" i="1"/>
  <c r="K9291" i="1"/>
  <c r="H9291" i="1"/>
  <c r="K9290" i="1"/>
  <c r="H9290" i="1"/>
  <c r="K9289" i="1"/>
  <c r="H9289" i="1"/>
  <c r="K9288" i="1"/>
  <c r="H9288" i="1"/>
  <c r="K9287" i="1"/>
  <c r="H9287" i="1"/>
  <c r="K9286" i="1"/>
  <c r="H9286" i="1"/>
  <c r="K9285" i="1"/>
  <c r="H9285" i="1"/>
  <c r="K9284" i="1"/>
  <c r="H9284" i="1"/>
  <c r="K9283" i="1"/>
  <c r="H9283" i="1"/>
  <c r="K9282" i="1"/>
  <c r="H9282" i="1"/>
  <c r="K9281" i="1"/>
  <c r="H9281" i="1"/>
  <c r="K9280" i="1"/>
  <c r="H9280" i="1"/>
  <c r="K9279" i="1"/>
  <c r="H9279" i="1"/>
  <c r="K9278" i="1"/>
  <c r="H9278" i="1"/>
  <c r="K9277" i="1"/>
  <c r="H9277" i="1"/>
  <c r="K9276" i="1"/>
  <c r="H9276" i="1"/>
  <c r="K9275" i="1"/>
  <c r="H9275" i="1"/>
  <c r="K9274" i="1"/>
  <c r="H9274" i="1"/>
  <c r="K9273" i="1"/>
  <c r="H9273" i="1"/>
  <c r="K9272" i="1"/>
  <c r="H9272" i="1"/>
  <c r="K9271" i="1"/>
  <c r="H9271" i="1"/>
  <c r="K9270" i="1"/>
  <c r="H9270" i="1"/>
  <c r="K9269" i="1"/>
  <c r="H9269" i="1"/>
  <c r="K9268" i="1"/>
  <c r="H9268" i="1"/>
  <c r="K9267" i="1"/>
  <c r="H9267" i="1"/>
  <c r="K9266" i="1"/>
  <c r="H9266" i="1"/>
  <c r="K9265" i="1"/>
  <c r="H9265" i="1"/>
  <c r="K9264" i="1"/>
  <c r="H9264" i="1"/>
  <c r="K9263" i="1"/>
  <c r="H9263" i="1"/>
  <c r="K9262" i="1"/>
  <c r="H9262" i="1"/>
  <c r="K9261" i="1"/>
  <c r="H9261" i="1"/>
  <c r="K9260" i="1"/>
  <c r="H9260" i="1"/>
  <c r="K9259" i="1"/>
  <c r="H9259" i="1"/>
  <c r="K9258" i="1"/>
  <c r="H9258" i="1"/>
  <c r="K9257" i="1"/>
  <c r="H9257" i="1"/>
  <c r="K9256" i="1"/>
  <c r="H9256" i="1"/>
  <c r="K9255" i="1"/>
  <c r="H9255" i="1"/>
  <c r="K9254" i="1"/>
  <c r="H9254" i="1"/>
  <c r="K9253" i="1"/>
  <c r="H9253" i="1"/>
  <c r="K9252" i="1"/>
  <c r="H9252" i="1"/>
  <c r="K9251" i="1"/>
  <c r="H9251" i="1"/>
  <c r="K9250" i="1"/>
  <c r="H9250" i="1"/>
  <c r="K9249" i="1"/>
  <c r="H9249" i="1"/>
  <c r="K9248" i="1"/>
  <c r="H9248" i="1"/>
  <c r="K9247" i="1"/>
  <c r="H9247" i="1"/>
  <c r="K9246" i="1"/>
  <c r="H9246" i="1"/>
  <c r="K9245" i="1"/>
  <c r="H9245" i="1"/>
  <c r="K9244" i="1"/>
  <c r="H9244" i="1"/>
  <c r="K9243" i="1"/>
  <c r="H9243" i="1"/>
  <c r="K9242" i="1"/>
  <c r="H9242" i="1"/>
  <c r="K9241" i="1"/>
  <c r="H9241" i="1"/>
  <c r="K9240" i="1"/>
  <c r="H9240" i="1"/>
  <c r="K9239" i="1"/>
  <c r="H9239" i="1"/>
  <c r="K9238" i="1"/>
  <c r="H9238" i="1"/>
  <c r="K9237" i="1"/>
  <c r="H9237" i="1"/>
  <c r="K9236" i="1"/>
  <c r="H9236" i="1"/>
  <c r="K9235" i="1"/>
  <c r="H9235" i="1"/>
  <c r="K9234" i="1"/>
  <c r="H9234" i="1"/>
  <c r="K9233" i="1"/>
  <c r="H9233" i="1"/>
  <c r="K9232" i="1"/>
  <c r="H9232" i="1"/>
  <c r="K9231" i="1"/>
  <c r="H9231" i="1"/>
  <c r="K9230" i="1"/>
  <c r="H9230" i="1"/>
  <c r="K9229" i="1"/>
  <c r="H9229" i="1"/>
  <c r="K9228" i="1"/>
  <c r="H9228" i="1"/>
  <c r="K9227" i="1"/>
  <c r="H9227" i="1"/>
  <c r="K9226" i="1"/>
  <c r="H9226" i="1"/>
  <c r="K9225" i="1"/>
  <c r="H9225" i="1"/>
  <c r="K9224" i="1"/>
  <c r="H9224" i="1"/>
  <c r="K9223" i="1"/>
  <c r="H9223" i="1"/>
  <c r="K9222" i="1"/>
  <c r="H9222" i="1"/>
  <c r="K9221" i="1"/>
  <c r="H9221" i="1"/>
  <c r="K9220" i="1"/>
  <c r="H9220" i="1"/>
  <c r="K9219" i="1"/>
  <c r="H9219" i="1"/>
  <c r="K9218" i="1"/>
  <c r="H9218" i="1"/>
  <c r="K9217" i="1"/>
  <c r="H9217" i="1"/>
  <c r="K9216" i="1"/>
  <c r="H9216" i="1"/>
  <c r="K9215" i="1"/>
  <c r="H9215" i="1"/>
  <c r="K9214" i="1"/>
  <c r="H9214" i="1"/>
  <c r="K9213" i="1"/>
  <c r="H9213" i="1"/>
  <c r="K9212" i="1"/>
  <c r="H9212" i="1"/>
  <c r="K9211" i="1"/>
  <c r="H9211" i="1"/>
  <c r="K9210" i="1"/>
  <c r="H9210" i="1"/>
  <c r="K9209" i="1"/>
  <c r="H9209" i="1"/>
  <c r="K9208" i="1"/>
  <c r="H9208" i="1"/>
  <c r="K9207" i="1"/>
  <c r="H9207" i="1"/>
  <c r="K9206" i="1"/>
  <c r="H9206" i="1"/>
  <c r="K9205" i="1"/>
  <c r="H9205" i="1"/>
  <c r="K9204" i="1"/>
  <c r="H9204" i="1"/>
  <c r="K9203" i="1"/>
  <c r="H9203" i="1"/>
  <c r="K9202" i="1"/>
  <c r="H9202" i="1"/>
  <c r="K9201" i="1"/>
  <c r="H9201" i="1"/>
  <c r="K9200" i="1"/>
  <c r="H9200" i="1"/>
  <c r="K9199" i="1"/>
  <c r="H9199" i="1"/>
  <c r="K9198" i="1"/>
  <c r="H9198" i="1"/>
  <c r="K9197" i="1"/>
  <c r="H9197" i="1"/>
  <c r="K9196" i="1"/>
  <c r="H9196" i="1"/>
  <c r="K9195" i="1"/>
  <c r="H9195" i="1"/>
  <c r="K9194" i="1"/>
  <c r="H9194" i="1"/>
  <c r="K9193" i="1"/>
  <c r="H9193" i="1"/>
  <c r="K9192" i="1"/>
  <c r="H9192" i="1"/>
  <c r="K9191" i="1"/>
  <c r="H9191" i="1"/>
  <c r="K9190" i="1"/>
  <c r="H9190" i="1"/>
  <c r="K9189" i="1"/>
  <c r="H9189" i="1"/>
  <c r="K9188" i="1"/>
  <c r="H9188" i="1"/>
  <c r="K9187" i="1"/>
  <c r="H9187" i="1"/>
  <c r="K9186" i="1"/>
  <c r="H9186" i="1"/>
  <c r="K9185" i="1"/>
  <c r="H9185" i="1"/>
  <c r="K9184" i="1"/>
  <c r="H9184" i="1"/>
  <c r="K9183" i="1"/>
  <c r="H9183" i="1"/>
  <c r="K9182" i="1"/>
  <c r="H9182" i="1"/>
  <c r="K9181" i="1"/>
  <c r="H9181" i="1"/>
  <c r="K9180" i="1"/>
  <c r="H9180" i="1"/>
  <c r="K9179" i="1"/>
  <c r="H9179" i="1"/>
  <c r="K9178" i="1"/>
  <c r="H9178" i="1"/>
  <c r="K9177" i="1"/>
  <c r="H9177" i="1"/>
  <c r="K9176" i="1"/>
  <c r="H9176" i="1"/>
  <c r="K9175" i="1"/>
  <c r="H9175" i="1"/>
  <c r="K9174" i="1"/>
  <c r="H9174" i="1"/>
  <c r="K9173" i="1"/>
  <c r="H9173" i="1"/>
  <c r="K9172" i="1"/>
  <c r="H9172" i="1"/>
  <c r="K9171" i="1"/>
  <c r="H9171" i="1"/>
  <c r="K9170" i="1"/>
  <c r="H9170" i="1"/>
  <c r="K9169" i="1"/>
  <c r="H9169" i="1"/>
  <c r="K9168" i="1"/>
  <c r="H9168" i="1"/>
  <c r="K9167" i="1"/>
  <c r="H9167" i="1"/>
  <c r="K9166" i="1"/>
  <c r="H9166" i="1"/>
  <c r="K9165" i="1"/>
  <c r="H9165" i="1"/>
  <c r="K9164" i="1"/>
  <c r="H9164" i="1"/>
  <c r="K9163" i="1"/>
  <c r="H9163" i="1"/>
  <c r="K9162" i="1"/>
  <c r="H9162" i="1"/>
  <c r="K9161" i="1"/>
  <c r="H9161" i="1"/>
  <c r="K9160" i="1"/>
  <c r="H9160" i="1"/>
  <c r="K9159" i="1"/>
  <c r="H9159" i="1"/>
  <c r="K9158" i="1"/>
  <c r="H9158" i="1"/>
  <c r="K9157" i="1"/>
  <c r="H9157" i="1"/>
  <c r="K9156" i="1"/>
  <c r="H9156" i="1"/>
  <c r="K9155" i="1"/>
  <c r="H9155" i="1"/>
  <c r="K9154" i="1"/>
  <c r="H9154" i="1"/>
  <c r="K9153" i="1"/>
  <c r="H9153" i="1"/>
  <c r="K9152" i="1"/>
  <c r="H9152" i="1"/>
  <c r="K9151" i="1"/>
  <c r="H9151" i="1"/>
  <c r="K9150" i="1"/>
  <c r="H9150" i="1"/>
  <c r="K9149" i="1"/>
  <c r="H9149" i="1"/>
  <c r="K9148" i="1"/>
  <c r="H9148" i="1"/>
  <c r="K9147" i="1"/>
  <c r="H9147" i="1"/>
  <c r="K9146" i="1"/>
  <c r="H9146" i="1"/>
  <c r="K9145" i="1"/>
  <c r="H9145" i="1"/>
  <c r="K9144" i="1"/>
  <c r="H9144" i="1"/>
  <c r="K9143" i="1"/>
  <c r="H9143" i="1"/>
  <c r="K9142" i="1"/>
  <c r="H9142" i="1"/>
  <c r="K9141" i="1"/>
  <c r="H9141" i="1"/>
  <c r="K9140" i="1"/>
  <c r="H9140" i="1"/>
  <c r="K9139" i="1"/>
  <c r="H9139" i="1"/>
  <c r="K9138" i="1"/>
  <c r="H9138" i="1"/>
  <c r="K9137" i="1"/>
  <c r="H9137" i="1"/>
  <c r="K9136" i="1"/>
  <c r="H9136" i="1"/>
  <c r="K9135" i="1"/>
  <c r="H9135" i="1"/>
  <c r="K9134" i="1"/>
  <c r="H9134" i="1"/>
  <c r="K9133" i="1"/>
  <c r="H9133" i="1"/>
  <c r="K9132" i="1"/>
  <c r="H9132" i="1"/>
  <c r="K9131" i="1"/>
  <c r="H9131" i="1"/>
  <c r="K9130" i="1"/>
  <c r="H9130" i="1"/>
  <c r="K9129" i="1"/>
  <c r="H9129" i="1"/>
  <c r="K9128" i="1"/>
  <c r="H9128" i="1"/>
  <c r="K9127" i="1"/>
  <c r="H9127" i="1"/>
  <c r="K9126" i="1"/>
  <c r="H9126" i="1"/>
  <c r="K9125" i="1"/>
  <c r="H9125" i="1"/>
  <c r="K9124" i="1"/>
  <c r="H9124" i="1"/>
  <c r="K9123" i="1"/>
  <c r="H9123" i="1"/>
  <c r="K9122" i="1"/>
  <c r="H9122" i="1"/>
  <c r="K9121" i="1"/>
  <c r="H9121" i="1"/>
  <c r="K9120" i="1"/>
  <c r="H9120" i="1"/>
  <c r="K9119" i="1"/>
  <c r="H9119" i="1"/>
  <c r="K9118" i="1"/>
  <c r="H9118" i="1"/>
  <c r="K9117" i="1"/>
  <c r="H9117" i="1"/>
  <c r="K9116" i="1"/>
  <c r="H9116" i="1"/>
  <c r="K9115" i="1"/>
  <c r="H9115" i="1"/>
  <c r="K9114" i="1"/>
  <c r="H9114" i="1"/>
  <c r="K9113" i="1"/>
  <c r="H9113" i="1"/>
  <c r="K9112" i="1"/>
  <c r="H9112" i="1"/>
  <c r="K9111" i="1"/>
  <c r="H9111" i="1"/>
  <c r="K9110" i="1"/>
  <c r="H9110" i="1"/>
  <c r="K9109" i="1"/>
  <c r="H9109" i="1"/>
  <c r="K9108" i="1"/>
  <c r="H9108" i="1"/>
  <c r="K9107" i="1"/>
  <c r="H9107" i="1"/>
  <c r="K9106" i="1"/>
  <c r="H9106" i="1"/>
  <c r="K9105" i="1"/>
  <c r="H9105" i="1"/>
  <c r="K9104" i="1"/>
  <c r="H9104" i="1"/>
  <c r="K9103" i="1"/>
  <c r="H9103" i="1"/>
  <c r="K9102" i="1"/>
  <c r="H9102" i="1"/>
  <c r="K9101" i="1"/>
  <c r="H9101" i="1"/>
  <c r="K9100" i="1"/>
  <c r="H9100" i="1"/>
  <c r="K9099" i="1"/>
  <c r="H9099" i="1"/>
  <c r="K9098" i="1"/>
  <c r="H9098" i="1"/>
  <c r="K9097" i="1"/>
  <c r="H9097" i="1"/>
  <c r="K9096" i="1"/>
  <c r="H9096" i="1"/>
  <c r="K9095" i="1"/>
  <c r="H9095" i="1"/>
  <c r="K9094" i="1"/>
  <c r="H9094" i="1"/>
  <c r="K9093" i="1"/>
  <c r="H9093" i="1"/>
  <c r="K9092" i="1"/>
  <c r="H9092" i="1"/>
  <c r="K9091" i="1"/>
  <c r="H9091" i="1"/>
  <c r="K9090" i="1"/>
  <c r="H9090" i="1"/>
  <c r="K9089" i="1"/>
  <c r="H9089" i="1"/>
  <c r="K9088" i="1"/>
  <c r="H9088" i="1"/>
  <c r="K9087" i="1"/>
  <c r="H9087" i="1"/>
  <c r="K9086" i="1"/>
  <c r="H9086" i="1"/>
  <c r="K9085" i="1"/>
  <c r="H9085" i="1"/>
  <c r="K9084" i="1"/>
  <c r="H9084" i="1"/>
  <c r="K9083" i="1"/>
  <c r="H9083" i="1"/>
  <c r="K9082" i="1"/>
  <c r="H9082" i="1"/>
  <c r="K9081" i="1"/>
  <c r="H9081" i="1"/>
  <c r="K9080" i="1"/>
  <c r="H9080" i="1"/>
  <c r="K9079" i="1"/>
  <c r="H9079" i="1"/>
  <c r="K9078" i="1"/>
  <c r="H9078" i="1"/>
  <c r="K9077" i="1"/>
  <c r="H9077" i="1"/>
  <c r="K9076" i="1"/>
  <c r="H9076" i="1"/>
  <c r="K9075" i="1"/>
  <c r="H9075" i="1"/>
  <c r="K9074" i="1"/>
  <c r="H9074" i="1"/>
  <c r="K9073" i="1"/>
  <c r="H9073" i="1"/>
  <c r="K9072" i="1"/>
  <c r="H9072" i="1"/>
  <c r="K9071" i="1"/>
  <c r="H9071" i="1"/>
  <c r="K9070" i="1"/>
  <c r="H9070" i="1"/>
  <c r="K9069" i="1"/>
  <c r="H9069" i="1"/>
  <c r="K9068" i="1"/>
  <c r="H9068" i="1"/>
  <c r="K9067" i="1"/>
  <c r="H9067" i="1"/>
  <c r="K9066" i="1"/>
  <c r="H9066" i="1"/>
  <c r="K9065" i="1"/>
  <c r="H9065" i="1"/>
  <c r="K9064" i="1"/>
  <c r="H9064" i="1"/>
  <c r="K9063" i="1"/>
  <c r="H9063" i="1"/>
  <c r="K9062" i="1"/>
  <c r="H9062" i="1"/>
  <c r="K9061" i="1"/>
  <c r="H9061" i="1"/>
  <c r="K9060" i="1"/>
  <c r="H9060" i="1"/>
  <c r="K9059" i="1"/>
  <c r="H9059" i="1"/>
  <c r="K9058" i="1"/>
  <c r="H9058" i="1"/>
  <c r="K9057" i="1"/>
  <c r="H9057" i="1"/>
  <c r="K9056" i="1"/>
  <c r="H9056" i="1"/>
  <c r="K9055" i="1"/>
  <c r="H9055" i="1"/>
  <c r="K9054" i="1"/>
  <c r="H9054" i="1"/>
  <c r="K9053" i="1"/>
  <c r="H9053" i="1"/>
  <c r="K9052" i="1"/>
  <c r="H9052" i="1"/>
  <c r="K9051" i="1"/>
  <c r="H9051" i="1"/>
  <c r="K9050" i="1"/>
  <c r="H9050" i="1"/>
  <c r="K9049" i="1"/>
  <c r="H9049" i="1"/>
  <c r="K9048" i="1"/>
  <c r="H9048" i="1"/>
  <c r="K9047" i="1"/>
  <c r="H9047" i="1"/>
  <c r="K9046" i="1"/>
  <c r="H9046" i="1"/>
  <c r="K9045" i="1"/>
  <c r="H9045" i="1"/>
  <c r="K9044" i="1"/>
  <c r="H9044" i="1"/>
  <c r="K9043" i="1"/>
  <c r="H9043" i="1"/>
  <c r="K9042" i="1"/>
  <c r="H9042" i="1"/>
  <c r="K9041" i="1"/>
  <c r="H9041" i="1"/>
  <c r="K9040" i="1"/>
  <c r="H9040" i="1"/>
  <c r="K9039" i="1"/>
  <c r="H9039" i="1"/>
  <c r="K9038" i="1"/>
  <c r="H9038" i="1"/>
  <c r="K9037" i="1"/>
  <c r="H9037" i="1"/>
  <c r="K9036" i="1"/>
  <c r="H9036" i="1"/>
  <c r="K9035" i="1"/>
  <c r="H9035" i="1"/>
  <c r="K9034" i="1"/>
  <c r="H9034" i="1"/>
  <c r="K9033" i="1"/>
  <c r="H9033" i="1"/>
  <c r="K9032" i="1"/>
  <c r="H9032" i="1"/>
  <c r="K9031" i="1"/>
  <c r="H9031" i="1"/>
  <c r="K9030" i="1"/>
  <c r="H9030" i="1"/>
  <c r="K9029" i="1"/>
  <c r="H9029" i="1"/>
  <c r="K9028" i="1"/>
  <c r="H9028" i="1"/>
  <c r="K9027" i="1"/>
  <c r="H9027" i="1"/>
  <c r="K9026" i="1"/>
  <c r="H9026" i="1"/>
  <c r="K9025" i="1"/>
  <c r="H9025" i="1"/>
  <c r="K9024" i="1"/>
  <c r="H9024" i="1"/>
  <c r="K9023" i="1"/>
  <c r="H9023" i="1"/>
  <c r="K9022" i="1"/>
  <c r="H9022" i="1"/>
  <c r="K9021" i="1"/>
  <c r="H9021" i="1"/>
  <c r="K9020" i="1"/>
  <c r="H9020" i="1"/>
  <c r="K9019" i="1"/>
  <c r="H9019" i="1"/>
  <c r="K9018" i="1"/>
  <c r="H9018" i="1"/>
  <c r="K9017" i="1"/>
  <c r="H9017" i="1"/>
  <c r="K9016" i="1"/>
  <c r="H9016" i="1"/>
  <c r="K9015" i="1"/>
  <c r="H9015" i="1"/>
  <c r="K9014" i="1"/>
  <c r="H9014" i="1"/>
  <c r="K9013" i="1"/>
  <c r="H9013" i="1"/>
  <c r="K9012" i="1"/>
  <c r="H9012" i="1"/>
  <c r="K9011" i="1"/>
  <c r="H9011" i="1"/>
  <c r="K9010" i="1"/>
  <c r="H9010" i="1"/>
  <c r="K9009" i="1"/>
  <c r="H9009" i="1"/>
  <c r="K9008" i="1"/>
  <c r="H9008" i="1"/>
  <c r="K9007" i="1"/>
  <c r="H9007" i="1"/>
  <c r="K9006" i="1"/>
  <c r="H9006" i="1"/>
  <c r="K9005" i="1"/>
  <c r="H9005" i="1"/>
  <c r="K9004" i="1"/>
  <c r="H9004" i="1"/>
  <c r="K9003" i="1"/>
  <c r="H9003" i="1"/>
  <c r="K9002" i="1"/>
  <c r="H9002" i="1"/>
  <c r="K9001" i="1"/>
  <c r="H9001" i="1"/>
  <c r="K9000" i="1"/>
  <c r="H9000" i="1"/>
  <c r="K8999" i="1"/>
  <c r="H8999" i="1"/>
  <c r="K8998" i="1"/>
  <c r="H8998" i="1"/>
  <c r="K8997" i="1"/>
  <c r="H8997" i="1"/>
  <c r="K8996" i="1"/>
  <c r="H8996" i="1"/>
  <c r="K8995" i="1"/>
  <c r="H8995" i="1"/>
  <c r="K8994" i="1"/>
  <c r="H8994" i="1"/>
  <c r="K8993" i="1"/>
  <c r="H8993" i="1"/>
  <c r="K8992" i="1"/>
  <c r="H8992" i="1"/>
  <c r="K8991" i="1"/>
  <c r="H8991" i="1"/>
  <c r="K8990" i="1"/>
  <c r="H8990" i="1"/>
  <c r="K8989" i="1"/>
  <c r="H8989" i="1"/>
  <c r="K8988" i="1"/>
  <c r="H8988" i="1"/>
  <c r="K8987" i="1"/>
  <c r="H8987" i="1"/>
  <c r="K8986" i="1"/>
  <c r="H8986" i="1"/>
  <c r="K8985" i="1"/>
  <c r="H8985" i="1"/>
  <c r="K8984" i="1"/>
  <c r="H8984" i="1"/>
  <c r="K8983" i="1"/>
  <c r="H8983" i="1"/>
  <c r="K8982" i="1"/>
  <c r="H8982" i="1"/>
  <c r="K8981" i="1"/>
  <c r="H8981" i="1"/>
  <c r="K8980" i="1"/>
  <c r="H8980" i="1"/>
  <c r="K8979" i="1"/>
  <c r="H8979" i="1"/>
  <c r="K8978" i="1"/>
  <c r="H8978" i="1"/>
  <c r="K8977" i="1"/>
  <c r="H8977" i="1"/>
  <c r="K8976" i="1"/>
  <c r="H8976" i="1"/>
  <c r="K8975" i="1"/>
  <c r="H8975" i="1"/>
  <c r="K8974" i="1"/>
  <c r="H8974" i="1"/>
  <c r="K8973" i="1"/>
  <c r="H8973" i="1"/>
  <c r="K8972" i="1"/>
  <c r="H8972" i="1"/>
  <c r="K8971" i="1"/>
  <c r="H8971" i="1"/>
  <c r="K8970" i="1"/>
  <c r="H8970" i="1"/>
  <c r="K8969" i="1"/>
  <c r="H8969" i="1"/>
  <c r="K8968" i="1"/>
  <c r="H8968" i="1"/>
  <c r="K8967" i="1"/>
  <c r="H8967" i="1"/>
  <c r="K8966" i="1"/>
  <c r="H8966" i="1"/>
  <c r="K8965" i="1"/>
  <c r="H8965" i="1"/>
  <c r="K8964" i="1"/>
  <c r="H8964" i="1"/>
  <c r="K8963" i="1"/>
  <c r="H8963" i="1"/>
  <c r="K8962" i="1"/>
  <c r="H8962" i="1"/>
  <c r="K8961" i="1"/>
  <c r="H8961" i="1"/>
  <c r="K8960" i="1"/>
  <c r="H8960" i="1"/>
  <c r="K8959" i="1"/>
  <c r="H8959" i="1"/>
  <c r="K8958" i="1"/>
  <c r="H8958" i="1"/>
  <c r="K8957" i="1"/>
  <c r="H8957" i="1"/>
  <c r="K8956" i="1"/>
  <c r="H8956" i="1"/>
  <c r="K8955" i="1"/>
  <c r="H8955" i="1"/>
  <c r="K8954" i="1"/>
  <c r="H8954" i="1"/>
  <c r="K8953" i="1"/>
  <c r="H8953" i="1"/>
  <c r="K8952" i="1"/>
  <c r="H8952" i="1"/>
  <c r="K8951" i="1"/>
  <c r="H8951" i="1"/>
  <c r="K8950" i="1"/>
  <c r="H8950" i="1"/>
  <c r="K8949" i="1"/>
  <c r="H8949" i="1"/>
  <c r="K8948" i="1"/>
  <c r="H8948" i="1"/>
  <c r="K8947" i="1"/>
  <c r="H8947" i="1"/>
  <c r="K8946" i="1"/>
  <c r="H8946" i="1"/>
  <c r="K8945" i="1"/>
  <c r="H8945" i="1"/>
  <c r="K8944" i="1"/>
  <c r="H8944" i="1"/>
  <c r="K8943" i="1"/>
  <c r="H8943" i="1"/>
  <c r="K8942" i="1"/>
  <c r="H8942" i="1"/>
  <c r="K8941" i="1"/>
  <c r="H8941" i="1"/>
  <c r="K8940" i="1"/>
  <c r="H8940" i="1"/>
  <c r="K8939" i="1"/>
  <c r="H8939" i="1"/>
  <c r="K8938" i="1"/>
  <c r="H8938" i="1"/>
  <c r="K8937" i="1"/>
  <c r="H8937" i="1"/>
  <c r="K8936" i="1"/>
  <c r="H8936" i="1"/>
  <c r="K8935" i="1"/>
  <c r="H8935" i="1"/>
  <c r="K8934" i="1"/>
  <c r="H8934" i="1"/>
  <c r="K8933" i="1"/>
  <c r="H8933" i="1"/>
  <c r="K8932" i="1"/>
  <c r="H8932" i="1"/>
  <c r="K8931" i="1"/>
  <c r="H8931" i="1"/>
  <c r="K8930" i="1"/>
  <c r="H8930" i="1"/>
  <c r="K8929" i="1"/>
  <c r="H8929" i="1"/>
  <c r="K8928" i="1"/>
  <c r="H8928" i="1"/>
  <c r="K8927" i="1"/>
  <c r="H8927" i="1"/>
  <c r="K8926" i="1"/>
  <c r="H8926" i="1"/>
  <c r="K8925" i="1"/>
  <c r="H8925" i="1"/>
  <c r="K8924" i="1"/>
  <c r="H8924" i="1"/>
  <c r="K8923" i="1"/>
  <c r="H8923" i="1"/>
  <c r="K8922" i="1"/>
  <c r="H8922" i="1"/>
  <c r="K8921" i="1"/>
  <c r="H8921" i="1"/>
  <c r="K8920" i="1"/>
  <c r="H8920" i="1"/>
  <c r="K8919" i="1"/>
  <c r="H8919" i="1"/>
  <c r="K8918" i="1"/>
  <c r="H8918" i="1"/>
  <c r="K8917" i="1"/>
  <c r="H8917" i="1"/>
  <c r="K8916" i="1"/>
  <c r="H8916" i="1"/>
  <c r="K8915" i="1"/>
  <c r="H8915" i="1"/>
  <c r="K8914" i="1"/>
  <c r="H8914" i="1"/>
  <c r="K8913" i="1"/>
  <c r="H8913" i="1"/>
  <c r="K8912" i="1"/>
  <c r="H8912" i="1"/>
  <c r="K8911" i="1"/>
  <c r="H8911" i="1"/>
  <c r="K8910" i="1"/>
  <c r="H8910" i="1"/>
  <c r="K8909" i="1"/>
  <c r="H8909" i="1"/>
  <c r="K8908" i="1"/>
  <c r="H8908" i="1"/>
  <c r="K8907" i="1"/>
  <c r="H8907" i="1"/>
  <c r="K8906" i="1"/>
  <c r="H8906" i="1"/>
  <c r="K8905" i="1"/>
  <c r="H8905" i="1"/>
  <c r="K8904" i="1"/>
  <c r="H8904" i="1"/>
  <c r="K8903" i="1"/>
  <c r="H8903" i="1"/>
  <c r="K8902" i="1"/>
  <c r="H8902" i="1"/>
  <c r="K8901" i="1"/>
  <c r="H8901" i="1"/>
  <c r="K8900" i="1"/>
  <c r="H8900" i="1"/>
  <c r="K8899" i="1"/>
  <c r="H8899" i="1"/>
  <c r="K8898" i="1"/>
  <c r="H8898" i="1"/>
  <c r="K8897" i="1"/>
  <c r="H8897" i="1"/>
  <c r="K8896" i="1"/>
  <c r="H8896" i="1"/>
  <c r="K8895" i="1"/>
  <c r="H8895" i="1"/>
  <c r="K8894" i="1"/>
  <c r="H8894" i="1"/>
  <c r="K8893" i="1"/>
  <c r="H8893" i="1"/>
  <c r="K8892" i="1"/>
  <c r="H8892" i="1"/>
  <c r="K8891" i="1"/>
  <c r="H8891" i="1"/>
  <c r="K8890" i="1"/>
  <c r="H8890" i="1"/>
  <c r="K8889" i="1"/>
  <c r="H8889" i="1"/>
  <c r="K8888" i="1"/>
  <c r="H8888" i="1"/>
  <c r="K8887" i="1"/>
  <c r="H8887" i="1"/>
  <c r="K8886" i="1"/>
  <c r="H8886" i="1"/>
  <c r="K8885" i="1"/>
  <c r="H8885" i="1"/>
  <c r="K8884" i="1"/>
  <c r="H8884" i="1"/>
  <c r="K8883" i="1"/>
  <c r="H8883" i="1"/>
  <c r="K8882" i="1"/>
  <c r="H8882" i="1"/>
  <c r="K8881" i="1"/>
  <c r="H8881" i="1"/>
  <c r="K8880" i="1"/>
  <c r="H8880" i="1"/>
  <c r="K8879" i="1"/>
  <c r="H8879" i="1"/>
  <c r="K8878" i="1"/>
  <c r="H8878" i="1"/>
  <c r="K8877" i="1"/>
  <c r="H8877" i="1"/>
  <c r="K8876" i="1"/>
  <c r="H8876" i="1"/>
  <c r="K8875" i="1"/>
  <c r="H8875" i="1"/>
  <c r="K8874" i="1"/>
  <c r="H8874" i="1"/>
  <c r="K8873" i="1"/>
  <c r="H8873" i="1"/>
  <c r="K8872" i="1"/>
  <c r="H8872" i="1"/>
  <c r="K8871" i="1"/>
  <c r="H8871" i="1"/>
  <c r="K8870" i="1"/>
  <c r="H8870" i="1"/>
  <c r="K8869" i="1"/>
  <c r="H8869" i="1"/>
  <c r="K8868" i="1"/>
  <c r="H8868" i="1"/>
  <c r="K8867" i="1"/>
  <c r="H8867" i="1"/>
  <c r="K8866" i="1"/>
  <c r="H8866" i="1"/>
  <c r="K8865" i="1"/>
  <c r="H8865" i="1"/>
  <c r="K8864" i="1"/>
  <c r="H8864" i="1"/>
  <c r="K8863" i="1"/>
  <c r="H8863" i="1"/>
  <c r="K8862" i="1"/>
  <c r="H8862" i="1"/>
  <c r="K8861" i="1"/>
  <c r="H8861" i="1"/>
  <c r="K8860" i="1"/>
  <c r="H8860" i="1"/>
  <c r="K8859" i="1"/>
  <c r="H8859" i="1"/>
  <c r="K8858" i="1"/>
  <c r="H8858" i="1"/>
  <c r="K8857" i="1"/>
  <c r="H8857" i="1"/>
  <c r="K8856" i="1"/>
  <c r="H8856" i="1"/>
  <c r="K8855" i="1"/>
  <c r="H8855" i="1"/>
  <c r="K8854" i="1"/>
  <c r="H8854" i="1"/>
  <c r="K8853" i="1"/>
  <c r="H8853" i="1"/>
  <c r="K8852" i="1"/>
  <c r="H8852" i="1"/>
  <c r="K8851" i="1"/>
  <c r="H8851" i="1"/>
  <c r="K8850" i="1"/>
  <c r="H8850" i="1"/>
  <c r="K8849" i="1"/>
  <c r="H8849" i="1"/>
  <c r="K8848" i="1"/>
  <c r="H8848" i="1"/>
  <c r="K8847" i="1"/>
  <c r="H8847" i="1"/>
  <c r="K8846" i="1"/>
  <c r="H8846" i="1"/>
  <c r="K8845" i="1"/>
  <c r="H8845" i="1"/>
  <c r="K8844" i="1"/>
  <c r="H8844" i="1"/>
  <c r="K8843" i="1"/>
  <c r="H8843" i="1"/>
  <c r="K8842" i="1"/>
  <c r="H8842" i="1"/>
  <c r="K8841" i="1"/>
  <c r="H8841" i="1"/>
  <c r="K8840" i="1"/>
  <c r="H8840" i="1"/>
  <c r="K8839" i="1"/>
  <c r="H8839" i="1"/>
  <c r="K8838" i="1"/>
  <c r="H8838" i="1"/>
  <c r="K8837" i="1"/>
  <c r="H8837" i="1"/>
  <c r="K8836" i="1"/>
  <c r="H8836" i="1"/>
  <c r="K8835" i="1"/>
  <c r="H8835" i="1"/>
  <c r="K8834" i="1"/>
  <c r="H8834" i="1"/>
  <c r="K8833" i="1"/>
  <c r="H8833" i="1"/>
  <c r="K8832" i="1"/>
  <c r="H8832" i="1"/>
  <c r="K8831" i="1"/>
  <c r="H8831" i="1"/>
  <c r="K8830" i="1"/>
  <c r="H8830" i="1"/>
  <c r="K8829" i="1"/>
  <c r="H8829" i="1"/>
  <c r="K8828" i="1"/>
  <c r="H8828" i="1"/>
  <c r="K8827" i="1"/>
  <c r="H8827" i="1"/>
  <c r="K8826" i="1"/>
  <c r="H8826" i="1"/>
  <c r="K8825" i="1"/>
  <c r="H8825" i="1"/>
  <c r="K8824" i="1"/>
  <c r="H8824" i="1"/>
  <c r="K8823" i="1"/>
  <c r="H8823" i="1"/>
  <c r="K8822" i="1"/>
  <c r="H8822" i="1"/>
  <c r="K8821" i="1"/>
  <c r="H8821" i="1"/>
  <c r="K8820" i="1"/>
  <c r="H8820" i="1"/>
  <c r="K8819" i="1"/>
  <c r="H8819" i="1"/>
  <c r="K8818" i="1"/>
  <c r="H8818" i="1"/>
  <c r="K8817" i="1"/>
  <c r="H8817" i="1"/>
  <c r="K8816" i="1"/>
  <c r="H8816" i="1"/>
  <c r="K8815" i="1"/>
  <c r="H8815" i="1"/>
  <c r="K8814" i="1"/>
  <c r="H8814" i="1"/>
  <c r="K8813" i="1"/>
  <c r="H8813" i="1"/>
  <c r="K8812" i="1"/>
  <c r="H8812" i="1"/>
  <c r="K8811" i="1"/>
  <c r="H8811" i="1"/>
  <c r="K8810" i="1"/>
  <c r="H8810" i="1"/>
  <c r="K8809" i="1"/>
  <c r="H8809" i="1"/>
  <c r="K8808" i="1"/>
  <c r="H8808" i="1"/>
  <c r="K8807" i="1"/>
  <c r="H8807" i="1"/>
  <c r="K8806" i="1"/>
  <c r="H8806" i="1"/>
  <c r="K8805" i="1"/>
  <c r="H8805" i="1"/>
  <c r="K8804" i="1"/>
  <c r="H8804" i="1"/>
  <c r="K8803" i="1"/>
  <c r="H8803" i="1"/>
  <c r="K8802" i="1"/>
  <c r="H8802" i="1"/>
  <c r="K8801" i="1"/>
  <c r="H8801" i="1"/>
  <c r="K8800" i="1"/>
  <c r="H8800" i="1"/>
  <c r="K8799" i="1"/>
  <c r="H8799" i="1"/>
  <c r="K8798" i="1"/>
  <c r="H8798" i="1"/>
  <c r="K8797" i="1"/>
  <c r="H8797" i="1"/>
  <c r="K8796" i="1"/>
  <c r="H8796" i="1"/>
  <c r="K8795" i="1"/>
  <c r="H8795" i="1"/>
  <c r="K8794" i="1"/>
  <c r="H8794" i="1"/>
  <c r="K8793" i="1"/>
  <c r="H8793" i="1"/>
  <c r="K8792" i="1"/>
  <c r="H8792" i="1"/>
  <c r="K8791" i="1"/>
  <c r="H8791" i="1"/>
  <c r="K8790" i="1"/>
  <c r="H8790" i="1"/>
  <c r="K8789" i="1"/>
  <c r="H8789" i="1"/>
  <c r="K8788" i="1"/>
  <c r="H8788" i="1"/>
  <c r="K8787" i="1"/>
  <c r="H8787" i="1"/>
  <c r="K8786" i="1"/>
  <c r="H8786" i="1"/>
  <c r="K8785" i="1"/>
  <c r="H8785" i="1"/>
  <c r="K8784" i="1"/>
  <c r="H8784" i="1"/>
  <c r="K8783" i="1"/>
  <c r="H8783" i="1"/>
  <c r="K8782" i="1"/>
  <c r="H8782" i="1"/>
  <c r="K8781" i="1"/>
  <c r="H8781" i="1"/>
  <c r="K8780" i="1"/>
  <c r="H8780" i="1"/>
  <c r="K8779" i="1"/>
  <c r="H8779" i="1"/>
  <c r="K8778" i="1"/>
  <c r="H8778" i="1"/>
  <c r="K8777" i="1"/>
  <c r="H8777" i="1"/>
  <c r="K8776" i="1"/>
  <c r="H8776" i="1"/>
  <c r="K8775" i="1"/>
  <c r="H8775" i="1"/>
  <c r="K8774" i="1"/>
  <c r="H8774" i="1"/>
  <c r="K8773" i="1"/>
  <c r="H8773" i="1"/>
  <c r="K8772" i="1"/>
  <c r="H8772" i="1"/>
  <c r="K8771" i="1"/>
  <c r="H8771" i="1"/>
  <c r="K8770" i="1"/>
  <c r="H8770" i="1"/>
  <c r="K8769" i="1"/>
  <c r="H8769" i="1"/>
  <c r="K8768" i="1"/>
  <c r="H8768" i="1"/>
  <c r="K8767" i="1"/>
  <c r="H8767" i="1"/>
  <c r="K8766" i="1"/>
  <c r="H8766" i="1"/>
  <c r="K8765" i="1"/>
  <c r="H8765" i="1"/>
  <c r="K8764" i="1"/>
  <c r="H8764" i="1"/>
  <c r="K8763" i="1"/>
  <c r="H8763" i="1"/>
  <c r="K8762" i="1"/>
  <c r="H8762" i="1"/>
  <c r="K8761" i="1"/>
  <c r="H8761" i="1"/>
  <c r="K8760" i="1"/>
  <c r="H8760" i="1"/>
  <c r="K8759" i="1"/>
  <c r="H8759" i="1"/>
  <c r="K8758" i="1"/>
  <c r="H8758" i="1"/>
  <c r="K8757" i="1"/>
  <c r="H8757" i="1"/>
  <c r="K8756" i="1"/>
  <c r="H8756" i="1"/>
  <c r="K8755" i="1"/>
  <c r="H8755" i="1"/>
  <c r="K8754" i="1"/>
  <c r="H8754" i="1"/>
  <c r="K8753" i="1"/>
  <c r="H8753" i="1"/>
  <c r="K8752" i="1"/>
  <c r="H8752" i="1"/>
  <c r="K8751" i="1"/>
  <c r="H8751" i="1"/>
  <c r="K8750" i="1"/>
  <c r="H8750" i="1"/>
  <c r="K8749" i="1"/>
  <c r="H8749" i="1"/>
  <c r="K8748" i="1"/>
  <c r="H8748" i="1"/>
  <c r="K8747" i="1"/>
  <c r="H8747" i="1"/>
  <c r="K8746" i="1"/>
  <c r="H8746" i="1"/>
  <c r="K8745" i="1"/>
  <c r="H8745" i="1"/>
  <c r="K8744" i="1"/>
  <c r="H8744" i="1"/>
  <c r="K8743" i="1"/>
  <c r="H8743" i="1"/>
  <c r="K8742" i="1"/>
  <c r="H8742" i="1"/>
  <c r="K8741" i="1"/>
  <c r="H8741" i="1"/>
  <c r="K8740" i="1"/>
  <c r="H8740" i="1"/>
  <c r="K8739" i="1"/>
  <c r="H8739" i="1"/>
  <c r="K8738" i="1"/>
  <c r="H8738" i="1"/>
  <c r="K8737" i="1"/>
  <c r="H8737" i="1"/>
  <c r="K8736" i="1"/>
  <c r="H8736" i="1"/>
  <c r="K8735" i="1"/>
  <c r="H8735" i="1"/>
  <c r="K8734" i="1"/>
  <c r="H8734" i="1"/>
  <c r="K8733" i="1"/>
  <c r="H8733" i="1"/>
  <c r="K8732" i="1"/>
  <c r="H8732" i="1"/>
  <c r="K8731" i="1"/>
  <c r="H8731" i="1"/>
  <c r="K8730" i="1"/>
  <c r="H8730" i="1"/>
  <c r="K8729" i="1"/>
  <c r="H8729" i="1"/>
  <c r="K8728" i="1"/>
  <c r="H8728" i="1"/>
  <c r="K8727" i="1"/>
  <c r="H8727" i="1"/>
  <c r="K8726" i="1"/>
  <c r="H8726" i="1"/>
  <c r="K8725" i="1"/>
  <c r="H8725" i="1"/>
  <c r="K8724" i="1"/>
  <c r="H8724" i="1"/>
  <c r="K8723" i="1"/>
  <c r="H8723" i="1"/>
  <c r="K8722" i="1"/>
  <c r="H8722" i="1"/>
  <c r="K8721" i="1"/>
  <c r="H8721" i="1"/>
  <c r="K8720" i="1"/>
  <c r="H8720" i="1"/>
  <c r="K8719" i="1"/>
  <c r="H8719" i="1"/>
  <c r="K8718" i="1"/>
  <c r="H8718" i="1"/>
  <c r="K8717" i="1"/>
  <c r="H8717" i="1"/>
  <c r="K8716" i="1"/>
  <c r="H8716" i="1"/>
  <c r="K8715" i="1"/>
  <c r="H8715" i="1"/>
  <c r="K8714" i="1"/>
  <c r="H8714" i="1"/>
  <c r="K8713" i="1"/>
  <c r="H8713" i="1"/>
  <c r="K8712" i="1"/>
  <c r="H8712" i="1"/>
  <c r="K8711" i="1"/>
  <c r="H8711" i="1"/>
  <c r="K8710" i="1"/>
  <c r="H8710" i="1"/>
  <c r="K8709" i="1"/>
  <c r="H8709" i="1"/>
  <c r="K8708" i="1"/>
  <c r="H8708" i="1"/>
  <c r="K8707" i="1"/>
  <c r="H8707" i="1"/>
  <c r="K8706" i="1"/>
  <c r="H8706" i="1"/>
  <c r="K8705" i="1"/>
  <c r="H8705" i="1"/>
  <c r="K8704" i="1"/>
  <c r="H8704" i="1"/>
  <c r="K8703" i="1"/>
  <c r="H8703" i="1"/>
  <c r="K8702" i="1"/>
  <c r="H8702" i="1"/>
  <c r="K8701" i="1"/>
  <c r="H8701" i="1"/>
  <c r="K8700" i="1"/>
  <c r="H8700" i="1"/>
  <c r="K8699" i="1"/>
  <c r="H8699" i="1"/>
  <c r="K8698" i="1"/>
  <c r="H8698" i="1"/>
  <c r="K8697" i="1"/>
  <c r="H8697" i="1"/>
  <c r="K8696" i="1"/>
  <c r="H8696" i="1"/>
  <c r="K8695" i="1"/>
  <c r="H8695" i="1"/>
  <c r="K8694" i="1"/>
  <c r="H8694" i="1"/>
  <c r="K8693" i="1"/>
  <c r="H8693" i="1"/>
  <c r="K8692" i="1"/>
  <c r="H8692" i="1"/>
  <c r="K8691" i="1"/>
  <c r="H8691" i="1"/>
  <c r="K8690" i="1"/>
  <c r="H8690" i="1"/>
  <c r="K8689" i="1"/>
  <c r="H8689" i="1"/>
  <c r="K8688" i="1"/>
  <c r="H8688" i="1"/>
  <c r="K8687" i="1"/>
  <c r="H8687" i="1"/>
  <c r="K8686" i="1"/>
  <c r="H8686" i="1"/>
  <c r="K8685" i="1"/>
  <c r="H8685" i="1"/>
  <c r="K8684" i="1"/>
  <c r="H8684" i="1"/>
  <c r="K8683" i="1"/>
  <c r="H8683" i="1"/>
  <c r="K8682" i="1"/>
  <c r="H8682" i="1"/>
  <c r="K8681" i="1"/>
  <c r="H8681" i="1"/>
  <c r="K8680" i="1"/>
  <c r="H8680" i="1"/>
  <c r="K8679" i="1"/>
  <c r="H8679" i="1"/>
  <c r="K8678" i="1"/>
  <c r="H8678" i="1"/>
  <c r="K8677" i="1"/>
  <c r="H8677" i="1"/>
  <c r="K8676" i="1"/>
  <c r="H8676" i="1"/>
  <c r="K8675" i="1"/>
  <c r="H8675" i="1"/>
  <c r="K8674" i="1"/>
  <c r="H8674" i="1"/>
  <c r="K8673" i="1"/>
  <c r="H8673" i="1"/>
  <c r="K8672" i="1"/>
  <c r="H8672" i="1"/>
  <c r="K8671" i="1"/>
  <c r="H8671" i="1"/>
  <c r="K8670" i="1"/>
  <c r="H8670" i="1"/>
  <c r="K8669" i="1"/>
  <c r="H8669" i="1"/>
  <c r="K8668" i="1"/>
  <c r="H8668" i="1"/>
  <c r="K8667" i="1"/>
  <c r="H8667" i="1"/>
  <c r="K8666" i="1"/>
  <c r="H8666" i="1"/>
  <c r="K8665" i="1"/>
  <c r="H8665" i="1"/>
  <c r="K8664" i="1"/>
  <c r="H8664" i="1"/>
  <c r="K8663" i="1"/>
  <c r="H8663" i="1"/>
  <c r="K8662" i="1"/>
  <c r="H8662" i="1"/>
  <c r="K8661" i="1"/>
  <c r="H8661" i="1"/>
  <c r="K8660" i="1"/>
  <c r="H8660" i="1"/>
  <c r="K8659" i="1"/>
  <c r="H8659" i="1"/>
  <c r="K8658" i="1"/>
  <c r="H8658" i="1"/>
  <c r="K8657" i="1"/>
  <c r="H8657" i="1"/>
  <c r="K8656" i="1"/>
  <c r="H8656" i="1"/>
  <c r="K8655" i="1"/>
  <c r="H8655" i="1"/>
  <c r="K8654" i="1"/>
  <c r="H8654" i="1"/>
  <c r="K8653" i="1"/>
  <c r="H8653" i="1"/>
  <c r="K8652" i="1"/>
  <c r="H8652" i="1"/>
  <c r="K8651" i="1"/>
  <c r="H8651" i="1"/>
  <c r="K8650" i="1"/>
  <c r="H8650" i="1"/>
  <c r="K8649" i="1"/>
  <c r="H8649" i="1"/>
  <c r="K8648" i="1"/>
  <c r="H8648" i="1"/>
  <c r="K8647" i="1"/>
  <c r="H8647" i="1"/>
  <c r="K8646" i="1"/>
  <c r="H8646" i="1"/>
  <c r="K8645" i="1"/>
  <c r="H8645" i="1"/>
  <c r="K8644" i="1"/>
  <c r="H8644" i="1"/>
  <c r="K8643" i="1"/>
  <c r="H8643" i="1"/>
  <c r="K8642" i="1"/>
  <c r="H8642" i="1"/>
  <c r="K8641" i="1"/>
  <c r="H8641" i="1"/>
  <c r="K8640" i="1"/>
  <c r="H8640" i="1"/>
  <c r="K8639" i="1"/>
  <c r="H8639" i="1"/>
  <c r="K8638" i="1"/>
  <c r="H8638" i="1"/>
  <c r="K8637" i="1"/>
  <c r="H8637" i="1"/>
  <c r="K8636" i="1"/>
  <c r="H8636" i="1"/>
  <c r="K8635" i="1"/>
  <c r="H8635" i="1"/>
  <c r="K8634" i="1"/>
  <c r="H8634" i="1"/>
  <c r="K8633" i="1"/>
  <c r="H8633" i="1"/>
  <c r="K8632" i="1"/>
  <c r="H8632" i="1"/>
  <c r="K8631" i="1"/>
  <c r="H8631" i="1"/>
  <c r="K8630" i="1"/>
  <c r="H8630" i="1"/>
  <c r="K8629" i="1"/>
  <c r="H8629" i="1"/>
  <c r="K8628" i="1"/>
  <c r="H8628" i="1"/>
  <c r="K8627" i="1"/>
  <c r="H8627" i="1"/>
  <c r="K8626" i="1"/>
  <c r="H8626" i="1"/>
  <c r="K8625" i="1"/>
  <c r="H8625" i="1"/>
  <c r="K8624" i="1"/>
  <c r="H8624" i="1"/>
  <c r="K8623" i="1"/>
  <c r="H8623" i="1"/>
  <c r="K8622" i="1"/>
  <c r="H8622" i="1"/>
  <c r="K8621" i="1"/>
  <c r="H8621" i="1"/>
  <c r="K8620" i="1"/>
  <c r="H8620" i="1"/>
  <c r="K8619" i="1"/>
  <c r="H8619" i="1"/>
  <c r="K8618" i="1"/>
  <c r="H8618" i="1"/>
  <c r="K8617" i="1"/>
  <c r="H8617" i="1"/>
  <c r="K8616" i="1"/>
  <c r="H8616" i="1"/>
  <c r="K8615" i="1"/>
  <c r="H8615" i="1"/>
  <c r="K8614" i="1"/>
  <c r="H8614" i="1"/>
  <c r="K8613" i="1"/>
  <c r="H8613" i="1"/>
  <c r="K8612" i="1"/>
  <c r="H8612" i="1"/>
  <c r="K8611" i="1"/>
  <c r="H8611" i="1"/>
  <c r="K8610" i="1"/>
  <c r="H8610" i="1"/>
  <c r="K8609" i="1"/>
  <c r="H8609" i="1"/>
  <c r="K8608" i="1"/>
  <c r="H8608" i="1"/>
  <c r="K8607" i="1"/>
  <c r="H8607" i="1"/>
  <c r="K8606" i="1"/>
  <c r="H8606" i="1"/>
  <c r="K8605" i="1"/>
  <c r="H8605" i="1"/>
  <c r="K8604" i="1"/>
  <c r="H8604" i="1"/>
  <c r="K8603" i="1"/>
  <c r="H8603" i="1"/>
  <c r="K8602" i="1"/>
  <c r="H8602" i="1"/>
  <c r="K8601" i="1"/>
  <c r="H8601" i="1"/>
  <c r="K8600" i="1"/>
  <c r="H8600" i="1"/>
  <c r="K8599" i="1"/>
  <c r="H8599" i="1"/>
  <c r="K8598" i="1"/>
  <c r="H8598" i="1"/>
  <c r="K8597" i="1"/>
  <c r="H8597" i="1"/>
  <c r="K8596" i="1"/>
  <c r="H8596" i="1"/>
  <c r="K8595" i="1"/>
  <c r="H8595" i="1"/>
  <c r="K8594" i="1"/>
  <c r="H8594" i="1"/>
  <c r="K8593" i="1"/>
  <c r="H8593" i="1"/>
  <c r="K8592" i="1"/>
  <c r="H8592" i="1"/>
  <c r="K8591" i="1"/>
  <c r="H8591" i="1"/>
  <c r="K8590" i="1"/>
  <c r="H8590" i="1"/>
  <c r="K8589" i="1"/>
  <c r="H8589" i="1"/>
  <c r="K8588" i="1"/>
  <c r="H8588" i="1"/>
  <c r="K8587" i="1"/>
  <c r="H8587" i="1"/>
  <c r="K8586" i="1"/>
  <c r="H8586" i="1"/>
  <c r="K8585" i="1"/>
  <c r="H8585" i="1"/>
  <c r="K8584" i="1"/>
  <c r="H8584" i="1"/>
  <c r="K8583" i="1"/>
  <c r="H8583" i="1"/>
  <c r="K8582" i="1"/>
  <c r="H8582" i="1"/>
  <c r="K8581" i="1"/>
  <c r="H8581" i="1"/>
  <c r="K8580" i="1"/>
  <c r="H8580" i="1"/>
  <c r="K8579" i="1"/>
  <c r="H8579" i="1"/>
  <c r="K8578" i="1"/>
  <c r="H8578" i="1"/>
  <c r="K8577" i="1"/>
  <c r="H8577" i="1"/>
  <c r="K8576" i="1"/>
  <c r="H8576" i="1"/>
  <c r="K8575" i="1"/>
  <c r="H8575" i="1"/>
  <c r="K8574" i="1"/>
  <c r="H8574" i="1"/>
  <c r="K8573" i="1"/>
  <c r="H8573" i="1"/>
  <c r="K8572" i="1"/>
  <c r="H8572" i="1"/>
  <c r="K8571" i="1"/>
  <c r="H8571" i="1"/>
  <c r="K8570" i="1"/>
  <c r="H8570" i="1"/>
  <c r="K8569" i="1"/>
  <c r="H8569" i="1"/>
  <c r="K8568" i="1"/>
  <c r="H8568" i="1"/>
  <c r="K8567" i="1"/>
  <c r="H8567" i="1"/>
  <c r="K8566" i="1"/>
  <c r="H8566" i="1"/>
  <c r="K8565" i="1"/>
  <c r="H8565" i="1"/>
  <c r="K8564" i="1"/>
  <c r="H8564" i="1"/>
  <c r="K8563" i="1"/>
  <c r="H8563" i="1"/>
  <c r="K8562" i="1"/>
  <c r="H8562" i="1"/>
  <c r="K8561" i="1"/>
  <c r="H8561" i="1"/>
  <c r="K8560" i="1"/>
  <c r="H8560" i="1"/>
  <c r="K8559" i="1"/>
  <c r="H8559" i="1"/>
  <c r="K8558" i="1"/>
  <c r="H8558" i="1"/>
  <c r="K8557" i="1"/>
  <c r="H8557" i="1"/>
  <c r="K8556" i="1"/>
  <c r="H8556" i="1"/>
  <c r="K8555" i="1"/>
  <c r="H8555" i="1"/>
  <c r="K8554" i="1"/>
  <c r="H8554" i="1"/>
  <c r="K8553" i="1"/>
  <c r="H8553" i="1"/>
  <c r="K8552" i="1"/>
  <c r="H8552" i="1"/>
  <c r="K8551" i="1"/>
  <c r="H8551" i="1"/>
  <c r="K8550" i="1"/>
  <c r="H8550" i="1"/>
  <c r="K8549" i="1"/>
  <c r="H8549" i="1"/>
  <c r="K8548" i="1"/>
  <c r="H8548" i="1"/>
  <c r="K8547" i="1"/>
  <c r="H8547" i="1"/>
  <c r="K8546" i="1"/>
  <c r="H8546" i="1"/>
  <c r="K8545" i="1"/>
  <c r="H8545" i="1"/>
  <c r="K8544" i="1"/>
  <c r="H8544" i="1"/>
  <c r="K8543" i="1"/>
  <c r="H8543" i="1"/>
  <c r="K8542" i="1"/>
  <c r="H8542" i="1"/>
  <c r="K8541" i="1"/>
  <c r="H8541" i="1"/>
  <c r="K8540" i="1"/>
  <c r="H8540" i="1"/>
  <c r="K8539" i="1"/>
  <c r="H8539" i="1"/>
  <c r="K8538" i="1"/>
  <c r="H8538" i="1"/>
  <c r="K8537" i="1"/>
  <c r="H8537" i="1"/>
  <c r="K8536" i="1"/>
  <c r="H8536" i="1"/>
  <c r="K8535" i="1"/>
  <c r="H8535" i="1"/>
  <c r="K8534" i="1"/>
  <c r="H8534" i="1"/>
  <c r="K8533" i="1"/>
  <c r="H8533" i="1"/>
  <c r="K8532" i="1"/>
  <c r="H8532" i="1"/>
  <c r="K8531" i="1"/>
  <c r="H8531" i="1"/>
  <c r="K8530" i="1"/>
  <c r="H8530" i="1"/>
  <c r="K8529" i="1"/>
  <c r="H8529" i="1"/>
  <c r="K8528" i="1"/>
  <c r="H8528" i="1"/>
  <c r="K8527" i="1"/>
  <c r="H8527" i="1"/>
  <c r="K8526" i="1"/>
  <c r="H8526" i="1"/>
  <c r="K8525" i="1"/>
  <c r="H8525" i="1"/>
  <c r="K8524" i="1"/>
  <c r="H8524" i="1"/>
  <c r="K8523" i="1"/>
  <c r="H8523" i="1"/>
  <c r="K8522" i="1"/>
  <c r="H8522" i="1"/>
  <c r="K8521" i="1"/>
  <c r="H8521" i="1"/>
  <c r="K8520" i="1"/>
  <c r="H8520" i="1"/>
  <c r="K8519" i="1"/>
  <c r="H8519" i="1"/>
  <c r="K8518" i="1"/>
  <c r="H8518" i="1"/>
  <c r="K8517" i="1"/>
  <c r="H8517" i="1"/>
  <c r="K8516" i="1"/>
  <c r="H8516" i="1"/>
  <c r="K8515" i="1"/>
  <c r="H8515" i="1"/>
  <c r="K8514" i="1"/>
  <c r="H8514" i="1"/>
  <c r="K8513" i="1"/>
  <c r="H8513" i="1"/>
  <c r="K8512" i="1"/>
  <c r="H8512" i="1"/>
  <c r="K8511" i="1"/>
  <c r="H8511" i="1"/>
  <c r="K8510" i="1"/>
  <c r="H8510" i="1"/>
  <c r="K8509" i="1"/>
  <c r="H8509" i="1"/>
  <c r="K8508" i="1"/>
  <c r="H8508" i="1"/>
  <c r="K8507" i="1"/>
  <c r="H8507" i="1"/>
  <c r="K8506" i="1"/>
  <c r="H8506" i="1"/>
  <c r="K8505" i="1"/>
  <c r="H8505" i="1"/>
  <c r="K8504" i="1"/>
  <c r="H8504" i="1"/>
  <c r="K8503" i="1"/>
  <c r="H8503" i="1"/>
  <c r="K8502" i="1"/>
  <c r="H8502" i="1"/>
  <c r="K8501" i="1"/>
  <c r="H8501" i="1"/>
  <c r="K8500" i="1"/>
  <c r="H8500" i="1"/>
  <c r="K8499" i="1"/>
  <c r="H8499" i="1"/>
  <c r="K8498" i="1"/>
  <c r="H8498" i="1"/>
  <c r="K8497" i="1"/>
  <c r="H8497" i="1"/>
  <c r="K8496" i="1"/>
  <c r="H8496" i="1"/>
  <c r="K8495" i="1"/>
  <c r="H8495" i="1"/>
  <c r="K8494" i="1"/>
  <c r="H8494" i="1"/>
  <c r="K8493" i="1"/>
  <c r="H8493" i="1"/>
  <c r="K8492" i="1"/>
  <c r="H8492" i="1"/>
  <c r="K8491" i="1"/>
  <c r="H8491" i="1"/>
  <c r="K8490" i="1"/>
  <c r="H8490" i="1"/>
  <c r="K8489" i="1"/>
  <c r="H8489" i="1"/>
  <c r="K8488" i="1"/>
  <c r="H8488" i="1"/>
  <c r="K8487" i="1"/>
  <c r="H8487" i="1"/>
  <c r="K8486" i="1"/>
  <c r="H8486" i="1"/>
  <c r="K8485" i="1"/>
  <c r="H8485" i="1"/>
  <c r="K8484" i="1"/>
  <c r="H8484" i="1"/>
  <c r="K8483" i="1"/>
  <c r="H8483" i="1"/>
  <c r="K8482" i="1"/>
  <c r="H8482" i="1"/>
  <c r="K8481" i="1"/>
  <c r="H8481" i="1"/>
  <c r="K8480" i="1"/>
  <c r="H8480" i="1"/>
  <c r="K8479" i="1"/>
  <c r="H8479" i="1"/>
  <c r="K8478" i="1"/>
  <c r="H8478" i="1"/>
  <c r="K8477" i="1"/>
  <c r="H8477" i="1"/>
  <c r="K8476" i="1"/>
  <c r="H8476" i="1"/>
  <c r="K8475" i="1"/>
  <c r="H8475" i="1"/>
  <c r="K8474" i="1"/>
  <c r="H8474" i="1"/>
  <c r="K8473" i="1"/>
  <c r="H8473" i="1"/>
  <c r="K8472" i="1"/>
  <c r="H8472" i="1"/>
  <c r="K8471" i="1"/>
  <c r="H8471" i="1"/>
  <c r="K8470" i="1"/>
  <c r="H8470" i="1"/>
  <c r="K8469" i="1"/>
  <c r="H8469" i="1"/>
  <c r="K8468" i="1"/>
  <c r="H8468" i="1"/>
  <c r="K8467" i="1"/>
  <c r="H8467" i="1"/>
  <c r="K8466" i="1"/>
  <c r="H8466" i="1"/>
  <c r="K8465" i="1"/>
  <c r="H8465" i="1"/>
  <c r="K8464" i="1"/>
  <c r="H8464" i="1"/>
  <c r="K8463" i="1"/>
  <c r="H8463" i="1"/>
  <c r="K8462" i="1"/>
  <c r="H8462" i="1"/>
  <c r="K8461" i="1"/>
  <c r="H8461" i="1"/>
  <c r="K8460" i="1"/>
  <c r="H8460" i="1"/>
  <c r="K8459" i="1"/>
  <c r="H8459" i="1"/>
  <c r="K8458" i="1"/>
  <c r="H8458" i="1"/>
  <c r="K8457" i="1"/>
  <c r="H8457" i="1"/>
  <c r="K8456" i="1"/>
  <c r="H8456" i="1"/>
  <c r="K8455" i="1"/>
  <c r="H8455" i="1"/>
  <c r="K8454" i="1"/>
  <c r="H8454" i="1"/>
  <c r="K8453" i="1"/>
  <c r="H8453" i="1"/>
  <c r="K8452" i="1"/>
  <c r="H8452" i="1"/>
  <c r="K8451" i="1"/>
  <c r="H8451" i="1"/>
  <c r="K8450" i="1"/>
  <c r="H8450" i="1"/>
  <c r="K8449" i="1"/>
  <c r="H8449" i="1"/>
  <c r="K8448" i="1"/>
  <c r="H8448" i="1"/>
  <c r="K8447" i="1"/>
  <c r="H8447" i="1"/>
  <c r="K8446" i="1"/>
  <c r="H8446" i="1"/>
  <c r="K8445" i="1"/>
  <c r="H8445" i="1"/>
  <c r="K8444" i="1"/>
  <c r="H8444" i="1"/>
  <c r="K8443" i="1"/>
  <c r="H8443" i="1"/>
  <c r="K8442" i="1"/>
  <c r="H8442" i="1"/>
  <c r="K8441" i="1"/>
  <c r="H8441" i="1"/>
  <c r="K8440" i="1"/>
  <c r="H8440" i="1"/>
  <c r="K8439" i="1"/>
  <c r="H8439" i="1"/>
  <c r="K8438" i="1"/>
  <c r="H8438" i="1"/>
  <c r="K8437" i="1"/>
  <c r="H8437" i="1"/>
  <c r="K8436" i="1"/>
  <c r="H8436" i="1"/>
  <c r="K8435" i="1"/>
  <c r="H8435" i="1"/>
  <c r="K8434" i="1"/>
  <c r="H8434" i="1"/>
  <c r="K8433" i="1"/>
  <c r="H8433" i="1"/>
  <c r="K8432" i="1"/>
  <c r="H8432" i="1"/>
  <c r="K8431" i="1"/>
  <c r="H8431" i="1"/>
  <c r="K8430" i="1"/>
  <c r="H8430" i="1"/>
  <c r="K8429" i="1"/>
  <c r="H8429" i="1"/>
  <c r="K8428" i="1"/>
  <c r="H8428" i="1"/>
  <c r="K8427" i="1"/>
  <c r="H8427" i="1"/>
  <c r="K8426" i="1"/>
  <c r="H8426" i="1"/>
  <c r="K8425" i="1"/>
  <c r="H8425" i="1"/>
  <c r="K8424" i="1"/>
  <c r="H8424" i="1"/>
  <c r="K8423" i="1"/>
  <c r="H8423" i="1"/>
  <c r="K8422" i="1"/>
  <c r="H8422" i="1"/>
  <c r="K8421" i="1"/>
  <c r="H8421" i="1"/>
  <c r="K8420" i="1"/>
  <c r="H8420" i="1"/>
  <c r="K8419" i="1"/>
  <c r="H8419" i="1"/>
  <c r="K8418" i="1"/>
  <c r="H8418" i="1"/>
  <c r="K8417" i="1"/>
  <c r="H8417" i="1"/>
  <c r="K8416" i="1"/>
  <c r="H8416" i="1"/>
  <c r="K8415" i="1"/>
  <c r="H8415" i="1"/>
  <c r="K8414" i="1"/>
  <c r="H8414" i="1"/>
  <c r="K8413" i="1"/>
  <c r="H8413" i="1"/>
  <c r="K8412" i="1"/>
  <c r="H8412" i="1"/>
  <c r="K8411" i="1"/>
  <c r="H8411" i="1"/>
  <c r="K8410" i="1"/>
  <c r="H8410" i="1"/>
  <c r="K8409" i="1"/>
  <c r="H8409" i="1"/>
  <c r="K8408" i="1"/>
  <c r="H8408" i="1"/>
  <c r="K8407" i="1"/>
  <c r="H8407" i="1"/>
  <c r="K8406" i="1"/>
  <c r="H8406" i="1"/>
  <c r="K8405" i="1"/>
  <c r="H8405" i="1"/>
  <c r="K8404" i="1"/>
  <c r="H8404" i="1"/>
  <c r="K8403" i="1"/>
  <c r="H8403" i="1"/>
  <c r="K8402" i="1"/>
  <c r="H8402" i="1"/>
  <c r="K8401" i="1"/>
  <c r="H8401" i="1"/>
  <c r="K8400" i="1"/>
  <c r="H8400" i="1"/>
  <c r="K8399" i="1"/>
  <c r="H8399" i="1"/>
  <c r="K8398" i="1"/>
  <c r="H8398" i="1"/>
  <c r="K8397" i="1"/>
  <c r="H8397" i="1"/>
  <c r="K8396" i="1"/>
  <c r="H8396" i="1"/>
  <c r="K8395" i="1"/>
  <c r="H8395" i="1"/>
  <c r="K8394" i="1"/>
  <c r="H8394" i="1"/>
  <c r="K8393" i="1"/>
  <c r="H8393" i="1"/>
  <c r="K8392" i="1"/>
  <c r="H8392" i="1"/>
  <c r="K8391" i="1"/>
  <c r="H8391" i="1"/>
  <c r="K8390" i="1"/>
  <c r="H8390" i="1"/>
  <c r="K8389" i="1"/>
  <c r="H8389" i="1"/>
  <c r="K8388" i="1"/>
  <c r="H8388" i="1"/>
  <c r="K8387" i="1"/>
  <c r="H8387" i="1"/>
  <c r="K8386" i="1"/>
  <c r="H8386" i="1"/>
  <c r="K8385" i="1"/>
  <c r="H8385" i="1"/>
  <c r="K8384" i="1"/>
  <c r="H8384" i="1"/>
  <c r="K8383" i="1"/>
  <c r="H8383" i="1"/>
  <c r="K8382" i="1"/>
  <c r="H8382" i="1"/>
  <c r="K8381" i="1"/>
  <c r="H8381" i="1"/>
  <c r="K8380" i="1"/>
  <c r="H8380" i="1"/>
  <c r="K8379" i="1"/>
  <c r="H8379" i="1"/>
  <c r="K8378" i="1"/>
  <c r="H8378" i="1"/>
  <c r="K8377" i="1"/>
  <c r="H8377" i="1"/>
  <c r="K8376" i="1"/>
  <c r="H8376" i="1"/>
  <c r="K8375" i="1"/>
  <c r="H8375" i="1"/>
  <c r="K8374" i="1"/>
  <c r="H8374" i="1"/>
  <c r="K8373" i="1"/>
  <c r="H8373" i="1"/>
  <c r="K8372" i="1"/>
  <c r="H8372" i="1"/>
  <c r="K8371" i="1"/>
  <c r="H8371" i="1"/>
  <c r="K8370" i="1"/>
  <c r="H8370" i="1"/>
  <c r="K8369" i="1"/>
  <c r="H8369" i="1"/>
  <c r="K8368" i="1"/>
  <c r="H8368" i="1"/>
  <c r="K8367" i="1"/>
  <c r="H8367" i="1"/>
  <c r="K8366" i="1"/>
  <c r="H8366" i="1"/>
  <c r="K8365" i="1"/>
  <c r="H8365" i="1"/>
  <c r="K8364" i="1"/>
  <c r="H8364" i="1"/>
  <c r="K8363" i="1"/>
  <c r="H8363" i="1"/>
  <c r="K8362" i="1"/>
  <c r="H8362" i="1"/>
  <c r="K8361" i="1"/>
  <c r="H8361" i="1"/>
  <c r="K8360" i="1"/>
  <c r="H8360" i="1"/>
  <c r="K8359" i="1"/>
  <c r="H8359" i="1"/>
  <c r="K8358" i="1"/>
  <c r="H8358" i="1"/>
  <c r="K8357" i="1"/>
  <c r="H8357" i="1"/>
  <c r="K8356" i="1"/>
  <c r="H8356" i="1"/>
  <c r="K8355" i="1"/>
  <c r="H8355" i="1"/>
  <c r="K8354" i="1"/>
  <c r="H8354" i="1"/>
  <c r="K8353" i="1"/>
  <c r="H8353" i="1"/>
  <c r="K8352" i="1"/>
  <c r="H8352" i="1"/>
  <c r="K8351" i="1"/>
  <c r="H8351" i="1"/>
  <c r="K8350" i="1"/>
  <c r="H8350" i="1"/>
  <c r="K8349" i="1"/>
  <c r="H8349" i="1"/>
  <c r="K8348" i="1"/>
  <c r="H8348" i="1"/>
  <c r="K8347" i="1"/>
  <c r="H8347" i="1"/>
  <c r="K8346" i="1"/>
  <c r="H8346" i="1"/>
  <c r="K8345" i="1"/>
  <c r="H8345" i="1"/>
  <c r="K8344" i="1"/>
  <c r="H8344" i="1"/>
  <c r="K8343" i="1"/>
  <c r="H8343" i="1"/>
  <c r="K8342" i="1"/>
  <c r="H8342" i="1"/>
  <c r="K8341" i="1"/>
  <c r="H8341" i="1"/>
  <c r="K8340" i="1"/>
  <c r="H8340" i="1"/>
  <c r="K8339" i="1"/>
  <c r="H8339" i="1"/>
  <c r="K8338" i="1"/>
  <c r="H8338" i="1"/>
  <c r="K8337" i="1"/>
  <c r="H8337" i="1"/>
  <c r="K8336" i="1"/>
  <c r="H8336" i="1"/>
  <c r="K8335" i="1"/>
  <c r="H8335" i="1"/>
  <c r="K8334" i="1"/>
  <c r="H8334" i="1"/>
  <c r="K8333" i="1"/>
  <c r="H8333" i="1"/>
  <c r="K8332" i="1"/>
  <c r="H8332" i="1"/>
  <c r="K8331" i="1"/>
  <c r="H8331" i="1"/>
  <c r="K8330" i="1"/>
  <c r="H8330" i="1"/>
  <c r="K8329" i="1"/>
  <c r="H8329" i="1"/>
  <c r="K8328" i="1"/>
  <c r="H8328" i="1"/>
  <c r="K8327" i="1"/>
  <c r="H8327" i="1"/>
  <c r="K8326" i="1"/>
  <c r="H8326" i="1"/>
  <c r="K8325" i="1"/>
  <c r="H8325" i="1"/>
  <c r="K8324" i="1"/>
  <c r="H8324" i="1"/>
  <c r="K8323" i="1"/>
  <c r="H8323" i="1"/>
  <c r="K8322" i="1"/>
  <c r="H8322" i="1"/>
  <c r="K8321" i="1"/>
  <c r="H8321" i="1"/>
  <c r="K8320" i="1"/>
  <c r="H8320" i="1"/>
  <c r="K8319" i="1"/>
  <c r="H8319" i="1"/>
  <c r="K8318" i="1"/>
  <c r="H8318" i="1"/>
  <c r="K8317" i="1"/>
  <c r="H8317" i="1"/>
  <c r="K8316" i="1"/>
  <c r="H8316" i="1"/>
  <c r="K8315" i="1"/>
  <c r="H8315" i="1"/>
  <c r="K8314" i="1"/>
  <c r="H8314" i="1"/>
  <c r="K8313" i="1"/>
  <c r="H8313" i="1"/>
  <c r="K8312" i="1"/>
  <c r="H8312" i="1"/>
  <c r="K8311" i="1"/>
  <c r="H8311" i="1"/>
  <c r="K8310" i="1"/>
  <c r="H8310" i="1"/>
  <c r="K8309" i="1"/>
  <c r="H8309" i="1"/>
  <c r="K8308" i="1"/>
  <c r="H8308" i="1"/>
  <c r="K8307" i="1"/>
  <c r="H8307" i="1"/>
  <c r="K8306" i="1"/>
  <c r="H8306" i="1"/>
  <c r="K8305" i="1"/>
  <c r="H8305" i="1"/>
  <c r="K8304" i="1"/>
  <c r="H8304" i="1"/>
  <c r="K8303" i="1"/>
  <c r="H8303" i="1"/>
  <c r="K8302" i="1"/>
  <c r="H8302" i="1"/>
  <c r="K8301" i="1"/>
  <c r="H8301" i="1"/>
  <c r="K8300" i="1"/>
  <c r="H8300" i="1"/>
  <c r="K8299" i="1"/>
  <c r="H8299" i="1"/>
  <c r="K8298" i="1"/>
  <c r="H8298" i="1"/>
  <c r="K8297" i="1"/>
  <c r="H8297" i="1"/>
  <c r="K8296" i="1"/>
  <c r="H8296" i="1"/>
  <c r="K8295" i="1"/>
  <c r="H8295" i="1"/>
  <c r="K8294" i="1"/>
  <c r="H8294" i="1"/>
  <c r="K8293" i="1"/>
  <c r="H8293" i="1"/>
  <c r="K8292" i="1"/>
  <c r="H8292" i="1"/>
  <c r="K8291" i="1"/>
  <c r="H8291" i="1"/>
  <c r="K8290" i="1"/>
  <c r="H8290" i="1"/>
  <c r="K8289" i="1"/>
  <c r="H8289" i="1"/>
  <c r="K8288" i="1"/>
  <c r="H8288" i="1"/>
  <c r="K8287" i="1"/>
  <c r="H8287" i="1"/>
  <c r="K8286" i="1"/>
  <c r="H8286" i="1"/>
  <c r="K8285" i="1"/>
  <c r="H8285" i="1"/>
  <c r="K8284" i="1"/>
  <c r="H8284" i="1"/>
  <c r="K8283" i="1"/>
  <c r="H8283" i="1"/>
  <c r="K8282" i="1"/>
  <c r="H8282" i="1"/>
  <c r="K8281" i="1"/>
  <c r="H8281" i="1"/>
  <c r="K8280" i="1"/>
  <c r="H8280" i="1"/>
  <c r="K8279" i="1"/>
  <c r="H8279" i="1"/>
  <c r="K8278" i="1"/>
  <c r="H8278" i="1"/>
  <c r="K8277" i="1"/>
  <c r="H8277" i="1"/>
  <c r="K8276" i="1"/>
  <c r="H8276" i="1"/>
  <c r="K8275" i="1"/>
  <c r="H8275" i="1"/>
  <c r="K8274" i="1"/>
  <c r="H8274" i="1"/>
  <c r="K8273" i="1"/>
  <c r="H8273" i="1"/>
  <c r="K8272" i="1"/>
  <c r="H8272" i="1"/>
  <c r="K8271" i="1"/>
  <c r="H8271" i="1"/>
  <c r="K8270" i="1"/>
  <c r="H8270" i="1"/>
  <c r="K8269" i="1"/>
  <c r="H8269" i="1"/>
  <c r="K8268" i="1"/>
  <c r="H8268" i="1"/>
  <c r="K8267" i="1"/>
  <c r="H8267" i="1"/>
  <c r="K8266" i="1"/>
  <c r="H8266" i="1"/>
  <c r="K8265" i="1"/>
  <c r="H8265" i="1"/>
  <c r="K8264" i="1"/>
  <c r="H8264" i="1"/>
  <c r="K8263" i="1"/>
  <c r="H8263" i="1"/>
  <c r="K8262" i="1"/>
  <c r="H8262" i="1"/>
  <c r="K8261" i="1"/>
  <c r="H8261" i="1"/>
  <c r="K8260" i="1"/>
  <c r="H8260" i="1"/>
  <c r="K8259" i="1"/>
  <c r="H8259" i="1"/>
  <c r="K8258" i="1"/>
  <c r="H8258" i="1"/>
  <c r="K8257" i="1"/>
  <c r="H8257" i="1"/>
  <c r="K8256" i="1"/>
  <c r="H8256" i="1"/>
  <c r="K8255" i="1"/>
  <c r="H8255" i="1"/>
  <c r="K8254" i="1"/>
  <c r="H8254" i="1"/>
  <c r="K8253" i="1"/>
  <c r="H8253" i="1"/>
  <c r="K8252" i="1"/>
  <c r="H8252" i="1"/>
  <c r="K8251" i="1"/>
  <c r="H8251" i="1"/>
  <c r="K8250" i="1"/>
  <c r="H8250" i="1"/>
  <c r="K8249" i="1"/>
  <c r="H8249" i="1"/>
  <c r="K8248" i="1"/>
  <c r="H8248" i="1"/>
  <c r="K8247" i="1"/>
  <c r="H8247" i="1"/>
  <c r="K8246" i="1"/>
  <c r="H8246" i="1"/>
  <c r="K8245" i="1"/>
  <c r="H8245" i="1"/>
  <c r="K8244" i="1"/>
  <c r="H8244" i="1"/>
  <c r="K8243" i="1"/>
  <c r="H8243" i="1"/>
  <c r="K8242" i="1"/>
  <c r="H8242" i="1"/>
  <c r="K8241" i="1"/>
  <c r="H8241" i="1"/>
  <c r="K8240" i="1"/>
  <c r="H8240" i="1"/>
  <c r="K8239" i="1"/>
  <c r="H8239" i="1"/>
  <c r="K8238" i="1"/>
  <c r="H8238" i="1"/>
  <c r="K8237" i="1"/>
  <c r="H8237" i="1"/>
  <c r="K8236" i="1"/>
  <c r="H8236" i="1"/>
  <c r="K8235" i="1"/>
  <c r="H8235" i="1"/>
  <c r="K8234" i="1"/>
  <c r="H8234" i="1"/>
  <c r="K8233" i="1"/>
  <c r="H8233" i="1"/>
  <c r="K8232" i="1"/>
  <c r="H8232" i="1"/>
  <c r="K8231" i="1"/>
  <c r="H8231" i="1"/>
  <c r="K8230" i="1"/>
  <c r="H8230" i="1"/>
  <c r="K8229" i="1"/>
  <c r="H8229" i="1"/>
  <c r="K8228" i="1"/>
  <c r="H8228" i="1"/>
  <c r="K8227" i="1"/>
  <c r="H8227" i="1"/>
  <c r="K8226" i="1"/>
  <c r="H8226" i="1"/>
  <c r="K8225" i="1"/>
  <c r="H8225" i="1"/>
  <c r="K8224" i="1"/>
  <c r="H8224" i="1"/>
  <c r="K8223" i="1"/>
  <c r="H8223" i="1"/>
  <c r="K8222" i="1"/>
  <c r="H8222" i="1"/>
  <c r="K8221" i="1"/>
  <c r="H8221" i="1"/>
  <c r="K8220" i="1"/>
  <c r="H8220" i="1"/>
  <c r="K8219" i="1"/>
  <c r="H8219" i="1"/>
  <c r="K8218" i="1"/>
  <c r="H8218" i="1"/>
  <c r="K8217" i="1"/>
  <c r="H8217" i="1"/>
  <c r="K8216" i="1"/>
  <c r="H8216" i="1"/>
  <c r="K8215" i="1"/>
  <c r="H8215" i="1"/>
  <c r="K8214" i="1"/>
  <c r="H8214" i="1"/>
  <c r="K8213" i="1"/>
  <c r="H8213" i="1"/>
  <c r="K8212" i="1"/>
  <c r="H8212" i="1"/>
  <c r="K8211" i="1"/>
  <c r="H8211" i="1"/>
  <c r="K8210" i="1"/>
  <c r="H8210" i="1"/>
  <c r="K8209" i="1"/>
  <c r="H8209" i="1"/>
  <c r="K8208" i="1"/>
  <c r="H8208" i="1"/>
  <c r="K8207" i="1"/>
  <c r="H8207" i="1"/>
  <c r="K8206" i="1"/>
  <c r="H8206" i="1"/>
  <c r="K8205" i="1"/>
  <c r="H8205" i="1"/>
  <c r="K8204" i="1"/>
  <c r="H8204" i="1"/>
  <c r="K8203" i="1"/>
  <c r="H8203" i="1"/>
  <c r="K8202" i="1"/>
  <c r="H8202" i="1"/>
  <c r="K8201" i="1"/>
  <c r="H8201" i="1"/>
  <c r="K8200" i="1"/>
  <c r="H8200" i="1"/>
  <c r="K8199" i="1"/>
  <c r="H8199" i="1"/>
  <c r="K8198" i="1"/>
  <c r="H8198" i="1"/>
  <c r="K8197" i="1"/>
  <c r="H8197" i="1"/>
  <c r="K8196" i="1"/>
  <c r="H8196" i="1"/>
  <c r="K8195" i="1"/>
  <c r="H8195" i="1"/>
  <c r="K8194" i="1"/>
  <c r="H8194" i="1"/>
  <c r="K8193" i="1"/>
  <c r="H8193" i="1"/>
  <c r="K8192" i="1"/>
  <c r="H8192" i="1"/>
  <c r="K8191" i="1"/>
  <c r="H8191" i="1"/>
  <c r="K8190" i="1"/>
  <c r="H8190" i="1"/>
  <c r="K8189" i="1"/>
  <c r="H8189" i="1"/>
  <c r="K8188" i="1"/>
  <c r="H8188" i="1"/>
  <c r="K8187" i="1"/>
  <c r="H8187" i="1"/>
  <c r="K8186" i="1"/>
  <c r="H8186" i="1"/>
  <c r="K8185" i="1"/>
  <c r="H8185" i="1"/>
  <c r="K8184" i="1"/>
  <c r="H8184" i="1"/>
  <c r="K8183" i="1"/>
  <c r="H8183" i="1"/>
  <c r="K8182" i="1"/>
  <c r="H8182" i="1"/>
  <c r="K8181" i="1"/>
  <c r="H8181" i="1"/>
  <c r="K8180" i="1"/>
  <c r="H8180" i="1"/>
  <c r="K8179" i="1"/>
  <c r="H8179" i="1"/>
  <c r="K8178" i="1"/>
  <c r="H8178" i="1"/>
  <c r="K8177" i="1"/>
  <c r="H8177" i="1"/>
  <c r="K8176" i="1"/>
  <c r="H8176" i="1"/>
  <c r="K8175" i="1"/>
  <c r="H8175" i="1"/>
  <c r="K8174" i="1"/>
  <c r="H8174" i="1"/>
  <c r="K8173" i="1"/>
  <c r="H8173" i="1"/>
  <c r="K8172" i="1"/>
  <c r="H8172" i="1"/>
  <c r="K8171" i="1"/>
  <c r="H8171" i="1"/>
  <c r="K8170" i="1"/>
  <c r="H8170" i="1"/>
  <c r="K8169" i="1"/>
  <c r="H8169" i="1"/>
  <c r="K8168" i="1"/>
  <c r="H8168" i="1"/>
  <c r="K8167" i="1"/>
  <c r="H8167" i="1"/>
  <c r="K8166" i="1"/>
  <c r="H8166" i="1"/>
  <c r="K8165" i="1"/>
  <c r="H8165" i="1"/>
  <c r="K8164" i="1"/>
  <c r="H8164" i="1"/>
  <c r="K8163" i="1"/>
  <c r="H8163" i="1"/>
  <c r="K8162" i="1"/>
  <c r="H8162" i="1"/>
  <c r="K8161" i="1"/>
  <c r="H8161" i="1"/>
  <c r="K8160" i="1"/>
  <c r="H8160" i="1"/>
  <c r="K8159" i="1"/>
  <c r="H8159" i="1"/>
  <c r="K8158" i="1"/>
  <c r="H8158" i="1"/>
  <c r="K8157" i="1"/>
  <c r="H8157" i="1"/>
  <c r="K8156" i="1"/>
  <c r="H8156" i="1"/>
  <c r="K8155" i="1"/>
  <c r="H8155" i="1"/>
  <c r="K8154" i="1"/>
  <c r="H8154" i="1"/>
  <c r="K8153" i="1"/>
  <c r="H8153" i="1"/>
  <c r="K8152" i="1"/>
  <c r="H8152" i="1"/>
  <c r="K8151" i="1"/>
  <c r="H8151" i="1"/>
  <c r="K8150" i="1"/>
  <c r="H8150" i="1"/>
  <c r="K8149" i="1"/>
  <c r="H8149" i="1"/>
  <c r="K8148" i="1"/>
  <c r="H8148" i="1"/>
  <c r="K8147" i="1"/>
  <c r="H8147" i="1"/>
  <c r="K8146" i="1"/>
  <c r="H8146" i="1"/>
  <c r="K8145" i="1"/>
  <c r="H8145" i="1"/>
  <c r="K8144" i="1"/>
  <c r="H8144" i="1"/>
  <c r="K8143" i="1"/>
  <c r="H8143" i="1"/>
  <c r="K8142" i="1"/>
  <c r="H8142" i="1"/>
  <c r="K8141" i="1"/>
  <c r="H8141" i="1"/>
  <c r="K8140" i="1"/>
  <c r="H8140" i="1"/>
  <c r="K8139" i="1"/>
  <c r="H8139" i="1"/>
  <c r="K8138" i="1"/>
  <c r="H8138" i="1"/>
  <c r="K8137" i="1"/>
  <c r="H8137" i="1"/>
  <c r="K8136" i="1"/>
  <c r="H8136" i="1"/>
  <c r="K8135" i="1"/>
  <c r="H8135" i="1"/>
  <c r="K8134" i="1"/>
  <c r="H8134" i="1"/>
  <c r="K8133" i="1"/>
  <c r="H8133" i="1"/>
  <c r="K8132" i="1"/>
  <c r="H8132" i="1"/>
  <c r="K8131" i="1"/>
  <c r="H8131" i="1"/>
  <c r="K8130" i="1"/>
  <c r="H8130" i="1"/>
  <c r="K8129" i="1"/>
  <c r="H8129" i="1"/>
  <c r="K8128" i="1"/>
  <c r="H8128" i="1"/>
  <c r="K8127" i="1"/>
  <c r="H8127" i="1"/>
  <c r="K8126" i="1"/>
  <c r="H8126" i="1"/>
  <c r="K8125" i="1"/>
  <c r="H8125" i="1"/>
  <c r="K8124" i="1"/>
  <c r="H8124" i="1"/>
  <c r="K8123" i="1"/>
  <c r="H8123" i="1"/>
  <c r="K8122" i="1"/>
  <c r="H8122" i="1"/>
  <c r="K8121" i="1"/>
  <c r="H8121" i="1"/>
  <c r="K8120" i="1"/>
  <c r="H8120" i="1"/>
  <c r="K8119" i="1"/>
  <c r="H8119" i="1"/>
  <c r="K8118" i="1"/>
  <c r="H8118" i="1"/>
  <c r="K8117" i="1"/>
  <c r="H8117" i="1"/>
  <c r="K8116" i="1"/>
  <c r="H8116" i="1"/>
  <c r="K8115" i="1"/>
  <c r="H8115" i="1"/>
  <c r="K8114" i="1"/>
  <c r="H8114" i="1"/>
  <c r="K8113" i="1"/>
  <c r="H8113" i="1"/>
  <c r="K8112" i="1"/>
  <c r="H8112" i="1"/>
  <c r="K8111" i="1"/>
  <c r="H8111" i="1"/>
  <c r="K8110" i="1"/>
  <c r="H8110" i="1"/>
  <c r="K8109" i="1"/>
  <c r="H8109" i="1"/>
  <c r="K8108" i="1"/>
  <c r="H8108" i="1"/>
  <c r="K8107" i="1"/>
  <c r="H8107" i="1"/>
  <c r="K8106" i="1"/>
  <c r="H8106" i="1"/>
  <c r="K8105" i="1"/>
  <c r="H8105" i="1"/>
  <c r="K8104" i="1"/>
  <c r="H8104" i="1"/>
  <c r="K8103" i="1"/>
  <c r="H8103" i="1"/>
  <c r="K8102" i="1"/>
  <c r="H8102" i="1"/>
  <c r="K8101" i="1"/>
  <c r="H8101" i="1"/>
  <c r="K8100" i="1"/>
  <c r="H8100" i="1"/>
  <c r="K8099" i="1"/>
  <c r="H8099" i="1"/>
  <c r="K8098" i="1"/>
  <c r="H8098" i="1"/>
  <c r="K8097" i="1"/>
  <c r="H8097" i="1"/>
  <c r="K8096" i="1"/>
  <c r="H8096" i="1"/>
  <c r="K8095" i="1"/>
  <c r="H8095" i="1"/>
  <c r="K8094" i="1"/>
  <c r="H8094" i="1"/>
  <c r="K8093" i="1"/>
  <c r="H8093" i="1"/>
  <c r="K8092" i="1"/>
  <c r="H8092" i="1"/>
  <c r="K8091" i="1"/>
  <c r="H8091" i="1"/>
  <c r="K8090" i="1"/>
  <c r="H8090" i="1"/>
  <c r="K8089" i="1"/>
  <c r="H8089" i="1"/>
  <c r="K8088" i="1"/>
  <c r="H8088" i="1"/>
  <c r="K8087" i="1"/>
  <c r="H8087" i="1"/>
  <c r="K8086" i="1"/>
  <c r="H8086" i="1"/>
  <c r="K8085" i="1"/>
  <c r="H8085" i="1"/>
  <c r="K8084" i="1"/>
  <c r="H8084" i="1"/>
  <c r="K8083" i="1"/>
  <c r="H8083" i="1"/>
  <c r="K8082" i="1"/>
  <c r="H8082" i="1"/>
  <c r="K8081" i="1"/>
  <c r="H8081" i="1"/>
  <c r="K8080" i="1"/>
  <c r="H8080" i="1"/>
  <c r="K8079" i="1"/>
  <c r="H8079" i="1"/>
  <c r="K8078" i="1"/>
  <c r="H8078" i="1"/>
  <c r="K8077" i="1"/>
  <c r="H8077" i="1"/>
  <c r="K8076" i="1"/>
  <c r="H8076" i="1"/>
  <c r="K8075" i="1"/>
  <c r="H8075" i="1"/>
  <c r="K8074" i="1"/>
  <c r="H8074" i="1"/>
  <c r="K8073" i="1"/>
  <c r="H8073" i="1"/>
  <c r="K8072" i="1"/>
  <c r="H8072" i="1"/>
  <c r="K8071" i="1"/>
  <c r="H8071" i="1"/>
  <c r="K8070" i="1"/>
  <c r="H8070" i="1"/>
  <c r="K8069" i="1"/>
  <c r="H8069" i="1"/>
  <c r="K8068" i="1"/>
  <c r="H8068" i="1"/>
  <c r="K8067" i="1"/>
  <c r="H8067" i="1"/>
  <c r="K8066" i="1"/>
  <c r="H8066" i="1"/>
  <c r="K8065" i="1"/>
  <c r="H8065" i="1"/>
  <c r="K8064" i="1"/>
  <c r="H8064" i="1"/>
  <c r="K8063" i="1"/>
  <c r="H8063" i="1"/>
  <c r="K8062" i="1"/>
  <c r="H8062" i="1"/>
  <c r="K8061" i="1"/>
  <c r="H8061" i="1"/>
  <c r="K8060" i="1"/>
  <c r="H8060" i="1"/>
  <c r="K8059" i="1"/>
  <c r="H8059" i="1"/>
  <c r="K8058" i="1"/>
  <c r="H8058" i="1"/>
  <c r="K8057" i="1"/>
  <c r="H8057" i="1"/>
  <c r="K8056" i="1"/>
  <c r="H8056" i="1"/>
  <c r="K8055" i="1"/>
  <c r="H8055" i="1"/>
  <c r="K8054" i="1"/>
  <c r="H8054" i="1"/>
  <c r="K8053" i="1"/>
  <c r="H8053" i="1"/>
  <c r="K8052" i="1"/>
  <c r="H8052" i="1"/>
  <c r="K8051" i="1"/>
  <c r="H8051" i="1"/>
  <c r="K8050" i="1"/>
  <c r="H8050" i="1"/>
  <c r="K8049" i="1"/>
  <c r="H8049" i="1"/>
  <c r="K8048" i="1"/>
  <c r="H8048" i="1"/>
  <c r="K8047" i="1"/>
  <c r="H8047" i="1"/>
  <c r="K8046" i="1"/>
  <c r="H8046" i="1"/>
  <c r="K8045" i="1"/>
  <c r="H8045" i="1"/>
  <c r="K8044" i="1"/>
  <c r="H8044" i="1"/>
  <c r="K8043" i="1"/>
  <c r="H8043" i="1"/>
  <c r="K8042" i="1"/>
  <c r="H8042" i="1"/>
  <c r="K8041" i="1"/>
  <c r="H8041" i="1"/>
  <c r="K8040" i="1"/>
  <c r="H8040" i="1"/>
  <c r="K8039" i="1"/>
  <c r="H8039" i="1"/>
  <c r="K8038" i="1"/>
  <c r="H8038" i="1"/>
  <c r="K8037" i="1"/>
  <c r="H8037" i="1"/>
  <c r="K8036" i="1"/>
  <c r="H8036" i="1"/>
  <c r="K8035" i="1"/>
  <c r="H8035" i="1"/>
  <c r="K8034" i="1"/>
  <c r="H8034" i="1"/>
  <c r="K8033" i="1"/>
  <c r="H8033" i="1"/>
  <c r="K8032" i="1"/>
  <c r="H8032" i="1"/>
  <c r="K8031" i="1"/>
  <c r="H8031" i="1"/>
  <c r="K8030" i="1"/>
  <c r="H8030" i="1"/>
  <c r="K8029" i="1"/>
  <c r="H8029" i="1"/>
  <c r="K8028" i="1"/>
  <c r="H8028" i="1"/>
  <c r="K8027" i="1"/>
  <c r="H8027" i="1"/>
  <c r="K8026" i="1"/>
  <c r="H8026" i="1"/>
  <c r="K8025" i="1"/>
  <c r="H8025" i="1"/>
  <c r="K8024" i="1"/>
  <c r="H8024" i="1"/>
  <c r="K8023" i="1"/>
  <c r="H8023" i="1"/>
  <c r="K8022" i="1"/>
  <c r="H8022" i="1"/>
  <c r="K8021" i="1"/>
  <c r="H8021" i="1"/>
  <c r="K8020" i="1"/>
  <c r="H8020" i="1"/>
  <c r="K8019" i="1"/>
  <c r="H8019" i="1"/>
  <c r="K8018" i="1"/>
  <c r="H8018" i="1"/>
  <c r="K8017" i="1"/>
  <c r="H8017" i="1"/>
  <c r="K8016" i="1"/>
  <c r="H8016" i="1"/>
  <c r="K8015" i="1"/>
  <c r="H8015" i="1"/>
  <c r="K8014" i="1"/>
  <c r="H8014" i="1"/>
  <c r="K8013" i="1"/>
  <c r="H8013" i="1"/>
  <c r="K8012" i="1"/>
  <c r="H8012" i="1"/>
  <c r="K8011" i="1"/>
  <c r="H8011" i="1"/>
  <c r="K8010" i="1"/>
  <c r="H8010" i="1"/>
  <c r="K8009" i="1"/>
  <c r="H8009" i="1"/>
  <c r="K8008" i="1"/>
  <c r="H8008" i="1"/>
  <c r="K8007" i="1"/>
  <c r="H8007" i="1"/>
  <c r="K8006" i="1"/>
  <c r="H8006" i="1"/>
  <c r="K8005" i="1"/>
  <c r="H8005" i="1"/>
  <c r="K8004" i="1"/>
  <c r="H8004" i="1"/>
  <c r="K8003" i="1"/>
  <c r="H8003" i="1"/>
  <c r="K8002" i="1"/>
  <c r="H8002" i="1"/>
  <c r="K8001" i="1"/>
  <c r="H8001" i="1"/>
  <c r="K8000" i="1"/>
  <c r="H8000" i="1"/>
  <c r="K7999" i="1"/>
  <c r="H7999" i="1"/>
  <c r="K7998" i="1"/>
  <c r="H7998" i="1"/>
  <c r="K7997" i="1"/>
  <c r="H7997" i="1"/>
  <c r="K7996" i="1"/>
  <c r="H7996" i="1"/>
  <c r="K7995" i="1"/>
  <c r="H7995" i="1"/>
  <c r="K7994" i="1"/>
  <c r="H7994" i="1"/>
  <c r="K7993" i="1"/>
  <c r="H7993" i="1"/>
  <c r="K7992" i="1"/>
  <c r="H7992" i="1"/>
  <c r="K7991" i="1"/>
  <c r="H7991" i="1"/>
  <c r="K7990" i="1"/>
  <c r="H7990" i="1"/>
  <c r="K7989" i="1"/>
  <c r="H7989" i="1"/>
  <c r="K7988" i="1"/>
  <c r="H7988" i="1"/>
  <c r="K7987" i="1"/>
  <c r="H7987" i="1"/>
  <c r="K7986" i="1"/>
  <c r="H7986" i="1"/>
  <c r="K7985" i="1"/>
  <c r="H7985" i="1"/>
  <c r="K7984" i="1"/>
  <c r="H7984" i="1"/>
  <c r="K7983" i="1"/>
  <c r="H7983" i="1"/>
  <c r="K7982" i="1"/>
  <c r="H7982" i="1"/>
  <c r="K7981" i="1"/>
  <c r="H7981" i="1"/>
  <c r="K7980" i="1"/>
  <c r="H7980" i="1"/>
  <c r="K7979" i="1"/>
  <c r="H7979" i="1"/>
  <c r="K7978" i="1"/>
  <c r="H7978" i="1"/>
  <c r="K7977" i="1"/>
  <c r="H7977" i="1"/>
  <c r="K7976" i="1"/>
  <c r="H7976" i="1"/>
  <c r="K7975" i="1"/>
  <c r="H7975" i="1"/>
  <c r="K7974" i="1"/>
  <c r="H7974" i="1"/>
  <c r="K7973" i="1"/>
  <c r="H7973" i="1"/>
  <c r="K7972" i="1"/>
  <c r="H7972" i="1"/>
  <c r="K7971" i="1"/>
  <c r="H7971" i="1"/>
  <c r="K7970" i="1"/>
  <c r="H7970" i="1"/>
  <c r="K7969" i="1"/>
  <c r="H7969" i="1"/>
  <c r="K7968" i="1"/>
  <c r="H7968" i="1"/>
  <c r="K7967" i="1"/>
  <c r="H7967" i="1"/>
  <c r="K7966" i="1"/>
  <c r="H7966" i="1"/>
  <c r="K7965" i="1"/>
  <c r="H7965" i="1"/>
  <c r="K7964" i="1"/>
  <c r="H7964" i="1"/>
  <c r="K7963" i="1"/>
  <c r="H7963" i="1"/>
  <c r="K7962" i="1"/>
  <c r="H7962" i="1"/>
  <c r="K7961" i="1"/>
  <c r="H7961" i="1"/>
  <c r="K7960" i="1"/>
  <c r="H7960" i="1"/>
  <c r="K7959" i="1"/>
  <c r="H7959" i="1"/>
  <c r="K7958" i="1"/>
  <c r="H7958" i="1"/>
  <c r="K7957" i="1"/>
  <c r="H7957" i="1"/>
  <c r="K7956" i="1"/>
  <c r="H7956" i="1"/>
  <c r="K7955" i="1"/>
  <c r="H7955" i="1"/>
  <c r="K7954" i="1"/>
  <c r="H7954" i="1"/>
  <c r="K7953" i="1"/>
  <c r="H7953" i="1"/>
  <c r="K7952" i="1"/>
  <c r="H7952" i="1"/>
  <c r="K7951" i="1"/>
  <c r="H7951" i="1"/>
  <c r="K7950" i="1"/>
  <c r="H7950" i="1"/>
  <c r="K7949" i="1"/>
  <c r="H7949" i="1"/>
  <c r="K7948" i="1"/>
  <c r="H7948" i="1"/>
  <c r="K7947" i="1"/>
  <c r="H7947" i="1"/>
  <c r="K7946" i="1"/>
  <c r="H7946" i="1"/>
  <c r="K7945" i="1"/>
  <c r="H7945" i="1"/>
  <c r="K7944" i="1"/>
  <c r="H7944" i="1"/>
  <c r="K7943" i="1"/>
  <c r="H7943" i="1"/>
  <c r="K7942" i="1"/>
  <c r="H7942" i="1"/>
  <c r="K7941" i="1"/>
  <c r="H7941" i="1"/>
  <c r="K7940" i="1"/>
  <c r="H7940" i="1"/>
  <c r="K7939" i="1"/>
  <c r="H7939" i="1"/>
  <c r="K7938" i="1"/>
  <c r="H7938" i="1"/>
  <c r="K7937" i="1"/>
  <c r="H7937" i="1"/>
  <c r="K7936" i="1"/>
  <c r="H7936" i="1"/>
  <c r="K7935" i="1"/>
  <c r="H7935" i="1"/>
  <c r="K7934" i="1"/>
  <c r="H7934" i="1"/>
  <c r="K7933" i="1"/>
  <c r="H7933" i="1"/>
  <c r="K7932" i="1"/>
  <c r="H7932" i="1"/>
  <c r="K7931" i="1"/>
  <c r="H7931" i="1"/>
  <c r="K7930" i="1"/>
  <c r="H7930" i="1"/>
  <c r="K7929" i="1"/>
  <c r="H7929" i="1"/>
  <c r="K7928" i="1"/>
  <c r="H7928" i="1"/>
  <c r="K7927" i="1"/>
  <c r="H7927" i="1"/>
  <c r="K7926" i="1"/>
  <c r="H7926" i="1"/>
  <c r="K7925" i="1"/>
  <c r="H7925" i="1"/>
  <c r="K7924" i="1"/>
  <c r="H7924" i="1"/>
  <c r="K7923" i="1"/>
  <c r="H7923" i="1"/>
  <c r="K7922" i="1"/>
  <c r="H7922" i="1"/>
  <c r="K7921" i="1"/>
  <c r="H7921" i="1"/>
  <c r="K7920" i="1"/>
  <c r="H7920" i="1"/>
  <c r="K7919" i="1"/>
  <c r="H7919" i="1"/>
  <c r="K7918" i="1"/>
  <c r="H7918" i="1"/>
  <c r="K7917" i="1"/>
  <c r="H7917" i="1"/>
  <c r="K7916" i="1"/>
  <c r="H7916" i="1"/>
  <c r="K7915" i="1"/>
  <c r="H7915" i="1"/>
  <c r="K7914" i="1"/>
  <c r="H7914" i="1"/>
  <c r="K7913" i="1"/>
  <c r="H7913" i="1"/>
  <c r="K7912" i="1"/>
  <c r="H7912" i="1"/>
  <c r="K7911" i="1"/>
  <c r="H7911" i="1"/>
  <c r="K7910" i="1"/>
  <c r="H7910" i="1"/>
  <c r="K7909" i="1"/>
  <c r="H7909" i="1"/>
  <c r="K7908" i="1"/>
  <c r="H7908" i="1"/>
  <c r="K7907" i="1"/>
  <c r="H7907" i="1"/>
  <c r="K7906" i="1"/>
  <c r="H7906" i="1"/>
  <c r="K7905" i="1"/>
  <c r="H7905" i="1"/>
  <c r="K7904" i="1"/>
  <c r="H7904" i="1"/>
  <c r="K7903" i="1"/>
  <c r="H7903" i="1"/>
  <c r="K7902" i="1"/>
  <c r="H7902" i="1"/>
  <c r="K7901" i="1"/>
  <c r="H7901" i="1"/>
  <c r="K7900" i="1"/>
  <c r="H7900" i="1"/>
  <c r="K7899" i="1"/>
  <c r="H7899" i="1"/>
  <c r="K7898" i="1"/>
  <c r="H7898" i="1"/>
  <c r="K7897" i="1"/>
  <c r="H7897" i="1"/>
  <c r="K7896" i="1"/>
  <c r="H7896" i="1"/>
  <c r="K7895" i="1"/>
  <c r="H7895" i="1"/>
  <c r="K7894" i="1"/>
  <c r="H7894" i="1"/>
  <c r="K7893" i="1"/>
  <c r="H7893" i="1"/>
  <c r="K7892" i="1"/>
  <c r="H7892" i="1"/>
  <c r="K7891" i="1"/>
  <c r="H7891" i="1"/>
  <c r="K7890" i="1"/>
  <c r="H7890" i="1"/>
  <c r="K7889" i="1"/>
  <c r="H7889" i="1"/>
  <c r="K7888" i="1"/>
  <c r="H7888" i="1"/>
  <c r="K7887" i="1"/>
  <c r="H7887" i="1"/>
  <c r="K7886" i="1"/>
  <c r="H7886" i="1"/>
  <c r="K7885" i="1"/>
  <c r="H7885" i="1"/>
  <c r="K7884" i="1"/>
  <c r="H7884" i="1"/>
  <c r="K7883" i="1"/>
  <c r="H7883" i="1"/>
  <c r="K7882" i="1"/>
  <c r="H7882" i="1"/>
  <c r="K7881" i="1"/>
  <c r="H7881" i="1"/>
  <c r="K7880" i="1"/>
  <c r="H7880" i="1"/>
  <c r="K7879" i="1"/>
  <c r="H7879" i="1"/>
  <c r="K7878" i="1"/>
  <c r="H7878" i="1"/>
  <c r="K7877" i="1"/>
  <c r="H7877" i="1"/>
  <c r="K7876" i="1"/>
  <c r="H7876" i="1"/>
  <c r="K7875" i="1"/>
  <c r="H7875" i="1"/>
  <c r="K7874" i="1"/>
  <c r="H7874" i="1"/>
  <c r="K7873" i="1"/>
  <c r="H7873" i="1"/>
  <c r="K7872" i="1"/>
  <c r="H7872" i="1"/>
  <c r="K7871" i="1"/>
  <c r="H7871" i="1"/>
  <c r="K7870" i="1"/>
  <c r="H7870" i="1"/>
  <c r="K7869" i="1"/>
  <c r="H7869" i="1"/>
  <c r="K7868" i="1"/>
  <c r="H7868" i="1"/>
  <c r="K7867" i="1"/>
  <c r="H7867" i="1"/>
  <c r="K7866" i="1"/>
  <c r="H7866" i="1"/>
  <c r="K7865" i="1"/>
  <c r="H7865" i="1"/>
  <c r="K7864" i="1"/>
  <c r="H7864" i="1"/>
  <c r="K7863" i="1"/>
  <c r="H7863" i="1"/>
  <c r="K7862" i="1"/>
  <c r="H7862" i="1"/>
  <c r="K7861" i="1"/>
  <c r="H7861" i="1"/>
  <c r="K7860" i="1"/>
  <c r="H7860" i="1"/>
  <c r="K7859" i="1"/>
  <c r="H7859" i="1"/>
  <c r="K7858" i="1"/>
  <c r="H7858" i="1"/>
  <c r="K7857" i="1"/>
  <c r="H7857" i="1"/>
  <c r="K7856" i="1"/>
  <c r="H7856" i="1"/>
  <c r="K7855" i="1"/>
  <c r="H7855" i="1"/>
  <c r="K7854" i="1"/>
  <c r="H7854" i="1"/>
  <c r="K7853" i="1"/>
  <c r="H7853" i="1"/>
  <c r="K7852" i="1"/>
  <c r="H7852" i="1"/>
  <c r="K7851" i="1"/>
  <c r="H7851" i="1"/>
  <c r="K7850" i="1"/>
  <c r="H7850" i="1"/>
  <c r="K7849" i="1"/>
  <c r="H7849" i="1"/>
  <c r="K7848" i="1"/>
  <c r="H7848" i="1"/>
  <c r="K7847" i="1"/>
  <c r="H7847" i="1"/>
  <c r="K7846" i="1"/>
  <c r="H7846" i="1"/>
  <c r="K7845" i="1"/>
  <c r="H7845" i="1"/>
  <c r="K7844" i="1"/>
  <c r="H7844" i="1"/>
  <c r="K7843" i="1"/>
  <c r="H7843" i="1"/>
  <c r="K7842" i="1"/>
  <c r="H7842" i="1"/>
  <c r="K7841" i="1"/>
  <c r="H7841" i="1"/>
  <c r="K7840" i="1"/>
  <c r="H7840" i="1"/>
  <c r="K7839" i="1"/>
  <c r="H7839" i="1"/>
  <c r="K7838" i="1"/>
  <c r="H7838" i="1"/>
  <c r="K7837" i="1"/>
  <c r="H7837" i="1"/>
  <c r="K7836" i="1"/>
  <c r="H7836" i="1"/>
  <c r="K7835" i="1"/>
  <c r="H7835" i="1"/>
  <c r="K7834" i="1"/>
  <c r="H7834" i="1"/>
  <c r="K7833" i="1"/>
  <c r="H7833" i="1"/>
  <c r="K7832" i="1"/>
  <c r="H7832" i="1"/>
  <c r="K7831" i="1"/>
  <c r="H7831" i="1"/>
  <c r="K7830" i="1"/>
  <c r="H7830" i="1"/>
  <c r="K7829" i="1"/>
  <c r="H7829" i="1"/>
  <c r="K7828" i="1"/>
  <c r="H7828" i="1"/>
  <c r="K7827" i="1"/>
  <c r="H7827" i="1"/>
  <c r="K7826" i="1"/>
  <c r="H7826" i="1"/>
  <c r="K7825" i="1"/>
  <c r="H7825" i="1"/>
  <c r="K7824" i="1"/>
  <c r="H7824" i="1"/>
  <c r="K7823" i="1"/>
  <c r="H7823" i="1"/>
  <c r="K7822" i="1"/>
  <c r="H7822" i="1"/>
  <c r="K7821" i="1"/>
  <c r="H7821" i="1"/>
  <c r="K7820" i="1"/>
  <c r="H7820" i="1"/>
  <c r="K7819" i="1"/>
  <c r="H7819" i="1"/>
  <c r="K7818" i="1"/>
  <c r="H7818" i="1"/>
  <c r="K7817" i="1"/>
  <c r="H7817" i="1"/>
  <c r="K7816" i="1"/>
  <c r="H7816" i="1"/>
  <c r="K7815" i="1"/>
  <c r="H7815" i="1"/>
  <c r="K7814" i="1"/>
  <c r="H7814" i="1"/>
  <c r="K7813" i="1"/>
  <c r="H7813" i="1"/>
  <c r="K7812" i="1"/>
  <c r="H7812" i="1"/>
  <c r="K7811" i="1"/>
  <c r="H7811" i="1"/>
  <c r="K7810" i="1"/>
  <c r="H7810" i="1"/>
  <c r="K7809" i="1"/>
  <c r="H7809" i="1"/>
  <c r="K7808" i="1"/>
  <c r="H7808" i="1"/>
  <c r="K7807" i="1"/>
  <c r="H7807" i="1"/>
  <c r="K7806" i="1"/>
  <c r="H7806" i="1"/>
  <c r="K7805" i="1"/>
  <c r="H7805" i="1"/>
  <c r="K7804" i="1"/>
  <c r="H7804" i="1"/>
  <c r="K7803" i="1"/>
  <c r="H7803" i="1"/>
  <c r="K7802" i="1"/>
  <c r="H7802" i="1"/>
  <c r="K7801" i="1"/>
  <c r="H7801" i="1"/>
  <c r="K7800" i="1"/>
  <c r="H7800" i="1"/>
  <c r="K7799" i="1"/>
  <c r="H7799" i="1"/>
  <c r="K7798" i="1"/>
  <c r="H7798" i="1"/>
  <c r="K7797" i="1"/>
  <c r="H7797" i="1"/>
  <c r="K7796" i="1"/>
  <c r="H7796" i="1"/>
  <c r="K7795" i="1"/>
  <c r="H7795" i="1"/>
  <c r="K7794" i="1"/>
  <c r="H7794" i="1"/>
  <c r="K7793" i="1"/>
  <c r="H7793" i="1"/>
  <c r="K7792" i="1"/>
  <c r="H7792" i="1"/>
  <c r="K7791" i="1"/>
  <c r="H7791" i="1"/>
  <c r="K7790" i="1"/>
  <c r="H7790" i="1"/>
  <c r="K7789" i="1"/>
  <c r="H7789" i="1"/>
  <c r="K7788" i="1"/>
  <c r="H7788" i="1"/>
  <c r="K7787" i="1"/>
  <c r="H7787" i="1"/>
  <c r="K7786" i="1"/>
  <c r="H7786" i="1"/>
  <c r="K7785" i="1"/>
  <c r="H7785" i="1"/>
  <c r="K7784" i="1"/>
  <c r="H7784" i="1"/>
  <c r="K7783" i="1"/>
  <c r="H7783" i="1"/>
  <c r="K7782" i="1"/>
  <c r="H7782" i="1"/>
  <c r="K7781" i="1"/>
  <c r="H7781" i="1"/>
  <c r="K7780" i="1"/>
  <c r="H7780" i="1"/>
  <c r="K7779" i="1"/>
  <c r="H7779" i="1"/>
  <c r="K7778" i="1"/>
  <c r="H7778" i="1"/>
  <c r="K7777" i="1"/>
  <c r="H7777" i="1"/>
  <c r="K7776" i="1"/>
  <c r="H7776" i="1"/>
  <c r="K7775" i="1"/>
  <c r="H7775" i="1"/>
  <c r="K7774" i="1"/>
  <c r="H7774" i="1"/>
  <c r="K7773" i="1"/>
  <c r="H7773" i="1"/>
  <c r="K7772" i="1"/>
  <c r="H7772" i="1"/>
  <c r="K7771" i="1"/>
  <c r="H7771" i="1"/>
  <c r="K7770" i="1"/>
  <c r="H7770" i="1"/>
  <c r="K7769" i="1"/>
  <c r="H7769" i="1"/>
  <c r="K7768" i="1"/>
  <c r="H7768" i="1"/>
  <c r="K7767" i="1"/>
  <c r="H7767" i="1"/>
  <c r="K7766" i="1"/>
  <c r="H7766" i="1"/>
  <c r="K7765" i="1"/>
  <c r="H7765" i="1"/>
  <c r="K7764" i="1"/>
  <c r="H7764" i="1"/>
  <c r="K7763" i="1"/>
  <c r="H7763" i="1"/>
  <c r="K7762" i="1"/>
  <c r="H7762" i="1"/>
  <c r="K7761" i="1"/>
  <c r="H7761" i="1"/>
  <c r="K7760" i="1"/>
  <c r="H7760" i="1"/>
  <c r="K7759" i="1"/>
  <c r="H7759" i="1"/>
  <c r="K7758" i="1"/>
  <c r="H7758" i="1"/>
  <c r="K7757" i="1"/>
  <c r="H7757" i="1"/>
  <c r="K7756" i="1"/>
  <c r="H7756" i="1"/>
  <c r="K7755" i="1"/>
  <c r="H7755" i="1"/>
  <c r="K7754" i="1"/>
  <c r="H7754" i="1"/>
  <c r="K7753" i="1"/>
  <c r="H7753" i="1"/>
  <c r="K7752" i="1"/>
  <c r="H7752" i="1"/>
  <c r="K7751" i="1"/>
  <c r="H7751" i="1"/>
  <c r="K7750" i="1"/>
  <c r="H7750" i="1"/>
  <c r="K7749" i="1"/>
  <c r="H7749" i="1"/>
  <c r="K7748" i="1"/>
  <c r="H7748" i="1"/>
  <c r="K7747" i="1"/>
  <c r="H7747" i="1"/>
  <c r="K7746" i="1"/>
  <c r="H7746" i="1"/>
  <c r="K7745" i="1"/>
  <c r="H7745" i="1"/>
  <c r="K7744" i="1"/>
  <c r="H7744" i="1"/>
  <c r="K7743" i="1"/>
  <c r="H7743" i="1"/>
  <c r="K7742" i="1"/>
  <c r="H7742" i="1"/>
  <c r="K7741" i="1"/>
  <c r="H7741" i="1"/>
  <c r="K7740" i="1"/>
  <c r="H7740" i="1"/>
  <c r="K7739" i="1"/>
  <c r="H7739" i="1"/>
  <c r="K7738" i="1"/>
  <c r="H7738" i="1"/>
  <c r="K7737" i="1"/>
  <c r="H7737" i="1"/>
  <c r="K7736" i="1"/>
  <c r="H7736" i="1"/>
  <c r="K7735" i="1"/>
  <c r="H7735" i="1"/>
  <c r="K7734" i="1"/>
  <c r="H7734" i="1"/>
  <c r="K7733" i="1"/>
  <c r="H7733" i="1"/>
  <c r="K7732" i="1"/>
  <c r="H7732" i="1"/>
  <c r="K7731" i="1"/>
  <c r="H7731" i="1"/>
  <c r="K7730" i="1"/>
  <c r="H7730" i="1"/>
  <c r="K7729" i="1"/>
  <c r="H7729" i="1"/>
  <c r="K7728" i="1"/>
  <c r="H7728" i="1"/>
  <c r="K7727" i="1"/>
  <c r="H7727" i="1"/>
  <c r="K7726" i="1"/>
  <c r="H7726" i="1"/>
  <c r="K7725" i="1"/>
  <c r="H7725" i="1"/>
  <c r="K7724" i="1"/>
  <c r="H7724" i="1"/>
  <c r="K7723" i="1"/>
  <c r="H7723" i="1"/>
  <c r="K7722" i="1"/>
  <c r="H7722" i="1"/>
  <c r="K7721" i="1"/>
  <c r="H7721" i="1"/>
  <c r="K7720" i="1"/>
  <c r="H7720" i="1"/>
  <c r="K7719" i="1"/>
  <c r="H7719" i="1"/>
  <c r="K7718" i="1"/>
  <c r="H7718" i="1"/>
  <c r="K7717" i="1"/>
  <c r="H7717" i="1"/>
  <c r="K7716" i="1"/>
  <c r="H7716" i="1"/>
  <c r="K7715" i="1"/>
  <c r="H7715" i="1"/>
  <c r="K7714" i="1"/>
  <c r="H7714" i="1"/>
  <c r="K7713" i="1"/>
  <c r="H7713" i="1"/>
  <c r="K7712" i="1"/>
  <c r="H7712" i="1"/>
  <c r="K7711" i="1"/>
  <c r="H7711" i="1"/>
  <c r="K7710" i="1"/>
  <c r="H7710" i="1"/>
  <c r="K7709" i="1"/>
  <c r="H7709" i="1"/>
  <c r="K7708" i="1"/>
  <c r="H7708" i="1"/>
  <c r="K7707" i="1"/>
  <c r="H7707" i="1"/>
  <c r="K7706" i="1"/>
  <c r="H7706" i="1"/>
  <c r="K7705" i="1"/>
  <c r="H7705" i="1"/>
  <c r="K7704" i="1"/>
  <c r="H7704" i="1"/>
  <c r="K7703" i="1"/>
  <c r="H7703" i="1"/>
  <c r="K7702" i="1"/>
  <c r="H7702" i="1"/>
  <c r="K7701" i="1"/>
  <c r="H7701" i="1"/>
  <c r="K7700" i="1"/>
  <c r="H7700" i="1"/>
  <c r="K7699" i="1"/>
  <c r="H7699" i="1"/>
  <c r="K7698" i="1"/>
  <c r="H7698" i="1"/>
  <c r="K7697" i="1"/>
  <c r="H7697" i="1"/>
  <c r="K7696" i="1"/>
  <c r="H7696" i="1"/>
  <c r="K7695" i="1"/>
  <c r="H7695" i="1"/>
  <c r="K7694" i="1"/>
  <c r="H7694" i="1"/>
  <c r="K7693" i="1"/>
  <c r="H7693" i="1"/>
  <c r="K7692" i="1"/>
  <c r="H7692" i="1"/>
  <c r="K7691" i="1"/>
  <c r="H7691" i="1"/>
  <c r="K7690" i="1"/>
  <c r="H7690" i="1"/>
  <c r="K7689" i="1"/>
  <c r="H7689" i="1"/>
  <c r="K7688" i="1"/>
  <c r="H7688" i="1"/>
  <c r="K7687" i="1"/>
  <c r="H7687" i="1"/>
  <c r="K7686" i="1"/>
  <c r="H7686" i="1"/>
  <c r="K7685" i="1"/>
  <c r="H7685" i="1"/>
  <c r="K7684" i="1"/>
  <c r="H7684" i="1"/>
  <c r="K7683" i="1"/>
  <c r="H7683" i="1"/>
  <c r="K7682" i="1"/>
  <c r="H7682" i="1"/>
  <c r="K7681" i="1"/>
  <c r="H7681" i="1"/>
  <c r="K7680" i="1"/>
  <c r="H7680" i="1"/>
  <c r="K7679" i="1"/>
  <c r="H7679" i="1"/>
  <c r="K7678" i="1"/>
  <c r="H7678" i="1"/>
  <c r="K7677" i="1"/>
  <c r="H7677" i="1"/>
  <c r="K7676" i="1"/>
  <c r="H7676" i="1"/>
  <c r="K7675" i="1"/>
  <c r="H7675" i="1"/>
  <c r="K7674" i="1"/>
  <c r="H7674" i="1"/>
  <c r="K7673" i="1"/>
  <c r="H7673" i="1"/>
  <c r="K7672" i="1"/>
  <c r="H7672" i="1"/>
  <c r="K7671" i="1"/>
  <c r="H7671" i="1"/>
  <c r="K7670" i="1"/>
  <c r="H7670" i="1"/>
  <c r="K7669" i="1"/>
  <c r="H7669" i="1"/>
  <c r="K7668" i="1"/>
  <c r="H7668" i="1"/>
  <c r="K7667" i="1"/>
  <c r="H7667" i="1"/>
  <c r="K7666" i="1"/>
  <c r="H7666" i="1"/>
  <c r="K7665" i="1"/>
  <c r="H7665" i="1"/>
  <c r="K7664" i="1"/>
  <c r="H7664" i="1"/>
  <c r="K7663" i="1"/>
  <c r="H7663" i="1"/>
  <c r="K7662" i="1"/>
  <c r="H7662" i="1"/>
  <c r="K7661" i="1"/>
  <c r="H7661" i="1"/>
  <c r="K7660" i="1"/>
  <c r="H7660" i="1"/>
  <c r="K7659" i="1"/>
  <c r="H7659" i="1"/>
  <c r="K7658" i="1"/>
  <c r="H7658" i="1"/>
  <c r="K7657" i="1"/>
  <c r="H7657" i="1"/>
  <c r="K7656" i="1"/>
  <c r="H7656" i="1"/>
  <c r="K7655" i="1"/>
  <c r="H7655" i="1"/>
  <c r="K7654" i="1"/>
  <c r="H7654" i="1"/>
  <c r="K7653" i="1"/>
  <c r="H7653" i="1"/>
  <c r="K7652" i="1"/>
  <c r="H7652" i="1"/>
  <c r="K7651" i="1"/>
  <c r="H7651" i="1"/>
  <c r="K7650" i="1"/>
  <c r="H7650" i="1"/>
  <c r="K7649" i="1"/>
  <c r="H7649" i="1"/>
  <c r="K7648" i="1"/>
  <c r="H7648" i="1"/>
  <c r="K7647" i="1"/>
  <c r="H7647" i="1"/>
  <c r="K7646" i="1"/>
  <c r="H7646" i="1"/>
  <c r="K7645" i="1"/>
  <c r="H7645" i="1"/>
  <c r="K7644" i="1"/>
  <c r="H7644" i="1"/>
  <c r="K7643" i="1"/>
  <c r="H7643" i="1"/>
  <c r="K7642" i="1"/>
  <c r="H7642" i="1"/>
  <c r="K7641" i="1"/>
  <c r="H7641" i="1"/>
  <c r="K7640" i="1"/>
  <c r="H7640" i="1"/>
  <c r="K7639" i="1"/>
  <c r="H7639" i="1"/>
  <c r="K7638" i="1"/>
  <c r="H7638" i="1"/>
  <c r="K7637" i="1"/>
  <c r="H7637" i="1"/>
  <c r="K7636" i="1"/>
  <c r="H7636" i="1"/>
  <c r="K7635" i="1"/>
  <c r="H7635" i="1"/>
  <c r="K7634" i="1"/>
  <c r="H7634" i="1"/>
  <c r="K7633" i="1"/>
  <c r="H7633" i="1"/>
  <c r="K7632" i="1"/>
  <c r="H7632" i="1"/>
  <c r="K7631" i="1"/>
  <c r="H7631" i="1"/>
  <c r="K7630" i="1"/>
  <c r="H7630" i="1"/>
  <c r="K7629" i="1"/>
  <c r="H7629" i="1"/>
  <c r="K7628" i="1"/>
  <c r="H7628" i="1"/>
  <c r="K7627" i="1"/>
  <c r="H7627" i="1"/>
  <c r="K7626" i="1"/>
  <c r="H7626" i="1"/>
  <c r="K7625" i="1"/>
  <c r="H7625" i="1"/>
  <c r="K7624" i="1"/>
  <c r="H7624" i="1"/>
  <c r="K7623" i="1"/>
  <c r="H7623" i="1"/>
  <c r="K7622" i="1"/>
  <c r="H7622" i="1"/>
  <c r="K7621" i="1"/>
  <c r="H7621" i="1"/>
  <c r="K7620" i="1"/>
  <c r="H7620" i="1"/>
  <c r="K7619" i="1"/>
  <c r="H7619" i="1"/>
  <c r="K7618" i="1"/>
  <c r="H7618" i="1"/>
  <c r="K7617" i="1"/>
  <c r="H7617" i="1"/>
  <c r="K7616" i="1"/>
  <c r="H7616" i="1"/>
  <c r="K7615" i="1"/>
  <c r="H7615" i="1"/>
  <c r="K7614" i="1"/>
  <c r="H7614" i="1"/>
  <c r="K7613" i="1"/>
  <c r="H7613" i="1"/>
  <c r="K7612" i="1"/>
  <c r="H7612" i="1"/>
  <c r="K7611" i="1"/>
  <c r="H7611" i="1"/>
  <c r="K7610" i="1"/>
  <c r="H7610" i="1"/>
  <c r="K7609" i="1"/>
  <c r="H7609" i="1"/>
  <c r="K7608" i="1"/>
  <c r="H7608" i="1"/>
  <c r="K7607" i="1"/>
  <c r="H7607" i="1"/>
  <c r="K7606" i="1"/>
  <c r="H7606" i="1"/>
  <c r="K7605" i="1"/>
  <c r="H7605" i="1"/>
  <c r="K7604" i="1"/>
  <c r="H7604" i="1"/>
  <c r="K7603" i="1"/>
  <c r="H7603" i="1"/>
  <c r="K7602" i="1"/>
  <c r="H7602" i="1"/>
  <c r="K7601" i="1"/>
  <c r="H7601" i="1"/>
  <c r="K7600" i="1"/>
  <c r="H7600" i="1"/>
  <c r="K7599" i="1"/>
  <c r="H7599" i="1"/>
  <c r="K7598" i="1"/>
  <c r="H7598" i="1"/>
  <c r="K7597" i="1"/>
  <c r="H7597" i="1"/>
  <c r="K7596" i="1"/>
  <c r="H7596" i="1"/>
  <c r="K7595" i="1"/>
  <c r="H7595" i="1"/>
  <c r="K7594" i="1"/>
  <c r="H7594" i="1"/>
  <c r="K7593" i="1"/>
  <c r="H7593" i="1"/>
  <c r="K7592" i="1"/>
  <c r="H7592" i="1"/>
  <c r="K7591" i="1"/>
  <c r="H7591" i="1"/>
  <c r="K7590" i="1"/>
  <c r="H7590" i="1"/>
  <c r="K7589" i="1"/>
  <c r="H7589" i="1"/>
  <c r="K7588" i="1"/>
  <c r="H7588" i="1"/>
  <c r="K7587" i="1"/>
  <c r="H7587" i="1"/>
  <c r="K7586" i="1"/>
  <c r="H7586" i="1"/>
  <c r="K7585" i="1"/>
  <c r="H7585" i="1"/>
  <c r="K7584" i="1"/>
  <c r="H7584" i="1"/>
  <c r="K7583" i="1"/>
  <c r="H7583" i="1"/>
  <c r="K7582" i="1"/>
  <c r="H7582" i="1"/>
  <c r="K7581" i="1"/>
  <c r="H7581" i="1"/>
  <c r="K7580" i="1"/>
  <c r="H7580" i="1"/>
  <c r="K7579" i="1"/>
  <c r="H7579" i="1"/>
  <c r="K7578" i="1"/>
  <c r="H7578" i="1"/>
  <c r="K7577" i="1"/>
  <c r="H7577" i="1"/>
  <c r="K7576" i="1"/>
  <c r="H7576" i="1"/>
  <c r="K7575" i="1"/>
  <c r="H7575" i="1"/>
  <c r="K7574" i="1"/>
  <c r="H7574" i="1"/>
  <c r="K7573" i="1"/>
  <c r="H7573" i="1"/>
  <c r="K7572" i="1"/>
  <c r="H7572" i="1"/>
  <c r="K7571" i="1"/>
  <c r="H7571" i="1"/>
  <c r="K7570" i="1"/>
  <c r="H7570" i="1"/>
  <c r="K7569" i="1"/>
  <c r="H7569" i="1"/>
  <c r="K7568" i="1"/>
  <c r="H7568" i="1"/>
  <c r="K7567" i="1"/>
  <c r="H7567" i="1"/>
  <c r="K7566" i="1"/>
  <c r="H7566" i="1"/>
  <c r="K7565" i="1"/>
  <c r="H7565" i="1"/>
  <c r="K7564" i="1"/>
  <c r="H7564" i="1"/>
  <c r="K7563" i="1"/>
  <c r="H7563" i="1"/>
  <c r="K7562" i="1"/>
  <c r="H7562" i="1"/>
  <c r="K7561" i="1"/>
  <c r="H7561" i="1"/>
  <c r="K7560" i="1"/>
  <c r="H7560" i="1"/>
  <c r="K7559" i="1"/>
  <c r="H7559" i="1"/>
  <c r="K7558" i="1"/>
  <c r="H7558" i="1"/>
  <c r="K7557" i="1"/>
  <c r="H7557" i="1"/>
  <c r="K7556" i="1"/>
  <c r="H7556" i="1"/>
  <c r="K7555" i="1"/>
  <c r="H7555" i="1"/>
  <c r="K7554" i="1"/>
  <c r="H7554" i="1"/>
  <c r="K7553" i="1"/>
  <c r="H7553" i="1"/>
  <c r="K7552" i="1"/>
  <c r="H7552" i="1"/>
  <c r="K7551" i="1"/>
  <c r="H7551" i="1"/>
  <c r="K7550" i="1"/>
  <c r="H7550" i="1"/>
  <c r="K7549" i="1"/>
  <c r="H7549" i="1"/>
  <c r="K7548" i="1"/>
  <c r="H7548" i="1"/>
  <c r="K7547" i="1"/>
  <c r="H7547" i="1"/>
  <c r="K7546" i="1"/>
  <c r="H7546" i="1"/>
  <c r="K7545" i="1"/>
  <c r="H7545" i="1"/>
  <c r="K7544" i="1"/>
  <c r="H7544" i="1"/>
  <c r="K7543" i="1"/>
  <c r="H7543" i="1"/>
  <c r="K7542" i="1"/>
  <c r="H7542" i="1"/>
  <c r="K7541" i="1"/>
  <c r="H7541" i="1"/>
  <c r="K7540" i="1"/>
  <c r="H7540" i="1"/>
  <c r="K7539" i="1"/>
  <c r="H7539" i="1"/>
  <c r="K7538" i="1"/>
  <c r="H7538" i="1"/>
  <c r="K7537" i="1"/>
  <c r="H7537" i="1"/>
  <c r="K7536" i="1"/>
  <c r="H7536" i="1"/>
  <c r="K7535" i="1"/>
  <c r="H7535" i="1"/>
  <c r="K7534" i="1"/>
  <c r="H7534" i="1"/>
  <c r="K7533" i="1"/>
  <c r="H7533" i="1"/>
  <c r="K7532" i="1"/>
  <c r="H7532" i="1"/>
  <c r="K7531" i="1"/>
  <c r="H7531" i="1"/>
  <c r="K7530" i="1"/>
  <c r="H7530" i="1"/>
  <c r="K7529" i="1"/>
  <c r="H7529" i="1"/>
  <c r="K7528" i="1"/>
  <c r="H7528" i="1"/>
  <c r="K7527" i="1"/>
  <c r="H7527" i="1"/>
  <c r="K7526" i="1"/>
  <c r="H7526" i="1"/>
  <c r="K7525" i="1"/>
  <c r="H7525" i="1"/>
  <c r="K7524" i="1"/>
  <c r="H7524" i="1"/>
  <c r="K7523" i="1"/>
  <c r="H7523" i="1"/>
  <c r="K7522" i="1"/>
  <c r="H7522" i="1"/>
  <c r="K7521" i="1"/>
  <c r="H7521" i="1"/>
  <c r="K7520" i="1"/>
  <c r="H7520" i="1"/>
  <c r="K7519" i="1"/>
  <c r="H7519" i="1"/>
  <c r="K7518" i="1"/>
  <c r="H7518" i="1"/>
  <c r="K7517" i="1"/>
  <c r="H7517" i="1"/>
  <c r="K7516" i="1"/>
  <c r="H7516" i="1"/>
  <c r="K7515" i="1"/>
  <c r="H7515" i="1"/>
  <c r="K7514" i="1"/>
  <c r="H7514" i="1"/>
  <c r="K7513" i="1"/>
  <c r="H7513" i="1"/>
  <c r="K7512" i="1"/>
  <c r="H7512" i="1"/>
  <c r="K7511" i="1"/>
  <c r="H7511" i="1"/>
  <c r="K7510" i="1"/>
  <c r="H7510" i="1"/>
  <c r="K7509" i="1"/>
  <c r="H7509" i="1"/>
  <c r="K7508" i="1"/>
  <c r="H7508" i="1"/>
  <c r="K7507" i="1"/>
  <c r="H7507" i="1"/>
  <c r="K7506" i="1"/>
  <c r="H7506" i="1"/>
  <c r="K7505" i="1"/>
  <c r="H7505" i="1"/>
  <c r="K7504" i="1"/>
  <c r="H7504" i="1"/>
  <c r="K7503" i="1"/>
  <c r="H7503" i="1"/>
  <c r="K7502" i="1"/>
  <c r="H7502" i="1"/>
  <c r="K7501" i="1"/>
  <c r="H7501" i="1"/>
  <c r="K7500" i="1"/>
  <c r="H7500" i="1"/>
  <c r="K7499" i="1"/>
  <c r="H7499" i="1"/>
  <c r="K7498" i="1"/>
  <c r="H7498" i="1"/>
  <c r="K7497" i="1"/>
  <c r="H7497" i="1"/>
  <c r="K7496" i="1"/>
  <c r="H7496" i="1"/>
  <c r="K7495" i="1"/>
  <c r="H7495" i="1"/>
  <c r="K7494" i="1"/>
  <c r="H7494" i="1"/>
  <c r="K7493" i="1"/>
  <c r="H7493" i="1"/>
  <c r="K7492" i="1"/>
  <c r="H7492" i="1"/>
  <c r="K7491" i="1"/>
  <c r="H7491" i="1"/>
  <c r="K7490" i="1"/>
  <c r="H7490" i="1"/>
  <c r="K7489" i="1"/>
  <c r="H7489" i="1"/>
  <c r="K7488" i="1"/>
  <c r="H7488" i="1"/>
  <c r="K7487" i="1"/>
  <c r="H7487" i="1"/>
  <c r="K7486" i="1"/>
  <c r="H7486" i="1"/>
  <c r="K7485" i="1"/>
  <c r="H7485" i="1"/>
  <c r="K7484" i="1"/>
  <c r="H7484" i="1"/>
  <c r="K7483" i="1"/>
  <c r="H7483" i="1"/>
  <c r="K7482" i="1"/>
  <c r="H7482" i="1"/>
  <c r="K7481" i="1"/>
  <c r="H7481" i="1"/>
  <c r="K7480" i="1"/>
  <c r="H7480" i="1"/>
  <c r="K7479" i="1"/>
  <c r="H7479" i="1"/>
  <c r="K7478" i="1"/>
  <c r="H7478" i="1"/>
  <c r="K7477" i="1"/>
  <c r="H7477" i="1"/>
  <c r="K7476" i="1"/>
  <c r="H7476" i="1"/>
  <c r="K7475" i="1"/>
  <c r="H7475" i="1"/>
  <c r="K7474" i="1"/>
  <c r="H7474" i="1"/>
  <c r="K7473" i="1"/>
  <c r="H7473" i="1"/>
  <c r="K7472" i="1"/>
  <c r="H7472" i="1"/>
  <c r="K7471" i="1"/>
  <c r="H7471" i="1"/>
  <c r="K7470" i="1"/>
  <c r="H7470" i="1"/>
  <c r="K7469" i="1"/>
  <c r="H7469" i="1"/>
  <c r="K7468" i="1"/>
  <c r="H7468" i="1"/>
  <c r="K7467" i="1"/>
  <c r="H7467" i="1"/>
  <c r="K7466" i="1"/>
  <c r="H7466" i="1"/>
  <c r="K7465" i="1"/>
  <c r="H7465" i="1"/>
  <c r="K7464" i="1"/>
  <c r="H7464" i="1"/>
  <c r="K7463" i="1"/>
  <c r="H7463" i="1"/>
  <c r="K7462" i="1"/>
  <c r="H7462" i="1"/>
  <c r="K7461" i="1"/>
  <c r="H7461" i="1"/>
  <c r="K7460" i="1"/>
  <c r="H7460" i="1"/>
  <c r="K7459" i="1"/>
  <c r="H7459" i="1"/>
  <c r="K7458" i="1"/>
  <c r="H7458" i="1"/>
  <c r="K7457" i="1"/>
  <c r="H7457" i="1"/>
  <c r="K7456" i="1"/>
  <c r="H7456" i="1"/>
  <c r="K7455" i="1"/>
  <c r="H7455" i="1"/>
  <c r="K7454" i="1"/>
  <c r="H7454" i="1"/>
  <c r="K7453" i="1"/>
  <c r="H7453" i="1"/>
  <c r="K7452" i="1"/>
  <c r="H7452" i="1"/>
  <c r="K7451" i="1"/>
  <c r="H7451" i="1"/>
  <c r="K7450" i="1"/>
  <c r="H7450" i="1"/>
  <c r="K7449" i="1"/>
  <c r="H7449" i="1"/>
  <c r="K7448" i="1"/>
  <c r="H7448" i="1"/>
  <c r="K7447" i="1"/>
  <c r="H7447" i="1"/>
  <c r="K7446" i="1"/>
  <c r="H7446" i="1"/>
  <c r="K7445" i="1"/>
  <c r="H7445" i="1"/>
  <c r="K7444" i="1"/>
  <c r="H7444" i="1"/>
  <c r="K7443" i="1"/>
  <c r="H7443" i="1"/>
  <c r="K7442" i="1"/>
  <c r="H7442" i="1"/>
  <c r="K7441" i="1"/>
  <c r="H7441" i="1"/>
  <c r="K7440" i="1"/>
  <c r="H7440" i="1"/>
  <c r="K7439" i="1"/>
  <c r="H7439" i="1"/>
  <c r="K7438" i="1"/>
  <c r="H7438" i="1"/>
  <c r="K7437" i="1"/>
  <c r="H7437" i="1"/>
  <c r="K7436" i="1"/>
  <c r="H7436" i="1"/>
  <c r="K7435" i="1"/>
  <c r="H7435" i="1"/>
  <c r="K7434" i="1"/>
  <c r="H7434" i="1"/>
  <c r="K7433" i="1"/>
  <c r="H7433" i="1"/>
  <c r="K7432" i="1"/>
  <c r="H7432" i="1"/>
  <c r="K7431" i="1"/>
  <c r="H7431" i="1"/>
  <c r="K7430" i="1"/>
  <c r="H7430" i="1"/>
  <c r="K7429" i="1"/>
  <c r="H7429" i="1"/>
  <c r="K7428" i="1"/>
  <c r="H7428" i="1"/>
  <c r="K7427" i="1"/>
  <c r="H7427" i="1"/>
  <c r="K7426" i="1"/>
  <c r="H7426" i="1"/>
  <c r="K7425" i="1"/>
  <c r="H7425" i="1"/>
  <c r="K7424" i="1"/>
  <c r="H7424" i="1"/>
  <c r="K7423" i="1"/>
  <c r="H7423" i="1"/>
  <c r="K7422" i="1"/>
  <c r="H7422" i="1"/>
  <c r="K7421" i="1"/>
  <c r="H7421" i="1"/>
  <c r="K7420" i="1"/>
  <c r="H7420" i="1"/>
  <c r="K7419" i="1"/>
  <c r="H7419" i="1"/>
  <c r="K7418" i="1"/>
  <c r="H7418" i="1"/>
  <c r="K7417" i="1"/>
  <c r="H7417" i="1"/>
  <c r="K7416" i="1"/>
  <c r="H7416" i="1"/>
  <c r="K7415" i="1"/>
  <c r="H7415" i="1"/>
  <c r="K7414" i="1"/>
  <c r="H7414" i="1"/>
  <c r="K7413" i="1"/>
  <c r="H7413" i="1"/>
  <c r="K7412" i="1"/>
  <c r="H7412" i="1"/>
  <c r="K7411" i="1"/>
  <c r="H7411" i="1"/>
  <c r="K7410" i="1"/>
  <c r="H7410" i="1"/>
  <c r="K7409" i="1"/>
  <c r="H7409" i="1"/>
  <c r="K7408" i="1"/>
  <c r="H7408" i="1"/>
  <c r="K7407" i="1"/>
  <c r="H7407" i="1"/>
  <c r="K7406" i="1"/>
  <c r="H7406" i="1"/>
  <c r="K7405" i="1"/>
  <c r="H7405" i="1"/>
  <c r="K7404" i="1"/>
  <c r="H7404" i="1"/>
  <c r="K7403" i="1"/>
  <c r="H7403" i="1"/>
  <c r="K7402" i="1"/>
  <c r="H7402" i="1"/>
  <c r="K7401" i="1"/>
  <c r="H7401" i="1"/>
  <c r="K7400" i="1"/>
  <c r="H7400" i="1"/>
  <c r="K7399" i="1"/>
  <c r="H7399" i="1"/>
  <c r="K7398" i="1"/>
  <c r="H7398" i="1"/>
  <c r="K7397" i="1"/>
  <c r="H7397" i="1"/>
  <c r="K7396" i="1"/>
  <c r="H7396" i="1"/>
  <c r="K7395" i="1"/>
  <c r="H7395" i="1"/>
  <c r="K7394" i="1"/>
  <c r="H7394" i="1"/>
  <c r="K7393" i="1"/>
  <c r="H7393" i="1"/>
  <c r="K7392" i="1"/>
  <c r="H7392" i="1"/>
  <c r="K7391" i="1"/>
  <c r="H7391" i="1"/>
  <c r="K7390" i="1"/>
  <c r="H7390" i="1"/>
  <c r="K7389" i="1"/>
  <c r="H7389" i="1"/>
  <c r="K7388" i="1"/>
  <c r="H7388" i="1"/>
  <c r="K7387" i="1"/>
  <c r="H7387" i="1"/>
  <c r="K7386" i="1"/>
  <c r="H7386" i="1"/>
  <c r="K7385" i="1"/>
  <c r="H7385" i="1"/>
  <c r="K7384" i="1"/>
  <c r="H7384" i="1"/>
  <c r="K7383" i="1"/>
  <c r="H7383" i="1"/>
  <c r="K7382" i="1"/>
  <c r="H7382" i="1"/>
  <c r="K7381" i="1"/>
  <c r="H7381" i="1"/>
  <c r="K7380" i="1"/>
  <c r="H7380" i="1"/>
  <c r="K7379" i="1"/>
  <c r="H7379" i="1"/>
  <c r="K7378" i="1"/>
  <c r="H7378" i="1"/>
  <c r="K7377" i="1"/>
  <c r="H7377" i="1"/>
  <c r="K7376" i="1"/>
  <c r="H7376" i="1"/>
  <c r="K7375" i="1"/>
  <c r="H7375" i="1"/>
  <c r="K7374" i="1"/>
  <c r="H7374" i="1"/>
  <c r="K7373" i="1"/>
  <c r="H7373" i="1"/>
  <c r="K7372" i="1"/>
  <c r="H7372" i="1"/>
  <c r="K7371" i="1"/>
  <c r="H7371" i="1"/>
  <c r="K7370" i="1"/>
  <c r="H7370" i="1"/>
  <c r="K7369" i="1"/>
  <c r="H7369" i="1"/>
  <c r="K7368" i="1"/>
  <c r="H7368" i="1"/>
  <c r="K7367" i="1"/>
  <c r="H7367" i="1"/>
  <c r="K7366" i="1"/>
  <c r="H7366" i="1"/>
  <c r="K7365" i="1"/>
  <c r="H7365" i="1"/>
  <c r="K7364" i="1"/>
  <c r="H7364" i="1"/>
  <c r="K7363" i="1"/>
  <c r="H7363" i="1"/>
  <c r="K7362" i="1"/>
  <c r="H7362" i="1"/>
  <c r="K7361" i="1"/>
  <c r="H7361" i="1"/>
  <c r="K7360" i="1"/>
  <c r="H7360" i="1"/>
  <c r="K7359" i="1"/>
  <c r="H7359" i="1"/>
  <c r="K7358" i="1"/>
  <c r="H7358" i="1"/>
  <c r="K7357" i="1"/>
  <c r="H7357" i="1"/>
  <c r="K7356" i="1"/>
  <c r="H7356" i="1"/>
  <c r="K7355" i="1"/>
  <c r="H7355" i="1"/>
  <c r="K7354" i="1"/>
  <c r="H7354" i="1"/>
  <c r="K7353" i="1"/>
  <c r="H7353" i="1"/>
  <c r="K7352" i="1"/>
  <c r="H7352" i="1"/>
  <c r="K7351" i="1"/>
  <c r="H7351" i="1"/>
  <c r="K7350" i="1"/>
  <c r="H7350" i="1"/>
  <c r="K7349" i="1"/>
  <c r="H7349" i="1"/>
  <c r="K7348" i="1"/>
  <c r="H7348" i="1"/>
  <c r="K7347" i="1"/>
  <c r="H7347" i="1"/>
  <c r="K7346" i="1"/>
  <c r="H7346" i="1"/>
  <c r="K7345" i="1"/>
  <c r="H7345" i="1"/>
  <c r="K7344" i="1"/>
  <c r="H7344" i="1"/>
  <c r="K7343" i="1"/>
  <c r="H7343" i="1"/>
  <c r="K7342" i="1"/>
  <c r="H7342" i="1"/>
  <c r="K7341" i="1"/>
  <c r="H7341" i="1"/>
  <c r="K7340" i="1"/>
  <c r="H7340" i="1"/>
  <c r="K7339" i="1"/>
  <c r="H7339" i="1"/>
  <c r="K7338" i="1"/>
  <c r="H7338" i="1"/>
  <c r="K7337" i="1"/>
  <c r="H7337" i="1"/>
  <c r="K7336" i="1"/>
  <c r="H7336" i="1"/>
  <c r="K7335" i="1"/>
  <c r="H7335" i="1"/>
  <c r="K7334" i="1"/>
  <c r="H7334" i="1"/>
  <c r="K7333" i="1"/>
  <c r="H7333" i="1"/>
  <c r="K7332" i="1"/>
  <c r="H7332" i="1"/>
  <c r="K7331" i="1"/>
  <c r="H7331" i="1"/>
  <c r="K7330" i="1"/>
  <c r="H7330" i="1"/>
  <c r="K7329" i="1"/>
  <c r="H7329" i="1"/>
  <c r="K7328" i="1"/>
  <c r="H7328" i="1"/>
  <c r="K7327" i="1"/>
  <c r="H7327" i="1"/>
  <c r="K7326" i="1"/>
  <c r="H7326" i="1"/>
  <c r="K7325" i="1"/>
  <c r="H7325" i="1"/>
  <c r="K7324" i="1"/>
  <c r="H7324" i="1"/>
  <c r="K7323" i="1"/>
  <c r="H7323" i="1"/>
  <c r="K7322" i="1"/>
  <c r="H7322" i="1"/>
  <c r="K7321" i="1"/>
  <c r="H7321" i="1"/>
  <c r="K7320" i="1"/>
  <c r="H7320" i="1"/>
  <c r="K7319" i="1"/>
  <c r="H7319" i="1"/>
  <c r="K7318" i="1"/>
  <c r="H7318" i="1"/>
  <c r="K7317" i="1"/>
  <c r="H7317" i="1"/>
  <c r="K7316" i="1"/>
  <c r="H7316" i="1"/>
  <c r="K7315" i="1"/>
  <c r="H7315" i="1"/>
  <c r="K7314" i="1"/>
  <c r="H7314" i="1"/>
  <c r="K7313" i="1"/>
  <c r="H7313" i="1"/>
  <c r="K7312" i="1"/>
  <c r="H7312" i="1"/>
  <c r="K7311" i="1"/>
  <c r="H7311" i="1"/>
  <c r="K7310" i="1"/>
  <c r="H7310" i="1"/>
  <c r="K7309" i="1"/>
  <c r="H7309" i="1"/>
  <c r="K7308" i="1"/>
  <c r="H7308" i="1"/>
  <c r="K7307" i="1"/>
  <c r="H7307" i="1"/>
  <c r="K7306" i="1"/>
  <c r="H7306" i="1"/>
  <c r="K7305" i="1"/>
  <c r="H7305" i="1"/>
  <c r="K7304" i="1"/>
  <c r="H7304" i="1"/>
  <c r="K7303" i="1"/>
  <c r="H7303" i="1"/>
  <c r="K7302" i="1"/>
  <c r="H7302" i="1"/>
  <c r="K7301" i="1"/>
  <c r="H7301" i="1"/>
  <c r="K7300" i="1"/>
  <c r="H7300" i="1"/>
  <c r="K7299" i="1"/>
  <c r="H7299" i="1"/>
  <c r="K7298" i="1"/>
  <c r="H7298" i="1"/>
  <c r="K7297" i="1"/>
  <c r="H7297" i="1"/>
  <c r="K7296" i="1"/>
  <c r="H7296" i="1"/>
  <c r="K7295" i="1"/>
  <c r="H7295" i="1"/>
  <c r="K7294" i="1"/>
  <c r="H7294" i="1"/>
  <c r="K7293" i="1"/>
  <c r="H7293" i="1"/>
  <c r="K7292" i="1"/>
  <c r="H7292" i="1"/>
  <c r="K7291" i="1"/>
  <c r="H7291" i="1"/>
  <c r="K7290" i="1"/>
  <c r="H7290" i="1"/>
  <c r="K7289" i="1"/>
  <c r="H7289" i="1"/>
  <c r="K7288" i="1"/>
  <c r="H7288" i="1"/>
  <c r="K7287" i="1"/>
  <c r="H7287" i="1"/>
  <c r="K7286" i="1"/>
  <c r="H7286" i="1"/>
  <c r="K7285" i="1"/>
  <c r="H7285" i="1"/>
  <c r="K7284" i="1"/>
  <c r="H7284" i="1"/>
  <c r="K7283" i="1"/>
  <c r="H7283" i="1"/>
  <c r="K7282" i="1"/>
  <c r="H7282" i="1"/>
  <c r="K7281" i="1"/>
  <c r="H7281" i="1"/>
  <c r="K7280" i="1"/>
  <c r="H7280" i="1"/>
  <c r="K7279" i="1"/>
  <c r="H7279" i="1"/>
  <c r="K7278" i="1"/>
  <c r="H7278" i="1"/>
  <c r="K7277" i="1"/>
  <c r="H7277" i="1"/>
  <c r="K7276" i="1"/>
  <c r="H7276" i="1"/>
  <c r="K7275" i="1"/>
  <c r="H7275" i="1"/>
  <c r="K7274" i="1"/>
  <c r="H7274" i="1"/>
  <c r="K7273" i="1"/>
  <c r="H7273" i="1"/>
  <c r="K7272" i="1"/>
  <c r="H7272" i="1"/>
  <c r="K7271" i="1"/>
  <c r="H7271" i="1"/>
  <c r="K7270" i="1"/>
  <c r="H7270" i="1"/>
  <c r="K7269" i="1"/>
  <c r="H7269" i="1"/>
  <c r="K7268" i="1"/>
  <c r="H7268" i="1"/>
  <c r="K7267" i="1"/>
  <c r="H7267" i="1"/>
  <c r="K7266" i="1"/>
  <c r="H7266" i="1"/>
  <c r="K7265" i="1"/>
  <c r="H7265" i="1"/>
  <c r="K7264" i="1"/>
  <c r="H7264" i="1"/>
  <c r="K7263" i="1"/>
  <c r="H7263" i="1"/>
  <c r="K7262" i="1"/>
  <c r="H7262" i="1"/>
  <c r="K7261" i="1"/>
  <c r="H7261" i="1"/>
  <c r="K7260" i="1"/>
  <c r="H7260" i="1"/>
  <c r="K7259" i="1"/>
  <c r="H7259" i="1"/>
  <c r="K7258" i="1"/>
  <c r="H7258" i="1"/>
  <c r="K7257" i="1"/>
  <c r="H7257" i="1"/>
  <c r="K7256" i="1"/>
  <c r="H7256" i="1"/>
  <c r="K7255" i="1"/>
  <c r="H7255" i="1"/>
  <c r="K7254" i="1"/>
  <c r="H7254" i="1"/>
  <c r="K7253" i="1"/>
  <c r="H7253" i="1"/>
  <c r="K7252" i="1"/>
  <c r="H7252" i="1"/>
  <c r="K7251" i="1"/>
  <c r="H7251" i="1"/>
  <c r="K7250" i="1"/>
  <c r="H7250" i="1"/>
  <c r="K7249" i="1"/>
  <c r="H7249" i="1"/>
  <c r="K7248" i="1"/>
  <c r="H7248" i="1"/>
  <c r="K7247" i="1"/>
  <c r="H7247" i="1"/>
  <c r="K7246" i="1"/>
  <c r="H7246" i="1"/>
  <c r="K7245" i="1"/>
  <c r="H7245" i="1"/>
  <c r="K7244" i="1"/>
  <c r="H7244" i="1"/>
  <c r="K7243" i="1"/>
  <c r="H7243" i="1"/>
  <c r="K7242" i="1"/>
  <c r="H7242" i="1"/>
  <c r="K7241" i="1"/>
  <c r="H7241" i="1"/>
  <c r="K7240" i="1"/>
  <c r="H7240" i="1"/>
  <c r="K7239" i="1"/>
  <c r="H7239" i="1"/>
  <c r="K7238" i="1"/>
  <c r="H7238" i="1"/>
  <c r="K7237" i="1"/>
  <c r="H7237" i="1"/>
  <c r="K7236" i="1"/>
  <c r="H7236" i="1"/>
  <c r="K7235" i="1"/>
  <c r="H7235" i="1"/>
  <c r="K7234" i="1"/>
  <c r="H7234" i="1"/>
  <c r="K7233" i="1"/>
  <c r="H7233" i="1"/>
  <c r="K7232" i="1"/>
  <c r="H7232" i="1"/>
  <c r="K7231" i="1"/>
  <c r="H7231" i="1"/>
  <c r="K7230" i="1"/>
  <c r="H7230" i="1"/>
  <c r="K7229" i="1"/>
  <c r="H7229" i="1"/>
  <c r="K7228" i="1"/>
  <c r="H7228" i="1"/>
  <c r="K7227" i="1"/>
  <c r="H7227" i="1"/>
  <c r="K7226" i="1"/>
  <c r="H7226" i="1"/>
  <c r="K7225" i="1"/>
  <c r="H7225" i="1"/>
  <c r="K7224" i="1"/>
  <c r="H7224" i="1"/>
  <c r="K7223" i="1"/>
  <c r="H7223" i="1"/>
  <c r="K7222" i="1"/>
  <c r="H7222" i="1"/>
  <c r="K7221" i="1"/>
  <c r="H7221" i="1"/>
  <c r="K7220" i="1"/>
  <c r="H7220" i="1"/>
  <c r="K7219" i="1"/>
  <c r="H7219" i="1"/>
  <c r="K7218" i="1"/>
  <c r="H7218" i="1"/>
  <c r="K7217" i="1"/>
  <c r="H7217" i="1"/>
  <c r="K7216" i="1"/>
  <c r="H7216" i="1"/>
  <c r="K7215" i="1"/>
  <c r="H7215" i="1"/>
  <c r="K7214" i="1"/>
  <c r="H7214" i="1"/>
  <c r="K7213" i="1"/>
  <c r="H7213" i="1"/>
  <c r="K7212" i="1"/>
  <c r="H7212" i="1"/>
  <c r="K7211" i="1"/>
  <c r="H7211" i="1"/>
  <c r="K7210" i="1"/>
  <c r="H7210" i="1"/>
  <c r="K7209" i="1"/>
  <c r="H7209" i="1"/>
  <c r="K7208" i="1"/>
  <c r="H7208" i="1"/>
  <c r="K7207" i="1"/>
  <c r="H7207" i="1"/>
  <c r="K7206" i="1"/>
  <c r="H7206" i="1"/>
  <c r="K7205" i="1"/>
  <c r="H7205" i="1"/>
  <c r="K7204" i="1"/>
  <c r="H7204" i="1"/>
  <c r="K7203" i="1"/>
  <c r="H7203" i="1"/>
  <c r="K7202" i="1"/>
  <c r="H7202" i="1"/>
  <c r="K7201" i="1"/>
  <c r="H7201" i="1"/>
  <c r="K7200" i="1"/>
  <c r="H7200" i="1"/>
  <c r="K7199" i="1"/>
  <c r="H7199" i="1"/>
  <c r="K7198" i="1"/>
  <c r="H7198" i="1"/>
  <c r="K7197" i="1"/>
  <c r="H7197" i="1"/>
  <c r="K7196" i="1"/>
  <c r="H7196" i="1"/>
  <c r="K7195" i="1"/>
  <c r="H7195" i="1"/>
  <c r="K7194" i="1"/>
  <c r="H7194" i="1"/>
  <c r="K7193" i="1"/>
  <c r="H7193" i="1"/>
  <c r="K7192" i="1"/>
  <c r="H7192" i="1"/>
  <c r="K7191" i="1"/>
  <c r="H7191" i="1"/>
  <c r="K7190" i="1"/>
  <c r="H7190" i="1"/>
  <c r="K7189" i="1"/>
  <c r="H7189" i="1"/>
  <c r="K7188" i="1"/>
  <c r="H7188" i="1"/>
  <c r="K7187" i="1"/>
  <c r="H7187" i="1"/>
  <c r="K7186" i="1"/>
  <c r="H7186" i="1"/>
  <c r="K7185" i="1"/>
  <c r="H7185" i="1"/>
  <c r="K7184" i="1"/>
  <c r="H7184" i="1"/>
  <c r="K7183" i="1"/>
  <c r="H7183" i="1"/>
  <c r="K7182" i="1"/>
  <c r="H7182" i="1"/>
  <c r="K7181" i="1"/>
  <c r="H7181" i="1"/>
  <c r="K7180" i="1"/>
  <c r="H7180" i="1"/>
  <c r="K7179" i="1"/>
  <c r="H7179" i="1"/>
  <c r="K7178" i="1"/>
  <c r="H7178" i="1"/>
  <c r="K7177" i="1"/>
  <c r="H7177" i="1"/>
  <c r="K7176" i="1"/>
  <c r="H7176" i="1"/>
  <c r="K7175" i="1"/>
  <c r="H7175" i="1"/>
  <c r="K7174" i="1"/>
  <c r="H7174" i="1"/>
  <c r="K7173" i="1"/>
  <c r="H7173" i="1"/>
  <c r="K7172" i="1"/>
  <c r="H7172" i="1"/>
  <c r="K7171" i="1"/>
  <c r="H7171" i="1"/>
  <c r="K7170" i="1"/>
  <c r="H7170" i="1"/>
  <c r="K7169" i="1"/>
  <c r="H7169" i="1"/>
  <c r="K7168" i="1"/>
  <c r="H7168" i="1"/>
  <c r="K7167" i="1"/>
  <c r="H7167" i="1"/>
  <c r="K7166" i="1"/>
  <c r="H7166" i="1"/>
  <c r="K7165" i="1"/>
  <c r="H7165" i="1"/>
  <c r="K7164" i="1"/>
  <c r="H7164" i="1"/>
  <c r="K7163" i="1"/>
  <c r="H7163" i="1"/>
  <c r="K7162" i="1"/>
  <c r="H7162" i="1"/>
  <c r="K7161" i="1"/>
  <c r="H7161" i="1"/>
  <c r="K7160" i="1"/>
  <c r="H7160" i="1"/>
  <c r="K7159" i="1"/>
  <c r="H7159" i="1"/>
  <c r="K7158" i="1"/>
  <c r="H7158" i="1"/>
  <c r="K7157" i="1"/>
  <c r="H7157" i="1"/>
  <c r="K7156" i="1"/>
  <c r="H7156" i="1"/>
  <c r="K7155" i="1"/>
  <c r="H7155" i="1"/>
  <c r="K7154" i="1"/>
  <c r="H7154" i="1"/>
  <c r="K7153" i="1"/>
  <c r="H7153" i="1"/>
  <c r="K7152" i="1"/>
  <c r="H7152" i="1"/>
  <c r="K7151" i="1"/>
  <c r="H7151" i="1"/>
  <c r="K7150" i="1"/>
  <c r="H7150" i="1"/>
  <c r="K7149" i="1"/>
  <c r="H7149" i="1"/>
  <c r="K7148" i="1"/>
  <c r="H7148" i="1"/>
  <c r="K7147" i="1"/>
  <c r="H7147" i="1"/>
  <c r="K7146" i="1"/>
  <c r="H7146" i="1"/>
  <c r="K7145" i="1"/>
  <c r="H7145" i="1"/>
  <c r="K7144" i="1"/>
  <c r="H7144" i="1"/>
  <c r="K7143" i="1"/>
  <c r="H7143" i="1"/>
  <c r="K7142" i="1"/>
  <c r="H7142" i="1"/>
  <c r="K7141" i="1"/>
  <c r="H7141" i="1"/>
  <c r="K7140" i="1"/>
  <c r="H7140" i="1"/>
  <c r="K7139" i="1"/>
  <c r="H7139" i="1"/>
  <c r="K7138" i="1"/>
  <c r="H7138" i="1"/>
  <c r="K7137" i="1"/>
  <c r="H7137" i="1"/>
  <c r="K7136" i="1"/>
  <c r="H7136" i="1"/>
  <c r="K7135" i="1"/>
  <c r="H7135" i="1"/>
  <c r="K7134" i="1"/>
  <c r="H7134" i="1"/>
  <c r="K7133" i="1"/>
  <c r="H7133" i="1"/>
  <c r="K7132" i="1"/>
  <c r="H7132" i="1"/>
  <c r="K7131" i="1"/>
  <c r="H7131" i="1"/>
  <c r="K7130" i="1"/>
  <c r="H7130" i="1"/>
  <c r="K7129" i="1"/>
  <c r="H7129" i="1"/>
  <c r="K7128" i="1"/>
  <c r="H7128" i="1"/>
  <c r="K7127" i="1"/>
  <c r="H7127" i="1"/>
  <c r="K7126" i="1"/>
  <c r="H7126" i="1"/>
  <c r="K7125" i="1"/>
  <c r="H7125" i="1"/>
  <c r="K7124" i="1"/>
  <c r="H7124" i="1"/>
  <c r="K7123" i="1"/>
  <c r="H7123" i="1"/>
  <c r="K7122" i="1"/>
  <c r="H7122" i="1"/>
  <c r="K7121" i="1"/>
  <c r="H7121" i="1"/>
  <c r="K7120" i="1"/>
  <c r="H7120" i="1"/>
  <c r="K7119" i="1"/>
  <c r="H7119" i="1"/>
  <c r="K7118" i="1"/>
  <c r="H7118" i="1"/>
  <c r="K7117" i="1"/>
  <c r="H7117" i="1"/>
  <c r="K7116" i="1"/>
  <c r="H7116" i="1"/>
  <c r="K7115" i="1"/>
  <c r="H7115" i="1"/>
  <c r="K7114" i="1"/>
  <c r="H7114" i="1"/>
  <c r="K7113" i="1"/>
  <c r="H7113" i="1"/>
  <c r="K7112" i="1"/>
  <c r="H7112" i="1"/>
  <c r="K7111" i="1"/>
  <c r="H7111" i="1"/>
  <c r="K7110" i="1"/>
  <c r="H7110" i="1"/>
  <c r="K7109" i="1"/>
  <c r="H7109" i="1"/>
  <c r="K7108" i="1"/>
  <c r="H7108" i="1"/>
  <c r="K7107" i="1"/>
  <c r="H7107" i="1"/>
  <c r="K7106" i="1"/>
  <c r="H7106" i="1"/>
  <c r="K7105" i="1"/>
  <c r="H7105" i="1"/>
  <c r="K7104" i="1"/>
  <c r="H7104" i="1"/>
  <c r="K7103" i="1"/>
  <c r="H7103" i="1"/>
  <c r="K7102" i="1"/>
  <c r="H7102" i="1"/>
  <c r="K7101" i="1"/>
  <c r="H7101" i="1"/>
  <c r="K7100" i="1"/>
  <c r="H7100" i="1"/>
  <c r="K7099" i="1"/>
  <c r="H7099" i="1"/>
  <c r="K7098" i="1"/>
  <c r="H7098" i="1"/>
  <c r="K7097" i="1"/>
  <c r="H7097" i="1"/>
  <c r="K7096" i="1"/>
  <c r="H7096" i="1"/>
  <c r="K7095" i="1"/>
  <c r="H7095" i="1"/>
  <c r="K7094" i="1"/>
  <c r="H7094" i="1"/>
  <c r="K7093" i="1"/>
  <c r="H7093" i="1"/>
  <c r="K7092" i="1"/>
  <c r="H7092" i="1"/>
  <c r="K7091" i="1"/>
  <c r="H7091" i="1"/>
  <c r="K7090" i="1"/>
  <c r="H7090" i="1"/>
  <c r="K7089" i="1"/>
  <c r="H7089" i="1"/>
  <c r="K7088" i="1"/>
  <c r="H7088" i="1"/>
  <c r="K7087" i="1"/>
  <c r="H7087" i="1"/>
  <c r="K7086" i="1"/>
  <c r="H7086" i="1"/>
  <c r="K7085" i="1"/>
  <c r="H7085" i="1"/>
  <c r="K7084" i="1"/>
  <c r="H7084" i="1"/>
  <c r="K7083" i="1"/>
  <c r="H7083" i="1"/>
  <c r="K7082" i="1"/>
  <c r="H7082" i="1"/>
  <c r="K7081" i="1"/>
  <c r="H7081" i="1"/>
  <c r="K7080" i="1"/>
  <c r="H7080" i="1"/>
  <c r="K7079" i="1"/>
  <c r="H7079" i="1"/>
  <c r="K7078" i="1"/>
  <c r="H7078" i="1"/>
  <c r="K7077" i="1"/>
  <c r="H7077" i="1"/>
  <c r="K7076" i="1"/>
  <c r="H7076" i="1"/>
  <c r="K7075" i="1"/>
  <c r="H7075" i="1"/>
  <c r="K7074" i="1"/>
  <c r="H7074" i="1"/>
  <c r="K7073" i="1"/>
  <c r="H7073" i="1"/>
  <c r="K7072" i="1"/>
  <c r="H7072" i="1"/>
  <c r="K7071" i="1"/>
  <c r="H7071" i="1"/>
  <c r="K7070" i="1"/>
  <c r="H7070" i="1"/>
  <c r="K7069" i="1"/>
  <c r="H7069" i="1"/>
  <c r="K7068" i="1"/>
  <c r="H7068" i="1"/>
  <c r="K7067" i="1"/>
  <c r="H7067" i="1"/>
  <c r="K7066" i="1"/>
  <c r="H7066" i="1"/>
  <c r="K7065" i="1"/>
  <c r="H7065" i="1"/>
  <c r="K7064" i="1"/>
  <c r="H7064" i="1"/>
  <c r="K7063" i="1"/>
  <c r="H7063" i="1"/>
  <c r="K7062" i="1"/>
  <c r="H7062" i="1"/>
  <c r="K7061" i="1"/>
  <c r="H7061" i="1"/>
  <c r="K7060" i="1"/>
  <c r="H7060" i="1"/>
  <c r="K7059" i="1"/>
  <c r="H7059" i="1"/>
  <c r="K7058" i="1"/>
  <c r="H7058" i="1"/>
  <c r="K7057" i="1"/>
  <c r="H7057" i="1"/>
  <c r="K7056" i="1"/>
  <c r="H7056" i="1"/>
  <c r="K7055" i="1"/>
  <c r="H7055" i="1"/>
  <c r="K7054" i="1"/>
  <c r="H7054" i="1"/>
  <c r="K7053" i="1"/>
  <c r="H7053" i="1"/>
  <c r="K7052" i="1"/>
  <c r="H7052" i="1"/>
  <c r="K7051" i="1"/>
  <c r="H7051" i="1"/>
  <c r="K7050" i="1"/>
  <c r="H7050" i="1"/>
  <c r="K7049" i="1"/>
  <c r="H7049" i="1"/>
  <c r="K7048" i="1"/>
  <c r="H7048" i="1"/>
  <c r="K7047" i="1"/>
  <c r="H7047" i="1"/>
  <c r="K7046" i="1"/>
  <c r="H7046" i="1"/>
  <c r="K7045" i="1"/>
  <c r="H7045" i="1"/>
  <c r="K7044" i="1"/>
  <c r="H7044" i="1"/>
  <c r="K7043" i="1"/>
  <c r="H7043" i="1"/>
  <c r="K7042" i="1"/>
  <c r="H7042" i="1"/>
  <c r="K7041" i="1"/>
  <c r="H7041" i="1"/>
  <c r="K7040" i="1"/>
  <c r="H7040" i="1"/>
  <c r="K7039" i="1"/>
  <c r="H7039" i="1"/>
  <c r="K7038" i="1"/>
  <c r="H7038" i="1"/>
  <c r="K7037" i="1"/>
  <c r="H7037" i="1"/>
  <c r="K7036" i="1"/>
  <c r="H7036" i="1"/>
  <c r="K7035" i="1"/>
  <c r="H7035" i="1"/>
  <c r="K7034" i="1"/>
  <c r="H7034" i="1"/>
  <c r="K7033" i="1"/>
  <c r="H7033" i="1"/>
  <c r="K7032" i="1"/>
  <c r="H7032" i="1"/>
  <c r="K7031" i="1"/>
  <c r="H7031" i="1"/>
  <c r="K7030" i="1"/>
  <c r="H7030" i="1"/>
  <c r="K7029" i="1"/>
  <c r="H7029" i="1"/>
  <c r="K7028" i="1"/>
  <c r="H7028" i="1"/>
  <c r="K7027" i="1"/>
  <c r="H7027" i="1"/>
  <c r="K7026" i="1"/>
  <c r="H7026" i="1"/>
  <c r="K7025" i="1"/>
  <c r="H7025" i="1"/>
  <c r="K7024" i="1"/>
  <c r="H7024" i="1"/>
  <c r="K7023" i="1"/>
  <c r="H7023" i="1"/>
  <c r="K7022" i="1"/>
  <c r="H7022" i="1"/>
  <c r="K7021" i="1"/>
  <c r="H7021" i="1"/>
  <c r="K7020" i="1"/>
  <c r="H7020" i="1"/>
  <c r="K7019" i="1"/>
  <c r="H7019" i="1"/>
  <c r="K7018" i="1"/>
  <c r="H7018" i="1"/>
  <c r="K7017" i="1"/>
  <c r="H7017" i="1"/>
  <c r="K7016" i="1"/>
  <c r="H7016" i="1"/>
  <c r="K7015" i="1"/>
  <c r="H7015" i="1"/>
  <c r="K7014" i="1"/>
  <c r="H7014" i="1"/>
  <c r="K7013" i="1"/>
  <c r="H7013" i="1"/>
  <c r="K7012" i="1"/>
  <c r="H7012" i="1"/>
  <c r="K7011" i="1"/>
  <c r="H7011" i="1"/>
  <c r="K7010" i="1"/>
  <c r="H7010" i="1"/>
  <c r="K7009" i="1"/>
  <c r="H7009" i="1"/>
  <c r="K7008" i="1"/>
  <c r="H7008" i="1"/>
  <c r="K7007" i="1"/>
  <c r="H7007" i="1"/>
  <c r="K7006" i="1"/>
  <c r="H7006" i="1"/>
  <c r="K7005" i="1"/>
  <c r="H7005" i="1"/>
  <c r="K7004" i="1"/>
  <c r="H7004" i="1"/>
  <c r="K7003" i="1"/>
  <c r="H7003" i="1"/>
  <c r="K7002" i="1"/>
  <c r="H7002" i="1"/>
  <c r="K7001" i="1"/>
  <c r="H7001" i="1"/>
  <c r="K7000" i="1"/>
  <c r="H7000" i="1"/>
  <c r="K6999" i="1"/>
  <c r="H6999" i="1"/>
  <c r="K6998" i="1"/>
  <c r="H6998" i="1"/>
  <c r="K6997" i="1"/>
  <c r="H6997" i="1"/>
  <c r="K6996" i="1"/>
  <c r="H6996" i="1"/>
  <c r="K6995" i="1"/>
  <c r="H6995" i="1"/>
  <c r="K6994" i="1"/>
  <c r="H6994" i="1"/>
  <c r="K6993" i="1"/>
  <c r="H6993" i="1"/>
  <c r="K6992" i="1"/>
  <c r="H6992" i="1"/>
  <c r="K6991" i="1"/>
  <c r="H6991" i="1"/>
  <c r="K6990" i="1"/>
  <c r="H6990" i="1"/>
  <c r="K6989" i="1"/>
  <c r="H6989" i="1"/>
  <c r="K6988" i="1"/>
  <c r="H6988" i="1"/>
  <c r="K6987" i="1"/>
  <c r="H6987" i="1"/>
  <c r="K6986" i="1"/>
  <c r="H6986" i="1"/>
  <c r="K6985" i="1"/>
  <c r="H6985" i="1"/>
  <c r="K6984" i="1"/>
  <c r="H6984" i="1"/>
  <c r="K6983" i="1"/>
  <c r="H6983" i="1"/>
  <c r="K6982" i="1"/>
  <c r="H6982" i="1"/>
  <c r="K6981" i="1"/>
  <c r="H6981" i="1"/>
  <c r="K6980" i="1"/>
  <c r="H6980" i="1"/>
  <c r="K6979" i="1"/>
  <c r="H6979" i="1"/>
  <c r="K6978" i="1"/>
  <c r="H6978" i="1"/>
  <c r="K6977" i="1"/>
  <c r="H6977" i="1"/>
  <c r="K6976" i="1"/>
  <c r="H6976" i="1"/>
  <c r="K6975" i="1"/>
  <c r="H6975" i="1"/>
  <c r="K6974" i="1"/>
  <c r="H6974" i="1"/>
  <c r="K6973" i="1"/>
  <c r="H6973" i="1"/>
  <c r="K6972" i="1"/>
  <c r="H6972" i="1"/>
  <c r="K6971" i="1"/>
  <c r="H6971" i="1"/>
  <c r="K6970" i="1"/>
  <c r="H6970" i="1"/>
  <c r="K6969" i="1"/>
  <c r="H6969" i="1"/>
  <c r="K6968" i="1"/>
  <c r="H6968" i="1"/>
  <c r="K6967" i="1"/>
  <c r="H6967" i="1"/>
  <c r="K6966" i="1"/>
  <c r="H6966" i="1"/>
  <c r="K6965" i="1"/>
  <c r="H6965" i="1"/>
  <c r="K6964" i="1"/>
  <c r="H6964" i="1"/>
  <c r="K6963" i="1"/>
  <c r="H6963" i="1"/>
  <c r="K6962" i="1"/>
  <c r="H6962" i="1"/>
  <c r="K6961" i="1"/>
  <c r="H6961" i="1"/>
  <c r="K6960" i="1"/>
  <c r="H6960" i="1"/>
  <c r="K6959" i="1"/>
  <c r="H6959" i="1"/>
  <c r="K6958" i="1"/>
  <c r="H6958" i="1"/>
  <c r="K6957" i="1"/>
  <c r="H6957" i="1"/>
  <c r="K6956" i="1"/>
  <c r="H6956" i="1"/>
  <c r="K6955" i="1"/>
  <c r="H6955" i="1"/>
  <c r="K6954" i="1"/>
  <c r="H6954" i="1"/>
  <c r="K6953" i="1"/>
  <c r="H6953" i="1"/>
  <c r="K6952" i="1"/>
  <c r="H6952" i="1"/>
  <c r="K6951" i="1"/>
  <c r="H6951" i="1"/>
  <c r="K6950" i="1"/>
  <c r="H6950" i="1"/>
  <c r="K6949" i="1"/>
  <c r="H6949" i="1"/>
  <c r="K6948" i="1"/>
  <c r="H6948" i="1"/>
  <c r="K6947" i="1"/>
  <c r="H6947" i="1"/>
  <c r="K6946" i="1"/>
  <c r="H6946" i="1"/>
  <c r="K6945" i="1"/>
  <c r="H6945" i="1"/>
  <c r="K6944" i="1"/>
  <c r="H6944" i="1"/>
  <c r="K6943" i="1"/>
  <c r="H6943" i="1"/>
  <c r="K6942" i="1"/>
  <c r="H6942" i="1"/>
  <c r="K6941" i="1"/>
  <c r="H6941" i="1"/>
  <c r="K6940" i="1"/>
  <c r="H6940" i="1"/>
  <c r="K6939" i="1"/>
  <c r="H6939" i="1"/>
  <c r="K6938" i="1"/>
  <c r="H6938" i="1"/>
  <c r="K6937" i="1"/>
  <c r="H6937" i="1"/>
  <c r="K6936" i="1"/>
  <c r="H6936" i="1"/>
  <c r="K6935" i="1"/>
  <c r="H6935" i="1"/>
  <c r="K6934" i="1"/>
  <c r="H6934" i="1"/>
  <c r="K6933" i="1"/>
  <c r="H6933" i="1"/>
  <c r="K6932" i="1"/>
  <c r="H6932" i="1"/>
  <c r="K6931" i="1"/>
  <c r="H6931" i="1"/>
  <c r="K6930" i="1"/>
  <c r="H6930" i="1"/>
  <c r="K6929" i="1"/>
  <c r="H6929" i="1"/>
  <c r="K6928" i="1"/>
  <c r="H6928" i="1"/>
  <c r="K6927" i="1"/>
  <c r="H6927" i="1"/>
  <c r="K6926" i="1"/>
  <c r="H6926" i="1"/>
  <c r="K6925" i="1"/>
  <c r="H6925" i="1"/>
  <c r="K6924" i="1"/>
  <c r="H6924" i="1"/>
  <c r="K6923" i="1"/>
  <c r="H6923" i="1"/>
  <c r="K6922" i="1"/>
  <c r="H6922" i="1"/>
  <c r="K6921" i="1"/>
  <c r="H6921" i="1"/>
  <c r="K6920" i="1"/>
  <c r="H6920" i="1"/>
  <c r="K6919" i="1"/>
  <c r="H6919" i="1"/>
  <c r="K6918" i="1"/>
  <c r="H6918" i="1"/>
  <c r="K6917" i="1"/>
  <c r="H6917" i="1"/>
  <c r="K6916" i="1"/>
  <c r="H6916" i="1"/>
  <c r="K6915" i="1"/>
  <c r="H6915" i="1"/>
  <c r="K6914" i="1"/>
  <c r="H6914" i="1"/>
  <c r="K6913" i="1"/>
  <c r="H6913" i="1"/>
  <c r="K6912" i="1"/>
  <c r="H6912" i="1"/>
  <c r="K6911" i="1"/>
  <c r="H6911" i="1"/>
  <c r="K6910" i="1"/>
  <c r="H6910" i="1"/>
  <c r="K6909" i="1"/>
  <c r="H6909" i="1"/>
  <c r="K6908" i="1"/>
  <c r="H6908" i="1"/>
  <c r="K6907" i="1"/>
  <c r="H6907" i="1"/>
  <c r="K6906" i="1"/>
  <c r="H6906" i="1"/>
  <c r="K6905" i="1"/>
  <c r="H6905" i="1"/>
  <c r="K6904" i="1"/>
  <c r="H6904" i="1"/>
  <c r="K6903" i="1"/>
  <c r="H6903" i="1"/>
  <c r="K6902" i="1"/>
  <c r="H6902" i="1"/>
  <c r="K6901" i="1"/>
  <c r="H6901" i="1"/>
  <c r="K6900" i="1"/>
  <c r="H6900" i="1"/>
  <c r="K6899" i="1"/>
  <c r="H6899" i="1"/>
  <c r="K6898" i="1"/>
  <c r="H6898" i="1"/>
  <c r="K6897" i="1"/>
  <c r="H6897" i="1"/>
  <c r="K6896" i="1"/>
  <c r="H6896" i="1"/>
  <c r="K6895" i="1"/>
  <c r="H6895" i="1"/>
  <c r="K6894" i="1"/>
  <c r="H6894" i="1"/>
  <c r="K6893" i="1"/>
  <c r="H6893" i="1"/>
  <c r="K6892" i="1"/>
  <c r="H6892" i="1"/>
  <c r="K6891" i="1"/>
  <c r="H6891" i="1"/>
  <c r="K6890" i="1"/>
  <c r="H6890" i="1"/>
  <c r="K6889" i="1"/>
  <c r="H6889" i="1"/>
  <c r="K6888" i="1"/>
  <c r="H6888" i="1"/>
  <c r="K6887" i="1"/>
  <c r="H6887" i="1"/>
  <c r="K6886" i="1"/>
  <c r="H6886" i="1"/>
  <c r="K6885" i="1"/>
  <c r="H6885" i="1"/>
  <c r="K6884" i="1"/>
  <c r="H6884" i="1"/>
  <c r="K6883" i="1"/>
  <c r="H6883" i="1"/>
  <c r="K6882" i="1"/>
  <c r="H6882" i="1"/>
  <c r="K6881" i="1"/>
  <c r="H6881" i="1"/>
  <c r="K6880" i="1"/>
  <c r="H6880" i="1"/>
  <c r="K6879" i="1"/>
  <c r="H6879" i="1"/>
  <c r="K6878" i="1"/>
  <c r="H6878" i="1"/>
  <c r="K6877" i="1"/>
  <c r="H6877" i="1"/>
  <c r="K6876" i="1"/>
  <c r="H6876" i="1"/>
  <c r="K6875" i="1"/>
  <c r="H6875" i="1"/>
  <c r="K6874" i="1"/>
  <c r="H6874" i="1"/>
  <c r="K6873" i="1"/>
  <c r="H6873" i="1"/>
  <c r="K6872" i="1"/>
  <c r="H6872" i="1"/>
  <c r="K6871" i="1"/>
  <c r="H6871" i="1"/>
  <c r="K6870" i="1"/>
  <c r="H6870" i="1"/>
  <c r="K6869" i="1"/>
  <c r="H6869" i="1"/>
  <c r="K6868" i="1"/>
  <c r="H6868" i="1"/>
  <c r="K6867" i="1"/>
  <c r="H6867" i="1"/>
  <c r="K6866" i="1"/>
  <c r="H6866" i="1"/>
  <c r="K6865" i="1"/>
  <c r="H6865" i="1"/>
  <c r="K6864" i="1"/>
  <c r="H6864" i="1"/>
  <c r="K6863" i="1"/>
  <c r="H6863" i="1"/>
  <c r="K6862" i="1"/>
  <c r="H6862" i="1"/>
  <c r="K6861" i="1"/>
  <c r="H6861" i="1"/>
  <c r="K6860" i="1"/>
  <c r="H6860" i="1"/>
  <c r="K6859" i="1"/>
  <c r="H6859" i="1"/>
  <c r="K6858" i="1"/>
  <c r="H6858" i="1"/>
  <c r="K6857" i="1"/>
  <c r="H6857" i="1"/>
  <c r="K6856" i="1"/>
  <c r="H6856" i="1"/>
  <c r="K6855" i="1"/>
  <c r="H6855" i="1"/>
  <c r="K6854" i="1"/>
  <c r="H6854" i="1"/>
  <c r="K6853" i="1"/>
  <c r="H6853" i="1"/>
  <c r="K6852" i="1"/>
  <c r="H6852" i="1"/>
  <c r="K6851" i="1"/>
  <c r="H6851" i="1"/>
  <c r="K6850" i="1"/>
  <c r="H6850" i="1"/>
  <c r="K6849" i="1"/>
  <c r="H6849" i="1"/>
  <c r="K6848" i="1"/>
  <c r="H6848" i="1"/>
  <c r="K6847" i="1"/>
  <c r="H6847" i="1"/>
  <c r="K6846" i="1"/>
  <c r="H6846" i="1"/>
  <c r="K6845" i="1"/>
  <c r="H6845" i="1"/>
  <c r="K6844" i="1"/>
  <c r="H6844" i="1"/>
  <c r="K6843" i="1"/>
  <c r="H6843" i="1"/>
  <c r="K6842" i="1"/>
  <c r="H6842" i="1"/>
  <c r="K6841" i="1"/>
  <c r="H6841" i="1"/>
  <c r="K6840" i="1"/>
  <c r="H6840" i="1"/>
  <c r="K6839" i="1"/>
  <c r="H6839" i="1"/>
  <c r="K6838" i="1"/>
  <c r="H6838" i="1"/>
  <c r="K6837" i="1"/>
  <c r="H6837" i="1"/>
  <c r="K6836" i="1"/>
  <c r="H6836" i="1"/>
  <c r="K6835" i="1"/>
  <c r="H6835" i="1"/>
  <c r="K6834" i="1"/>
  <c r="H6834" i="1"/>
  <c r="K6833" i="1"/>
  <c r="H6833" i="1"/>
  <c r="K6832" i="1"/>
  <c r="H6832" i="1"/>
  <c r="K6831" i="1"/>
  <c r="H6831" i="1"/>
  <c r="K6830" i="1"/>
  <c r="H6830" i="1"/>
  <c r="K6829" i="1"/>
  <c r="H6829" i="1"/>
  <c r="K6828" i="1"/>
  <c r="H6828" i="1"/>
  <c r="K6827" i="1"/>
  <c r="H6827" i="1"/>
  <c r="K6826" i="1"/>
  <c r="H6826" i="1"/>
  <c r="K6825" i="1"/>
  <c r="H6825" i="1"/>
  <c r="K6824" i="1"/>
  <c r="H6824" i="1"/>
  <c r="K6823" i="1"/>
  <c r="H6823" i="1"/>
  <c r="K6822" i="1"/>
  <c r="H6822" i="1"/>
  <c r="K6821" i="1"/>
  <c r="H6821" i="1"/>
  <c r="K6820" i="1"/>
  <c r="H6820" i="1"/>
  <c r="K6819" i="1"/>
  <c r="H6819" i="1"/>
  <c r="K6818" i="1"/>
  <c r="H6818" i="1"/>
  <c r="K6817" i="1"/>
  <c r="H6817" i="1"/>
  <c r="K6816" i="1"/>
  <c r="H6816" i="1"/>
  <c r="K6815" i="1"/>
  <c r="H6815" i="1"/>
  <c r="K6814" i="1"/>
  <c r="H6814" i="1"/>
  <c r="K6813" i="1"/>
  <c r="H6813" i="1"/>
  <c r="K6812" i="1"/>
  <c r="H6812" i="1"/>
  <c r="K6811" i="1"/>
  <c r="H6811" i="1"/>
  <c r="K6810" i="1"/>
  <c r="H6810" i="1"/>
  <c r="K6809" i="1"/>
  <c r="H6809" i="1"/>
  <c r="K6808" i="1"/>
  <c r="H6808" i="1"/>
  <c r="K6807" i="1"/>
  <c r="H6807" i="1"/>
  <c r="K6806" i="1"/>
  <c r="H6806" i="1"/>
  <c r="K6805" i="1"/>
  <c r="H6805" i="1"/>
  <c r="K6804" i="1"/>
  <c r="H6804" i="1"/>
  <c r="K6803" i="1"/>
  <c r="H6803" i="1"/>
  <c r="K6802" i="1"/>
  <c r="H6802" i="1"/>
  <c r="K6801" i="1"/>
  <c r="H6801" i="1"/>
  <c r="K6800" i="1"/>
  <c r="H6800" i="1"/>
  <c r="K6799" i="1"/>
  <c r="H6799" i="1"/>
  <c r="K6798" i="1"/>
  <c r="H6798" i="1"/>
  <c r="K6797" i="1"/>
  <c r="H6797" i="1"/>
  <c r="K6796" i="1"/>
  <c r="H6796" i="1"/>
  <c r="K6795" i="1"/>
  <c r="H6795" i="1"/>
  <c r="K6794" i="1"/>
  <c r="H6794" i="1"/>
  <c r="K6793" i="1"/>
  <c r="H6793" i="1"/>
  <c r="K6792" i="1"/>
  <c r="H6792" i="1"/>
  <c r="K6791" i="1"/>
  <c r="H6791" i="1"/>
  <c r="K6790" i="1"/>
  <c r="H6790" i="1"/>
  <c r="K6789" i="1"/>
  <c r="H6789" i="1"/>
  <c r="K6788" i="1"/>
  <c r="H6788" i="1"/>
  <c r="K6787" i="1"/>
  <c r="H6787" i="1"/>
  <c r="K6786" i="1"/>
  <c r="H6786" i="1"/>
  <c r="K6785" i="1"/>
  <c r="H6785" i="1"/>
  <c r="K6784" i="1"/>
  <c r="H6784" i="1"/>
  <c r="K6783" i="1"/>
  <c r="H6783" i="1"/>
  <c r="K6782" i="1"/>
  <c r="H6782" i="1"/>
  <c r="K6781" i="1"/>
  <c r="H6781" i="1"/>
  <c r="K6780" i="1"/>
  <c r="H6780" i="1"/>
  <c r="K6779" i="1"/>
  <c r="H6779" i="1"/>
  <c r="K6778" i="1"/>
  <c r="H6778" i="1"/>
  <c r="K6777" i="1"/>
  <c r="H6777" i="1"/>
  <c r="K6776" i="1"/>
  <c r="H6776" i="1"/>
  <c r="K6775" i="1"/>
  <c r="H6775" i="1"/>
  <c r="K6774" i="1"/>
  <c r="H6774" i="1"/>
  <c r="K6773" i="1"/>
  <c r="H6773" i="1"/>
  <c r="K6772" i="1"/>
  <c r="H6772" i="1"/>
  <c r="K6771" i="1"/>
  <c r="H6771" i="1"/>
  <c r="K6770" i="1"/>
  <c r="H6770" i="1"/>
  <c r="K6769" i="1"/>
  <c r="H6769" i="1"/>
  <c r="K6768" i="1"/>
  <c r="H6768" i="1"/>
  <c r="K6767" i="1"/>
  <c r="H6767" i="1"/>
  <c r="K6766" i="1"/>
  <c r="H6766" i="1"/>
  <c r="K6765" i="1"/>
  <c r="H6765" i="1"/>
  <c r="K6764" i="1"/>
  <c r="H6764" i="1"/>
  <c r="K6763" i="1"/>
  <c r="H6763" i="1"/>
  <c r="K6762" i="1"/>
  <c r="H6762" i="1"/>
  <c r="K6761" i="1"/>
  <c r="H6761" i="1"/>
  <c r="K6760" i="1"/>
  <c r="H6760" i="1"/>
  <c r="K6759" i="1"/>
  <c r="H6759" i="1"/>
  <c r="K6758" i="1"/>
  <c r="H6758" i="1"/>
  <c r="K6757" i="1"/>
  <c r="H6757" i="1"/>
  <c r="K6756" i="1"/>
  <c r="H6756" i="1"/>
  <c r="K6755" i="1"/>
  <c r="H6755" i="1"/>
  <c r="K6754" i="1"/>
  <c r="H6754" i="1"/>
  <c r="K6753" i="1"/>
  <c r="H6753" i="1"/>
  <c r="K6752" i="1"/>
  <c r="H6752" i="1"/>
  <c r="K6751" i="1"/>
  <c r="H6751" i="1"/>
  <c r="K6750" i="1"/>
  <c r="H6750" i="1"/>
  <c r="K6749" i="1"/>
  <c r="H6749" i="1"/>
  <c r="K6748" i="1"/>
  <c r="H6748" i="1"/>
  <c r="K6747" i="1"/>
  <c r="H6747" i="1"/>
  <c r="K6746" i="1"/>
  <c r="H6746" i="1"/>
  <c r="K6745" i="1"/>
  <c r="H6745" i="1"/>
  <c r="K6744" i="1"/>
  <c r="H6744" i="1"/>
  <c r="K6743" i="1"/>
  <c r="H6743" i="1"/>
  <c r="K6742" i="1"/>
  <c r="H6742" i="1"/>
  <c r="K6741" i="1"/>
  <c r="H6741" i="1"/>
  <c r="K6740" i="1"/>
  <c r="H6740" i="1"/>
  <c r="K6739" i="1"/>
  <c r="H6739" i="1"/>
  <c r="K6738" i="1"/>
  <c r="H6738" i="1"/>
  <c r="K6737" i="1"/>
  <c r="H6737" i="1"/>
  <c r="K6736" i="1"/>
  <c r="H6736" i="1"/>
  <c r="K6735" i="1"/>
  <c r="H6735" i="1"/>
  <c r="K6734" i="1"/>
  <c r="H6734" i="1"/>
  <c r="K6733" i="1"/>
  <c r="H6733" i="1"/>
  <c r="K6732" i="1"/>
  <c r="H6732" i="1"/>
  <c r="K6731" i="1"/>
  <c r="H6731" i="1"/>
  <c r="K6730" i="1"/>
  <c r="H6730" i="1"/>
  <c r="K6729" i="1"/>
  <c r="H6729" i="1"/>
  <c r="K6728" i="1"/>
  <c r="H6728" i="1"/>
  <c r="K6727" i="1"/>
  <c r="H6727" i="1"/>
  <c r="K6726" i="1"/>
  <c r="H6726" i="1"/>
  <c r="K6725" i="1"/>
  <c r="H6725" i="1"/>
  <c r="K6724" i="1"/>
  <c r="H6724" i="1"/>
  <c r="K6723" i="1"/>
  <c r="H6723" i="1"/>
  <c r="K6722" i="1"/>
  <c r="H6722" i="1"/>
  <c r="K6721" i="1"/>
  <c r="H6721" i="1"/>
  <c r="K6720" i="1"/>
  <c r="H6720" i="1"/>
  <c r="K6719" i="1"/>
  <c r="H6719" i="1"/>
  <c r="K6718" i="1"/>
  <c r="H6718" i="1"/>
  <c r="K6717" i="1"/>
  <c r="H6717" i="1"/>
  <c r="K6716" i="1"/>
  <c r="H6716" i="1"/>
  <c r="K6715" i="1"/>
  <c r="H6715" i="1"/>
  <c r="K6714" i="1"/>
  <c r="H6714" i="1"/>
  <c r="K6713" i="1"/>
  <c r="H6713" i="1"/>
  <c r="K6712" i="1"/>
  <c r="H6712" i="1"/>
  <c r="K6711" i="1"/>
  <c r="H6711" i="1"/>
  <c r="K6710" i="1"/>
  <c r="H6710" i="1"/>
  <c r="K6709" i="1"/>
  <c r="H6709" i="1"/>
  <c r="K6708" i="1"/>
  <c r="H6708" i="1"/>
  <c r="K6707" i="1"/>
  <c r="H6707" i="1"/>
  <c r="K6706" i="1"/>
  <c r="H6706" i="1"/>
  <c r="K6705" i="1"/>
  <c r="H6705" i="1"/>
  <c r="K6704" i="1"/>
  <c r="H6704" i="1"/>
  <c r="K6703" i="1"/>
  <c r="H6703" i="1"/>
  <c r="K6702" i="1"/>
  <c r="H6702" i="1"/>
  <c r="K6701" i="1"/>
  <c r="H6701" i="1"/>
  <c r="K6700" i="1"/>
  <c r="H6700" i="1"/>
  <c r="K6699" i="1"/>
  <c r="H6699" i="1"/>
  <c r="K6698" i="1"/>
  <c r="H6698" i="1"/>
  <c r="K6697" i="1"/>
  <c r="H6697" i="1"/>
  <c r="K6696" i="1"/>
  <c r="H6696" i="1"/>
  <c r="K6695" i="1"/>
  <c r="H6695" i="1"/>
  <c r="K6694" i="1"/>
  <c r="H6694" i="1"/>
  <c r="K6693" i="1"/>
  <c r="H6693" i="1"/>
  <c r="K6692" i="1"/>
  <c r="H6692" i="1"/>
  <c r="K6691" i="1"/>
  <c r="H6691" i="1"/>
  <c r="K6690" i="1"/>
  <c r="H6690" i="1"/>
  <c r="K6689" i="1"/>
  <c r="H6689" i="1"/>
  <c r="K6688" i="1"/>
  <c r="H6688" i="1"/>
  <c r="K6687" i="1"/>
  <c r="H6687" i="1"/>
  <c r="K6686" i="1"/>
  <c r="H6686" i="1"/>
  <c r="K6685" i="1"/>
  <c r="H6685" i="1"/>
  <c r="K6684" i="1"/>
  <c r="H6684" i="1"/>
  <c r="K6683" i="1"/>
  <c r="H6683" i="1"/>
  <c r="K6682" i="1"/>
  <c r="H6682" i="1"/>
  <c r="K6681" i="1"/>
  <c r="H6681" i="1"/>
  <c r="K6680" i="1"/>
  <c r="H6680" i="1"/>
  <c r="K6679" i="1"/>
  <c r="H6679" i="1"/>
  <c r="K6678" i="1"/>
  <c r="H6678" i="1"/>
  <c r="K6677" i="1"/>
  <c r="H6677" i="1"/>
  <c r="K6676" i="1"/>
  <c r="H6676" i="1"/>
  <c r="K6675" i="1"/>
  <c r="H6675" i="1"/>
  <c r="K6674" i="1"/>
  <c r="H6674" i="1"/>
  <c r="K6673" i="1"/>
  <c r="H6673" i="1"/>
  <c r="K6672" i="1"/>
  <c r="H6672" i="1"/>
  <c r="K6671" i="1"/>
  <c r="H6671" i="1"/>
  <c r="K6670" i="1"/>
  <c r="H6670" i="1"/>
  <c r="K6669" i="1"/>
  <c r="H6669" i="1"/>
  <c r="K6668" i="1"/>
  <c r="H6668" i="1"/>
  <c r="K6667" i="1"/>
  <c r="H6667" i="1"/>
  <c r="K6666" i="1"/>
  <c r="H6666" i="1"/>
  <c r="K6665" i="1"/>
  <c r="H6665" i="1"/>
  <c r="K6664" i="1"/>
  <c r="H6664" i="1"/>
  <c r="K6663" i="1"/>
  <c r="H6663" i="1"/>
  <c r="K6662" i="1"/>
  <c r="H6662" i="1"/>
  <c r="K6661" i="1"/>
  <c r="H6661" i="1"/>
  <c r="K6660" i="1"/>
  <c r="H6660" i="1"/>
  <c r="K6659" i="1"/>
  <c r="H6659" i="1"/>
  <c r="K6658" i="1"/>
  <c r="H6658" i="1"/>
  <c r="K6657" i="1"/>
  <c r="H6657" i="1"/>
  <c r="K6656" i="1"/>
  <c r="H6656" i="1"/>
  <c r="K6655" i="1"/>
  <c r="H6655" i="1"/>
  <c r="K6654" i="1"/>
  <c r="H6654" i="1"/>
  <c r="K6653" i="1"/>
  <c r="H6653" i="1"/>
  <c r="K6652" i="1"/>
  <c r="H6652" i="1"/>
  <c r="K6651" i="1"/>
  <c r="H6651" i="1"/>
  <c r="K6650" i="1"/>
  <c r="H6650" i="1"/>
  <c r="K6649" i="1"/>
  <c r="H6649" i="1"/>
  <c r="K6648" i="1"/>
  <c r="H6648" i="1"/>
  <c r="K6647" i="1"/>
  <c r="H6647" i="1"/>
  <c r="K6646" i="1"/>
  <c r="H6646" i="1"/>
  <c r="K6645" i="1"/>
  <c r="H6645" i="1"/>
  <c r="K6644" i="1"/>
  <c r="H6644" i="1"/>
  <c r="K6643" i="1"/>
  <c r="H6643" i="1"/>
  <c r="K6642" i="1"/>
  <c r="H6642" i="1"/>
  <c r="K6641" i="1"/>
  <c r="H6641" i="1"/>
  <c r="K6640" i="1"/>
  <c r="H6640" i="1"/>
  <c r="K6639" i="1"/>
  <c r="H6639" i="1"/>
  <c r="K6638" i="1"/>
  <c r="H6638" i="1"/>
  <c r="K6637" i="1"/>
  <c r="H6637" i="1"/>
  <c r="K6636" i="1"/>
  <c r="H6636" i="1"/>
  <c r="K6635" i="1"/>
  <c r="H6635" i="1"/>
  <c r="K6634" i="1"/>
  <c r="H6634" i="1"/>
  <c r="K6633" i="1"/>
  <c r="H6633" i="1"/>
  <c r="K6632" i="1"/>
  <c r="H6632" i="1"/>
  <c r="K6631" i="1"/>
  <c r="H6631" i="1"/>
  <c r="K6630" i="1"/>
  <c r="H6630" i="1"/>
  <c r="K6629" i="1"/>
  <c r="H6629" i="1"/>
  <c r="K6628" i="1"/>
  <c r="H6628" i="1"/>
  <c r="K6627" i="1"/>
  <c r="H6627" i="1"/>
  <c r="K6626" i="1"/>
  <c r="H6626" i="1"/>
  <c r="K6625" i="1"/>
  <c r="H6625" i="1"/>
  <c r="K6624" i="1"/>
  <c r="H6624" i="1"/>
  <c r="K6623" i="1"/>
  <c r="H6623" i="1"/>
  <c r="K6622" i="1"/>
  <c r="H6622" i="1"/>
  <c r="K6621" i="1"/>
  <c r="H6621" i="1"/>
  <c r="K6620" i="1"/>
  <c r="H6620" i="1"/>
  <c r="K6619" i="1"/>
  <c r="H6619" i="1"/>
  <c r="K6618" i="1"/>
  <c r="H6618" i="1"/>
  <c r="K6617" i="1"/>
  <c r="H6617" i="1"/>
  <c r="K6616" i="1"/>
  <c r="H6616" i="1"/>
  <c r="K6615" i="1"/>
  <c r="H6615" i="1"/>
  <c r="K6614" i="1"/>
  <c r="H6614" i="1"/>
  <c r="K6613" i="1"/>
  <c r="H6613" i="1"/>
  <c r="K6612" i="1"/>
  <c r="H6612" i="1"/>
  <c r="K6611" i="1"/>
  <c r="H6611" i="1"/>
  <c r="K6610" i="1"/>
  <c r="H6610" i="1"/>
  <c r="K6609" i="1"/>
  <c r="H6609" i="1"/>
  <c r="K6608" i="1"/>
  <c r="H6608" i="1"/>
  <c r="K6607" i="1"/>
  <c r="H6607" i="1"/>
  <c r="K6606" i="1"/>
  <c r="H6606" i="1"/>
  <c r="K6605" i="1"/>
  <c r="H6605" i="1"/>
  <c r="K6604" i="1"/>
  <c r="H6604" i="1"/>
  <c r="K6603" i="1"/>
  <c r="H6603" i="1"/>
  <c r="K6602" i="1"/>
  <c r="H6602" i="1"/>
  <c r="K6601" i="1"/>
  <c r="H6601" i="1"/>
  <c r="K6600" i="1"/>
  <c r="H6600" i="1"/>
  <c r="K6599" i="1"/>
  <c r="H6599" i="1"/>
  <c r="K6598" i="1"/>
  <c r="H6598" i="1"/>
  <c r="K6597" i="1"/>
  <c r="H6597" i="1"/>
  <c r="K6596" i="1"/>
  <c r="H6596" i="1"/>
  <c r="K6595" i="1"/>
  <c r="H6595" i="1"/>
  <c r="K6594" i="1"/>
  <c r="H6594" i="1"/>
  <c r="K6593" i="1"/>
  <c r="H6593" i="1"/>
  <c r="K6592" i="1"/>
  <c r="H6592" i="1"/>
  <c r="K6591" i="1"/>
  <c r="H6591" i="1"/>
  <c r="K6590" i="1"/>
  <c r="H6590" i="1"/>
  <c r="K6589" i="1"/>
  <c r="H6589" i="1"/>
  <c r="K6588" i="1"/>
  <c r="H6588" i="1"/>
  <c r="K6587" i="1"/>
  <c r="H6587" i="1"/>
  <c r="K6586" i="1"/>
  <c r="H6586" i="1"/>
  <c r="K6585" i="1"/>
  <c r="H6585" i="1"/>
  <c r="K6584" i="1"/>
  <c r="H6584" i="1"/>
  <c r="K6583" i="1"/>
  <c r="H6583" i="1"/>
  <c r="K6582" i="1"/>
  <c r="H6582" i="1"/>
  <c r="K6581" i="1"/>
  <c r="H6581" i="1"/>
  <c r="K6580" i="1"/>
  <c r="H6580" i="1"/>
  <c r="K6579" i="1"/>
  <c r="H6579" i="1"/>
  <c r="K6578" i="1"/>
  <c r="H6578" i="1"/>
  <c r="K6577" i="1"/>
  <c r="H6577" i="1"/>
  <c r="K6576" i="1"/>
  <c r="H6576" i="1"/>
  <c r="K6575" i="1"/>
  <c r="H6575" i="1"/>
  <c r="K6574" i="1"/>
  <c r="H6574" i="1"/>
  <c r="K6573" i="1"/>
  <c r="H6573" i="1"/>
  <c r="K6572" i="1"/>
  <c r="H6572" i="1"/>
  <c r="K6571" i="1"/>
  <c r="H6571" i="1"/>
  <c r="K6570" i="1"/>
  <c r="H6570" i="1"/>
  <c r="K6569" i="1"/>
  <c r="H6569" i="1"/>
  <c r="K6568" i="1"/>
  <c r="H6568" i="1"/>
  <c r="K6567" i="1"/>
  <c r="H6567" i="1"/>
  <c r="K6566" i="1"/>
  <c r="H6566" i="1"/>
  <c r="K6565" i="1"/>
  <c r="H6565" i="1"/>
  <c r="K6564" i="1"/>
  <c r="H6564" i="1"/>
  <c r="K6563" i="1"/>
  <c r="H6563" i="1"/>
  <c r="K6562" i="1"/>
  <c r="H6562" i="1"/>
  <c r="K6561" i="1"/>
  <c r="H6561" i="1"/>
  <c r="K6560" i="1"/>
  <c r="H6560" i="1"/>
  <c r="K6559" i="1"/>
  <c r="H6559" i="1"/>
  <c r="K6558" i="1"/>
  <c r="H6558" i="1"/>
  <c r="K6557" i="1"/>
  <c r="H6557" i="1"/>
  <c r="K6556" i="1"/>
  <c r="H6556" i="1"/>
  <c r="K6555" i="1"/>
  <c r="H6555" i="1"/>
  <c r="K6554" i="1"/>
  <c r="H6554" i="1"/>
  <c r="K6553" i="1"/>
  <c r="H6553" i="1"/>
  <c r="K6552" i="1"/>
  <c r="H6552" i="1"/>
  <c r="K6551" i="1"/>
  <c r="H6551" i="1"/>
  <c r="K6550" i="1"/>
  <c r="H6550" i="1"/>
  <c r="K6549" i="1"/>
  <c r="H6549" i="1"/>
  <c r="K6548" i="1"/>
  <c r="H6548" i="1"/>
  <c r="K6547" i="1"/>
  <c r="H6547" i="1"/>
  <c r="K6546" i="1"/>
  <c r="H6546" i="1"/>
  <c r="K6545" i="1"/>
  <c r="H6545" i="1"/>
  <c r="K6544" i="1"/>
  <c r="H6544" i="1"/>
  <c r="K6543" i="1"/>
  <c r="H6543" i="1"/>
  <c r="K6542" i="1"/>
  <c r="H6542" i="1"/>
  <c r="K6541" i="1"/>
  <c r="H6541" i="1"/>
  <c r="K6540" i="1"/>
  <c r="H6540" i="1"/>
  <c r="K6539" i="1"/>
  <c r="H6539" i="1"/>
  <c r="K6538" i="1"/>
  <c r="H6538" i="1"/>
  <c r="K6537" i="1"/>
  <c r="H6537" i="1"/>
  <c r="K6536" i="1"/>
  <c r="H6536" i="1"/>
  <c r="K6535" i="1"/>
  <c r="H6535" i="1"/>
  <c r="K6534" i="1"/>
  <c r="H6534" i="1"/>
  <c r="K6533" i="1"/>
  <c r="H6533" i="1"/>
  <c r="K6532" i="1"/>
  <c r="H6532" i="1"/>
  <c r="K6531" i="1"/>
  <c r="H6531" i="1"/>
  <c r="K6530" i="1"/>
  <c r="H6530" i="1"/>
  <c r="K6529" i="1"/>
  <c r="H6529" i="1"/>
  <c r="K6528" i="1"/>
  <c r="H6528" i="1"/>
  <c r="K6527" i="1"/>
  <c r="H6527" i="1"/>
  <c r="K6526" i="1"/>
  <c r="H6526" i="1"/>
  <c r="K6525" i="1"/>
  <c r="H6525" i="1"/>
  <c r="K6524" i="1"/>
  <c r="H6524" i="1"/>
  <c r="K6523" i="1"/>
  <c r="H6523" i="1"/>
  <c r="K6522" i="1"/>
  <c r="H6522" i="1"/>
  <c r="K6521" i="1"/>
  <c r="H6521" i="1"/>
  <c r="K6520" i="1"/>
  <c r="H6520" i="1"/>
  <c r="K6519" i="1"/>
  <c r="H6519" i="1"/>
  <c r="K6518" i="1"/>
  <c r="H6518" i="1"/>
  <c r="K6517" i="1"/>
  <c r="H6517" i="1"/>
  <c r="K6516" i="1"/>
  <c r="H6516" i="1"/>
  <c r="K6515" i="1"/>
  <c r="H6515" i="1"/>
  <c r="K6514" i="1"/>
  <c r="H6514" i="1"/>
  <c r="K6513" i="1"/>
  <c r="H6513" i="1"/>
  <c r="K6512" i="1"/>
  <c r="H6512" i="1"/>
  <c r="K6511" i="1"/>
  <c r="H6511" i="1"/>
  <c r="K6510" i="1"/>
  <c r="H6510" i="1"/>
  <c r="K6509" i="1"/>
  <c r="H6509" i="1"/>
  <c r="K6508" i="1"/>
  <c r="H6508" i="1"/>
  <c r="K6507" i="1"/>
  <c r="H6507" i="1"/>
  <c r="K6506" i="1"/>
  <c r="H6506" i="1"/>
  <c r="K6505" i="1"/>
  <c r="H6505" i="1"/>
  <c r="K6504" i="1"/>
  <c r="H6504" i="1"/>
  <c r="K6503" i="1"/>
  <c r="H6503" i="1"/>
  <c r="K6502" i="1"/>
  <c r="H6502" i="1"/>
  <c r="K6501" i="1"/>
  <c r="H6501" i="1"/>
  <c r="K6500" i="1"/>
  <c r="H6500" i="1"/>
  <c r="K6499" i="1"/>
  <c r="H6499" i="1"/>
  <c r="K6498" i="1"/>
  <c r="H6498" i="1"/>
  <c r="K6497" i="1"/>
  <c r="H6497" i="1"/>
  <c r="K6496" i="1"/>
  <c r="H6496" i="1"/>
  <c r="K6495" i="1"/>
  <c r="H6495" i="1"/>
  <c r="K6494" i="1"/>
  <c r="H6494" i="1"/>
  <c r="K6493" i="1"/>
  <c r="H6493" i="1"/>
  <c r="K6492" i="1"/>
  <c r="H6492" i="1"/>
  <c r="K6491" i="1"/>
  <c r="H6491" i="1"/>
  <c r="K6490" i="1"/>
  <c r="H6490" i="1"/>
  <c r="K6489" i="1"/>
  <c r="H6489" i="1"/>
  <c r="K6488" i="1"/>
  <c r="H6488" i="1"/>
  <c r="K6487" i="1"/>
  <c r="H6487" i="1"/>
  <c r="K6486" i="1"/>
  <c r="H6486" i="1"/>
  <c r="K6485" i="1"/>
  <c r="H6485" i="1"/>
  <c r="K6484" i="1"/>
  <c r="H6484" i="1"/>
  <c r="K6483" i="1"/>
  <c r="H6483" i="1"/>
  <c r="K6482" i="1"/>
  <c r="H6482" i="1"/>
  <c r="K6481" i="1"/>
  <c r="H6481" i="1"/>
  <c r="K6480" i="1"/>
  <c r="H6480" i="1"/>
  <c r="K6479" i="1"/>
  <c r="H6479" i="1"/>
  <c r="K6478" i="1"/>
  <c r="H6478" i="1"/>
  <c r="K6477" i="1"/>
  <c r="H6477" i="1"/>
  <c r="K6476" i="1"/>
  <c r="H6476" i="1"/>
  <c r="K6475" i="1"/>
  <c r="H6475" i="1"/>
  <c r="K6474" i="1"/>
  <c r="H6474" i="1"/>
  <c r="K6473" i="1"/>
  <c r="H6473" i="1"/>
  <c r="K6472" i="1"/>
  <c r="H6472" i="1"/>
  <c r="K6471" i="1"/>
  <c r="H6471" i="1"/>
  <c r="K6470" i="1"/>
  <c r="H6470" i="1"/>
  <c r="K6469" i="1"/>
  <c r="H6469" i="1"/>
  <c r="K6468" i="1"/>
  <c r="H6468" i="1"/>
  <c r="K6467" i="1"/>
  <c r="H6467" i="1"/>
  <c r="K6466" i="1"/>
  <c r="H6466" i="1"/>
  <c r="K6465" i="1"/>
  <c r="H6465" i="1"/>
  <c r="K6464" i="1"/>
  <c r="H6464" i="1"/>
  <c r="K6463" i="1"/>
  <c r="H6463" i="1"/>
  <c r="K6462" i="1"/>
  <c r="H6462" i="1"/>
  <c r="K6461" i="1"/>
  <c r="H6461" i="1"/>
  <c r="K6460" i="1"/>
  <c r="H6460" i="1"/>
  <c r="K6459" i="1"/>
  <c r="H6459" i="1"/>
  <c r="K6458" i="1"/>
  <c r="H6458" i="1"/>
  <c r="K6457" i="1"/>
  <c r="H6457" i="1"/>
  <c r="K6456" i="1"/>
  <c r="H6456" i="1"/>
  <c r="K6455" i="1"/>
  <c r="H6455" i="1"/>
  <c r="K6454" i="1"/>
  <c r="H6454" i="1"/>
  <c r="K6453" i="1"/>
  <c r="H6453" i="1"/>
  <c r="K6452" i="1"/>
  <c r="H6452" i="1"/>
  <c r="K6451" i="1"/>
  <c r="H6451" i="1"/>
  <c r="K6450" i="1"/>
  <c r="H6450" i="1"/>
  <c r="K6449" i="1"/>
  <c r="H6449" i="1"/>
  <c r="K6448" i="1"/>
  <c r="H6448" i="1"/>
  <c r="K6447" i="1"/>
  <c r="H6447" i="1"/>
  <c r="K6446" i="1"/>
  <c r="H6446" i="1"/>
  <c r="K6445" i="1"/>
  <c r="H6445" i="1"/>
  <c r="K6444" i="1"/>
  <c r="H6444" i="1"/>
  <c r="K6443" i="1"/>
  <c r="H6443" i="1"/>
  <c r="K6442" i="1"/>
  <c r="H6442" i="1"/>
  <c r="K6441" i="1"/>
  <c r="H6441" i="1"/>
  <c r="K6440" i="1"/>
  <c r="H6440" i="1"/>
  <c r="K6439" i="1"/>
  <c r="H6439" i="1"/>
  <c r="K6438" i="1"/>
  <c r="H6438" i="1"/>
  <c r="K6437" i="1"/>
  <c r="H6437" i="1"/>
  <c r="K6436" i="1"/>
  <c r="H6436" i="1"/>
  <c r="K6435" i="1"/>
  <c r="H6435" i="1"/>
  <c r="K6434" i="1"/>
  <c r="H6434" i="1"/>
  <c r="K6433" i="1"/>
  <c r="H6433" i="1"/>
  <c r="K6432" i="1"/>
  <c r="H6432" i="1"/>
  <c r="K6431" i="1"/>
  <c r="H6431" i="1"/>
  <c r="K6430" i="1"/>
  <c r="H6430" i="1"/>
  <c r="K6429" i="1"/>
  <c r="H6429" i="1"/>
  <c r="K6428" i="1"/>
  <c r="H6428" i="1"/>
  <c r="K6427" i="1"/>
  <c r="H6427" i="1"/>
  <c r="K6426" i="1"/>
  <c r="H6426" i="1"/>
  <c r="K6425" i="1"/>
  <c r="H6425" i="1"/>
  <c r="K6424" i="1"/>
  <c r="H6424" i="1"/>
  <c r="K6423" i="1"/>
  <c r="H6423" i="1"/>
  <c r="K6422" i="1"/>
  <c r="H6422" i="1"/>
  <c r="K6421" i="1"/>
  <c r="H6421" i="1"/>
  <c r="K6420" i="1"/>
  <c r="H6420" i="1"/>
  <c r="K6419" i="1"/>
  <c r="H6419" i="1"/>
  <c r="K6418" i="1"/>
  <c r="H6418" i="1"/>
  <c r="K6417" i="1"/>
  <c r="H6417" i="1"/>
  <c r="K6416" i="1"/>
  <c r="H6416" i="1"/>
  <c r="K6415" i="1"/>
  <c r="H6415" i="1"/>
  <c r="K6414" i="1"/>
  <c r="H6414" i="1"/>
  <c r="K6413" i="1"/>
  <c r="H6413" i="1"/>
  <c r="K6412" i="1"/>
  <c r="H6412" i="1"/>
  <c r="K6411" i="1"/>
  <c r="H6411" i="1"/>
  <c r="K6410" i="1"/>
  <c r="H6410" i="1"/>
  <c r="K6409" i="1"/>
  <c r="H6409" i="1"/>
  <c r="K6408" i="1"/>
  <c r="H6408" i="1"/>
  <c r="K6407" i="1"/>
  <c r="H6407" i="1"/>
  <c r="K6406" i="1"/>
  <c r="H6406" i="1"/>
  <c r="K6405" i="1"/>
  <c r="H6405" i="1"/>
  <c r="K6404" i="1"/>
  <c r="H6404" i="1"/>
  <c r="K6403" i="1"/>
  <c r="H6403" i="1"/>
  <c r="K6402" i="1"/>
  <c r="H6402" i="1"/>
  <c r="K6401" i="1"/>
  <c r="H6401" i="1"/>
  <c r="K6400" i="1"/>
  <c r="H6400" i="1"/>
  <c r="K6399" i="1"/>
  <c r="H6399" i="1"/>
  <c r="K6398" i="1"/>
  <c r="H6398" i="1"/>
  <c r="K6397" i="1"/>
  <c r="H6397" i="1"/>
  <c r="K6396" i="1"/>
  <c r="H6396" i="1"/>
  <c r="K6395" i="1"/>
  <c r="H6395" i="1"/>
  <c r="K6394" i="1"/>
  <c r="H6394" i="1"/>
  <c r="K6393" i="1"/>
  <c r="H6393" i="1"/>
  <c r="K6392" i="1"/>
  <c r="H6392" i="1"/>
  <c r="K6391" i="1"/>
  <c r="H6391" i="1"/>
  <c r="K6390" i="1"/>
  <c r="H6390" i="1"/>
  <c r="K6389" i="1"/>
  <c r="H6389" i="1"/>
  <c r="K6388" i="1"/>
  <c r="H6388" i="1"/>
  <c r="K6387" i="1"/>
  <c r="H6387" i="1"/>
  <c r="K6386" i="1"/>
  <c r="H6386" i="1"/>
  <c r="K6385" i="1"/>
  <c r="H6385" i="1"/>
  <c r="K6384" i="1"/>
  <c r="H6384" i="1"/>
  <c r="K6383" i="1"/>
  <c r="H6383" i="1"/>
  <c r="K6382" i="1"/>
  <c r="H6382" i="1"/>
  <c r="K6381" i="1"/>
  <c r="H6381" i="1"/>
  <c r="K6380" i="1"/>
  <c r="H6380" i="1"/>
  <c r="K6379" i="1"/>
  <c r="H6379" i="1"/>
  <c r="K6378" i="1"/>
  <c r="H6378" i="1"/>
  <c r="K6377" i="1"/>
  <c r="H6377" i="1"/>
  <c r="K6376" i="1"/>
  <c r="H6376" i="1"/>
  <c r="K6375" i="1"/>
  <c r="H6375" i="1"/>
  <c r="K6374" i="1"/>
  <c r="H6374" i="1"/>
  <c r="K6373" i="1"/>
  <c r="H6373" i="1"/>
  <c r="K6372" i="1"/>
  <c r="H6372" i="1"/>
  <c r="K6371" i="1"/>
  <c r="H6371" i="1"/>
  <c r="K6370" i="1"/>
  <c r="H6370" i="1"/>
  <c r="K6369" i="1"/>
  <c r="H6369" i="1"/>
  <c r="K6368" i="1"/>
  <c r="H6368" i="1"/>
  <c r="K6367" i="1"/>
  <c r="H6367" i="1"/>
  <c r="K6366" i="1"/>
  <c r="H6366" i="1"/>
  <c r="K6365" i="1"/>
  <c r="H6365" i="1"/>
  <c r="K6364" i="1"/>
  <c r="H6364" i="1"/>
  <c r="K6363" i="1"/>
  <c r="H6363" i="1"/>
  <c r="K6362" i="1"/>
  <c r="H6362" i="1"/>
  <c r="K6361" i="1"/>
  <c r="H6361" i="1"/>
  <c r="K6360" i="1"/>
  <c r="H6360" i="1"/>
  <c r="K6359" i="1"/>
  <c r="H6359" i="1"/>
  <c r="K6358" i="1"/>
  <c r="H6358" i="1"/>
  <c r="K6357" i="1"/>
  <c r="H6357" i="1"/>
  <c r="K6356" i="1"/>
  <c r="H6356" i="1"/>
  <c r="K6355" i="1"/>
  <c r="H6355" i="1"/>
  <c r="K6354" i="1"/>
  <c r="H6354" i="1"/>
  <c r="K6353" i="1"/>
  <c r="H6353" i="1"/>
  <c r="K6352" i="1"/>
  <c r="H6352" i="1"/>
  <c r="K6351" i="1"/>
  <c r="H6351" i="1"/>
  <c r="K6350" i="1"/>
  <c r="H6350" i="1"/>
  <c r="K6349" i="1"/>
  <c r="H6349" i="1"/>
  <c r="K6348" i="1"/>
  <c r="H6348" i="1"/>
  <c r="K6347" i="1"/>
  <c r="H6347" i="1"/>
  <c r="K6346" i="1"/>
  <c r="H6346" i="1"/>
  <c r="K6345" i="1"/>
  <c r="H6345" i="1"/>
  <c r="K6344" i="1"/>
  <c r="H6344" i="1"/>
  <c r="K6343" i="1"/>
  <c r="H6343" i="1"/>
  <c r="K6342" i="1"/>
  <c r="H6342" i="1"/>
  <c r="K6341" i="1"/>
  <c r="H6341" i="1"/>
  <c r="K6340" i="1"/>
  <c r="H6340" i="1"/>
  <c r="K6339" i="1"/>
  <c r="H6339" i="1"/>
  <c r="K6338" i="1"/>
  <c r="H6338" i="1"/>
  <c r="K6337" i="1"/>
  <c r="H6337" i="1"/>
  <c r="K6336" i="1"/>
  <c r="H6336" i="1"/>
  <c r="K6335" i="1"/>
  <c r="H6335" i="1"/>
  <c r="K6334" i="1"/>
  <c r="H6334" i="1"/>
  <c r="K6333" i="1"/>
  <c r="H6333" i="1"/>
  <c r="K6332" i="1"/>
  <c r="H6332" i="1"/>
  <c r="K6331" i="1"/>
  <c r="H6331" i="1"/>
  <c r="K6330" i="1"/>
  <c r="H6330" i="1"/>
  <c r="K6329" i="1"/>
  <c r="H6329" i="1"/>
  <c r="K6328" i="1"/>
  <c r="H6328" i="1"/>
  <c r="K6327" i="1"/>
  <c r="H6327" i="1"/>
  <c r="K6326" i="1"/>
  <c r="H6326" i="1"/>
  <c r="K6325" i="1"/>
  <c r="H6325" i="1"/>
  <c r="K6324" i="1"/>
  <c r="H6324" i="1"/>
  <c r="K6323" i="1"/>
  <c r="H6323" i="1"/>
  <c r="K6322" i="1"/>
  <c r="H6322" i="1"/>
  <c r="K6321" i="1"/>
  <c r="H6321" i="1"/>
  <c r="K6320" i="1"/>
  <c r="H6320" i="1"/>
  <c r="K6319" i="1"/>
  <c r="H6319" i="1"/>
  <c r="K6318" i="1"/>
  <c r="H6318" i="1"/>
  <c r="K6317" i="1"/>
  <c r="H6317" i="1"/>
  <c r="K6316" i="1"/>
  <c r="H6316" i="1"/>
  <c r="K6315" i="1"/>
  <c r="H6315" i="1"/>
  <c r="K6314" i="1"/>
  <c r="H6314" i="1"/>
  <c r="K6313" i="1"/>
  <c r="H6313" i="1"/>
  <c r="K6312" i="1"/>
  <c r="H6312" i="1"/>
  <c r="K6311" i="1"/>
  <c r="H6311" i="1"/>
  <c r="K6310" i="1"/>
  <c r="H6310" i="1"/>
  <c r="K6309" i="1"/>
  <c r="H6309" i="1"/>
  <c r="K6308" i="1"/>
  <c r="H6308" i="1"/>
  <c r="K6307" i="1"/>
  <c r="H6307" i="1"/>
  <c r="K6306" i="1"/>
  <c r="H6306" i="1"/>
  <c r="K6305" i="1"/>
  <c r="H6305" i="1"/>
  <c r="K6304" i="1"/>
  <c r="H6304" i="1"/>
  <c r="K6303" i="1"/>
  <c r="H6303" i="1"/>
  <c r="K6302" i="1"/>
  <c r="H6302" i="1"/>
  <c r="K6301" i="1"/>
  <c r="H6301" i="1"/>
  <c r="K6300" i="1"/>
  <c r="H6300" i="1"/>
  <c r="K6299" i="1"/>
  <c r="H6299" i="1"/>
  <c r="K6298" i="1"/>
  <c r="H6298" i="1"/>
  <c r="K6297" i="1"/>
  <c r="H6297" i="1"/>
  <c r="K6296" i="1"/>
  <c r="H6296" i="1"/>
  <c r="K6295" i="1"/>
  <c r="H6295" i="1"/>
  <c r="K6294" i="1"/>
  <c r="H6294" i="1"/>
  <c r="K6293" i="1"/>
  <c r="H6293" i="1"/>
  <c r="K6292" i="1"/>
  <c r="H6292" i="1"/>
  <c r="K6291" i="1"/>
  <c r="H6291" i="1"/>
  <c r="K6290" i="1"/>
  <c r="H6290" i="1"/>
  <c r="K6289" i="1"/>
  <c r="H6289" i="1"/>
  <c r="K6288" i="1"/>
  <c r="H6288" i="1"/>
  <c r="K6287" i="1"/>
  <c r="H6287" i="1"/>
  <c r="K6286" i="1"/>
  <c r="H6286" i="1"/>
  <c r="K6285" i="1"/>
  <c r="H6285" i="1"/>
  <c r="K6284" i="1"/>
  <c r="H6284" i="1"/>
  <c r="K6283" i="1"/>
  <c r="H6283" i="1"/>
  <c r="K6282" i="1"/>
  <c r="H6282" i="1"/>
  <c r="K6281" i="1"/>
  <c r="H6281" i="1"/>
  <c r="K6280" i="1"/>
  <c r="H6280" i="1"/>
  <c r="K6279" i="1"/>
  <c r="H6279" i="1"/>
  <c r="K6278" i="1"/>
  <c r="H6278" i="1"/>
  <c r="K6277" i="1"/>
  <c r="H6277" i="1"/>
  <c r="K6276" i="1"/>
  <c r="H6276" i="1"/>
  <c r="K6275" i="1"/>
  <c r="H6275" i="1"/>
  <c r="K6274" i="1"/>
  <c r="H6274" i="1"/>
  <c r="K6273" i="1"/>
  <c r="H6273" i="1"/>
  <c r="K6272" i="1"/>
  <c r="H6272" i="1"/>
  <c r="K6271" i="1"/>
  <c r="H6271" i="1"/>
  <c r="K6270" i="1"/>
  <c r="H6270" i="1"/>
  <c r="K6269" i="1"/>
  <c r="H6269" i="1"/>
  <c r="K6268" i="1"/>
  <c r="H6268" i="1"/>
  <c r="K6267" i="1"/>
  <c r="H6267" i="1"/>
  <c r="K6266" i="1"/>
  <c r="H6266" i="1"/>
  <c r="K6265" i="1"/>
  <c r="H6265" i="1"/>
  <c r="K6264" i="1"/>
  <c r="H6264" i="1"/>
  <c r="K6263" i="1"/>
  <c r="H6263" i="1"/>
  <c r="K6262" i="1"/>
  <c r="H6262" i="1"/>
  <c r="K6261" i="1"/>
  <c r="H6261" i="1"/>
  <c r="K6260" i="1"/>
  <c r="H6260" i="1"/>
  <c r="K6259" i="1"/>
  <c r="H6259" i="1"/>
  <c r="K6258" i="1"/>
  <c r="H6258" i="1"/>
  <c r="K6257" i="1"/>
  <c r="H6257" i="1"/>
  <c r="K6256" i="1"/>
  <c r="H6256" i="1"/>
  <c r="K6255" i="1"/>
  <c r="H6255" i="1"/>
  <c r="K6254" i="1"/>
  <c r="H6254" i="1"/>
  <c r="K6253" i="1"/>
  <c r="H6253" i="1"/>
  <c r="K6252" i="1"/>
  <c r="H6252" i="1"/>
  <c r="K6251" i="1"/>
  <c r="H6251" i="1"/>
  <c r="K6250" i="1"/>
  <c r="H6250" i="1"/>
  <c r="K6249" i="1"/>
  <c r="H6249" i="1"/>
  <c r="K6248" i="1"/>
  <c r="H6248" i="1"/>
  <c r="K6247" i="1"/>
  <c r="H6247" i="1"/>
  <c r="K6246" i="1"/>
  <c r="H6246" i="1"/>
  <c r="K6245" i="1"/>
  <c r="H6245" i="1"/>
  <c r="K6244" i="1"/>
  <c r="H6244" i="1"/>
  <c r="K6243" i="1"/>
  <c r="H6243" i="1"/>
  <c r="K6242" i="1"/>
  <c r="H6242" i="1"/>
  <c r="K6241" i="1"/>
  <c r="H6241" i="1"/>
  <c r="K6240" i="1"/>
  <c r="H6240" i="1"/>
  <c r="K6239" i="1"/>
  <c r="H6239" i="1"/>
  <c r="K6238" i="1"/>
  <c r="H6238" i="1"/>
  <c r="K6237" i="1"/>
  <c r="H6237" i="1"/>
  <c r="K6236" i="1"/>
  <c r="H6236" i="1"/>
  <c r="K6235" i="1"/>
  <c r="H6235" i="1"/>
  <c r="K6234" i="1"/>
  <c r="H6234" i="1"/>
  <c r="K6233" i="1"/>
  <c r="H6233" i="1"/>
  <c r="K6232" i="1"/>
  <c r="H6232" i="1"/>
  <c r="K6231" i="1"/>
  <c r="H6231" i="1"/>
  <c r="K6230" i="1"/>
  <c r="H6230" i="1"/>
  <c r="K6229" i="1"/>
  <c r="H6229" i="1"/>
  <c r="K6228" i="1"/>
  <c r="H6228" i="1"/>
  <c r="K6227" i="1"/>
  <c r="H6227" i="1"/>
  <c r="K6226" i="1"/>
  <c r="H6226" i="1"/>
  <c r="K6225" i="1"/>
  <c r="H6225" i="1"/>
  <c r="K6224" i="1"/>
  <c r="H6224" i="1"/>
  <c r="K6223" i="1"/>
  <c r="H6223" i="1"/>
  <c r="K6222" i="1"/>
  <c r="H6222" i="1"/>
  <c r="K6221" i="1"/>
  <c r="H6221" i="1"/>
  <c r="K6220" i="1"/>
  <c r="H6220" i="1"/>
  <c r="K6219" i="1"/>
  <c r="H6219" i="1"/>
  <c r="K6218" i="1"/>
  <c r="H6218" i="1"/>
  <c r="K6217" i="1"/>
  <c r="H6217" i="1"/>
  <c r="K6216" i="1"/>
  <c r="H6216" i="1"/>
  <c r="K6215" i="1"/>
  <c r="H6215" i="1"/>
  <c r="K6214" i="1"/>
  <c r="H6214" i="1"/>
  <c r="K6213" i="1"/>
  <c r="H6213" i="1"/>
  <c r="K6212" i="1"/>
  <c r="H6212" i="1"/>
  <c r="K6211" i="1"/>
  <c r="H6211" i="1"/>
  <c r="K6210" i="1"/>
  <c r="H6210" i="1"/>
  <c r="K6209" i="1"/>
  <c r="H6209" i="1"/>
  <c r="K6208" i="1"/>
  <c r="H6208" i="1"/>
  <c r="K6207" i="1"/>
  <c r="H6207" i="1"/>
  <c r="K6206" i="1"/>
  <c r="H6206" i="1"/>
  <c r="K6205" i="1"/>
  <c r="H6205" i="1"/>
  <c r="K6204" i="1"/>
  <c r="H6204" i="1"/>
  <c r="K6203" i="1"/>
  <c r="H6203" i="1"/>
  <c r="K6202" i="1"/>
  <c r="H6202" i="1"/>
  <c r="K6201" i="1"/>
  <c r="H6201" i="1"/>
  <c r="K6200" i="1"/>
  <c r="H6200" i="1"/>
  <c r="K6199" i="1"/>
  <c r="H6199" i="1"/>
  <c r="K6198" i="1"/>
  <c r="H6198" i="1"/>
  <c r="K6197" i="1"/>
  <c r="H6197" i="1"/>
  <c r="K6196" i="1"/>
  <c r="H6196" i="1"/>
  <c r="K6195" i="1"/>
  <c r="H6195" i="1"/>
  <c r="K6194" i="1"/>
  <c r="H6194" i="1"/>
  <c r="K6193" i="1"/>
  <c r="H6193" i="1"/>
  <c r="K6192" i="1"/>
  <c r="H6192" i="1"/>
  <c r="K6191" i="1"/>
  <c r="H6191" i="1"/>
  <c r="K6190" i="1"/>
  <c r="H6190" i="1"/>
  <c r="K6189" i="1"/>
  <c r="H6189" i="1"/>
  <c r="K6188" i="1"/>
  <c r="H6188" i="1"/>
  <c r="K6187" i="1"/>
  <c r="H6187" i="1"/>
  <c r="K6186" i="1"/>
  <c r="H6186" i="1"/>
  <c r="K6185" i="1"/>
  <c r="H6185" i="1"/>
  <c r="K6184" i="1"/>
  <c r="H6184" i="1"/>
  <c r="K6183" i="1"/>
  <c r="H6183" i="1"/>
  <c r="K6182" i="1"/>
  <c r="H6182" i="1"/>
  <c r="K6181" i="1"/>
  <c r="H6181" i="1"/>
  <c r="K6180" i="1"/>
  <c r="H6180" i="1"/>
  <c r="K6179" i="1"/>
  <c r="H6179" i="1"/>
  <c r="K6178" i="1"/>
  <c r="H6178" i="1"/>
  <c r="K6177" i="1"/>
  <c r="H6177" i="1"/>
  <c r="K6176" i="1"/>
  <c r="H6176" i="1"/>
  <c r="K6175" i="1"/>
  <c r="H6175" i="1"/>
  <c r="K6174" i="1"/>
  <c r="H6174" i="1"/>
  <c r="K6173" i="1"/>
  <c r="H6173" i="1"/>
  <c r="K6172" i="1"/>
  <c r="H6172" i="1"/>
  <c r="K6171" i="1"/>
  <c r="H6171" i="1"/>
  <c r="K6170" i="1"/>
  <c r="H6170" i="1"/>
  <c r="K6169" i="1"/>
  <c r="H6169" i="1"/>
  <c r="K6168" i="1"/>
  <c r="H6168" i="1"/>
  <c r="K6167" i="1"/>
  <c r="H6167" i="1"/>
  <c r="K6166" i="1"/>
  <c r="H6166" i="1"/>
  <c r="K6165" i="1"/>
  <c r="H6165" i="1"/>
  <c r="K6164" i="1"/>
  <c r="H6164" i="1"/>
  <c r="K6163" i="1"/>
  <c r="H6163" i="1"/>
  <c r="K6162" i="1"/>
  <c r="H6162" i="1"/>
  <c r="K6161" i="1"/>
  <c r="H6161" i="1"/>
  <c r="K6160" i="1"/>
  <c r="H6160" i="1"/>
  <c r="K6159" i="1"/>
  <c r="H6159" i="1"/>
  <c r="K6158" i="1"/>
  <c r="H6158" i="1"/>
  <c r="K6157" i="1"/>
  <c r="H6157" i="1"/>
  <c r="K6156" i="1"/>
  <c r="H6156" i="1"/>
  <c r="K6155" i="1"/>
  <c r="H6155" i="1"/>
  <c r="K6154" i="1"/>
  <c r="H6154" i="1"/>
  <c r="K6153" i="1"/>
  <c r="H6153" i="1"/>
  <c r="K6152" i="1"/>
  <c r="H6152" i="1"/>
  <c r="K6151" i="1"/>
  <c r="H6151" i="1"/>
  <c r="K6150" i="1"/>
  <c r="H6150" i="1"/>
  <c r="K6149" i="1"/>
  <c r="H6149" i="1"/>
  <c r="K6148" i="1"/>
  <c r="H6148" i="1"/>
  <c r="K6147" i="1"/>
  <c r="H6147" i="1"/>
  <c r="K6146" i="1"/>
  <c r="H6146" i="1"/>
  <c r="K6145" i="1"/>
  <c r="H6145" i="1"/>
  <c r="K6144" i="1"/>
  <c r="H6144" i="1"/>
  <c r="K6143" i="1"/>
  <c r="H6143" i="1"/>
  <c r="K6142" i="1"/>
  <c r="H6142" i="1"/>
  <c r="K6141" i="1"/>
  <c r="H6141" i="1"/>
  <c r="K6140" i="1"/>
  <c r="H6140" i="1"/>
  <c r="K6139" i="1"/>
  <c r="H6139" i="1"/>
  <c r="K6138" i="1"/>
  <c r="H6138" i="1"/>
  <c r="K6137" i="1"/>
  <c r="H6137" i="1"/>
  <c r="K6136" i="1"/>
  <c r="H6136" i="1"/>
  <c r="K6135" i="1"/>
  <c r="H6135" i="1"/>
  <c r="K6134" i="1"/>
  <c r="H6134" i="1"/>
  <c r="K6133" i="1"/>
  <c r="H6133" i="1"/>
  <c r="K6132" i="1"/>
  <c r="H6132" i="1"/>
  <c r="K6131" i="1"/>
  <c r="H6131" i="1"/>
  <c r="K6130" i="1"/>
  <c r="H6130" i="1"/>
  <c r="K6129" i="1"/>
  <c r="H6129" i="1"/>
  <c r="K6128" i="1"/>
  <c r="H6128" i="1"/>
  <c r="K6127" i="1"/>
  <c r="H6127" i="1"/>
  <c r="K6126" i="1"/>
  <c r="H6126" i="1"/>
  <c r="K6125" i="1"/>
  <c r="H6125" i="1"/>
  <c r="K6124" i="1"/>
  <c r="H6124" i="1"/>
  <c r="K6123" i="1"/>
  <c r="H6123" i="1"/>
  <c r="K6122" i="1"/>
  <c r="H6122" i="1"/>
  <c r="K6121" i="1"/>
  <c r="H6121" i="1"/>
  <c r="K6120" i="1"/>
  <c r="H6120" i="1"/>
  <c r="K6119" i="1"/>
  <c r="H6119" i="1"/>
  <c r="K6118" i="1"/>
  <c r="H6118" i="1"/>
  <c r="K6117" i="1"/>
  <c r="H6117" i="1"/>
  <c r="K6116" i="1"/>
  <c r="H6116" i="1"/>
  <c r="K6115" i="1"/>
  <c r="H6115" i="1"/>
  <c r="K6114" i="1"/>
  <c r="H6114" i="1"/>
  <c r="K6113" i="1"/>
  <c r="H6113" i="1"/>
  <c r="K6112" i="1"/>
  <c r="H6112" i="1"/>
  <c r="K6111" i="1"/>
  <c r="H6111" i="1"/>
  <c r="K6110" i="1"/>
  <c r="H6110" i="1"/>
  <c r="K6109" i="1"/>
  <c r="H6109" i="1"/>
  <c r="K6108" i="1"/>
  <c r="H6108" i="1"/>
  <c r="K6107" i="1"/>
  <c r="H6107" i="1"/>
  <c r="K6106" i="1"/>
  <c r="H6106" i="1"/>
  <c r="K6105" i="1"/>
  <c r="H6105" i="1"/>
  <c r="K6104" i="1"/>
  <c r="H6104" i="1"/>
  <c r="K6103" i="1"/>
  <c r="H6103" i="1"/>
  <c r="K6102" i="1"/>
  <c r="H6102" i="1"/>
  <c r="K6101" i="1"/>
  <c r="H6101" i="1"/>
  <c r="K6100" i="1"/>
  <c r="H6100" i="1"/>
  <c r="K6099" i="1"/>
  <c r="H6099" i="1"/>
  <c r="K6098" i="1"/>
  <c r="H6098" i="1"/>
  <c r="K6097" i="1"/>
  <c r="H6097" i="1"/>
  <c r="K6096" i="1"/>
  <c r="H6096" i="1"/>
  <c r="K6095" i="1"/>
  <c r="H6095" i="1"/>
  <c r="K6094" i="1"/>
  <c r="H6094" i="1"/>
  <c r="K6093" i="1"/>
  <c r="H6093" i="1"/>
  <c r="K6092" i="1"/>
  <c r="H6092" i="1"/>
  <c r="K6091" i="1"/>
  <c r="H6091" i="1"/>
  <c r="K6090" i="1"/>
  <c r="H6090" i="1"/>
  <c r="K6089" i="1"/>
  <c r="H6089" i="1"/>
  <c r="K6088" i="1"/>
  <c r="H6088" i="1"/>
  <c r="K6087" i="1"/>
  <c r="H6087" i="1"/>
  <c r="K6086" i="1"/>
  <c r="H6086" i="1"/>
  <c r="K6085" i="1"/>
  <c r="H6085" i="1"/>
  <c r="K6084" i="1"/>
  <c r="H6084" i="1"/>
  <c r="K6083" i="1"/>
  <c r="H6083" i="1"/>
  <c r="K6082" i="1"/>
  <c r="H6082" i="1"/>
  <c r="K6081" i="1"/>
  <c r="H6081" i="1"/>
  <c r="K6080" i="1"/>
  <c r="H6080" i="1"/>
  <c r="K6079" i="1"/>
  <c r="H6079" i="1"/>
  <c r="K6078" i="1"/>
  <c r="H6078" i="1"/>
  <c r="K6077" i="1"/>
  <c r="H6077" i="1"/>
  <c r="K6076" i="1"/>
  <c r="H6076" i="1"/>
  <c r="K6075" i="1"/>
  <c r="H6075" i="1"/>
  <c r="K6074" i="1"/>
  <c r="H6074" i="1"/>
  <c r="K6073" i="1"/>
  <c r="H6073" i="1"/>
  <c r="K6072" i="1"/>
  <c r="H6072" i="1"/>
  <c r="K6071" i="1"/>
  <c r="H6071" i="1"/>
  <c r="K6070" i="1"/>
  <c r="H6070" i="1"/>
  <c r="K6069" i="1"/>
  <c r="H6069" i="1"/>
  <c r="K6068" i="1"/>
  <c r="H6068" i="1"/>
  <c r="K6067" i="1"/>
  <c r="H6067" i="1"/>
  <c r="K6066" i="1"/>
  <c r="H6066" i="1"/>
  <c r="K6065" i="1"/>
  <c r="H6065" i="1"/>
  <c r="K6064" i="1"/>
  <c r="H6064" i="1"/>
  <c r="K6063" i="1"/>
  <c r="H6063" i="1"/>
  <c r="K6062" i="1"/>
  <c r="H6062" i="1"/>
  <c r="K6061" i="1"/>
  <c r="H6061" i="1"/>
  <c r="K6060" i="1"/>
  <c r="H6060" i="1"/>
  <c r="K6059" i="1"/>
  <c r="H6059" i="1"/>
  <c r="K6058" i="1"/>
  <c r="H6058" i="1"/>
  <c r="K6057" i="1"/>
  <c r="H6057" i="1"/>
  <c r="K6056" i="1"/>
  <c r="H6056" i="1"/>
  <c r="K6055" i="1"/>
  <c r="H6055" i="1"/>
  <c r="K6054" i="1"/>
  <c r="H6054" i="1"/>
  <c r="K6053" i="1"/>
  <c r="H6053" i="1"/>
  <c r="K6052" i="1"/>
  <c r="H6052" i="1"/>
  <c r="K6051" i="1"/>
  <c r="H6051" i="1"/>
  <c r="K6050" i="1"/>
  <c r="H6050" i="1"/>
  <c r="K6049" i="1"/>
  <c r="H6049" i="1"/>
  <c r="K6048" i="1"/>
  <c r="H6048" i="1"/>
  <c r="K6047" i="1"/>
  <c r="H6047" i="1"/>
  <c r="K6046" i="1"/>
  <c r="H6046" i="1"/>
  <c r="K6045" i="1"/>
  <c r="H6045" i="1"/>
  <c r="K6044" i="1"/>
  <c r="H6044" i="1"/>
  <c r="K6043" i="1"/>
  <c r="H6043" i="1"/>
  <c r="K6042" i="1"/>
  <c r="H6042" i="1"/>
  <c r="K6041" i="1"/>
  <c r="H6041" i="1"/>
  <c r="K6040" i="1"/>
  <c r="H6040" i="1"/>
  <c r="K6039" i="1"/>
  <c r="H6039" i="1"/>
  <c r="K6038" i="1"/>
  <c r="H6038" i="1"/>
  <c r="K6037" i="1"/>
  <c r="H6037" i="1"/>
  <c r="K6036" i="1"/>
  <c r="H6036" i="1"/>
  <c r="K6035" i="1"/>
  <c r="H6035" i="1"/>
  <c r="K6034" i="1"/>
  <c r="H6034" i="1"/>
  <c r="K6033" i="1"/>
  <c r="H6033" i="1"/>
  <c r="K6032" i="1"/>
  <c r="H6032" i="1"/>
  <c r="K6031" i="1"/>
  <c r="H6031" i="1"/>
  <c r="K6030" i="1"/>
  <c r="H6030" i="1"/>
  <c r="K6029" i="1"/>
  <c r="H6029" i="1"/>
  <c r="K6028" i="1"/>
  <c r="H6028" i="1"/>
  <c r="K6027" i="1"/>
  <c r="H6027" i="1"/>
  <c r="K6026" i="1"/>
  <c r="H6026" i="1"/>
  <c r="K6025" i="1"/>
  <c r="H6025" i="1"/>
  <c r="K6024" i="1"/>
  <c r="H6024" i="1"/>
  <c r="K6023" i="1"/>
  <c r="H6023" i="1"/>
  <c r="K6022" i="1"/>
  <c r="H6022" i="1"/>
  <c r="K6021" i="1"/>
  <c r="H6021" i="1"/>
  <c r="K6020" i="1"/>
  <c r="H6020" i="1"/>
  <c r="K6019" i="1"/>
  <c r="H6019" i="1"/>
  <c r="K6018" i="1"/>
  <c r="H6018" i="1"/>
  <c r="K6017" i="1"/>
  <c r="H6017" i="1"/>
  <c r="K6016" i="1"/>
  <c r="H6016" i="1"/>
  <c r="K6015" i="1"/>
  <c r="H6015" i="1"/>
  <c r="K6014" i="1"/>
  <c r="H6014" i="1"/>
  <c r="K6013" i="1"/>
  <c r="H6013" i="1"/>
  <c r="K6012" i="1"/>
  <c r="H6012" i="1"/>
  <c r="K6011" i="1"/>
  <c r="H6011" i="1"/>
  <c r="K6010" i="1"/>
  <c r="H6010" i="1"/>
  <c r="K6009" i="1"/>
  <c r="H6009" i="1"/>
  <c r="K6008" i="1"/>
  <c r="H6008" i="1"/>
  <c r="K6007" i="1"/>
  <c r="H6007" i="1"/>
  <c r="K6006" i="1"/>
  <c r="H6006" i="1"/>
  <c r="K6005" i="1"/>
  <c r="H6005" i="1"/>
  <c r="K6004" i="1"/>
  <c r="H6004" i="1"/>
  <c r="K6003" i="1"/>
  <c r="H6003" i="1"/>
  <c r="K6002" i="1"/>
  <c r="H6002" i="1"/>
  <c r="K6001" i="1"/>
  <c r="H6001" i="1"/>
  <c r="K6000" i="1"/>
  <c r="H6000" i="1"/>
  <c r="K5999" i="1"/>
  <c r="H5999" i="1"/>
  <c r="K5998" i="1"/>
  <c r="H5998" i="1"/>
  <c r="K5997" i="1"/>
  <c r="H5997" i="1"/>
  <c r="K5996" i="1"/>
  <c r="H5996" i="1"/>
  <c r="K5995" i="1"/>
  <c r="H5995" i="1"/>
  <c r="K5994" i="1"/>
  <c r="H5994" i="1"/>
  <c r="K5993" i="1"/>
  <c r="H5993" i="1"/>
  <c r="K5992" i="1"/>
  <c r="H5992" i="1"/>
  <c r="K5991" i="1"/>
  <c r="H5991" i="1"/>
  <c r="K5990" i="1"/>
  <c r="H5990" i="1"/>
  <c r="K5989" i="1"/>
  <c r="H5989" i="1"/>
  <c r="K5988" i="1"/>
  <c r="H5988" i="1"/>
  <c r="K5987" i="1"/>
  <c r="H5987" i="1"/>
  <c r="K5986" i="1"/>
  <c r="H5986" i="1"/>
  <c r="K5985" i="1"/>
  <c r="H5985" i="1"/>
  <c r="K5984" i="1"/>
  <c r="H5984" i="1"/>
  <c r="K5983" i="1"/>
  <c r="H5983" i="1"/>
  <c r="K5982" i="1"/>
  <c r="H5982" i="1"/>
  <c r="K5981" i="1"/>
  <c r="H5981" i="1"/>
  <c r="K5980" i="1"/>
  <c r="H5980" i="1"/>
  <c r="K5979" i="1"/>
  <c r="H5979" i="1"/>
  <c r="K5978" i="1"/>
  <c r="H5978" i="1"/>
  <c r="K5977" i="1"/>
  <c r="H5977" i="1"/>
  <c r="K5976" i="1"/>
  <c r="H5976" i="1"/>
  <c r="K5975" i="1"/>
  <c r="H5975" i="1"/>
  <c r="K5974" i="1"/>
  <c r="H5974" i="1"/>
  <c r="K5973" i="1"/>
  <c r="H5973" i="1"/>
  <c r="K5972" i="1"/>
  <c r="H5972" i="1"/>
  <c r="K5971" i="1"/>
  <c r="H5971" i="1"/>
  <c r="K5970" i="1"/>
  <c r="H5970" i="1"/>
  <c r="K5969" i="1"/>
  <c r="H5969" i="1"/>
  <c r="K5968" i="1"/>
  <c r="H5968" i="1"/>
  <c r="K5967" i="1"/>
  <c r="H5967" i="1"/>
  <c r="K5966" i="1"/>
  <c r="H5966" i="1"/>
  <c r="K5965" i="1"/>
  <c r="H5965" i="1"/>
  <c r="K5964" i="1"/>
  <c r="H5964" i="1"/>
  <c r="K5963" i="1"/>
  <c r="H5963" i="1"/>
  <c r="K5962" i="1"/>
  <c r="H5962" i="1"/>
  <c r="K5961" i="1"/>
  <c r="H5961" i="1"/>
  <c r="K5960" i="1"/>
  <c r="H5960" i="1"/>
  <c r="K5959" i="1"/>
  <c r="H5959" i="1"/>
  <c r="K5958" i="1"/>
  <c r="H5958" i="1"/>
  <c r="K5957" i="1"/>
  <c r="H5957" i="1"/>
  <c r="K5956" i="1"/>
  <c r="H5956" i="1"/>
  <c r="K5955" i="1"/>
  <c r="H5955" i="1"/>
  <c r="K5954" i="1"/>
  <c r="H5954" i="1"/>
  <c r="K5953" i="1"/>
  <c r="H5953" i="1"/>
  <c r="K5952" i="1"/>
  <c r="H5952" i="1"/>
  <c r="K5951" i="1"/>
  <c r="H5951" i="1"/>
  <c r="K5950" i="1"/>
  <c r="H5950" i="1"/>
  <c r="K5949" i="1"/>
  <c r="H5949" i="1"/>
  <c r="K5948" i="1"/>
  <c r="H5948" i="1"/>
  <c r="K5947" i="1"/>
  <c r="H5947" i="1"/>
  <c r="K5946" i="1"/>
  <c r="H5946" i="1"/>
  <c r="K5945" i="1"/>
  <c r="H5945" i="1"/>
  <c r="K5944" i="1"/>
  <c r="H5944" i="1"/>
  <c r="K5943" i="1"/>
  <c r="H5943" i="1"/>
  <c r="K5942" i="1"/>
  <c r="H5942" i="1"/>
  <c r="K5941" i="1"/>
  <c r="H5941" i="1"/>
  <c r="K5940" i="1"/>
  <c r="H5940" i="1"/>
  <c r="K5939" i="1"/>
  <c r="H5939" i="1"/>
  <c r="K5938" i="1"/>
  <c r="H5938" i="1"/>
  <c r="K5937" i="1"/>
  <c r="H5937" i="1"/>
  <c r="K5936" i="1"/>
  <c r="H5936" i="1"/>
  <c r="K5935" i="1"/>
  <c r="H5935" i="1"/>
  <c r="K5934" i="1"/>
  <c r="H5934" i="1"/>
  <c r="K5933" i="1"/>
  <c r="H5933" i="1"/>
  <c r="K5932" i="1"/>
  <c r="H5932" i="1"/>
  <c r="K5931" i="1"/>
  <c r="H5931" i="1"/>
  <c r="K5930" i="1"/>
  <c r="H5930" i="1"/>
  <c r="K5929" i="1"/>
  <c r="H5929" i="1"/>
  <c r="K5928" i="1"/>
  <c r="H5928" i="1"/>
  <c r="K5927" i="1"/>
  <c r="H5927" i="1"/>
  <c r="K5926" i="1"/>
  <c r="H5926" i="1"/>
  <c r="K5925" i="1"/>
  <c r="H5925" i="1"/>
  <c r="K5924" i="1"/>
  <c r="H5924" i="1"/>
  <c r="K5923" i="1"/>
  <c r="H5923" i="1"/>
  <c r="K5922" i="1"/>
  <c r="H5922" i="1"/>
  <c r="K5921" i="1"/>
  <c r="H5921" i="1"/>
  <c r="K5920" i="1"/>
  <c r="H5920" i="1"/>
  <c r="K5919" i="1"/>
  <c r="H5919" i="1"/>
  <c r="K5918" i="1"/>
  <c r="H5918" i="1"/>
  <c r="K5917" i="1"/>
  <c r="H5917" i="1"/>
  <c r="K5916" i="1"/>
  <c r="H5916" i="1"/>
  <c r="K5915" i="1"/>
  <c r="H5915" i="1"/>
  <c r="K5914" i="1"/>
  <c r="H5914" i="1"/>
  <c r="K5913" i="1"/>
  <c r="H5913" i="1"/>
  <c r="K5912" i="1"/>
  <c r="H5912" i="1"/>
  <c r="K5911" i="1"/>
  <c r="H5911" i="1"/>
  <c r="K5910" i="1"/>
  <c r="H5910" i="1"/>
  <c r="K5909" i="1"/>
  <c r="H5909" i="1"/>
  <c r="K5908" i="1"/>
  <c r="H5908" i="1"/>
  <c r="K5907" i="1"/>
  <c r="H5907" i="1"/>
  <c r="K5906" i="1"/>
  <c r="H5906" i="1"/>
  <c r="K5905" i="1"/>
  <c r="H5905" i="1"/>
  <c r="K5904" i="1"/>
  <c r="H5904" i="1"/>
  <c r="K5903" i="1"/>
  <c r="H5903" i="1"/>
  <c r="K5902" i="1"/>
  <c r="H5902" i="1"/>
  <c r="K5901" i="1"/>
  <c r="H5901" i="1"/>
  <c r="K5900" i="1"/>
  <c r="H5900" i="1"/>
  <c r="K5899" i="1"/>
  <c r="H5899" i="1"/>
  <c r="K5898" i="1"/>
  <c r="H5898" i="1"/>
  <c r="K5897" i="1"/>
  <c r="H5897" i="1"/>
  <c r="K5896" i="1"/>
  <c r="H5896" i="1"/>
  <c r="K5895" i="1"/>
  <c r="H5895" i="1"/>
  <c r="K5894" i="1"/>
  <c r="H5894" i="1"/>
  <c r="K5893" i="1"/>
  <c r="H5893" i="1"/>
  <c r="K5892" i="1"/>
  <c r="H5892" i="1"/>
  <c r="K5891" i="1"/>
  <c r="H5891" i="1"/>
  <c r="K5890" i="1"/>
  <c r="H5890" i="1"/>
  <c r="K5889" i="1"/>
  <c r="H5889" i="1"/>
  <c r="K5888" i="1"/>
  <c r="H5888" i="1"/>
  <c r="K5887" i="1"/>
  <c r="H5887" i="1"/>
  <c r="K5886" i="1"/>
  <c r="H5886" i="1"/>
  <c r="K5885" i="1"/>
  <c r="H5885" i="1"/>
  <c r="K5884" i="1"/>
  <c r="H5884" i="1"/>
  <c r="K5883" i="1"/>
  <c r="H5883" i="1"/>
  <c r="K5882" i="1"/>
  <c r="H5882" i="1"/>
  <c r="K5881" i="1"/>
  <c r="H5881" i="1"/>
  <c r="K5880" i="1"/>
  <c r="H5880" i="1"/>
  <c r="K5879" i="1"/>
  <c r="H5879" i="1"/>
  <c r="K5878" i="1"/>
  <c r="H5878" i="1"/>
  <c r="K5877" i="1"/>
  <c r="H5877" i="1"/>
  <c r="K5876" i="1"/>
  <c r="H5876" i="1"/>
  <c r="K5875" i="1"/>
  <c r="H5875" i="1"/>
  <c r="K5874" i="1"/>
  <c r="H5874" i="1"/>
  <c r="K5873" i="1"/>
  <c r="H5873" i="1"/>
  <c r="K5872" i="1"/>
  <c r="H5872" i="1"/>
  <c r="K5871" i="1"/>
  <c r="H5871" i="1"/>
  <c r="K5870" i="1"/>
  <c r="H5870" i="1"/>
  <c r="K5869" i="1"/>
  <c r="H5869" i="1"/>
  <c r="K5868" i="1"/>
  <c r="H5868" i="1"/>
  <c r="K5867" i="1"/>
  <c r="H5867" i="1"/>
  <c r="K5866" i="1"/>
  <c r="H5866" i="1"/>
  <c r="K5865" i="1"/>
  <c r="H5865" i="1"/>
  <c r="K5864" i="1"/>
  <c r="H5864" i="1"/>
  <c r="K5863" i="1"/>
  <c r="H5863" i="1"/>
  <c r="K5862" i="1"/>
  <c r="H5862" i="1"/>
  <c r="K5861" i="1"/>
  <c r="H5861" i="1"/>
  <c r="K5860" i="1"/>
  <c r="H5860" i="1"/>
  <c r="K5859" i="1"/>
  <c r="H5859" i="1"/>
  <c r="K5858" i="1"/>
  <c r="H5858" i="1"/>
  <c r="K5857" i="1"/>
  <c r="H5857" i="1"/>
  <c r="K5856" i="1"/>
  <c r="H5856" i="1"/>
  <c r="K5855" i="1"/>
  <c r="H5855" i="1"/>
  <c r="K5854" i="1"/>
  <c r="H5854" i="1"/>
  <c r="K5853" i="1"/>
  <c r="H5853" i="1"/>
  <c r="K5852" i="1"/>
  <c r="H5852" i="1"/>
  <c r="K5851" i="1"/>
  <c r="H5851" i="1"/>
  <c r="K5850" i="1"/>
  <c r="H5850" i="1"/>
  <c r="K5849" i="1"/>
  <c r="H5849" i="1"/>
  <c r="K5848" i="1"/>
  <c r="H5848" i="1"/>
  <c r="K5847" i="1"/>
  <c r="H5847" i="1"/>
  <c r="K5846" i="1"/>
  <c r="H5846" i="1"/>
  <c r="K5845" i="1"/>
  <c r="H5845" i="1"/>
  <c r="K5844" i="1"/>
  <c r="H5844" i="1"/>
  <c r="K5843" i="1"/>
  <c r="H5843" i="1"/>
  <c r="K5842" i="1"/>
  <c r="H5842" i="1"/>
  <c r="K5841" i="1"/>
  <c r="H5841" i="1"/>
  <c r="K5840" i="1"/>
  <c r="H5840" i="1"/>
  <c r="K5839" i="1"/>
  <c r="H5839" i="1"/>
  <c r="K5838" i="1"/>
  <c r="H5838" i="1"/>
  <c r="K5837" i="1"/>
  <c r="H5837" i="1"/>
  <c r="K5836" i="1"/>
  <c r="H5836" i="1"/>
  <c r="K5835" i="1"/>
  <c r="H5835" i="1"/>
  <c r="K5834" i="1"/>
  <c r="H5834" i="1"/>
  <c r="K5833" i="1"/>
  <c r="H5833" i="1"/>
  <c r="K5832" i="1"/>
  <c r="H5832" i="1"/>
  <c r="K5831" i="1"/>
  <c r="H5831" i="1"/>
  <c r="K5830" i="1"/>
  <c r="H5830" i="1"/>
  <c r="K5829" i="1"/>
  <c r="H5829" i="1"/>
  <c r="K5828" i="1"/>
  <c r="H5828" i="1"/>
  <c r="K5827" i="1"/>
  <c r="H5827" i="1"/>
  <c r="K5826" i="1"/>
  <c r="H5826" i="1"/>
  <c r="K5825" i="1"/>
  <c r="H5825" i="1"/>
  <c r="K5824" i="1"/>
  <c r="H5824" i="1"/>
  <c r="K5823" i="1"/>
  <c r="H5823" i="1"/>
  <c r="K5822" i="1"/>
  <c r="H5822" i="1"/>
  <c r="K5821" i="1"/>
  <c r="H5821" i="1"/>
  <c r="K5820" i="1"/>
  <c r="H5820" i="1"/>
  <c r="K5819" i="1"/>
  <c r="H5819" i="1"/>
  <c r="K5818" i="1"/>
  <c r="H5818" i="1"/>
  <c r="K5817" i="1"/>
  <c r="H5817" i="1"/>
  <c r="K5816" i="1"/>
  <c r="H5816" i="1"/>
  <c r="K5815" i="1"/>
  <c r="H5815" i="1"/>
  <c r="K5814" i="1"/>
  <c r="H5814" i="1"/>
  <c r="K5813" i="1"/>
  <c r="H5813" i="1"/>
  <c r="K5812" i="1"/>
  <c r="H5812" i="1"/>
  <c r="K5811" i="1"/>
  <c r="H5811" i="1"/>
  <c r="K5810" i="1"/>
  <c r="H5810" i="1"/>
  <c r="K5809" i="1"/>
  <c r="H5809" i="1"/>
  <c r="K5808" i="1"/>
  <c r="H5808" i="1"/>
  <c r="K5807" i="1"/>
  <c r="H5807" i="1"/>
  <c r="K5806" i="1"/>
  <c r="H5806" i="1"/>
  <c r="K5805" i="1"/>
  <c r="H5805" i="1"/>
  <c r="K5804" i="1"/>
  <c r="H5804" i="1"/>
  <c r="K5803" i="1"/>
  <c r="H5803" i="1"/>
  <c r="K5802" i="1"/>
  <c r="H5802" i="1"/>
  <c r="K5801" i="1"/>
  <c r="H5801" i="1"/>
  <c r="K5800" i="1"/>
  <c r="H5800" i="1"/>
  <c r="K5799" i="1"/>
  <c r="H5799" i="1"/>
  <c r="K5798" i="1"/>
  <c r="H5798" i="1"/>
  <c r="K5797" i="1"/>
  <c r="H5797" i="1"/>
  <c r="K5796" i="1"/>
  <c r="H5796" i="1"/>
  <c r="K5795" i="1"/>
  <c r="H5795" i="1"/>
  <c r="K5794" i="1"/>
  <c r="H5794" i="1"/>
  <c r="K5793" i="1"/>
  <c r="H5793" i="1"/>
  <c r="K5792" i="1"/>
  <c r="H5792" i="1"/>
  <c r="K5791" i="1"/>
  <c r="H5791" i="1"/>
  <c r="K5790" i="1"/>
  <c r="H5790" i="1"/>
  <c r="K5789" i="1"/>
  <c r="H5789" i="1"/>
  <c r="K5788" i="1"/>
  <c r="H5788" i="1"/>
  <c r="K5787" i="1"/>
  <c r="H5787" i="1"/>
  <c r="K5786" i="1"/>
  <c r="H5786" i="1"/>
  <c r="K5785" i="1"/>
  <c r="H5785" i="1"/>
  <c r="K5784" i="1"/>
  <c r="H5784" i="1"/>
  <c r="K5783" i="1"/>
  <c r="H5783" i="1"/>
  <c r="K5782" i="1"/>
  <c r="H5782" i="1"/>
  <c r="K5781" i="1"/>
  <c r="H5781" i="1"/>
  <c r="K5780" i="1"/>
  <c r="H5780" i="1"/>
  <c r="K5779" i="1"/>
  <c r="H5779" i="1"/>
  <c r="K5778" i="1"/>
  <c r="H5778" i="1"/>
  <c r="K5777" i="1"/>
  <c r="H5777" i="1"/>
  <c r="K5776" i="1"/>
  <c r="H5776" i="1"/>
  <c r="K5775" i="1"/>
  <c r="H5775" i="1"/>
  <c r="K5774" i="1"/>
  <c r="H5774" i="1"/>
  <c r="K5773" i="1"/>
  <c r="H5773" i="1"/>
  <c r="K5772" i="1"/>
  <c r="H5772" i="1"/>
  <c r="K5771" i="1"/>
  <c r="H5771" i="1"/>
  <c r="K5770" i="1"/>
  <c r="H5770" i="1"/>
  <c r="K5769" i="1"/>
  <c r="H5769" i="1"/>
  <c r="K5768" i="1"/>
  <c r="H5768" i="1"/>
  <c r="K5767" i="1"/>
  <c r="H5767" i="1"/>
  <c r="K5766" i="1"/>
  <c r="H5766" i="1"/>
  <c r="K5765" i="1"/>
  <c r="H5765" i="1"/>
  <c r="K5764" i="1"/>
  <c r="H5764" i="1"/>
  <c r="K5763" i="1"/>
  <c r="H5763" i="1"/>
  <c r="K5762" i="1"/>
  <c r="H5762" i="1"/>
  <c r="K5761" i="1"/>
  <c r="H5761" i="1"/>
  <c r="K5760" i="1"/>
  <c r="H5760" i="1"/>
  <c r="K5759" i="1"/>
  <c r="H5759" i="1"/>
  <c r="K5758" i="1"/>
  <c r="H5758" i="1"/>
  <c r="K5757" i="1"/>
  <c r="H5757" i="1"/>
  <c r="K5756" i="1"/>
  <c r="H5756" i="1"/>
  <c r="K5755" i="1"/>
  <c r="H5755" i="1"/>
  <c r="K5754" i="1"/>
  <c r="H5754" i="1"/>
  <c r="K5753" i="1"/>
  <c r="H5753" i="1"/>
  <c r="K5752" i="1"/>
  <c r="H5752" i="1"/>
  <c r="K5751" i="1"/>
  <c r="H5751" i="1"/>
  <c r="K5750" i="1"/>
  <c r="H5750" i="1"/>
  <c r="K5749" i="1"/>
  <c r="H5749" i="1"/>
  <c r="K5748" i="1"/>
  <c r="H5748" i="1"/>
  <c r="K5747" i="1"/>
  <c r="H5747" i="1"/>
  <c r="K5746" i="1"/>
  <c r="H5746" i="1"/>
  <c r="K5745" i="1"/>
  <c r="H5745" i="1"/>
  <c r="K5744" i="1"/>
  <c r="H5744" i="1"/>
  <c r="K5743" i="1"/>
  <c r="H5743" i="1"/>
  <c r="K5742" i="1"/>
  <c r="H5742" i="1"/>
  <c r="K5741" i="1"/>
  <c r="H5741" i="1"/>
  <c r="K5740" i="1"/>
  <c r="H5740" i="1"/>
  <c r="K5739" i="1"/>
  <c r="H5739" i="1"/>
  <c r="K5738" i="1"/>
  <c r="H5738" i="1"/>
  <c r="K5737" i="1"/>
  <c r="H5737" i="1"/>
  <c r="K5736" i="1"/>
  <c r="H5736" i="1"/>
  <c r="K5735" i="1"/>
  <c r="H5735" i="1"/>
  <c r="K5734" i="1"/>
  <c r="H5734" i="1"/>
  <c r="K5733" i="1"/>
  <c r="H5733" i="1"/>
  <c r="K5732" i="1"/>
  <c r="H5732" i="1"/>
  <c r="K5731" i="1"/>
  <c r="H5731" i="1"/>
  <c r="K5730" i="1"/>
  <c r="H5730" i="1"/>
  <c r="K5729" i="1"/>
  <c r="H5729" i="1"/>
  <c r="K5728" i="1"/>
  <c r="H5728" i="1"/>
  <c r="K5727" i="1"/>
  <c r="H5727" i="1"/>
  <c r="K5726" i="1"/>
  <c r="H5726" i="1"/>
  <c r="K5725" i="1"/>
  <c r="H5725" i="1"/>
  <c r="K5724" i="1"/>
  <c r="H5724" i="1"/>
  <c r="K5723" i="1"/>
  <c r="H5723" i="1"/>
  <c r="K5722" i="1"/>
  <c r="H5722" i="1"/>
  <c r="K5721" i="1"/>
  <c r="H5721" i="1"/>
  <c r="K5720" i="1"/>
  <c r="H5720" i="1"/>
  <c r="K5719" i="1"/>
  <c r="H5719" i="1"/>
  <c r="K5718" i="1"/>
  <c r="H5718" i="1"/>
  <c r="K5717" i="1"/>
  <c r="H5717" i="1"/>
  <c r="K5716" i="1"/>
  <c r="H5716" i="1"/>
  <c r="K5715" i="1"/>
  <c r="H5715" i="1"/>
  <c r="K5714" i="1"/>
  <c r="H5714" i="1"/>
  <c r="K5713" i="1"/>
  <c r="H5713" i="1"/>
  <c r="K5712" i="1"/>
  <c r="H5712" i="1"/>
  <c r="K5711" i="1"/>
  <c r="H5711" i="1"/>
  <c r="K5710" i="1"/>
  <c r="H5710" i="1"/>
  <c r="K5709" i="1"/>
  <c r="H5709" i="1"/>
  <c r="K5708" i="1"/>
  <c r="H5708" i="1"/>
  <c r="K5707" i="1"/>
  <c r="H5707" i="1"/>
  <c r="K5706" i="1"/>
  <c r="H5706" i="1"/>
  <c r="K5705" i="1"/>
  <c r="H5705" i="1"/>
  <c r="K5704" i="1"/>
  <c r="H5704" i="1"/>
  <c r="K5703" i="1"/>
  <c r="H5703" i="1"/>
  <c r="K5702" i="1"/>
  <c r="H5702" i="1"/>
  <c r="K5701" i="1"/>
  <c r="H5701" i="1"/>
  <c r="K5700" i="1"/>
  <c r="H5700" i="1"/>
  <c r="K5699" i="1"/>
  <c r="H5699" i="1"/>
  <c r="K5698" i="1"/>
  <c r="H5698" i="1"/>
  <c r="K5697" i="1"/>
  <c r="H5697" i="1"/>
  <c r="K5696" i="1"/>
  <c r="H5696" i="1"/>
  <c r="K5695" i="1"/>
  <c r="H5695" i="1"/>
  <c r="K5694" i="1"/>
  <c r="H5694" i="1"/>
  <c r="K5693" i="1"/>
  <c r="H5693" i="1"/>
  <c r="K5692" i="1"/>
  <c r="H5692" i="1"/>
  <c r="K5691" i="1"/>
  <c r="H5691" i="1"/>
  <c r="K5690" i="1"/>
  <c r="H5690" i="1"/>
  <c r="K5689" i="1"/>
  <c r="H5689" i="1"/>
  <c r="K5688" i="1"/>
  <c r="H5688" i="1"/>
  <c r="K5687" i="1"/>
  <c r="H5687" i="1"/>
  <c r="K5686" i="1"/>
  <c r="H5686" i="1"/>
  <c r="K5685" i="1"/>
  <c r="H5685" i="1"/>
  <c r="K5684" i="1"/>
  <c r="H5684" i="1"/>
  <c r="K5683" i="1"/>
  <c r="H5683" i="1"/>
  <c r="K5682" i="1"/>
  <c r="H5682" i="1"/>
  <c r="K5681" i="1"/>
  <c r="H5681" i="1"/>
  <c r="K5680" i="1"/>
  <c r="H5680" i="1"/>
  <c r="K5679" i="1"/>
  <c r="H5679" i="1"/>
  <c r="K5678" i="1"/>
  <c r="H5678" i="1"/>
  <c r="K5677" i="1"/>
  <c r="H5677" i="1"/>
  <c r="K5676" i="1"/>
  <c r="H5676" i="1"/>
  <c r="K5675" i="1"/>
  <c r="H5675" i="1"/>
  <c r="K5674" i="1"/>
  <c r="H5674" i="1"/>
  <c r="K5673" i="1"/>
  <c r="H5673" i="1"/>
  <c r="K5672" i="1"/>
  <c r="H5672" i="1"/>
  <c r="K5671" i="1"/>
  <c r="H5671" i="1"/>
  <c r="K5670" i="1"/>
  <c r="H5670" i="1"/>
  <c r="K5669" i="1"/>
  <c r="H5669" i="1"/>
  <c r="K5668" i="1"/>
  <c r="H5668" i="1"/>
  <c r="K5667" i="1"/>
  <c r="H5667" i="1"/>
  <c r="K5666" i="1"/>
  <c r="H5666" i="1"/>
  <c r="K5665" i="1"/>
  <c r="H5665" i="1"/>
  <c r="K5664" i="1"/>
  <c r="H5664" i="1"/>
  <c r="K5663" i="1"/>
  <c r="H5663" i="1"/>
  <c r="K5662" i="1"/>
  <c r="H5662" i="1"/>
  <c r="K5661" i="1"/>
  <c r="H5661" i="1"/>
  <c r="K5660" i="1"/>
  <c r="H5660" i="1"/>
  <c r="K5659" i="1"/>
  <c r="H5659" i="1"/>
  <c r="K5658" i="1"/>
  <c r="H5658" i="1"/>
  <c r="K5657" i="1"/>
  <c r="H5657" i="1"/>
  <c r="K5656" i="1"/>
  <c r="H5656" i="1"/>
  <c r="K5655" i="1"/>
  <c r="H5655" i="1"/>
  <c r="K5654" i="1"/>
  <c r="H5654" i="1"/>
  <c r="K5653" i="1"/>
  <c r="H5653" i="1"/>
  <c r="K5652" i="1"/>
  <c r="H5652" i="1"/>
  <c r="K5651" i="1"/>
  <c r="H5651" i="1"/>
  <c r="K5650" i="1"/>
  <c r="H5650" i="1"/>
  <c r="K5649" i="1"/>
  <c r="H5649" i="1"/>
  <c r="K5648" i="1"/>
  <c r="H5648" i="1"/>
  <c r="K5647" i="1"/>
  <c r="H5647" i="1"/>
  <c r="K5646" i="1"/>
  <c r="H5646" i="1"/>
  <c r="K5645" i="1"/>
  <c r="H5645" i="1"/>
  <c r="K5644" i="1"/>
  <c r="H5644" i="1"/>
  <c r="K5643" i="1"/>
  <c r="H5643" i="1"/>
  <c r="K5642" i="1"/>
  <c r="H5642" i="1"/>
  <c r="K5641" i="1"/>
  <c r="H5641" i="1"/>
  <c r="K5640" i="1"/>
  <c r="H5640" i="1"/>
  <c r="K5639" i="1"/>
  <c r="H5639" i="1"/>
  <c r="K5638" i="1"/>
  <c r="H5638" i="1"/>
  <c r="K5637" i="1"/>
  <c r="H5637" i="1"/>
  <c r="K5636" i="1"/>
  <c r="H5636" i="1"/>
  <c r="K5635" i="1"/>
  <c r="H5635" i="1"/>
  <c r="K5634" i="1"/>
  <c r="H5634" i="1"/>
  <c r="K5633" i="1"/>
  <c r="H5633" i="1"/>
  <c r="K5632" i="1"/>
  <c r="H5632" i="1"/>
  <c r="K5631" i="1"/>
  <c r="H5631" i="1"/>
  <c r="K5630" i="1"/>
  <c r="H5630" i="1"/>
  <c r="K5629" i="1"/>
  <c r="H5629" i="1"/>
  <c r="K5628" i="1"/>
  <c r="H5628" i="1"/>
  <c r="K5627" i="1"/>
  <c r="H5627" i="1"/>
  <c r="K5626" i="1"/>
  <c r="H5626" i="1"/>
  <c r="K5625" i="1"/>
  <c r="H5625" i="1"/>
  <c r="K5624" i="1"/>
  <c r="H5624" i="1"/>
  <c r="K5623" i="1"/>
  <c r="H5623" i="1"/>
  <c r="K5622" i="1"/>
  <c r="H5622" i="1"/>
  <c r="K5621" i="1"/>
  <c r="H5621" i="1"/>
  <c r="K5620" i="1"/>
  <c r="H5620" i="1"/>
  <c r="K5619" i="1"/>
  <c r="H5619" i="1"/>
  <c r="K5618" i="1"/>
  <c r="H5618" i="1"/>
  <c r="K5617" i="1"/>
  <c r="H5617" i="1"/>
  <c r="K5616" i="1"/>
  <c r="H5616" i="1"/>
  <c r="K5615" i="1"/>
  <c r="H5615" i="1"/>
  <c r="K5614" i="1"/>
  <c r="H5614" i="1"/>
  <c r="K5613" i="1"/>
  <c r="H5613" i="1"/>
  <c r="K5612" i="1"/>
  <c r="H5612" i="1"/>
  <c r="K5611" i="1"/>
  <c r="H5611" i="1"/>
  <c r="K5610" i="1"/>
  <c r="H5610" i="1"/>
  <c r="K5609" i="1"/>
  <c r="H5609" i="1"/>
  <c r="K5608" i="1"/>
  <c r="H5608" i="1"/>
  <c r="K5607" i="1"/>
  <c r="H5607" i="1"/>
  <c r="K5606" i="1"/>
  <c r="H5606" i="1"/>
  <c r="K5605" i="1"/>
  <c r="H5605" i="1"/>
  <c r="K5604" i="1"/>
  <c r="H5604" i="1"/>
  <c r="K5603" i="1"/>
  <c r="H5603" i="1"/>
  <c r="K5602" i="1"/>
  <c r="H5602" i="1"/>
  <c r="K5601" i="1"/>
  <c r="H5601" i="1"/>
  <c r="K5600" i="1"/>
  <c r="H5600" i="1"/>
  <c r="K5599" i="1"/>
  <c r="H5599" i="1"/>
  <c r="K5598" i="1"/>
  <c r="H5598" i="1"/>
  <c r="K5597" i="1"/>
  <c r="H5597" i="1"/>
  <c r="K5596" i="1"/>
  <c r="H5596" i="1"/>
  <c r="K5595" i="1"/>
  <c r="H5595" i="1"/>
  <c r="K5594" i="1"/>
  <c r="H5594" i="1"/>
  <c r="K5593" i="1"/>
  <c r="H5593" i="1"/>
  <c r="K5592" i="1"/>
  <c r="H5592" i="1"/>
  <c r="K5591" i="1"/>
  <c r="H5591" i="1"/>
  <c r="K5590" i="1"/>
  <c r="H5590" i="1"/>
  <c r="K5589" i="1"/>
  <c r="H5589" i="1"/>
  <c r="K5588" i="1"/>
  <c r="H5588" i="1"/>
  <c r="K5587" i="1"/>
  <c r="H5587" i="1"/>
  <c r="K5586" i="1"/>
  <c r="H5586" i="1"/>
  <c r="K5585" i="1"/>
  <c r="H5585" i="1"/>
  <c r="K5584" i="1"/>
  <c r="H5584" i="1"/>
  <c r="K5583" i="1"/>
  <c r="H5583" i="1"/>
  <c r="K5582" i="1"/>
  <c r="H5582" i="1"/>
  <c r="K5581" i="1"/>
  <c r="H5581" i="1"/>
  <c r="K5580" i="1"/>
  <c r="H5580" i="1"/>
  <c r="K5579" i="1"/>
  <c r="H5579" i="1"/>
  <c r="K5578" i="1"/>
  <c r="H5578" i="1"/>
  <c r="K5577" i="1"/>
  <c r="H5577" i="1"/>
  <c r="K5576" i="1"/>
  <c r="H5576" i="1"/>
  <c r="K5575" i="1"/>
  <c r="H5575" i="1"/>
  <c r="K5574" i="1"/>
  <c r="H5574" i="1"/>
  <c r="K5573" i="1"/>
  <c r="H5573" i="1"/>
  <c r="K5572" i="1"/>
  <c r="H5572" i="1"/>
  <c r="K5571" i="1"/>
  <c r="H5571" i="1"/>
  <c r="K5570" i="1"/>
  <c r="H5570" i="1"/>
  <c r="K5569" i="1"/>
  <c r="H5569" i="1"/>
  <c r="K5568" i="1"/>
  <c r="H5568" i="1"/>
  <c r="K5567" i="1"/>
  <c r="H5567" i="1"/>
  <c r="K5566" i="1"/>
  <c r="H5566" i="1"/>
  <c r="K5565" i="1"/>
  <c r="H5565" i="1"/>
  <c r="K5564" i="1"/>
  <c r="H5564" i="1"/>
  <c r="K5563" i="1"/>
  <c r="H5563" i="1"/>
  <c r="K5562" i="1"/>
  <c r="H5562" i="1"/>
  <c r="K5561" i="1"/>
  <c r="H5561" i="1"/>
  <c r="K5560" i="1"/>
  <c r="H5560" i="1"/>
  <c r="K5559" i="1"/>
  <c r="H5559" i="1"/>
  <c r="K5558" i="1"/>
  <c r="H5558" i="1"/>
  <c r="K5557" i="1"/>
  <c r="H5557" i="1"/>
  <c r="K5556" i="1"/>
  <c r="H5556" i="1"/>
  <c r="K5555" i="1"/>
  <c r="H5555" i="1"/>
  <c r="K5554" i="1"/>
  <c r="H5554" i="1"/>
  <c r="K5553" i="1"/>
  <c r="H5553" i="1"/>
  <c r="K5552" i="1"/>
  <c r="H5552" i="1"/>
  <c r="K5551" i="1"/>
  <c r="H5551" i="1"/>
  <c r="K5550" i="1"/>
  <c r="H5550" i="1"/>
  <c r="K5549" i="1"/>
  <c r="H5549" i="1"/>
  <c r="K5548" i="1"/>
  <c r="H5548" i="1"/>
  <c r="K5547" i="1"/>
  <c r="H5547" i="1"/>
  <c r="K5546" i="1"/>
  <c r="H5546" i="1"/>
  <c r="K5545" i="1"/>
  <c r="H5545" i="1"/>
  <c r="K5544" i="1"/>
  <c r="H5544" i="1"/>
  <c r="K5543" i="1"/>
  <c r="H5543" i="1"/>
  <c r="K5542" i="1"/>
  <c r="H5542" i="1"/>
  <c r="K5541" i="1"/>
  <c r="H5541" i="1"/>
  <c r="K5540" i="1"/>
  <c r="H5540" i="1"/>
  <c r="K5539" i="1"/>
  <c r="H5539" i="1"/>
  <c r="K5538" i="1"/>
  <c r="H5538" i="1"/>
  <c r="K5537" i="1"/>
  <c r="H5537" i="1"/>
  <c r="K5536" i="1"/>
  <c r="H5536" i="1"/>
  <c r="K5535" i="1"/>
  <c r="H5535" i="1"/>
  <c r="K5534" i="1"/>
  <c r="H5534" i="1"/>
  <c r="K5533" i="1"/>
  <c r="H5533" i="1"/>
  <c r="K5532" i="1"/>
  <c r="H5532" i="1"/>
  <c r="K5531" i="1"/>
  <c r="H5531" i="1"/>
  <c r="K5530" i="1"/>
  <c r="H5530" i="1"/>
  <c r="K5529" i="1"/>
  <c r="H5529" i="1"/>
  <c r="K5528" i="1"/>
  <c r="H5528" i="1"/>
  <c r="K5527" i="1"/>
  <c r="H5527" i="1"/>
  <c r="K5526" i="1"/>
  <c r="H5526" i="1"/>
  <c r="K5525" i="1"/>
  <c r="H5525" i="1"/>
  <c r="K5524" i="1"/>
  <c r="H5524" i="1"/>
  <c r="K5523" i="1"/>
  <c r="H5523" i="1"/>
  <c r="K5522" i="1"/>
  <c r="H5522" i="1"/>
  <c r="K5521" i="1"/>
  <c r="H5521" i="1"/>
  <c r="K5520" i="1"/>
  <c r="H5520" i="1"/>
  <c r="K5519" i="1"/>
  <c r="H5519" i="1"/>
  <c r="K5518" i="1"/>
  <c r="H5518" i="1"/>
  <c r="K5517" i="1"/>
  <c r="H5517" i="1"/>
  <c r="K5516" i="1"/>
  <c r="H5516" i="1"/>
  <c r="K5515" i="1"/>
  <c r="H5515" i="1"/>
  <c r="K5514" i="1"/>
  <c r="H5514" i="1"/>
  <c r="K5513" i="1"/>
  <c r="H5513" i="1"/>
  <c r="K5512" i="1"/>
  <c r="H5512" i="1"/>
  <c r="K5511" i="1"/>
  <c r="H5511" i="1"/>
  <c r="K5510" i="1"/>
  <c r="H5510" i="1"/>
  <c r="K5509" i="1"/>
  <c r="H5509" i="1"/>
  <c r="K5508" i="1"/>
  <c r="H5508" i="1"/>
  <c r="K5507" i="1"/>
  <c r="H5507" i="1"/>
  <c r="K5506" i="1"/>
  <c r="H5506" i="1"/>
  <c r="K5505" i="1"/>
  <c r="H5505" i="1"/>
  <c r="K5504" i="1"/>
  <c r="H5504" i="1"/>
  <c r="K5503" i="1"/>
  <c r="H5503" i="1"/>
  <c r="K5502" i="1"/>
  <c r="H5502" i="1"/>
  <c r="K5501" i="1"/>
  <c r="H5501" i="1"/>
  <c r="K5500" i="1"/>
  <c r="H5500" i="1"/>
  <c r="K5499" i="1"/>
  <c r="H5499" i="1"/>
  <c r="K5498" i="1"/>
  <c r="H5498" i="1"/>
  <c r="K5497" i="1"/>
  <c r="H5497" i="1"/>
  <c r="K5496" i="1"/>
  <c r="H5496" i="1"/>
  <c r="K5495" i="1"/>
  <c r="H5495" i="1"/>
  <c r="K5494" i="1"/>
  <c r="H5494" i="1"/>
  <c r="K5493" i="1"/>
  <c r="H5493" i="1"/>
  <c r="K5492" i="1"/>
  <c r="H5492" i="1"/>
  <c r="K5491" i="1"/>
  <c r="H5491" i="1"/>
  <c r="K5490" i="1"/>
  <c r="H5490" i="1"/>
  <c r="K5489" i="1"/>
  <c r="H5489" i="1"/>
  <c r="K5488" i="1"/>
  <c r="H5488" i="1"/>
  <c r="K5487" i="1"/>
  <c r="H5487" i="1"/>
  <c r="K5486" i="1"/>
  <c r="H5486" i="1"/>
  <c r="K5485" i="1"/>
  <c r="H5485" i="1"/>
  <c r="K5484" i="1"/>
  <c r="H5484" i="1"/>
  <c r="K5483" i="1"/>
  <c r="H5483" i="1"/>
  <c r="K5482" i="1"/>
  <c r="H5482" i="1"/>
  <c r="K5481" i="1"/>
  <c r="H5481" i="1"/>
  <c r="K5480" i="1"/>
  <c r="H5480" i="1"/>
  <c r="K5479" i="1"/>
  <c r="H5479" i="1"/>
  <c r="K5478" i="1"/>
  <c r="H5478" i="1"/>
  <c r="K5477" i="1"/>
  <c r="H5477" i="1"/>
  <c r="K5476" i="1"/>
  <c r="H5476" i="1"/>
  <c r="K5475" i="1"/>
  <c r="H5475" i="1"/>
  <c r="K5474" i="1"/>
  <c r="H5474" i="1"/>
  <c r="K5473" i="1"/>
  <c r="H5473" i="1"/>
  <c r="K5472" i="1"/>
  <c r="H5472" i="1"/>
  <c r="K5471" i="1"/>
  <c r="H5471" i="1"/>
  <c r="K5470" i="1"/>
  <c r="H5470" i="1"/>
  <c r="K5469" i="1"/>
  <c r="H5469" i="1"/>
  <c r="K5468" i="1"/>
  <c r="H5468" i="1"/>
  <c r="K5467" i="1"/>
  <c r="H5467" i="1"/>
  <c r="K5466" i="1"/>
  <c r="H5466" i="1"/>
  <c r="K5465" i="1"/>
  <c r="H5465" i="1"/>
  <c r="K5464" i="1"/>
  <c r="H5464" i="1"/>
  <c r="K5463" i="1"/>
  <c r="H5463" i="1"/>
  <c r="K5462" i="1"/>
  <c r="H5462" i="1"/>
  <c r="K5461" i="1"/>
  <c r="H5461" i="1"/>
  <c r="K5460" i="1"/>
  <c r="H5460" i="1"/>
  <c r="K5459" i="1"/>
  <c r="H5459" i="1"/>
  <c r="K5458" i="1"/>
  <c r="H5458" i="1"/>
  <c r="K5457" i="1"/>
  <c r="H5457" i="1"/>
  <c r="K5456" i="1"/>
  <c r="H5456" i="1"/>
  <c r="K5455" i="1"/>
  <c r="H5455" i="1"/>
  <c r="K5454" i="1"/>
  <c r="H5454" i="1"/>
  <c r="K5453" i="1"/>
  <c r="H5453" i="1"/>
  <c r="K5452" i="1"/>
  <c r="H5452" i="1"/>
  <c r="K5451" i="1"/>
  <c r="H5451" i="1"/>
  <c r="K5450" i="1"/>
  <c r="H5450" i="1"/>
  <c r="K5449" i="1"/>
  <c r="H5449" i="1"/>
  <c r="K5448" i="1"/>
  <c r="H5448" i="1"/>
  <c r="K5447" i="1"/>
  <c r="H5447" i="1"/>
  <c r="K5446" i="1"/>
  <c r="H5446" i="1"/>
  <c r="K5445" i="1"/>
  <c r="H5445" i="1"/>
  <c r="K5444" i="1"/>
  <c r="H5444" i="1"/>
  <c r="K5443" i="1"/>
  <c r="H5443" i="1"/>
  <c r="K5442" i="1"/>
  <c r="H5442" i="1"/>
  <c r="K5441" i="1"/>
  <c r="H5441" i="1"/>
  <c r="K5440" i="1"/>
  <c r="H5440" i="1"/>
  <c r="K5439" i="1"/>
  <c r="H5439" i="1"/>
  <c r="K5438" i="1"/>
  <c r="H5438" i="1"/>
  <c r="K5437" i="1"/>
  <c r="H5437" i="1"/>
  <c r="K5436" i="1"/>
  <c r="H5436" i="1"/>
  <c r="K5435" i="1"/>
  <c r="H5435" i="1"/>
  <c r="K5434" i="1"/>
  <c r="H5434" i="1"/>
  <c r="K5433" i="1"/>
  <c r="H5433" i="1"/>
  <c r="K5432" i="1"/>
  <c r="H5432" i="1"/>
  <c r="K5431" i="1"/>
  <c r="H5431" i="1"/>
  <c r="K5430" i="1"/>
  <c r="H5430" i="1"/>
  <c r="K5429" i="1"/>
  <c r="H5429" i="1"/>
  <c r="K5428" i="1"/>
  <c r="H5428" i="1"/>
  <c r="K5427" i="1"/>
  <c r="H5427" i="1"/>
  <c r="K5426" i="1"/>
  <c r="H5426" i="1"/>
  <c r="K5425" i="1"/>
  <c r="H5425" i="1"/>
  <c r="K5424" i="1"/>
  <c r="H5424" i="1"/>
  <c r="K5423" i="1"/>
  <c r="H5423" i="1"/>
  <c r="K5422" i="1"/>
  <c r="H5422" i="1"/>
  <c r="K5421" i="1"/>
  <c r="H5421" i="1"/>
  <c r="K5420" i="1"/>
  <c r="H5420" i="1"/>
  <c r="K5419" i="1"/>
  <c r="H5419" i="1"/>
  <c r="K5418" i="1"/>
  <c r="H5418" i="1"/>
  <c r="K5417" i="1"/>
  <c r="H5417" i="1"/>
  <c r="K5416" i="1"/>
  <c r="H5416" i="1"/>
  <c r="K5415" i="1"/>
  <c r="H5415" i="1"/>
  <c r="K5414" i="1"/>
  <c r="H5414" i="1"/>
  <c r="K5413" i="1"/>
  <c r="H5413" i="1"/>
  <c r="K5412" i="1"/>
  <c r="H5412" i="1"/>
  <c r="K5411" i="1"/>
  <c r="H5411" i="1"/>
  <c r="K5410" i="1"/>
  <c r="H5410" i="1"/>
  <c r="K5409" i="1"/>
  <c r="H5409" i="1"/>
  <c r="K5408" i="1"/>
  <c r="H5408" i="1"/>
  <c r="K5407" i="1"/>
  <c r="H5407" i="1"/>
  <c r="K5406" i="1"/>
  <c r="H5406" i="1"/>
  <c r="K5405" i="1"/>
  <c r="H5405" i="1"/>
  <c r="K5404" i="1"/>
  <c r="H5404" i="1"/>
  <c r="K5403" i="1"/>
  <c r="H5403" i="1"/>
  <c r="K5402" i="1"/>
  <c r="H5402" i="1"/>
  <c r="K5401" i="1"/>
  <c r="H5401" i="1"/>
  <c r="K5400" i="1"/>
  <c r="H5400" i="1"/>
  <c r="K5399" i="1"/>
  <c r="H5399" i="1"/>
  <c r="K5398" i="1"/>
  <c r="H5398" i="1"/>
  <c r="K5397" i="1"/>
  <c r="H5397" i="1"/>
  <c r="K5396" i="1"/>
  <c r="H5396" i="1"/>
  <c r="K5395" i="1"/>
  <c r="H5395" i="1"/>
  <c r="K5394" i="1"/>
  <c r="H5394" i="1"/>
  <c r="K5393" i="1"/>
  <c r="H5393" i="1"/>
  <c r="K5392" i="1"/>
  <c r="H5392" i="1"/>
  <c r="K5391" i="1"/>
  <c r="H5391" i="1"/>
  <c r="K5390" i="1"/>
  <c r="H5390" i="1"/>
  <c r="K5389" i="1"/>
  <c r="H5389" i="1"/>
  <c r="K5388" i="1"/>
  <c r="H5388" i="1"/>
  <c r="K5387" i="1"/>
  <c r="H5387" i="1"/>
  <c r="K5386" i="1"/>
  <c r="H5386" i="1"/>
  <c r="K5385" i="1"/>
  <c r="H5385" i="1"/>
  <c r="K5384" i="1"/>
  <c r="H5384" i="1"/>
  <c r="K5383" i="1"/>
  <c r="H5383" i="1"/>
  <c r="K5382" i="1"/>
  <c r="H5382" i="1"/>
  <c r="K5381" i="1"/>
  <c r="H5381" i="1"/>
  <c r="K5380" i="1"/>
  <c r="H5380" i="1"/>
  <c r="K5379" i="1"/>
  <c r="H5379" i="1"/>
  <c r="K5378" i="1"/>
  <c r="H5378" i="1"/>
  <c r="K5377" i="1"/>
  <c r="H5377" i="1"/>
  <c r="K5376" i="1"/>
  <c r="H5376" i="1"/>
  <c r="K5375" i="1"/>
  <c r="H5375" i="1"/>
  <c r="K5374" i="1"/>
  <c r="H5374" i="1"/>
  <c r="K5373" i="1"/>
  <c r="H5373" i="1"/>
  <c r="K5372" i="1"/>
  <c r="H5372" i="1"/>
  <c r="K5371" i="1"/>
  <c r="H5371" i="1"/>
  <c r="K5370" i="1"/>
  <c r="H5370" i="1"/>
  <c r="K5369" i="1"/>
  <c r="H5369" i="1"/>
  <c r="K5368" i="1"/>
  <c r="H5368" i="1"/>
  <c r="K5367" i="1"/>
  <c r="H5367" i="1"/>
  <c r="K5366" i="1"/>
  <c r="H5366" i="1"/>
  <c r="K5365" i="1"/>
  <c r="H5365" i="1"/>
  <c r="K5364" i="1"/>
  <c r="H5364" i="1"/>
  <c r="K5363" i="1"/>
  <c r="H5363" i="1"/>
  <c r="K5362" i="1"/>
  <c r="H5362" i="1"/>
  <c r="K5361" i="1"/>
  <c r="H5361" i="1"/>
  <c r="K5360" i="1"/>
  <c r="H5360" i="1"/>
  <c r="K5359" i="1"/>
  <c r="H5359" i="1"/>
  <c r="K5358" i="1"/>
  <c r="H5358" i="1"/>
  <c r="K5357" i="1"/>
  <c r="H5357" i="1"/>
  <c r="K5356" i="1"/>
  <c r="H5356" i="1"/>
  <c r="K5355" i="1"/>
  <c r="H5355" i="1"/>
  <c r="K5354" i="1"/>
  <c r="H5354" i="1"/>
  <c r="K5353" i="1"/>
  <c r="H5353" i="1"/>
  <c r="K5352" i="1"/>
  <c r="H5352" i="1"/>
  <c r="K5351" i="1"/>
  <c r="H5351" i="1"/>
  <c r="K5350" i="1"/>
  <c r="H5350" i="1"/>
  <c r="K5349" i="1"/>
  <c r="H5349" i="1"/>
  <c r="K5348" i="1"/>
  <c r="H5348" i="1"/>
  <c r="K5347" i="1"/>
  <c r="H5347" i="1"/>
  <c r="K5346" i="1"/>
  <c r="H5346" i="1"/>
  <c r="K5345" i="1"/>
  <c r="H5345" i="1"/>
  <c r="K5344" i="1"/>
  <c r="H5344" i="1"/>
  <c r="K5343" i="1"/>
  <c r="H5343" i="1"/>
  <c r="K5342" i="1"/>
  <c r="H5342" i="1"/>
  <c r="K5341" i="1"/>
  <c r="H5341" i="1"/>
  <c r="K5340" i="1"/>
  <c r="H5340" i="1"/>
  <c r="K5339" i="1"/>
  <c r="H5339" i="1"/>
  <c r="K5338" i="1"/>
  <c r="H5338" i="1"/>
  <c r="K5337" i="1"/>
  <c r="H5337" i="1"/>
  <c r="K5336" i="1"/>
  <c r="H5336" i="1"/>
  <c r="K5335" i="1"/>
  <c r="H5335" i="1"/>
  <c r="K5334" i="1"/>
  <c r="H5334" i="1"/>
  <c r="K5333" i="1"/>
  <c r="H5333" i="1"/>
  <c r="K5332" i="1"/>
  <c r="H5332" i="1"/>
  <c r="K5331" i="1"/>
  <c r="H5331" i="1"/>
  <c r="K5330" i="1"/>
  <c r="H5330" i="1"/>
  <c r="K5329" i="1"/>
  <c r="H5329" i="1"/>
  <c r="K5328" i="1"/>
  <c r="H5328" i="1"/>
  <c r="K5327" i="1"/>
  <c r="H5327" i="1"/>
  <c r="K5326" i="1"/>
  <c r="H5326" i="1"/>
  <c r="K5325" i="1"/>
  <c r="H5325" i="1"/>
  <c r="K5324" i="1"/>
  <c r="H5324" i="1"/>
  <c r="K5323" i="1"/>
  <c r="H5323" i="1"/>
  <c r="K5322" i="1"/>
  <c r="H5322" i="1"/>
  <c r="K5321" i="1"/>
  <c r="H5321" i="1"/>
  <c r="K5320" i="1"/>
  <c r="H5320" i="1"/>
  <c r="K5319" i="1"/>
  <c r="H5319" i="1"/>
  <c r="K5318" i="1"/>
  <c r="H5318" i="1"/>
  <c r="K5317" i="1"/>
  <c r="H5317" i="1"/>
  <c r="K5316" i="1"/>
  <c r="H5316" i="1"/>
  <c r="K5315" i="1"/>
  <c r="H5315" i="1"/>
  <c r="K5314" i="1"/>
  <c r="H5314" i="1"/>
  <c r="K5313" i="1"/>
  <c r="H5313" i="1"/>
  <c r="K5312" i="1"/>
  <c r="H5312" i="1"/>
  <c r="K5311" i="1"/>
  <c r="H5311" i="1"/>
  <c r="K5310" i="1"/>
  <c r="H5310" i="1"/>
  <c r="K5309" i="1"/>
  <c r="H5309" i="1"/>
  <c r="K5308" i="1"/>
  <c r="H5308" i="1"/>
  <c r="K5307" i="1"/>
  <c r="H5307" i="1"/>
  <c r="K5306" i="1"/>
  <c r="H5306" i="1"/>
  <c r="K5305" i="1"/>
  <c r="H5305" i="1"/>
  <c r="K5304" i="1"/>
  <c r="H5304" i="1"/>
  <c r="K5303" i="1"/>
  <c r="H5303" i="1"/>
  <c r="K5302" i="1"/>
  <c r="H5302" i="1"/>
  <c r="K5301" i="1"/>
  <c r="H5301" i="1"/>
  <c r="K5300" i="1"/>
  <c r="H5300" i="1"/>
  <c r="K5299" i="1"/>
  <c r="H5299" i="1"/>
  <c r="K5298" i="1"/>
  <c r="H5298" i="1"/>
  <c r="K5297" i="1"/>
  <c r="H5297" i="1"/>
  <c r="K5296" i="1"/>
  <c r="H5296" i="1"/>
  <c r="K5295" i="1"/>
  <c r="H5295" i="1"/>
  <c r="K5294" i="1"/>
  <c r="H5294" i="1"/>
  <c r="K5293" i="1"/>
  <c r="H5293" i="1"/>
  <c r="K5292" i="1"/>
  <c r="H5292" i="1"/>
  <c r="K5291" i="1"/>
  <c r="H5291" i="1"/>
  <c r="K5290" i="1"/>
  <c r="H5290" i="1"/>
  <c r="K5289" i="1"/>
  <c r="H5289" i="1"/>
  <c r="K5288" i="1"/>
  <c r="H5288" i="1"/>
  <c r="K5287" i="1"/>
  <c r="H5287" i="1"/>
  <c r="K5286" i="1"/>
  <c r="H5286" i="1"/>
  <c r="K5285" i="1"/>
  <c r="H5285" i="1"/>
  <c r="K5284" i="1"/>
  <c r="H5284" i="1"/>
  <c r="K5283" i="1"/>
  <c r="H5283" i="1"/>
  <c r="K5282" i="1"/>
  <c r="H5282" i="1"/>
  <c r="K5281" i="1"/>
  <c r="H5281" i="1"/>
  <c r="K5280" i="1"/>
  <c r="H5280" i="1"/>
  <c r="K5279" i="1"/>
  <c r="H5279" i="1"/>
  <c r="K5278" i="1"/>
  <c r="H5278" i="1"/>
  <c r="K5277" i="1"/>
  <c r="H5277" i="1"/>
  <c r="K5276" i="1"/>
  <c r="H5276" i="1"/>
  <c r="K5275" i="1"/>
  <c r="H5275" i="1"/>
  <c r="K5274" i="1"/>
  <c r="H5274" i="1"/>
  <c r="K5273" i="1"/>
  <c r="H5273" i="1"/>
  <c r="K5272" i="1"/>
  <c r="H5272" i="1"/>
  <c r="K5271" i="1"/>
  <c r="H5271" i="1"/>
  <c r="K5270" i="1"/>
  <c r="H5270" i="1"/>
  <c r="K5269" i="1"/>
  <c r="H5269" i="1"/>
  <c r="K5268" i="1"/>
  <c r="H5268" i="1"/>
  <c r="K5267" i="1"/>
  <c r="H5267" i="1"/>
  <c r="K5266" i="1"/>
  <c r="H5266" i="1"/>
  <c r="K5265" i="1"/>
  <c r="H5265" i="1"/>
  <c r="K5264" i="1"/>
  <c r="H5264" i="1"/>
  <c r="K5263" i="1"/>
  <c r="H5263" i="1"/>
  <c r="K5262" i="1"/>
  <c r="H5262" i="1"/>
  <c r="K5261" i="1"/>
  <c r="H5261" i="1"/>
  <c r="K5260" i="1"/>
  <c r="H5260" i="1"/>
  <c r="K5259" i="1"/>
  <c r="H5259" i="1"/>
  <c r="K5258" i="1"/>
  <c r="H5258" i="1"/>
  <c r="K5257" i="1"/>
  <c r="H5257" i="1"/>
  <c r="K5256" i="1"/>
  <c r="H5256" i="1"/>
  <c r="K5255" i="1"/>
  <c r="H5255" i="1"/>
  <c r="K5254" i="1"/>
  <c r="H5254" i="1"/>
  <c r="K5253" i="1"/>
  <c r="H5253" i="1"/>
  <c r="K5252" i="1"/>
  <c r="H5252" i="1"/>
  <c r="K5251" i="1"/>
  <c r="H5251" i="1"/>
  <c r="K5250" i="1"/>
  <c r="H5250" i="1"/>
  <c r="K5249" i="1"/>
  <c r="H5249" i="1"/>
  <c r="K5248" i="1"/>
  <c r="H5248" i="1"/>
  <c r="K5247" i="1"/>
  <c r="H5247" i="1"/>
  <c r="K5246" i="1"/>
  <c r="H5246" i="1"/>
  <c r="K5245" i="1"/>
  <c r="H5245" i="1"/>
  <c r="K5244" i="1"/>
  <c r="H5244" i="1"/>
  <c r="K5243" i="1"/>
  <c r="H5243" i="1"/>
  <c r="K5242" i="1"/>
  <c r="H5242" i="1"/>
  <c r="K5241" i="1"/>
  <c r="H5241" i="1"/>
  <c r="K5240" i="1"/>
  <c r="H5240" i="1"/>
  <c r="K5239" i="1"/>
  <c r="H5239" i="1"/>
  <c r="K5238" i="1"/>
  <c r="H5238" i="1"/>
  <c r="K5237" i="1"/>
  <c r="H5237" i="1"/>
  <c r="K5236" i="1"/>
  <c r="H5236" i="1"/>
  <c r="K5235" i="1"/>
  <c r="H5235" i="1"/>
  <c r="K5234" i="1"/>
  <c r="H5234" i="1"/>
  <c r="K5233" i="1"/>
  <c r="H5233" i="1"/>
  <c r="K5232" i="1"/>
  <c r="H5232" i="1"/>
  <c r="K5231" i="1"/>
  <c r="H5231" i="1"/>
  <c r="K5230" i="1"/>
  <c r="H5230" i="1"/>
  <c r="K5229" i="1"/>
  <c r="H5229" i="1"/>
  <c r="K5228" i="1"/>
  <c r="H5228" i="1"/>
  <c r="K5227" i="1"/>
  <c r="H5227" i="1"/>
  <c r="K5226" i="1"/>
  <c r="H5226" i="1"/>
  <c r="K5225" i="1"/>
  <c r="H5225" i="1"/>
  <c r="K5224" i="1"/>
  <c r="H5224" i="1"/>
  <c r="K5223" i="1"/>
  <c r="H5223" i="1"/>
  <c r="K5222" i="1"/>
  <c r="H5222" i="1"/>
  <c r="K5221" i="1"/>
  <c r="H5221" i="1"/>
  <c r="K5220" i="1"/>
  <c r="H5220" i="1"/>
  <c r="K5219" i="1"/>
  <c r="H5219" i="1"/>
  <c r="K5218" i="1"/>
  <c r="H5218" i="1"/>
  <c r="K5217" i="1"/>
  <c r="H5217" i="1"/>
  <c r="K5216" i="1"/>
  <c r="H5216" i="1"/>
  <c r="K5215" i="1"/>
  <c r="H5215" i="1"/>
  <c r="K5214" i="1"/>
  <c r="H5214" i="1"/>
  <c r="K5213" i="1"/>
  <c r="H5213" i="1"/>
  <c r="K5212" i="1"/>
  <c r="H5212" i="1"/>
  <c r="K5211" i="1"/>
  <c r="H5211" i="1"/>
  <c r="K5210" i="1"/>
  <c r="H5210" i="1"/>
  <c r="K5209" i="1"/>
  <c r="H5209" i="1"/>
  <c r="K5208" i="1"/>
  <c r="H5208" i="1"/>
  <c r="K5207" i="1"/>
  <c r="H5207" i="1"/>
  <c r="K5206" i="1"/>
  <c r="H5206" i="1"/>
  <c r="K5205" i="1"/>
  <c r="H5205" i="1"/>
  <c r="K5204" i="1"/>
  <c r="H5204" i="1"/>
  <c r="K5203" i="1"/>
  <c r="H5203" i="1"/>
  <c r="K5202" i="1"/>
  <c r="H5202" i="1"/>
  <c r="K5201" i="1"/>
  <c r="H5201" i="1"/>
  <c r="K5200" i="1"/>
  <c r="H5200" i="1"/>
  <c r="K5199" i="1"/>
  <c r="H5199" i="1"/>
  <c r="K5198" i="1"/>
  <c r="H5198" i="1"/>
  <c r="K5197" i="1"/>
  <c r="H5197" i="1"/>
  <c r="K5196" i="1"/>
  <c r="H5196" i="1"/>
  <c r="K5195" i="1"/>
  <c r="H5195" i="1"/>
  <c r="K5194" i="1"/>
  <c r="H5194" i="1"/>
  <c r="K5193" i="1"/>
  <c r="H5193" i="1"/>
  <c r="K5192" i="1"/>
  <c r="H5192" i="1"/>
  <c r="K5191" i="1"/>
  <c r="H5191" i="1"/>
  <c r="K5190" i="1"/>
  <c r="H5190" i="1"/>
  <c r="K5189" i="1"/>
  <c r="H5189" i="1"/>
  <c r="K5188" i="1"/>
  <c r="H5188" i="1"/>
  <c r="K5187" i="1"/>
  <c r="H5187" i="1"/>
  <c r="K5186" i="1"/>
  <c r="H5186" i="1"/>
  <c r="K5185" i="1"/>
  <c r="H5185" i="1"/>
  <c r="K5184" i="1"/>
  <c r="H5184" i="1"/>
  <c r="K5183" i="1"/>
  <c r="H5183" i="1"/>
  <c r="K5182" i="1"/>
  <c r="H5182" i="1"/>
  <c r="K5181" i="1"/>
  <c r="H5181" i="1"/>
  <c r="K5180" i="1"/>
  <c r="H5180" i="1"/>
  <c r="K5179" i="1"/>
  <c r="H5179" i="1"/>
  <c r="K5178" i="1"/>
  <c r="H5178" i="1"/>
  <c r="K5177" i="1"/>
  <c r="H5177" i="1"/>
  <c r="K5176" i="1"/>
  <c r="H5176" i="1"/>
  <c r="K5175" i="1"/>
  <c r="H5175" i="1"/>
  <c r="K5174" i="1"/>
  <c r="H5174" i="1"/>
  <c r="K5173" i="1"/>
  <c r="H5173" i="1"/>
  <c r="K5172" i="1"/>
  <c r="H5172" i="1"/>
  <c r="K5171" i="1"/>
  <c r="H5171" i="1"/>
  <c r="K5170" i="1"/>
  <c r="H5170" i="1"/>
  <c r="K5169" i="1"/>
  <c r="H5169" i="1"/>
  <c r="K5168" i="1"/>
  <c r="H5168" i="1"/>
  <c r="K5167" i="1"/>
  <c r="H5167" i="1"/>
  <c r="K5166" i="1"/>
  <c r="H5166" i="1"/>
  <c r="K5165" i="1"/>
  <c r="H5165" i="1"/>
  <c r="K5164" i="1"/>
  <c r="H5164" i="1"/>
  <c r="K5163" i="1"/>
  <c r="H5163" i="1"/>
  <c r="K5162" i="1"/>
  <c r="H5162" i="1"/>
  <c r="K5161" i="1"/>
  <c r="H5161" i="1"/>
  <c r="K5160" i="1"/>
  <c r="H5160" i="1"/>
  <c r="K5159" i="1"/>
  <c r="H5159" i="1"/>
  <c r="K5158" i="1"/>
  <c r="H5158" i="1"/>
  <c r="K5157" i="1"/>
  <c r="H5157" i="1"/>
  <c r="K5156" i="1"/>
  <c r="H5156" i="1"/>
  <c r="K5155" i="1"/>
  <c r="H5155" i="1"/>
  <c r="K5154" i="1"/>
  <c r="H5154" i="1"/>
  <c r="K5153" i="1"/>
  <c r="H5153" i="1"/>
  <c r="K5152" i="1"/>
  <c r="H5152" i="1"/>
  <c r="K5151" i="1"/>
  <c r="H5151" i="1"/>
  <c r="K5150" i="1"/>
  <c r="H5150" i="1"/>
  <c r="K5149" i="1"/>
  <c r="H5149" i="1"/>
  <c r="K5148" i="1"/>
  <c r="H5148" i="1"/>
  <c r="K5147" i="1"/>
  <c r="H5147" i="1"/>
  <c r="K5146" i="1"/>
  <c r="H5146" i="1"/>
  <c r="K5145" i="1"/>
  <c r="H5145" i="1"/>
  <c r="K5144" i="1"/>
  <c r="H5144" i="1"/>
  <c r="K5143" i="1"/>
  <c r="H5143" i="1"/>
  <c r="K5142" i="1"/>
  <c r="H5142" i="1"/>
  <c r="K5141" i="1"/>
  <c r="H5141" i="1"/>
  <c r="K5140" i="1"/>
  <c r="H5140" i="1"/>
  <c r="K5139" i="1"/>
  <c r="H5139" i="1"/>
  <c r="K5138" i="1"/>
  <c r="H5138" i="1"/>
  <c r="K5137" i="1"/>
  <c r="H5137" i="1"/>
  <c r="K5136" i="1"/>
  <c r="H5136" i="1"/>
  <c r="K5135" i="1"/>
  <c r="H5135" i="1"/>
  <c r="K5134" i="1"/>
  <c r="H5134" i="1"/>
  <c r="K5133" i="1"/>
  <c r="H5133" i="1"/>
  <c r="K5132" i="1"/>
  <c r="H5132" i="1"/>
  <c r="K5131" i="1"/>
  <c r="H5131" i="1"/>
  <c r="K5130" i="1"/>
  <c r="H5130" i="1"/>
  <c r="K5129" i="1"/>
  <c r="H5129" i="1"/>
  <c r="K5128" i="1"/>
  <c r="H5128" i="1"/>
  <c r="K5127" i="1"/>
  <c r="H5127" i="1"/>
  <c r="K5126" i="1"/>
  <c r="H5126" i="1"/>
  <c r="K5125" i="1"/>
  <c r="H5125" i="1"/>
  <c r="K5124" i="1"/>
  <c r="H5124" i="1"/>
  <c r="K5123" i="1"/>
  <c r="H5123" i="1"/>
  <c r="K5122" i="1"/>
  <c r="H5122" i="1"/>
  <c r="K5121" i="1"/>
  <c r="H5121" i="1"/>
  <c r="K5120" i="1"/>
  <c r="H5120" i="1"/>
  <c r="K5119" i="1"/>
  <c r="H5119" i="1"/>
  <c r="K5118" i="1"/>
  <c r="H5118" i="1"/>
  <c r="K5117" i="1"/>
  <c r="H5117" i="1"/>
  <c r="K5116" i="1"/>
  <c r="H5116" i="1"/>
  <c r="K5115" i="1"/>
  <c r="H5115" i="1"/>
  <c r="K5114" i="1"/>
  <c r="H5114" i="1"/>
  <c r="K5113" i="1"/>
  <c r="H5113" i="1"/>
  <c r="K5112" i="1"/>
  <c r="H5112" i="1"/>
  <c r="K5111" i="1"/>
  <c r="H5111" i="1"/>
  <c r="K5110" i="1"/>
  <c r="H5110" i="1"/>
  <c r="K5109" i="1"/>
  <c r="H5109" i="1"/>
  <c r="K5108" i="1"/>
  <c r="H5108" i="1"/>
  <c r="K5107" i="1"/>
  <c r="H5107" i="1"/>
  <c r="K5106" i="1"/>
  <c r="H5106" i="1"/>
  <c r="K5105" i="1"/>
  <c r="H5105" i="1"/>
  <c r="K5104" i="1"/>
  <c r="H5104" i="1"/>
  <c r="K5103" i="1"/>
  <c r="H5103" i="1"/>
  <c r="K5102" i="1"/>
  <c r="H5102" i="1"/>
  <c r="K5101" i="1"/>
  <c r="H5101" i="1"/>
  <c r="K5100" i="1"/>
  <c r="H5100" i="1"/>
  <c r="K5099" i="1"/>
  <c r="H5099" i="1"/>
  <c r="K5098" i="1"/>
  <c r="H5098" i="1"/>
  <c r="K5097" i="1"/>
  <c r="H5097" i="1"/>
  <c r="K5096" i="1"/>
  <c r="H5096" i="1"/>
  <c r="K5095" i="1"/>
  <c r="H5095" i="1"/>
  <c r="K5094" i="1"/>
  <c r="H5094" i="1"/>
  <c r="K5093" i="1"/>
  <c r="H5093" i="1"/>
  <c r="K5092" i="1"/>
  <c r="H5092" i="1"/>
  <c r="K5091" i="1"/>
  <c r="H5091" i="1"/>
  <c r="K5090" i="1"/>
  <c r="H5090" i="1"/>
  <c r="K5089" i="1"/>
  <c r="H5089" i="1"/>
  <c r="K5088" i="1"/>
  <c r="H5088" i="1"/>
  <c r="K5087" i="1"/>
  <c r="H5087" i="1"/>
  <c r="K5086" i="1"/>
  <c r="H5086" i="1"/>
  <c r="K5085" i="1"/>
  <c r="H5085" i="1"/>
  <c r="K5084" i="1"/>
  <c r="H5084" i="1"/>
  <c r="K5083" i="1"/>
  <c r="H5083" i="1"/>
  <c r="K5082" i="1"/>
  <c r="H5082" i="1"/>
  <c r="K5081" i="1"/>
  <c r="H5081" i="1"/>
  <c r="K5080" i="1"/>
  <c r="H5080" i="1"/>
  <c r="K5079" i="1"/>
  <c r="H5079" i="1"/>
  <c r="K5078" i="1"/>
  <c r="H5078" i="1"/>
  <c r="K5077" i="1"/>
  <c r="H5077" i="1"/>
  <c r="K5076" i="1"/>
  <c r="H5076" i="1"/>
  <c r="K5075" i="1"/>
  <c r="H5075" i="1"/>
  <c r="K5074" i="1"/>
  <c r="H5074" i="1"/>
  <c r="K5073" i="1"/>
  <c r="H5073" i="1"/>
  <c r="K5072" i="1"/>
  <c r="H5072" i="1"/>
  <c r="K5071" i="1"/>
  <c r="H5071" i="1"/>
  <c r="K5070" i="1"/>
  <c r="H5070" i="1"/>
  <c r="K5069" i="1"/>
  <c r="H5069" i="1"/>
  <c r="K5068" i="1"/>
  <c r="H5068" i="1"/>
  <c r="K5067" i="1"/>
  <c r="H5067" i="1"/>
  <c r="K5066" i="1"/>
  <c r="H5066" i="1"/>
  <c r="K5065" i="1"/>
  <c r="H5065" i="1"/>
  <c r="K5064" i="1"/>
  <c r="H5064" i="1"/>
  <c r="K5063" i="1"/>
  <c r="H5063" i="1"/>
  <c r="K5062" i="1"/>
  <c r="H5062" i="1"/>
  <c r="K5061" i="1"/>
  <c r="H5061" i="1"/>
  <c r="K5060" i="1"/>
  <c r="H5060" i="1"/>
  <c r="K5059" i="1"/>
  <c r="H5059" i="1"/>
  <c r="K5058" i="1"/>
  <c r="H5058" i="1"/>
  <c r="K5057" i="1"/>
  <c r="H5057" i="1"/>
  <c r="K5056" i="1"/>
  <c r="H5056" i="1"/>
  <c r="K5055" i="1"/>
  <c r="H5055" i="1"/>
  <c r="K5054" i="1"/>
  <c r="H5054" i="1"/>
  <c r="K5053" i="1"/>
  <c r="H5053" i="1"/>
  <c r="K5052" i="1"/>
  <c r="H5052" i="1"/>
  <c r="K5051" i="1"/>
  <c r="H5051" i="1"/>
  <c r="K5050" i="1"/>
  <c r="H5050" i="1"/>
  <c r="K5049" i="1"/>
  <c r="H5049" i="1"/>
  <c r="K5048" i="1"/>
  <c r="H5048" i="1"/>
  <c r="K5047" i="1"/>
  <c r="H5047" i="1"/>
  <c r="K5046" i="1"/>
  <c r="H5046" i="1"/>
  <c r="K5045" i="1"/>
  <c r="H5045" i="1"/>
  <c r="K5044" i="1"/>
  <c r="H5044" i="1"/>
  <c r="K5043" i="1"/>
  <c r="H5043" i="1"/>
  <c r="K5042" i="1"/>
  <c r="H5042" i="1"/>
  <c r="K5041" i="1"/>
  <c r="H5041" i="1"/>
  <c r="K5040" i="1"/>
  <c r="H5040" i="1"/>
  <c r="K5039" i="1"/>
  <c r="H5039" i="1"/>
  <c r="K5038" i="1"/>
  <c r="H5038" i="1"/>
  <c r="K5037" i="1"/>
  <c r="H5037" i="1"/>
  <c r="K5036" i="1"/>
  <c r="H5036" i="1"/>
  <c r="K5035" i="1"/>
  <c r="H5035" i="1"/>
  <c r="K5034" i="1"/>
  <c r="H5034" i="1"/>
  <c r="K5033" i="1"/>
  <c r="H5033" i="1"/>
  <c r="K5032" i="1"/>
  <c r="H5032" i="1"/>
  <c r="K5031" i="1"/>
  <c r="H5031" i="1"/>
  <c r="K5030" i="1"/>
  <c r="H5030" i="1"/>
  <c r="K5029" i="1"/>
  <c r="H5029" i="1"/>
  <c r="K5028" i="1"/>
  <c r="H5028" i="1"/>
  <c r="K5027" i="1"/>
  <c r="H5027" i="1"/>
  <c r="K5026" i="1"/>
  <c r="H5026" i="1"/>
  <c r="K5025" i="1"/>
  <c r="H5025" i="1"/>
  <c r="K5024" i="1"/>
  <c r="H5024" i="1"/>
  <c r="K5023" i="1"/>
  <c r="H5023" i="1"/>
  <c r="K5022" i="1"/>
  <c r="H5022" i="1"/>
  <c r="K5021" i="1"/>
  <c r="H5021" i="1"/>
  <c r="K5020" i="1"/>
  <c r="H5020" i="1"/>
  <c r="K5019" i="1"/>
  <c r="H5019" i="1"/>
  <c r="K5018" i="1"/>
  <c r="H5018" i="1"/>
  <c r="K5017" i="1"/>
  <c r="H5017" i="1"/>
  <c r="K5016" i="1"/>
  <c r="H5016" i="1"/>
  <c r="K5015" i="1"/>
  <c r="H5015" i="1"/>
  <c r="K5014" i="1"/>
  <c r="H5014" i="1"/>
  <c r="K5013" i="1"/>
  <c r="H5013" i="1"/>
  <c r="K5012" i="1"/>
  <c r="H5012" i="1"/>
  <c r="K5011" i="1"/>
  <c r="H5011" i="1"/>
  <c r="K5010" i="1"/>
  <c r="H5010" i="1"/>
  <c r="K5009" i="1"/>
  <c r="H5009" i="1"/>
  <c r="K5008" i="1"/>
  <c r="H5008" i="1"/>
  <c r="K5007" i="1"/>
  <c r="H5007" i="1"/>
  <c r="K5006" i="1"/>
  <c r="H5006" i="1"/>
  <c r="K5005" i="1"/>
  <c r="H5005" i="1"/>
  <c r="K5004" i="1"/>
  <c r="H5004" i="1"/>
  <c r="K5003" i="1"/>
  <c r="H5003" i="1"/>
  <c r="K5002" i="1"/>
  <c r="H5002" i="1"/>
  <c r="K5001" i="1"/>
  <c r="H5001" i="1"/>
  <c r="K5000" i="1"/>
  <c r="H5000" i="1"/>
  <c r="K4999" i="1"/>
  <c r="H4999" i="1"/>
  <c r="K4998" i="1"/>
  <c r="H4998" i="1"/>
  <c r="K4997" i="1"/>
  <c r="H4997" i="1"/>
  <c r="K4996" i="1"/>
  <c r="H4996" i="1"/>
  <c r="K4995" i="1"/>
  <c r="H4995" i="1"/>
  <c r="K4994" i="1"/>
  <c r="H4994" i="1"/>
  <c r="K4993" i="1"/>
  <c r="H4993" i="1"/>
  <c r="K4992" i="1"/>
  <c r="H4992" i="1"/>
  <c r="K4991" i="1"/>
  <c r="H4991" i="1"/>
  <c r="K4990" i="1"/>
  <c r="H4990" i="1"/>
  <c r="K4989" i="1"/>
  <c r="H4989" i="1"/>
  <c r="K4988" i="1"/>
  <c r="H4988" i="1"/>
  <c r="K4987" i="1"/>
  <c r="H4987" i="1"/>
  <c r="K4986" i="1"/>
  <c r="H4986" i="1"/>
  <c r="K4985" i="1"/>
  <c r="H4985" i="1"/>
  <c r="K4984" i="1"/>
  <c r="H4984" i="1"/>
  <c r="K4983" i="1"/>
  <c r="H4983" i="1"/>
  <c r="K4982" i="1"/>
  <c r="H4982" i="1"/>
  <c r="K4981" i="1"/>
  <c r="H4981" i="1"/>
  <c r="K4980" i="1"/>
  <c r="H4980" i="1"/>
  <c r="K4979" i="1"/>
  <c r="H4979" i="1"/>
  <c r="K4978" i="1"/>
  <c r="H4978" i="1"/>
  <c r="K4977" i="1"/>
  <c r="H4977" i="1"/>
  <c r="K4976" i="1"/>
  <c r="H4976" i="1"/>
  <c r="K4975" i="1"/>
  <c r="H4975" i="1"/>
  <c r="K4974" i="1"/>
  <c r="H4974" i="1"/>
  <c r="K4973" i="1"/>
  <c r="H4973" i="1"/>
  <c r="K4972" i="1"/>
  <c r="H4972" i="1"/>
  <c r="K4971" i="1"/>
  <c r="H4971" i="1"/>
  <c r="K4970" i="1"/>
  <c r="H4970" i="1"/>
  <c r="K4969" i="1"/>
  <c r="H4969" i="1"/>
  <c r="K4968" i="1"/>
  <c r="H4968" i="1"/>
  <c r="K4967" i="1"/>
  <c r="H4967" i="1"/>
  <c r="K4966" i="1"/>
  <c r="H4966" i="1"/>
  <c r="K4965" i="1"/>
  <c r="H4965" i="1"/>
  <c r="K4964" i="1"/>
  <c r="H4964" i="1"/>
  <c r="K4963" i="1"/>
  <c r="H4963" i="1"/>
  <c r="K4962" i="1"/>
  <c r="H4962" i="1"/>
  <c r="K4961" i="1"/>
  <c r="H4961" i="1"/>
  <c r="K4960" i="1"/>
  <c r="H4960" i="1"/>
  <c r="K4959" i="1"/>
  <c r="H4959" i="1"/>
  <c r="K4958" i="1"/>
  <c r="H4958" i="1"/>
  <c r="K4957" i="1"/>
  <c r="H4957" i="1"/>
  <c r="K4956" i="1"/>
  <c r="H4956" i="1"/>
  <c r="K4955" i="1"/>
  <c r="H4955" i="1"/>
  <c r="K4954" i="1"/>
  <c r="H4954" i="1"/>
  <c r="K4953" i="1"/>
  <c r="H4953" i="1"/>
  <c r="K4952" i="1"/>
  <c r="H4952" i="1"/>
  <c r="K4951" i="1"/>
  <c r="H4951" i="1"/>
  <c r="K4950" i="1"/>
  <c r="H4950" i="1"/>
  <c r="K4949" i="1"/>
  <c r="H4949" i="1"/>
  <c r="K4948" i="1"/>
  <c r="H4948" i="1"/>
  <c r="K4947" i="1"/>
  <c r="H4947" i="1"/>
  <c r="K4946" i="1"/>
  <c r="H4946" i="1"/>
  <c r="K4945" i="1"/>
  <c r="H4945" i="1"/>
  <c r="K4944" i="1"/>
  <c r="H4944" i="1"/>
  <c r="K4943" i="1"/>
  <c r="H4943" i="1"/>
  <c r="K4942" i="1"/>
  <c r="H4942" i="1"/>
  <c r="K4941" i="1"/>
  <c r="H4941" i="1"/>
  <c r="K4940" i="1"/>
  <c r="H4940" i="1"/>
  <c r="K4939" i="1"/>
  <c r="H4939" i="1"/>
  <c r="K4938" i="1"/>
  <c r="H4938" i="1"/>
  <c r="K4937" i="1"/>
  <c r="H4937" i="1"/>
  <c r="K4936" i="1"/>
  <c r="H4936" i="1"/>
  <c r="K4935" i="1"/>
  <c r="H4935" i="1"/>
  <c r="K4934" i="1"/>
  <c r="H4934" i="1"/>
  <c r="K4933" i="1"/>
  <c r="H4933" i="1"/>
  <c r="K4932" i="1"/>
  <c r="H4932" i="1"/>
  <c r="K4931" i="1"/>
  <c r="H4931" i="1"/>
  <c r="K4930" i="1"/>
  <c r="H4930" i="1"/>
  <c r="K4929" i="1"/>
  <c r="H4929" i="1"/>
  <c r="K4928" i="1"/>
  <c r="H4928" i="1"/>
  <c r="K4927" i="1"/>
  <c r="H4927" i="1"/>
  <c r="K4926" i="1"/>
  <c r="H4926" i="1"/>
  <c r="K4925" i="1"/>
  <c r="H4925" i="1"/>
  <c r="K4924" i="1"/>
  <c r="H4924" i="1"/>
  <c r="K4923" i="1"/>
  <c r="H4923" i="1"/>
  <c r="K4922" i="1"/>
  <c r="H4922" i="1"/>
  <c r="K4921" i="1"/>
  <c r="H4921" i="1"/>
  <c r="K4920" i="1"/>
  <c r="H4920" i="1"/>
  <c r="K4919" i="1"/>
  <c r="H4919" i="1"/>
  <c r="K4918" i="1"/>
  <c r="H4918" i="1"/>
  <c r="K4917" i="1"/>
  <c r="H4917" i="1"/>
  <c r="K4916" i="1"/>
  <c r="H4916" i="1"/>
  <c r="K4915" i="1"/>
  <c r="H4915" i="1"/>
  <c r="K4914" i="1"/>
  <c r="H4914" i="1"/>
  <c r="K4913" i="1"/>
  <c r="H4913" i="1"/>
  <c r="K4912" i="1"/>
  <c r="H4912" i="1"/>
  <c r="K4911" i="1"/>
  <c r="H4911" i="1"/>
  <c r="K4910" i="1"/>
  <c r="H4910" i="1"/>
  <c r="K4909" i="1"/>
  <c r="H4909" i="1"/>
  <c r="K4908" i="1"/>
  <c r="H4908" i="1"/>
  <c r="K4907" i="1"/>
  <c r="H4907" i="1"/>
  <c r="K4906" i="1"/>
  <c r="H4906" i="1"/>
  <c r="K4905" i="1"/>
  <c r="H4905" i="1"/>
  <c r="K4904" i="1"/>
  <c r="H4904" i="1"/>
  <c r="K4903" i="1"/>
  <c r="H4903" i="1"/>
  <c r="K4902" i="1"/>
  <c r="H4902" i="1"/>
  <c r="K4901" i="1"/>
  <c r="H4901" i="1"/>
  <c r="K4900" i="1"/>
  <c r="H4900" i="1"/>
  <c r="K4899" i="1"/>
  <c r="H4899" i="1"/>
  <c r="K4898" i="1"/>
  <c r="H4898" i="1"/>
  <c r="K4897" i="1"/>
  <c r="H4897" i="1"/>
  <c r="K4896" i="1"/>
  <c r="H4896" i="1"/>
  <c r="K4895" i="1"/>
  <c r="H4895" i="1"/>
  <c r="K4894" i="1"/>
  <c r="H4894" i="1"/>
  <c r="K4893" i="1"/>
  <c r="H4893" i="1"/>
  <c r="K4892" i="1"/>
  <c r="H4892" i="1"/>
  <c r="K4891" i="1"/>
  <c r="H4891" i="1"/>
  <c r="K4890" i="1"/>
  <c r="H4890" i="1"/>
  <c r="K4889" i="1"/>
  <c r="H4889" i="1"/>
  <c r="K4888" i="1"/>
  <c r="H4888" i="1"/>
  <c r="K4887" i="1"/>
  <c r="H4887" i="1"/>
  <c r="K4886" i="1"/>
  <c r="H4886" i="1"/>
  <c r="K4885" i="1"/>
  <c r="H4885" i="1"/>
  <c r="K4884" i="1"/>
  <c r="H4884" i="1"/>
  <c r="K4883" i="1"/>
  <c r="H4883" i="1"/>
  <c r="K4882" i="1"/>
  <c r="H4882" i="1"/>
  <c r="K4881" i="1"/>
  <c r="H4881" i="1"/>
  <c r="K4880" i="1"/>
  <c r="H4880" i="1"/>
  <c r="K4879" i="1"/>
  <c r="H4879" i="1"/>
  <c r="K4878" i="1"/>
  <c r="H4878" i="1"/>
  <c r="K4877" i="1"/>
  <c r="H4877" i="1"/>
  <c r="K4876" i="1"/>
  <c r="H4876" i="1"/>
  <c r="K4875" i="1"/>
  <c r="H4875" i="1"/>
  <c r="K4874" i="1"/>
  <c r="H4874" i="1"/>
  <c r="K4873" i="1"/>
  <c r="H4873" i="1"/>
  <c r="K4872" i="1"/>
  <c r="H4872" i="1"/>
  <c r="K4871" i="1"/>
  <c r="H4871" i="1"/>
  <c r="K4870" i="1"/>
  <c r="H4870" i="1"/>
  <c r="K4869" i="1"/>
  <c r="H4869" i="1"/>
  <c r="K4868" i="1"/>
  <c r="H4868" i="1"/>
  <c r="K4867" i="1"/>
  <c r="H4867" i="1"/>
  <c r="K4866" i="1"/>
  <c r="H4866" i="1"/>
  <c r="K4865" i="1"/>
  <c r="H4865" i="1"/>
  <c r="K4864" i="1"/>
  <c r="H4864" i="1"/>
  <c r="K4863" i="1"/>
  <c r="H4863" i="1"/>
  <c r="K4862" i="1"/>
  <c r="H4862" i="1"/>
  <c r="K4861" i="1"/>
  <c r="H4861" i="1"/>
  <c r="K4860" i="1"/>
  <c r="H4860" i="1"/>
  <c r="K4859" i="1"/>
  <c r="H4859" i="1"/>
  <c r="K4858" i="1"/>
  <c r="H4858" i="1"/>
  <c r="K4857" i="1"/>
  <c r="H4857" i="1"/>
  <c r="K4856" i="1"/>
  <c r="H4856" i="1"/>
  <c r="K4855" i="1"/>
  <c r="H4855" i="1"/>
  <c r="K4854" i="1"/>
  <c r="H4854" i="1"/>
  <c r="K4853" i="1"/>
  <c r="H4853" i="1"/>
  <c r="K4852" i="1"/>
  <c r="H4852" i="1"/>
  <c r="K4851" i="1"/>
  <c r="H4851" i="1"/>
  <c r="K4850" i="1"/>
  <c r="H4850" i="1"/>
  <c r="K4849" i="1"/>
  <c r="H4849" i="1"/>
  <c r="K4848" i="1"/>
  <c r="H4848" i="1"/>
  <c r="K4847" i="1"/>
  <c r="H4847" i="1"/>
  <c r="K4846" i="1"/>
  <c r="H4846" i="1"/>
  <c r="K4845" i="1"/>
  <c r="H4845" i="1"/>
  <c r="K4844" i="1"/>
  <c r="H4844" i="1"/>
  <c r="K4843" i="1"/>
  <c r="H4843" i="1"/>
  <c r="K4842" i="1"/>
  <c r="H4842" i="1"/>
  <c r="K4841" i="1"/>
  <c r="H4841" i="1"/>
  <c r="K4840" i="1"/>
  <c r="H4840" i="1"/>
  <c r="K4839" i="1"/>
  <c r="H4839" i="1"/>
  <c r="K4838" i="1"/>
  <c r="H4838" i="1"/>
  <c r="K4837" i="1"/>
  <c r="H4837" i="1"/>
  <c r="K4836" i="1"/>
  <c r="H4836" i="1"/>
  <c r="K4835" i="1"/>
  <c r="H4835" i="1"/>
  <c r="K4834" i="1"/>
  <c r="H4834" i="1"/>
  <c r="K4833" i="1"/>
  <c r="H4833" i="1"/>
  <c r="K4832" i="1"/>
  <c r="H4832" i="1"/>
  <c r="K4831" i="1"/>
  <c r="H4831" i="1"/>
  <c r="K4830" i="1"/>
  <c r="H4830" i="1"/>
  <c r="K4829" i="1"/>
  <c r="H4829" i="1"/>
  <c r="K4828" i="1"/>
  <c r="H4828" i="1"/>
  <c r="K4827" i="1"/>
  <c r="H4827" i="1"/>
  <c r="K4826" i="1"/>
  <c r="H4826" i="1"/>
  <c r="K4825" i="1"/>
  <c r="H4825" i="1"/>
  <c r="K4824" i="1"/>
  <c r="H4824" i="1"/>
  <c r="K4823" i="1"/>
  <c r="H4823" i="1"/>
  <c r="K4822" i="1"/>
  <c r="H4822" i="1"/>
  <c r="K4821" i="1"/>
  <c r="H4821" i="1"/>
  <c r="K4820" i="1"/>
  <c r="H4820" i="1"/>
  <c r="K4819" i="1"/>
  <c r="H4819" i="1"/>
  <c r="K4818" i="1"/>
  <c r="H4818" i="1"/>
  <c r="K4817" i="1"/>
  <c r="H4817" i="1"/>
  <c r="K4816" i="1"/>
  <c r="H4816" i="1"/>
  <c r="K4815" i="1"/>
  <c r="H4815" i="1"/>
  <c r="K4814" i="1"/>
  <c r="H4814" i="1"/>
  <c r="K4813" i="1"/>
  <c r="H4813" i="1"/>
  <c r="K4812" i="1"/>
  <c r="H4812" i="1"/>
  <c r="K4811" i="1"/>
  <c r="H4811" i="1"/>
  <c r="K4810" i="1"/>
  <c r="H4810" i="1"/>
  <c r="K4809" i="1"/>
  <c r="H4809" i="1"/>
  <c r="K4808" i="1"/>
  <c r="H4808" i="1"/>
  <c r="K4807" i="1"/>
  <c r="H4807" i="1"/>
  <c r="K4806" i="1"/>
  <c r="H4806" i="1"/>
  <c r="K4805" i="1"/>
  <c r="H4805" i="1"/>
  <c r="K4804" i="1"/>
  <c r="H4804" i="1"/>
  <c r="K4803" i="1"/>
  <c r="H4803" i="1"/>
  <c r="K4802" i="1"/>
  <c r="H4802" i="1"/>
  <c r="K4801" i="1"/>
  <c r="H4801" i="1"/>
  <c r="K4800" i="1"/>
  <c r="H4800" i="1"/>
  <c r="K4799" i="1"/>
  <c r="H4799" i="1"/>
  <c r="K4798" i="1"/>
  <c r="H4798" i="1"/>
  <c r="K4797" i="1"/>
  <c r="H4797" i="1"/>
  <c r="K4796" i="1"/>
  <c r="H4796" i="1"/>
  <c r="K4795" i="1"/>
  <c r="H4795" i="1"/>
  <c r="K4794" i="1"/>
  <c r="H4794" i="1"/>
  <c r="K4793" i="1"/>
  <c r="H4793" i="1"/>
  <c r="K4792" i="1"/>
  <c r="H4792" i="1"/>
  <c r="K4791" i="1"/>
  <c r="H4791" i="1"/>
  <c r="K4790" i="1"/>
  <c r="H4790" i="1"/>
  <c r="K4789" i="1"/>
  <c r="H4789" i="1"/>
  <c r="K4788" i="1"/>
  <c r="H4788" i="1"/>
  <c r="K4787" i="1"/>
  <c r="H4787" i="1"/>
  <c r="K4786" i="1"/>
  <c r="H4786" i="1"/>
  <c r="K4785" i="1"/>
  <c r="H4785" i="1"/>
  <c r="K4784" i="1"/>
  <c r="H4784" i="1"/>
  <c r="K4783" i="1"/>
  <c r="H4783" i="1"/>
  <c r="K4782" i="1"/>
  <c r="H4782" i="1"/>
  <c r="K4781" i="1"/>
  <c r="H4781" i="1"/>
  <c r="K4780" i="1"/>
  <c r="H4780" i="1"/>
  <c r="K4779" i="1"/>
  <c r="H4779" i="1"/>
  <c r="K4778" i="1"/>
  <c r="H4778" i="1"/>
  <c r="K4777" i="1"/>
  <c r="H4777" i="1"/>
  <c r="K4776" i="1"/>
  <c r="H4776" i="1"/>
  <c r="K4775" i="1"/>
  <c r="H4775" i="1"/>
  <c r="K4774" i="1"/>
  <c r="H4774" i="1"/>
  <c r="K4773" i="1"/>
  <c r="H4773" i="1"/>
  <c r="K4772" i="1"/>
  <c r="H4772" i="1"/>
  <c r="K4771" i="1"/>
  <c r="H4771" i="1"/>
  <c r="K4770" i="1"/>
  <c r="H4770" i="1"/>
  <c r="K4769" i="1"/>
  <c r="H4769" i="1"/>
  <c r="K4768" i="1"/>
  <c r="H4768" i="1"/>
  <c r="K4767" i="1"/>
  <c r="H4767" i="1"/>
  <c r="K4766" i="1"/>
  <c r="H4766" i="1"/>
  <c r="K4765" i="1"/>
  <c r="H4765" i="1"/>
  <c r="K4764" i="1"/>
  <c r="H4764" i="1"/>
  <c r="K4763" i="1"/>
  <c r="H4763" i="1"/>
  <c r="K4762" i="1"/>
  <c r="H4762" i="1"/>
  <c r="K4761" i="1"/>
  <c r="H4761" i="1"/>
  <c r="K4760" i="1"/>
  <c r="H4760" i="1"/>
  <c r="K4759" i="1"/>
  <c r="H4759" i="1"/>
  <c r="K4758" i="1"/>
  <c r="H4758" i="1"/>
  <c r="K4757" i="1"/>
  <c r="H4757" i="1"/>
  <c r="K4756" i="1"/>
  <c r="H4756" i="1"/>
  <c r="K4755" i="1"/>
  <c r="H4755" i="1"/>
  <c r="K4754" i="1"/>
  <c r="H4754" i="1"/>
  <c r="K4753" i="1"/>
  <c r="H4753" i="1"/>
  <c r="K4752" i="1"/>
  <c r="H4752" i="1"/>
  <c r="K4751" i="1"/>
  <c r="H4751" i="1"/>
  <c r="K4750" i="1"/>
  <c r="H4750" i="1"/>
  <c r="K4749" i="1"/>
  <c r="H4749" i="1"/>
  <c r="K4748" i="1"/>
  <c r="H4748" i="1"/>
  <c r="K4747" i="1"/>
  <c r="H4747" i="1"/>
  <c r="K4746" i="1"/>
  <c r="H4746" i="1"/>
  <c r="K4745" i="1"/>
  <c r="H4745" i="1"/>
  <c r="K4744" i="1"/>
  <c r="H4744" i="1"/>
  <c r="K4743" i="1"/>
  <c r="H4743" i="1"/>
  <c r="K4742" i="1"/>
  <c r="H4742" i="1"/>
  <c r="K4741" i="1"/>
  <c r="H4741" i="1"/>
  <c r="K4740" i="1"/>
  <c r="H4740" i="1"/>
  <c r="K4739" i="1"/>
  <c r="H4739" i="1"/>
  <c r="K4738" i="1"/>
  <c r="H4738" i="1"/>
  <c r="K4737" i="1"/>
  <c r="H4737" i="1"/>
  <c r="K4736" i="1"/>
  <c r="H4736" i="1"/>
  <c r="K4735" i="1"/>
  <c r="H4735" i="1"/>
  <c r="K4734" i="1"/>
  <c r="H4734" i="1"/>
  <c r="K4733" i="1"/>
  <c r="H4733" i="1"/>
  <c r="K4732" i="1"/>
  <c r="H4732" i="1"/>
  <c r="K4731" i="1"/>
  <c r="H4731" i="1"/>
  <c r="K4730" i="1"/>
  <c r="H4730" i="1"/>
  <c r="K4729" i="1"/>
  <c r="H4729" i="1"/>
  <c r="K4728" i="1"/>
  <c r="H4728" i="1"/>
  <c r="K4727" i="1"/>
  <c r="H4727" i="1"/>
  <c r="K4726" i="1"/>
  <c r="H4726" i="1"/>
  <c r="K4725" i="1"/>
  <c r="H4725" i="1"/>
  <c r="K4724" i="1"/>
  <c r="H4724" i="1"/>
  <c r="K4723" i="1"/>
  <c r="H4723" i="1"/>
  <c r="K4722" i="1"/>
  <c r="H4722" i="1"/>
  <c r="K4721" i="1"/>
  <c r="H4721" i="1"/>
  <c r="K4720" i="1"/>
  <c r="H4720" i="1"/>
  <c r="K4719" i="1"/>
  <c r="H4719" i="1"/>
  <c r="K4718" i="1"/>
  <c r="H4718" i="1"/>
  <c r="K4717" i="1"/>
  <c r="H4717" i="1"/>
  <c r="K4716" i="1"/>
  <c r="H4716" i="1"/>
  <c r="K4715" i="1"/>
  <c r="H4715" i="1"/>
  <c r="K4714" i="1"/>
  <c r="H4714" i="1"/>
  <c r="K4713" i="1"/>
  <c r="H4713" i="1"/>
  <c r="K4712" i="1"/>
  <c r="H4712" i="1"/>
  <c r="K4711" i="1"/>
  <c r="H4711" i="1"/>
  <c r="K4710" i="1"/>
  <c r="H4710" i="1"/>
  <c r="K4709" i="1"/>
  <c r="H4709" i="1"/>
  <c r="K4708" i="1"/>
  <c r="H4708" i="1"/>
  <c r="K4707" i="1"/>
  <c r="H4707" i="1"/>
  <c r="K4706" i="1"/>
  <c r="H4706" i="1"/>
  <c r="K4705" i="1"/>
  <c r="H4705" i="1"/>
  <c r="K4704" i="1"/>
  <c r="H4704" i="1"/>
  <c r="K4703" i="1"/>
  <c r="H4703" i="1"/>
  <c r="K4702" i="1"/>
  <c r="H4702" i="1"/>
  <c r="K4701" i="1"/>
  <c r="H4701" i="1"/>
  <c r="K4700" i="1"/>
  <c r="H4700" i="1"/>
  <c r="K4699" i="1"/>
  <c r="H4699" i="1"/>
  <c r="K4698" i="1"/>
  <c r="H4698" i="1"/>
  <c r="K4697" i="1"/>
  <c r="H4697" i="1"/>
  <c r="K4696" i="1"/>
  <c r="H4696" i="1"/>
  <c r="K4695" i="1"/>
  <c r="H4695" i="1"/>
  <c r="K4694" i="1"/>
  <c r="H4694" i="1"/>
  <c r="K4693" i="1"/>
  <c r="H4693" i="1"/>
  <c r="K4692" i="1"/>
  <c r="H4692" i="1"/>
  <c r="K4691" i="1"/>
  <c r="H4691" i="1"/>
  <c r="K4690" i="1"/>
  <c r="H4690" i="1"/>
  <c r="K4689" i="1"/>
  <c r="H4689" i="1"/>
  <c r="K4688" i="1"/>
  <c r="H4688" i="1"/>
  <c r="K4687" i="1"/>
  <c r="H4687" i="1"/>
  <c r="K4686" i="1"/>
  <c r="H4686" i="1"/>
  <c r="K4685" i="1"/>
  <c r="H4685" i="1"/>
  <c r="K4684" i="1"/>
  <c r="H4684" i="1"/>
  <c r="K4683" i="1"/>
  <c r="H4683" i="1"/>
  <c r="K4682" i="1"/>
  <c r="H4682" i="1"/>
  <c r="K4681" i="1"/>
  <c r="H4681" i="1"/>
  <c r="K4680" i="1"/>
  <c r="H4680" i="1"/>
  <c r="K4679" i="1"/>
  <c r="H4679" i="1"/>
  <c r="K4678" i="1"/>
  <c r="H4678" i="1"/>
  <c r="K4677" i="1"/>
  <c r="H4677" i="1"/>
  <c r="K4676" i="1"/>
  <c r="H4676" i="1"/>
  <c r="K4675" i="1"/>
  <c r="H4675" i="1"/>
  <c r="K4674" i="1"/>
  <c r="H4674" i="1"/>
  <c r="K4673" i="1"/>
  <c r="H4673" i="1"/>
  <c r="K4672" i="1"/>
  <c r="H4672" i="1"/>
  <c r="K4671" i="1"/>
  <c r="H4671" i="1"/>
  <c r="K4670" i="1"/>
  <c r="H4670" i="1"/>
  <c r="K4669" i="1"/>
  <c r="H4669" i="1"/>
  <c r="K4668" i="1"/>
  <c r="H4668" i="1"/>
  <c r="K4667" i="1"/>
  <c r="H4667" i="1"/>
  <c r="K4666" i="1"/>
  <c r="H4666" i="1"/>
  <c r="K4665" i="1"/>
  <c r="H4665" i="1"/>
  <c r="K4664" i="1"/>
  <c r="H4664" i="1"/>
  <c r="K4663" i="1"/>
  <c r="H4663" i="1"/>
  <c r="K4662" i="1"/>
  <c r="H4662" i="1"/>
  <c r="K4661" i="1"/>
  <c r="H4661" i="1"/>
  <c r="K4660" i="1"/>
  <c r="H4660" i="1"/>
  <c r="K4659" i="1"/>
  <c r="H4659" i="1"/>
  <c r="K4658" i="1"/>
  <c r="H4658" i="1"/>
  <c r="K4657" i="1"/>
  <c r="H4657" i="1"/>
  <c r="K4656" i="1"/>
  <c r="H4656" i="1"/>
  <c r="K4655" i="1"/>
  <c r="H4655" i="1"/>
  <c r="K4654" i="1"/>
  <c r="H4654" i="1"/>
  <c r="K4653" i="1"/>
  <c r="H4653" i="1"/>
  <c r="K4652" i="1"/>
  <c r="H4652" i="1"/>
  <c r="K4651" i="1"/>
  <c r="H4651" i="1"/>
  <c r="K4650" i="1"/>
  <c r="H4650" i="1"/>
  <c r="K4649" i="1"/>
  <c r="H4649" i="1"/>
  <c r="K4648" i="1"/>
  <c r="H4648" i="1"/>
  <c r="K4647" i="1"/>
  <c r="H4647" i="1"/>
  <c r="K4646" i="1"/>
  <c r="H4646" i="1"/>
  <c r="K4645" i="1"/>
  <c r="H4645" i="1"/>
  <c r="K4644" i="1"/>
  <c r="H4644" i="1"/>
  <c r="K4643" i="1"/>
  <c r="H4643" i="1"/>
  <c r="K4642" i="1"/>
  <c r="H4642" i="1"/>
  <c r="K4641" i="1"/>
  <c r="H4641" i="1"/>
  <c r="K4640" i="1"/>
  <c r="H4640" i="1"/>
  <c r="K4639" i="1"/>
  <c r="H4639" i="1"/>
  <c r="K4638" i="1"/>
  <c r="H4638" i="1"/>
  <c r="K4637" i="1"/>
  <c r="H4637" i="1"/>
  <c r="K4636" i="1"/>
  <c r="H4636" i="1"/>
  <c r="K4635" i="1"/>
  <c r="H4635" i="1"/>
  <c r="K4634" i="1"/>
  <c r="H4634" i="1"/>
  <c r="K4633" i="1"/>
  <c r="H4633" i="1"/>
  <c r="K4632" i="1"/>
  <c r="H4632" i="1"/>
  <c r="K4631" i="1"/>
  <c r="H4631" i="1"/>
  <c r="K4630" i="1"/>
  <c r="H4630" i="1"/>
  <c r="K4629" i="1"/>
  <c r="H4629" i="1"/>
  <c r="K4628" i="1"/>
  <c r="H4628" i="1"/>
  <c r="K4627" i="1"/>
  <c r="H4627" i="1"/>
  <c r="K4626" i="1"/>
  <c r="H4626" i="1"/>
  <c r="K4625" i="1"/>
  <c r="H4625" i="1"/>
  <c r="K4624" i="1"/>
  <c r="H4624" i="1"/>
  <c r="K4623" i="1"/>
  <c r="H4623" i="1"/>
  <c r="K4622" i="1"/>
  <c r="H4622" i="1"/>
  <c r="K4621" i="1"/>
  <c r="H4621" i="1"/>
  <c r="K4620" i="1"/>
  <c r="H4620" i="1"/>
  <c r="K4619" i="1"/>
  <c r="H4619" i="1"/>
  <c r="K4618" i="1"/>
  <c r="H4618" i="1"/>
  <c r="K4617" i="1"/>
  <c r="H4617" i="1"/>
  <c r="K4616" i="1"/>
  <c r="H4616" i="1"/>
  <c r="K4615" i="1"/>
  <c r="H4615" i="1"/>
  <c r="K4614" i="1"/>
  <c r="H4614" i="1"/>
  <c r="K4613" i="1"/>
  <c r="H4613" i="1"/>
  <c r="K4612" i="1"/>
  <c r="H4612" i="1"/>
  <c r="K4611" i="1"/>
  <c r="H4611" i="1"/>
  <c r="K4610" i="1"/>
  <c r="H4610" i="1"/>
  <c r="K4609" i="1"/>
  <c r="H4609" i="1"/>
  <c r="K4608" i="1"/>
  <c r="H4608" i="1"/>
  <c r="K4607" i="1"/>
  <c r="H4607" i="1"/>
  <c r="K4606" i="1"/>
  <c r="H4606" i="1"/>
  <c r="K4605" i="1"/>
  <c r="H4605" i="1"/>
  <c r="K4604" i="1"/>
  <c r="H4604" i="1"/>
  <c r="K4603" i="1"/>
  <c r="H4603" i="1"/>
  <c r="K4602" i="1"/>
  <c r="H4602" i="1"/>
  <c r="K4601" i="1"/>
  <c r="H4601" i="1"/>
  <c r="K4600" i="1"/>
  <c r="H4600" i="1"/>
  <c r="K4599" i="1"/>
  <c r="H4599" i="1"/>
  <c r="K4598" i="1"/>
  <c r="H4598" i="1"/>
  <c r="K4597" i="1"/>
  <c r="H4597" i="1"/>
  <c r="K4596" i="1"/>
  <c r="H4596" i="1"/>
  <c r="K4595" i="1"/>
  <c r="H4595" i="1"/>
  <c r="K4594" i="1"/>
  <c r="H4594" i="1"/>
  <c r="K4593" i="1"/>
  <c r="H4593" i="1"/>
  <c r="K4592" i="1"/>
  <c r="H4592" i="1"/>
  <c r="K4591" i="1"/>
  <c r="H4591" i="1"/>
  <c r="K4590" i="1"/>
  <c r="H4590" i="1"/>
  <c r="K4589" i="1"/>
  <c r="H4589" i="1"/>
  <c r="K4588" i="1"/>
  <c r="H4588" i="1"/>
  <c r="K4587" i="1"/>
  <c r="H4587" i="1"/>
  <c r="K4586" i="1"/>
  <c r="H4586" i="1"/>
  <c r="K4585" i="1"/>
  <c r="H4585" i="1"/>
  <c r="K4584" i="1"/>
  <c r="H4584" i="1"/>
  <c r="K4583" i="1"/>
  <c r="H4583" i="1"/>
  <c r="K4582" i="1"/>
  <c r="H4582" i="1"/>
  <c r="K4581" i="1"/>
  <c r="H4581" i="1"/>
  <c r="K4580" i="1"/>
  <c r="H4580" i="1"/>
  <c r="K4579" i="1"/>
  <c r="H4579" i="1"/>
  <c r="K4578" i="1"/>
  <c r="H4578" i="1"/>
  <c r="K4577" i="1"/>
  <c r="H4577" i="1"/>
  <c r="K4576" i="1"/>
  <c r="H4576" i="1"/>
  <c r="K4575" i="1"/>
  <c r="H4575" i="1"/>
  <c r="K4574" i="1"/>
  <c r="H4574" i="1"/>
  <c r="K4573" i="1"/>
  <c r="H4573" i="1"/>
  <c r="K4572" i="1"/>
  <c r="H4572" i="1"/>
  <c r="K4571" i="1"/>
  <c r="H4571" i="1"/>
  <c r="K4570" i="1"/>
  <c r="H4570" i="1"/>
  <c r="K4569" i="1"/>
  <c r="H4569" i="1"/>
  <c r="K4568" i="1"/>
  <c r="H4568" i="1"/>
  <c r="K4567" i="1"/>
  <c r="H4567" i="1"/>
  <c r="K4566" i="1"/>
  <c r="H4566" i="1"/>
  <c r="K4565" i="1"/>
  <c r="H4565" i="1"/>
  <c r="K4564" i="1"/>
  <c r="H4564" i="1"/>
  <c r="K4563" i="1"/>
  <c r="H4563" i="1"/>
  <c r="K4562" i="1"/>
  <c r="H4562" i="1"/>
  <c r="K4561" i="1"/>
  <c r="H4561" i="1"/>
  <c r="K4560" i="1"/>
  <c r="H4560" i="1"/>
  <c r="K4559" i="1"/>
  <c r="H4559" i="1"/>
  <c r="K4558" i="1"/>
  <c r="H4558" i="1"/>
  <c r="K4557" i="1"/>
  <c r="H4557" i="1"/>
  <c r="K4556" i="1"/>
  <c r="H4556" i="1"/>
  <c r="K4555" i="1"/>
  <c r="H4555" i="1"/>
  <c r="K4554" i="1"/>
  <c r="H4554" i="1"/>
  <c r="K4553" i="1"/>
  <c r="H4553" i="1"/>
  <c r="K4552" i="1"/>
  <c r="H4552" i="1"/>
  <c r="K4551" i="1"/>
  <c r="H4551" i="1"/>
  <c r="K4550" i="1"/>
  <c r="H4550" i="1"/>
  <c r="K4549" i="1"/>
  <c r="H4549" i="1"/>
  <c r="K4548" i="1"/>
  <c r="H4548" i="1"/>
  <c r="K4547" i="1"/>
  <c r="H4547" i="1"/>
  <c r="K4546" i="1"/>
  <c r="H4546" i="1"/>
  <c r="K4545" i="1"/>
  <c r="H4545" i="1"/>
  <c r="K4544" i="1"/>
  <c r="H4544" i="1"/>
  <c r="K4543" i="1"/>
  <c r="H4543" i="1"/>
  <c r="K4542" i="1"/>
  <c r="H4542" i="1"/>
  <c r="K4541" i="1"/>
  <c r="H4541" i="1"/>
  <c r="K4540" i="1"/>
  <c r="H4540" i="1"/>
  <c r="K4539" i="1"/>
  <c r="H4539" i="1"/>
  <c r="K4538" i="1"/>
  <c r="H4538" i="1"/>
  <c r="K4537" i="1"/>
  <c r="H4537" i="1"/>
  <c r="K4536" i="1"/>
  <c r="H4536" i="1"/>
  <c r="K4535" i="1"/>
  <c r="H4535" i="1"/>
  <c r="K4534" i="1"/>
  <c r="H4534" i="1"/>
  <c r="K4533" i="1"/>
  <c r="H4533" i="1"/>
  <c r="K4532" i="1"/>
  <c r="H4532" i="1"/>
  <c r="K4531" i="1"/>
  <c r="H4531" i="1"/>
  <c r="K4530" i="1"/>
  <c r="H4530" i="1"/>
  <c r="K4529" i="1"/>
  <c r="H4529" i="1"/>
  <c r="K4528" i="1"/>
  <c r="H4528" i="1"/>
  <c r="K4527" i="1"/>
  <c r="H4527" i="1"/>
  <c r="K4526" i="1"/>
  <c r="H4526" i="1"/>
  <c r="K4525" i="1"/>
  <c r="H4525" i="1"/>
  <c r="K4524" i="1"/>
  <c r="H4524" i="1"/>
  <c r="K4523" i="1"/>
  <c r="H4523" i="1"/>
  <c r="K4522" i="1"/>
  <c r="H4522" i="1"/>
  <c r="K4521" i="1"/>
  <c r="H4521" i="1"/>
  <c r="K4520" i="1"/>
  <c r="H4520" i="1"/>
  <c r="K4519" i="1"/>
  <c r="H4519" i="1"/>
  <c r="K4518" i="1"/>
  <c r="H4518" i="1"/>
  <c r="K4517" i="1"/>
  <c r="H4517" i="1"/>
  <c r="K4516" i="1"/>
  <c r="H4516" i="1"/>
  <c r="K4515" i="1"/>
  <c r="H4515" i="1"/>
  <c r="K4514" i="1"/>
  <c r="H4514" i="1"/>
  <c r="K4513" i="1"/>
  <c r="H4513" i="1"/>
  <c r="K4512" i="1"/>
  <c r="H4512" i="1"/>
  <c r="K4511" i="1"/>
  <c r="H4511" i="1"/>
  <c r="K4510" i="1"/>
  <c r="H4510" i="1"/>
  <c r="K4509" i="1"/>
  <c r="H4509" i="1"/>
  <c r="K4508" i="1"/>
  <c r="H4508" i="1"/>
  <c r="K4507" i="1"/>
  <c r="H4507" i="1"/>
  <c r="K4506" i="1"/>
  <c r="H4506" i="1"/>
  <c r="K4505" i="1"/>
  <c r="H4505" i="1"/>
  <c r="K4504" i="1"/>
  <c r="H4504" i="1"/>
  <c r="K4503" i="1"/>
  <c r="H4503" i="1"/>
  <c r="K4502" i="1"/>
  <c r="H4502" i="1"/>
  <c r="K4501" i="1"/>
  <c r="H4501" i="1"/>
  <c r="K4500" i="1"/>
  <c r="H4500" i="1"/>
  <c r="K4499" i="1"/>
  <c r="H4499" i="1"/>
  <c r="K4498" i="1"/>
  <c r="H4498" i="1"/>
  <c r="K4497" i="1"/>
  <c r="H4497" i="1"/>
  <c r="K4496" i="1"/>
  <c r="H4496" i="1"/>
  <c r="K4495" i="1"/>
  <c r="H4495" i="1"/>
  <c r="K4494" i="1"/>
  <c r="H4494" i="1"/>
  <c r="K4493" i="1"/>
  <c r="H4493" i="1"/>
  <c r="K4492" i="1"/>
  <c r="H4492" i="1"/>
  <c r="K4491" i="1"/>
  <c r="H4491" i="1"/>
  <c r="K4490" i="1"/>
  <c r="H4490" i="1"/>
  <c r="K4489" i="1"/>
  <c r="H4489" i="1"/>
  <c r="K4488" i="1"/>
  <c r="H4488" i="1"/>
  <c r="K4487" i="1"/>
  <c r="H4487" i="1"/>
  <c r="K4486" i="1"/>
  <c r="H4486" i="1"/>
  <c r="K4485" i="1"/>
  <c r="H4485" i="1"/>
  <c r="K4484" i="1"/>
  <c r="H4484" i="1"/>
  <c r="K4483" i="1"/>
  <c r="H4483" i="1"/>
  <c r="K4482" i="1"/>
  <c r="H4482" i="1"/>
  <c r="K4481" i="1"/>
  <c r="H4481" i="1"/>
  <c r="K4480" i="1"/>
  <c r="H4480" i="1"/>
  <c r="K4479" i="1"/>
  <c r="H4479" i="1"/>
  <c r="K4478" i="1"/>
  <c r="H4478" i="1"/>
  <c r="K4477" i="1"/>
  <c r="H4477" i="1"/>
  <c r="K4476" i="1"/>
  <c r="H4476" i="1"/>
  <c r="K4475" i="1"/>
  <c r="H4475" i="1"/>
  <c r="K4474" i="1"/>
  <c r="H4474" i="1"/>
  <c r="K4473" i="1"/>
  <c r="H4473" i="1"/>
  <c r="K4472" i="1"/>
  <c r="H4472" i="1"/>
  <c r="K4471" i="1"/>
  <c r="H4471" i="1"/>
  <c r="K4470" i="1"/>
  <c r="H4470" i="1"/>
  <c r="K4469" i="1"/>
  <c r="H4469" i="1"/>
  <c r="K4468" i="1"/>
  <c r="H4468" i="1"/>
  <c r="K4467" i="1"/>
  <c r="H4467" i="1"/>
  <c r="K4466" i="1"/>
  <c r="H4466" i="1"/>
  <c r="K4465" i="1"/>
  <c r="H4465" i="1"/>
  <c r="K4464" i="1"/>
  <c r="H4464" i="1"/>
  <c r="K4463" i="1"/>
  <c r="H4463" i="1"/>
  <c r="K4462" i="1"/>
  <c r="H4462" i="1"/>
  <c r="K4461" i="1"/>
  <c r="H4461" i="1"/>
  <c r="K4460" i="1"/>
  <c r="H4460" i="1"/>
  <c r="K4459" i="1"/>
  <c r="H4459" i="1"/>
  <c r="K4458" i="1"/>
  <c r="H4458" i="1"/>
  <c r="K4457" i="1"/>
  <c r="H4457" i="1"/>
  <c r="K4456" i="1"/>
  <c r="H4456" i="1"/>
  <c r="K4455" i="1"/>
  <c r="H4455" i="1"/>
  <c r="K4454" i="1"/>
  <c r="H4454" i="1"/>
  <c r="K4453" i="1"/>
  <c r="H4453" i="1"/>
  <c r="K4452" i="1"/>
  <c r="H4452" i="1"/>
  <c r="K4451" i="1"/>
  <c r="H4451" i="1"/>
  <c r="K4450" i="1"/>
  <c r="H4450" i="1"/>
  <c r="K4449" i="1"/>
  <c r="H4449" i="1"/>
  <c r="K4448" i="1"/>
  <c r="H4448" i="1"/>
  <c r="K4447" i="1"/>
  <c r="H4447" i="1"/>
  <c r="K4446" i="1"/>
  <c r="H4446" i="1"/>
  <c r="K4445" i="1"/>
  <c r="H4445" i="1"/>
  <c r="K4444" i="1"/>
  <c r="H4444" i="1"/>
  <c r="K4443" i="1"/>
  <c r="H4443" i="1"/>
  <c r="K4442" i="1"/>
  <c r="H4442" i="1"/>
  <c r="K4441" i="1"/>
  <c r="H4441" i="1"/>
  <c r="K4440" i="1"/>
  <c r="H4440" i="1"/>
  <c r="K4439" i="1"/>
  <c r="H4439" i="1"/>
  <c r="K4438" i="1"/>
  <c r="H4438" i="1"/>
  <c r="K4437" i="1"/>
  <c r="H4437" i="1"/>
  <c r="K4436" i="1"/>
  <c r="H4436" i="1"/>
  <c r="K4435" i="1"/>
  <c r="H4435" i="1"/>
  <c r="K4434" i="1"/>
  <c r="H4434" i="1"/>
  <c r="K4433" i="1"/>
  <c r="H4433" i="1"/>
  <c r="K4432" i="1"/>
  <c r="H4432" i="1"/>
  <c r="K4431" i="1"/>
  <c r="H4431" i="1"/>
  <c r="K4430" i="1"/>
  <c r="H4430" i="1"/>
  <c r="K4429" i="1"/>
  <c r="H4429" i="1"/>
  <c r="K4428" i="1"/>
  <c r="H4428" i="1"/>
  <c r="K4427" i="1"/>
  <c r="H4427" i="1"/>
  <c r="K4426" i="1"/>
  <c r="H4426" i="1"/>
  <c r="K4425" i="1"/>
  <c r="H4425" i="1"/>
  <c r="K4424" i="1"/>
  <c r="H4424" i="1"/>
  <c r="K4423" i="1"/>
  <c r="H4423" i="1"/>
  <c r="K4422" i="1"/>
  <c r="H4422" i="1"/>
  <c r="K4421" i="1"/>
  <c r="H4421" i="1"/>
  <c r="K4420" i="1"/>
  <c r="H4420" i="1"/>
  <c r="K4419" i="1"/>
  <c r="H4419" i="1"/>
  <c r="K4418" i="1"/>
  <c r="H4418" i="1"/>
  <c r="K4417" i="1"/>
  <c r="H4417" i="1"/>
  <c r="K4416" i="1"/>
  <c r="H4416" i="1"/>
  <c r="K4415" i="1"/>
  <c r="H4415" i="1"/>
  <c r="K4414" i="1"/>
  <c r="H4414" i="1"/>
  <c r="K4413" i="1"/>
  <c r="H4413" i="1"/>
  <c r="K4412" i="1"/>
  <c r="H4412" i="1"/>
  <c r="K4411" i="1"/>
  <c r="H4411" i="1"/>
  <c r="K4410" i="1"/>
  <c r="H4410" i="1"/>
  <c r="K4409" i="1"/>
  <c r="H4409" i="1"/>
  <c r="K4408" i="1"/>
  <c r="H4408" i="1"/>
  <c r="K4407" i="1"/>
  <c r="H4407" i="1"/>
  <c r="K4406" i="1"/>
  <c r="H4406" i="1"/>
  <c r="K4405" i="1"/>
  <c r="H4405" i="1"/>
  <c r="K4404" i="1"/>
  <c r="H4404" i="1"/>
  <c r="K4403" i="1"/>
  <c r="H4403" i="1"/>
  <c r="K4402" i="1"/>
  <c r="H4402" i="1"/>
  <c r="K4401" i="1"/>
  <c r="H4401" i="1"/>
  <c r="K4400" i="1"/>
  <c r="H4400" i="1"/>
  <c r="K4399" i="1"/>
  <c r="H4399" i="1"/>
  <c r="K4398" i="1"/>
  <c r="H4398" i="1"/>
  <c r="K4397" i="1"/>
  <c r="H4397" i="1"/>
  <c r="K4396" i="1"/>
  <c r="H4396" i="1"/>
  <c r="K4395" i="1"/>
  <c r="H4395" i="1"/>
  <c r="K4394" i="1"/>
  <c r="H4394" i="1"/>
  <c r="K4393" i="1"/>
  <c r="H4393" i="1"/>
  <c r="K4392" i="1"/>
  <c r="H4392" i="1"/>
  <c r="K4391" i="1"/>
  <c r="H4391" i="1"/>
  <c r="K4390" i="1"/>
  <c r="H4390" i="1"/>
  <c r="K4389" i="1"/>
  <c r="H4389" i="1"/>
  <c r="K4388" i="1"/>
  <c r="H4388" i="1"/>
  <c r="K4387" i="1"/>
  <c r="H4387" i="1"/>
  <c r="K4386" i="1"/>
  <c r="H4386" i="1"/>
  <c r="K4385" i="1"/>
  <c r="H4385" i="1"/>
  <c r="K4384" i="1"/>
  <c r="H4384" i="1"/>
  <c r="K4383" i="1"/>
  <c r="H4383" i="1"/>
  <c r="K4382" i="1"/>
  <c r="H4382" i="1"/>
  <c r="K4381" i="1"/>
  <c r="H4381" i="1"/>
  <c r="K4380" i="1"/>
  <c r="H4380" i="1"/>
  <c r="K4379" i="1"/>
  <c r="H4379" i="1"/>
  <c r="K4378" i="1"/>
  <c r="H4378" i="1"/>
  <c r="K4377" i="1"/>
  <c r="H4377" i="1"/>
  <c r="K4376" i="1"/>
  <c r="H4376" i="1"/>
  <c r="K4375" i="1"/>
  <c r="H4375" i="1"/>
  <c r="K4374" i="1"/>
  <c r="H4374" i="1"/>
  <c r="K4373" i="1"/>
  <c r="H4373" i="1"/>
  <c r="K4372" i="1"/>
  <c r="H4372" i="1"/>
  <c r="K4371" i="1"/>
  <c r="H4371" i="1"/>
  <c r="K4370" i="1"/>
  <c r="H4370" i="1"/>
  <c r="K4369" i="1"/>
  <c r="H4369" i="1"/>
  <c r="K4368" i="1"/>
  <c r="H4368" i="1"/>
  <c r="K4367" i="1"/>
  <c r="H4367" i="1"/>
  <c r="K4366" i="1"/>
  <c r="H4366" i="1"/>
  <c r="K4365" i="1"/>
  <c r="H4365" i="1"/>
  <c r="K4364" i="1"/>
  <c r="H4364" i="1"/>
  <c r="K4363" i="1"/>
  <c r="H4363" i="1"/>
  <c r="K4362" i="1"/>
  <c r="H4362" i="1"/>
  <c r="K4361" i="1"/>
  <c r="H4361" i="1"/>
  <c r="K4360" i="1"/>
  <c r="H4360" i="1"/>
  <c r="K4359" i="1"/>
  <c r="H4359" i="1"/>
  <c r="K4358" i="1"/>
  <c r="H4358" i="1"/>
  <c r="K4357" i="1"/>
  <c r="H4357" i="1"/>
  <c r="K4356" i="1"/>
  <c r="H4356" i="1"/>
  <c r="K4355" i="1"/>
  <c r="H4355" i="1"/>
  <c r="K4354" i="1"/>
  <c r="H4354" i="1"/>
  <c r="K4353" i="1"/>
  <c r="H4353" i="1"/>
  <c r="K4352" i="1"/>
  <c r="H4352" i="1"/>
  <c r="K4351" i="1"/>
  <c r="H4351" i="1"/>
  <c r="K4350" i="1"/>
  <c r="H4350" i="1"/>
  <c r="K4349" i="1"/>
  <c r="H4349" i="1"/>
  <c r="K4348" i="1"/>
  <c r="H4348" i="1"/>
  <c r="K4347" i="1"/>
  <c r="H4347" i="1"/>
  <c r="K4346" i="1"/>
  <c r="H4346" i="1"/>
  <c r="K4345" i="1"/>
  <c r="H4345" i="1"/>
  <c r="K4344" i="1"/>
  <c r="H4344" i="1"/>
  <c r="K4343" i="1"/>
  <c r="H4343" i="1"/>
  <c r="K4342" i="1"/>
  <c r="H4342" i="1"/>
  <c r="K4341" i="1"/>
  <c r="H4341" i="1"/>
  <c r="K4340" i="1"/>
  <c r="H4340" i="1"/>
  <c r="K4339" i="1"/>
  <c r="H4339" i="1"/>
  <c r="K4338" i="1"/>
  <c r="H4338" i="1"/>
  <c r="K4337" i="1"/>
  <c r="H4337" i="1"/>
  <c r="K4336" i="1"/>
  <c r="H4336" i="1"/>
  <c r="K4335" i="1"/>
  <c r="H4335" i="1"/>
  <c r="K4334" i="1"/>
  <c r="H4334" i="1"/>
  <c r="K4333" i="1"/>
  <c r="H4333" i="1"/>
  <c r="K4332" i="1"/>
  <c r="H4332" i="1"/>
  <c r="K4331" i="1"/>
  <c r="H4331" i="1"/>
  <c r="K4330" i="1"/>
  <c r="H4330" i="1"/>
  <c r="K4329" i="1"/>
  <c r="H4329" i="1"/>
  <c r="K4328" i="1"/>
  <c r="H4328" i="1"/>
  <c r="K4327" i="1"/>
  <c r="H4327" i="1"/>
  <c r="K4326" i="1"/>
  <c r="H4326" i="1"/>
  <c r="K4325" i="1"/>
  <c r="H4325" i="1"/>
  <c r="K4324" i="1"/>
  <c r="H4324" i="1"/>
  <c r="K4323" i="1"/>
  <c r="H4323" i="1"/>
  <c r="K4322" i="1"/>
  <c r="H4322" i="1"/>
  <c r="K4321" i="1"/>
  <c r="H4321" i="1"/>
  <c r="K4320" i="1"/>
  <c r="H4320" i="1"/>
  <c r="K4319" i="1"/>
  <c r="H4319" i="1"/>
  <c r="K4318" i="1"/>
  <c r="H4318" i="1"/>
  <c r="K4317" i="1"/>
  <c r="H4317" i="1"/>
  <c r="K4316" i="1"/>
  <c r="H4316" i="1"/>
  <c r="K4315" i="1"/>
  <c r="H4315" i="1"/>
  <c r="K4314" i="1"/>
  <c r="H4314" i="1"/>
  <c r="K4313" i="1"/>
  <c r="H4313" i="1"/>
  <c r="K4312" i="1"/>
  <c r="H4312" i="1"/>
  <c r="K4311" i="1"/>
  <c r="H4311" i="1"/>
  <c r="K4310" i="1"/>
  <c r="H4310" i="1"/>
  <c r="K4309" i="1"/>
  <c r="H4309" i="1"/>
  <c r="K4308" i="1"/>
  <c r="H4308" i="1"/>
  <c r="K4307" i="1"/>
  <c r="H4307" i="1"/>
  <c r="K4306" i="1"/>
  <c r="H4306" i="1"/>
  <c r="K4305" i="1"/>
  <c r="H4305" i="1"/>
  <c r="K4304" i="1"/>
  <c r="H4304" i="1"/>
  <c r="K4303" i="1"/>
  <c r="H4303" i="1"/>
  <c r="K4302" i="1"/>
  <c r="H4302" i="1"/>
  <c r="K4301" i="1"/>
  <c r="H4301" i="1"/>
  <c r="K4300" i="1"/>
  <c r="H4300" i="1"/>
  <c r="K4299" i="1"/>
  <c r="H4299" i="1"/>
  <c r="K4298" i="1"/>
  <c r="H4298" i="1"/>
  <c r="K4297" i="1"/>
  <c r="H4297" i="1"/>
  <c r="K4296" i="1"/>
  <c r="H4296" i="1"/>
  <c r="K4295" i="1"/>
  <c r="H4295" i="1"/>
  <c r="K4294" i="1"/>
  <c r="H4294" i="1"/>
  <c r="K4293" i="1"/>
  <c r="H4293" i="1"/>
  <c r="K4292" i="1"/>
  <c r="H4292" i="1"/>
  <c r="K4291" i="1"/>
  <c r="H4291" i="1"/>
  <c r="K4290" i="1"/>
  <c r="H4290" i="1"/>
  <c r="K4289" i="1"/>
  <c r="H4289" i="1"/>
  <c r="K4288" i="1"/>
  <c r="H4288" i="1"/>
  <c r="K4287" i="1"/>
  <c r="H4287" i="1"/>
  <c r="K4286" i="1"/>
  <c r="H4286" i="1"/>
  <c r="K4285" i="1"/>
  <c r="H4285" i="1"/>
  <c r="K4284" i="1"/>
  <c r="H4284" i="1"/>
  <c r="K4283" i="1"/>
  <c r="H4283" i="1"/>
  <c r="K4282" i="1"/>
  <c r="H4282" i="1"/>
  <c r="K4281" i="1"/>
  <c r="H4281" i="1"/>
  <c r="K4280" i="1"/>
  <c r="H4280" i="1"/>
  <c r="K4279" i="1"/>
  <c r="H4279" i="1"/>
  <c r="K4278" i="1"/>
  <c r="H4278" i="1"/>
  <c r="K4277" i="1"/>
  <c r="H4277" i="1"/>
  <c r="K4276" i="1"/>
  <c r="H4276" i="1"/>
  <c r="K4275" i="1"/>
  <c r="H4275" i="1"/>
  <c r="K4274" i="1"/>
  <c r="H4274" i="1"/>
  <c r="K4273" i="1"/>
  <c r="H4273" i="1"/>
  <c r="K4272" i="1"/>
  <c r="H4272" i="1"/>
  <c r="K4271" i="1"/>
  <c r="H4271" i="1"/>
  <c r="K4270" i="1"/>
  <c r="H4270" i="1"/>
  <c r="K4269" i="1"/>
  <c r="H4269" i="1"/>
  <c r="K4268" i="1"/>
  <c r="H4268" i="1"/>
  <c r="K4267" i="1"/>
  <c r="H4267" i="1"/>
  <c r="K4266" i="1"/>
  <c r="H4266" i="1"/>
  <c r="K4265" i="1"/>
  <c r="H4265" i="1"/>
  <c r="K4264" i="1"/>
  <c r="H4264" i="1"/>
  <c r="K4263" i="1"/>
  <c r="H4263" i="1"/>
  <c r="K4262" i="1"/>
  <c r="H4262" i="1"/>
  <c r="K4261" i="1"/>
  <c r="H4261" i="1"/>
  <c r="K4260" i="1"/>
  <c r="H4260" i="1"/>
  <c r="K4259" i="1"/>
  <c r="H4259" i="1"/>
  <c r="K4258" i="1"/>
  <c r="H4258" i="1"/>
  <c r="K4257" i="1"/>
  <c r="H4257" i="1"/>
  <c r="K4256" i="1"/>
  <c r="H4256" i="1"/>
  <c r="K4255" i="1"/>
  <c r="H4255" i="1"/>
  <c r="K4254" i="1"/>
  <c r="H4254" i="1"/>
  <c r="K4253" i="1"/>
  <c r="H4253" i="1"/>
  <c r="K4252" i="1"/>
  <c r="H4252" i="1"/>
  <c r="K4251" i="1"/>
  <c r="H4251" i="1"/>
  <c r="K4250" i="1"/>
  <c r="H4250" i="1"/>
  <c r="K4249" i="1"/>
  <c r="H4249" i="1"/>
  <c r="K4248" i="1"/>
  <c r="H4248" i="1"/>
  <c r="K4247" i="1"/>
  <c r="H4247" i="1"/>
  <c r="K4246" i="1"/>
  <c r="H4246" i="1"/>
  <c r="K4245" i="1"/>
  <c r="H4245" i="1"/>
  <c r="K4244" i="1"/>
  <c r="H4244" i="1"/>
  <c r="K4243" i="1"/>
  <c r="H4243" i="1"/>
  <c r="K4242" i="1"/>
  <c r="H4242" i="1"/>
  <c r="K4241" i="1"/>
  <c r="H4241" i="1"/>
  <c r="K4240" i="1"/>
  <c r="H4240" i="1"/>
  <c r="K4239" i="1"/>
  <c r="H4239" i="1"/>
  <c r="K4238" i="1"/>
  <c r="H4238" i="1"/>
  <c r="K4237" i="1"/>
  <c r="H4237" i="1"/>
  <c r="K4236" i="1"/>
  <c r="H4236" i="1"/>
  <c r="K4235" i="1"/>
  <c r="H4235" i="1"/>
  <c r="K4234" i="1"/>
  <c r="H4234" i="1"/>
  <c r="K4233" i="1"/>
  <c r="H4233" i="1"/>
  <c r="K4232" i="1"/>
  <c r="H4232" i="1"/>
  <c r="K4231" i="1"/>
  <c r="H4231" i="1"/>
  <c r="K4230" i="1"/>
  <c r="H4230" i="1"/>
  <c r="K4229" i="1"/>
  <c r="H4229" i="1"/>
  <c r="K4228" i="1"/>
  <c r="H4228" i="1"/>
  <c r="K4227" i="1"/>
  <c r="H4227" i="1"/>
  <c r="K4226" i="1"/>
  <c r="H4226" i="1"/>
  <c r="K4225" i="1"/>
  <c r="H4225" i="1"/>
  <c r="K4224" i="1"/>
  <c r="H4224" i="1"/>
  <c r="K4223" i="1"/>
  <c r="H4223" i="1"/>
  <c r="K4222" i="1"/>
  <c r="H4222" i="1"/>
  <c r="K4221" i="1"/>
  <c r="H4221" i="1"/>
  <c r="K4220" i="1"/>
  <c r="H4220" i="1"/>
  <c r="K4219" i="1"/>
  <c r="H4219" i="1"/>
  <c r="K4218" i="1"/>
  <c r="H4218" i="1"/>
  <c r="K4217" i="1"/>
  <c r="H4217" i="1"/>
  <c r="K4216" i="1"/>
  <c r="H4216" i="1"/>
  <c r="K4215" i="1"/>
  <c r="H4215" i="1"/>
  <c r="K4214" i="1"/>
  <c r="H4214" i="1"/>
  <c r="K4213" i="1"/>
  <c r="H4213" i="1"/>
  <c r="K4212" i="1"/>
  <c r="H4212" i="1"/>
  <c r="K4211" i="1"/>
  <c r="H4211" i="1"/>
  <c r="K4210" i="1"/>
  <c r="H4210" i="1"/>
  <c r="K4209" i="1"/>
  <c r="H4209" i="1"/>
  <c r="K4208" i="1"/>
  <c r="H4208" i="1"/>
  <c r="K4207" i="1"/>
  <c r="H4207" i="1"/>
  <c r="K4206" i="1"/>
  <c r="H4206" i="1"/>
  <c r="K4205" i="1"/>
  <c r="H4205" i="1"/>
  <c r="K4204" i="1"/>
  <c r="H4204" i="1"/>
  <c r="K4203" i="1"/>
  <c r="H4203" i="1"/>
  <c r="K4202" i="1"/>
  <c r="H4202" i="1"/>
  <c r="K4201" i="1"/>
  <c r="H4201" i="1"/>
  <c r="K4200" i="1"/>
  <c r="H4200" i="1"/>
  <c r="K4199" i="1"/>
  <c r="H4199" i="1"/>
  <c r="K4198" i="1"/>
  <c r="H4198" i="1"/>
  <c r="K4197" i="1"/>
  <c r="H4197" i="1"/>
  <c r="K4196" i="1"/>
  <c r="H4196" i="1"/>
  <c r="K4195" i="1"/>
  <c r="H4195" i="1"/>
  <c r="K4194" i="1"/>
  <c r="H4194" i="1"/>
  <c r="K4193" i="1"/>
  <c r="H4193" i="1"/>
  <c r="K4192" i="1"/>
  <c r="H4192" i="1"/>
  <c r="K4191" i="1"/>
  <c r="H4191" i="1"/>
  <c r="K4190" i="1"/>
  <c r="H4190" i="1"/>
  <c r="K4189" i="1"/>
  <c r="H4189" i="1"/>
  <c r="K4188" i="1"/>
  <c r="H4188" i="1"/>
  <c r="K4187" i="1"/>
  <c r="H4187" i="1"/>
  <c r="K4186" i="1"/>
  <c r="H4186" i="1"/>
  <c r="K4185" i="1"/>
  <c r="H4185" i="1"/>
  <c r="K4184" i="1"/>
  <c r="H4184" i="1"/>
  <c r="K4183" i="1"/>
  <c r="H4183" i="1"/>
  <c r="K4182" i="1"/>
  <c r="H4182" i="1"/>
  <c r="K4181" i="1"/>
  <c r="H4181" i="1"/>
  <c r="K4180" i="1"/>
  <c r="H4180" i="1"/>
  <c r="K4179" i="1"/>
  <c r="H4179" i="1"/>
  <c r="K4178" i="1"/>
  <c r="H4178" i="1"/>
  <c r="K4177" i="1"/>
  <c r="H4177" i="1"/>
  <c r="K4176" i="1"/>
  <c r="H4176" i="1"/>
  <c r="K4175" i="1"/>
  <c r="H4175" i="1"/>
  <c r="K4174" i="1"/>
  <c r="H4174" i="1"/>
  <c r="K4173" i="1"/>
  <c r="H4173" i="1"/>
  <c r="K4172" i="1"/>
  <c r="H4172" i="1"/>
  <c r="K4171" i="1"/>
  <c r="H4171" i="1"/>
  <c r="K4170" i="1"/>
  <c r="H4170" i="1"/>
  <c r="K4169" i="1"/>
  <c r="H4169" i="1"/>
  <c r="K4168" i="1"/>
  <c r="H4168" i="1"/>
  <c r="K4167" i="1"/>
  <c r="H4167" i="1"/>
  <c r="K4166" i="1"/>
  <c r="H4166" i="1"/>
  <c r="K4165" i="1"/>
  <c r="H4165" i="1"/>
  <c r="K4164" i="1"/>
  <c r="H4164" i="1"/>
  <c r="K4163" i="1"/>
  <c r="H4163" i="1"/>
  <c r="K4162" i="1"/>
  <c r="H4162" i="1"/>
  <c r="K4161" i="1"/>
  <c r="H4161" i="1"/>
  <c r="K4160" i="1"/>
  <c r="H4160" i="1"/>
  <c r="K4159" i="1"/>
  <c r="H4159" i="1"/>
  <c r="K4158" i="1"/>
  <c r="H4158" i="1"/>
  <c r="K4157" i="1"/>
  <c r="H4157" i="1"/>
  <c r="K4156" i="1"/>
  <c r="H4156" i="1"/>
  <c r="K4155" i="1"/>
  <c r="H4155" i="1"/>
  <c r="K4154" i="1"/>
  <c r="H4154" i="1"/>
  <c r="K4153" i="1"/>
  <c r="H4153" i="1"/>
  <c r="K4152" i="1"/>
  <c r="H4152" i="1"/>
  <c r="K4151" i="1"/>
  <c r="H4151" i="1"/>
  <c r="K4150" i="1"/>
  <c r="H4150" i="1"/>
  <c r="K4149" i="1"/>
  <c r="H4149" i="1"/>
  <c r="K4148" i="1"/>
  <c r="H4148" i="1"/>
  <c r="K4147" i="1"/>
  <c r="H4147" i="1"/>
  <c r="K4146" i="1"/>
  <c r="H4146" i="1"/>
  <c r="K4145" i="1"/>
  <c r="H4145" i="1"/>
  <c r="K4144" i="1"/>
  <c r="H4144" i="1"/>
  <c r="K4143" i="1"/>
  <c r="H4143" i="1"/>
  <c r="K4142" i="1"/>
  <c r="H4142" i="1"/>
  <c r="K4141" i="1"/>
  <c r="H4141" i="1"/>
  <c r="K4140" i="1"/>
  <c r="H4140" i="1"/>
  <c r="K4139" i="1"/>
  <c r="H4139" i="1"/>
  <c r="K4138" i="1"/>
  <c r="H4138" i="1"/>
  <c r="K4137" i="1"/>
  <c r="H4137" i="1"/>
  <c r="K4136" i="1"/>
  <c r="H4136" i="1"/>
  <c r="K4135" i="1"/>
  <c r="H4135" i="1"/>
  <c r="K4134" i="1"/>
  <c r="H4134" i="1"/>
  <c r="K4133" i="1"/>
  <c r="H4133" i="1"/>
  <c r="K4132" i="1"/>
  <c r="H4132" i="1"/>
  <c r="K4131" i="1"/>
  <c r="H4131" i="1"/>
  <c r="K4130" i="1"/>
  <c r="H4130" i="1"/>
  <c r="K4129" i="1"/>
  <c r="H4129" i="1"/>
  <c r="K4128" i="1"/>
  <c r="H4128" i="1"/>
  <c r="K4127" i="1"/>
  <c r="H4127" i="1"/>
  <c r="K4126" i="1"/>
  <c r="H4126" i="1"/>
  <c r="K4125" i="1"/>
  <c r="H4125" i="1"/>
  <c r="K4124" i="1"/>
  <c r="H4124" i="1"/>
  <c r="K4123" i="1"/>
  <c r="H4123" i="1"/>
  <c r="K4122" i="1"/>
  <c r="H4122" i="1"/>
  <c r="K4121" i="1"/>
  <c r="H4121" i="1"/>
  <c r="K4120" i="1"/>
  <c r="H4120" i="1"/>
  <c r="K4119" i="1"/>
  <c r="H4119" i="1"/>
  <c r="K4118" i="1"/>
  <c r="H4118" i="1"/>
  <c r="K4117" i="1"/>
  <c r="H4117" i="1"/>
  <c r="K4116" i="1"/>
  <c r="H4116" i="1"/>
  <c r="K4115" i="1"/>
  <c r="H4115" i="1"/>
  <c r="K4114" i="1"/>
  <c r="H4114" i="1"/>
  <c r="K4113" i="1"/>
  <c r="H4113" i="1"/>
  <c r="K4112" i="1"/>
  <c r="H4112" i="1"/>
  <c r="K4111" i="1"/>
  <c r="H4111" i="1"/>
  <c r="K4110" i="1"/>
  <c r="H4110" i="1"/>
  <c r="K4109" i="1"/>
  <c r="H4109" i="1"/>
  <c r="K4108" i="1"/>
  <c r="H4108" i="1"/>
  <c r="K4107" i="1"/>
  <c r="H4107" i="1"/>
  <c r="K4106" i="1"/>
  <c r="H4106" i="1"/>
  <c r="K4105" i="1"/>
  <c r="H4105" i="1"/>
  <c r="K4104" i="1"/>
  <c r="H4104" i="1"/>
  <c r="K4103" i="1"/>
  <c r="H4103" i="1"/>
  <c r="K4102" i="1"/>
  <c r="H4102" i="1"/>
  <c r="K4101" i="1"/>
  <c r="H4101" i="1"/>
  <c r="K4100" i="1"/>
  <c r="H4100" i="1"/>
  <c r="K4099" i="1"/>
  <c r="H4099" i="1"/>
  <c r="K4098" i="1"/>
  <c r="H4098" i="1"/>
  <c r="K4097" i="1"/>
  <c r="H4097" i="1"/>
  <c r="K4096" i="1"/>
  <c r="H4096" i="1"/>
  <c r="K4095" i="1"/>
  <c r="H4095" i="1"/>
  <c r="K4094" i="1"/>
  <c r="H4094" i="1"/>
  <c r="K4093" i="1"/>
  <c r="H4093" i="1"/>
  <c r="K4092" i="1"/>
  <c r="H4092" i="1"/>
  <c r="K4091" i="1"/>
  <c r="H4091" i="1"/>
  <c r="K4090" i="1"/>
  <c r="H4090" i="1"/>
  <c r="K4089" i="1"/>
  <c r="H4089" i="1"/>
  <c r="K4088" i="1"/>
  <c r="H4088" i="1"/>
  <c r="K4087" i="1"/>
  <c r="H4087" i="1"/>
  <c r="K4086" i="1"/>
  <c r="H4086" i="1"/>
  <c r="K4085" i="1"/>
  <c r="H4085" i="1"/>
  <c r="K4084" i="1"/>
  <c r="H4084" i="1"/>
  <c r="K4083" i="1"/>
  <c r="H4083" i="1"/>
  <c r="K4082" i="1"/>
  <c r="H4082" i="1"/>
  <c r="K4081" i="1"/>
  <c r="H4081" i="1"/>
  <c r="K4080" i="1"/>
  <c r="H4080" i="1"/>
  <c r="K4079" i="1"/>
  <c r="H4079" i="1"/>
  <c r="K4078" i="1"/>
  <c r="H4078" i="1"/>
  <c r="K4077" i="1"/>
  <c r="H4077" i="1"/>
  <c r="K4076" i="1"/>
  <c r="H4076" i="1"/>
  <c r="K4075" i="1"/>
  <c r="H4075" i="1"/>
  <c r="K4074" i="1"/>
  <c r="H4074" i="1"/>
  <c r="K4073" i="1"/>
  <c r="H4073" i="1"/>
  <c r="K4072" i="1"/>
  <c r="H4072" i="1"/>
  <c r="K4071" i="1"/>
  <c r="H4071" i="1"/>
  <c r="K4070" i="1"/>
  <c r="H4070" i="1"/>
  <c r="K4069" i="1"/>
  <c r="H4069" i="1"/>
  <c r="K4068" i="1"/>
  <c r="H4068" i="1"/>
  <c r="K4067" i="1"/>
  <c r="H4067" i="1"/>
  <c r="K4066" i="1"/>
  <c r="H4066" i="1"/>
  <c r="K4065" i="1"/>
  <c r="H4065" i="1"/>
  <c r="K4064" i="1"/>
  <c r="H4064" i="1"/>
  <c r="K4063" i="1"/>
  <c r="H4063" i="1"/>
  <c r="K4062" i="1"/>
  <c r="H4062" i="1"/>
  <c r="K4061" i="1"/>
  <c r="H4061" i="1"/>
  <c r="K4060" i="1"/>
  <c r="H4060" i="1"/>
  <c r="K4059" i="1"/>
  <c r="H4059" i="1"/>
  <c r="K4058" i="1"/>
  <c r="H4058" i="1"/>
  <c r="K4057" i="1"/>
  <c r="H4057" i="1"/>
  <c r="K4056" i="1"/>
  <c r="H4056" i="1"/>
  <c r="K4055" i="1"/>
  <c r="H4055" i="1"/>
  <c r="K4054" i="1"/>
  <c r="H4054" i="1"/>
  <c r="K4053" i="1"/>
  <c r="H4053" i="1"/>
  <c r="K4052" i="1"/>
  <c r="H4052" i="1"/>
  <c r="K4051" i="1"/>
  <c r="H4051" i="1"/>
  <c r="K4050" i="1"/>
  <c r="H4050" i="1"/>
  <c r="K4049" i="1"/>
  <c r="H4049" i="1"/>
  <c r="K4048" i="1"/>
  <c r="H4048" i="1"/>
  <c r="K4047" i="1"/>
  <c r="H4047" i="1"/>
  <c r="K4046" i="1"/>
  <c r="H4046" i="1"/>
  <c r="K4045" i="1"/>
  <c r="H4045" i="1"/>
  <c r="K4044" i="1"/>
  <c r="H4044" i="1"/>
  <c r="K4043" i="1"/>
  <c r="H4043" i="1"/>
  <c r="K4042" i="1"/>
  <c r="H4042" i="1"/>
  <c r="K4041" i="1"/>
  <c r="H4041" i="1"/>
  <c r="K4040" i="1"/>
  <c r="H4040" i="1"/>
  <c r="K4039" i="1"/>
  <c r="H4039" i="1"/>
  <c r="K4038" i="1"/>
  <c r="H4038" i="1"/>
  <c r="K4037" i="1"/>
  <c r="H4037" i="1"/>
  <c r="K4036" i="1"/>
  <c r="H4036" i="1"/>
  <c r="K4035" i="1"/>
  <c r="H4035" i="1"/>
  <c r="K4034" i="1"/>
  <c r="H4034" i="1"/>
  <c r="K4033" i="1"/>
  <c r="H4033" i="1"/>
  <c r="K4032" i="1"/>
  <c r="H4032" i="1"/>
  <c r="K4031" i="1"/>
  <c r="H4031" i="1"/>
  <c r="K4030" i="1"/>
  <c r="H4030" i="1"/>
  <c r="K4029" i="1"/>
  <c r="H4029" i="1"/>
  <c r="K4028" i="1"/>
  <c r="H4028" i="1"/>
  <c r="K4027" i="1"/>
  <c r="H4027" i="1"/>
  <c r="K4026" i="1"/>
  <c r="H4026" i="1"/>
  <c r="K4025" i="1"/>
  <c r="H4025" i="1"/>
  <c r="K4024" i="1"/>
  <c r="H4024" i="1"/>
  <c r="K4023" i="1"/>
  <c r="H4023" i="1"/>
  <c r="K4022" i="1"/>
  <c r="H4022" i="1"/>
  <c r="K4021" i="1"/>
  <c r="H4021" i="1"/>
  <c r="K4020" i="1"/>
  <c r="H4020" i="1"/>
  <c r="K4019" i="1"/>
  <c r="H4019" i="1"/>
  <c r="K4018" i="1"/>
  <c r="H4018" i="1"/>
  <c r="K4017" i="1"/>
  <c r="H4017" i="1"/>
  <c r="K4016" i="1"/>
  <c r="H4016" i="1"/>
  <c r="K4015" i="1"/>
  <c r="H4015" i="1"/>
  <c r="K4014" i="1"/>
  <c r="H4014" i="1"/>
  <c r="K4013" i="1"/>
  <c r="H4013" i="1"/>
  <c r="K4012" i="1"/>
  <c r="H4012" i="1"/>
  <c r="K4011" i="1"/>
  <c r="H4011" i="1"/>
  <c r="K4010" i="1"/>
  <c r="H4010" i="1"/>
  <c r="K4009" i="1"/>
  <c r="H4009" i="1"/>
  <c r="K4008" i="1"/>
  <c r="H4008" i="1"/>
  <c r="K4007" i="1"/>
  <c r="H4007" i="1"/>
  <c r="K4006" i="1"/>
  <c r="H4006" i="1"/>
  <c r="K4005" i="1"/>
  <c r="H4005" i="1"/>
  <c r="K4004" i="1"/>
  <c r="H4004" i="1"/>
  <c r="K4003" i="1"/>
  <c r="H4003" i="1"/>
  <c r="K4002" i="1"/>
  <c r="H4002" i="1"/>
  <c r="K4001" i="1"/>
  <c r="H4001" i="1"/>
  <c r="K4000" i="1"/>
  <c r="H4000" i="1"/>
  <c r="K3999" i="1"/>
  <c r="H3999" i="1"/>
  <c r="K3998" i="1"/>
  <c r="H3998" i="1"/>
  <c r="K3997" i="1"/>
  <c r="H3997" i="1"/>
  <c r="K3996" i="1"/>
  <c r="H3996" i="1"/>
  <c r="K3995" i="1"/>
  <c r="H3995" i="1"/>
  <c r="K3994" i="1"/>
  <c r="H3994" i="1"/>
  <c r="K3993" i="1"/>
  <c r="H3993" i="1"/>
  <c r="K3992" i="1"/>
  <c r="H3992" i="1"/>
  <c r="K3991" i="1"/>
  <c r="H3991" i="1"/>
  <c r="K3990" i="1"/>
  <c r="H3990" i="1"/>
  <c r="K3989" i="1"/>
  <c r="H3989" i="1"/>
  <c r="K3988" i="1"/>
  <c r="H3988" i="1"/>
  <c r="K3987" i="1"/>
  <c r="H3987" i="1"/>
  <c r="K3986" i="1"/>
  <c r="H3986" i="1"/>
  <c r="K3985" i="1"/>
  <c r="H3985" i="1"/>
  <c r="K3984" i="1"/>
  <c r="H3984" i="1"/>
  <c r="K3983" i="1"/>
  <c r="H3983" i="1"/>
  <c r="K3982" i="1"/>
  <c r="H3982" i="1"/>
  <c r="K3981" i="1"/>
  <c r="H3981" i="1"/>
  <c r="K3980" i="1"/>
  <c r="H3980" i="1"/>
  <c r="K3979" i="1"/>
  <c r="H3979" i="1"/>
  <c r="K3978" i="1"/>
  <c r="H3978" i="1"/>
  <c r="K3977" i="1"/>
  <c r="H3977" i="1"/>
  <c r="K3976" i="1"/>
  <c r="H3976" i="1"/>
  <c r="K3975" i="1"/>
  <c r="H3975" i="1"/>
  <c r="K3974" i="1"/>
  <c r="H3974" i="1"/>
  <c r="K3973" i="1"/>
  <c r="H3973" i="1"/>
  <c r="K3972" i="1"/>
  <c r="H3972" i="1"/>
  <c r="K3971" i="1"/>
  <c r="H3971" i="1"/>
  <c r="K3970" i="1"/>
  <c r="H3970" i="1"/>
  <c r="K3969" i="1"/>
  <c r="H3969" i="1"/>
  <c r="K3968" i="1"/>
  <c r="H3968" i="1"/>
  <c r="K3967" i="1"/>
  <c r="H3967" i="1"/>
  <c r="K3966" i="1"/>
  <c r="H3966" i="1"/>
  <c r="K3965" i="1"/>
  <c r="H3965" i="1"/>
  <c r="K3964" i="1"/>
  <c r="H3964" i="1"/>
  <c r="K3963" i="1"/>
  <c r="H3963" i="1"/>
  <c r="K3962" i="1"/>
  <c r="H3962" i="1"/>
  <c r="K3961" i="1"/>
  <c r="H3961" i="1"/>
  <c r="K3960" i="1"/>
  <c r="H3960" i="1"/>
  <c r="K3959" i="1"/>
  <c r="H3959" i="1"/>
  <c r="K3958" i="1"/>
  <c r="H3958" i="1"/>
  <c r="K3957" i="1"/>
  <c r="H3957" i="1"/>
  <c r="K3956" i="1"/>
  <c r="H3956" i="1"/>
  <c r="K3955" i="1"/>
  <c r="H3955" i="1"/>
  <c r="K3954" i="1"/>
  <c r="H3954" i="1"/>
  <c r="K3953" i="1"/>
  <c r="H3953" i="1"/>
  <c r="K3952" i="1"/>
  <c r="H3952" i="1"/>
  <c r="K3951" i="1"/>
  <c r="H3951" i="1"/>
  <c r="K3950" i="1"/>
  <c r="H3950" i="1"/>
  <c r="K3949" i="1"/>
  <c r="H3949" i="1"/>
  <c r="K3948" i="1"/>
  <c r="H3948" i="1"/>
  <c r="K3947" i="1"/>
  <c r="H3947" i="1"/>
  <c r="K3946" i="1"/>
  <c r="H3946" i="1"/>
  <c r="K3945" i="1"/>
  <c r="H3945" i="1"/>
  <c r="K3944" i="1"/>
  <c r="H3944" i="1"/>
  <c r="K3943" i="1"/>
  <c r="H3943" i="1"/>
  <c r="K3942" i="1"/>
  <c r="H3942" i="1"/>
  <c r="K3941" i="1"/>
  <c r="H3941" i="1"/>
  <c r="K3940" i="1"/>
  <c r="H3940" i="1"/>
  <c r="K3939" i="1"/>
  <c r="H3939" i="1"/>
  <c r="K3938" i="1"/>
  <c r="H3938" i="1"/>
  <c r="K3937" i="1"/>
  <c r="H3937" i="1"/>
  <c r="K3936" i="1"/>
  <c r="H3936" i="1"/>
  <c r="K3935" i="1"/>
  <c r="H3935" i="1"/>
  <c r="K3934" i="1"/>
  <c r="H3934" i="1"/>
  <c r="K3933" i="1"/>
  <c r="H3933" i="1"/>
  <c r="K3932" i="1"/>
  <c r="H3932" i="1"/>
  <c r="K3931" i="1"/>
  <c r="H3931" i="1"/>
  <c r="K3930" i="1"/>
  <c r="H3930" i="1"/>
  <c r="K3929" i="1"/>
  <c r="H3929" i="1"/>
  <c r="K3928" i="1"/>
  <c r="H3928" i="1"/>
  <c r="K3927" i="1"/>
  <c r="H3927" i="1"/>
  <c r="K3926" i="1"/>
  <c r="H3926" i="1"/>
  <c r="K3925" i="1"/>
  <c r="H3925" i="1"/>
  <c r="K3924" i="1"/>
  <c r="H3924" i="1"/>
  <c r="K3923" i="1"/>
  <c r="H3923" i="1"/>
  <c r="K3922" i="1"/>
  <c r="H3922" i="1"/>
  <c r="K3921" i="1"/>
  <c r="H3921" i="1"/>
  <c r="K3920" i="1"/>
  <c r="H3920" i="1"/>
  <c r="K3919" i="1"/>
  <c r="H3919" i="1"/>
  <c r="K3918" i="1"/>
  <c r="H3918" i="1"/>
  <c r="K3917" i="1"/>
  <c r="H3917" i="1"/>
  <c r="K3916" i="1"/>
  <c r="H3916" i="1"/>
  <c r="K3915" i="1"/>
  <c r="H3915" i="1"/>
  <c r="K3914" i="1"/>
  <c r="H3914" i="1"/>
  <c r="K3913" i="1"/>
  <c r="H3913" i="1"/>
  <c r="K3912" i="1"/>
  <c r="H3912" i="1"/>
  <c r="K3911" i="1"/>
  <c r="H3911" i="1"/>
  <c r="K3910" i="1"/>
  <c r="H3910" i="1"/>
  <c r="K3909" i="1"/>
  <c r="H3909" i="1"/>
  <c r="K3908" i="1"/>
  <c r="H3908" i="1"/>
  <c r="K3907" i="1"/>
  <c r="H3907" i="1"/>
  <c r="K3906" i="1"/>
  <c r="H3906" i="1"/>
  <c r="K3905" i="1"/>
  <c r="H3905" i="1"/>
  <c r="K3904" i="1"/>
  <c r="H3904" i="1"/>
  <c r="K3903" i="1"/>
  <c r="H3903" i="1"/>
  <c r="K3902" i="1"/>
  <c r="H3902" i="1"/>
  <c r="K3901" i="1"/>
  <c r="H3901" i="1"/>
  <c r="K3900" i="1"/>
  <c r="H3900" i="1"/>
  <c r="K3899" i="1"/>
  <c r="H3899" i="1"/>
  <c r="K3898" i="1"/>
  <c r="H3898" i="1"/>
  <c r="K3897" i="1"/>
  <c r="H3897" i="1"/>
  <c r="K3896" i="1"/>
  <c r="H3896" i="1"/>
  <c r="K3895" i="1"/>
  <c r="H3895" i="1"/>
  <c r="K3894" i="1"/>
  <c r="H3894" i="1"/>
  <c r="K3893" i="1"/>
  <c r="H3893" i="1"/>
  <c r="K3892" i="1"/>
  <c r="H3892" i="1"/>
  <c r="K3891" i="1"/>
  <c r="H3891" i="1"/>
  <c r="K3890" i="1"/>
  <c r="H3890" i="1"/>
  <c r="K3889" i="1"/>
  <c r="H3889" i="1"/>
  <c r="K3888" i="1"/>
  <c r="H3888" i="1"/>
  <c r="K3887" i="1"/>
  <c r="H3887" i="1"/>
  <c r="K3886" i="1"/>
  <c r="H3886" i="1"/>
  <c r="K3885" i="1"/>
  <c r="H3885" i="1"/>
  <c r="K3884" i="1"/>
  <c r="H3884" i="1"/>
  <c r="K3883" i="1"/>
  <c r="H3883" i="1"/>
  <c r="K3882" i="1"/>
  <c r="H3882" i="1"/>
  <c r="K3881" i="1"/>
  <c r="H3881" i="1"/>
  <c r="K3880" i="1"/>
  <c r="H3880" i="1"/>
  <c r="K3879" i="1"/>
  <c r="H3879" i="1"/>
  <c r="K3878" i="1"/>
  <c r="H3878" i="1"/>
  <c r="K3877" i="1"/>
  <c r="H3877" i="1"/>
  <c r="K3876" i="1"/>
  <c r="H3876" i="1"/>
  <c r="K3875" i="1"/>
  <c r="H3875" i="1"/>
  <c r="K3874" i="1"/>
  <c r="H3874" i="1"/>
  <c r="K3873" i="1"/>
  <c r="H3873" i="1"/>
  <c r="K3872" i="1"/>
  <c r="H3872" i="1"/>
  <c r="K3871" i="1"/>
  <c r="H3871" i="1"/>
  <c r="K3870" i="1"/>
  <c r="H3870" i="1"/>
  <c r="K3869" i="1"/>
  <c r="H3869" i="1"/>
  <c r="K3868" i="1"/>
  <c r="H3868" i="1"/>
  <c r="K3867" i="1"/>
  <c r="H3867" i="1"/>
  <c r="K3866" i="1"/>
  <c r="H3866" i="1"/>
  <c r="K3865" i="1"/>
  <c r="H3865" i="1"/>
  <c r="K3864" i="1"/>
  <c r="H3864" i="1"/>
  <c r="K3863" i="1"/>
  <c r="H3863" i="1"/>
  <c r="K3862" i="1"/>
  <c r="H3862" i="1"/>
  <c r="K3861" i="1"/>
  <c r="H3861" i="1"/>
  <c r="K3860" i="1"/>
  <c r="H3860" i="1"/>
  <c r="K3859" i="1"/>
  <c r="H3859" i="1"/>
  <c r="K3858" i="1"/>
  <c r="H3858" i="1"/>
  <c r="K3857" i="1"/>
  <c r="H3857" i="1"/>
  <c r="K3856" i="1"/>
  <c r="H3856" i="1"/>
  <c r="K3855" i="1"/>
  <c r="H3855" i="1"/>
  <c r="K3854" i="1"/>
  <c r="H3854" i="1"/>
  <c r="K3853" i="1"/>
  <c r="H3853" i="1"/>
  <c r="K3852" i="1"/>
  <c r="H3852" i="1"/>
  <c r="K3851" i="1"/>
  <c r="H3851" i="1"/>
  <c r="K3850" i="1"/>
  <c r="H3850" i="1"/>
  <c r="K3849" i="1"/>
  <c r="H3849" i="1"/>
  <c r="K3848" i="1"/>
  <c r="H3848" i="1"/>
  <c r="K3847" i="1"/>
  <c r="H3847" i="1"/>
  <c r="K3846" i="1"/>
  <c r="H3846" i="1"/>
  <c r="K3845" i="1"/>
  <c r="H3845" i="1"/>
  <c r="K3844" i="1"/>
  <c r="H3844" i="1"/>
  <c r="K3843" i="1"/>
  <c r="H3843" i="1"/>
  <c r="K3842" i="1"/>
  <c r="H3842" i="1"/>
  <c r="K3841" i="1"/>
  <c r="H3841" i="1"/>
  <c r="K3840" i="1"/>
  <c r="H3840" i="1"/>
  <c r="K3839" i="1"/>
  <c r="H3839" i="1"/>
  <c r="K3838" i="1"/>
  <c r="H3838" i="1"/>
  <c r="K3837" i="1"/>
  <c r="H3837" i="1"/>
  <c r="K3836" i="1"/>
  <c r="H3836" i="1"/>
  <c r="K3835" i="1"/>
  <c r="H3835" i="1"/>
  <c r="K3834" i="1"/>
  <c r="H3834" i="1"/>
  <c r="K3833" i="1"/>
  <c r="H3833" i="1"/>
  <c r="K3832" i="1"/>
  <c r="H3832" i="1"/>
  <c r="K3831" i="1"/>
  <c r="H3831" i="1"/>
  <c r="K3830" i="1"/>
  <c r="H3830" i="1"/>
  <c r="K3829" i="1"/>
  <c r="H3829" i="1"/>
  <c r="K3828" i="1"/>
  <c r="H3828" i="1"/>
  <c r="K3827" i="1"/>
  <c r="H3827" i="1"/>
  <c r="K3826" i="1"/>
  <c r="H3826" i="1"/>
  <c r="K3825" i="1"/>
  <c r="H3825" i="1"/>
  <c r="K3824" i="1"/>
  <c r="H3824" i="1"/>
  <c r="K3823" i="1"/>
  <c r="H3823" i="1"/>
  <c r="K3822" i="1"/>
  <c r="H3822" i="1"/>
  <c r="K3821" i="1"/>
  <c r="H3821" i="1"/>
  <c r="K3820" i="1"/>
  <c r="H3820" i="1"/>
  <c r="K3819" i="1"/>
  <c r="H3819" i="1"/>
  <c r="K3818" i="1"/>
  <c r="H3818" i="1"/>
  <c r="K3817" i="1"/>
  <c r="H3817" i="1"/>
  <c r="K3816" i="1"/>
  <c r="H3816" i="1"/>
  <c r="K3815" i="1"/>
  <c r="H3815" i="1"/>
  <c r="K3814" i="1"/>
  <c r="H3814" i="1"/>
  <c r="K3813" i="1"/>
  <c r="H3813" i="1"/>
  <c r="K3812" i="1"/>
  <c r="H3812" i="1"/>
  <c r="K3811" i="1"/>
  <c r="H3811" i="1"/>
  <c r="K3810" i="1"/>
  <c r="H3810" i="1"/>
  <c r="K3809" i="1"/>
  <c r="H3809" i="1"/>
  <c r="K3808" i="1"/>
  <c r="H3808" i="1"/>
  <c r="K3807" i="1"/>
  <c r="H3807" i="1"/>
  <c r="K3806" i="1"/>
  <c r="H3806" i="1"/>
  <c r="K3805" i="1"/>
  <c r="H3805" i="1"/>
  <c r="K3804" i="1"/>
  <c r="H3804" i="1"/>
  <c r="K3803" i="1"/>
  <c r="H3803" i="1"/>
  <c r="K3802" i="1"/>
  <c r="H3802" i="1"/>
  <c r="K3801" i="1"/>
  <c r="H3801" i="1"/>
  <c r="K3800" i="1"/>
  <c r="H3800" i="1"/>
  <c r="K3799" i="1"/>
  <c r="H3799" i="1"/>
  <c r="K3798" i="1"/>
  <c r="H3798" i="1"/>
  <c r="K3797" i="1"/>
  <c r="H3797" i="1"/>
  <c r="K3796" i="1"/>
  <c r="H3796" i="1"/>
  <c r="K3795" i="1"/>
  <c r="H3795" i="1"/>
  <c r="K3794" i="1"/>
  <c r="H3794" i="1"/>
  <c r="K3793" i="1"/>
  <c r="H3793" i="1"/>
  <c r="K3792" i="1"/>
  <c r="H3792" i="1"/>
  <c r="K3791" i="1"/>
  <c r="H3791" i="1"/>
  <c r="K3790" i="1"/>
  <c r="H3790" i="1"/>
  <c r="K3789" i="1"/>
  <c r="H3789" i="1"/>
  <c r="K3788" i="1"/>
  <c r="H3788" i="1"/>
  <c r="K3787" i="1"/>
  <c r="H3787" i="1"/>
  <c r="K3786" i="1"/>
  <c r="H3786" i="1"/>
  <c r="K3785" i="1"/>
  <c r="H3785" i="1"/>
  <c r="K3784" i="1"/>
  <c r="H3784" i="1"/>
  <c r="K3783" i="1"/>
  <c r="H3783" i="1"/>
  <c r="K3782" i="1"/>
  <c r="H3782" i="1"/>
  <c r="K3781" i="1"/>
  <c r="H3781" i="1"/>
  <c r="K3780" i="1"/>
  <c r="H3780" i="1"/>
  <c r="K3779" i="1"/>
  <c r="H3779" i="1"/>
  <c r="K3778" i="1"/>
  <c r="H3778" i="1"/>
  <c r="K3777" i="1"/>
  <c r="H3777" i="1"/>
  <c r="K3776" i="1"/>
  <c r="H3776" i="1"/>
  <c r="K3775" i="1"/>
  <c r="H3775" i="1"/>
  <c r="K3774" i="1"/>
  <c r="H3774" i="1"/>
  <c r="K3773" i="1"/>
  <c r="H3773" i="1"/>
  <c r="K3772" i="1"/>
  <c r="H3772" i="1"/>
  <c r="K3771" i="1"/>
  <c r="H3771" i="1"/>
  <c r="K3770" i="1"/>
  <c r="H3770" i="1"/>
  <c r="K3769" i="1"/>
  <c r="H3769" i="1"/>
  <c r="K3768" i="1"/>
  <c r="H3768" i="1"/>
  <c r="K3767" i="1"/>
  <c r="H3767" i="1"/>
  <c r="K3766" i="1"/>
  <c r="H3766" i="1"/>
  <c r="K3765" i="1"/>
  <c r="H3765" i="1"/>
  <c r="K3764" i="1"/>
  <c r="H3764" i="1"/>
  <c r="K3763" i="1"/>
  <c r="H3763" i="1"/>
  <c r="K3762" i="1"/>
  <c r="H3762" i="1"/>
  <c r="K3761" i="1"/>
  <c r="H3761" i="1"/>
  <c r="K3760" i="1"/>
  <c r="H3760" i="1"/>
  <c r="K3759" i="1"/>
  <c r="H3759" i="1"/>
  <c r="K3758" i="1"/>
  <c r="H3758" i="1"/>
  <c r="K3757" i="1"/>
  <c r="H3757" i="1"/>
  <c r="K3756" i="1"/>
  <c r="H3756" i="1"/>
  <c r="K3755" i="1"/>
  <c r="H3755" i="1"/>
  <c r="K3754" i="1"/>
  <c r="H3754" i="1"/>
  <c r="K3753" i="1"/>
  <c r="H3753" i="1"/>
  <c r="K3752" i="1"/>
  <c r="H3752" i="1"/>
  <c r="K3751" i="1"/>
  <c r="H3751" i="1"/>
  <c r="K3750" i="1"/>
  <c r="H3750" i="1"/>
  <c r="K3749" i="1"/>
  <c r="H3749" i="1"/>
  <c r="K3748" i="1"/>
  <c r="H3748" i="1"/>
  <c r="K3747" i="1"/>
  <c r="H3747" i="1"/>
  <c r="K3746" i="1"/>
  <c r="H3746" i="1"/>
  <c r="K3745" i="1"/>
  <c r="H3745" i="1"/>
  <c r="K3744" i="1"/>
  <c r="H3744" i="1"/>
  <c r="K3743" i="1"/>
  <c r="H3743" i="1"/>
  <c r="K3742" i="1"/>
  <c r="H3742" i="1"/>
  <c r="K3741" i="1"/>
  <c r="H3741" i="1"/>
  <c r="K3740" i="1"/>
  <c r="H3740" i="1"/>
  <c r="K3739" i="1"/>
  <c r="H3739" i="1"/>
  <c r="K3738" i="1"/>
  <c r="H3738" i="1"/>
  <c r="K3737" i="1"/>
  <c r="H3737" i="1"/>
  <c r="K3736" i="1"/>
  <c r="H3736" i="1"/>
  <c r="K3735" i="1"/>
  <c r="H3735" i="1"/>
  <c r="K3734" i="1"/>
  <c r="H3734" i="1"/>
  <c r="K3733" i="1"/>
  <c r="H3733" i="1"/>
  <c r="K3732" i="1"/>
  <c r="H3732" i="1"/>
  <c r="K3731" i="1"/>
  <c r="H3731" i="1"/>
  <c r="K3730" i="1"/>
  <c r="H3730" i="1"/>
  <c r="K3729" i="1"/>
  <c r="H3729" i="1"/>
  <c r="K3728" i="1"/>
  <c r="H3728" i="1"/>
  <c r="K3727" i="1"/>
  <c r="H3727" i="1"/>
  <c r="K3726" i="1"/>
  <c r="H3726" i="1"/>
  <c r="K3725" i="1"/>
  <c r="H3725" i="1"/>
  <c r="K3724" i="1"/>
  <c r="H3724" i="1"/>
  <c r="K3723" i="1"/>
  <c r="H3723" i="1"/>
  <c r="K3722" i="1"/>
  <c r="H3722" i="1"/>
  <c r="K3721" i="1"/>
  <c r="H3721" i="1"/>
  <c r="K3720" i="1"/>
  <c r="H3720" i="1"/>
  <c r="K3719" i="1"/>
  <c r="H3719" i="1"/>
  <c r="K3718" i="1"/>
  <c r="H3718" i="1"/>
  <c r="K3717" i="1"/>
  <c r="H3717" i="1"/>
  <c r="K3716" i="1"/>
  <c r="H3716" i="1"/>
  <c r="K3715" i="1"/>
  <c r="H3715" i="1"/>
  <c r="K3714" i="1"/>
  <c r="H3714" i="1"/>
  <c r="K3713" i="1"/>
  <c r="H3713" i="1"/>
  <c r="K3712" i="1"/>
  <c r="H3712" i="1"/>
  <c r="K3711" i="1"/>
  <c r="H3711" i="1"/>
  <c r="K3710" i="1"/>
  <c r="H3710" i="1"/>
  <c r="K3709" i="1"/>
  <c r="H3709" i="1"/>
  <c r="K3708" i="1"/>
  <c r="H3708" i="1"/>
  <c r="K3707" i="1"/>
  <c r="H3707" i="1"/>
  <c r="K3706" i="1"/>
  <c r="H3706" i="1"/>
  <c r="K3705" i="1"/>
  <c r="H3705" i="1"/>
  <c r="K3704" i="1"/>
  <c r="H3704" i="1"/>
  <c r="K3703" i="1"/>
  <c r="H3703" i="1"/>
  <c r="K3702" i="1"/>
  <c r="H3702" i="1"/>
  <c r="K3701" i="1"/>
  <c r="H3701" i="1"/>
  <c r="K3700" i="1"/>
  <c r="H3700" i="1"/>
  <c r="K3699" i="1"/>
  <c r="H3699" i="1"/>
  <c r="K3698" i="1"/>
  <c r="H3698" i="1"/>
  <c r="K3697" i="1"/>
  <c r="H3697" i="1"/>
  <c r="K3696" i="1"/>
  <c r="H3696" i="1"/>
  <c r="K3695" i="1"/>
  <c r="H3695" i="1"/>
  <c r="K3694" i="1"/>
  <c r="H3694" i="1"/>
  <c r="K3693" i="1"/>
  <c r="H3693" i="1"/>
  <c r="K3692" i="1"/>
  <c r="H3692" i="1"/>
  <c r="K3691" i="1"/>
  <c r="H3691" i="1"/>
  <c r="K3690" i="1"/>
  <c r="H3690" i="1"/>
  <c r="K3689" i="1"/>
  <c r="H3689" i="1"/>
  <c r="K3688" i="1"/>
  <c r="H3688" i="1"/>
  <c r="K3687" i="1"/>
  <c r="H3687" i="1"/>
  <c r="K3686" i="1"/>
  <c r="H3686" i="1"/>
  <c r="K3685" i="1"/>
  <c r="H3685" i="1"/>
  <c r="K3684" i="1"/>
  <c r="H3684" i="1"/>
  <c r="K3683" i="1"/>
  <c r="H3683" i="1"/>
  <c r="K3682" i="1"/>
  <c r="H3682" i="1"/>
  <c r="K3681" i="1"/>
  <c r="H3681" i="1"/>
  <c r="K3680" i="1"/>
  <c r="H3680" i="1"/>
  <c r="K3679" i="1"/>
  <c r="H3679" i="1"/>
  <c r="K3678" i="1"/>
  <c r="H3678" i="1"/>
  <c r="K3677" i="1"/>
  <c r="H3677" i="1"/>
  <c r="K3676" i="1"/>
  <c r="H3676" i="1"/>
  <c r="K3675" i="1"/>
  <c r="H3675" i="1"/>
  <c r="K3674" i="1"/>
  <c r="H3674" i="1"/>
  <c r="K3673" i="1"/>
  <c r="H3673" i="1"/>
  <c r="K3672" i="1"/>
  <c r="H3672" i="1"/>
  <c r="K3671" i="1"/>
  <c r="H3671" i="1"/>
  <c r="K3670" i="1"/>
  <c r="H3670" i="1"/>
  <c r="K3669" i="1"/>
  <c r="H3669" i="1"/>
  <c r="K3668" i="1"/>
  <c r="H3668" i="1"/>
  <c r="K3667" i="1"/>
  <c r="H3667" i="1"/>
  <c r="K3666" i="1"/>
  <c r="H3666" i="1"/>
  <c r="K3665" i="1"/>
  <c r="H3665" i="1"/>
  <c r="K3664" i="1"/>
  <c r="H3664" i="1"/>
  <c r="K3663" i="1"/>
  <c r="H3663" i="1"/>
  <c r="K3662" i="1"/>
  <c r="H3662" i="1"/>
  <c r="K3661" i="1"/>
  <c r="H3661" i="1"/>
  <c r="K3660" i="1"/>
  <c r="H3660" i="1"/>
  <c r="K3659" i="1"/>
  <c r="H3659" i="1"/>
  <c r="K3658" i="1"/>
  <c r="H3658" i="1"/>
  <c r="K3657" i="1"/>
  <c r="H3657" i="1"/>
  <c r="K3656" i="1"/>
  <c r="H3656" i="1"/>
  <c r="K3655" i="1"/>
  <c r="H3655" i="1"/>
  <c r="K3654" i="1"/>
  <c r="H3654" i="1"/>
  <c r="K3653" i="1"/>
  <c r="H3653" i="1"/>
  <c r="K3652" i="1"/>
  <c r="H3652" i="1"/>
  <c r="K3651" i="1"/>
  <c r="H3651" i="1"/>
  <c r="K3650" i="1"/>
  <c r="H3650" i="1"/>
  <c r="K3649" i="1"/>
  <c r="H3649" i="1"/>
  <c r="K3648" i="1"/>
  <c r="H3648" i="1"/>
  <c r="K3647" i="1"/>
  <c r="H3647" i="1"/>
  <c r="K3646" i="1"/>
  <c r="H3646" i="1"/>
  <c r="K3645" i="1"/>
  <c r="H3645" i="1"/>
  <c r="K3644" i="1"/>
  <c r="H3644" i="1"/>
  <c r="K3643" i="1"/>
  <c r="H3643" i="1"/>
  <c r="K3642" i="1"/>
  <c r="H3642" i="1"/>
  <c r="K3641" i="1"/>
  <c r="H3641" i="1"/>
  <c r="K3640" i="1"/>
  <c r="H3640" i="1"/>
  <c r="K3639" i="1"/>
  <c r="H3639" i="1"/>
  <c r="K3638" i="1"/>
  <c r="H3638" i="1"/>
  <c r="K3637" i="1"/>
  <c r="H3637" i="1"/>
  <c r="K3636" i="1"/>
  <c r="H3636" i="1"/>
  <c r="K3635" i="1"/>
  <c r="H3635" i="1"/>
  <c r="K3634" i="1"/>
  <c r="H3634" i="1"/>
  <c r="K3633" i="1"/>
  <c r="H3633" i="1"/>
  <c r="K3632" i="1"/>
  <c r="H3632" i="1"/>
  <c r="K3631" i="1"/>
  <c r="H3631" i="1"/>
  <c r="K3630" i="1"/>
  <c r="H3630" i="1"/>
  <c r="K3629" i="1"/>
  <c r="H3629" i="1"/>
  <c r="K3628" i="1"/>
  <c r="H3628" i="1"/>
  <c r="K3627" i="1"/>
  <c r="H3627" i="1"/>
  <c r="K3626" i="1"/>
  <c r="H3626" i="1"/>
  <c r="K3625" i="1"/>
  <c r="H3625" i="1"/>
  <c r="K3624" i="1"/>
  <c r="H3624" i="1"/>
  <c r="K3623" i="1"/>
  <c r="H3623" i="1"/>
  <c r="K3622" i="1"/>
  <c r="H3622" i="1"/>
  <c r="K3621" i="1"/>
  <c r="H3621" i="1"/>
  <c r="K3620" i="1"/>
  <c r="H3620" i="1"/>
  <c r="K3619" i="1"/>
  <c r="H3619" i="1"/>
  <c r="K3618" i="1"/>
  <c r="H3618" i="1"/>
  <c r="K3617" i="1"/>
  <c r="H3617" i="1"/>
  <c r="K3616" i="1"/>
  <c r="H3616" i="1"/>
  <c r="K3615" i="1"/>
  <c r="H3615" i="1"/>
  <c r="K3614" i="1"/>
  <c r="H3614" i="1"/>
  <c r="K3613" i="1"/>
  <c r="H3613" i="1"/>
  <c r="K3612" i="1"/>
  <c r="H3612" i="1"/>
  <c r="K3611" i="1"/>
  <c r="H3611" i="1"/>
  <c r="K3610" i="1"/>
  <c r="H3610" i="1"/>
  <c r="K3609" i="1"/>
  <c r="H3609" i="1"/>
  <c r="K3608" i="1"/>
  <c r="H3608" i="1"/>
  <c r="K3607" i="1"/>
  <c r="H3607" i="1"/>
  <c r="K3606" i="1"/>
  <c r="H3606" i="1"/>
  <c r="K3605" i="1"/>
  <c r="H3605" i="1"/>
  <c r="K3604" i="1"/>
  <c r="H3604" i="1"/>
  <c r="K3603" i="1"/>
  <c r="H3603" i="1"/>
  <c r="K3602" i="1"/>
  <c r="H3602" i="1"/>
  <c r="K3601" i="1"/>
  <c r="H3601" i="1"/>
  <c r="K3600" i="1"/>
  <c r="H3600" i="1"/>
  <c r="K3599" i="1"/>
  <c r="H3599" i="1"/>
  <c r="K3598" i="1"/>
  <c r="H3598" i="1"/>
  <c r="K3597" i="1"/>
  <c r="H3597" i="1"/>
  <c r="K3596" i="1"/>
  <c r="H3596" i="1"/>
  <c r="K3595" i="1"/>
  <c r="H3595" i="1"/>
  <c r="K3594" i="1"/>
  <c r="H3594" i="1"/>
  <c r="K3593" i="1"/>
  <c r="H3593" i="1"/>
  <c r="K3592" i="1"/>
  <c r="H3592" i="1"/>
  <c r="K3591" i="1"/>
  <c r="H3591" i="1"/>
  <c r="K3590" i="1"/>
  <c r="H3590" i="1"/>
  <c r="K3589" i="1"/>
  <c r="H3589" i="1"/>
  <c r="K3588" i="1"/>
  <c r="H3588" i="1"/>
  <c r="K3587" i="1"/>
  <c r="H3587" i="1"/>
  <c r="K3586" i="1"/>
  <c r="H3586" i="1"/>
  <c r="K3585" i="1"/>
  <c r="H3585" i="1"/>
  <c r="K3584" i="1"/>
  <c r="H3584" i="1"/>
  <c r="K3583" i="1"/>
  <c r="H3583" i="1"/>
  <c r="K3582" i="1"/>
  <c r="H3582" i="1"/>
  <c r="K3581" i="1"/>
  <c r="H3581" i="1"/>
  <c r="K3580" i="1"/>
  <c r="H3580" i="1"/>
  <c r="K3579" i="1"/>
  <c r="H3579" i="1"/>
  <c r="K3578" i="1"/>
  <c r="H3578" i="1"/>
  <c r="K3577" i="1"/>
  <c r="H3577" i="1"/>
  <c r="K3576" i="1"/>
  <c r="H3576" i="1"/>
  <c r="K3575" i="1"/>
  <c r="H3575" i="1"/>
  <c r="K3574" i="1"/>
  <c r="H3574" i="1"/>
  <c r="K3573" i="1"/>
  <c r="H3573" i="1"/>
  <c r="K3572" i="1"/>
  <c r="H3572" i="1"/>
  <c r="K3571" i="1"/>
  <c r="H3571" i="1"/>
  <c r="K3570" i="1"/>
  <c r="H3570" i="1"/>
  <c r="K3569" i="1"/>
  <c r="H3569" i="1"/>
  <c r="K3568" i="1"/>
  <c r="H3568" i="1"/>
  <c r="K3567" i="1"/>
  <c r="H3567" i="1"/>
  <c r="K3566" i="1"/>
  <c r="H3566" i="1"/>
  <c r="K3565" i="1"/>
  <c r="H3565" i="1"/>
  <c r="K3564" i="1"/>
  <c r="H3564" i="1"/>
  <c r="K3563" i="1"/>
  <c r="H3563" i="1"/>
  <c r="K3562" i="1"/>
  <c r="H3562" i="1"/>
  <c r="K3561" i="1"/>
  <c r="H3561" i="1"/>
  <c r="K3560" i="1"/>
  <c r="H3560" i="1"/>
  <c r="K3559" i="1"/>
  <c r="H3559" i="1"/>
  <c r="K3558" i="1"/>
  <c r="H3558" i="1"/>
  <c r="K3557" i="1"/>
  <c r="H3557" i="1"/>
  <c r="K3556" i="1"/>
  <c r="H3556" i="1"/>
  <c r="K3555" i="1"/>
  <c r="H3555" i="1"/>
  <c r="K3554" i="1"/>
  <c r="H3554" i="1"/>
  <c r="K3553" i="1"/>
  <c r="H3553" i="1"/>
  <c r="K3552" i="1"/>
  <c r="H3552" i="1"/>
  <c r="K3551" i="1"/>
  <c r="H3551" i="1"/>
  <c r="K3550" i="1"/>
  <c r="H3550" i="1"/>
  <c r="K3549" i="1"/>
  <c r="H3549" i="1"/>
  <c r="K3548" i="1"/>
  <c r="H3548" i="1"/>
  <c r="K3547" i="1"/>
  <c r="H3547" i="1"/>
  <c r="K3546" i="1"/>
  <c r="H3546" i="1"/>
  <c r="K3545" i="1"/>
  <c r="H3545" i="1"/>
  <c r="K3544" i="1"/>
  <c r="H3544" i="1"/>
  <c r="K3543" i="1"/>
  <c r="H3543" i="1"/>
  <c r="K3542" i="1"/>
  <c r="H3542" i="1"/>
  <c r="K3541" i="1"/>
  <c r="H3541" i="1"/>
  <c r="K3540" i="1"/>
  <c r="H3540" i="1"/>
  <c r="K3539" i="1"/>
  <c r="H3539" i="1"/>
  <c r="K3538" i="1"/>
  <c r="H3538" i="1"/>
  <c r="K3537" i="1"/>
  <c r="H3537" i="1"/>
  <c r="K3536" i="1"/>
  <c r="H3536" i="1"/>
  <c r="K3535" i="1"/>
  <c r="H3535" i="1"/>
  <c r="K3534" i="1"/>
  <c r="H3534" i="1"/>
  <c r="K3533" i="1"/>
  <c r="H3533" i="1"/>
  <c r="K3532" i="1"/>
  <c r="H3532" i="1"/>
  <c r="K3531" i="1"/>
  <c r="H3531" i="1"/>
  <c r="K3530" i="1"/>
  <c r="H3530" i="1"/>
  <c r="K3529" i="1"/>
  <c r="H3529" i="1"/>
  <c r="K3528" i="1"/>
  <c r="H3528" i="1"/>
  <c r="K3527" i="1"/>
  <c r="H3527" i="1"/>
  <c r="K3526" i="1"/>
  <c r="H3526" i="1"/>
  <c r="K3525" i="1"/>
  <c r="H3525" i="1"/>
  <c r="K3524" i="1"/>
  <c r="H3524" i="1"/>
  <c r="K3523" i="1"/>
  <c r="H3523" i="1"/>
  <c r="K3522" i="1"/>
  <c r="H3522" i="1"/>
  <c r="K3521" i="1"/>
  <c r="H3521" i="1"/>
  <c r="K3520" i="1"/>
  <c r="H3520" i="1"/>
  <c r="K3519" i="1"/>
  <c r="H3519" i="1"/>
  <c r="K3518" i="1"/>
  <c r="H3518" i="1"/>
  <c r="K3517" i="1"/>
  <c r="H3517" i="1"/>
  <c r="K3516" i="1"/>
  <c r="H3516" i="1"/>
  <c r="K3515" i="1"/>
  <c r="H3515" i="1"/>
  <c r="K3514" i="1"/>
  <c r="H3514" i="1"/>
  <c r="K3513" i="1"/>
  <c r="H3513" i="1"/>
  <c r="K3512" i="1"/>
  <c r="H3512" i="1"/>
  <c r="K3511" i="1"/>
  <c r="H3511" i="1"/>
  <c r="K3510" i="1"/>
  <c r="H3510" i="1"/>
  <c r="K3509" i="1"/>
  <c r="H3509" i="1"/>
  <c r="K3508" i="1"/>
  <c r="H3508" i="1"/>
  <c r="K3507" i="1"/>
  <c r="H3507" i="1"/>
  <c r="K3506" i="1"/>
  <c r="H3506" i="1"/>
  <c r="K3505" i="1"/>
  <c r="H3505" i="1"/>
  <c r="K3504" i="1"/>
  <c r="H3504" i="1"/>
  <c r="K3503" i="1"/>
  <c r="H3503" i="1"/>
  <c r="K3502" i="1"/>
  <c r="H3502" i="1"/>
  <c r="K3501" i="1"/>
  <c r="H3501" i="1"/>
  <c r="K3500" i="1"/>
  <c r="H3500" i="1"/>
  <c r="K3499" i="1"/>
  <c r="H3499" i="1"/>
  <c r="K3498" i="1"/>
  <c r="H3498" i="1"/>
  <c r="K3497" i="1"/>
  <c r="H3497" i="1"/>
  <c r="K3496" i="1"/>
  <c r="H3496" i="1"/>
  <c r="K3495" i="1"/>
  <c r="H3495" i="1"/>
  <c r="K3494" i="1"/>
  <c r="H3494" i="1"/>
  <c r="K3493" i="1"/>
  <c r="H3493" i="1"/>
  <c r="K3492" i="1"/>
  <c r="H3492" i="1"/>
  <c r="K3491" i="1"/>
  <c r="H3491" i="1"/>
  <c r="K3490" i="1"/>
  <c r="H3490" i="1"/>
  <c r="K3489" i="1"/>
  <c r="H3489" i="1"/>
  <c r="K3488" i="1"/>
  <c r="H3488" i="1"/>
  <c r="K3487" i="1"/>
  <c r="H3487" i="1"/>
  <c r="K3486" i="1"/>
  <c r="H3486" i="1"/>
  <c r="K3485" i="1"/>
  <c r="H3485" i="1"/>
  <c r="K3484" i="1"/>
  <c r="H3484" i="1"/>
  <c r="K3483" i="1"/>
  <c r="H3483" i="1"/>
  <c r="K3482" i="1"/>
  <c r="H3482" i="1"/>
  <c r="K3481" i="1"/>
  <c r="H3481" i="1"/>
  <c r="K3480" i="1"/>
  <c r="H3480" i="1"/>
  <c r="K3479" i="1"/>
  <c r="H3479" i="1"/>
  <c r="K3478" i="1"/>
  <c r="H3478" i="1"/>
  <c r="K3477" i="1"/>
  <c r="H3477" i="1"/>
  <c r="K3476" i="1"/>
  <c r="H3476" i="1"/>
  <c r="K3475" i="1"/>
  <c r="H3475" i="1"/>
  <c r="K3474" i="1"/>
  <c r="H3474" i="1"/>
  <c r="K3473" i="1"/>
  <c r="H3473" i="1"/>
  <c r="K3472" i="1"/>
  <c r="H3472" i="1"/>
  <c r="K3471" i="1"/>
  <c r="H3471" i="1"/>
  <c r="K3470" i="1"/>
  <c r="H3470" i="1"/>
  <c r="K3469" i="1"/>
  <c r="H3469" i="1"/>
  <c r="K3468" i="1"/>
  <c r="H3468" i="1"/>
  <c r="K3467" i="1"/>
  <c r="H3467" i="1"/>
  <c r="K3466" i="1"/>
  <c r="H3466" i="1"/>
  <c r="K3465" i="1"/>
  <c r="H3465" i="1"/>
  <c r="K3464" i="1"/>
  <c r="H3464" i="1"/>
  <c r="K3463" i="1"/>
  <c r="H3463" i="1"/>
  <c r="K3462" i="1"/>
  <c r="H3462" i="1"/>
  <c r="K3461" i="1"/>
  <c r="H3461" i="1"/>
  <c r="K3460" i="1"/>
  <c r="H3460" i="1"/>
  <c r="K3459" i="1"/>
  <c r="H3459" i="1"/>
  <c r="K3458" i="1"/>
  <c r="H3458" i="1"/>
  <c r="K3457" i="1"/>
  <c r="H3457" i="1"/>
  <c r="K3456" i="1"/>
  <c r="H3456" i="1"/>
  <c r="K3455" i="1"/>
  <c r="H3455" i="1"/>
  <c r="K3454" i="1"/>
  <c r="H3454" i="1"/>
  <c r="K3453" i="1"/>
  <c r="H3453" i="1"/>
  <c r="K3452" i="1"/>
  <c r="H3452" i="1"/>
  <c r="K3451" i="1"/>
  <c r="H3451" i="1"/>
  <c r="K3450" i="1"/>
  <c r="H3450" i="1"/>
  <c r="K3449" i="1"/>
  <c r="H3449" i="1"/>
  <c r="K3448" i="1"/>
  <c r="H3448" i="1"/>
  <c r="K3447" i="1"/>
  <c r="H3447" i="1"/>
  <c r="K3446" i="1"/>
  <c r="H3446" i="1"/>
  <c r="K3445" i="1"/>
  <c r="H3445" i="1"/>
  <c r="K3444" i="1"/>
  <c r="H3444" i="1"/>
  <c r="K3443" i="1"/>
  <c r="H3443" i="1"/>
  <c r="K3442" i="1"/>
  <c r="H3442" i="1"/>
  <c r="K3441" i="1"/>
  <c r="H3441" i="1"/>
  <c r="K3440" i="1"/>
  <c r="H3440" i="1"/>
  <c r="K3439" i="1"/>
  <c r="H3439" i="1"/>
  <c r="K3438" i="1"/>
  <c r="H3438" i="1"/>
  <c r="K3437" i="1"/>
  <c r="H3437" i="1"/>
  <c r="K3436" i="1"/>
  <c r="H3436" i="1"/>
  <c r="K3435" i="1"/>
  <c r="H3435" i="1"/>
  <c r="K3434" i="1"/>
  <c r="H3434" i="1"/>
  <c r="K3433" i="1"/>
  <c r="H3433" i="1"/>
  <c r="K3432" i="1"/>
  <c r="H3432" i="1"/>
  <c r="K3431" i="1"/>
  <c r="H3431" i="1"/>
  <c r="K3430" i="1"/>
  <c r="H3430" i="1"/>
  <c r="K3429" i="1"/>
  <c r="H3429" i="1"/>
  <c r="K3428" i="1"/>
  <c r="H3428" i="1"/>
  <c r="K3427" i="1"/>
  <c r="H3427" i="1"/>
  <c r="K3426" i="1"/>
  <c r="H3426" i="1"/>
  <c r="K3425" i="1"/>
  <c r="H3425" i="1"/>
  <c r="K3424" i="1"/>
  <c r="H3424" i="1"/>
  <c r="K3423" i="1"/>
  <c r="H3423" i="1"/>
  <c r="K3422" i="1"/>
  <c r="H3422" i="1"/>
  <c r="K3421" i="1"/>
  <c r="H3421" i="1"/>
  <c r="K3420" i="1"/>
  <c r="H3420" i="1"/>
  <c r="K3419" i="1"/>
  <c r="H3419" i="1"/>
  <c r="K3418" i="1"/>
  <c r="H3418" i="1"/>
  <c r="K3417" i="1"/>
  <c r="H3417" i="1"/>
  <c r="K3416" i="1"/>
  <c r="H3416" i="1"/>
  <c r="K3415" i="1"/>
  <c r="H3415" i="1"/>
  <c r="K3414" i="1"/>
  <c r="H3414" i="1"/>
  <c r="K3413" i="1"/>
  <c r="H3413" i="1"/>
  <c r="K3412" i="1"/>
  <c r="H3412" i="1"/>
  <c r="K3411" i="1"/>
  <c r="H3411" i="1"/>
  <c r="K3410" i="1"/>
  <c r="H3410" i="1"/>
  <c r="K3409" i="1"/>
  <c r="H3409" i="1"/>
  <c r="K3408" i="1"/>
  <c r="H3408" i="1"/>
  <c r="K3407" i="1"/>
  <c r="H3407" i="1"/>
  <c r="K3406" i="1"/>
  <c r="H3406" i="1"/>
  <c r="K3405" i="1"/>
  <c r="H3405" i="1"/>
  <c r="K3404" i="1"/>
  <c r="H3404" i="1"/>
  <c r="K3403" i="1"/>
  <c r="H3403" i="1"/>
  <c r="K3402" i="1"/>
  <c r="H3402" i="1"/>
  <c r="K3401" i="1"/>
  <c r="H3401" i="1"/>
  <c r="K3400" i="1"/>
  <c r="H3400" i="1"/>
  <c r="K3399" i="1"/>
  <c r="H3399" i="1"/>
  <c r="K3398" i="1"/>
  <c r="H3398" i="1"/>
  <c r="K3397" i="1"/>
  <c r="H3397" i="1"/>
  <c r="K3396" i="1"/>
  <c r="H3396" i="1"/>
  <c r="K3395" i="1"/>
  <c r="H3395" i="1"/>
  <c r="K3394" i="1"/>
  <c r="H3394" i="1"/>
  <c r="K3393" i="1"/>
  <c r="H3393" i="1"/>
  <c r="K3392" i="1"/>
  <c r="H3392" i="1"/>
  <c r="K3391" i="1"/>
  <c r="H3391" i="1"/>
  <c r="K3390" i="1"/>
  <c r="H3390" i="1"/>
  <c r="K3389" i="1"/>
  <c r="H3389" i="1"/>
  <c r="K3388" i="1"/>
  <c r="H3388" i="1"/>
  <c r="K3387" i="1"/>
  <c r="H3387" i="1"/>
  <c r="K3386" i="1"/>
  <c r="H3386" i="1"/>
  <c r="K3385" i="1"/>
  <c r="H3385" i="1"/>
  <c r="K3384" i="1"/>
  <c r="H3384" i="1"/>
  <c r="K3383" i="1"/>
  <c r="H3383" i="1"/>
  <c r="K3382" i="1"/>
  <c r="H3382" i="1"/>
  <c r="K3381" i="1"/>
  <c r="H3381" i="1"/>
  <c r="K3380" i="1"/>
  <c r="H3380" i="1"/>
  <c r="K3379" i="1"/>
  <c r="H3379" i="1"/>
  <c r="K3378" i="1"/>
  <c r="H3378" i="1"/>
  <c r="K3377" i="1"/>
  <c r="H3377" i="1"/>
  <c r="K3376" i="1"/>
  <c r="H3376" i="1"/>
  <c r="K3375" i="1"/>
  <c r="H3375" i="1"/>
  <c r="K3374" i="1"/>
  <c r="H3374" i="1"/>
  <c r="K3373" i="1"/>
  <c r="H3373" i="1"/>
  <c r="K3372" i="1"/>
  <c r="H3372" i="1"/>
  <c r="K3371" i="1"/>
  <c r="H3371" i="1"/>
  <c r="K3370" i="1"/>
  <c r="H3370" i="1"/>
  <c r="K3369" i="1"/>
  <c r="H3369" i="1"/>
  <c r="K3368" i="1"/>
  <c r="H3368" i="1"/>
  <c r="K3367" i="1"/>
  <c r="H3367" i="1"/>
  <c r="K3366" i="1"/>
  <c r="H3366" i="1"/>
  <c r="K3365" i="1"/>
  <c r="H3365" i="1"/>
  <c r="K3364" i="1"/>
  <c r="H3364" i="1"/>
  <c r="K3363" i="1"/>
  <c r="H3363" i="1"/>
  <c r="K3362" i="1"/>
  <c r="H3362" i="1"/>
  <c r="K3361" i="1"/>
  <c r="H3361" i="1"/>
  <c r="K3360" i="1"/>
  <c r="H3360" i="1"/>
  <c r="K3359" i="1"/>
  <c r="H3359" i="1"/>
  <c r="K3358" i="1"/>
  <c r="H3358" i="1"/>
  <c r="K3357" i="1"/>
  <c r="H3357" i="1"/>
  <c r="K3356" i="1"/>
  <c r="H3356" i="1"/>
  <c r="K3355" i="1"/>
  <c r="H3355" i="1"/>
  <c r="K3354" i="1"/>
  <c r="H3354" i="1"/>
  <c r="K3353" i="1"/>
  <c r="H3353" i="1"/>
  <c r="K3352" i="1"/>
  <c r="H3352" i="1"/>
  <c r="K3351" i="1"/>
  <c r="H3351" i="1"/>
  <c r="K3350" i="1"/>
  <c r="H3350" i="1"/>
  <c r="K3349" i="1"/>
  <c r="H3349" i="1"/>
  <c r="K3348" i="1"/>
  <c r="H3348" i="1"/>
  <c r="K3347" i="1"/>
  <c r="H3347" i="1"/>
  <c r="K3346" i="1"/>
  <c r="H3346" i="1"/>
  <c r="K3345" i="1"/>
  <c r="H3345" i="1"/>
  <c r="K3344" i="1"/>
  <c r="H3344" i="1"/>
  <c r="K3343" i="1"/>
  <c r="H3343" i="1"/>
  <c r="K3342" i="1"/>
  <c r="H3342" i="1"/>
  <c r="K3341" i="1"/>
  <c r="H3341" i="1"/>
  <c r="K3340" i="1"/>
  <c r="H3340" i="1"/>
  <c r="K3339" i="1"/>
  <c r="H3339" i="1"/>
  <c r="K3338" i="1"/>
  <c r="H3338" i="1"/>
  <c r="K3337" i="1"/>
  <c r="H3337" i="1"/>
  <c r="K3336" i="1"/>
  <c r="H3336" i="1"/>
  <c r="K3335" i="1"/>
  <c r="H3335" i="1"/>
  <c r="K3334" i="1"/>
  <c r="H3334" i="1"/>
  <c r="K3333" i="1"/>
  <c r="H3333" i="1"/>
  <c r="K3332" i="1"/>
  <c r="H3332" i="1"/>
  <c r="K3331" i="1"/>
  <c r="H3331" i="1"/>
  <c r="K3330" i="1"/>
  <c r="H3330" i="1"/>
  <c r="K3329" i="1"/>
  <c r="H3329" i="1"/>
  <c r="K3328" i="1"/>
  <c r="H3328" i="1"/>
  <c r="K3327" i="1"/>
  <c r="H3327" i="1"/>
  <c r="K3326" i="1"/>
  <c r="H3326" i="1"/>
  <c r="K3325" i="1"/>
  <c r="H3325" i="1"/>
  <c r="K3324" i="1"/>
  <c r="H3324" i="1"/>
  <c r="K3323" i="1"/>
  <c r="H3323" i="1"/>
  <c r="K3322" i="1"/>
  <c r="H3322" i="1"/>
  <c r="K3321" i="1"/>
  <c r="H3321" i="1"/>
  <c r="K3320" i="1"/>
  <c r="H3320" i="1"/>
  <c r="K3319" i="1"/>
  <c r="H3319" i="1"/>
  <c r="K3318" i="1"/>
  <c r="H3318" i="1"/>
  <c r="K3317" i="1"/>
  <c r="H3317" i="1"/>
  <c r="K3316" i="1"/>
  <c r="H3316" i="1"/>
  <c r="K3315" i="1"/>
  <c r="H3315" i="1"/>
  <c r="K3314" i="1"/>
  <c r="H3314" i="1"/>
  <c r="K3313" i="1"/>
  <c r="H3313" i="1"/>
  <c r="K3312" i="1"/>
  <c r="H3312" i="1"/>
  <c r="K3311" i="1"/>
  <c r="H3311" i="1"/>
  <c r="K3310" i="1"/>
  <c r="H3310" i="1"/>
  <c r="K3309" i="1"/>
  <c r="H3309" i="1"/>
  <c r="K3308" i="1"/>
  <c r="H3308" i="1"/>
  <c r="K3307" i="1"/>
  <c r="H3307" i="1"/>
  <c r="K3306" i="1"/>
  <c r="H3306" i="1"/>
  <c r="K3305" i="1"/>
  <c r="H3305" i="1"/>
  <c r="K3304" i="1"/>
  <c r="H3304" i="1"/>
  <c r="K3303" i="1"/>
  <c r="H3303" i="1"/>
  <c r="K3302" i="1"/>
  <c r="H3302" i="1"/>
  <c r="K3301" i="1"/>
  <c r="H3301" i="1"/>
  <c r="K3300" i="1"/>
  <c r="H3300" i="1"/>
  <c r="K3299" i="1"/>
  <c r="H3299" i="1"/>
  <c r="K3298" i="1"/>
  <c r="H3298" i="1"/>
  <c r="K3297" i="1"/>
  <c r="H3297" i="1"/>
  <c r="K3296" i="1"/>
  <c r="H3296" i="1"/>
  <c r="K3295" i="1"/>
  <c r="H3295" i="1"/>
  <c r="K3294" i="1"/>
  <c r="H3294" i="1"/>
  <c r="K3293" i="1"/>
  <c r="H3293" i="1"/>
  <c r="K3292" i="1"/>
  <c r="H3292" i="1"/>
  <c r="K3291" i="1"/>
  <c r="H3291" i="1"/>
  <c r="K3290" i="1"/>
  <c r="H3290" i="1"/>
  <c r="K3289" i="1"/>
  <c r="H3289" i="1"/>
  <c r="K3288" i="1"/>
  <c r="H3288" i="1"/>
  <c r="K3287" i="1"/>
  <c r="H3287" i="1"/>
  <c r="K3286" i="1"/>
  <c r="H3286" i="1"/>
  <c r="K3285" i="1"/>
  <c r="H3285" i="1"/>
  <c r="K3284" i="1"/>
  <c r="H3284" i="1"/>
  <c r="K3283" i="1"/>
  <c r="H3283" i="1"/>
  <c r="K3282" i="1"/>
  <c r="H3282" i="1"/>
  <c r="K3281" i="1"/>
  <c r="H3281" i="1"/>
  <c r="K3280" i="1"/>
  <c r="H3280" i="1"/>
  <c r="K3279" i="1"/>
  <c r="H3279" i="1"/>
  <c r="K3278" i="1"/>
  <c r="H3278" i="1"/>
  <c r="K3277" i="1"/>
  <c r="H3277" i="1"/>
  <c r="K3276" i="1"/>
  <c r="H3276" i="1"/>
  <c r="K3275" i="1"/>
  <c r="H3275" i="1"/>
  <c r="K3274" i="1"/>
  <c r="H3274" i="1"/>
  <c r="K3273" i="1"/>
  <c r="H3273" i="1"/>
  <c r="K3272" i="1"/>
  <c r="H3272" i="1"/>
  <c r="K3271" i="1"/>
  <c r="H3271" i="1"/>
  <c r="K3270" i="1"/>
  <c r="H3270" i="1"/>
  <c r="K3269" i="1"/>
  <c r="H3269" i="1"/>
  <c r="K3268" i="1"/>
  <c r="H3268" i="1"/>
  <c r="K3267" i="1"/>
  <c r="H3267" i="1"/>
  <c r="K3266" i="1"/>
  <c r="H3266" i="1"/>
  <c r="K3265" i="1"/>
  <c r="H3265" i="1"/>
  <c r="K3264" i="1"/>
  <c r="H3264" i="1"/>
  <c r="K3263" i="1"/>
  <c r="H3263" i="1"/>
  <c r="K3262" i="1"/>
  <c r="H3262" i="1"/>
  <c r="K3261" i="1"/>
  <c r="H3261" i="1"/>
  <c r="K3260" i="1"/>
  <c r="H3260" i="1"/>
  <c r="K3259" i="1"/>
  <c r="H3259" i="1"/>
  <c r="K3258" i="1"/>
  <c r="H3258" i="1"/>
  <c r="K3257" i="1"/>
  <c r="H3257" i="1"/>
  <c r="K3256" i="1"/>
  <c r="H3256" i="1"/>
  <c r="K3255" i="1"/>
  <c r="H3255" i="1"/>
  <c r="K3254" i="1"/>
  <c r="H3254" i="1"/>
  <c r="K3253" i="1"/>
  <c r="H3253" i="1"/>
  <c r="K3252" i="1"/>
  <c r="H3252" i="1"/>
  <c r="K3251" i="1"/>
  <c r="H3251" i="1"/>
  <c r="K3250" i="1"/>
  <c r="H3250" i="1"/>
  <c r="K3249" i="1"/>
  <c r="H3249" i="1"/>
  <c r="K3248" i="1"/>
  <c r="H3248" i="1"/>
  <c r="K3247" i="1"/>
  <c r="H3247" i="1"/>
  <c r="K3246" i="1"/>
  <c r="H3246" i="1"/>
  <c r="K3245" i="1"/>
  <c r="H3245" i="1"/>
  <c r="K3244" i="1"/>
  <c r="H3244" i="1"/>
  <c r="K3243" i="1"/>
  <c r="H3243" i="1"/>
  <c r="K3242" i="1"/>
  <c r="H3242" i="1"/>
  <c r="K3241" i="1"/>
  <c r="H3241" i="1"/>
  <c r="K3240" i="1"/>
  <c r="H3240" i="1"/>
  <c r="K3239" i="1"/>
  <c r="H3239" i="1"/>
  <c r="K3238" i="1"/>
  <c r="H3238" i="1"/>
  <c r="K3237" i="1"/>
  <c r="H3237" i="1"/>
  <c r="K3236" i="1"/>
  <c r="H3236" i="1"/>
  <c r="K3235" i="1"/>
  <c r="H3235" i="1"/>
  <c r="K3234" i="1"/>
  <c r="H3234" i="1"/>
  <c r="K3233" i="1"/>
  <c r="H3233" i="1"/>
  <c r="K3232" i="1"/>
  <c r="H3232" i="1"/>
  <c r="K3231" i="1"/>
  <c r="H3231" i="1"/>
  <c r="K3230" i="1"/>
  <c r="H3230" i="1"/>
  <c r="K3229" i="1"/>
  <c r="H3229" i="1"/>
  <c r="K3228" i="1"/>
  <c r="H3228" i="1"/>
  <c r="K3227" i="1"/>
  <c r="H3227" i="1"/>
  <c r="K3226" i="1"/>
  <c r="H3226" i="1"/>
  <c r="K3225" i="1"/>
  <c r="H3225" i="1"/>
  <c r="K3224" i="1"/>
  <c r="H3224" i="1"/>
  <c r="K3223" i="1"/>
  <c r="H3223" i="1"/>
  <c r="K3222" i="1"/>
  <c r="H3222" i="1"/>
  <c r="K3221" i="1"/>
  <c r="H3221" i="1"/>
  <c r="K3220" i="1"/>
  <c r="H3220" i="1"/>
  <c r="K3219" i="1"/>
  <c r="H3219" i="1"/>
  <c r="K3218" i="1"/>
  <c r="H3218" i="1"/>
  <c r="K3217" i="1"/>
  <c r="H3217" i="1"/>
  <c r="K3216" i="1"/>
  <c r="H3216" i="1"/>
  <c r="K3215" i="1"/>
  <c r="H3215" i="1"/>
  <c r="K3214" i="1"/>
  <c r="H3214" i="1"/>
  <c r="K3213" i="1"/>
  <c r="H3213" i="1"/>
  <c r="K3212" i="1"/>
  <c r="H3212" i="1"/>
  <c r="K3211" i="1"/>
  <c r="H3211" i="1"/>
  <c r="K3210" i="1"/>
  <c r="H3210" i="1"/>
  <c r="K3209" i="1"/>
  <c r="H3209" i="1"/>
  <c r="K3208" i="1"/>
  <c r="H3208" i="1"/>
  <c r="K3207" i="1"/>
  <c r="H3207" i="1"/>
  <c r="K3206" i="1"/>
  <c r="H3206" i="1"/>
  <c r="K3205" i="1"/>
  <c r="H3205" i="1"/>
  <c r="K3204" i="1"/>
  <c r="H3204" i="1"/>
  <c r="K3203" i="1"/>
  <c r="H3203" i="1"/>
  <c r="K3202" i="1"/>
  <c r="H3202" i="1"/>
  <c r="K3201" i="1"/>
  <c r="H3201" i="1"/>
  <c r="K3200" i="1"/>
  <c r="H3200" i="1"/>
  <c r="K3199" i="1"/>
  <c r="H3199" i="1"/>
  <c r="K3198" i="1"/>
  <c r="H3198" i="1"/>
  <c r="K3197" i="1"/>
  <c r="H3197" i="1"/>
  <c r="K3196" i="1"/>
  <c r="H3196" i="1"/>
  <c r="K3195" i="1"/>
  <c r="H3195" i="1"/>
  <c r="K3194" i="1"/>
  <c r="H3194" i="1"/>
  <c r="K3193" i="1"/>
  <c r="H3193" i="1"/>
  <c r="K3192" i="1"/>
  <c r="H3192" i="1"/>
  <c r="K3191" i="1"/>
  <c r="H3191" i="1"/>
  <c r="K3190" i="1"/>
  <c r="H3190" i="1"/>
  <c r="K3189" i="1"/>
  <c r="H3189" i="1"/>
  <c r="K3188" i="1"/>
  <c r="H3188" i="1"/>
  <c r="K3187" i="1"/>
  <c r="H3187" i="1"/>
  <c r="K3186" i="1"/>
  <c r="H3186" i="1"/>
  <c r="K3185" i="1"/>
  <c r="H3185" i="1"/>
  <c r="K3184" i="1"/>
  <c r="H3184" i="1"/>
  <c r="K3183" i="1"/>
  <c r="H3183" i="1"/>
  <c r="K3182" i="1"/>
  <c r="H3182" i="1"/>
  <c r="K3181" i="1"/>
  <c r="H3181" i="1"/>
  <c r="K3180" i="1"/>
  <c r="H3180" i="1"/>
  <c r="K3179" i="1"/>
  <c r="H3179" i="1"/>
  <c r="K3178" i="1"/>
  <c r="H3178" i="1"/>
  <c r="K3177" i="1"/>
  <c r="H3177" i="1"/>
  <c r="K3176" i="1"/>
  <c r="H3176" i="1"/>
  <c r="K3175" i="1"/>
  <c r="H3175" i="1"/>
  <c r="K3174" i="1"/>
  <c r="H3174" i="1"/>
  <c r="K3173" i="1"/>
  <c r="H3173" i="1"/>
  <c r="K3172" i="1"/>
  <c r="H3172" i="1"/>
  <c r="K3171" i="1"/>
  <c r="H3171" i="1"/>
  <c r="K3170" i="1"/>
  <c r="H3170" i="1"/>
  <c r="K3169" i="1"/>
  <c r="H3169" i="1"/>
  <c r="K3168" i="1"/>
  <c r="H3168" i="1"/>
  <c r="K3167" i="1"/>
  <c r="H3167" i="1"/>
  <c r="K3166" i="1"/>
  <c r="H3166" i="1"/>
  <c r="K3165" i="1"/>
  <c r="H3165" i="1"/>
  <c r="K3164" i="1"/>
  <c r="H3164" i="1"/>
  <c r="K3163" i="1"/>
  <c r="H3163" i="1"/>
  <c r="K3162" i="1"/>
  <c r="H3162" i="1"/>
  <c r="K3161" i="1"/>
  <c r="H3161" i="1"/>
  <c r="K3160" i="1"/>
  <c r="H3160" i="1"/>
  <c r="K3159" i="1"/>
  <c r="H3159" i="1"/>
  <c r="K3158" i="1"/>
  <c r="H3158" i="1"/>
  <c r="K3157" i="1"/>
  <c r="H3157" i="1"/>
  <c r="K3156" i="1"/>
  <c r="H3156" i="1"/>
  <c r="K3155" i="1"/>
  <c r="H3155" i="1"/>
  <c r="K3154" i="1"/>
  <c r="H3154" i="1"/>
  <c r="K3153" i="1"/>
  <c r="H3153" i="1"/>
  <c r="K3152" i="1"/>
  <c r="H3152" i="1"/>
  <c r="K3151" i="1"/>
  <c r="H3151" i="1"/>
  <c r="K3150" i="1"/>
  <c r="H3150" i="1"/>
  <c r="K3149" i="1"/>
  <c r="H3149" i="1"/>
  <c r="K3148" i="1"/>
  <c r="H3148" i="1"/>
  <c r="K3147" i="1"/>
  <c r="H3147" i="1"/>
  <c r="K3146" i="1"/>
  <c r="H3146" i="1"/>
  <c r="K3145" i="1"/>
  <c r="H3145" i="1"/>
  <c r="K3144" i="1"/>
  <c r="H3144" i="1"/>
  <c r="K3143" i="1"/>
  <c r="H3143" i="1"/>
  <c r="K3142" i="1"/>
  <c r="H3142" i="1"/>
  <c r="K3141" i="1"/>
  <c r="H3141" i="1"/>
  <c r="K3140" i="1"/>
  <c r="H3140" i="1"/>
  <c r="K3139" i="1"/>
  <c r="H3139" i="1"/>
  <c r="K3138" i="1"/>
  <c r="H3138" i="1"/>
  <c r="K3137" i="1"/>
  <c r="H3137" i="1"/>
  <c r="K3136" i="1"/>
  <c r="H3136" i="1"/>
  <c r="K3135" i="1"/>
  <c r="H3135" i="1"/>
  <c r="K3134" i="1"/>
  <c r="H3134" i="1"/>
  <c r="K3133" i="1"/>
  <c r="H3133" i="1"/>
  <c r="K3132" i="1"/>
  <c r="H3132" i="1"/>
  <c r="K3131" i="1"/>
  <c r="H3131" i="1"/>
  <c r="K3130" i="1"/>
  <c r="H3130" i="1"/>
  <c r="K3129" i="1"/>
  <c r="H3129" i="1"/>
  <c r="K3128" i="1"/>
  <c r="H3128" i="1"/>
  <c r="K3127" i="1"/>
  <c r="H3127" i="1"/>
  <c r="K3126" i="1"/>
  <c r="H3126" i="1"/>
  <c r="K3125" i="1"/>
  <c r="H3125" i="1"/>
  <c r="K3124" i="1"/>
  <c r="H3124" i="1"/>
  <c r="K3123" i="1"/>
  <c r="H3123" i="1"/>
  <c r="K3122" i="1"/>
  <c r="H3122" i="1"/>
  <c r="K3121" i="1"/>
  <c r="H3121" i="1"/>
  <c r="K3120" i="1"/>
  <c r="H3120" i="1"/>
  <c r="K3119" i="1"/>
  <c r="H3119" i="1"/>
  <c r="K3118" i="1"/>
  <c r="H3118" i="1"/>
  <c r="K3117" i="1"/>
  <c r="H3117" i="1"/>
  <c r="K3116" i="1"/>
  <c r="H3116" i="1"/>
  <c r="K3115" i="1"/>
  <c r="H3115" i="1"/>
  <c r="K3114" i="1"/>
  <c r="H3114" i="1"/>
  <c r="K3113" i="1"/>
  <c r="H3113" i="1"/>
  <c r="K3112" i="1"/>
  <c r="H3112" i="1"/>
  <c r="K3111" i="1"/>
  <c r="H3111" i="1"/>
  <c r="K3110" i="1"/>
  <c r="H3110" i="1"/>
  <c r="K3109" i="1"/>
  <c r="H3109" i="1"/>
  <c r="K3108" i="1"/>
  <c r="H3108" i="1"/>
  <c r="K3107" i="1"/>
  <c r="H3107" i="1"/>
  <c r="K3106" i="1"/>
  <c r="H3106" i="1"/>
  <c r="K3105" i="1"/>
  <c r="H3105" i="1"/>
  <c r="K3104" i="1"/>
  <c r="H3104" i="1"/>
  <c r="K3103" i="1"/>
  <c r="H3103" i="1"/>
  <c r="K3102" i="1"/>
  <c r="H3102" i="1"/>
  <c r="K3101" i="1"/>
  <c r="H3101" i="1"/>
  <c r="K3100" i="1"/>
  <c r="H3100" i="1"/>
  <c r="K3099" i="1"/>
  <c r="H3099" i="1"/>
  <c r="K3098" i="1"/>
  <c r="H3098" i="1"/>
  <c r="K3097" i="1"/>
  <c r="H3097" i="1"/>
  <c r="K3096" i="1"/>
  <c r="H3096" i="1"/>
  <c r="K3095" i="1"/>
  <c r="H3095" i="1"/>
  <c r="K3094" i="1"/>
  <c r="H3094" i="1"/>
  <c r="K3093" i="1"/>
  <c r="H3093" i="1"/>
  <c r="K3092" i="1"/>
  <c r="H3092" i="1"/>
  <c r="K3091" i="1"/>
  <c r="H3091" i="1"/>
  <c r="K3090" i="1"/>
  <c r="H3090" i="1"/>
  <c r="K3089" i="1"/>
  <c r="H3089" i="1"/>
  <c r="K3088" i="1"/>
  <c r="H3088" i="1"/>
  <c r="K3087" i="1"/>
  <c r="H3087" i="1"/>
  <c r="K3086" i="1"/>
  <c r="H3086" i="1"/>
  <c r="K3085" i="1"/>
  <c r="H3085" i="1"/>
  <c r="K3084" i="1"/>
  <c r="H3084" i="1"/>
  <c r="K3083" i="1"/>
  <c r="H3083" i="1"/>
  <c r="K3082" i="1"/>
  <c r="H3082" i="1"/>
  <c r="K3081" i="1"/>
  <c r="H3081" i="1"/>
  <c r="K3080" i="1"/>
  <c r="H3080" i="1"/>
  <c r="K3079" i="1"/>
  <c r="H3079" i="1"/>
  <c r="K3078" i="1"/>
  <c r="H3078" i="1"/>
  <c r="K3077" i="1"/>
  <c r="H3077" i="1"/>
  <c r="K3076" i="1"/>
  <c r="H3076" i="1"/>
  <c r="K3075" i="1"/>
  <c r="H3075" i="1"/>
  <c r="K3074" i="1"/>
  <c r="H3074" i="1"/>
  <c r="K3073" i="1"/>
  <c r="H3073" i="1"/>
  <c r="K3072" i="1"/>
  <c r="H3072" i="1"/>
  <c r="K3071" i="1"/>
  <c r="H3071" i="1"/>
  <c r="K3070" i="1"/>
  <c r="H3070" i="1"/>
  <c r="K3069" i="1"/>
  <c r="H3069" i="1"/>
  <c r="K3068" i="1"/>
  <c r="H3068" i="1"/>
  <c r="K3067" i="1"/>
  <c r="H3067" i="1"/>
  <c r="K3066" i="1"/>
  <c r="H3066" i="1"/>
  <c r="K3065" i="1"/>
  <c r="H3065" i="1"/>
  <c r="K3064" i="1"/>
  <c r="H3064" i="1"/>
  <c r="K3063" i="1"/>
  <c r="H3063" i="1"/>
  <c r="K3062" i="1"/>
  <c r="H3062" i="1"/>
  <c r="K3061" i="1"/>
  <c r="H3061" i="1"/>
  <c r="K3060" i="1"/>
  <c r="H3060" i="1"/>
  <c r="K3059" i="1"/>
  <c r="H3059" i="1"/>
  <c r="K3058" i="1"/>
  <c r="H3058" i="1"/>
  <c r="K3057" i="1"/>
  <c r="H3057" i="1"/>
  <c r="K3056" i="1"/>
  <c r="H3056" i="1"/>
  <c r="K3055" i="1"/>
  <c r="H3055" i="1"/>
  <c r="K3054" i="1"/>
  <c r="H3054" i="1"/>
  <c r="K3053" i="1"/>
  <c r="H3053" i="1"/>
  <c r="K3052" i="1"/>
  <c r="H3052" i="1"/>
  <c r="K3051" i="1"/>
  <c r="H3051" i="1"/>
  <c r="K3050" i="1"/>
  <c r="H3050" i="1"/>
  <c r="K3049" i="1"/>
  <c r="H3049" i="1"/>
  <c r="K3048" i="1"/>
  <c r="H3048" i="1"/>
  <c r="K3047" i="1"/>
  <c r="H3047" i="1"/>
  <c r="K3046" i="1"/>
  <c r="H3046" i="1"/>
  <c r="K3045" i="1"/>
  <c r="H3045" i="1"/>
  <c r="K3044" i="1"/>
  <c r="H3044" i="1"/>
  <c r="K3043" i="1"/>
  <c r="H3043" i="1"/>
  <c r="K3042" i="1"/>
  <c r="H3042" i="1"/>
  <c r="K3041" i="1"/>
  <c r="H3041" i="1"/>
  <c r="K3040" i="1"/>
  <c r="H3040" i="1"/>
  <c r="K3039" i="1"/>
  <c r="H3039" i="1"/>
  <c r="K3038" i="1"/>
  <c r="H3038" i="1"/>
  <c r="K3037" i="1"/>
  <c r="H3037" i="1"/>
  <c r="K3036" i="1"/>
  <c r="H3036" i="1"/>
  <c r="K3035" i="1"/>
  <c r="H3035" i="1"/>
  <c r="K3034" i="1"/>
  <c r="H3034" i="1"/>
  <c r="K3033" i="1"/>
  <c r="H3033" i="1"/>
  <c r="K3032" i="1"/>
  <c r="H3032" i="1"/>
  <c r="K3031" i="1"/>
  <c r="H3031" i="1"/>
  <c r="K3030" i="1"/>
  <c r="H3030" i="1"/>
  <c r="K3029" i="1"/>
  <c r="H3029" i="1"/>
  <c r="K3028" i="1"/>
  <c r="H3028" i="1"/>
  <c r="K3027" i="1"/>
  <c r="H3027" i="1"/>
  <c r="K3026" i="1"/>
  <c r="H3026" i="1"/>
  <c r="K3025" i="1"/>
  <c r="H3025" i="1"/>
  <c r="K3024" i="1"/>
  <c r="H3024" i="1"/>
  <c r="K3023" i="1"/>
  <c r="H3023" i="1"/>
  <c r="K3022" i="1"/>
  <c r="H3022" i="1"/>
  <c r="K3021" i="1"/>
  <c r="H3021" i="1"/>
  <c r="K3020" i="1"/>
  <c r="H3020" i="1"/>
  <c r="K3019" i="1"/>
  <c r="H3019" i="1"/>
  <c r="K3018" i="1"/>
  <c r="H3018" i="1"/>
  <c r="K3017" i="1"/>
  <c r="H3017" i="1"/>
  <c r="K3016" i="1"/>
  <c r="H3016" i="1"/>
  <c r="K3015" i="1"/>
  <c r="H3015" i="1"/>
  <c r="K3014" i="1"/>
  <c r="H3014" i="1"/>
  <c r="K3013" i="1"/>
  <c r="H3013" i="1"/>
  <c r="K3012" i="1"/>
  <c r="H3012" i="1"/>
  <c r="K3011" i="1"/>
  <c r="H3011" i="1"/>
  <c r="K3010" i="1"/>
  <c r="H3010" i="1"/>
  <c r="K3009" i="1"/>
  <c r="H3009" i="1"/>
  <c r="K3008" i="1"/>
  <c r="H3008" i="1"/>
  <c r="K3007" i="1"/>
  <c r="H3007" i="1"/>
  <c r="K3006" i="1"/>
  <c r="H3006" i="1"/>
  <c r="K3005" i="1"/>
  <c r="H3005" i="1"/>
  <c r="K3004" i="1"/>
  <c r="H3004" i="1"/>
  <c r="K3003" i="1"/>
  <c r="H3003" i="1"/>
  <c r="K3002" i="1"/>
  <c r="H3002" i="1"/>
  <c r="K3001" i="1"/>
  <c r="H3001" i="1"/>
  <c r="K3000" i="1"/>
  <c r="H3000" i="1"/>
  <c r="K2999" i="1"/>
  <c r="H2999" i="1"/>
  <c r="K2998" i="1"/>
  <c r="H2998" i="1"/>
  <c r="K2997" i="1"/>
  <c r="H2997" i="1"/>
  <c r="K2996" i="1"/>
  <c r="H2996" i="1"/>
  <c r="K2995" i="1"/>
  <c r="H2995" i="1"/>
  <c r="K2994" i="1"/>
  <c r="H2994" i="1"/>
  <c r="K2993" i="1"/>
  <c r="H2993" i="1"/>
  <c r="K2992" i="1"/>
  <c r="H2992" i="1"/>
  <c r="K2991" i="1"/>
  <c r="H2991" i="1"/>
  <c r="K2990" i="1"/>
  <c r="H2990" i="1"/>
  <c r="K2989" i="1"/>
  <c r="H2989" i="1"/>
  <c r="K2988" i="1"/>
  <c r="H2988" i="1"/>
  <c r="K2987" i="1"/>
  <c r="H2987" i="1"/>
  <c r="K2986" i="1"/>
  <c r="H2986" i="1"/>
  <c r="K2985" i="1"/>
  <c r="H2985" i="1"/>
  <c r="K2984" i="1"/>
  <c r="H2984" i="1"/>
  <c r="K2983" i="1"/>
  <c r="H2983" i="1"/>
  <c r="K2982" i="1"/>
  <c r="H2982" i="1"/>
  <c r="K2981" i="1"/>
  <c r="H2981" i="1"/>
  <c r="K2980" i="1"/>
  <c r="H2980" i="1"/>
  <c r="K2979" i="1"/>
  <c r="H2979" i="1"/>
  <c r="K2978" i="1"/>
  <c r="H2978" i="1"/>
  <c r="K2977" i="1"/>
  <c r="H2977" i="1"/>
  <c r="K2976" i="1"/>
  <c r="H2976" i="1"/>
  <c r="K2975" i="1"/>
  <c r="H2975" i="1"/>
  <c r="K2974" i="1"/>
  <c r="H2974" i="1"/>
  <c r="K2973" i="1"/>
  <c r="H2973" i="1"/>
  <c r="K2972" i="1"/>
  <c r="H2972" i="1"/>
  <c r="K2971" i="1"/>
  <c r="H2971" i="1"/>
  <c r="K2970" i="1"/>
  <c r="H2970" i="1"/>
  <c r="K2969" i="1"/>
  <c r="H2969" i="1"/>
  <c r="K2968" i="1"/>
  <c r="H2968" i="1"/>
  <c r="K2967" i="1"/>
  <c r="H2967" i="1"/>
  <c r="K2966" i="1"/>
  <c r="H2966" i="1"/>
  <c r="K2965" i="1"/>
  <c r="H2965" i="1"/>
  <c r="K2964" i="1"/>
  <c r="H2964" i="1"/>
  <c r="K2963" i="1"/>
  <c r="H2963" i="1"/>
  <c r="K2962" i="1"/>
  <c r="H2962" i="1"/>
  <c r="K2961" i="1"/>
  <c r="H2961" i="1"/>
  <c r="K2960" i="1"/>
  <c r="H2960" i="1"/>
  <c r="K2959" i="1"/>
  <c r="H2959" i="1"/>
  <c r="K2958" i="1"/>
  <c r="H2958" i="1"/>
  <c r="K2957" i="1"/>
  <c r="H2957" i="1"/>
  <c r="K2956" i="1"/>
  <c r="H2956" i="1"/>
  <c r="K2955" i="1"/>
  <c r="H2955" i="1"/>
  <c r="K2954" i="1"/>
  <c r="H2954" i="1"/>
  <c r="K2953" i="1"/>
  <c r="H2953" i="1"/>
  <c r="K2952" i="1"/>
  <c r="H2952" i="1"/>
  <c r="K2951" i="1"/>
  <c r="H2951" i="1"/>
  <c r="K2950" i="1"/>
  <c r="H2950" i="1"/>
  <c r="K2949" i="1"/>
  <c r="H2949" i="1"/>
  <c r="K2948" i="1"/>
  <c r="H2948" i="1"/>
  <c r="K2947" i="1"/>
  <c r="H2947" i="1"/>
  <c r="K2946" i="1"/>
  <c r="H2946" i="1"/>
  <c r="K2945" i="1"/>
  <c r="H2945" i="1"/>
  <c r="K2944" i="1"/>
  <c r="H2944" i="1"/>
  <c r="K2943" i="1"/>
  <c r="H2943" i="1"/>
  <c r="K2942" i="1"/>
  <c r="H2942" i="1"/>
  <c r="K2941" i="1"/>
  <c r="H2941" i="1"/>
  <c r="K2940" i="1"/>
  <c r="H2940" i="1"/>
  <c r="K2939" i="1"/>
  <c r="H2939" i="1"/>
  <c r="K2938" i="1"/>
  <c r="H2938" i="1"/>
  <c r="K2937" i="1"/>
  <c r="H2937" i="1"/>
  <c r="K2936" i="1"/>
  <c r="H2936" i="1"/>
  <c r="K2935" i="1"/>
  <c r="H2935" i="1"/>
  <c r="K2934" i="1"/>
  <c r="H2934" i="1"/>
  <c r="K2933" i="1"/>
  <c r="H2933" i="1"/>
  <c r="K2932" i="1"/>
  <c r="H2932" i="1"/>
  <c r="K2931" i="1"/>
  <c r="H2931" i="1"/>
  <c r="K2930" i="1"/>
  <c r="H2930" i="1"/>
  <c r="K2929" i="1"/>
  <c r="H2929" i="1"/>
  <c r="K2928" i="1"/>
  <c r="H2928" i="1"/>
  <c r="K2927" i="1"/>
  <c r="H2927" i="1"/>
  <c r="K2926" i="1"/>
  <c r="H2926" i="1"/>
  <c r="K2925" i="1"/>
  <c r="H2925" i="1"/>
  <c r="K2924" i="1"/>
  <c r="H2924" i="1"/>
  <c r="K2923" i="1"/>
  <c r="H2923" i="1"/>
  <c r="K2922" i="1"/>
  <c r="H2922" i="1"/>
  <c r="K2921" i="1"/>
  <c r="H2921" i="1"/>
  <c r="K2920" i="1"/>
  <c r="H2920" i="1"/>
  <c r="K2919" i="1"/>
  <c r="H2919" i="1"/>
  <c r="K2918" i="1"/>
  <c r="H2918" i="1"/>
  <c r="K2917" i="1"/>
  <c r="H2917" i="1"/>
  <c r="K2916" i="1"/>
  <c r="H2916" i="1"/>
  <c r="K2915" i="1"/>
  <c r="H2915" i="1"/>
  <c r="K2914" i="1"/>
  <c r="H2914" i="1"/>
  <c r="K2913" i="1"/>
  <c r="H2913" i="1"/>
  <c r="K2912" i="1"/>
  <c r="H2912" i="1"/>
  <c r="K2911" i="1"/>
  <c r="H2911" i="1"/>
  <c r="K2910" i="1"/>
  <c r="H2910" i="1"/>
  <c r="K2909" i="1"/>
  <c r="H2909" i="1"/>
  <c r="K2908" i="1"/>
  <c r="H2908" i="1"/>
  <c r="K2907" i="1"/>
  <c r="H2907" i="1"/>
  <c r="K2906" i="1"/>
  <c r="H2906" i="1"/>
  <c r="K2905" i="1"/>
  <c r="H2905" i="1"/>
  <c r="K2904" i="1"/>
  <c r="H2904" i="1"/>
  <c r="K2903" i="1"/>
  <c r="H2903" i="1"/>
  <c r="K2902" i="1"/>
  <c r="H2902" i="1"/>
  <c r="K2901" i="1"/>
  <c r="H2901" i="1"/>
  <c r="K2900" i="1"/>
  <c r="H2900" i="1"/>
  <c r="K2899" i="1"/>
  <c r="H2899" i="1"/>
  <c r="K2898" i="1"/>
  <c r="H2898" i="1"/>
  <c r="K2897" i="1"/>
  <c r="H2897" i="1"/>
  <c r="K2896" i="1"/>
  <c r="H2896" i="1"/>
  <c r="K2895" i="1"/>
  <c r="H2895" i="1"/>
  <c r="K2894" i="1"/>
  <c r="H2894" i="1"/>
  <c r="K2893" i="1"/>
  <c r="H2893" i="1"/>
  <c r="K2892" i="1"/>
  <c r="H2892" i="1"/>
  <c r="K2891" i="1"/>
  <c r="H2891" i="1"/>
  <c r="K2890" i="1"/>
  <c r="H2890" i="1"/>
  <c r="K2889" i="1"/>
  <c r="H2889" i="1"/>
  <c r="K2888" i="1"/>
  <c r="H2888" i="1"/>
  <c r="K2887" i="1"/>
  <c r="H2887" i="1"/>
  <c r="K2886" i="1"/>
  <c r="H2886" i="1"/>
  <c r="K2885" i="1"/>
  <c r="H2885" i="1"/>
  <c r="K2884" i="1"/>
  <c r="H2884" i="1"/>
  <c r="K2883" i="1"/>
  <c r="H2883" i="1"/>
  <c r="K2882" i="1"/>
  <c r="H2882" i="1"/>
  <c r="K2881" i="1"/>
  <c r="H2881" i="1"/>
  <c r="K2880" i="1"/>
  <c r="H2880" i="1"/>
  <c r="K2879" i="1"/>
  <c r="H2879" i="1"/>
  <c r="K2878" i="1"/>
  <c r="H2878" i="1"/>
  <c r="K2877" i="1"/>
  <c r="H2877" i="1"/>
  <c r="K2876" i="1"/>
  <c r="H2876" i="1"/>
  <c r="K2875" i="1"/>
  <c r="H2875" i="1"/>
  <c r="K2874" i="1"/>
  <c r="H2874" i="1"/>
  <c r="K2873" i="1"/>
  <c r="H2873" i="1"/>
  <c r="K2872" i="1"/>
  <c r="H2872" i="1"/>
  <c r="K2871" i="1"/>
  <c r="H2871" i="1"/>
  <c r="K2870" i="1"/>
  <c r="H2870" i="1"/>
  <c r="K2869" i="1"/>
  <c r="H2869" i="1"/>
  <c r="K2868" i="1"/>
  <c r="H2868" i="1"/>
  <c r="K2867" i="1"/>
  <c r="H2867" i="1"/>
  <c r="K2866" i="1"/>
  <c r="H2866" i="1"/>
  <c r="K2865" i="1"/>
  <c r="H2865" i="1"/>
  <c r="K2864" i="1"/>
  <c r="H2864" i="1"/>
  <c r="K2863" i="1"/>
  <c r="H2863" i="1"/>
  <c r="K2862" i="1"/>
  <c r="H2862" i="1"/>
  <c r="K2861" i="1"/>
  <c r="H2861" i="1"/>
  <c r="K2860" i="1"/>
  <c r="H2860" i="1"/>
  <c r="K2859" i="1"/>
  <c r="H2859" i="1"/>
  <c r="K2858" i="1"/>
  <c r="H2858" i="1"/>
  <c r="K2857" i="1"/>
  <c r="H2857" i="1"/>
  <c r="K2856" i="1"/>
  <c r="H2856" i="1"/>
  <c r="K2855" i="1"/>
  <c r="H2855" i="1"/>
  <c r="K2854" i="1"/>
  <c r="H2854" i="1"/>
  <c r="K2853" i="1"/>
  <c r="H2853" i="1"/>
  <c r="K2852" i="1"/>
  <c r="H2852" i="1"/>
  <c r="K2851" i="1"/>
  <c r="H2851" i="1"/>
  <c r="K2850" i="1"/>
  <c r="H2850" i="1"/>
  <c r="K2849" i="1"/>
  <c r="H2849" i="1"/>
  <c r="K2848" i="1"/>
  <c r="H2848" i="1"/>
  <c r="K2847" i="1"/>
  <c r="H2847" i="1"/>
  <c r="K2846" i="1"/>
  <c r="H2846" i="1"/>
  <c r="K2845" i="1"/>
  <c r="H2845" i="1"/>
  <c r="K2844" i="1"/>
  <c r="H2844" i="1"/>
  <c r="K2843" i="1"/>
  <c r="H2843" i="1"/>
  <c r="K2842" i="1"/>
  <c r="H2842" i="1"/>
  <c r="K2841" i="1"/>
  <c r="H2841" i="1"/>
  <c r="K2840" i="1"/>
  <c r="H2840" i="1"/>
  <c r="K2839" i="1"/>
  <c r="H2839" i="1"/>
  <c r="K2838" i="1"/>
  <c r="H2838" i="1"/>
  <c r="K2837" i="1"/>
  <c r="H2837" i="1"/>
  <c r="K2836" i="1"/>
  <c r="H2836" i="1"/>
  <c r="K2835" i="1"/>
  <c r="H2835" i="1"/>
  <c r="K2834" i="1"/>
  <c r="H2834" i="1"/>
  <c r="K2833" i="1"/>
  <c r="H2833" i="1"/>
  <c r="K2832" i="1"/>
  <c r="H2832" i="1"/>
  <c r="K2831" i="1"/>
  <c r="H2831" i="1"/>
  <c r="K2830" i="1"/>
  <c r="H2830" i="1"/>
  <c r="K2829" i="1"/>
  <c r="H2829" i="1"/>
  <c r="K2828" i="1"/>
  <c r="H2828" i="1"/>
  <c r="K2827" i="1"/>
  <c r="H2827" i="1"/>
  <c r="K2826" i="1"/>
  <c r="H2826" i="1"/>
  <c r="K2825" i="1"/>
  <c r="H2825" i="1"/>
  <c r="K2824" i="1"/>
  <c r="H2824" i="1"/>
  <c r="K2823" i="1"/>
  <c r="H2823" i="1"/>
  <c r="K2822" i="1"/>
  <c r="H2822" i="1"/>
  <c r="K2821" i="1"/>
  <c r="H2821" i="1"/>
  <c r="K2820" i="1"/>
  <c r="H2820" i="1"/>
  <c r="K2819" i="1"/>
  <c r="H2819" i="1"/>
  <c r="K2818" i="1"/>
  <c r="H2818" i="1"/>
  <c r="K2817" i="1"/>
  <c r="H2817" i="1"/>
  <c r="K2816" i="1"/>
  <c r="H2816" i="1"/>
  <c r="K2815" i="1"/>
  <c r="H2815" i="1"/>
  <c r="K2814" i="1"/>
  <c r="H2814" i="1"/>
  <c r="K2813" i="1"/>
  <c r="H2813" i="1"/>
  <c r="K2812" i="1"/>
  <c r="H2812" i="1"/>
  <c r="K2811" i="1"/>
  <c r="H2811" i="1"/>
  <c r="K2810" i="1"/>
  <c r="H2810" i="1"/>
  <c r="K2809" i="1"/>
  <c r="H2809" i="1"/>
  <c r="K2808" i="1"/>
  <c r="H2808" i="1"/>
  <c r="K2807" i="1"/>
  <c r="H2807" i="1"/>
  <c r="K2806" i="1"/>
  <c r="H2806" i="1"/>
  <c r="K2805" i="1"/>
  <c r="H2805" i="1"/>
  <c r="K2804" i="1"/>
  <c r="H2804" i="1"/>
  <c r="K2803" i="1"/>
  <c r="H2803" i="1"/>
  <c r="K2802" i="1"/>
  <c r="H2802" i="1"/>
  <c r="K2801" i="1"/>
  <c r="H2801" i="1"/>
  <c r="K2800" i="1"/>
  <c r="H2800" i="1"/>
  <c r="K2799" i="1"/>
  <c r="H2799" i="1"/>
  <c r="K2798" i="1"/>
  <c r="H2798" i="1"/>
  <c r="K2797" i="1"/>
  <c r="H2797" i="1"/>
  <c r="K2796" i="1"/>
  <c r="H2796" i="1"/>
  <c r="K2795" i="1"/>
  <c r="H2795" i="1"/>
  <c r="K2794" i="1"/>
  <c r="H2794" i="1"/>
  <c r="K2793" i="1"/>
  <c r="H2793" i="1"/>
  <c r="K2792" i="1"/>
  <c r="H2792" i="1"/>
  <c r="K2791" i="1"/>
  <c r="H2791" i="1"/>
  <c r="K2790" i="1"/>
  <c r="H2790" i="1"/>
  <c r="K2789" i="1"/>
  <c r="H2789" i="1"/>
  <c r="K2788" i="1"/>
  <c r="H2788" i="1"/>
  <c r="K2787" i="1"/>
  <c r="H2787" i="1"/>
  <c r="K2786" i="1"/>
  <c r="H2786" i="1"/>
  <c r="K2785" i="1"/>
  <c r="H2785" i="1"/>
  <c r="K2784" i="1"/>
  <c r="H2784" i="1"/>
  <c r="K2783" i="1"/>
  <c r="H2783" i="1"/>
  <c r="K2782" i="1"/>
  <c r="H2782" i="1"/>
  <c r="K2781" i="1"/>
  <c r="H2781" i="1"/>
  <c r="K2780" i="1"/>
  <c r="H2780" i="1"/>
  <c r="K2779" i="1"/>
  <c r="H2779" i="1"/>
  <c r="K2778" i="1"/>
  <c r="H2778" i="1"/>
  <c r="K2777" i="1"/>
  <c r="H2777" i="1"/>
  <c r="K2776" i="1"/>
  <c r="H2776" i="1"/>
  <c r="K2775" i="1"/>
  <c r="H2775" i="1"/>
  <c r="K2774" i="1"/>
  <c r="H2774" i="1"/>
  <c r="K2773" i="1"/>
  <c r="H2773" i="1"/>
  <c r="K2772" i="1"/>
  <c r="H2772" i="1"/>
  <c r="K2771" i="1"/>
  <c r="H2771" i="1"/>
  <c r="K2770" i="1"/>
  <c r="H2770" i="1"/>
  <c r="K2769" i="1"/>
  <c r="H2769" i="1"/>
  <c r="K2768" i="1"/>
  <c r="H2768" i="1"/>
  <c r="K2767" i="1"/>
  <c r="H2767" i="1"/>
  <c r="K2766" i="1"/>
  <c r="H2766" i="1"/>
  <c r="K2765" i="1"/>
  <c r="H2765" i="1"/>
  <c r="K2764" i="1"/>
  <c r="H2764" i="1"/>
  <c r="K2763" i="1"/>
  <c r="H2763" i="1"/>
  <c r="K2762" i="1"/>
  <c r="H2762" i="1"/>
  <c r="K2761" i="1"/>
  <c r="H2761" i="1"/>
  <c r="K2760" i="1"/>
  <c r="H2760" i="1"/>
  <c r="K2759" i="1"/>
  <c r="H2759" i="1"/>
  <c r="K2758" i="1"/>
  <c r="H2758" i="1"/>
  <c r="K2757" i="1"/>
  <c r="H2757" i="1"/>
  <c r="K2756" i="1"/>
  <c r="H2756" i="1"/>
  <c r="K2755" i="1"/>
  <c r="H2755" i="1"/>
  <c r="K2754" i="1"/>
  <c r="H2754" i="1"/>
  <c r="K2753" i="1"/>
  <c r="H2753" i="1"/>
  <c r="K2752" i="1"/>
  <c r="H2752" i="1"/>
  <c r="K2751" i="1"/>
  <c r="H2751" i="1"/>
  <c r="K2750" i="1"/>
  <c r="H2750" i="1"/>
  <c r="K2749" i="1"/>
  <c r="H2749" i="1"/>
  <c r="K2748" i="1"/>
  <c r="H2748" i="1"/>
  <c r="K2747" i="1"/>
  <c r="H2747" i="1"/>
  <c r="K2746" i="1"/>
  <c r="H2746" i="1"/>
  <c r="K2745" i="1"/>
  <c r="H2745" i="1"/>
  <c r="K2744" i="1"/>
  <c r="H2744" i="1"/>
  <c r="K2743" i="1"/>
  <c r="H2743" i="1"/>
  <c r="K2742" i="1"/>
  <c r="H2742" i="1"/>
  <c r="K2741" i="1"/>
  <c r="H2741" i="1"/>
  <c r="K2740" i="1"/>
  <c r="H2740" i="1"/>
  <c r="K2739" i="1"/>
  <c r="H2739" i="1"/>
  <c r="K2738" i="1"/>
  <c r="H2738" i="1"/>
  <c r="K2737" i="1"/>
  <c r="H2737" i="1"/>
  <c r="K2736" i="1"/>
  <c r="H2736" i="1"/>
  <c r="K2735" i="1"/>
  <c r="H2735" i="1"/>
  <c r="K2734" i="1"/>
  <c r="H2734" i="1"/>
  <c r="K2733" i="1"/>
  <c r="H2733" i="1"/>
  <c r="K2732" i="1"/>
  <c r="H2732" i="1"/>
  <c r="K2731" i="1"/>
  <c r="H2731" i="1"/>
  <c r="K2730" i="1"/>
  <c r="H2730" i="1"/>
  <c r="K2729" i="1"/>
  <c r="H2729" i="1"/>
  <c r="K2728" i="1"/>
  <c r="H2728" i="1"/>
  <c r="K2727" i="1"/>
  <c r="H2727" i="1"/>
  <c r="K2726" i="1"/>
  <c r="H2726" i="1"/>
  <c r="K2725" i="1"/>
  <c r="H2725" i="1"/>
  <c r="K2724" i="1"/>
  <c r="H2724" i="1"/>
  <c r="K2723" i="1"/>
  <c r="H2723" i="1"/>
  <c r="K2722" i="1"/>
  <c r="H2722" i="1"/>
  <c r="K2721" i="1"/>
  <c r="H2721" i="1"/>
  <c r="K2720" i="1"/>
  <c r="H2720" i="1"/>
  <c r="K2719" i="1"/>
  <c r="H2719" i="1"/>
  <c r="K2718" i="1"/>
  <c r="H2718" i="1"/>
  <c r="K2717" i="1"/>
  <c r="H2717" i="1"/>
  <c r="K2716" i="1"/>
  <c r="H2716" i="1"/>
  <c r="K2715" i="1"/>
  <c r="H2715" i="1"/>
  <c r="K2714" i="1"/>
  <c r="H2714" i="1"/>
  <c r="K2713" i="1"/>
  <c r="H2713" i="1"/>
  <c r="K2712" i="1"/>
  <c r="H2712" i="1"/>
  <c r="K2711" i="1"/>
  <c r="H2711" i="1"/>
  <c r="K2710" i="1"/>
  <c r="H2710" i="1"/>
  <c r="K2709" i="1"/>
  <c r="H2709" i="1"/>
  <c r="K2708" i="1"/>
  <c r="H2708" i="1"/>
  <c r="K2707" i="1"/>
  <c r="H2707" i="1"/>
  <c r="K2706" i="1"/>
  <c r="H2706" i="1"/>
  <c r="K2705" i="1"/>
  <c r="H2705" i="1"/>
  <c r="K2704" i="1"/>
  <c r="H2704" i="1"/>
  <c r="K2703" i="1"/>
  <c r="H2703" i="1"/>
  <c r="K2702" i="1"/>
  <c r="H2702" i="1"/>
  <c r="K2701" i="1"/>
  <c r="H2701" i="1"/>
  <c r="K2700" i="1"/>
  <c r="H2700" i="1"/>
  <c r="K2699" i="1"/>
  <c r="H2699" i="1"/>
  <c r="K2698" i="1"/>
  <c r="H2698" i="1"/>
  <c r="K2697" i="1"/>
  <c r="H2697" i="1"/>
  <c r="K2696" i="1"/>
  <c r="H2696" i="1"/>
  <c r="K2695" i="1"/>
  <c r="H2695" i="1"/>
  <c r="K2694" i="1"/>
  <c r="H2694" i="1"/>
  <c r="K2693" i="1"/>
  <c r="H2693" i="1"/>
  <c r="K2692" i="1"/>
  <c r="H2692" i="1"/>
  <c r="K2691" i="1"/>
  <c r="H2691" i="1"/>
  <c r="K2690" i="1"/>
  <c r="H2690" i="1"/>
  <c r="K2689" i="1"/>
  <c r="H2689" i="1"/>
  <c r="K2688" i="1"/>
  <c r="H2688" i="1"/>
  <c r="K2687" i="1"/>
  <c r="H2687" i="1"/>
  <c r="K2686" i="1"/>
  <c r="H2686" i="1"/>
  <c r="K2685" i="1"/>
  <c r="H2685" i="1"/>
  <c r="K2684" i="1"/>
  <c r="H2684" i="1"/>
  <c r="K2683" i="1"/>
  <c r="H2683" i="1"/>
  <c r="K2682" i="1"/>
  <c r="H2682" i="1"/>
  <c r="K2681" i="1"/>
  <c r="H2681" i="1"/>
  <c r="K2680" i="1"/>
  <c r="H2680" i="1"/>
  <c r="K2679" i="1"/>
  <c r="H2679" i="1"/>
  <c r="K2678" i="1"/>
  <c r="H2678" i="1"/>
  <c r="K2677" i="1"/>
  <c r="H2677" i="1"/>
  <c r="K2676" i="1"/>
  <c r="H2676" i="1"/>
  <c r="K2675" i="1"/>
  <c r="H2675" i="1"/>
  <c r="K2674" i="1"/>
  <c r="H2674" i="1"/>
  <c r="K2673" i="1"/>
  <c r="H2673" i="1"/>
  <c r="K2672" i="1"/>
  <c r="H2672" i="1"/>
  <c r="K2671" i="1"/>
  <c r="H2671" i="1"/>
  <c r="K2670" i="1"/>
  <c r="H2670" i="1"/>
  <c r="K2669" i="1"/>
  <c r="H2669" i="1"/>
  <c r="K2668" i="1"/>
  <c r="H2668" i="1"/>
  <c r="K2667" i="1"/>
  <c r="H2667" i="1"/>
  <c r="K2666" i="1"/>
  <c r="H2666" i="1"/>
  <c r="K2665" i="1"/>
  <c r="H2665" i="1"/>
  <c r="K2664" i="1"/>
  <c r="H2664" i="1"/>
  <c r="K2663" i="1"/>
  <c r="H2663" i="1"/>
  <c r="K2662" i="1"/>
  <c r="H2662" i="1"/>
  <c r="K2661" i="1"/>
  <c r="H2661" i="1"/>
  <c r="K2660" i="1"/>
  <c r="H2660" i="1"/>
  <c r="K2659" i="1"/>
  <c r="H2659" i="1"/>
  <c r="K2658" i="1"/>
  <c r="H2658" i="1"/>
  <c r="K2657" i="1"/>
  <c r="H2657" i="1"/>
  <c r="K2656" i="1"/>
  <c r="H2656" i="1"/>
  <c r="K2655" i="1"/>
  <c r="H2655" i="1"/>
  <c r="K2654" i="1"/>
  <c r="H2654" i="1"/>
  <c r="K2653" i="1"/>
  <c r="H2653" i="1"/>
  <c r="K2652" i="1"/>
  <c r="H2652" i="1"/>
  <c r="K2651" i="1"/>
  <c r="H2651" i="1"/>
  <c r="K2650" i="1"/>
  <c r="H2650" i="1"/>
  <c r="K2649" i="1"/>
  <c r="H2649" i="1"/>
  <c r="K2648" i="1"/>
  <c r="H2648" i="1"/>
  <c r="K2647" i="1"/>
  <c r="H2647" i="1"/>
  <c r="K2646" i="1"/>
  <c r="H2646" i="1"/>
  <c r="K2645" i="1"/>
  <c r="H2645" i="1"/>
  <c r="K2644" i="1"/>
  <c r="H2644" i="1"/>
  <c r="K2643" i="1"/>
  <c r="H2643" i="1"/>
  <c r="K2642" i="1"/>
  <c r="H2642" i="1"/>
  <c r="K2641" i="1"/>
  <c r="H2641" i="1"/>
  <c r="K2640" i="1"/>
  <c r="H2640" i="1"/>
  <c r="K2639" i="1"/>
  <c r="H2639" i="1"/>
  <c r="K2638" i="1"/>
  <c r="H2638" i="1"/>
  <c r="K2637" i="1"/>
  <c r="H2637" i="1"/>
  <c r="K2636" i="1"/>
  <c r="H2636" i="1"/>
  <c r="K2635" i="1"/>
  <c r="H2635" i="1"/>
  <c r="K2634" i="1"/>
  <c r="H2634" i="1"/>
  <c r="K2633" i="1"/>
  <c r="H2633" i="1"/>
  <c r="K2632" i="1"/>
  <c r="H2632" i="1"/>
  <c r="K2631" i="1"/>
  <c r="H2631" i="1"/>
  <c r="K2630" i="1"/>
  <c r="H2630" i="1"/>
  <c r="K2629" i="1"/>
  <c r="H2629" i="1"/>
  <c r="K2628" i="1"/>
  <c r="H2628" i="1"/>
  <c r="K2627" i="1"/>
  <c r="H2627" i="1"/>
  <c r="K2626" i="1"/>
  <c r="H2626" i="1"/>
  <c r="K2625" i="1"/>
  <c r="H2625" i="1"/>
  <c r="K2624" i="1"/>
  <c r="H2624" i="1"/>
  <c r="K2623" i="1"/>
  <c r="H2623" i="1"/>
  <c r="K2622" i="1"/>
  <c r="H2622" i="1"/>
  <c r="K2621" i="1"/>
  <c r="H2621" i="1"/>
  <c r="K2620" i="1"/>
  <c r="H2620" i="1"/>
  <c r="K2619" i="1"/>
  <c r="H2619" i="1"/>
  <c r="K2618" i="1"/>
  <c r="H2618" i="1"/>
  <c r="K2617" i="1"/>
  <c r="H2617" i="1"/>
  <c r="K2616" i="1"/>
  <c r="H2616" i="1"/>
  <c r="K2615" i="1"/>
  <c r="H2615" i="1"/>
  <c r="K2614" i="1"/>
  <c r="H2614" i="1"/>
  <c r="K2613" i="1"/>
  <c r="H2613" i="1"/>
  <c r="K2612" i="1"/>
  <c r="H2612" i="1"/>
  <c r="K2611" i="1"/>
  <c r="H2611" i="1"/>
  <c r="K2610" i="1"/>
  <c r="H2610" i="1"/>
  <c r="K2609" i="1"/>
  <c r="H2609" i="1"/>
  <c r="K2608" i="1"/>
  <c r="H2608" i="1"/>
  <c r="K2607" i="1"/>
  <c r="H2607" i="1"/>
  <c r="K2606" i="1"/>
  <c r="H2606" i="1"/>
  <c r="K2605" i="1"/>
  <c r="H2605" i="1"/>
  <c r="K2604" i="1"/>
  <c r="H2604" i="1"/>
  <c r="K2603" i="1"/>
  <c r="H2603" i="1"/>
  <c r="K2602" i="1"/>
  <c r="H2602" i="1"/>
  <c r="K2601" i="1"/>
  <c r="H2601" i="1"/>
  <c r="K2600" i="1"/>
  <c r="H2600" i="1"/>
  <c r="K2599" i="1"/>
  <c r="H2599" i="1"/>
  <c r="K2598" i="1"/>
  <c r="H2598" i="1"/>
  <c r="K2597" i="1"/>
  <c r="H2597" i="1"/>
  <c r="K2596" i="1"/>
  <c r="H2596" i="1"/>
  <c r="K2595" i="1"/>
  <c r="H2595" i="1"/>
  <c r="K2594" i="1"/>
  <c r="H2594" i="1"/>
  <c r="K2593" i="1"/>
  <c r="H2593" i="1"/>
  <c r="K2592" i="1"/>
  <c r="H2592" i="1"/>
  <c r="K2591" i="1"/>
  <c r="H2591" i="1"/>
  <c r="K2590" i="1"/>
  <c r="H2590" i="1"/>
  <c r="K2589" i="1"/>
  <c r="H2589" i="1"/>
  <c r="K2588" i="1"/>
  <c r="H2588" i="1"/>
  <c r="K2587" i="1"/>
  <c r="H2587" i="1"/>
  <c r="K2586" i="1"/>
  <c r="H2586" i="1"/>
  <c r="K2585" i="1"/>
  <c r="H2585" i="1"/>
  <c r="K2584" i="1"/>
  <c r="H2584" i="1"/>
  <c r="K2583" i="1"/>
  <c r="H2583" i="1"/>
  <c r="K2582" i="1"/>
  <c r="H2582" i="1"/>
  <c r="K2581" i="1"/>
  <c r="H2581" i="1"/>
  <c r="K2580" i="1"/>
  <c r="H2580" i="1"/>
  <c r="K2579" i="1"/>
  <c r="H2579" i="1"/>
  <c r="K2578" i="1"/>
  <c r="H2578" i="1"/>
  <c r="K2577" i="1"/>
  <c r="H2577" i="1"/>
  <c r="K2576" i="1"/>
  <c r="H2576" i="1"/>
  <c r="K2575" i="1"/>
  <c r="H2575" i="1"/>
  <c r="K2574" i="1"/>
  <c r="H2574" i="1"/>
  <c r="K2573" i="1"/>
  <c r="H2573" i="1"/>
  <c r="K2572" i="1"/>
  <c r="H2572" i="1"/>
  <c r="K2571" i="1"/>
  <c r="H2571" i="1"/>
  <c r="K2570" i="1"/>
  <c r="H2570" i="1"/>
  <c r="K2569" i="1"/>
  <c r="H2569" i="1"/>
  <c r="K2568" i="1"/>
  <c r="H2568" i="1"/>
  <c r="K2567" i="1"/>
  <c r="H2567" i="1"/>
  <c r="K2566" i="1"/>
  <c r="H2566" i="1"/>
  <c r="K2565" i="1"/>
  <c r="H2565" i="1"/>
  <c r="K2564" i="1"/>
  <c r="H2564" i="1"/>
  <c r="K2563" i="1"/>
  <c r="H2563" i="1"/>
  <c r="K2562" i="1"/>
  <c r="H2562" i="1"/>
  <c r="K2561" i="1"/>
  <c r="H2561" i="1"/>
  <c r="K2560" i="1"/>
  <c r="H2560" i="1"/>
  <c r="K2559" i="1"/>
  <c r="H2559" i="1"/>
  <c r="K2558" i="1"/>
  <c r="H2558" i="1"/>
  <c r="K2557" i="1"/>
  <c r="H2557" i="1"/>
  <c r="K2556" i="1"/>
  <c r="H2556" i="1"/>
  <c r="K2555" i="1"/>
  <c r="H2555" i="1"/>
  <c r="K2554" i="1"/>
  <c r="H2554" i="1"/>
  <c r="K2553" i="1"/>
  <c r="H2553" i="1"/>
  <c r="K2552" i="1"/>
  <c r="H2552" i="1"/>
  <c r="K2551" i="1"/>
  <c r="H2551" i="1"/>
  <c r="K2550" i="1"/>
  <c r="H2550" i="1"/>
  <c r="K2549" i="1"/>
  <c r="H2549" i="1"/>
  <c r="K2548" i="1"/>
  <c r="H2548" i="1"/>
  <c r="K2547" i="1"/>
  <c r="H2547" i="1"/>
  <c r="K2546" i="1"/>
  <c r="H2546" i="1"/>
  <c r="K2545" i="1"/>
  <c r="H2545" i="1"/>
  <c r="K2544" i="1"/>
  <c r="H2544" i="1"/>
  <c r="K2543" i="1"/>
  <c r="H2543" i="1"/>
  <c r="K2542" i="1"/>
  <c r="H2542" i="1"/>
  <c r="K2541" i="1"/>
  <c r="H2541" i="1"/>
  <c r="K2540" i="1"/>
  <c r="H2540" i="1"/>
  <c r="K2539" i="1"/>
  <c r="H2539" i="1"/>
  <c r="K2538" i="1"/>
  <c r="H2538" i="1"/>
  <c r="K2537" i="1"/>
  <c r="H2537" i="1"/>
  <c r="K2536" i="1"/>
  <c r="H2536" i="1"/>
  <c r="K2535" i="1"/>
  <c r="H2535" i="1"/>
  <c r="K2534" i="1"/>
  <c r="H2534" i="1"/>
  <c r="K2533" i="1"/>
  <c r="H2533" i="1"/>
  <c r="K2532" i="1"/>
  <c r="H2532" i="1"/>
  <c r="K2531" i="1"/>
  <c r="H2531" i="1"/>
  <c r="K2530" i="1"/>
  <c r="H2530" i="1"/>
  <c r="K2529" i="1"/>
  <c r="H2529" i="1"/>
  <c r="K2528" i="1"/>
  <c r="H2528" i="1"/>
  <c r="K2527" i="1"/>
  <c r="H2527" i="1"/>
  <c r="K2526" i="1"/>
  <c r="H2526" i="1"/>
  <c r="K2525" i="1"/>
  <c r="H2525" i="1"/>
  <c r="K2524" i="1"/>
  <c r="H2524" i="1"/>
  <c r="K2523" i="1"/>
  <c r="H2523" i="1"/>
  <c r="K2522" i="1"/>
  <c r="H2522" i="1"/>
  <c r="K2521" i="1"/>
  <c r="H2521" i="1"/>
  <c r="K2520" i="1"/>
  <c r="H2520" i="1"/>
  <c r="K2519" i="1"/>
  <c r="H2519" i="1"/>
  <c r="K2518" i="1"/>
  <c r="H2518" i="1"/>
  <c r="K2517" i="1"/>
  <c r="H2517" i="1"/>
  <c r="K2516" i="1"/>
  <c r="H2516" i="1"/>
  <c r="K2515" i="1"/>
  <c r="H2515" i="1"/>
  <c r="K2514" i="1"/>
  <c r="H2514" i="1"/>
  <c r="K2513" i="1"/>
  <c r="H2513" i="1"/>
  <c r="K2512" i="1"/>
  <c r="H2512" i="1"/>
  <c r="K2511" i="1"/>
  <c r="H2511" i="1"/>
  <c r="K2510" i="1"/>
  <c r="H2510" i="1"/>
  <c r="K2509" i="1"/>
  <c r="H2509" i="1"/>
  <c r="K2508" i="1"/>
  <c r="H2508" i="1"/>
  <c r="K2507" i="1"/>
  <c r="H2507" i="1"/>
  <c r="K2506" i="1"/>
  <c r="H2506" i="1"/>
  <c r="K2505" i="1"/>
  <c r="H2505" i="1"/>
  <c r="K2504" i="1"/>
  <c r="H2504" i="1"/>
  <c r="K2503" i="1"/>
  <c r="H2503" i="1"/>
  <c r="K2502" i="1"/>
  <c r="H2502" i="1"/>
  <c r="K2501" i="1"/>
  <c r="H2501" i="1"/>
  <c r="K2500" i="1"/>
  <c r="H2500" i="1"/>
  <c r="K2499" i="1"/>
  <c r="H2499" i="1"/>
  <c r="K2498" i="1"/>
  <c r="H2498" i="1"/>
  <c r="K2497" i="1"/>
  <c r="H2497" i="1"/>
  <c r="K2496" i="1"/>
  <c r="H2496" i="1"/>
  <c r="K2495" i="1"/>
  <c r="H2495" i="1"/>
  <c r="K2494" i="1"/>
  <c r="H2494" i="1"/>
  <c r="K2493" i="1"/>
  <c r="H2493" i="1"/>
  <c r="K2492" i="1"/>
  <c r="H2492" i="1"/>
  <c r="K2491" i="1"/>
  <c r="H2491" i="1"/>
  <c r="K2490" i="1"/>
  <c r="H2490" i="1"/>
  <c r="K2489" i="1"/>
  <c r="H2489" i="1"/>
  <c r="K2488" i="1"/>
  <c r="H2488" i="1"/>
  <c r="K2487" i="1"/>
  <c r="H2487" i="1"/>
  <c r="K2486" i="1"/>
  <c r="H2486" i="1"/>
  <c r="K2485" i="1"/>
  <c r="H2485" i="1"/>
  <c r="K2484" i="1"/>
  <c r="H2484" i="1"/>
  <c r="K2483" i="1"/>
  <c r="H2483" i="1"/>
  <c r="K2482" i="1"/>
  <c r="H2482" i="1"/>
  <c r="K2481" i="1"/>
  <c r="H2481" i="1"/>
  <c r="K2480" i="1"/>
  <c r="H2480" i="1"/>
  <c r="K2479" i="1"/>
  <c r="H2479" i="1"/>
  <c r="K2478" i="1"/>
  <c r="H2478" i="1"/>
  <c r="K2477" i="1"/>
  <c r="H2477" i="1"/>
  <c r="K2476" i="1"/>
  <c r="H2476" i="1"/>
  <c r="K2475" i="1"/>
  <c r="H2475" i="1"/>
  <c r="K2474" i="1"/>
  <c r="H2474" i="1"/>
  <c r="K2473" i="1"/>
  <c r="H2473" i="1"/>
  <c r="K2472" i="1"/>
  <c r="H2472" i="1"/>
  <c r="K2471" i="1"/>
  <c r="H2471" i="1"/>
  <c r="K2470" i="1"/>
  <c r="H2470" i="1"/>
  <c r="K2469" i="1"/>
  <c r="H2469" i="1"/>
  <c r="K2468" i="1"/>
  <c r="H2468" i="1"/>
  <c r="K2467" i="1"/>
  <c r="H2467" i="1"/>
  <c r="K2466" i="1"/>
  <c r="H2466" i="1"/>
  <c r="K2465" i="1"/>
  <c r="H2465" i="1"/>
  <c r="K2464" i="1"/>
  <c r="H2464" i="1"/>
  <c r="K2463" i="1"/>
  <c r="H2463" i="1"/>
  <c r="K2462" i="1"/>
  <c r="H2462" i="1"/>
  <c r="K2461" i="1"/>
  <c r="H2461" i="1"/>
  <c r="K2460" i="1"/>
  <c r="H2460" i="1"/>
  <c r="K2459" i="1"/>
  <c r="H2459" i="1"/>
  <c r="K2458" i="1"/>
  <c r="H2458" i="1"/>
  <c r="K2457" i="1"/>
  <c r="H2457" i="1"/>
  <c r="K2456" i="1"/>
  <c r="H2456" i="1"/>
  <c r="K2455" i="1"/>
  <c r="H2455" i="1"/>
  <c r="K2454" i="1"/>
  <c r="H2454" i="1"/>
  <c r="K2453" i="1"/>
  <c r="H2453" i="1"/>
  <c r="K2452" i="1"/>
  <c r="H2452" i="1"/>
  <c r="K2451" i="1"/>
  <c r="H2451" i="1"/>
  <c r="K2450" i="1"/>
  <c r="H2450" i="1"/>
  <c r="K2449" i="1"/>
  <c r="H2449" i="1"/>
  <c r="K2448" i="1"/>
  <c r="H2448" i="1"/>
  <c r="K2447" i="1"/>
  <c r="H2447" i="1"/>
  <c r="K2446" i="1"/>
  <c r="H2446" i="1"/>
  <c r="K2445" i="1"/>
  <c r="H2445" i="1"/>
  <c r="K2444" i="1"/>
  <c r="H2444" i="1"/>
  <c r="K2443" i="1"/>
  <c r="H2443" i="1"/>
  <c r="K2442" i="1"/>
  <c r="H2442" i="1"/>
  <c r="K2441" i="1"/>
  <c r="H2441" i="1"/>
  <c r="K2440" i="1"/>
  <c r="H2440" i="1"/>
  <c r="K2439" i="1"/>
  <c r="H2439" i="1"/>
  <c r="K2438" i="1"/>
  <c r="H2438" i="1"/>
  <c r="K2437" i="1"/>
  <c r="H2437" i="1"/>
  <c r="K2436" i="1"/>
  <c r="H2436" i="1"/>
  <c r="K2435" i="1"/>
  <c r="H2435" i="1"/>
  <c r="K2434" i="1"/>
  <c r="H2434" i="1"/>
  <c r="K2433" i="1"/>
  <c r="H2433" i="1"/>
  <c r="K2432" i="1"/>
  <c r="H2432" i="1"/>
  <c r="K2431" i="1"/>
  <c r="H2431" i="1"/>
  <c r="K2430" i="1"/>
  <c r="H2430" i="1"/>
  <c r="K2429" i="1"/>
  <c r="H2429" i="1"/>
  <c r="K2428" i="1"/>
  <c r="H2428" i="1"/>
  <c r="K2427" i="1"/>
  <c r="H2427" i="1"/>
  <c r="K2426" i="1"/>
  <c r="H2426" i="1"/>
  <c r="K2425" i="1"/>
  <c r="H2425" i="1"/>
  <c r="K2424" i="1"/>
  <c r="H2424" i="1"/>
  <c r="K2423" i="1"/>
  <c r="H2423" i="1"/>
  <c r="K2422" i="1"/>
  <c r="H2422" i="1"/>
  <c r="K2421" i="1"/>
  <c r="H2421" i="1"/>
  <c r="K2420" i="1"/>
  <c r="H2420" i="1"/>
  <c r="K2419" i="1"/>
  <c r="H2419" i="1"/>
  <c r="K2418" i="1"/>
  <c r="H2418" i="1"/>
  <c r="K2417" i="1"/>
  <c r="H2417" i="1"/>
  <c r="K2416" i="1"/>
  <c r="H2416" i="1"/>
  <c r="K2415" i="1"/>
  <c r="H2415" i="1"/>
  <c r="K2414" i="1"/>
  <c r="H2414" i="1"/>
  <c r="K2413" i="1"/>
  <c r="H2413" i="1"/>
  <c r="K2412" i="1"/>
  <c r="H2412" i="1"/>
  <c r="K2411" i="1"/>
  <c r="H2411" i="1"/>
  <c r="K2410" i="1"/>
  <c r="H2410" i="1"/>
  <c r="K2409" i="1"/>
  <c r="H2409" i="1"/>
  <c r="K2408" i="1"/>
  <c r="H2408" i="1"/>
  <c r="K2407" i="1"/>
  <c r="H2407" i="1"/>
  <c r="K2406" i="1"/>
  <c r="H2406" i="1"/>
  <c r="K2405" i="1"/>
  <c r="H2405" i="1"/>
  <c r="K2404" i="1"/>
  <c r="H2404" i="1"/>
  <c r="K2403" i="1"/>
  <c r="H2403" i="1"/>
  <c r="K2402" i="1"/>
  <c r="H2402" i="1"/>
  <c r="K2401" i="1"/>
  <c r="H2401" i="1"/>
  <c r="K2400" i="1"/>
  <c r="H2400" i="1"/>
  <c r="K2399" i="1"/>
  <c r="H2399" i="1"/>
  <c r="K2398" i="1"/>
  <c r="H2398" i="1"/>
  <c r="K2397" i="1"/>
  <c r="H2397" i="1"/>
  <c r="K2396" i="1"/>
  <c r="H2396" i="1"/>
  <c r="K2395" i="1"/>
  <c r="H2395" i="1"/>
  <c r="K2394" i="1"/>
  <c r="H2394" i="1"/>
  <c r="K2393" i="1"/>
  <c r="H2393" i="1"/>
  <c r="K2392" i="1"/>
  <c r="H2392" i="1"/>
  <c r="K2391" i="1"/>
  <c r="H2391" i="1"/>
  <c r="K2390" i="1"/>
  <c r="H2390" i="1"/>
  <c r="K2389" i="1"/>
  <c r="H2389" i="1"/>
  <c r="K2388" i="1"/>
  <c r="H2388" i="1"/>
  <c r="K2387" i="1"/>
  <c r="H2387" i="1"/>
  <c r="K2386" i="1"/>
  <c r="H2386" i="1"/>
  <c r="K2385" i="1"/>
  <c r="H2385" i="1"/>
  <c r="K2384" i="1"/>
  <c r="H2384" i="1"/>
  <c r="K2383" i="1"/>
  <c r="H2383" i="1"/>
  <c r="K2382" i="1"/>
  <c r="H2382" i="1"/>
  <c r="K2381" i="1"/>
  <c r="H2381" i="1"/>
  <c r="K2380" i="1"/>
  <c r="H2380" i="1"/>
  <c r="K2379" i="1"/>
  <c r="H2379" i="1"/>
  <c r="K2378" i="1"/>
  <c r="H2378" i="1"/>
  <c r="K2377" i="1"/>
  <c r="H2377" i="1"/>
  <c r="K2376" i="1"/>
  <c r="H2376" i="1"/>
  <c r="K2375" i="1"/>
  <c r="H2375" i="1"/>
  <c r="K2374" i="1"/>
  <c r="H2374" i="1"/>
  <c r="K2373" i="1"/>
  <c r="H2373" i="1"/>
  <c r="K2372" i="1"/>
  <c r="H2372" i="1"/>
  <c r="K2371" i="1"/>
  <c r="H2371" i="1"/>
  <c r="K2370" i="1"/>
  <c r="H2370" i="1"/>
  <c r="K2369" i="1"/>
  <c r="H2369" i="1"/>
  <c r="K2368" i="1"/>
  <c r="H2368" i="1"/>
  <c r="K2367" i="1"/>
  <c r="H2367" i="1"/>
  <c r="K2366" i="1"/>
  <c r="H2366" i="1"/>
  <c r="K2365" i="1"/>
  <c r="H2365" i="1"/>
  <c r="K2364" i="1"/>
  <c r="H2364" i="1"/>
  <c r="K2363" i="1"/>
  <c r="H2363" i="1"/>
  <c r="K2362" i="1"/>
  <c r="H2362" i="1"/>
  <c r="K2361" i="1"/>
  <c r="H2361" i="1"/>
  <c r="K2360" i="1"/>
  <c r="H2360" i="1"/>
  <c r="K2359" i="1"/>
  <c r="H2359" i="1"/>
  <c r="K2358" i="1"/>
  <c r="H2358" i="1"/>
  <c r="K2357" i="1"/>
  <c r="H2357" i="1"/>
  <c r="K2356" i="1"/>
  <c r="H2356" i="1"/>
  <c r="K2355" i="1"/>
  <c r="H2355" i="1"/>
  <c r="K2354" i="1"/>
  <c r="H2354" i="1"/>
  <c r="K2353" i="1"/>
  <c r="H2353" i="1"/>
  <c r="K2352" i="1"/>
  <c r="H2352" i="1"/>
  <c r="K2351" i="1"/>
  <c r="H2351" i="1"/>
  <c r="K2350" i="1"/>
  <c r="H2350" i="1"/>
  <c r="K2349" i="1"/>
  <c r="H2349" i="1"/>
  <c r="K2348" i="1"/>
  <c r="H2348" i="1"/>
  <c r="K2347" i="1"/>
  <c r="H2347" i="1"/>
  <c r="K2346" i="1"/>
  <c r="H2346" i="1"/>
  <c r="K2345" i="1"/>
  <c r="H2345" i="1"/>
  <c r="K2344" i="1"/>
  <c r="H2344" i="1"/>
  <c r="K2343" i="1"/>
  <c r="H2343" i="1"/>
  <c r="K2342" i="1"/>
  <c r="H2342" i="1"/>
  <c r="K2341" i="1"/>
  <c r="H2341" i="1"/>
  <c r="K2340" i="1"/>
  <c r="H2340" i="1"/>
  <c r="K2339" i="1"/>
  <c r="H2339" i="1"/>
  <c r="K2338" i="1"/>
  <c r="H2338" i="1"/>
  <c r="K2337" i="1"/>
  <c r="H2337" i="1"/>
  <c r="K2336" i="1"/>
  <c r="H2336" i="1"/>
  <c r="K2335" i="1"/>
  <c r="H2335" i="1"/>
  <c r="K2334" i="1"/>
  <c r="H2334" i="1"/>
  <c r="K2333" i="1"/>
  <c r="H2333" i="1"/>
  <c r="K2332" i="1"/>
  <c r="H2332" i="1"/>
  <c r="K2331" i="1"/>
  <c r="H2331" i="1"/>
  <c r="K2330" i="1"/>
  <c r="H2330" i="1"/>
  <c r="K2329" i="1"/>
  <c r="H2329" i="1"/>
  <c r="K2328" i="1"/>
  <c r="H2328" i="1"/>
  <c r="K2327" i="1"/>
  <c r="H2327" i="1"/>
  <c r="K2326" i="1"/>
  <c r="H2326" i="1"/>
  <c r="K2325" i="1"/>
  <c r="H2325" i="1"/>
  <c r="K2324" i="1"/>
  <c r="H2324" i="1"/>
  <c r="K2323" i="1"/>
  <c r="H2323" i="1"/>
  <c r="K2322" i="1"/>
  <c r="H2322" i="1"/>
  <c r="K2321" i="1"/>
  <c r="H2321" i="1"/>
  <c r="K2320" i="1"/>
  <c r="H2320" i="1"/>
  <c r="K2319" i="1"/>
  <c r="H2319" i="1"/>
  <c r="K2318" i="1"/>
  <c r="H2318" i="1"/>
  <c r="K2317" i="1"/>
  <c r="H2317" i="1"/>
  <c r="K2316" i="1"/>
  <c r="H2316" i="1"/>
  <c r="K2315" i="1"/>
  <c r="H2315" i="1"/>
  <c r="K2314" i="1"/>
  <c r="H2314" i="1"/>
  <c r="K2313" i="1"/>
  <c r="H2313" i="1"/>
  <c r="K2312" i="1"/>
  <c r="H2312" i="1"/>
  <c r="K2311" i="1"/>
  <c r="H2311" i="1"/>
  <c r="K2310" i="1"/>
  <c r="H2310" i="1"/>
  <c r="K2309" i="1"/>
  <c r="H2309" i="1"/>
  <c r="K2308" i="1"/>
  <c r="H2308" i="1"/>
  <c r="K2307" i="1"/>
  <c r="H2307" i="1"/>
  <c r="K2306" i="1"/>
  <c r="H2306" i="1"/>
  <c r="K2305" i="1"/>
  <c r="H2305" i="1"/>
  <c r="K2304" i="1"/>
  <c r="H2304" i="1"/>
  <c r="K2303" i="1"/>
  <c r="H2303" i="1"/>
  <c r="K2302" i="1"/>
  <c r="H2302" i="1"/>
  <c r="K2301" i="1"/>
  <c r="H2301" i="1"/>
  <c r="K2300" i="1"/>
  <c r="H2300" i="1"/>
  <c r="K2299" i="1"/>
  <c r="H2299" i="1"/>
  <c r="K2298" i="1"/>
  <c r="H2298" i="1"/>
  <c r="K2297" i="1"/>
  <c r="H2297" i="1"/>
  <c r="K2296" i="1"/>
  <c r="H2296" i="1"/>
  <c r="K2295" i="1"/>
  <c r="H2295" i="1"/>
  <c r="K2294" i="1"/>
  <c r="H2294" i="1"/>
  <c r="K2293" i="1"/>
  <c r="H2293" i="1"/>
  <c r="K2292" i="1"/>
  <c r="H2292" i="1"/>
  <c r="K2291" i="1"/>
  <c r="H2291" i="1"/>
  <c r="K2290" i="1"/>
  <c r="H2290" i="1"/>
  <c r="K2289" i="1"/>
  <c r="H2289" i="1"/>
  <c r="K2288" i="1"/>
  <c r="H2288" i="1"/>
  <c r="K2287" i="1"/>
  <c r="H2287" i="1"/>
  <c r="K2286" i="1"/>
  <c r="H2286" i="1"/>
  <c r="K2285" i="1"/>
  <c r="H2285" i="1"/>
  <c r="K2284" i="1"/>
  <c r="H2284" i="1"/>
  <c r="K2283" i="1"/>
  <c r="H2283" i="1"/>
  <c r="K2282" i="1"/>
  <c r="H2282" i="1"/>
  <c r="K2281" i="1"/>
  <c r="H2281" i="1"/>
  <c r="K2280" i="1"/>
  <c r="H2280" i="1"/>
  <c r="K2279" i="1"/>
  <c r="H2279" i="1"/>
  <c r="K2278" i="1"/>
  <c r="H2278" i="1"/>
  <c r="K2277" i="1"/>
  <c r="H2277" i="1"/>
  <c r="K2276" i="1"/>
  <c r="H2276" i="1"/>
  <c r="K2275" i="1"/>
  <c r="H2275" i="1"/>
  <c r="K2274" i="1"/>
  <c r="H2274" i="1"/>
  <c r="K2273" i="1"/>
  <c r="H2273" i="1"/>
  <c r="K2272" i="1"/>
  <c r="H2272" i="1"/>
  <c r="K2271" i="1"/>
  <c r="H2271" i="1"/>
  <c r="K2270" i="1"/>
  <c r="H2270" i="1"/>
  <c r="K2269" i="1"/>
  <c r="H2269" i="1"/>
  <c r="K2268" i="1"/>
  <c r="H2268" i="1"/>
  <c r="K2267" i="1"/>
  <c r="H2267" i="1"/>
  <c r="K2266" i="1"/>
  <c r="H2266" i="1"/>
  <c r="K2265" i="1"/>
  <c r="H2265" i="1"/>
  <c r="K2264" i="1"/>
  <c r="H2264" i="1"/>
  <c r="K2263" i="1"/>
  <c r="H2263" i="1"/>
  <c r="K2262" i="1"/>
  <c r="H2262" i="1"/>
  <c r="K2261" i="1"/>
  <c r="H2261" i="1"/>
  <c r="K2260" i="1"/>
  <c r="H2260" i="1"/>
  <c r="K2259" i="1"/>
  <c r="H2259" i="1"/>
  <c r="K2258" i="1"/>
  <c r="H2258" i="1"/>
  <c r="K2257" i="1"/>
  <c r="H2257" i="1"/>
  <c r="K2256" i="1"/>
  <c r="H2256" i="1"/>
  <c r="K2255" i="1"/>
  <c r="H2255" i="1"/>
  <c r="K2254" i="1"/>
  <c r="H2254" i="1"/>
  <c r="K2253" i="1"/>
  <c r="H2253" i="1"/>
  <c r="K2252" i="1"/>
  <c r="H2252" i="1"/>
  <c r="K2251" i="1"/>
  <c r="H2251" i="1"/>
  <c r="K2250" i="1"/>
  <c r="H2250" i="1"/>
  <c r="K2249" i="1"/>
  <c r="H2249" i="1"/>
  <c r="K2248" i="1"/>
  <c r="H2248" i="1"/>
  <c r="K2247" i="1"/>
  <c r="H2247" i="1"/>
  <c r="K2246" i="1"/>
  <c r="H2246" i="1"/>
  <c r="K2245" i="1"/>
  <c r="H2245" i="1"/>
  <c r="K2244" i="1"/>
  <c r="H2244" i="1"/>
  <c r="K2243" i="1"/>
  <c r="H2243" i="1"/>
  <c r="K2242" i="1"/>
  <c r="H2242" i="1"/>
  <c r="K2241" i="1"/>
  <c r="H2241" i="1"/>
  <c r="K2240" i="1"/>
  <c r="H2240" i="1"/>
  <c r="K2239" i="1"/>
  <c r="H2239" i="1"/>
  <c r="K2238" i="1"/>
  <c r="H2238" i="1"/>
  <c r="K2237" i="1"/>
  <c r="H2237" i="1"/>
  <c r="K2236" i="1"/>
  <c r="H2236" i="1"/>
  <c r="K2235" i="1"/>
  <c r="H2235" i="1"/>
  <c r="K2234" i="1"/>
  <c r="H2234" i="1"/>
  <c r="K2233" i="1"/>
  <c r="H2233" i="1"/>
  <c r="K2232" i="1"/>
  <c r="H2232" i="1"/>
  <c r="K2231" i="1"/>
  <c r="H2231" i="1"/>
  <c r="K2230" i="1"/>
  <c r="H2230" i="1"/>
  <c r="K2229" i="1"/>
  <c r="H2229" i="1"/>
  <c r="K2228" i="1"/>
  <c r="H2228" i="1"/>
  <c r="K2227" i="1"/>
  <c r="H2227" i="1"/>
  <c r="K2226" i="1"/>
  <c r="H2226" i="1"/>
  <c r="K2225" i="1"/>
  <c r="H2225" i="1"/>
  <c r="K2224" i="1"/>
  <c r="H2224" i="1"/>
  <c r="K2223" i="1"/>
  <c r="H2223" i="1"/>
  <c r="K2222" i="1"/>
  <c r="H2222" i="1"/>
  <c r="K2221" i="1"/>
  <c r="H2221" i="1"/>
  <c r="K2220" i="1"/>
  <c r="H2220" i="1"/>
  <c r="K2219" i="1"/>
  <c r="H2219" i="1"/>
  <c r="K2218" i="1"/>
  <c r="H2218" i="1"/>
  <c r="K2217" i="1"/>
  <c r="H2217" i="1"/>
  <c r="K2216" i="1"/>
  <c r="H2216" i="1"/>
  <c r="K2215" i="1"/>
  <c r="H2215" i="1"/>
  <c r="K2214" i="1"/>
  <c r="H2214" i="1"/>
  <c r="K2213" i="1"/>
  <c r="H2213" i="1"/>
  <c r="K2212" i="1"/>
  <c r="H2212" i="1"/>
  <c r="K2211" i="1"/>
  <c r="H2211" i="1"/>
  <c r="K2210" i="1"/>
  <c r="H2210" i="1"/>
  <c r="K2209" i="1"/>
  <c r="H2209" i="1"/>
  <c r="K2208" i="1"/>
  <c r="H2208" i="1"/>
  <c r="K2207" i="1"/>
  <c r="H2207" i="1"/>
  <c r="K2206" i="1"/>
  <c r="H2206" i="1"/>
  <c r="K2205" i="1"/>
  <c r="H2205" i="1"/>
  <c r="K2204" i="1"/>
  <c r="H2204" i="1"/>
  <c r="K2203" i="1"/>
  <c r="H2203" i="1"/>
  <c r="K2202" i="1"/>
  <c r="H2202" i="1"/>
  <c r="K2201" i="1"/>
  <c r="H2201" i="1"/>
  <c r="K2200" i="1"/>
  <c r="H2200" i="1"/>
  <c r="K2199" i="1"/>
  <c r="H2199" i="1"/>
  <c r="K2198" i="1"/>
  <c r="H2198" i="1"/>
  <c r="K2197" i="1"/>
  <c r="H2197" i="1"/>
  <c r="K2196" i="1"/>
  <c r="H2196" i="1"/>
  <c r="K2195" i="1"/>
  <c r="H2195" i="1"/>
  <c r="K2194" i="1"/>
  <c r="H2194" i="1"/>
  <c r="K2193" i="1"/>
  <c r="H2193" i="1"/>
  <c r="K2192" i="1"/>
  <c r="H2192" i="1"/>
  <c r="K2191" i="1"/>
  <c r="H2191" i="1"/>
  <c r="K2190" i="1"/>
  <c r="H2190" i="1"/>
  <c r="K2189" i="1"/>
  <c r="H2189" i="1"/>
  <c r="K2188" i="1"/>
  <c r="H2188" i="1"/>
  <c r="K2187" i="1"/>
  <c r="H2187" i="1"/>
  <c r="K2186" i="1"/>
  <c r="H2186" i="1"/>
  <c r="K2185" i="1"/>
  <c r="H2185" i="1"/>
  <c r="K2184" i="1"/>
  <c r="H2184" i="1"/>
  <c r="K2183" i="1"/>
  <c r="H2183" i="1"/>
  <c r="K2182" i="1"/>
  <c r="H2182" i="1"/>
  <c r="K2181" i="1"/>
  <c r="H2181" i="1"/>
  <c r="K2180" i="1"/>
  <c r="H2180" i="1"/>
  <c r="K2179" i="1"/>
  <c r="H2179" i="1"/>
  <c r="K2178" i="1"/>
  <c r="H2178" i="1"/>
  <c r="K2177" i="1"/>
  <c r="H2177" i="1"/>
  <c r="K2176" i="1"/>
  <c r="H2176" i="1"/>
  <c r="K2175" i="1"/>
  <c r="H2175" i="1"/>
  <c r="K2174" i="1"/>
  <c r="H2174" i="1"/>
  <c r="K2173" i="1"/>
  <c r="H2173" i="1"/>
  <c r="K2172" i="1"/>
  <c r="H2172" i="1"/>
  <c r="K2171" i="1"/>
  <c r="H2171" i="1"/>
  <c r="K2170" i="1"/>
  <c r="H2170" i="1"/>
  <c r="K2169" i="1"/>
  <c r="H2169" i="1"/>
  <c r="K2168" i="1"/>
  <c r="H2168" i="1"/>
  <c r="K2167" i="1"/>
  <c r="H2167" i="1"/>
  <c r="K2166" i="1"/>
  <c r="H2166" i="1"/>
  <c r="K2165" i="1"/>
  <c r="H2165" i="1"/>
  <c r="K2164" i="1"/>
  <c r="H2164" i="1"/>
  <c r="K2163" i="1"/>
  <c r="H2163" i="1"/>
  <c r="K2162" i="1"/>
  <c r="H2162" i="1"/>
  <c r="K2161" i="1"/>
  <c r="H2161" i="1"/>
  <c r="K2160" i="1"/>
  <c r="H2160" i="1"/>
  <c r="K2159" i="1"/>
  <c r="H2159" i="1"/>
  <c r="K2158" i="1"/>
  <c r="H2158" i="1"/>
  <c r="K2157" i="1"/>
  <c r="H2157" i="1"/>
  <c r="K2156" i="1"/>
  <c r="H2156" i="1"/>
  <c r="K2155" i="1"/>
  <c r="H2155" i="1"/>
  <c r="K2154" i="1"/>
  <c r="H2154" i="1"/>
  <c r="K2153" i="1"/>
  <c r="H2153" i="1"/>
  <c r="K2152" i="1"/>
  <c r="H2152" i="1"/>
  <c r="K2151" i="1"/>
  <c r="H2151" i="1"/>
  <c r="K2150" i="1"/>
  <c r="H2150" i="1"/>
  <c r="K2149" i="1"/>
  <c r="H2149" i="1"/>
  <c r="K2148" i="1"/>
  <c r="H2148" i="1"/>
  <c r="K2147" i="1"/>
  <c r="H2147" i="1"/>
  <c r="K2146" i="1"/>
  <c r="H2146" i="1"/>
  <c r="K2145" i="1"/>
  <c r="H2145" i="1"/>
  <c r="K2144" i="1"/>
  <c r="H2144" i="1"/>
  <c r="K2143" i="1"/>
  <c r="H2143" i="1"/>
  <c r="K2142" i="1"/>
  <c r="H2142" i="1"/>
  <c r="K2141" i="1"/>
  <c r="H2141" i="1"/>
  <c r="K2140" i="1"/>
  <c r="H2140" i="1"/>
  <c r="K2139" i="1"/>
  <c r="H2139" i="1"/>
  <c r="K2138" i="1"/>
  <c r="H2138" i="1"/>
  <c r="K2137" i="1"/>
  <c r="H2137" i="1"/>
  <c r="K2136" i="1"/>
  <c r="H2136" i="1"/>
  <c r="K2135" i="1"/>
  <c r="H2135" i="1"/>
  <c r="K2134" i="1"/>
  <c r="H2134" i="1"/>
  <c r="K2133" i="1"/>
  <c r="H2133" i="1"/>
  <c r="K2132" i="1"/>
  <c r="H2132" i="1"/>
  <c r="K2131" i="1"/>
  <c r="H2131" i="1"/>
  <c r="K2130" i="1"/>
  <c r="H2130" i="1"/>
  <c r="K2129" i="1"/>
  <c r="H2129" i="1"/>
  <c r="K2128" i="1"/>
  <c r="H2128" i="1"/>
  <c r="K2127" i="1"/>
  <c r="H2127" i="1"/>
  <c r="K2126" i="1"/>
  <c r="H2126" i="1"/>
  <c r="K2125" i="1"/>
  <c r="H2125" i="1"/>
  <c r="K2124" i="1"/>
  <c r="H2124" i="1"/>
  <c r="K2123" i="1"/>
  <c r="H2123" i="1"/>
  <c r="K2122" i="1"/>
  <c r="H2122" i="1"/>
  <c r="K2121" i="1"/>
  <c r="H2121" i="1"/>
  <c r="K2120" i="1"/>
  <c r="H2120" i="1"/>
  <c r="K2119" i="1"/>
  <c r="H2119" i="1"/>
  <c r="K2118" i="1"/>
  <c r="H2118" i="1"/>
  <c r="K2117" i="1"/>
  <c r="H2117" i="1"/>
  <c r="K2116" i="1"/>
  <c r="H2116" i="1"/>
  <c r="K2115" i="1"/>
  <c r="H2115" i="1"/>
  <c r="K2114" i="1"/>
  <c r="H2114" i="1"/>
  <c r="K2113" i="1"/>
  <c r="H2113" i="1"/>
  <c r="K2112" i="1"/>
  <c r="H2112" i="1"/>
  <c r="K2111" i="1"/>
  <c r="H2111" i="1"/>
  <c r="K2110" i="1"/>
  <c r="H2110" i="1"/>
  <c r="K2109" i="1"/>
  <c r="H2109" i="1"/>
  <c r="K2108" i="1"/>
  <c r="H2108" i="1"/>
  <c r="K2107" i="1"/>
  <c r="H2107" i="1"/>
  <c r="K2106" i="1"/>
  <c r="H2106" i="1"/>
  <c r="K2105" i="1"/>
  <c r="H2105" i="1"/>
  <c r="K2104" i="1"/>
  <c r="H2104" i="1"/>
  <c r="K2103" i="1"/>
  <c r="H2103" i="1"/>
  <c r="K2102" i="1"/>
  <c r="H2102" i="1"/>
  <c r="K2101" i="1"/>
  <c r="H2101" i="1"/>
  <c r="K2100" i="1"/>
  <c r="H2100" i="1"/>
  <c r="K2099" i="1"/>
  <c r="H2099" i="1"/>
  <c r="K2098" i="1"/>
  <c r="H2098" i="1"/>
  <c r="K2097" i="1"/>
  <c r="H2097" i="1"/>
  <c r="K2096" i="1"/>
  <c r="H2096" i="1"/>
  <c r="K2095" i="1"/>
  <c r="H2095" i="1"/>
  <c r="K2094" i="1"/>
  <c r="H2094" i="1"/>
  <c r="K2093" i="1"/>
  <c r="H2093" i="1"/>
  <c r="K2092" i="1"/>
  <c r="H2092" i="1"/>
  <c r="K2091" i="1"/>
  <c r="H2091" i="1"/>
  <c r="K2090" i="1"/>
  <c r="H2090" i="1"/>
  <c r="K2089" i="1"/>
  <c r="H2089" i="1"/>
  <c r="K2088" i="1"/>
  <c r="H2088" i="1"/>
  <c r="K2087" i="1"/>
  <c r="H2087" i="1"/>
  <c r="K2086" i="1"/>
  <c r="H2086" i="1"/>
  <c r="K2085" i="1"/>
  <c r="H2085" i="1"/>
  <c r="K2084" i="1"/>
  <c r="H2084" i="1"/>
  <c r="K2083" i="1"/>
  <c r="H2083" i="1"/>
  <c r="K2082" i="1"/>
  <c r="H2082" i="1"/>
  <c r="K2081" i="1"/>
  <c r="H2081" i="1"/>
  <c r="K2080" i="1"/>
  <c r="H2080" i="1"/>
  <c r="K2079" i="1"/>
  <c r="H2079" i="1"/>
  <c r="K2078" i="1"/>
  <c r="H2078" i="1"/>
  <c r="K2077" i="1"/>
  <c r="H2077" i="1"/>
  <c r="K2076" i="1"/>
  <c r="H2076" i="1"/>
  <c r="K2075" i="1"/>
  <c r="H2075" i="1"/>
  <c r="K2074" i="1"/>
  <c r="H2074" i="1"/>
  <c r="K2073" i="1"/>
  <c r="H2073" i="1"/>
  <c r="K2072" i="1"/>
  <c r="H2072" i="1"/>
  <c r="K2071" i="1"/>
  <c r="H2071" i="1"/>
  <c r="K2070" i="1"/>
  <c r="H2070" i="1"/>
  <c r="K2069" i="1"/>
  <c r="H2069" i="1"/>
  <c r="K2068" i="1"/>
  <c r="H2068" i="1"/>
  <c r="K2067" i="1"/>
  <c r="H2067" i="1"/>
  <c r="K2066" i="1"/>
  <c r="H2066" i="1"/>
  <c r="K2065" i="1"/>
  <c r="H2065" i="1"/>
  <c r="K2064" i="1"/>
  <c r="H2064" i="1"/>
  <c r="K2063" i="1"/>
  <c r="H2063" i="1"/>
  <c r="K2062" i="1"/>
  <c r="H2062" i="1"/>
  <c r="K2061" i="1"/>
  <c r="H2061" i="1"/>
  <c r="K2060" i="1"/>
  <c r="H2060" i="1"/>
  <c r="K2059" i="1"/>
  <c r="H2059" i="1"/>
  <c r="K2058" i="1"/>
  <c r="H2058" i="1"/>
  <c r="K2057" i="1"/>
  <c r="H2057" i="1"/>
  <c r="K2056" i="1"/>
  <c r="H2056" i="1"/>
  <c r="K2055" i="1"/>
  <c r="H2055" i="1"/>
  <c r="K2054" i="1"/>
  <c r="H2054" i="1"/>
  <c r="K2053" i="1"/>
  <c r="H2053" i="1"/>
  <c r="K2052" i="1"/>
  <c r="H2052" i="1"/>
  <c r="K2051" i="1"/>
  <c r="H2051" i="1"/>
  <c r="K2050" i="1"/>
  <c r="H2050" i="1"/>
  <c r="K2049" i="1"/>
  <c r="H2049" i="1"/>
  <c r="K2048" i="1"/>
  <c r="H2048" i="1"/>
  <c r="K2047" i="1"/>
  <c r="H2047" i="1"/>
  <c r="K2046" i="1"/>
  <c r="H2046" i="1"/>
  <c r="K2045" i="1"/>
  <c r="H2045" i="1"/>
  <c r="K2044" i="1"/>
  <c r="H2044" i="1"/>
  <c r="K2043" i="1"/>
  <c r="H2043" i="1"/>
  <c r="K2042" i="1"/>
  <c r="H2042" i="1"/>
  <c r="K2041" i="1"/>
  <c r="H2041" i="1"/>
  <c r="K2040" i="1"/>
  <c r="H2040" i="1"/>
  <c r="K2039" i="1"/>
  <c r="H2039" i="1"/>
  <c r="K2038" i="1"/>
  <c r="H2038" i="1"/>
  <c r="K2037" i="1"/>
  <c r="H2037" i="1"/>
  <c r="K2036" i="1"/>
  <c r="H2036" i="1"/>
  <c r="K2035" i="1"/>
  <c r="H2035" i="1"/>
  <c r="K2034" i="1"/>
  <c r="H2034" i="1"/>
  <c r="K2033" i="1"/>
  <c r="H2033" i="1"/>
  <c r="K2032" i="1"/>
  <c r="H2032" i="1"/>
  <c r="K2031" i="1"/>
  <c r="H2031" i="1"/>
  <c r="K2030" i="1"/>
  <c r="H2030" i="1"/>
  <c r="K2029" i="1"/>
  <c r="H2029" i="1"/>
  <c r="K2028" i="1"/>
  <c r="H2028" i="1"/>
  <c r="K2027" i="1"/>
  <c r="H2027" i="1"/>
  <c r="K2026" i="1"/>
  <c r="H2026" i="1"/>
  <c r="K2025" i="1"/>
  <c r="H2025" i="1"/>
  <c r="K2024" i="1"/>
  <c r="H2024" i="1"/>
  <c r="K2023" i="1"/>
  <c r="H2023" i="1"/>
  <c r="K2022" i="1"/>
  <c r="H2022" i="1"/>
  <c r="K2021" i="1"/>
  <c r="H2021" i="1"/>
  <c r="K2020" i="1"/>
  <c r="H2020" i="1"/>
  <c r="K2019" i="1"/>
  <c r="H2019" i="1"/>
  <c r="K2018" i="1"/>
  <c r="H2018" i="1"/>
  <c r="K2017" i="1"/>
  <c r="H2017" i="1"/>
  <c r="K2016" i="1"/>
  <c r="H2016" i="1"/>
  <c r="K2015" i="1"/>
  <c r="H2015" i="1"/>
  <c r="K2014" i="1"/>
  <c r="H2014" i="1"/>
  <c r="K2013" i="1"/>
  <c r="H2013" i="1"/>
  <c r="K2012" i="1"/>
  <c r="H2012" i="1"/>
  <c r="K2011" i="1"/>
  <c r="H2011" i="1"/>
  <c r="K2010" i="1"/>
  <c r="H2010" i="1"/>
  <c r="K2009" i="1"/>
  <c r="H2009" i="1"/>
  <c r="K2008" i="1"/>
  <c r="H2008" i="1"/>
  <c r="K2007" i="1"/>
  <c r="H2007" i="1"/>
  <c r="K2006" i="1"/>
  <c r="H2006" i="1"/>
  <c r="K2005" i="1"/>
  <c r="H2005" i="1"/>
  <c r="K2004" i="1"/>
  <c r="H2004" i="1"/>
  <c r="K2003" i="1"/>
  <c r="H2003" i="1"/>
  <c r="K2002" i="1"/>
  <c r="H2002" i="1"/>
  <c r="K2001" i="1"/>
  <c r="H2001" i="1"/>
  <c r="K2000" i="1"/>
  <c r="H2000" i="1"/>
  <c r="K1999" i="1"/>
  <c r="H1999" i="1"/>
  <c r="K1998" i="1"/>
  <c r="H1998" i="1"/>
  <c r="K1997" i="1"/>
  <c r="H1997" i="1"/>
  <c r="K1996" i="1"/>
  <c r="H1996" i="1"/>
  <c r="K1995" i="1"/>
  <c r="H1995" i="1"/>
  <c r="K1994" i="1"/>
  <c r="H1994" i="1"/>
  <c r="K1993" i="1"/>
  <c r="H1993" i="1"/>
  <c r="K1992" i="1"/>
  <c r="H1992" i="1"/>
  <c r="K1991" i="1"/>
  <c r="H1991" i="1"/>
  <c r="K1990" i="1"/>
  <c r="H1990" i="1"/>
  <c r="K1989" i="1"/>
  <c r="H1989" i="1"/>
  <c r="K1988" i="1"/>
  <c r="H1988" i="1"/>
  <c r="K1987" i="1"/>
  <c r="H1987" i="1"/>
  <c r="K1986" i="1"/>
  <c r="H1986" i="1"/>
  <c r="K1985" i="1"/>
  <c r="H1985" i="1"/>
  <c r="K1984" i="1"/>
  <c r="H1984" i="1"/>
  <c r="K1983" i="1"/>
  <c r="H1983" i="1"/>
  <c r="K1982" i="1"/>
  <c r="H1982" i="1"/>
  <c r="K1981" i="1"/>
  <c r="H1981" i="1"/>
  <c r="K1980" i="1"/>
  <c r="H1980" i="1"/>
  <c r="K1979" i="1"/>
  <c r="H1979" i="1"/>
  <c r="K1978" i="1"/>
  <c r="H1978" i="1"/>
  <c r="K1977" i="1"/>
  <c r="H1977" i="1"/>
  <c r="K1976" i="1"/>
  <c r="H1976" i="1"/>
  <c r="K1975" i="1"/>
  <c r="H1975" i="1"/>
  <c r="K1974" i="1"/>
  <c r="H1974" i="1"/>
  <c r="K1973" i="1"/>
  <c r="H1973" i="1"/>
  <c r="K1972" i="1"/>
  <c r="H1972" i="1"/>
  <c r="K1971" i="1"/>
  <c r="H1971" i="1"/>
  <c r="K1970" i="1"/>
  <c r="H1970" i="1"/>
  <c r="K1969" i="1"/>
  <c r="H1969" i="1"/>
  <c r="K1968" i="1"/>
  <c r="H1968" i="1"/>
  <c r="K1967" i="1"/>
  <c r="H1967" i="1"/>
  <c r="K1966" i="1"/>
  <c r="H1966" i="1"/>
  <c r="K1965" i="1"/>
  <c r="H1965" i="1"/>
  <c r="K1964" i="1"/>
  <c r="H1964" i="1"/>
  <c r="K1963" i="1"/>
  <c r="H1963" i="1"/>
  <c r="K1962" i="1"/>
  <c r="H1962" i="1"/>
  <c r="K1961" i="1"/>
  <c r="H1961" i="1"/>
  <c r="K1960" i="1"/>
  <c r="H1960" i="1"/>
  <c r="K1959" i="1"/>
  <c r="H1959" i="1"/>
  <c r="K1958" i="1"/>
  <c r="H1958" i="1"/>
  <c r="K1957" i="1"/>
  <c r="H1957" i="1"/>
  <c r="K1956" i="1"/>
  <c r="H1956" i="1"/>
  <c r="K1955" i="1"/>
  <c r="H1955" i="1"/>
  <c r="K1954" i="1"/>
  <c r="H1954" i="1"/>
  <c r="K1953" i="1"/>
  <c r="H1953" i="1"/>
  <c r="K1952" i="1"/>
  <c r="H1952" i="1"/>
  <c r="K1951" i="1"/>
  <c r="H1951" i="1"/>
  <c r="K1950" i="1"/>
  <c r="H1950" i="1"/>
  <c r="K1949" i="1"/>
  <c r="H1949" i="1"/>
  <c r="K1948" i="1"/>
  <c r="H1948" i="1"/>
  <c r="K1947" i="1"/>
  <c r="H1947" i="1"/>
  <c r="K1946" i="1"/>
  <c r="H1946" i="1"/>
  <c r="K1945" i="1"/>
  <c r="H1945" i="1"/>
  <c r="K1944" i="1"/>
  <c r="H1944" i="1"/>
  <c r="K1943" i="1"/>
  <c r="H1943" i="1"/>
  <c r="K1942" i="1"/>
  <c r="H1942" i="1"/>
  <c r="K1941" i="1"/>
  <c r="H1941" i="1"/>
  <c r="K1940" i="1"/>
  <c r="H1940" i="1"/>
  <c r="K1939" i="1"/>
  <c r="H1939" i="1"/>
  <c r="K1938" i="1"/>
  <c r="H1938" i="1"/>
  <c r="K1937" i="1"/>
  <c r="H1937" i="1"/>
  <c r="K1936" i="1"/>
  <c r="H1936" i="1"/>
  <c r="K1935" i="1"/>
  <c r="H1935" i="1"/>
  <c r="K1934" i="1"/>
  <c r="H1934" i="1"/>
  <c r="K1933" i="1"/>
  <c r="H1933" i="1"/>
  <c r="K1932" i="1"/>
  <c r="H1932" i="1"/>
  <c r="K1931" i="1"/>
  <c r="H1931" i="1"/>
  <c r="K1930" i="1"/>
  <c r="H1930" i="1"/>
  <c r="K1929" i="1"/>
  <c r="H1929" i="1"/>
  <c r="K1928" i="1"/>
  <c r="H1928" i="1"/>
  <c r="K1927" i="1"/>
  <c r="H1927" i="1"/>
  <c r="K1926" i="1"/>
  <c r="H1926" i="1"/>
  <c r="K1925" i="1"/>
  <c r="H1925" i="1"/>
  <c r="K1924" i="1"/>
  <c r="H1924" i="1"/>
  <c r="K1923" i="1"/>
  <c r="H1923" i="1"/>
  <c r="K1922" i="1"/>
  <c r="H1922" i="1"/>
  <c r="K1921" i="1"/>
  <c r="H1921" i="1"/>
  <c r="K1920" i="1"/>
  <c r="H1920" i="1"/>
  <c r="K1919" i="1"/>
  <c r="H1919" i="1"/>
  <c r="K1918" i="1"/>
  <c r="H1918" i="1"/>
  <c r="K1917" i="1"/>
  <c r="H1917" i="1"/>
  <c r="K1916" i="1"/>
  <c r="H1916" i="1"/>
  <c r="K1915" i="1"/>
  <c r="H1915" i="1"/>
  <c r="K1914" i="1"/>
  <c r="H1914" i="1"/>
  <c r="K1913" i="1"/>
  <c r="H1913" i="1"/>
  <c r="K1912" i="1"/>
  <c r="H1912" i="1"/>
  <c r="K1911" i="1"/>
  <c r="H1911" i="1"/>
  <c r="K1910" i="1"/>
  <c r="H1910" i="1"/>
  <c r="K1909" i="1"/>
  <c r="H1909" i="1"/>
  <c r="K1908" i="1"/>
  <c r="H1908" i="1"/>
  <c r="K1907" i="1"/>
  <c r="H1907" i="1"/>
  <c r="K1906" i="1"/>
  <c r="H1906" i="1"/>
  <c r="K1905" i="1"/>
  <c r="H1905" i="1"/>
  <c r="K1904" i="1"/>
  <c r="H1904" i="1"/>
  <c r="K1903" i="1"/>
  <c r="H1903" i="1"/>
  <c r="K1902" i="1"/>
  <c r="H1902" i="1"/>
  <c r="K1901" i="1"/>
  <c r="H1901" i="1"/>
  <c r="K1900" i="1"/>
  <c r="H1900" i="1"/>
  <c r="K1899" i="1"/>
  <c r="H1899" i="1"/>
  <c r="K1898" i="1"/>
  <c r="H1898" i="1"/>
  <c r="K1897" i="1"/>
  <c r="H1897" i="1"/>
  <c r="K1896" i="1"/>
  <c r="H1896" i="1"/>
  <c r="K1895" i="1"/>
  <c r="H1895" i="1"/>
  <c r="K1894" i="1"/>
  <c r="H1894" i="1"/>
  <c r="K1893" i="1"/>
  <c r="H1893" i="1"/>
  <c r="K1892" i="1"/>
  <c r="H1892" i="1"/>
  <c r="K1891" i="1"/>
  <c r="H1891" i="1"/>
  <c r="K1890" i="1"/>
  <c r="H1890" i="1"/>
  <c r="K1889" i="1"/>
  <c r="H1889" i="1"/>
  <c r="K1888" i="1"/>
  <c r="H1888" i="1"/>
  <c r="K1887" i="1"/>
  <c r="H1887" i="1"/>
  <c r="K1886" i="1"/>
  <c r="H1886" i="1"/>
  <c r="K1885" i="1"/>
  <c r="H1885" i="1"/>
  <c r="K1884" i="1"/>
  <c r="H1884" i="1"/>
  <c r="K1883" i="1"/>
  <c r="H1883" i="1"/>
  <c r="K1882" i="1"/>
  <c r="H1882" i="1"/>
  <c r="K1881" i="1"/>
  <c r="H1881" i="1"/>
  <c r="K1880" i="1"/>
  <c r="H1880" i="1"/>
  <c r="K1879" i="1"/>
  <c r="H1879" i="1"/>
  <c r="K1878" i="1"/>
  <c r="H1878" i="1"/>
  <c r="K1877" i="1"/>
  <c r="H1877" i="1"/>
  <c r="K1876" i="1"/>
  <c r="H1876" i="1"/>
  <c r="K1875" i="1"/>
  <c r="H1875" i="1"/>
  <c r="K1874" i="1"/>
  <c r="H1874" i="1"/>
  <c r="K1873" i="1"/>
  <c r="H1873" i="1"/>
  <c r="K1872" i="1"/>
  <c r="H1872" i="1"/>
  <c r="K1871" i="1"/>
  <c r="H1871" i="1"/>
  <c r="K1870" i="1"/>
  <c r="H1870" i="1"/>
  <c r="K1869" i="1"/>
  <c r="H1869" i="1"/>
  <c r="K1868" i="1"/>
  <c r="H1868" i="1"/>
  <c r="K1867" i="1"/>
  <c r="H1867" i="1"/>
  <c r="K1866" i="1"/>
  <c r="H1866" i="1"/>
  <c r="K1865" i="1"/>
  <c r="H1865" i="1"/>
  <c r="K1864" i="1"/>
  <c r="H1864" i="1"/>
  <c r="K1863" i="1"/>
  <c r="H1863" i="1"/>
  <c r="K1862" i="1"/>
  <c r="H1862" i="1"/>
  <c r="K1861" i="1"/>
  <c r="H1861" i="1"/>
  <c r="K1860" i="1"/>
  <c r="H1860" i="1"/>
  <c r="K1859" i="1"/>
  <c r="H1859" i="1"/>
  <c r="K1858" i="1"/>
  <c r="H1858" i="1"/>
  <c r="K1857" i="1"/>
  <c r="H1857" i="1"/>
  <c r="K1856" i="1"/>
  <c r="H1856" i="1"/>
  <c r="K1855" i="1"/>
  <c r="H1855" i="1"/>
  <c r="K1854" i="1"/>
  <c r="H1854" i="1"/>
  <c r="K1853" i="1"/>
  <c r="H1853" i="1"/>
  <c r="K1852" i="1"/>
  <c r="H1852" i="1"/>
  <c r="K1851" i="1"/>
  <c r="H1851" i="1"/>
  <c r="K1850" i="1"/>
  <c r="H1850" i="1"/>
  <c r="K1849" i="1"/>
  <c r="H1849" i="1"/>
  <c r="K1848" i="1"/>
  <c r="H1848" i="1"/>
  <c r="K1847" i="1"/>
  <c r="H1847" i="1"/>
  <c r="K1846" i="1"/>
  <c r="H1846" i="1"/>
  <c r="K1845" i="1"/>
  <c r="H1845" i="1"/>
  <c r="K1844" i="1"/>
  <c r="H1844" i="1"/>
  <c r="K1843" i="1"/>
  <c r="H1843" i="1"/>
  <c r="K1842" i="1"/>
  <c r="H1842" i="1"/>
  <c r="K1841" i="1"/>
  <c r="H1841" i="1"/>
  <c r="K1840" i="1"/>
  <c r="H1840" i="1"/>
  <c r="K1839" i="1"/>
  <c r="H1839" i="1"/>
  <c r="K1838" i="1"/>
  <c r="H1838" i="1"/>
  <c r="K1837" i="1"/>
  <c r="H1837" i="1"/>
  <c r="K1836" i="1"/>
  <c r="H1836" i="1"/>
  <c r="K1835" i="1"/>
  <c r="H1835" i="1"/>
  <c r="K1834" i="1"/>
  <c r="H1834" i="1"/>
  <c r="K1833" i="1"/>
  <c r="H1833" i="1"/>
  <c r="K1832" i="1"/>
  <c r="H1832" i="1"/>
  <c r="K1831" i="1"/>
  <c r="H1831" i="1"/>
  <c r="K1830" i="1"/>
  <c r="H1830" i="1"/>
  <c r="K1829" i="1"/>
  <c r="H1829" i="1"/>
  <c r="K1828" i="1"/>
  <c r="H1828" i="1"/>
  <c r="K1827" i="1"/>
  <c r="H1827" i="1"/>
  <c r="K1826" i="1"/>
  <c r="H1826" i="1"/>
  <c r="K1825" i="1"/>
  <c r="H1825" i="1"/>
  <c r="K1824" i="1"/>
  <c r="H1824" i="1"/>
  <c r="K1823" i="1"/>
  <c r="H1823" i="1"/>
  <c r="K1822" i="1"/>
  <c r="H1822" i="1"/>
  <c r="K1821" i="1"/>
  <c r="H1821" i="1"/>
  <c r="K1820" i="1"/>
  <c r="H1820" i="1"/>
  <c r="K1819" i="1"/>
  <c r="H1819" i="1"/>
  <c r="K1818" i="1"/>
  <c r="H1818" i="1"/>
  <c r="K1817" i="1"/>
  <c r="H1817" i="1"/>
  <c r="K1816" i="1"/>
  <c r="H1816" i="1"/>
  <c r="K1815" i="1"/>
  <c r="H1815" i="1"/>
  <c r="K1814" i="1"/>
  <c r="H1814" i="1"/>
  <c r="K1813" i="1"/>
  <c r="H1813" i="1"/>
  <c r="K1812" i="1"/>
  <c r="H1812" i="1"/>
  <c r="K1811" i="1"/>
  <c r="H1811" i="1"/>
  <c r="K1810" i="1"/>
  <c r="H1810" i="1"/>
  <c r="K1809" i="1"/>
  <c r="H1809" i="1"/>
  <c r="K1808" i="1"/>
  <c r="H1808" i="1"/>
  <c r="K1807" i="1"/>
  <c r="H1807" i="1"/>
  <c r="K1806" i="1"/>
  <c r="H1806" i="1"/>
  <c r="K1805" i="1"/>
  <c r="H1805" i="1"/>
  <c r="K1804" i="1"/>
  <c r="H1804" i="1"/>
  <c r="K1803" i="1"/>
  <c r="H1803" i="1"/>
  <c r="K1802" i="1"/>
  <c r="H1802" i="1"/>
  <c r="K1801" i="1"/>
  <c r="H1801" i="1"/>
  <c r="K1800" i="1"/>
  <c r="H1800" i="1"/>
  <c r="K1799" i="1"/>
  <c r="H1799" i="1"/>
  <c r="K1798" i="1"/>
  <c r="H1798" i="1"/>
  <c r="K1797" i="1"/>
  <c r="H1797" i="1"/>
  <c r="K1796" i="1"/>
  <c r="H1796" i="1"/>
  <c r="K1795" i="1"/>
  <c r="H1795" i="1"/>
  <c r="K1794" i="1"/>
  <c r="H1794" i="1"/>
  <c r="K1793" i="1"/>
  <c r="H1793" i="1"/>
  <c r="K1792" i="1"/>
  <c r="H1792" i="1"/>
  <c r="K1791" i="1"/>
  <c r="H1791" i="1"/>
  <c r="K1790" i="1"/>
  <c r="H1790" i="1"/>
  <c r="K1789" i="1"/>
  <c r="H1789" i="1"/>
  <c r="K1788" i="1"/>
  <c r="H1788" i="1"/>
  <c r="K1787" i="1"/>
  <c r="H1787" i="1"/>
  <c r="K1786" i="1"/>
  <c r="H1786" i="1"/>
  <c r="K1785" i="1"/>
  <c r="H1785" i="1"/>
  <c r="K1784" i="1"/>
  <c r="H1784" i="1"/>
  <c r="K1783" i="1"/>
  <c r="H1783" i="1"/>
  <c r="K1782" i="1"/>
  <c r="H1782" i="1"/>
  <c r="K1781" i="1"/>
  <c r="H1781" i="1"/>
  <c r="K1780" i="1"/>
  <c r="H1780" i="1"/>
  <c r="K1779" i="1"/>
  <c r="H1779" i="1"/>
  <c r="K1778" i="1"/>
  <c r="H1778" i="1"/>
  <c r="K1777" i="1"/>
  <c r="H1777" i="1"/>
  <c r="K1776" i="1"/>
  <c r="H1776" i="1"/>
  <c r="K1775" i="1"/>
  <c r="H1775" i="1"/>
  <c r="K1774" i="1"/>
  <c r="H1774" i="1"/>
  <c r="K1773" i="1"/>
  <c r="H1773" i="1"/>
  <c r="K1772" i="1"/>
  <c r="H1772" i="1"/>
  <c r="K1771" i="1"/>
  <c r="H1771" i="1"/>
  <c r="K1770" i="1"/>
  <c r="H1770" i="1"/>
  <c r="K1769" i="1"/>
  <c r="H1769" i="1"/>
  <c r="K1768" i="1"/>
  <c r="H1768" i="1"/>
  <c r="K1767" i="1"/>
  <c r="H1767" i="1"/>
  <c r="K1766" i="1"/>
  <c r="H1766" i="1"/>
  <c r="K1765" i="1"/>
  <c r="H1765" i="1"/>
  <c r="K1764" i="1"/>
  <c r="H1764" i="1"/>
  <c r="K1763" i="1"/>
  <c r="H1763" i="1"/>
  <c r="K1762" i="1"/>
  <c r="H1762" i="1"/>
  <c r="K1761" i="1"/>
  <c r="H1761" i="1"/>
  <c r="K1760" i="1"/>
  <c r="H1760" i="1"/>
  <c r="K1759" i="1"/>
  <c r="H1759" i="1"/>
  <c r="K1758" i="1"/>
  <c r="H1758" i="1"/>
  <c r="K1757" i="1"/>
  <c r="H1757" i="1"/>
  <c r="K1756" i="1"/>
  <c r="H1756" i="1"/>
  <c r="K1755" i="1"/>
  <c r="H1755" i="1"/>
  <c r="K1754" i="1"/>
  <c r="H1754" i="1"/>
  <c r="K1753" i="1"/>
  <c r="H1753" i="1"/>
  <c r="K1752" i="1"/>
  <c r="H1752" i="1"/>
  <c r="K1751" i="1"/>
  <c r="H1751" i="1"/>
  <c r="K1750" i="1"/>
  <c r="H1750" i="1"/>
  <c r="K1749" i="1"/>
  <c r="H1749" i="1"/>
  <c r="K1748" i="1"/>
  <c r="H1748" i="1"/>
  <c r="K1747" i="1"/>
  <c r="H1747" i="1"/>
  <c r="K1746" i="1"/>
  <c r="H1746" i="1"/>
  <c r="K1745" i="1"/>
  <c r="H1745" i="1"/>
  <c r="K1744" i="1"/>
  <c r="H1744" i="1"/>
  <c r="K1743" i="1"/>
  <c r="H1743" i="1"/>
  <c r="K1742" i="1"/>
  <c r="H1742" i="1"/>
  <c r="K1741" i="1"/>
  <c r="H1741" i="1"/>
  <c r="K1740" i="1"/>
  <c r="H1740" i="1"/>
  <c r="K1739" i="1"/>
  <c r="H1739" i="1"/>
  <c r="K1738" i="1"/>
  <c r="H1738" i="1"/>
  <c r="K1737" i="1"/>
  <c r="H1737" i="1"/>
  <c r="K1736" i="1"/>
  <c r="H1736" i="1"/>
  <c r="K1735" i="1"/>
  <c r="H1735" i="1"/>
  <c r="K1734" i="1"/>
  <c r="H1734" i="1"/>
  <c r="K1733" i="1"/>
  <c r="H1733" i="1"/>
  <c r="K1732" i="1"/>
  <c r="H1732" i="1"/>
  <c r="K1731" i="1"/>
  <c r="H1731" i="1"/>
  <c r="K1730" i="1"/>
  <c r="H1730" i="1"/>
  <c r="K1729" i="1"/>
  <c r="H1729" i="1"/>
  <c r="K1728" i="1"/>
  <c r="H1728" i="1"/>
  <c r="K1727" i="1"/>
  <c r="H1727" i="1"/>
  <c r="K1726" i="1"/>
  <c r="H1726" i="1"/>
  <c r="K1725" i="1"/>
  <c r="H1725" i="1"/>
  <c r="K1724" i="1"/>
  <c r="H1724" i="1"/>
  <c r="K1723" i="1"/>
  <c r="H1723" i="1"/>
  <c r="K1722" i="1"/>
  <c r="H1722" i="1"/>
  <c r="K1721" i="1"/>
  <c r="H1721" i="1"/>
  <c r="K1720" i="1"/>
  <c r="H1720" i="1"/>
  <c r="K1719" i="1"/>
  <c r="H1719" i="1"/>
  <c r="K1718" i="1"/>
  <c r="H1718" i="1"/>
  <c r="K1717" i="1"/>
  <c r="H1717" i="1"/>
  <c r="K1716" i="1"/>
  <c r="H1716" i="1"/>
  <c r="K1715" i="1"/>
  <c r="H1715" i="1"/>
  <c r="K1714" i="1"/>
  <c r="H1714" i="1"/>
  <c r="K1713" i="1"/>
  <c r="H1713" i="1"/>
  <c r="K1712" i="1"/>
  <c r="H1712" i="1"/>
  <c r="K1711" i="1"/>
  <c r="H1711" i="1"/>
  <c r="K1710" i="1"/>
  <c r="H1710" i="1"/>
  <c r="K1709" i="1"/>
  <c r="H1709" i="1"/>
  <c r="K1708" i="1"/>
  <c r="H1708" i="1"/>
  <c r="K1707" i="1"/>
  <c r="H1707" i="1"/>
  <c r="K1706" i="1"/>
  <c r="H1706" i="1"/>
  <c r="K1705" i="1"/>
  <c r="H1705" i="1"/>
  <c r="K1704" i="1"/>
  <c r="H1704" i="1"/>
  <c r="K1703" i="1"/>
  <c r="H1703" i="1"/>
  <c r="K1702" i="1"/>
  <c r="H1702" i="1"/>
  <c r="K1701" i="1"/>
  <c r="H1701" i="1"/>
  <c r="K1700" i="1"/>
  <c r="H1700" i="1"/>
  <c r="K1699" i="1"/>
  <c r="H1699" i="1"/>
  <c r="K1698" i="1"/>
  <c r="H1698" i="1"/>
  <c r="K1697" i="1"/>
  <c r="H1697" i="1"/>
  <c r="K1696" i="1"/>
  <c r="H1696" i="1"/>
  <c r="K1695" i="1"/>
  <c r="H1695" i="1"/>
  <c r="K1694" i="1"/>
  <c r="H1694" i="1"/>
  <c r="K1693" i="1"/>
  <c r="H1693" i="1"/>
  <c r="K1692" i="1"/>
  <c r="H1692" i="1"/>
  <c r="K1691" i="1"/>
  <c r="H1691" i="1"/>
  <c r="K1690" i="1"/>
  <c r="H1690" i="1"/>
  <c r="K1689" i="1"/>
  <c r="H1689" i="1"/>
  <c r="K1688" i="1"/>
  <c r="H1688" i="1"/>
  <c r="K1687" i="1"/>
  <c r="H1687" i="1"/>
  <c r="K1686" i="1"/>
  <c r="H1686" i="1"/>
  <c r="K1685" i="1"/>
  <c r="H1685" i="1"/>
  <c r="K1684" i="1"/>
  <c r="H1684" i="1"/>
  <c r="K1683" i="1"/>
  <c r="H1683" i="1"/>
  <c r="K1682" i="1"/>
  <c r="H1682" i="1"/>
  <c r="K1681" i="1"/>
  <c r="H1681" i="1"/>
  <c r="K1680" i="1"/>
  <c r="H1680" i="1"/>
  <c r="K1679" i="1"/>
  <c r="H1679" i="1"/>
  <c r="K1678" i="1"/>
  <c r="H1678" i="1"/>
  <c r="K1677" i="1"/>
  <c r="H1677" i="1"/>
  <c r="K1676" i="1"/>
  <c r="H1676" i="1"/>
  <c r="K1675" i="1"/>
  <c r="H1675" i="1"/>
  <c r="K1674" i="1"/>
  <c r="H1674" i="1"/>
  <c r="K1673" i="1"/>
  <c r="H1673" i="1"/>
  <c r="K1672" i="1"/>
  <c r="H1672" i="1"/>
  <c r="K1671" i="1"/>
  <c r="H1671" i="1"/>
  <c r="K1670" i="1"/>
  <c r="H1670" i="1"/>
  <c r="K1669" i="1"/>
  <c r="H1669" i="1"/>
  <c r="K1668" i="1"/>
  <c r="H1668" i="1"/>
  <c r="K1667" i="1"/>
  <c r="H1667" i="1"/>
  <c r="K1666" i="1"/>
  <c r="H1666" i="1"/>
  <c r="K1665" i="1"/>
  <c r="H1665" i="1"/>
  <c r="K1664" i="1"/>
  <c r="H1664" i="1"/>
  <c r="K1663" i="1"/>
  <c r="H1663" i="1"/>
  <c r="K1662" i="1"/>
  <c r="H1662" i="1"/>
  <c r="K1661" i="1"/>
  <c r="H1661" i="1"/>
  <c r="K1660" i="1"/>
  <c r="H1660" i="1"/>
  <c r="K1659" i="1"/>
  <c r="H1659" i="1"/>
  <c r="K1658" i="1"/>
  <c r="H1658" i="1"/>
  <c r="K1657" i="1"/>
  <c r="H1657" i="1"/>
  <c r="K1656" i="1"/>
  <c r="H1656" i="1"/>
  <c r="K1655" i="1"/>
  <c r="H1655" i="1"/>
  <c r="K1654" i="1"/>
  <c r="H1654" i="1"/>
  <c r="K1653" i="1"/>
  <c r="H1653" i="1"/>
  <c r="K1652" i="1"/>
  <c r="H1652" i="1"/>
  <c r="K1651" i="1"/>
  <c r="H1651" i="1"/>
  <c r="K1650" i="1"/>
  <c r="H1650" i="1"/>
  <c r="K1649" i="1"/>
  <c r="H1649" i="1"/>
  <c r="K1648" i="1"/>
  <c r="H1648" i="1"/>
  <c r="K1647" i="1"/>
  <c r="H1647" i="1"/>
  <c r="K1646" i="1"/>
  <c r="H1646" i="1"/>
  <c r="K1645" i="1"/>
  <c r="H1645" i="1"/>
  <c r="K1644" i="1"/>
  <c r="H1644" i="1"/>
  <c r="K1643" i="1"/>
  <c r="H1643" i="1"/>
  <c r="K1642" i="1"/>
  <c r="H1642" i="1"/>
  <c r="K1641" i="1"/>
  <c r="H1641" i="1"/>
  <c r="K1640" i="1"/>
  <c r="H1640" i="1"/>
  <c r="K1639" i="1"/>
  <c r="H1639" i="1"/>
  <c r="K1638" i="1"/>
  <c r="H1638" i="1"/>
  <c r="K1637" i="1"/>
  <c r="H1637" i="1"/>
  <c r="K1636" i="1"/>
  <c r="H1636" i="1"/>
  <c r="K1635" i="1"/>
  <c r="H1635" i="1"/>
  <c r="K1634" i="1"/>
  <c r="H1634" i="1"/>
  <c r="K1633" i="1"/>
  <c r="H1633" i="1"/>
  <c r="K1632" i="1"/>
  <c r="H1632" i="1"/>
  <c r="K1631" i="1"/>
  <c r="H1631" i="1"/>
  <c r="K1630" i="1"/>
  <c r="H1630" i="1"/>
  <c r="K1629" i="1"/>
  <c r="H1629" i="1"/>
  <c r="K1628" i="1"/>
  <c r="H1628" i="1"/>
  <c r="K1627" i="1"/>
  <c r="H1627" i="1"/>
  <c r="K1626" i="1"/>
  <c r="H1626" i="1"/>
  <c r="K1625" i="1"/>
  <c r="H1625" i="1"/>
  <c r="K1624" i="1"/>
  <c r="H1624" i="1"/>
  <c r="K1623" i="1"/>
  <c r="H1623" i="1"/>
  <c r="K1622" i="1"/>
  <c r="H1622" i="1"/>
  <c r="K1621" i="1"/>
  <c r="H1621" i="1"/>
  <c r="K1620" i="1"/>
  <c r="H1620" i="1"/>
  <c r="K1619" i="1"/>
  <c r="H1619" i="1"/>
  <c r="K1618" i="1"/>
  <c r="H1618" i="1"/>
  <c r="K1617" i="1"/>
  <c r="H1617" i="1"/>
  <c r="K1616" i="1"/>
  <c r="H1616" i="1"/>
  <c r="K1615" i="1"/>
  <c r="H1615" i="1"/>
  <c r="K1614" i="1"/>
  <c r="H1614" i="1"/>
  <c r="K1613" i="1"/>
  <c r="H1613" i="1"/>
  <c r="K1612" i="1"/>
  <c r="H1612" i="1"/>
  <c r="K1611" i="1"/>
  <c r="H1611" i="1"/>
  <c r="K1610" i="1"/>
  <c r="H1610" i="1"/>
  <c r="K1609" i="1"/>
  <c r="H1609" i="1"/>
  <c r="K1608" i="1"/>
  <c r="H1608" i="1"/>
  <c r="K1607" i="1"/>
  <c r="H1607" i="1"/>
  <c r="K1606" i="1"/>
  <c r="H1606" i="1"/>
  <c r="K1605" i="1"/>
  <c r="H1605" i="1"/>
  <c r="K1604" i="1"/>
  <c r="H1604" i="1"/>
  <c r="K1603" i="1"/>
  <c r="H1603" i="1"/>
  <c r="K1602" i="1"/>
  <c r="H1602" i="1"/>
  <c r="K1601" i="1"/>
  <c r="H1601" i="1"/>
  <c r="K1600" i="1"/>
  <c r="H1600" i="1"/>
  <c r="K1599" i="1"/>
  <c r="H1599" i="1"/>
  <c r="K1598" i="1"/>
  <c r="H1598" i="1"/>
  <c r="K1597" i="1"/>
  <c r="H1597" i="1"/>
  <c r="K1596" i="1"/>
  <c r="H1596" i="1"/>
  <c r="K1595" i="1"/>
  <c r="H1595" i="1"/>
  <c r="K1594" i="1"/>
  <c r="H1594" i="1"/>
  <c r="K1593" i="1"/>
  <c r="H1593" i="1"/>
  <c r="K1592" i="1"/>
  <c r="H1592" i="1"/>
  <c r="K1591" i="1"/>
  <c r="H1591" i="1"/>
  <c r="K1590" i="1"/>
  <c r="H1590" i="1"/>
  <c r="K1589" i="1"/>
  <c r="H1589" i="1"/>
  <c r="K1588" i="1"/>
  <c r="H1588" i="1"/>
  <c r="K1587" i="1"/>
  <c r="H1587" i="1"/>
  <c r="K1586" i="1"/>
  <c r="H1586" i="1"/>
  <c r="K1585" i="1"/>
  <c r="H1585" i="1"/>
  <c r="K1584" i="1"/>
  <c r="H1584" i="1"/>
  <c r="K1583" i="1"/>
  <c r="H1583" i="1"/>
  <c r="K1582" i="1"/>
  <c r="H1582" i="1"/>
  <c r="K1581" i="1"/>
  <c r="H1581" i="1"/>
  <c r="K1580" i="1"/>
  <c r="H1580" i="1"/>
  <c r="K1579" i="1"/>
  <c r="H1579" i="1"/>
  <c r="K1578" i="1"/>
  <c r="H1578" i="1"/>
  <c r="K1577" i="1"/>
  <c r="H1577" i="1"/>
  <c r="K1576" i="1"/>
  <c r="H1576" i="1"/>
  <c r="K1575" i="1"/>
  <c r="H1575" i="1"/>
  <c r="K1574" i="1"/>
  <c r="H1574" i="1"/>
  <c r="K1573" i="1"/>
  <c r="H1573" i="1"/>
  <c r="K1572" i="1"/>
  <c r="H1572" i="1"/>
  <c r="K1571" i="1"/>
  <c r="H1571" i="1"/>
  <c r="K1570" i="1"/>
  <c r="H1570" i="1"/>
  <c r="K1569" i="1"/>
  <c r="H1569" i="1"/>
  <c r="K1568" i="1"/>
  <c r="H1568" i="1"/>
  <c r="K1567" i="1"/>
  <c r="H1567" i="1"/>
  <c r="K1566" i="1"/>
  <c r="H1566" i="1"/>
  <c r="K1565" i="1"/>
  <c r="H1565" i="1"/>
  <c r="K1564" i="1"/>
  <c r="H1564" i="1"/>
  <c r="K1563" i="1"/>
  <c r="H1563" i="1"/>
  <c r="K1562" i="1"/>
  <c r="H1562" i="1"/>
  <c r="K1561" i="1"/>
  <c r="H1561" i="1"/>
  <c r="K1560" i="1"/>
  <c r="H1560" i="1"/>
  <c r="K1559" i="1"/>
  <c r="H1559" i="1"/>
  <c r="K1558" i="1"/>
  <c r="H1558" i="1"/>
  <c r="K1557" i="1"/>
  <c r="H1557" i="1"/>
  <c r="K1556" i="1"/>
  <c r="H1556" i="1"/>
  <c r="K1555" i="1"/>
  <c r="H1555" i="1"/>
  <c r="K1554" i="1"/>
  <c r="H1554" i="1"/>
  <c r="K1553" i="1"/>
  <c r="H1553" i="1"/>
  <c r="K1552" i="1"/>
  <c r="H1552" i="1"/>
  <c r="K1551" i="1"/>
  <c r="H1551" i="1"/>
  <c r="K1550" i="1"/>
  <c r="H1550" i="1"/>
  <c r="K1549" i="1"/>
  <c r="H1549" i="1"/>
  <c r="K1548" i="1"/>
  <c r="H1548" i="1"/>
  <c r="K1547" i="1"/>
  <c r="H1547" i="1"/>
  <c r="K1546" i="1"/>
  <c r="H1546" i="1"/>
  <c r="K1545" i="1"/>
  <c r="H1545" i="1"/>
  <c r="K1544" i="1"/>
  <c r="H1544" i="1"/>
  <c r="K1543" i="1"/>
  <c r="H1543" i="1"/>
  <c r="K1542" i="1"/>
  <c r="H1542" i="1"/>
  <c r="K1541" i="1"/>
  <c r="H1541" i="1"/>
  <c r="K1540" i="1"/>
  <c r="H1540" i="1"/>
  <c r="K1539" i="1"/>
  <c r="H1539" i="1"/>
  <c r="K1538" i="1"/>
  <c r="H1538" i="1"/>
  <c r="K1537" i="1"/>
  <c r="H1537" i="1"/>
  <c r="K1536" i="1"/>
  <c r="H1536" i="1"/>
  <c r="K1535" i="1"/>
  <c r="H1535" i="1"/>
  <c r="K1534" i="1"/>
  <c r="H1534" i="1"/>
  <c r="K1533" i="1"/>
  <c r="H1533" i="1"/>
  <c r="K1532" i="1"/>
  <c r="H1532" i="1"/>
  <c r="K1531" i="1"/>
  <c r="H1531" i="1"/>
  <c r="K1530" i="1"/>
  <c r="H1530" i="1"/>
  <c r="K1529" i="1"/>
  <c r="H1529" i="1"/>
  <c r="K1528" i="1"/>
  <c r="H1528" i="1"/>
  <c r="K1527" i="1"/>
  <c r="H1527" i="1"/>
  <c r="K1526" i="1"/>
  <c r="H1526" i="1"/>
  <c r="K1525" i="1"/>
  <c r="H1525" i="1"/>
  <c r="K1524" i="1"/>
  <c r="H1524" i="1"/>
  <c r="K1523" i="1"/>
  <c r="H1523" i="1"/>
  <c r="K1522" i="1"/>
  <c r="H1522" i="1"/>
  <c r="K1521" i="1"/>
  <c r="H1521" i="1"/>
  <c r="K1520" i="1"/>
  <c r="H1520" i="1"/>
  <c r="K1519" i="1"/>
  <c r="H1519" i="1"/>
  <c r="K1518" i="1"/>
  <c r="H1518" i="1"/>
  <c r="K1517" i="1"/>
  <c r="H1517" i="1"/>
  <c r="K1516" i="1"/>
  <c r="H1516" i="1"/>
  <c r="K1515" i="1"/>
  <c r="H1515" i="1"/>
  <c r="K1514" i="1"/>
  <c r="H1514" i="1"/>
  <c r="K1513" i="1"/>
  <c r="H1513" i="1"/>
  <c r="K1512" i="1"/>
  <c r="H1512" i="1"/>
  <c r="K1511" i="1"/>
  <c r="H1511" i="1"/>
  <c r="K1510" i="1"/>
  <c r="H1510" i="1"/>
  <c r="K1509" i="1"/>
  <c r="H1509" i="1"/>
  <c r="K1508" i="1"/>
  <c r="H1508" i="1"/>
  <c r="K1507" i="1"/>
  <c r="H1507" i="1"/>
  <c r="K1506" i="1"/>
  <c r="H1506" i="1"/>
  <c r="K1505" i="1"/>
  <c r="H1505" i="1"/>
  <c r="K1504" i="1"/>
  <c r="H1504" i="1"/>
  <c r="K1503" i="1"/>
  <c r="H1503" i="1"/>
  <c r="K1502" i="1"/>
  <c r="H1502" i="1"/>
  <c r="K1501" i="1"/>
  <c r="H1501" i="1"/>
  <c r="K1500" i="1"/>
  <c r="H1500" i="1"/>
  <c r="K1499" i="1"/>
  <c r="H1499" i="1"/>
  <c r="K1498" i="1"/>
  <c r="H1498" i="1"/>
  <c r="K1497" i="1"/>
  <c r="H1497" i="1"/>
  <c r="K1496" i="1"/>
  <c r="H1496" i="1"/>
  <c r="K1495" i="1"/>
  <c r="H1495" i="1"/>
  <c r="K1494" i="1"/>
  <c r="H1494" i="1"/>
  <c r="K1493" i="1"/>
  <c r="H1493" i="1"/>
  <c r="K1492" i="1"/>
  <c r="H1492" i="1"/>
  <c r="K1491" i="1"/>
  <c r="H1491" i="1"/>
  <c r="K1490" i="1"/>
  <c r="H1490" i="1"/>
  <c r="K1489" i="1"/>
  <c r="H1489" i="1"/>
  <c r="K1488" i="1"/>
  <c r="H1488" i="1"/>
  <c r="K1487" i="1"/>
  <c r="H1487" i="1"/>
  <c r="K1486" i="1"/>
  <c r="H1486" i="1"/>
  <c r="K1485" i="1"/>
  <c r="H1485" i="1"/>
  <c r="K1484" i="1"/>
  <c r="H1484" i="1"/>
  <c r="K1483" i="1"/>
  <c r="H1483" i="1"/>
  <c r="K1482" i="1"/>
  <c r="H1482" i="1"/>
  <c r="K1481" i="1"/>
  <c r="H1481" i="1"/>
  <c r="K1480" i="1"/>
  <c r="H1480" i="1"/>
  <c r="K1479" i="1"/>
  <c r="H1479" i="1"/>
  <c r="K1478" i="1"/>
  <c r="H1478" i="1"/>
  <c r="K1477" i="1"/>
  <c r="H1477" i="1"/>
  <c r="K1476" i="1"/>
  <c r="H1476" i="1"/>
  <c r="K1475" i="1"/>
  <c r="H1475" i="1"/>
  <c r="K1474" i="1"/>
  <c r="H1474" i="1"/>
  <c r="K1473" i="1"/>
  <c r="H1473" i="1"/>
  <c r="K1472" i="1"/>
  <c r="H1472" i="1"/>
  <c r="K1471" i="1"/>
  <c r="H1471" i="1"/>
  <c r="K1470" i="1"/>
  <c r="H1470" i="1"/>
  <c r="K1469" i="1"/>
  <c r="H1469" i="1"/>
  <c r="K1468" i="1"/>
  <c r="H1468" i="1"/>
  <c r="K1467" i="1"/>
  <c r="H1467" i="1"/>
  <c r="K1466" i="1"/>
  <c r="H1466" i="1"/>
  <c r="K1465" i="1"/>
  <c r="H1465" i="1"/>
  <c r="K1464" i="1"/>
  <c r="H1464" i="1"/>
  <c r="K1463" i="1"/>
  <c r="H1463" i="1"/>
  <c r="K1462" i="1"/>
  <c r="H1462" i="1"/>
  <c r="K1461" i="1"/>
  <c r="H1461" i="1"/>
  <c r="K1460" i="1"/>
  <c r="H1460" i="1"/>
  <c r="K1459" i="1"/>
  <c r="H1459" i="1"/>
  <c r="K1458" i="1"/>
  <c r="H1458" i="1"/>
  <c r="K1457" i="1"/>
  <c r="H1457" i="1"/>
  <c r="K1456" i="1"/>
  <c r="H1456" i="1"/>
  <c r="K1455" i="1"/>
  <c r="H1455" i="1"/>
  <c r="K1454" i="1"/>
  <c r="H1454" i="1"/>
  <c r="K1453" i="1"/>
  <c r="H1453" i="1"/>
  <c r="K1452" i="1"/>
  <c r="H1452" i="1"/>
  <c r="K1451" i="1"/>
  <c r="H1451" i="1"/>
  <c r="K1450" i="1"/>
  <c r="H1450" i="1"/>
  <c r="K1449" i="1"/>
  <c r="H1449" i="1"/>
  <c r="K1448" i="1"/>
  <c r="H1448" i="1"/>
  <c r="K1447" i="1"/>
  <c r="H1447" i="1"/>
  <c r="K1446" i="1"/>
  <c r="H1446" i="1"/>
  <c r="K1445" i="1"/>
  <c r="H1445" i="1"/>
  <c r="K1444" i="1"/>
  <c r="H1444" i="1"/>
  <c r="K1443" i="1"/>
  <c r="H1443" i="1"/>
  <c r="K1442" i="1"/>
  <c r="H1442" i="1"/>
  <c r="K1441" i="1"/>
  <c r="H1441" i="1"/>
  <c r="K1440" i="1"/>
  <c r="H1440" i="1"/>
  <c r="K1439" i="1"/>
  <c r="H1439" i="1"/>
  <c r="K1438" i="1"/>
  <c r="H1438" i="1"/>
  <c r="K1437" i="1"/>
  <c r="H1437" i="1"/>
  <c r="K1436" i="1"/>
  <c r="H1436" i="1"/>
  <c r="K1435" i="1"/>
  <c r="H1435" i="1"/>
  <c r="K1434" i="1"/>
  <c r="H1434" i="1"/>
  <c r="K1433" i="1"/>
  <c r="H1433" i="1"/>
  <c r="K1432" i="1"/>
  <c r="H1432" i="1"/>
  <c r="K1431" i="1"/>
  <c r="H1431" i="1"/>
  <c r="K1430" i="1"/>
  <c r="H1430" i="1"/>
  <c r="K1429" i="1"/>
  <c r="H1429" i="1"/>
  <c r="K1428" i="1"/>
  <c r="H1428" i="1"/>
  <c r="K1427" i="1"/>
  <c r="H1427" i="1"/>
  <c r="K1426" i="1"/>
  <c r="H1426" i="1"/>
  <c r="K1425" i="1"/>
  <c r="H1425" i="1"/>
  <c r="K1424" i="1"/>
  <c r="H1424" i="1"/>
  <c r="K1423" i="1"/>
  <c r="H1423" i="1"/>
  <c r="K1422" i="1"/>
  <c r="H1422" i="1"/>
  <c r="K1421" i="1"/>
  <c r="H1421" i="1"/>
  <c r="K1420" i="1"/>
  <c r="H1420" i="1"/>
  <c r="K1419" i="1"/>
  <c r="H1419" i="1"/>
  <c r="K1418" i="1"/>
  <c r="H1418" i="1"/>
  <c r="K1417" i="1"/>
  <c r="H1417" i="1"/>
  <c r="K1416" i="1"/>
  <c r="H1416" i="1"/>
  <c r="K1415" i="1"/>
  <c r="H1415" i="1"/>
  <c r="K1414" i="1"/>
  <c r="H1414" i="1"/>
  <c r="K1413" i="1"/>
  <c r="H1413" i="1"/>
  <c r="K1412" i="1"/>
  <c r="H1412" i="1"/>
  <c r="K1411" i="1"/>
  <c r="H1411" i="1"/>
  <c r="K1410" i="1"/>
  <c r="H1410" i="1"/>
  <c r="K1409" i="1"/>
  <c r="H1409" i="1"/>
  <c r="K1408" i="1"/>
  <c r="H1408" i="1"/>
  <c r="K1407" i="1"/>
  <c r="H1407" i="1"/>
  <c r="K1406" i="1"/>
  <c r="H1406" i="1"/>
  <c r="K1405" i="1"/>
  <c r="H1405" i="1"/>
  <c r="K1404" i="1"/>
  <c r="H1404" i="1"/>
  <c r="K1403" i="1"/>
  <c r="H1403" i="1"/>
  <c r="K1402" i="1"/>
  <c r="H1402" i="1"/>
  <c r="K1401" i="1"/>
  <c r="H1401" i="1"/>
  <c r="K1400" i="1"/>
  <c r="H1400" i="1"/>
  <c r="K1399" i="1"/>
  <c r="H1399" i="1"/>
  <c r="K1398" i="1"/>
  <c r="H1398" i="1"/>
  <c r="K1397" i="1"/>
  <c r="H1397" i="1"/>
  <c r="K1396" i="1"/>
  <c r="H1396" i="1"/>
  <c r="K1395" i="1"/>
  <c r="H1395" i="1"/>
  <c r="K1394" i="1"/>
  <c r="H1394" i="1"/>
  <c r="K1393" i="1"/>
  <c r="H1393" i="1"/>
  <c r="K1392" i="1"/>
  <c r="H1392" i="1"/>
  <c r="K1391" i="1"/>
  <c r="H1391" i="1"/>
  <c r="K1390" i="1"/>
  <c r="H1390" i="1"/>
  <c r="K1389" i="1"/>
  <c r="H1389" i="1"/>
  <c r="K1388" i="1"/>
  <c r="H1388" i="1"/>
  <c r="K1387" i="1"/>
  <c r="H1387" i="1"/>
  <c r="K1386" i="1"/>
  <c r="H1386" i="1"/>
  <c r="K1385" i="1"/>
  <c r="H1385" i="1"/>
  <c r="K1384" i="1"/>
  <c r="H1384" i="1"/>
  <c r="K1383" i="1"/>
  <c r="H1383" i="1"/>
  <c r="K1382" i="1"/>
  <c r="H1382" i="1"/>
  <c r="K1381" i="1"/>
  <c r="H1381" i="1"/>
  <c r="K1380" i="1"/>
  <c r="H1380" i="1"/>
  <c r="K1379" i="1"/>
  <c r="H1379" i="1"/>
  <c r="K1378" i="1"/>
  <c r="H1378" i="1"/>
  <c r="K1377" i="1"/>
  <c r="H1377" i="1"/>
  <c r="K1376" i="1"/>
  <c r="H1376" i="1"/>
  <c r="K1375" i="1"/>
  <c r="H1375" i="1"/>
  <c r="K1374" i="1"/>
  <c r="H1374" i="1"/>
  <c r="K1373" i="1"/>
  <c r="H1373" i="1"/>
  <c r="K1372" i="1"/>
  <c r="H1372" i="1"/>
  <c r="K1371" i="1"/>
  <c r="H1371" i="1"/>
  <c r="K1370" i="1"/>
  <c r="H1370" i="1"/>
  <c r="K1369" i="1"/>
  <c r="H1369" i="1"/>
  <c r="K1368" i="1"/>
  <c r="H1368" i="1"/>
  <c r="K1367" i="1"/>
  <c r="H1367" i="1"/>
  <c r="K1366" i="1"/>
  <c r="H1366" i="1"/>
  <c r="K1365" i="1"/>
  <c r="H1365" i="1"/>
  <c r="K1364" i="1"/>
  <c r="H1364" i="1"/>
  <c r="K1363" i="1"/>
  <c r="H1363" i="1"/>
  <c r="K1362" i="1"/>
  <c r="H1362" i="1"/>
  <c r="K1361" i="1"/>
  <c r="H1361" i="1"/>
  <c r="K1360" i="1"/>
  <c r="H1360" i="1"/>
  <c r="K1359" i="1"/>
  <c r="H1359" i="1"/>
  <c r="K1358" i="1"/>
  <c r="H1358" i="1"/>
  <c r="K1357" i="1"/>
  <c r="H1357" i="1"/>
  <c r="K1356" i="1"/>
  <c r="H1356" i="1"/>
  <c r="K1355" i="1"/>
  <c r="H1355" i="1"/>
  <c r="K1354" i="1"/>
  <c r="H1354" i="1"/>
  <c r="K1353" i="1"/>
  <c r="H1353" i="1"/>
  <c r="K1352" i="1"/>
  <c r="H1352" i="1"/>
  <c r="K1351" i="1"/>
  <c r="H1351" i="1"/>
  <c r="K1350" i="1"/>
  <c r="H1350" i="1"/>
  <c r="K1349" i="1"/>
  <c r="H1349" i="1"/>
  <c r="K1348" i="1"/>
  <c r="H1348" i="1"/>
  <c r="K1347" i="1"/>
  <c r="H1347" i="1"/>
  <c r="K1346" i="1"/>
  <c r="H1346" i="1"/>
  <c r="K1345" i="1"/>
  <c r="H1345" i="1"/>
  <c r="K1344" i="1"/>
  <c r="H1344" i="1"/>
  <c r="K1343" i="1"/>
  <c r="H1343" i="1"/>
  <c r="K1342" i="1"/>
  <c r="H1342" i="1"/>
  <c r="K1341" i="1"/>
  <c r="H1341" i="1"/>
  <c r="K1340" i="1"/>
  <c r="H1340" i="1"/>
  <c r="K1339" i="1"/>
  <c r="H1339" i="1"/>
  <c r="K1338" i="1"/>
  <c r="H1338" i="1"/>
  <c r="K1337" i="1"/>
  <c r="H1337" i="1"/>
  <c r="K1336" i="1"/>
  <c r="H1336" i="1"/>
  <c r="K1335" i="1"/>
  <c r="H1335" i="1"/>
  <c r="K1334" i="1"/>
  <c r="H1334" i="1"/>
  <c r="K1333" i="1"/>
  <c r="H1333" i="1"/>
  <c r="K1332" i="1"/>
  <c r="H1332" i="1"/>
  <c r="K1331" i="1"/>
  <c r="H1331" i="1"/>
  <c r="K1330" i="1"/>
  <c r="H1330" i="1"/>
  <c r="K1329" i="1"/>
  <c r="H1329" i="1"/>
  <c r="K1328" i="1"/>
  <c r="H1328" i="1"/>
  <c r="K1327" i="1"/>
  <c r="H1327" i="1"/>
  <c r="K1326" i="1"/>
  <c r="H1326" i="1"/>
  <c r="K1325" i="1"/>
  <c r="H1325" i="1"/>
  <c r="K1324" i="1"/>
  <c r="H1324" i="1"/>
  <c r="K1323" i="1"/>
  <c r="H1323" i="1"/>
  <c r="K1322" i="1"/>
  <c r="H1322" i="1"/>
  <c r="K1321" i="1"/>
  <c r="H1321" i="1"/>
  <c r="K1320" i="1"/>
  <c r="H1320" i="1"/>
  <c r="K1319" i="1"/>
  <c r="H1319" i="1"/>
  <c r="K1318" i="1"/>
  <c r="H1318" i="1"/>
  <c r="K1317" i="1"/>
  <c r="H1317" i="1"/>
  <c r="K1316" i="1"/>
  <c r="H1316" i="1"/>
  <c r="K1315" i="1"/>
  <c r="H1315" i="1"/>
  <c r="K1314" i="1"/>
  <c r="H1314" i="1"/>
  <c r="K1313" i="1"/>
  <c r="H1313" i="1"/>
  <c r="K1312" i="1"/>
  <c r="H1312" i="1"/>
  <c r="K1311" i="1"/>
  <c r="H1311" i="1"/>
  <c r="K1310" i="1"/>
  <c r="H1310" i="1"/>
  <c r="K1309" i="1"/>
  <c r="H1309" i="1"/>
  <c r="K1308" i="1"/>
  <c r="H1308" i="1"/>
  <c r="K1307" i="1"/>
  <c r="H1307" i="1"/>
  <c r="K1306" i="1"/>
  <c r="H1306" i="1"/>
  <c r="K1305" i="1"/>
  <c r="H1305" i="1"/>
  <c r="K1304" i="1"/>
  <c r="H1304" i="1"/>
  <c r="K1303" i="1"/>
  <c r="H1303" i="1"/>
  <c r="K1302" i="1"/>
  <c r="H1302" i="1"/>
  <c r="K1301" i="1"/>
  <c r="H1301" i="1"/>
  <c r="K1300" i="1"/>
  <c r="H1300" i="1"/>
  <c r="K1299" i="1"/>
  <c r="H1299" i="1"/>
  <c r="K1298" i="1"/>
  <c r="H1298" i="1"/>
  <c r="K1297" i="1"/>
  <c r="H1297" i="1"/>
  <c r="K1296" i="1"/>
  <c r="H1296" i="1"/>
  <c r="K1295" i="1"/>
  <c r="H1295" i="1"/>
  <c r="K1294" i="1"/>
  <c r="H1294" i="1"/>
  <c r="K1293" i="1"/>
  <c r="H1293" i="1"/>
  <c r="K1292" i="1"/>
  <c r="H1292" i="1"/>
  <c r="K1291" i="1"/>
  <c r="H1291" i="1"/>
  <c r="K1290" i="1"/>
  <c r="H1290" i="1"/>
  <c r="K1289" i="1"/>
  <c r="H1289" i="1"/>
  <c r="K1288" i="1"/>
  <c r="H1288" i="1"/>
  <c r="K1287" i="1"/>
  <c r="H1287" i="1"/>
  <c r="K1286" i="1"/>
  <c r="H1286" i="1"/>
  <c r="K1285" i="1"/>
  <c r="H1285" i="1"/>
  <c r="K1284" i="1"/>
  <c r="H1284" i="1"/>
  <c r="K1283" i="1"/>
  <c r="H1283" i="1"/>
  <c r="K1282" i="1"/>
  <c r="H1282" i="1"/>
  <c r="K1281" i="1"/>
  <c r="H1281" i="1"/>
  <c r="K1280" i="1"/>
  <c r="H1280" i="1"/>
  <c r="K1279" i="1"/>
  <c r="H1279" i="1"/>
  <c r="K1278" i="1"/>
  <c r="H1278" i="1"/>
  <c r="K1277" i="1"/>
  <c r="H1277" i="1"/>
  <c r="K1276" i="1"/>
  <c r="H1276" i="1"/>
  <c r="K1275" i="1"/>
  <c r="H1275" i="1"/>
  <c r="K1274" i="1"/>
  <c r="H1274" i="1"/>
  <c r="K1273" i="1"/>
  <c r="H1273" i="1"/>
  <c r="K1272" i="1"/>
  <c r="H1272" i="1"/>
  <c r="K1271" i="1"/>
  <c r="H1271" i="1"/>
  <c r="K1270" i="1"/>
  <c r="H1270" i="1"/>
  <c r="K1269" i="1"/>
  <c r="H1269" i="1"/>
  <c r="K1268" i="1"/>
  <c r="H1268" i="1"/>
  <c r="K1267" i="1"/>
  <c r="H1267" i="1"/>
  <c r="K1266" i="1"/>
  <c r="H1266" i="1"/>
  <c r="K1265" i="1"/>
  <c r="H1265" i="1"/>
  <c r="K1264" i="1"/>
  <c r="H1264" i="1"/>
  <c r="K1263" i="1"/>
  <c r="H1263" i="1"/>
  <c r="K1262" i="1"/>
  <c r="H1262" i="1"/>
  <c r="K1261" i="1"/>
  <c r="H1261" i="1"/>
  <c r="K1260" i="1"/>
  <c r="H1260" i="1"/>
  <c r="K1259" i="1"/>
  <c r="H1259" i="1"/>
  <c r="K1258" i="1"/>
  <c r="H1258" i="1"/>
  <c r="K1257" i="1"/>
  <c r="H1257" i="1"/>
  <c r="K1256" i="1"/>
  <c r="H1256" i="1"/>
  <c r="K1255" i="1"/>
  <c r="H1255" i="1"/>
  <c r="K1254" i="1"/>
  <c r="H1254" i="1"/>
  <c r="K1253" i="1"/>
  <c r="H1253" i="1"/>
  <c r="K1252" i="1"/>
  <c r="H1252" i="1"/>
  <c r="K1251" i="1"/>
  <c r="H1251" i="1"/>
  <c r="K1250" i="1"/>
  <c r="H1250" i="1"/>
  <c r="K1249" i="1"/>
  <c r="H1249" i="1"/>
  <c r="K1248" i="1"/>
  <c r="H1248" i="1"/>
  <c r="K1247" i="1"/>
  <c r="H1247" i="1"/>
  <c r="K1246" i="1"/>
  <c r="H1246" i="1"/>
  <c r="K1245" i="1"/>
  <c r="H1245" i="1"/>
  <c r="K1244" i="1"/>
  <c r="H1244" i="1"/>
  <c r="K1243" i="1"/>
  <c r="H1243" i="1"/>
  <c r="K1242" i="1"/>
  <c r="H1242" i="1"/>
  <c r="K1241" i="1"/>
  <c r="H1241" i="1"/>
  <c r="K1240" i="1"/>
  <c r="H1240" i="1"/>
  <c r="K1239" i="1"/>
  <c r="H1239" i="1"/>
  <c r="K1238" i="1"/>
  <c r="H1238" i="1"/>
  <c r="K1237" i="1"/>
  <c r="H1237" i="1"/>
  <c r="K1236" i="1"/>
  <c r="H1236" i="1"/>
  <c r="K1235" i="1"/>
  <c r="H1235" i="1"/>
  <c r="K1234" i="1"/>
  <c r="H1234" i="1"/>
  <c r="K1233" i="1"/>
  <c r="H1233" i="1"/>
  <c r="K1232" i="1"/>
  <c r="H1232" i="1"/>
  <c r="K1231" i="1"/>
  <c r="H1231" i="1"/>
  <c r="K1230" i="1"/>
  <c r="H1230" i="1"/>
  <c r="K1229" i="1"/>
  <c r="H1229" i="1"/>
  <c r="K1228" i="1"/>
  <c r="H1228" i="1"/>
  <c r="K1227" i="1"/>
  <c r="H1227" i="1"/>
  <c r="K1226" i="1"/>
  <c r="H1226" i="1"/>
  <c r="K1225" i="1"/>
  <c r="H1225" i="1"/>
  <c r="K1224" i="1"/>
  <c r="H1224" i="1"/>
  <c r="K1223" i="1"/>
  <c r="H1223" i="1"/>
  <c r="K1222" i="1"/>
  <c r="H1222" i="1"/>
  <c r="K1221" i="1"/>
  <c r="H1221" i="1"/>
  <c r="K1220" i="1"/>
  <c r="H1220" i="1"/>
  <c r="K1219" i="1"/>
  <c r="H1219" i="1"/>
  <c r="K1218" i="1"/>
  <c r="H1218" i="1"/>
  <c r="K1217" i="1"/>
  <c r="H1217" i="1"/>
  <c r="K1216" i="1"/>
  <c r="H1216" i="1"/>
  <c r="K1215" i="1"/>
  <c r="H1215" i="1"/>
  <c r="K1214" i="1"/>
  <c r="H1214" i="1"/>
  <c r="K1213" i="1"/>
  <c r="H1213" i="1"/>
  <c r="K1212" i="1"/>
  <c r="H1212" i="1"/>
  <c r="K1211" i="1"/>
  <c r="H1211" i="1"/>
  <c r="K1210" i="1"/>
  <c r="H1210" i="1"/>
  <c r="K1209" i="1"/>
  <c r="H1209" i="1"/>
  <c r="K1208" i="1"/>
  <c r="H1208" i="1"/>
  <c r="K1207" i="1"/>
  <c r="H1207" i="1"/>
  <c r="K1206" i="1"/>
  <c r="H1206" i="1"/>
  <c r="K1205" i="1"/>
  <c r="H1205" i="1"/>
  <c r="K1204" i="1"/>
  <c r="H1204" i="1"/>
  <c r="K1203" i="1"/>
  <c r="H1203" i="1"/>
  <c r="K1202" i="1"/>
  <c r="H1202" i="1"/>
  <c r="K1201" i="1"/>
  <c r="H1201" i="1"/>
  <c r="K1200" i="1"/>
  <c r="H1200" i="1"/>
  <c r="K1199" i="1"/>
  <c r="H1199" i="1"/>
  <c r="K1198" i="1"/>
  <c r="H1198" i="1"/>
  <c r="K1197" i="1"/>
  <c r="H1197" i="1"/>
  <c r="K1196" i="1"/>
  <c r="H1196" i="1"/>
  <c r="K1195" i="1"/>
  <c r="H1195" i="1"/>
  <c r="K1194" i="1"/>
  <c r="H1194" i="1"/>
  <c r="K1193" i="1"/>
  <c r="H1193" i="1"/>
  <c r="K1192" i="1"/>
  <c r="H1192" i="1"/>
  <c r="K1191" i="1"/>
  <c r="H1191" i="1"/>
  <c r="K1190" i="1"/>
  <c r="H1190" i="1"/>
  <c r="K1189" i="1"/>
  <c r="H1189" i="1"/>
  <c r="K1188" i="1"/>
  <c r="H1188" i="1"/>
  <c r="K1187" i="1"/>
  <c r="H1187" i="1"/>
  <c r="K1186" i="1"/>
  <c r="H1186" i="1"/>
  <c r="K1185" i="1"/>
  <c r="H1185" i="1"/>
  <c r="K1184" i="1"/>
  <c r="H1184" i="1"/>
  <c r="K1183" i="1"/>
  <c r="H1183" i="1"/>
  <c r="K1182" i="1"/>
  <c r="H1182" i="1"/>
  <c r="K1181" i="1"/>
  <c r="H1181" i="1"/>
  <c r="K1180" i="1"/>
  <c r="H1180" i="1"/>
  <c r="K1179" i="1"/>
  <c r="H1179" i="1"/>
  <c r="K1178" i="1"/>
  <c r="H1178" i="1"/>
  <c r="K1177" i="1"/>
  <c r="H1177" i="1"/>
  <c r="K1176" i="1"/>
  <c r="H1176" i="1"/>
  <c r="K1175" i="1"/>
  <c r="H1175" i="1"/>
  <c r="K1174" i="1"/>
  <c r="H1174" i="1"/>
  <c r="K1173" i="1"/>
  <c r="H1173" i="1"/>
  <c r="K1172" i="1"/>
  <c r="H1172" i="1"/>
  <c r="K1171" i="1"/>
  <c r="H1171" i="1"/>
  <c r="K1170" i="1"/>
  <c r="H1170" i="1"/>
  <c r="K1169" i="1"/>
  <c r="H1169" i="1"/>
  <c r="K1168" i="1"/>
  <c r="H1168" i="1"/>
  <c r="K1167" i="1"/>
  <c r="H1167" i="1"/>
  <c r="K1166" i="1"/>
  <c r="H1166" i="1"/>
  <c r="K1165" i="1"/>
  <c r="H1165" i="1"/>
  <c r="K1164" i="1"/>
  <c r="H1164" i="1"/>
  <c r="K1163" i="1"/>
  <c r="H1163" i="1"/>
  <c r="K1162" i="1"/>
  <c r="H1162" i="1"/>
  <c r="K1161" i="1"/>
  <c r="H1161" i="1"/>
  <c r="K1160" i="1"/>
  <c r="H1160" i="1"/>
  <c r="K1159" i="1"/>
  <c r="H1159" i="1"/>
  <c r="K1158" i="1"/>
  <c r="H1158" i="1"/>
  <c r="K1157" i="1"/>
  <c r="H1157" i="1"/>
  <c r="K1156" i="1"/>
  <c r="H1156" i="1"/>
  <c r="K1155" i="1"/>
  <c r="H1155" i="1"/>
  <c r="K1154" i="1"/>
  <c r="H1154" i="1"/>
  <c r="K1153" i="1"/>
  <c r="H1153" i="1"/>
  <c r="K1152" i="1"/>
  <c r="H1152" i="1"/>
  <c r="K1151" i="1"/>
  <c r="H1151" i="1"/>
  <c r="K1150" i="1"/>
  <c r="H1150" i="1"/>
  <c r="K1149" i="1"/>
  <c r="H1149" i="1"/>
  <c r="K1148" i="1"/>
  <c r="H1148" i="1"/>
  <c r="K1147" i="1"/>
  <c r="H1147" i="1"/>
  <c r="K1146" i="1"/>
  <c r="H1146" i="1"/>
  <c r="K1145" i="1"/>
  <c r="H1145" i="1"/>
  <c r="K1144" i="1"/>
  <c r="H1144" i="1"/>
  <c r="K1143" i="1"/>
  <c r="H1143" i="1"/>
  <c r="K1142" i="1"/>
  <c r="H1142" i="1"/>
  <c r="K1141" i="1"/>
  <c r="H1141" i="1"/>
  <c r="K1140" i="1"/>
  <c r="H1140" i="1"/>
  <c r="K1139" i="1"/>
  <c r="H1139" i="1"/>
  <c r="K1138" i="1"/>
  <c r="H1138" i="1"/>
  <c r="K1137" i="1"/>
  <c r="H1137" i="1"/>
  <c r="K1136" i="1"/>
  <c r="H1136" i="1"/>
  <c r="K1135" i="1"/>
  <c r="H1135" i="1"/>
  <c r="K1134" i="1"/>
  <c r="H1134" i="1"/>
  <c r="K1133" i="1"/>
  <c r="H1133" i="1"/>
  <c r="K1132" i="1"/>
  <c r="H1132" i="1"/>
  <c r="K1131" i="1"/>
  <c r="H1131" i="1"/>
  <c r="K1130" i="1"/>
  <c r="H1130" i="1"/>
  <c r="K1129" i="1"/>
  <c r="H1129" i="1"/>
  <c r="K1128" i="1"/>
  <c r="H1128" i="1"/>
  <c r="K1127" i="1"/>
  <c r="H1127" i="1"/>
  <c r="K1126" i="1"/>
  <c r="H1126" i="1"/>
  <c r="K1125" i="1"/>
  <c r="H1125" i="1"/>
  <c r="K1124" i="1"/>
  <c r="H1124" i="1"/>
  <c r="K1123" i="1"/>
  <c r="H1123" i="1"/>
  <c r="K1122" i="1"/>
  <c r="H1122" i="1"/>
  <c r="K1121" i="1"/>
  <c r="H1121" i="1"/>
  <c r="K1120" i="1"/>
  <c r="H1120" i="1"/>
  <c r="K1119" i="1"/>
  <c r="H1119" i="1"/>
  <c r="K1118" i="1"/>
  <c r="H1118" i="1"/>
  <c r="K1117" i="1"/>
  <c r="H1117" i="1"/>
  <c r="K1116" i="1"/>
  <c r="H1116" i="1"/>
  <c r="K1115" i="1"/>
  <c r="H1115" i="1"/>
  <c r="K1114" i="1"/>
  <c r="H1114" i="1"/>
  <c r="K1113" i="1"/>
  <c r="H1113" i="1"/>
  <c r="K1112" i="1"/>
  <c r="H1112" i="1"/>
  <c r="K1111" i="1"/>
  <c r="H1111" i="1"/>
  <c r="K1110" i="1"/>
  <c r="H1110" i="1"/>
  <c r="K1109" i="1"/>
  <c r="H1109" i="1"/>
  <c r="K1108" i="1"/>
  <c r="H1108" i="1"/>
  <c r="K1107" i="1"/>
  <c r="H1107" i="1"/>
  <c r="K1106" i="1"/>
  <c r="H1106" i="1"/>
  <c r="K1105" i="1"/>
  <c r="H1105" i="1"/>
  <c r="K1104" i="1"/>
  <c r="H1104" i="1"/>
  <c r="K1103" i="1"/>
  <c r="H1103" i="1"/>
  <c r="K1102" i="1"/>
  <c r="H1102" i="1"/>
  <c r="K1101" i="1"/>
  <c r="H1101" i="1"/>
  <c r="K1100" i="1"/>
  <c r="H1100" i="1"/>
  <c r="K1099" i="1"/>
  <c r="H1099" i="1"/>
  <c r="K1098" i="1"/>
  <c r="H1098" i="1"/>
  <c r="K1097" i="1"/>
  <c r="H1097" i="1"/>
  <c r="K1096" i="1"/>
  <c r="H1096" i="1"/>
  <c r="K1095" i="1"/>
  <c r="H1095" i="1"/>
  <c r="K1094" i="1"/>
  <c r="H1094" i="1"/>
  <c r="K1093" i="1"/>
  <c r="H1093" i="1"/>
  <c r="K1092" i="1"/>
  <c r="H1092" i="1"/>
  <c r="K1091" i="1"/>
  <c r="H1091" i="1"/>
  <c r="K1090" i="1"/>
  <c r="H1090" i="1"/>
  <c r="K1089" i="1"/>
  <c r="H1089" i="1"/>
  <c r="K1088" i="1"/>
  <c r="H1088" i="1"/>
  <c r="K1087" i="1"/>
  <c r="H1087" i="1"/>
  <c r="K1086" i="1"/>
  <c r="H1086" i="1"/>
  <c r="K1085" i="1"/>
  <c r="H1085" i="1"/>
  <c r="K1084" i="1"/>
  <c r="H1084" i="1"/>
  <c r="K1083" i="1"/>
  <c r="H1083" i="1"/>
  <c r="K1082" i="1"/>
  <c r="H1082" i="1"/>
  <c r="K1081" i="1"/>
  <c r="H1081" i="1"/>
  <c r="K1080" i="1"/>
  <c r="H1080" i="1"/>
  <c r="K1079" i="1"/>
  <c r="H1079" i="1"/>
  <c r="K1078" i="1"/>
  <c r="H1078" i="1"/>
  <c r="K1077" i="1"/>
  <c r="H1077" i="1"/>
  <c r="K1076" i="1"/>
  <c r="H1076" i="1"/>
  <c r="K1075" i="1"/>
  <c r="H1075" i="1"/>
  <c r="K1074" i="1"/>
  <c r="H1074" i="1"/>
  <c r="K1073" i="1"/>
  <c r="H1073" i="1"/>
  <c r="K1072" i="1"/>
  <c r="H1072" i="1"/>
  <c r="K1071" i="1"/>
  <c r="H1071" i="1"/>
  <c r="K1070" i="1"/>
  <c r="H1070" i="1"/>
  <c r="K1069" i="1"/>
  <c r="H1069" i="1"/>
  <c r="K1068" i="1"/>
  <c r="H1068" i="1"/>
  <c r="K1067" i="1"/>
  <c r="H1067" i="1"/>
  <c r="K1066" i="1"/>
  <c r="H1066" i="1"/>
  <c r="K1065" i="1"/>
  <c r="H1065" i="1"/>
  <c r="K1064" i="1"/>
  <c r="H1064" i="1"/>
  <c r="K1063" i="1"/>
  <c r="H1063" i="1"/>
  <c r="K1062" i="1"/>
  <c r="H1062" i="1"/>
  <c r="K1061" i="1"/>
  <c r="H1061" i="1"/>
  <c r="K1060" i="1"/>
  <c r="H1060" i="1"/>
  <c r="K1059" i="1"/>
  <c r="H1059" i="1"/>
  <c r="K1058" i="1"/>
  <c r="H1058" i="1"/>
  <c r="K1057" i="1"/>
  <c r="H1057" i="1"/>
  <c r="K1056" i="1"/>
  <c r="H1056" i="1"/>
  <c r="K1055" i="1"/>
  <c r="H1055" i="1"/>
  <c r="K1054" i="1"/>
  <c r="H1054" i="1"/>
  <c r="K1053" i="1"/>
  <c r="H1053" i="1"/>
  <c r="K1052" i="1"/>
  <c r="H1052" i="1"/>
  <c r="K1051" i="1"/>
  <c r="H1051" i="1"/>
  <c r="K1050" i="1"/>
  <c r="H1050" i="1"/>
  <c r="K1049" i="1"/>
  <c r="H1049" i="1"/>
  <c r="K1048" i="1"/>
  <c r="H1048" i="1"/>
  <c r="K1047" i="1"/>
  <c r="H1047" i="1"/>
  <c r="K1046" i="1"/>
  <c r="H1046" i="1"/>
  <c r="K1045" i="1"/>
  <c r="H1045" i="1"/>
  <c r="K1044" i="1"/>
  <c r="H1044" i="1"/>
  <c r="K1043" i="1"/>
  <c r="H1043" i="1"/>
  <c r="K1042" i="1"/>
  <c r="H1042" i="1"/>
  <c r="K1041" i="1"/>
  <c r="H1041" i="1"/>
  <c r="K1040" i="1"/>
  <c r="H1040" i="1"/>
  <c r="K1039" i="1"/>
  <c r="H1039" i="1"/>
  <c r="K1038" i="1"/>
  <c r="H1038" i="1"/>
  <c r="K1037" i="1"/>
  <c r="H1037" i="1"/>
  <c r="K1036" i="1"/>
  <c r="H1036" i="1"/>
  <c r="K1035" i="1"/>
  <c r="H1035" i="1"/>
  <c r="K1034" i="1"/>
  <c r="H1034" i="1"/>
  <c r="K1033" i="1"/>
  <c r="H1033" i="1"/>
  <c r="K1032" i="1"/>
  <c r="H1032" i="1"/>
  <c r="K1031" i="1"/>
  <c r="H1031" i="1"/>
  <c r="K1030" i="1"/>
  <c r="H1030" i="1"/>
  <c r="K1029" i="1"/>
  <c r="H1029" i="1"/>
  <c r="K1028" i="1"/>
  <c r="H1028" i="1"/>
  <c r="K1027" i="1"/>
  <c r="H1027" i="1"/>
  <c r="K1026" i="1"/>
  <c r="H1026" i="1"/>
  <c r="K1025" i="1"/>
  <c r="H1025" i="1"/>
  <c r="K1024" i="1"/>
  <c r="H1024" i="1"/>
  <c r="K1023" i="1"/>
  <c r="H1023" i="1"/>
  <c r="K1022" i="1"/>
  <c r="H1022" i="1"/>
  <c r="K1021" i="1"/>
  <c r="H1021" i="1"/>
  <c r="K1020" i="1"/>
  <c r="H1020" i="1"/>
  <c r="K1019" i="1"/>
  <c r="H1019" i="1"/>
  <c r="K1018" i="1"/>
  <c r="H1018" i="1"/>
  <c r="K1017" i="1"/>
  <c r="H1017" i="1"/>
  <c r="K1016" i="1"/>
  <c r="H1016" i="1"/>
  <c r="K1015" i="1"/>
  <c r="H1015" i="1"/>
  <c r="K1014" i="1"/>
  <c r="H1014" i="1"/>
  <c r="K1013" i="1"/>
  <c r="H1013" i="1"/>
  <c r="K1012" i="1"/>
  <c r="H1012" i="1"/>
  <c r="K1011" i="1"/>
  <c r="H1011" i="1"/>
  <c r="K1010" i="1"/>
  <c r="H1010" i="1"/>
  <c r="K1009" i="1"/>
  <c r="H1009" i="1"/>
  <c r="K1008" i="1"/>
  <c r="H1008" i="1"/>
  <c r="K1007" i="1"/>
  <c r="H1007" i="1"/>
  <c r="K1006" i="1"/>
  <c r="H1006" i="1"/>
  <c r="K1005" i="1"/>
  <c r="H1005" i="1"/>
  <c r="K1004" i="1"/>
  <c r="H1004" i="1"/>
  <c r="K1003" i="1"/>
  <c r="H1003" i="1"/>
  <c r="K1002" i="1"/>
  <c r="H1002" i="1"/>
  <c r="K1001" i="1"/>
  <c r="H1001" i="1"/>
  <c r="K1000" i="1"/>
  <c r="H1000" i="1"/>
  <c r="K999" i="1"/>
  <c r="H999" i="1"/>
  <c r="K998" i="1"/>
  <c r="H998" i="1"/>
  <c r="K997" i="1"/>
  <c r="H997" i="1"/>
  <c r="K996" i="1"/>
  <c r="H996" i="1"/>
  <c r="K995" i="1"/>
  <c r="H995" i="1"/>
  <c r="K994" i="1"/>
  <c r="H994" i="1"/>
  <c r="K993" i="1"/>
  <c r="H993" i="1"/>
  <c r="K992" i="1"/>
  <c r="H992" i="1"/>
  <c r="K991" i="1"/>
  <c r="H991" i="1"/>
  <c r="K990" i="1"/>
  <c r="H990" i="1"/>
  <c r="K989" i="1"/>
  <c r="H989" i="1"/>
  <c r="K988" i="1"/>
  <c r="H988" i="1"/>
  <c r="K987" i="1"/>
  <c r="H987" i="1"/>
  <c r="K986" i="1"/>
  <c r="H986" i="1"/>
  <c r="K985" i="1"/>
  <c r="H985" i="1"/>
  <c r="K984" i="1"/>
  <c r="H984" i="1"/>
  <c r="K983" i="1"/>
  <c r="H983" i="1"/>
  <c r="K982" i="1"/>
  <c r="H982" i="1"/>
  <c r="K981" i="1"/>
  <c r="H981" i="1"/>
  <c r="K980" i="1"/>
  <c r="H980" i="1"/>
  <c r="K979" i="1"/>
  <c r="H979" i="1"/>
  <c r="K978" i="1"/>
  <c r="H978" i="1"/>
  <c r="K977" i="1"/>
  <c r="H977" i="1"/>
  <c r="K976" i="1"/>
  <c r="H976" i="1"/>
  <c r="K975" i="1"/>
  <c r="H975" i="1"/>
  <c r="K974" i="1"/>
  <c r="H974" i="1"/>
  <c r="K973" i="1"/>
  <c r="H973" i="1"/>
  <c r="K972" i="1"/>
  <c r="H972" i="1"/>
  <c r="K971" i="1"/>
  <c r="H971" i="1"/>
  <c r="K970" i="1"/>
  <c r="H970" i="1"/>
  <c r="K969" i="1"/>
  <c r="H969" i="1"/>
  <c r="K968" i="1"/>
  <c r="H968" i="1"/>
  <c r="K967" i="1"/>
  <c r="H967" i="1"/>
  <c r="K966" i="1"/>
  <c r="H966" i="1"/>
  <c r="K965" i="1"/>
  <c r="H965" i="1"/>
  <c r="K964" i="1"/>
  <c r="H964" i="1"/>
  <c r="K963" i="1"/>
  <c r="H963" i="1"/>
  <c r="K962" i="1"/>
  <c r="H962" i="1"/>
  <c r="K961" i="1"/>
  <c r="H961" i="1"/>
  <c r="K960" i="1"/>
  <c r="H960" i="1"/>
  <c r="K959" i="1"/>
  <c r="H959" i="1"/>
  <c r="K958" i="1"/>
  <c r="H958" i="1"/>
  <c r="K957" i="1"/>
  <c r="H957" i="1"/>
  <c r="K956" i="1"/>
  <c r="H956" i="1"/>
  <c r="K955" i="1"/>
  <c r="H955" i="1"/>
  <c r="K954" i="1"/>
  <c r="H954" i="1"/>
  <c r="K953" i="1"/>
  <c r="H953" i="1"/>
  <c r="K952" i="1"/>
  <c r="H952" i="1"/>
  <c r="K951" i="1"/>
  <c r="H951" i="1"/>
  <c r="K950" i="1"/>
  <c r="H950" i="1"/>
  <c r="K949" i="1"/>
  <c r="H949" i="1"/>
  <c r="K948" i="1"/>
  <c r="H948" i="1"/>
  <c r="K947" i="1"/>
  <c r="H947" i="1"/>
  <c r="K946" i="1"/>
  <c r="H946" i="1"/>
  <c r="K945" i="1"/>
  <c r="H945" i="1"/>
  <c r="K944" i="1"/>
  <c r="H944" i="1"/>
  <c r="K943" i="1"/>
  <c r="H943" i="1"/>
  <c r="K942" i="1"/>
  <c r="H942" i="1"/>
  <c r="K941" i="1"/>
  <c r="H941" i="1"/>
  <c r="K940" i="1"/>
  <c r="H940" i="1"/>
  <c r="K939" i="1"/>
  <c r="H939" i="1"/>
  <c r="K938" i="1"/>
  <c r="H938" i="1"/>
  <c r="K937" i="1"/>
  <c r="H937" i="1"/>
  <c r="K936" i="1"/>
  <c r="H936" i="1"/>
  <c r="K935" i="1"/>
  <c r="H935" i="1"/>
  <c r="K934" i="1"/>
  <c r="H934" i="1"/>
  <c r="K933" i="1"/>
  <c r="H933" i="1"/>
  <c r="K932" i="1"/>
  <c r="H932" i="1"/>
  <c r="K931" i="1"/>
  <c r="H931" i="1"/>
  <c r="K930" i="1"/>
  <c r="H930" i="1"/>
  <c r="K929" i="1"/>
  <c r="H929" i="1"/>
  <c r="K928" i="1"/>
  <c r="H928" i="1"/>
  <c r="K927" i="1"/>
  <c r="H927" i="1"/>
  <c r="K926" i="1"/>
  <c r="H926" i="1"/>
  <c r="K925" i="1"/>
  <c r="H925" i="1"/>
  <c r="K924" i="1"/>
  <c r="H924" i="1"/>
  <c r="K923" i="1"/>
  <c r="H923" i="1"/>
  <c r="K922" i="1"/>
  <c r="H922" i="1"/>
  <c r="K921" i="1"/>
  <c r="H921" i="1"/>
  <c r="K920" i="1"/>
  <c r="H920" i="1"/>
  <c r="K919" i="1"/>
  <c r="H919" i="1"/>
  <c r="K918" i="1"/>
  <c r="H918" i="1"/>
  <c r="K917" i="1"/>
  <c r="H917" i="1"/>
  <c r="K916" i="1"/>
  <c r="H916" i="1"/>
  <c r="K915" i="1"/>
  <c r="H915" i="1"/>
  <c r="K914" i="1"/>
  <c r="H914" i="1"/>
  <c r="K913" i="1"/>
  <c r="H913" i="1"/>
  <c r="K912" i="1"/>
  <c r="H912" i="1"/>
  <c r="K911" i="1"/>
  <c r="H911" i="1"/>
  <c r="K910" i="1"/>
  <c r="H910" i="1"/>
  <c r="K909" i="1"/>
  <c r="H909" i="1"/>
  <c r="K908" i="1"/>
  <c r="H908" i="1"/>
  <c r="K907" i="1"/>
  <c r="H907" i="1"/>
  <c r="K906" i="1"/>
  <c r="H906" i="1"/>
  <c r="K905" i="1"/>
  <c r="H905" i="1"/>
  <c r="K904" i="1"/>
  <c r="H904" i="1"/>
  <c r="K903" i="1"/>
  <c r="H903" i="1"/>
  <c r="K902" i="1"/>
  <c r="H902" i="1"/>
  <c r="K901" i="1"/>
  <c r="H901" i="1"/>
  <c r="K900" i="1"/>
  <c r="H900" i="1"/>
  <c r="K899" i="1"/>
  <c r="H899" i="1"/>
  <c r="K898" i="1"/>
  <c r="H898" i="1"/>
  <c r="K897" i="1"/>
  <c r="H897" i="1"/>
  <c r="K896" i="1"/>
  <c r="H896" i="1"/>
  <c r="K895" i="1"/>
  <c r="H895" i="1"/>
  <c r="K894" i="1"/>
  <c r="H894" i="1"/>
  <c r="K893" i="1"/>
  <c r="H893" i="1"/>
  <c r="K892" i="1"/>
  <c r="H892" i="1"/>
  <c r="K891" i="1"/>
  <c r="H891" i="1"/>
  <c r="K890" i="1"/>
  <c r="H890" i="1"/>
  <c r="K889" i="1"/>
  <c r="H889" i="1"/>
  <c r="K888" i="1"/>
  <c r="H888" i="1"/>
  <c r="K887" i="1"/>
  <c r="H887" i="1"/>
  <c r="K886" i="1"/>
  <c r="H886" i="1"/>
  <c r="K885" i="1"/>
  <c r="H885" i="1"/>
  <c r="K884" i="1"/>
  <c r="H884" i="1"/>
  <c r="K883" i="1"/>
  <c r="H883" i="1"/>
  <c r="K882" i="1"/>
  <c r="H882" i="1"/>
  <c r="K881" i="1"/>
  <c r="H881" i="1"/>
  <c r="K880" i="1"/>
  <c r="H880" i="1"/>
  <c r="K879" i="1"/>
  <c r="H879" i="1"/>
  <c r="K878" i="1"/>
  <c r="H878" i="1"/>
  <c r="K877" i="1"/>
  <c r="H877" i="1"/>
  <c r="K876" i="1"/>
  <c r="H876" i="1"/>
  <c r="K875" i="1"/>
  <c r="H875" i="1"/>
  <c r="K874" i="1"/>
  <c r="H874" i="1"/>
  <c r="K873" i="1"/>
  <c r="H873" i="1"/>
  <c r="K872" i="1"/>
  <c r="H872" i="1"/>
  <c r="K871" i="1"/>
  <c r="H871" i="1"/>
  <c r="K870" i="1"/>
  <c r="H870" i="1"/>
  <c r="K869" i="1"/>
  <c r="H869" i="1"/>
  <c r="K868" i="1"/>
  <c r="H868" i="1"/>
  <c r="K867" i="1"/>
  <c r="H867" i="1"/>
  <c r="K866" i="1"/>
  <c r="H866" i="1"/>
  <c r="K865" i="1"/>
  <c r="H865" i="1"/>
  <c r="K864" i="1"/>
  <c r="H864" i="1"/>
  <c r="K863" i="1"/>
  <c r="H863" i="1"/>
  <c r="K862" i="1"/>
  <c r="H862" i="1"/>
  <c r="K861" i="1"/>
  <c r="H861" i="1"/>
  <c r="K860" i="1"/>
  <c r="H860" i="1"/>
  <c r="K859" i="1"/>
  <c r="H859" i="1"/>
  <c r="K858" i="1"/>
  <c r="H858" i="1"/>
  <c r="K857" i="1"/>
  <c r="H857" i="1"/>
  <c r="K856" i="1"/>
  <c r="H856" i="1"/>
  <c r="K855" i="1"/>
  <c r="H855" i="1"/>
  <c r="K854" i="1"/>
  <c r="H854" i="1"/>
  <c r="K853" i="1"/>
  <c r="H853" i="1"/>
  <c r="K852" i="1"/>
  <c r="H852" i="1"/>
  <c r="K851" i="1"/>
  <c r="H851" i="1"/>
  <c r="K850" i="1"/>
  <c r="H850" i="1"/>
  <c r="K849" i="1"/>
  <c r="H849" i="1"/>
  <c r="K848" i="1"/>
  <c r="H848" i="1"/>
  <c r="K847" i="1"/>
  <c r="H847" i="1"/>
  <c r="K846" i="1"/>
  <c r="H846" i="1"/>
  <c r="K845" i="1"/>
  <c r="H845" i="1"/>
  <c r="K844" i="1"/>
  <c r="H844" i="1"/>
  <c r="K843" i="1"/>
  <c r="H843" i="1"/>
  <c r="K842" i="1"/>
  <c r="H842" i="1"/>
  <c r="K841" i="1"/>
  <c r="H841" i="1"/>
  <c r="K840" i="1"/>
  <c r="H840" i="1"/>
  <c r="K839" i="1"/>
  <c r="H839" i="1"/>
  <c r="K838" i="1"/>
  <c r="H838" i="1"/>
  <c r="K837" i="1"/>
  <c r="H837" i="1"/>
  <c r="K836" i="1"/>
  <c r="H836" i="1"/>
  <c r="K835" i="1"/>
  <c r="H835" i="1"/>
  <c r="K834" i="1"/>
  <c r="H834" i="1"/>
  <c r="K833" i="1"/>
  <c r="H833" i="1"/>
  <c r="K832" i="1"/>
  <c r="H832" i="1"/>
  <c r="K831" i="1"/>
  <c r="H831" i="1"/>
  <c r="K830" i="1"/>
  <c r="H830" i="1"/>
  <c r="K829" i="1"/>
  <c r="H829" i="1"/>
  <c r="K828" i="1"/>
  <c r="H828" i="1"/>
  <c r="K827" i="1"/>
  <c r="H827" i="1"/>
  <c r="K826" i="1"/>
  <c r="H826" i="1"/>
  <c r="K825" i="1"/>
  <c r="H825" i="1"/>
  <c r="K824" i="1"/>
  <c r="H824" i="1"/>
  <c r="K823" i="1"/>
  <c r="H823" i="1"/>
  <c r="K822" i="1"/>
  <c r="H822" i="1"/>
  <c r="K821" i="1"/>
  <c r="H821" i="1"/>
  <c r="K820" i="1"/>
  <c r="H820" i="1"/>
  <c r="K819" i="1"/>
  <c r="H819" i="1"/>
  <c r="K818" i="1"/>
  <c r="H818" i="1"/>
  <c r="K817" i="1"/>
  <c r="H817" i="1"/>
  <c r="K816" i="1"/>
  <c r="H816" i="1"/>
  <c r="K815" i="1"/>
  <c r="H815" i="1"/>
  <c r="K814" i="1"/>
  <c r="H814" i="1"/>
  <c r="K813" i="1"/>
  <c r="H813" i="1"/>
  <c r="K812" i="1"/>
  <c r="H812" i="1"/>
  <c r="K811" i="1"/>
  <c r="H811" i="1"/>
  <c r="K810" i="1"/>
  <c r="H810" i="1"/>
  <c r="K809" i="1"/>
  <c r="H809" i="1"/>
  <c r="K808" i="1"/>
  <c r="H808" i="1"/>
  <c r="K807" i="1"/>
  <c r="H807" i="1"/>
  <c r="K806" i="1"/>
  <c r="H806" i="1"/>
  <c r="K805" i="1"/>
  <c r="H805" i="1"/>
  <c r="K804" i="1"/>
  <c r="H804" i="1"/>
  <c r="K803" i="1"/>
  <c r="H803" i="1"/>
  <c r="K802" i="1"/>
  <c r="H802" i="1"/>
  <c r="K801" i="1"/>
  <c r="H801" i="1"/>
  <c r="K800" i="1"/>
  <c r="H800" i="1"/>
  <c r="K799" i="1"/>
  <c r="H799" i="1"/>
  <c r="K798" i="1"/>
  <c r="H798" i="1"/>
  <c r="K797" i="1"/>
  <c r="H797" i="1"/>
  <c r="K796" i="1"/>
  <c r="H796" i="1"/>
  <c r="K795" i="1"/>
  <c r="H795" i="1"/>
  <c r="K794" i="1"/>
  <c r="H794" i="1"/>
  <c r="K793" i="1"/>
  <c r="H793" i="1"/>
  <c r="K792" i="1"/>
  <c r="H792" i="1"/>
  <c r="K791" i="1"/>
  <c r="H791" i="1"/>
  <c r="K790" i="1"/>
  <c r="H790" i="1"/>
  <c r="K789" i="1"/>
  <c r="H789" i="1"/>
  <c r="K788" i="1"/>
  <c r="H788" i="1"/>
  <c r="K787" i="1"/>
  <c r="H787" i="1"/>
  <c r="K786" i="1"/>
  <c r="H786" i="1"/>
  <c r="K785" i="1"/>
  <c r="H785" i="1"/>
  <c r="K784" i="1"/>
  <c r="H784" i="1"/>
  <c r="K783" i="1"/>
  <c r="H783" i="1"/>
  <c r="K782" i="1"/>
  <c r="H782" i="1"/>
  <c r="K781" i="1"/>
  <c r="H781" i="1"/>
  <c r="K780" i="1"/>
  <c r="H780" i="1"/>
  <c r="K779" i="1"/>
  <c r="H779" i="1"/>
  <c r="K778" i="1"/>
  <c r="H778" i="1"/>
  <c r="K777" i="1"/>
  <c r="H777" i="1"/>
  <c r="K776" i="1"/>
  <c r="H776" i="1"/>
  <c r="K775" i="1"/>
  <c r="H775" i="1"/>
  <c r="K774" i="1"/>
  <c r="H774" i="1"/>
  <c r="K773" i="1"/>
  <c r="H773" i="1"/>
  <c r="K772" i="1"/>
  <c r="H772" i="1"/>
  <c r="K771" i="1"/>
  <c r="H771" i="1"/>
  <c r="K770" i="1"/>
  <c r="H770" i="1"/>
  <c r="K769" i="1"/>
  <c r="H769" i="1"/>
  <c r="K768" i="1"/>
  <c r="H768" i="1"/>
  <c r="K767" i="1"/>
  <c r="H767" i="1"/>
  <c r="K766" i="1"/>
  <c r="H766" i="1"/>
  <c r="K765" i="1"/>
  <c r="H765" i="1"/>
  <c r="K764" i="1"/>
  <c r="H764" i="1"/>
  <c r="K763" i="1"/>
  <c r="H763" i="1"/>
  <c r="K762" i="1"/>
  <c r="H762" i="1"/>
  <c r="K761" i="1"/>
  <c r="H761" i="1"/>
  <c r="K760" i="1"/>
  <c r="H760" i="1"/>
  <c r="K759" i="1"/>
  <c r="H759" i="1"/>
  <c r="K758" i="1"/>
  <c r="H758" i="1"/>
  <c r="K757" i="1"/>
  <c r="H757" i="1"/>
  <c r="K756" i="1"/>
  <c r="H756" i="1"/>
  <c r="K755" i="1"/>
  <c r="H755" i="1"/>
  <c r="K754" i="1"/>
  <c r="H754" i="1"/>
  <c r="K753" i="1"/>
  <c r="H753" i="1"/>
  <c r="K752" i="1"/>
  <c r="H752" i="1"/>
  <c r="K751" i="1"/>
  <c r="H751" i="1"/>
  <c r="K750" i="1"/>
  <c r="H750" i="1"/>
  <c r="K749" i="1"/>
  <c r="H749" i="1"/>
  <c r="K748" i="1"/>
  <c r="H748" i="1"/>
  <c r="K747" i="1"/>
  <c r="H747" i="1"/>
  <c r="K746" i="1"/>
  <c r="H746" i="1"/>
  <c r="K745" i="1"/>
  <c r="H745" i="1"/>
  <c r="K744" i="1"/>
  <c r="H744" i="1"/>
  <c r="K743" i="1"/>
  <c r="H743" i="1"/>
  <c r="K742" i="1"/>
  <c r="H742" i="1"/>
  <c r="K741" i="1"/>
  <c r="H741" i="1"/>
  <c r="K740" i="1"/>
  <c r="H740" i="1"/>
  <c r="K739" i="1"/>
  <c r="H739" i="1"/>
  <c r="K738" i="1"/>
  <c r="H738" i="1"/>
  <c r="K737" i="1"/>
  <c r="H737" i="1"/>
  <c r="K736" i="1"/>
  <c r="H736" i="1"/>
  <c r="K735" i="1"/>
  <c r="H735" i="1"/>
  <c r="K734" i="1"/>
  <c r="H734" i="1"/>
  <c r="K733" i="1"/>
  <c r="H733" i="1"/>
  <c r="K732" i="1"/>
  <c r="H732" i="1"/>
  <c r="K731" i="1"/>
  <c r="H731" i="1"/>
  <c r="K730" i="1"/>
  <c r="H730" i="1"/>
  <c r="K729" i="1"/>
  <c r="H729" i="1"/>
  <c r="K728" i="1"/>
  <c r="H728" i="1"/>
  <c r="K727" i="1"/>
  <c r="H727" i="1"/>
  <c r="K726" i="1"/>
  <c r="H726" i="1"/>
  <c r="K725" i="1"/>
  <c r="H725" i="1"/>
  <c r="K724" i="1"/>
  <c r="H724" i="1"/>
  <c r="K723" i="1"/>
  <c r="H723" i="1"/>
  <c r="K722" i="1"/>
  <c r="H722" i="1"/>
  <c r="K721" i="1"/>
  <c r="H721" i="1"/>
  <c r="K720" i="1"/>
  <c r="H720" i="1"/>
  <c r="K719" i="1"/>
  <c r="H719" i="1"/>
  <c r="K718" i="1"/>
  <c r="H718" i="1"/>
  <c r="K717" i="1"/>
  <c r="H717" i="1"/>
  <c r="K716" i="1"/>
  <c r="H716" i="1"/>
  <c r="K715" i="1"/>
  <c r="H715" i="1"/>
  <c r="K714" i="1"/>
  <c r="H714" i="1"/>
  <c r="K713" i="1"/>
  <c r="H713" i="1"/>
  <c r="K712" i="1"/>
  <c r="H712" i="1"/>
  <c r="K711" i="1"/>
  <c r="H711" i="1"/>
  <c r="K710" i="1"/>
  <c r="H710" i="1"/>
  <c r="K709" i="1"/>
  <c r="H709" i="1"/>
  <c r="K708" i="1"/>
  <c r="H708" i="1"/>
  <c r="K707" i="1"/>
  <c r="H707" i="1"/>
  <c r="K706" i="1"/>
  <c r="H706" i="1"/>
  <c r="K705" i="1"/>
  <c r="H705" i="1"/>
  <c r="K704" i="1"/>
  <c r="H704" i="1"/>
  <c r="K703" i="1"/>
  <c r="H703" i="1"/>
  <c r="K702" i="1"/>
  <c r="H702" i="1"/>
  <c r="K701" i="1"/>
  <c r="H701" i="1"/>
  <c r="K700" i="1"/>
  <c r="H700" i="1"/>
  <c r="K699" i="1"/>
  <c r="H699" i="1"/>
  <c r="K698" i="1"/>
  <c r="H698" i="1"/>
  <c r="K697" i="1"/>
  <c r="H697" i="1"/>
  <c r="K696" i="1"/>
  <c r="H696" i="1"/>
  <c r="K695" i="1"/>
  <c r="H695" i="1"/>
  <c r="K694" i="1"/>
  <c r="H694" i="1"/>
  <c r="K693" i="1"/>
  <c r="H693" i="1"/>
  <c r="K692" i="1"/>
  <c r="H692" i="1"/>
  <c r="K691" i="1"/>
  <c r="H691" i="1"/>
  <c r="K690" i="1"/>
  <c r="H690" i="1"/>
  <c r="K689" i="1"/>
  <c r="H689" i="1"/>
  <c r="K688" i="1"/>
  <c r="H688" i="1"/>
  <c r="K687" i="1"/>
  <c r="H687" i="1"/>
  <c r="K686" i="1"/>
  <c r="H686" i="1"/>
  <c r="K685" i="1"/>
  <c r="H685" i="1"/>
  <c r="K684" i="1"/>
  <c r="H684" i="1"/>
  <c r="K683" i="1"/>
  <c r="H683" i="1"/>
  <c r="K682" i="1"/>
  <c r="H682" i="1"/>
  <c r="K681" i="1"/>
  <c r="H681" i="1"/>
  <c r="K680" i="1"/>
  <c r="H680" i="1"/>
  <c r="K679" i="1"/>
  <c r="H679" i="1"/>
  <c r="K678" i="1"/>
  <c r="H678" i="1"/>
  <c r="K677" i="1"/>
  <c r="H677" i="1"/>
  <c r="K676" i="1"/>
  <c r="H676" i="1"/>
  <c r="K675" i="1"/>
  <c r="H675" i="1"/>
  <c r="K674" i="1"/>
  <c r="H674" i="1"/>
  <c r="K673" i="1"/>
  <c r="H673" i="1"/>
  <c r="K672" i="1"/>
  <c r="H672" i="1"/>
  <c r="K671" i="1"/>
  <c r="H671" i="1"/>
  <c r="K670" i="1"/>
  <c r="H670" i="1"/>
  <c r="K669" i="1"/>
  <c r="H669" i="1"/>
  <c r="K668" i="1"/>
  <c r="H668" i="1"/>
  <c r="K667" i="1"/>
  <c r="H667" i="1"/>
  <c r="K666" i="1"/>
  <c r="H666" i="1"/>
  <c r="K665" i="1"/>
  <c r="H665" i="1"/>
  <c r="K664" i="1"/>
  <c r="H664" i="1"/>
  <c r="K663" i="1"/>
  <c r="H663" i="1"/>
  <c r="K662" i="1"/>
  <c r="H662" i="1"/>
  <c r="K661" i="1"/>
  <c r="H661" i="1"/>
  <c r="K660" i="1"/>
  <c r="H660" i="1"/>
  <c r="K659" i="1"/>
  <c r="H659" i="1"/>
  <c r="K658" i="1"/>
  <c r="H658" i="1"/>
  <c r="K657" i="1"/>
  <c r="H657" i="1"/>
  <c r="K656" i="1"/>
  <c r="H656" i="1"/>
  <c r="K655" i="1"/>
  <c r="H655" i="1"/>
  <c r="K654" i="1"/>
  <c r="H654" i="1"/>
  <c r="K653" i="1"/>
  <c r="H653" i="1"/>
  <c r="K652" i="1"/>
  <c r="H652" i="1"/>
  <c r="K651" i="1"/>
  <c r="H651" i="1"/>
  <c r="K650" i="1"/>
  <c r="H650" i="1"/>
  <c r="K649" i="1"/>
  <c r="H649" i="1"/>
  <c r="K648" i="1"/>
  <c r="H648" i="1"/>
  <c r="K647" i="1"/>
  <c r="H647" i="1"/>
  <c r="K646" i="1"/>
  <c r="H646" i="1"/>
  <c r="K645" i="1"/>
  <c r="H645" i="1"/>
  <c r="K644" i="1"/>
  <c r="H644" i="1"/>
  <c r="K643" i="1"/>
  <c r="H643" i="1"/>
  <c r="K642" i="1"/>
  <c r="H642" i="1"/>
  <c r="K641" i="1"/>
  <c r="H641" i="1"/>
  <c r="K640" i="1"/>
  <c r="H640" i="1"/>
  <c r="K639" i="1"/>
  <c r="H639" i="1"/>
  <c r="K638" i="1"/>
  <c r="H638" i="1"/>
  <c r="K637" i="1"/>
  <c r="H637" i="1"/>
  <c r="K636" i="1"/>
  <c r="H636" i="1"/>
  <c r="K635" i="1"/>
  <c r="H635" i="1"/>
  <c r="K634" i="1"/>
  <c r="H634" i="1"/>
  <c r="K633" i="1"/>
  <c r="H633" i="1"/>
  <c r="K632" i="1"/>
  <c r="H632" i="1"/>
  <c r="K631" i="1"/>
  <c r="H631" i="1"/>
  <c r="K630" i="1"/>
  <c r="H630" i="1"/>
  <c r="K629" i="1"/>
  <c r="H629" i="1"/>
  <c r="K628" i="1"/>
  <c r="H628" i="1"/>
  <c r="K627" i="1"/>
  <c r="H627" i="1"/>
  <c r="K626" i="1"/>
  <c r="H626" i="1"/>
  <c r="K625" i="1"/>
  <c r="H625" i="1"/>
  <c r="K624" i="1"/>
  <c r="H624" i="1"/>
  <c r="K623" i="1"/>
  <c r="H623" i="1"/>
  <c r="K622" i="1"/>
  <c r="H622" i="1"/>
  <c r="K621" i="1"/>
  <c r="H621" i="1"/>
  <c r="K620" i="1"/>
  <c r="H620" i="1"/>
  <c r="K619" i="1"/>
  <c r="H619" i="1"/>
  <c r="K618" i="1"/>
  <c r="H618" i="1"/>
  <c r="K617" i="1"/>
  <c r="H617" i="1"/>
  <c r="K616" i="1"/>
  <c r="H616" i="1"/>
  <c r="K615" i="1"/>
  <c r="H615" i="1"/>
  <c r="K614" i="1"/>
  <c r="H614" i="1"/>
  <c r="K613" i="1"/>
  <c r="H613" i="1"/>
  <c r="K612" i="1"/>
  <c r="H612" i="1"/>
  <c r="K611" i="1"/>
  <c r="H611" i="1"/>
  <c r="K610" i="1"/>
  <c r="H610" i="1"/>
  <c r="K609" i="1"/>
  <c r="H609" i="1"/>
  <c r="K608" i="1"/>
  <c r="H608" i="1"/>
  <c r="K607" i="1"/>
  <c r="H607" i="1"/>
  <c r="K606" i="1"/>
  <c r="H606" i="1"/>
  <c r="K605" i="1"/>
  <c r="H605" i="1"/>
  <c r="K604" i="1"/>
  <c r="H604" i="1"/>
  <c r="K603" i="1"/>
  <c r="H603" i="1"/>
  <c r="K602" i="1"/>
  <c r="H602" i="1"/>
  <c r="K601" i="1"/>
  <c r="H601" i="1"/>
  <c r="K600" i="1"/>
  <c r="H600" i="1"/>
  <c r="K599" i="1"/>
  <c r="H599" i="1"/>
  <c r="K598" i="1"/>
  <c r="H598" i="1"/>
  <c r="K597" i="1"/>
  <c r="H597" i="1"/>
  <c r="K596" i="1"/>
  <c r="H596" i="1"/>
  <c r="K595" i="1"/>
  <c r="H595" i="1"/>
  <c r="K594" i="1"/>
  <c r="H594" i="1"/>
  <c r="K593" i="1"/>
  <c r="H593" i="1"/>
  <c r="K592" i="1"/>
  <c r="H592" i="1"/>
  <c r="K591" i="1"/>
  <c r="H591" i="1"/>
  <c r="K590" i="1"/>
  <c r="H590" i="1"/>
  <c r="K589" i="1"/>
  <c r="H589" i="1"/>
  <c r="K588" i="1"/>
  <c r="H588" i="1"/>
  <c r="K587" i="1"/>
  <c r="H587" i="1"/>
  <c r="K586" i="1"/>
  <c r="H586" i="1"/>
  <c r="K585" i="1"/>
  <c r="H585" i="1"/>
  <c r="K584" i="1"/>
  <c r="H584" i="1"/>
  <c r="K583" i="1"/>
  <c r="H583" i="1"/>
  <c r="K582" i="1"/>
  <c r="H582" i="1"/>
  <c r="K581" i="1"/>
  <c r="H581" i="1"/>
  <c r="K580" i="1"/>
  <c r="H580" i="1"/>
  <c r="K579" i="1"/>
  <c r="H579" i="1"/>
  <c r="K578" i="1"/>
  <c r="H578" i="1"/>
  <c r="K577" i="1"/>
  <c r="H577" i="1"/>
  <c r="K576" i="1"/>
  <c r="H576" i="1"/>
  <c r="K575" i="1"/>
  <c r="H575" i="1"/>
  <c r="K574" i="1"/>
  <c r="H574" i="1"/>
  <c r="K573" i="1"/>
  <c r="H573" i="1"/>
  <c r="K572" i="1"/>
  <c r="H572" i="1"/>
  <c r="K571" i="1"/>
  <c r="H571" i="1"/>
  <c r="K570" i="1"/>
  <c r="H570" i="1"/>
  <c r="K569" i="1"/>
  <c r="H569" i="1"/>
  <c r="K568" i="1"/>
  <c r="H568" i="1"/>
  <c r="K567" i="1"/>
  <c r="H567" i="1"/>
  <c r="K566" i="1"/>
  <c r="H566" i="1"/>
  <c r="K565" i="1"/>
  <c r="H565" i="1"/>
  <c r="K564" i="1"/>
  <c r="H564" i="1"/>
  <c r="K563" i="1"/>
  <c r="H563" i="1"/>
  <c r="K562" i="1"/>
  <c r="H562" i="1"/>
  <c r="K561" i="1"/>
  <c r="H561" i="1"/>
  <c r="K560" i="1"/>
  <c r="H560" i="1"/>
  <c r="K559" i="1"/>
  <c r="H559" i="1"/>
  <c r="K558" i="1"/>
  <c r="H558" i="1"/>
  <c r="K557" i="1"/>
  <c r="H557" i="1"/>
  <c r="K556" i="1"/>
  <c r="H556" i="1"/>
  <c r="K555" i="1"/>
  <c r="H555" i="1"/>
  <c r="K554" i="1"/>
  <c r="H554" i="1"/>
  <c r="K553" i="1"/>
  <c r="H553" i="1"/>
  <c r="K552" i="1"/>
  <c r="H552" i="1"/>
  <c r="K551" i="1"/>
  <c r="H551" i="1"/>
  <c r="K550" i="1"/>
  <c r="H550" i="1"/>
  <c r="K549" i="1"/>
  <c r="H549" i="1"/>
  <c r="K548" i="1"/>
  <c r="H548" i="1"/>
  <c r="K547" i="1"/>
  <c r="H547" i="1"/>
  <c r="K546" i="1"/>
  <c r="H546" i="1"/>
  <c r="K545" i="1"/>
  <c r="H545" i="1"/>
  <c r="K544" i="1"/>
  <c r="H544" i="1"/>
  <c r="K543" i="1"/>
  <c r="H543" i="1"/>
  <c r="K542" i="1"/>
  <c r="H542" i="1"/>
  <c r="K541" i="1"/>
  <c r="H541" i="1"/>
  <c r="K540" i="1"/>
  <c r="H540" i="1"/>
  <c r="K539" i="1"/>
  <c r="H539" i="1"/>
  <c r="K538" i="1"/>
  <c r="H538" i="1"/>
  <c r="K537" i="1"/>
  <c r="H537" i="1"/>
  <c r="K536" i="1"/>
  <c r="H536" i="1"/>
  <c r="K535" i="1"/>
  <c r="H535" i="1"/>
  <c r="K534" i="1"/>
  <c r="H534" i="1"/>
  <c r="K533" i="1"/>
  <c r="H533" i="1"/>
  <c r="K532" i="1"/>
  <c r="H532" i="1"/>
  <c r="K531" i="1"/>
  <c r="H531" i="1"/>
  <c r="K530" i="1"/>
  <c r="H530" i="1"/>
  <c r="K529" i="1"/>
  <c r="H529" i="1"/>
  <c r="K528" i="1"/>
  <c r="H528" i="1"/>
  <c r="K527" i="1"/>
  <c r="H527" i="1"/>
  <c r="K526" i="1"/>
  <c r="H526" i="1"/>
  <c r="K525" i="1"/>
  <c r="H525" i="1"/>
  <c r="K524" i="1"/>
  <c r="H524" i="1"/>
  <c r="K523" i="1"/>
  <c r="H523" i="1"/>
  <c r="K522" i="1"/>
  <c r="H522" i="1"/>
  <c r="K521" i="1"/>
  <c r="H521" i="1"/>
  <c r="K520" i="1"/>
  <c r="H520" i="1"/>
  <c r="K519" i="1"/>
  <c r="H519" i="1"/>
  <c r="K518" i="1"/>
  <c r="H518" i="1"/>
  <c r="K517" i="1"/>
  <c r="H517" i="1"/>
  <c r="K516" i="1"/>
  <c r="H516" i="1"/>
  <c r="K515" i="1"/>
  <c r="H515" i="1"/>
  <c r="K514" i="1"/>
  <c r="H514" i="1"/>
  <c r="K513" i="1"/>
  <c r="H513" i="1"/>
  <c r="K512" i="1"/>
  <c r="H512" i="1"/>
  <c r="K511" i="1"/>
  <c r="H511" i="1"/>
  <c r="K510" i="1"/>
  <c r="H510" i="1"/>
  <c r="K509" i="1"/>
  <c r="H509" i="1"/>
  <c r="K508" i="1"/>
  <c r="H508" i="1"/>
  <c r="K507" i="1"/>
  <c r="H507" i="1"/>
  <c r="K506" i="1"/>
  <c r="H506" i="1"/>
  <c r="K505" i="1"/>
  <c r="H505" i="1"/>
  <c r="K504" i="1"/>
  <c r="H504" i="1"/>
  <c r="K503" i="1"/>
  <c r="H503" i="1"/>
  <c r="K502" i="1"/>
  <c r="H502" i="1"/>
  <c r="K501" i="1"/>
  <c r="H501" i="1"/>
  <c r="K500" i="1"/>
  <c r="H500" i="1"/>
  <c r="K499" i="1"/>
  <c r="H499" i="1"/>
  <c r="K498" i="1"/>
  <c r="H498" i="1"/>
  <c r="K497" i="1"/>
  <c r="H497" i="1"/>
  <c r="K496" i="1"/>
  <c r="H496" i="1"/>
  <c r="K495" i="1"/>
  <c r="H495" i="1"/>
  <c r="K494" i="1"/>
  <c r="H494" i="1"/>
  <c r="K493" i="1"/>
  <c r="H493" i="1"/>
  <c r="K492" i="1"/>
  <c r="H492" i="1"/>
  <c r="K491" i="1"/>
  <c r="H491" i="1"/>
  <c r="K490" i="1"/>
  <c r="H490" i="1"/>
  <c r="K489" i="1"/>
  <c r="H489" i="1"/>
  <c r="K488" i="1"/>
  <c r="H488" i="1"/>
  <c r="K487" i="1"/>
  <c r="H487" i="1"/>
  <c r="K486" i="1"/>
  <c r="H486" i="1"/>
  <c r="K485" i="1"/>
  <c r="H485" i="1"/>
  <c r="K484" i="1"/>
  <c r="H484" i="1"/>
  <c r="K483" i="1"/>
  <c r="H483" i="1"/>
  <c r="K482" i="1"/>
  <c r="H482" i="1"/>
  <c r="K481" i="1"/>
  <c r="H481" i="1"/>
  <c r="K480" i="1"/>
  <c r="H480" i="1"/>
  <c r="K479" i="1"/>
  <c r="H479" i="1"/>
  <c r="K478" i="1"/>
  <c r="H478" i="1"/>
  <c r="K477" i="1"/>
  <c r="H477" i="1"/>
  <c r="K476" i="1"/>
  <c r="H476" i="1"/>
  <c r="K475" i="1"/>
  <c r="H475" i="1"/>
  <c r="K474" i="1"/>
  <c r="H474" i="1"/>
  <c r="K473" i="1"/>
  <c r="H473" i="1"/>
  <c r="K472" i="1"/>
  <c r="H472" i="1"/>
  <c r="K471" i="1"/>
  <c r="H471" i="1"/>
  <c r="K470" i="1"/>
  <c r="H470" i="1"/>
  <c r="K469" i="1"/>
  <c r="H469" i="1"/>
  <c r="K468" i="1"/>
  <c r="H468" i="1"/>
  <c r="K467" i="1"/>
  <c r="H467" i="1"/>
  <c r="K466" i="1"/>
  <c r="H466" i="1"/>
  <c r="K465" i="1"/>
  <c r="H465" i="1"/>
  <c r="K464" i="1"/>
  <c r="H464" i="1"/>
  <c r="K463" i="1"/>
  <c r="H463" i="1"/>
  <c r="K462" i="1"/>
  <c r="H462" i="1"/>
  <c r="K461" i="1"/>
  <c r="H461" i="1"/>
  <c r="K460" i="1"/>
  <c r="H460" i="1"/>
  <c r="K459" i="1"/>
  <c r="H459" i="1"/>
  <c r="K458" i="1"/>
  <c r="H458" i="1"/>
  <c r="K457" i="1"/>
  <c r="H457" i="1"/>
  <c r="K456" i="1"/>
  <c r="H456" i="1"/>
  <c r="K455" i="1"/>
  <c r="H455" i="1"/>
  <c r="K454" i="1"/>
  <c r="H454" i="1"/>
  <c r="K453" i="1"/>
  <c r="H453" i="1"/>
  <c r="K452" i="1"/>
  <c r="H452" i="1"/>
  <c r="K451" i="1"/>
  <c r="H451" i="1"/>
  <c r="K450" i="1"/>
  <c r="H450" i="1"/>
  <c r="K449" i="1"/>
  <c r="H449" i="1"/>
  <c r="K448" i="1"/>
  <c r="H448" i="1"/>
  <c r="K447" i="1"/>
  <c r="H447" i="1"/>
  <c r="K446" i="1"/>
  <c r="H446" i="1"/>
  <c r="K445" i="1"/>
  <c r="H445" i="1"/>
  <c r="K444" i="1"/>
  <c r="H444" i="1"/>
  <c r="K443" i="1"/>
  <c r="H443" i="1"/>
  <c r="K442" i="1"/>
  <c r="H442" i="1"/>
  <c r="K441" i="1"/>
  <c r="H441" i="1"/>
  <c r="K440" i="1"/>
  <c r="H440" i="1"/>
  <c r="K439" i="1"/>
  <c r="H439" i="1"/>
  <c r="K438" i="1"/>
  <c r="H438" i="1"/>
  <c r="K437" i="1"/>
  <c r="H437" i="1"/>
  <c r="K436" i="1"/>
  <c r="H436" i="1"/>
  <c r="K435" i="1"/>
  <c r="H435" i="1"/>
  <c r="K434" i="1"/>
  <c r="H434" i="1"/>
  <c r="K433" i="1"/>
  <c r="H433" i="1"/>
  <c r="K432" i="1"/>
  <c r="H432" i="1"/>
  <c r="K431" i="1"/>
  <c r="H431" i="1"/>
  <c r="K430" i="1"/>
  <c r="H430" i="1"/>
  <c r="K429" i="1"/>
  <c r="H429" i="1"/>
  <c r="K428" i="1"/>
  <c r="H428" i="1"/>
  <c r="K427" i="1"/>
  <c r="H427" i="1"/>
  <c r="K426" i="1"/>
  <c r="H426" i="1"/>
  <c r="K425" i="1"/>
  <c r="H425" i="1"/>
  <c r="K424" i="1"/>
  <c r="H424" i="1"/>
  <c r="K423" i="1"/>
  <c r="H423" i="1"/>
  <c r="K422" i="1"/>
  <c r="H422" i="1"/>
  <c r="K421" i="1"/>
  <c r="H421" i="1"/>
  <c r="K420" i="1"/>
  <c r="H420" i="1"/>
  <c r="K419" i="1"/>
  <c r="H419" i="1"/>
  <c r="K418" i="1"/>
  <c r="H418" i="1"/>
  <c r="K417" i="1"/>
  <c r="H417" i="1"/>
  <c r="K416" i="1"/>
  <c r="H416" i="1"/>
  <c r="K415" i="1"/>
  <c r="H415" i="1"/>
  <c r="K414" i="1"/>
  <c r="H414" i="1"/>
  <c r="K413" i="1"/>
  <c r="H413" i="1"/>
  <c r="K412" i="1"/>
  <c r="H412" i="1"/>
  <c r="K411" i="1"/>
  <c r="H411" i="1"/>
  <c r="K410" i="1"/>
  <c r="H410" i="1"/>
  <c r="K409" i="1"/>
  <c r="H409" i="1"/>
  <c r="K408" i="1"/>
  <c r="H408" i="1"/>
  <c r="K407" i="1"/>
  <c r="H407" i="1"/>
  <c r="K406" i="1"/>
  <c r="H406" i="1"/>
  <c r="K405" i="1"/>
  <c r="H405" i="1"/>
  <c r="K404" i="1"/>
  <c r="H404" i="1"/>
  <c r="K403" i="1"/>
  <c r="H403" i="1"/>
  <c r="K402" i="1"/>
  <c r="H402" i="1"/>
  <c r="K401" i="1"/>
  <c r="H401" i="1"/>
  <c r="K400" i="1"/>
  <c r="H400" i="1"/>
  <c r="K399" i="1"/>
  <c r="H399" i="1"/>
  <c r="K398" i="1"/>
  <c r="H398" i="1"/>
  <c r="K397" i="1"/>
  <c r="H397" i="1"/>
  <c r="K396" i="1"/>
  <c r="H396" i="1"/>
  <c r="K395" i="1"/>
  <c r="H395" i="1"/>
  <c r="K394" i="1"/>
  <c r="H394" i="1"/>
  <c r="K393" i="1"/>
  <c r="H393" i="1"/>
  <c r="K392" i="1"/>
  <c r="H392" i="1"/>
  <c r="K391" i="1"/>
  <c r="H391" i="1"/>
  <c r="K390" i="1"/>
  <c r="H390" i="1"/>
  <c r="K389" i="1"/>
  <c r="H389" i="1"/>
  <c r="K388" i="1"/>
  <c r="H388" i="1"/>
  <c r="K387" i="1"/>
  <c r="H387" i="1"/>
  <c r="K386" i="1"/>
  <c r="H386" i="1"/>
  <c r="K385" i="1"/>
  <c r="H385" i="1"/>
  <c r="K384" i="1"/>
  <c r="H384" i="1"/>
  <c r="K383" i="1"/>
  <c r="H383" i="1"/>
  <c r="K382" i="1"/>
  <c r="H382" i="1"/>
  <c r="K381" i="1"/>
  <c r="H381" i="1"/>
  <c r="K380" i="1"/>
  <c r="H380" i="1"/>
  <c r="K379" i="1"/>
  <c r="H379" i="1"/>
  <c r="K378" i="1"/>
  <c r="H378" i="1"/>
  <c r="K377" i="1"/>
  <c r="H377" i="1"/>
  <c r="K376" i="1"/>
  <c r="H376" i="1"/>
  <c r="K375" i="1"/>
  <c r="H375" i="1"/>
  <c r="K374" i="1"/>
  <c r="H374" i="1"/>
  <c r="K373" i="1"/>
  <c r="H373" i="1"/>
  <c r="K372" i="1"/>
  <c r="H372" i="1"/>
  <c r="K371" i="1"/>
  <c r="H371" i="1"/>
  <c r="K370" i="1"/>
  <c r="H370" i="1"/>
  <c r="K369" i="1"/>
  <c r="H369" i="1"/>
  <c r="K368" i="1"/>
  <c r="H368" i="1"/>
  <c r="K367" i="1"/>
  <c r="H367" i="1"/>
  <c r="K366" i="1"/>
  <c r="H366" i="1"/>
  <c r="K365" i="1"/>
  <c r="H365" i="1"/>
  <c r="K364" i="1"/>
  <c r="H364" i="1"/>
  <c r="K363" i="1"/>
  <c r="H363" i="1"/>
  <c r="K362" i="1"/>
  <c r="H362" i="1"/>
  <c r="K361" i="1"/>
  <c r="H361" i="1"/>
  <c r="K360" i="1"/>
  <c r="H360" i="1"/>
  <c r="K359" i="1"/>
  <c r="H359" i="1"/>
  <c r="K358" i="1"/>
  <c r="H358" i="1"/>
  <c r="K357" i="1"/>
  <c r="H357" i="1"/>
  <c r="K356" i="1"/>
  <c r="H356" i="1"/>
  <c r="K355" i="1"/>
  <c r="H355" i="1"/>
  <c r="K354" i="1"/>
  <c r="H354" i="1"/>
  <c r="K353" i="1"/>
  <c r="H353" i="1"/>
  <c r="K352" i="1"/>
  <c r="H352" i="1"/>
  <c r="K351" i="1"/>
  <c r="H351" i="1"/>
  <c r="K350" i="1"/>
  <c r="H350" i="1"/>
  <c r="K349" i="1"/>
  <c r="H349" i="1"/>
  <c r="K348" i="1"/>
  <c r="H348" i="1"/>
  <c r="K347" i="1"/>
  <c r="H347" i="1"/>
  <c r="K346" i="1"/>
  <c r="H346" i="1"/>
  <c r="K345" i="1"/>
  <c r="H345" i="1"/>
  <c r="K344" i="1"/>
  <c r="H344" i="1"/>
  <c r="K343" i="1"/>
  <c r="H343" i="1"/>
  <c r="K342" i="1"/>
  <c r="H342" i="1"/>
  <c r="K341" i="1"/>
  <c r="H341" i="1"/>
  <c r="K340" i="1"/>
  <c r="H340" i="1"/>
  <c r="K339" i="1"/>
  <c r="H339" i="1"/>
  <c r="K338" i="1"/>
  <c r="H338" i="1"/>
  <c r="K337" i="1"/>
  <c r="H337" i="1"/>
  <c r="K336" i="1"/>
  <c r="H336" i="1"/>
  <c r="K335" i="1"/>
  <c r="H335" i="1"/>
  <c r="K334" i="1"/>
  <c r="H334" i="1"/>
  <c r="K333" i="1"/>
  <c r="H333" i="1"/>
  <c r="K332" i="1"/>
  <c r="H332" i="1"/>
  <c r="K331" i="1"/>
  <c r="H331" i="1"/>
  <c r="K330" i="1"/>
  <c r="H330" i="1"/>
  <c r="K329" i="1"/>
  <c r="H329" i="1"/>
  <c r="K328" i="1"/>
  <c r="H328" i="1"/>
  <c r="K327" i="1"/>
  <c r="H327" i="1"/>
  <c r="K326" i="1"/>
  <c r="H326" i="1"/>
  <c r="K325" i="1"/>
  <c r="H325" i="1"/>
  <c r="K324" i="1"/>
  <c r="H324" i="1"/>
  <c r="K323" i="1"/>
  <c r="H323" i="1"/>
  <c r="K322" i="1"/>
  <c r="H322" i="1"/>
  <c r="K321" i="1"/>
  <c r="H321" i="1"/>
  <c r="K320" i="1"/>
  <c r="H320" i="1"/>
  <c r="K319" i="1"/>
  <c r="H319" i="1"/>
  <c r="K318" i="1"/>
  <c r="H318" i="1"/>
  <c r="K317" i="1"/>
  <c r="H317" i="1"/>
  <c r="K316" i="1"/>
  <c r="H316" i="1"/>
  <c r="K315" i="1"/>
  <c r="H315" i="1"/>
  <c r="K314" i="1"/>
  <c r="H314" i="1"/>
  <c r="K313" i="1"/>
  <c r="H313" i="1"/>
  <c r="K312" i="1"/>
  <c r="H312" i="1"/>
  <c r="K311" i="1"/>
  <c r="H311" i="1"/>
  <c r="K310" i="1"/>
  <c r="H310" i="1"/>
  <c r="K309" i="1"/>
  <c r="H309" i="1"/>
  <c r="K308" i="1"/>
  <c r="H308" i="1"/>
  <c r="K307" i="1"/>
  <c r="H307" i="1"/>
  <c r="K306" i="1"/>
  <c r="H306" i="1"/>
  <c r="K305" i="1"/>
  <c r="H305" i="1"/>
  <c r="K304" i="1"/>
  <c r="H304" i="1"/>
  <c r="K303" i="1"/>
  <c r="H303" i="1"/>
  <c r="K302" i="1"/>
  <c r="H302" i="1"/>
  <c r="K301" i="1"/>
  <c r="H301" i="1"/>
  <c r="K300" i="1"/>
  <c r="H300" i="1"/>
  <c r="K299" i="1"/>
  <c r="H299" i="1"/>
  <c r="K298" i="1"/>
  <c r="H298" i="1"/>
  <c r="K297" i="1"/>
  <c r="H297" i="1"/>
  <c r="K296" i="1"/>
  <c r="H296" i="1"/>
  <c r="K295" i="1"/>
  <c r="H295" i="1"/>
  <c r="K294" i="1"/>
  <c r="H294" i="1"/>
  <c r="K293" i="1"/>
  <c r="H293" i="1"/>
  <c r="K292" i="1"/>
  <c r="H292" i="1"/>
  <c r="K291" i="1"/>
  <c r="H291" i="1"/>
  <c r="K290" i="1"/>
  <c r="H290" i="1"/>
  <c r="K289" i="1"/>
  <c r="H289" i="1"/>
  <c r="K288" i="1"/>
  <c r="H288" i="1"/>
  <c r="K287" i="1"/>
  <c r="H287" i="1"/>
  <c r="K286" i="1"/>
  <c r="H286" i="1"/>
  <c r="K285" i="1"/>
  <c r="H285" i="1"/>
  <c r="K284" i="1"/>
  <c r="H284" i="1"/>
  <c r="K283" i="1"/>
  <c r="H283" i="1"/>
  <c r="K282" i="1"/>
  <c r="H282" i="1"/>
  <c r="K281" i="1"/>
  <c r="H281" i="1"/>
  <c r="K280" i="1"/>
  <c r="H280" i="1"/>
  <c r="K279" i="1"/>
  <c r="H279" i="1"/>
  <c r="K278" i="1"/>
  <c r="H278" i="1"/>
  <c r="K277" i="1"/>
  <c r="H277" i="1"/>
  <c r="K276" i="1"/>
  <c r="H276" i="1"/>
  <c r="K275" i="1"/>
  <c r="H275" i="1"/>
  <c r="K274" i="1"/>
  <c r="H274" i="1"/>
  <c r="K273" i="1"/>
  <c r="H273" i="1"/>
  <c r="K272" i="1"/>
  <c r="H272" i="1"/>
  <c r="K271" i="1"/>
  <c r="H271" i="1"/>
  <c r="K270" i="1"/>
  <c r="H270" i="1"/>
  <c r="K269" i="1"/>
  <c r="H269" i="1"/>
  <c r="K268" i="1"/>
  <c r="H268" i="1"/>
  <c r="K267" i="1"/>
  <c r="H267" i="1"/>
  <c r="K266" i="1"/>
  <c r="H266" i="1"/>
  <c r="K265" i="1"/>
  <c r="H265" i="1"/>
  <c r="K264" i="1"/>
  <c r="H264" i="1"/>
  <c r="K263" i="1"/>
  <c r="H263" i="1"/>
  <c r="K262" i="1"/>
  <c r="H262" i="1"/>
  <c r="K261" i="1"/>
  <c r="H261" i="1"/>
  <c r="K260" i="1"/>
  <c r="H260" i="1"/>
  <c r="K259" i="1"/>
  <c r="H259" i="1"/>
  <c r="K258" i="1"/>
  <c r="H258" i="1"/>
  <c r="K257" i="1"/>
  <c r="H257" i="1"/>
  <c r="K256" i="1"/>
  <c r="H256" i="1"/>
  <c r="K255" i="1"/>
  <c r="H255" i="1"/>
  <c r="K254" i="1"/>
  <c r="H254" i="1"/>
  <c r="K253" i="1"/>
  <c r="H253" i="1"/>
  <c r="K252" i="1"/>
  <c r="H252" i="1"/>
  <c r="K251" i="1"/>
  <c r="H251" i="1"/>
  <c r="K250" i="1"/>
  <c r="H250" i="1"/>
  <c r="K249" i="1"/>
  <c r="H249" i="1"/>
  <c r="K248" i="1"/>
  <c r="H248" i="1"/>
  <c r="K247" i="1"/>
  <c r="H247" i="1"/>
  <c r="K246" i="1"/>
  <c r="H246" i="1"/>
  <c r="K245" i="1"/>
  <c r="H245" i="1"/>
  <c r="K244" i="1"/>
  <c r="H244" i="1"/>
  <c r="K243" i="1"/>
  <c r="H243" i="1"/>
  <c r="K242" i="1"/>
  <c r="H242" i="1"/>
  <c r="K241" i="1"/>
  <c r="H241" i="1"/>
  <c r="K240" i="1"/>
  <c r="H240" i="1"/>
  <c r="K239" i="1"/>
  <c r="H239" i="1"/>
  <c r="K238" i="1"/>
  <c r="H238" i="1"/>
  <c r="K237" i="1"/>
  <c r="H237" i="1"/>
  <c r="K236" i="1"/>
  <c r="H236" i="1"/>
  <c r="K235" i="1"/>
  <c r="H235" i="1"/>
  <c r="K234" i="1"/>
  <c r="H234" i="1"/>
  <c r="K233" i="1"/>
  <c r="H233" i="1"/>
  <c r="K232" i="1"/>
  <c r="H232" i="1"/>
  <c r="K231" i="1"/>
  <c r="H231" i="1"/>
  <c r="K230" i="1"/>
  <c r="H230" i="1"/>
  <c r="K229" i="1"/>
  <c r="H229" i="1"/>
  <c r="K228" i="1"/>
  <c r="H228" i="1"/>
  <c r="K227" i="1"/>
  <c r="H227" i="1"/>
  <c r="K226" i="1"/>
  <c r="H226" i="1"/>
  <c r="K225" i="1"/>
  <c r="H225" i="1"/>
  <c r="K224" i="1"/>
  <c r="H224" i="1"/>
  <c r="K223" i="1"/>
  <c r="H223" i="1"/>
  <c r="K222" i="1"/>
  <c r="H222" i="1"/>
  <c r="K221" i="1"/>
  <c r="H221" i="1"/>
  <c r="K220" i="1"/>
  <c r="H220" i="1"/>
  <c r="K219" i="1"/>
  <c r="H219" i="1"/>
  <c r="K218" i="1"/>
  <c r="H218" i="1"/>
  <c r="K217" i="1"/>
  <c r="H217" i="1"/>
  <c r="K216" i="1"/>
  <c r="H216" i="1"/>
  <c r="K215" i="1"/>
  <c r="H215" i="1"/>
  <c r="K214" i="1"/>
  <c r="H214" i="1"/>
  <c r="K213" i="1"/>
  <c r="H213" i="1"/>
  <c r="K212" i="1"/>
  <c r="H212" i="1"/>
  <c r="K211" i="1"/>
  <c r="H211" i="1"/>
  <c r="K210" i="1"/>
  <c r="H210" i="1"/>
  <c r="K209" i="1"/>
  <c r="H209" i="1"/>
  <c r="K208" i="1"/>
  <c r="H208" i="1"/>
  <c r="K207" i="1"/>
  <c r="H207" i="1"/>
  <c r="K206" i="1"/>
  <c r="H20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K90" i="1"/>
  <c r="H90" i="1"/>
  <c r="K89" i="1"/>
  <c r="H89" i="1"/>
  <c r="K88" i="1"/>
  <c r="H88" i="1"/>
  <c r="K87" i="1"/>
  <c r="H87" i="1"/>
  <c r="K86" i="1"/>
  <c r="H86" i="1"/>
  <c r="K85" i="1"/>
  <c r="H85" i="1"/>
  <c r="K84" i="1"/>
  <c r="H84" i="1"/>
  <c r="K83" i="1"/>
  <c r="H83" i="1"/>
  <c r="K82" i="1"/>
  <c r="H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K47" i="1"/>
  <c r="H47" i="1"/>
  <c r="K46" i="1"/>
  <c r="H46" i="1"/>
  <c r="K45" i="1"/>
  <c r="H45" i="1"/>
  <c r="K44" i="1"/>
  <c r="H44" i="1"/>
  <c r="K43" i="1"/>
  <c r="H43" i="1"/>
  <c r="K42" i="1"/>
  <c r="H42" i="1"/>
  <c r="K41" i="1"/>
  <c r="H41" i="1"/>
  <c r="K40" i="1"/>
  <c r="H40" i="1"/>
  <c r="K39" i="1"/>
  <c r="H39" i="1"/>
  <c r="K38" i="1"/>
  <c r="H38" i="1"/>
  <c r="K37" i="1"/>
  <c r="H37" i="1"/>
  <c r="K36" i="1"/>
  <c r="H36" i="1"/>
  <c r="K35" i="1"/>
  <c r="H35" i="1"/>
  <c r="K34" i="1"/>
  <c r="H34" i="1"/>
  <c r="K33" i="1"/>
  <c r="H33" i="1"/>
  <c r="K32" i="1"/>
  <c r="H32" i="1"/>
  <c r="K31" i="1"/>
  <c r="H31" i="1"/>
  <c r="K30" i="1"/>
  <c r="H30" i="1"/>
  <c r="K29" i="1"/>
  <c r="H29" i="1"/>
  <c r="K28" i="1"/>
  <c r="H28" i="1"/>
  <c r="K27" i="1"/>
  <c r="H27" i="1"/>
  <c r="K26" i="1"/>
  <c r="H26" i="1"/>
  <c r="K25" i="1"/>
  <c r="H25" i="1"/>
  <c r="K24" i="1"/>
  <c r="H24" i="1"/>
  <c r="K23" i="1"/>
  <c r="H23" i="1"/>
  <c r="K22" i="1"/>
  <c r="H22" i="1"/>
  <c r="K21" i="1"/>
  <c r="H21" i="1"/>
  <c r="K20" i="1"/>
  <c r="H20" i="1"/>
  <c r="K19" i="1"/>
  <c r="H19" i="1"/>
  <c r="K18" i="1"/>
  <c r="H18" i="1"/>
  <c r="K17" i="1"/>
  <c r="H17" i="1"/>
  <c r="K16" i="1"/>
  <c r="H16" i="1"/>
  <c r="K15" i="1"/>
  <c r="H15" i="1"/>
  <c r="K14" i="1"/>
  <c r="H14" i="1"/>
  <c r="K13" i="1"/>
  <c r="H13" i="1"/>
  <c r="K12" i="1"/>
  <c r="H12" i="1"/>
  <c r="K11" i="1"/>
  <c r="H11" i="1"/>
  <c r="K10" i="1"/>
  <c r="H10" i="1"/>
  <c r="K9" i="1"/>
  <c r="H9" i="1"/>
  <c r="K8" i="1"/>
  <c r="H8" i="1"/>
  <c r="K7" i="1"/>
  <c r="H7" i="1"/>
  <c r="K6" i="1"/>
  <c r="H6" i="1"/>
  <c r="K5" i="1"/>
  <c r="H5" i="1"/>
  <c r="P61" i="6"/>
  <c r="O61" i="6"/>
  <c r="N61" i="6" s="1"/>
  <c r="M61" i="6"/>
  <c r="L61" i="6"/>
  <c r="J61" i="6"/>
  <c r="I61" i="6"/>
  <c r="H61" i="6" s="1"/>
  <c r="G61" i="6"/>
  <c r="V61" i="6" s="1"/>
  <c r="F61" i="6"/>
  <c r="U61" i="6" s="1"/>
  <c r="D61" i="6"/>
  <c r="S61" i="6" s="1"/>
  <c r="C61" i="6"/>
  <c r="P60" i="6"/>
  <c r="O60" i="6"/>
  <c r="M60" i="6"/>
  <c r="K60" i="6" s="1"/>
  <c r="L60" i="6"/>
  <c r="J60" i="6"/>
  <c r="I60" i="6"/>
  <c r="H60" i="6" s="1"/>
  <c r="G60" i="6"/>
  <c r="F60" i="6"/>
  <c r="U60" i="6" s="1"/>
  <c r="D60" i="6"/>
  <c r="S60" i="6" s="1"/>
  <c r="C60" i="6"/>
  <c r="R60" i="6" s="1"/>
  <c r="P59" i="6"/>
  <c r="P65" i="6" s="1"/>
  <c r="O59" i="6"/>
  <c r="O65" i="6" s="1"/>
  <c r="N59" i="6"/>
  <c r="M59" i="6"/>
  <c r="M65" i="6" s="1"/>
  <c r="L59" i="6"/>
  <c r="L65" i="6" s="1"/>
  <c r="J59" i="6"/>
  <c r="J65" i="6" s="1"/>
  <c r="I59" i="6"/>
  <c r="I65" i="6" s="1"/>
  <c r="G59" i="6"/>
  <c r="V59" i="6" s="1"/>
  <c r="F59" i="6"/>
  <c r="F65" i="6" s="1"/>
  <c r="D59" i="6"/>
  <c r="D65" i="6" s="1"/>
  <c r="C59" i="6"/>
  <c r="R59" i="6" s="1"/>
  <c r="B59" i="6"/>
  <c r="P58" i="6"/>
  <c r="O58" i="6"/>
  <c r="N58" i="6" s="1"/>
  <c r="M58" i="6"/>
  <c r="L58" i="6"/>
  <c r="K58" i="6" s="1"/>
  <c r="J58" i="6"/>
  <c r="I58" i="6"/>
  <c r="G58" i="6"/>
  <c r="V58" i="6" s="1"/>
  <c r="F58" i="6"/>
  <c r="U58" i="6" s="1"/>
  <c r="D58" i="6"/>
  <c r="S58" i="6" s="1"/>
  <c r="C58" i="6"/>
  <c r="R58" i="6" s="1"/>
  <c r="P57" i="6"/>
  <c r="O57" i="6"/>
  <c r="M57" i="6"/>
  <c r="L57" i="6"/>
  <c r="J57" i="6"/>
  <c r="I57" i="6"/>
  <c r="H57" i="6" s="1"/>
  <c r="G57" i="6"/>
  <c r="V57" i="6" s="1"/>
  <c r="F57" i="6"/>
  <c r="U57" i="6" s="1"/>
  <c r="D57" i="6"/>
  <c r="S57" i="6" s="1"/>
  <c r="C57" i="6"/>
  <c r="R57" i="6" s="1"/>
  <c r="P56" i="6"/>
  <c r="O56" i="6"/>
  <c r="M56" i="6"/>
  <c r="L56" i="6"/>
  <c r="K56" i="6"/>
  <c r="J56" i="6"/>
  <c r="I56" i="6"/>
  <c r="G56" i="6"/>
  <c r="V56" i="6" s="1"/>
  <c r="F56" i="6"/>
  <c r="U56" i="6" s="1"/>
  <c r="D56" i="6"/>
  <c r="S56" i="6" s="1"/>
  <c r="C56" i="6"/>
  <c r="R56" i="6" s="1"/>
  <c r="P55" i="6"/>
  <c r="O55" i="6"/>
  <c r="N55" i="6"/>
  <c r="M55" i="6"/>
  <c r="L55" i="6"/>
  <c r="J55" i="6"/>
  <c r="I55" i="6"/>
  <c r="H55" i="6" s="1"/>
  <c r="G55" i="6"/>
  <c r="V55" i="6" s="1"/>
  <c r="F55" i="6"/>
  <c r="U55" i="6" s="1"/>
  <c r="D55" i="6"/>
  <c r="S55" i="6" s="1"/>
  <c r="C55" i="6"/>
  <c r="R55" i="6" s="1"/>
  <c r="P54" i="6"/>
  <c r="O54" i="6"/>
  <c r="M54" i="6"/>
  <c r="L54" i="6"/>
  <c r="K54" i="6" s="1"/>
  <c r="J54" i="6"/>
  <c r="I54" i="6"/>
  <c r="H54" i="6" s="1"/>
  <c r="G54" i="6"/>
  <c r="F54" i="6"/>
  <c r="U54" i="6" s="1"/>
  <c r="D54" i="6"/>
  <c r="S54" i="6" s="1"/>
  <c r="C54" i="6"/>
  <c r="R54" i="6" s="1"/>
  <c r="P53" i="6"/>
  <c r="O53" i="6"/>
  <c r="N53" i="6"/>
  <c r="M53" i="6"/>
  <c r="L53" i="6"/>
  <c r="J53" i="6"/>
  <c r="I53" i="6"/>
  <c r="H53" i="6" s="1"/>
  <c r="G53" i="6"/>
  <c r="V53" i="6" s="1"/>
  <c r="F53" i="6"/>
  <c r="U53" i="6" s="1"/>
  <c r="D53" i="6"/>
  <c r="S53" i="6" s="1"/>
  <c r="S52" i="6" s="1"/>
  <c r="C53" i="6"/>
  <c r="R53" i="6" s="1"/>
  <c r="B53" i="6"/>
  <c r="P52" i="6"/>
  <c r="O52" i="6"/>
  <c r="M52" i="6"/>
  <c r="L52" i="6"/>
  <c r="K52" i="6" s="1"/>
  <c r="J52" i="6"/>
  <c r="C52" i="6"/>
  <c r="P51" i="6"/>
  <c r="O51" i="6"/>
  <c r="N51" i="6"/>
  <c r="M51" i="6"/>
  <c r="L51" i="6"/>
  <c r="J51" i="6"/>
  <c r="I51" i="6"/>
  <c r="H51" i="6" s="1"/>
  <c r="G51" i="6"/>
  <c r="V51" i="6" s="1"/>
  <c r="F51" i="6"/>
  <c r="U51" i="6" s="1"/>
  <c r="D51" i="6"/>
  <c r="S51" i="6" s="1"/>
  <c r="C51" i="6"/>
  <c r="R51" i="6" s="1"/>
  <c r="B51" i="6"/>
  <c r="P50" i="6"/>
  <c r="O50" i="6"/>
  <c r="M50" i="6"/>
  <c r="L50" i="6"/>
  <c r="K50" i="6" s="1"/>
  <c r="J50" i="6"/>
  <c r="I50" i="6"/>
  <c r="G50" i="6"/>
  <c r="V50" i="6" s="1"/>
  <c r="F50" i="6"/>
  <c r="U50" i="6" s="1"/>
  <c r="D50" i="6"/>
  <c r="S50" i="6" s="1"/>
  <c r="C50" i="6"/>
  <c r="R50" i="6" s="1"/>
  <c r="Q50" i="6" s="1"/>
  <c r="P49" i="6"/>
  <c r="O49" i="6"/>
  <c r="M49" i="6"/>
  <c r="L49" i="6"/>
  <c r="J49" i="6"/>
  <c r="I49" i="6"/>
  <c r="H49" i="6" s="1"/>
  <c r="G49" i="6"/>
  <c r="V49" i="6" s="1"/>
  <c r="F49" i="6"/>
  <c r="U49" i="6" s="1"/>
  <c r="T49" i="6" s="1"/>
  <c r="D49" i="6"/>
  <c r="S49" i="6" s="1"/>
  <c r="C49" i="6"/>
  <c r="R49" i="6" s="1"/>
  <c r="P48" i="6"/>
  <c r="O48" i="6"/>
  <c r="M48" i="6"/>
  <c r="L48" i="6"/>
  <c r="K48" i="6"/>
  <c r="J48" i="6"/>
  <c r="I48" i="6"/>
  <c r="G48" i="6"/>
  <c r="V48" i="6" s="1"/>
  <c r="F48" i="6"/>
  <c r="U48" i="6" s="1"/>
  <c r="T48" i="6" s="1"/>
  <c r="D48" i="6"/>
  <c r="S48" i="6" s="1"/>
  <c r="C48" i="6"/>
  <c r="R48" i="6" s="1"/>
  <c r="P47" i="6"/>
  <c r="O47" i="6"/>
  <c r="N47" i="6"/>
  <c r="M47" i="6"/>
  <c r="L47" i="6"/>
  <c r="J47" i="6"/>
  <c r="I47" i="6"/>
  <c r="H47" i="6" s="1"/>
  <c r="G47" i="6"/>
  <c r="V47" i="6" s="1"/>
  <c r="F47" i="6"/>
  <c r="U47" i="6" s="1"/>
  <c r="D47" i="6"/>
  <c r="S47" i="6" s="1"/>
  <c r="C47" i="6"/>
  <c r="R47" i="6" s="1"/>
  <c r="P46" i="6"/>
  <c r="O46" i="6"/>
  <c r="N46" i="6" s="1"/>
  <c r="M46" i="6"/>
  <c r="L46" i="6"/>
  <c r="J46" i="6"/>
  <c r="I46" i="6"/>
  <c r="G46" i="6"/>
  <c r="V46" i="6" s="1"/>
  <c r="F46" i="6"/>
  <c r="U46" i="6" s="1"/>
  <c r="D46" i="6"/>
  <c r="S46" i="6" s="1"/>
  <c r="C46" i="6"/>
  <c r="R46" i="6" s="1"/>
  <c r="Q46" i="6" s="1"/>
  <c r="P45" i="6"/>
  <c r="O45" i="6"/>
  <c r="M45" i="6"/>
  <c r="L45" i="6"/>
  <c r="J45" i="6"/>
  <c r="I45" i="6"/>
  <c r="H45" i="6"/>
  <c r="G45" i="6"/>
  <c r="F45" i="6"/>
  <c r="U45" i="6" s="1"/>
  <c r="D45" i="6"/>
  <c r="C45" i="6"/>
  <c r="R45" i="6" s="1"/>
  <c r="P44" i="6"/>
  <c r="O44" i="6"/>
  <c r="M44" i="6"/>
  <c r="L44" i="6"/>
  <c r="K44" i="6"/>
  <c r="J44" i="6"/>
  <c r="I44" i="6"/>
  <c r="G44" i="6"/>
  <c r="F44" i="6"/>
  <c r="U44" i="6" s="1"/>
  <c r="D44" i="6"/>
  <c r="S44" i="6" s="1"/>
  <c r="C44" i="6"/>
  <c r="P43" i="6"/>
  <c r="O43" i="6"/>
  <c r="N43" i="6" s="1"/>
  <c r="M43" i="6"/>
  <c r="L43" i="6"/>
  <c r="J43" i="6"/>
  <c r="I43" i="6"/>
  <c r="G43" i="6"/>
  <c r="V43" i="6" s="1"/>
  <c r="F43" i="6"/>
  <c r="D43" i="6"/>
  <c r="S43" i="6" s="1"/>
  <c r="C43" i="6"/>
  <c r="P42" i="6"/>
  <c r="O42" i="6"/>
  <c r="N42" i="6" s="1"/>
  <c r="M42" i="6"/>
  <c r="L42" i="6"/>
  <c r="J42" i="6"/>
  <c r="I42" i="6"/>
  <c r="G42" i="6"/>
  <c r="V42" i="6" s="1"/>
  <c r="F42" i="6"/>
  <c r="D42" i="6"/>
  <c r="C42" i="6"/>
  <c r="R42" i="6" s="1"/>
  <c r="P41" i="6"/>
  <c r="O41" i="6"/>
  <c r="N41" i="6" s="1"/>
  <c r="M41" i="6"/>
  <c r="L41" i="6"/>
  <c r="J41" i="6"/>
  <c r="I41" i="6"/>
  <c r="H41" i="6"/>
  <c r="G41" i="6"/>
  <c r="F41" i="6"/>
  <c r="U41" i="6" s="1"/>
  <c r="D41" i="6"/>
  <c r="C41" i="6"/>
  <c r="R41" i="6" s="1"/>
  <c r="P40" i="6"/>
  <c r="O40" i="6"/>
  <c r="M40" i="6"/>
  <c r="L40" i="6"/>
  <c r="K40" i="6" s="1"/>
  <c r="J40" i="6"/>
  <c r="I40" i="6"/>
  <c r="H40" i="6" s="1"/>
  <c r="G40" i="6"/>
  <c r="F40" i="6"/>
  <c r="U40" i="6" s="1"/>
  <c r="D40" i="6"/>
  <c r="S40" i="6" s="1"/>
  <c r="C40" i="6"/>
  <c r="P39" i="6"/>
  <c r="N39" i="6" s="1"/>
  <c r="O39" i="6"/>
  <c r="M39" i="6"/>
  <c r="L39" i="6"/>
  <c r="K39" i="6" s="1"/>
  <c r="J39" i="6"/>
  <c r="I39" i="6"/>
  <c r="H39" i="6" s="1"/>
  <c r="G39" i="6"/>
  <c r="V39" i="6" s="1"/>
  <c r="F39" i="6"/>
  <c r="D39" i="6"/>
  <c r="S39" i="6" s="1"/>
  <c r="C39" i="6"/>
  <c r="B39" i="6" s="1"/>
  <c r="P38" i="6"/>
  <c r="O38" i="6"/>
  <c r="M38" i="6"/>
  <c r="L38" i="6"/>
  <c r="J38" i="6"/>
  <c r="I38" i="6"/>
  <c r="G38" i="6"/>
  <c r="V38" i="6" s="1"/>
  <c r="F38" i="6"/>
  <c r="D38" i="6"/>
  <c r="C38" i="6"/>
  <c r="R38" i="6" s="1"/>
  <c r="P37" i="6"/>
  <c r="O37" i="6"/>
  <c r="N37" i="6" s="1"/>
  <c r="M37" i="6"/>
  <c r="L37" i="6"/>
  <c r="J37" i="6"/>
  <c r="I37" i="6"/>
  <c r="H37" i="6" s="1"/>
  <c r="G37" i="6"/>
  <c r="F37" i="6"/>
  <c r="U37" i="6" s="1"/>
  <c r="D37" i="6"/>
  <c r="C37" i="6"/>
  <c r="R37" i="6" s="1"/>
  <c r="P36" i="6"/>
  <c r="O36" i="6"/>
  <c r="M36" i="6"/>
  <c r="L36" i="6"/>
  <c r="K36" i="6"/>
  <c r="J36" i="6"/>
  <c r="I36" i="6"/>
  <c r="G36" i="6"/>
  <c r="F36" i="6"/>
  <c r="U36" i="6" s="1"/>
  <c r="D36" i="6"/>
  <c r="S36" i="6" s="1"/>
  <c r="C36" i="6"/>
  <c r="P35" i="6"/>
  <c r="O35" i="6"/>
  <c r="N35" i="6" s="1"/>
  <c r="M35" i="6"/>
  <c r="L35" i="6"/>
  <c r="K35" i="6" s="1"/>
  <c r="J35" i="6"/>
  <c r="I35" i="6"/>
  <c r="G35" i="6"/>
  <c r="V35" i="6" s="1"/>
  <c r="F35" i="6"/>
  <c r="D35" i="6"/>
  <c r="S35" i="6" s="1"/>
  <c r="C35" i="6"/>
  <c r="B35" i="6" s="1"/>
  <c r="P34" i="6"/>
  <c r="O34" i="6"/>
  <c r="M34" i="6"/>
  <c r="L34" i="6"/>
  <c r="J34" i="6"/>
  <c r="G34" i="6"/>
  <c r="C34" i="6"/>
  <c r="P33" i="6"/>
  <c r="O33" i="6"/>
  <c r="N33" i="6" s="1"/>
  <c r="M33" i="6"/>
  <c r="L33" i="6"/>
  <c r="K33" i="6" s="1"/>
  <c r="J33" i="6"/>
  <c r="I33" i="6"/>
  <c r="G33" i="6"/>
  <c r="V33" i="6" s="1"/>
  <c r="F33" i="6"/>
  <c r="D33" i="6"/>
  <c r="S33" i="6" s="1"/>
  <c r="C33" i="6"/>
  <c r="P32" i="6"/>
  <c r="O32" i="6"/>
  <c r="N32" i="6" s="1"/>
  <c r="M32" i="6"/>
  <c r="L32" i="6"/>
  <c r="K32" i="6" s="1"/>
  <c r="J32" i="6"/>
  <c r="I32" i="6"/>
  <c r="G32" i="6"/>
  <c r="V32" i="6" s="1"/>
  <c r="F32" i="6"/>
  <c r="E32" i="6"/>
  <c r="D32" i="6"/>
  <c r="C32" i="6"/>
  <c r="P31" i="6"/>
  <c r="O31" i="6"/>
  <c r="N31" i="6" s="1"/>
  <c r="M31" i="6"/>
  <c r="L31" i="6"/>
  <c r="J31" i="6"/>
  <c r="I31" i="6"/>
  <c r="H31" i="6"/>
  <c r="G31" i="6"/>
  <c r="F31" i="6"/>
  <c r="U31" i="6" s="1"/>
  <c r="D31" i="6"/>
  <c r="C31" i="6"/>
  <c r="R31" i="6" s="1"/>
  <c r="P30" i="6"/>
  <c r="O30" i="6"/>
  <c r="M30" i="6"/>
  <c r="L30" i="6"/>
  <c r="K30" i="6" s="1"/>
  <c r="J30" i="6"/>
  <c r="I30" i="6"/>
  <c r="H30" i="6" s="1"/>
  <c r="G30" i="6"/>
  <c r="F30" i="6"/>
  <c r="D30" i="6"/>
  <c r="S30" i="6" s="1"/>
  <c r="C30" i="6"/>
  <c r="P29" i="6"/>
  <c r="O29" i="6"/>
  <c r="M29" i="6"/>
  <c r="L29" i="6"/>
  <c r="J29" i="6"/>
  <c r="J28" i="6" s="1"/>
  <c r="I29" i="6"/>
  <c r="I28" i="6" s="1"/>
  <c r="G29" i="6"/>
  <c r="V29" i="6" s="1"/>
  <c r="F29" i="6"/>
  <c r="D29" i="6"/>
  <c r="S29" i="6" s="1"/>
  <c r="C29" i="6"/>
  <c r="P28" i="6"/>
  <c r="O28" i="6"/>
  <c r="M28" i="6"/>
  <c r="P27" i="6"/>
  <c r="O27" i="6"/>
  <c r="M27" i="6"/>
  <c r="L27" i="6"/>
  <c r="J27" i="6"/>
  <c r="I27" i="6"/>
  <c r="G27" i="6"/>
  <c r="V27" i="6" s="1"/>
  <c r="F27" i="6"/>
  <c r="D27" i="6"/>
  <c r="C27" i="6"/>
  <c r="P26" i="6"/>
  <c r="O26" i="6"/>
  <c r="M26" i="6"/>
  <c r="M64" i="6" s="1"/>
  <c r="L26" i="6"/>
  <c r="K26" i="6"/>
  <c r="J26" i="6"/>
  <c r="I26" i="6"/>
  <c r="I64" i="6" s="1"/>
  <c r="G26" i="6"/>
  <c r="F26" i="6"/>
  <c r="U26" i="6" s="1"/>
  <c r="D26" i="6"/>
  <c r="S26" i="6" s="1"/>
  <c r="C26" i="6"/>
  <c r="P25" i="6"/>
  <c r="O25" i="6"/>
  <c r="N25" i="6" s="1"/>
  <c r="M25" i="6"/>
  <c r="L25" i="6"/>
  <c r="J25" i="6"/>
  <c r="I25" i="6"/>
  <c r="G25" i="6"/>
  <c r="V25" i="6" s="1"/>
  <c r="F25" i="6"/>
  <c r="D25" i="6"/>
  <c r="S25" i="6" s="1"/>
  <c r="C25" i="6"/>
  <c r="R25" i="6" s="1"/>
  <c r="P24" i="6"/>
  <c r="O24" i="6"/>
  <c r="M24" i="6"/>
  <c r="L24" i="6"/>
  <c r="J24" i="6"/>
  <c r="I24" i="6"/>
  <c r="G24" i="6"/>
  <c r="F24" i="6"/>
  <c r="U24" i="6" s="1"/>
  <c r="D24" i="6"/>
  <c r="S24" i="6" s="1"/>
  <c r="C24" i="6"/>
  <c r="P23" i="6"/>
  <c r="O23" i="6"/>
  <c r="M23" i="6"/>
  <c r="L23" i="6"/>
  <c r="J23" i="6"/>
  <c r="I23" i="6"/>
  <c r="G23" i="6"/>
  <c r="V23" i="6" s="1"/>
  <c r="F23" i="6"/>
  <c r="D23" i="6"/>
  <c r="S23" i="6" s="1"/>
  <c r="C23" i="6"/>
  <c r="R23" i="6" s="1"/>
  <c r="P22" i="6"/>
  <c r="O22" i="6"/>
  <c r="M22" i="6"/>
  <c r="M21" i="6" s="1"/>
  <c r="L22" i="6"/>
  <c r="L21" i="6" s="1"/>
  <c r="J22" i="6"/>
  <c r="I22" i="6"/>
  <c r="G22" i="6"/>
  <c r="V22" i="6" s="1"/>
  <c r="F22" i="6"/>
  <c r="U22" i="6" s="1"/>
  <c r="D22" i="6"/>
  <c r="C22" i="6"/>
  <c r="P21" i="6"/>
  <c r="F21" i="6"/>
  <c r="P20" i="6"/>
  <c r="O20" i="6"/>
  <c r="M20" i="6"/>
  <c r="L20" i="6"/>
  <c r="J20" i="6"/>
  <c r="I20" i="6"/>
  <c r="G20" i="6"/>
  <c r="F20" i="6"/>
  <c r="D20" i="6"/>
  <c r="S20" i="6" s="1"/>
  <c r="C20" i="6"/>
  <c r="P19" i="6"/>
  <c r="O19" i="6"/>
  <c r="M19" i="6"/>
  <c r="L19" i="6"/>
  <c r="J19" i="6"/>
  <c r="I19" i="6"/>
  <c r="G19" i="6"/>
  <c r="V19" i="6" s="1"/>
  <c r="F19" i="6"/>
  <c r="D19" i="6"/>
  <c r="S19" i="6" s="1"/>
  <c r="C19" i="6"/>
  <c r="R19" i="6" s="1"/>
  <c r="P18" i="6"/>
  <c r="O18" i="6"/>
  <c r="M18" i="6"/>
  <c r="L18" i="6"/>
  <c r="J18" i="6"/>
  <c r="I18" i="6"/>
  <c r="G18" i="6"/>
  <c r="V18" i="6" s="1"/>
  <c r="F18" i="6"/>
  <c r="U18" i="6" s="1"/>
  <c r="D18" i="6"/>
  <c r="C18" i="6"/>
  <c r="P17" i="6"/>
  <c r="P16" i="6" s="1"/>
  <c r="F17" i="6"/>
  <c r="P15" i="6"/>
  <c r="O15" i="6"/>
  <c r="M15" i="6"/>
  <c r="L15" i="6"/>
  <c r="J15" i="6"/>
  <c r="I15" i="6"/>
  <c r="G15" i="6"/>
  <c r="V15" i="6" s="1"/>
  <c r="F15" i="6"/>
  <c r="D15" i="6"/>
  <c r="S15" i="6" s="1"/>
  <c r="C15" i="6"/>
  <c r="R15" i="6" s="1"/>
  <c r="P14" i="6"/>
  <c r="O14" i="6"/>
  <c r="M14" i="6"/>
  <c r="L14" i="6"/>
  <c r="J14" i="6"/>
  <c r="I14" i="6"/>
  <c r="G14" i="6"/>
  <c r="V14" i="6" s="1"/>
  <c r="F14" i="6"/>
  <c r="U14" i="6" s="1"/>
  <c r="D14" i="6"/>
  <c r="C14" i="6"/>
  <c r="P13" i="6"/>
  <c r="O13" i="6"/>
  <c r="M13" i="6"/>
  <c r="L13" i="6"/>
  <c r="J13" i="6"/>
  <c r="I13" i="6"/>
  <c r="G13" i="6"/>
  <c r="F13" i="6"/>
  <c r="U13" i="6" s="1"/>
  <c r="D13" i="6"/>
  <c r="C13" i="6"/>
  <c r="R13" i="6" s="1"/>
  <c r="P12" i="6"/>
  <c r="O12" i="6"/>
  <c r="M12" i="6"/>
  <c r="L12" i="6"/>
  <c r="J12" i="6"/>
  <c r="I12" i="6"/>
  <c r="G12" i="6"/>
  <c r="F12" i="6"/>
  <c r="D12" i="6"/>
  <c r="S12" i="6" s="1"/>
  <c r="C12" i="6"/>
  <c r="P11" i="6"/>
  <c r="P10" i="6" s="1"/>
  <c r="O11" i="6"/>
  <c r="O10" i="6" s="1"/>
  <c r="M11" i="6"/>
  <c r="L11" i="6"/>
  <c r="J11" i="6"/>
  <c r="J10" i="6" s="1"/>
  <c r="I11" i="6"/>
  <c r="G11" i="6"/>
  <c r="V11" i="6" s="1"/>
  <c r="F11" i="6"/>
  <c r="D11" i="6"/>
  <c r="S11" i="6" s="1"/>
  <c r="C11" i="6"/>
  <c r="R11" i="6" s="1"/>
  <c r="P9" i="6"/>
  <c r="O9" i="6"/>
  <c r="M9" i="6"/>
  <c r="L9" i="6"/>
  <c r="J9" i="6"/>
  <c r="I9" i="6"/>
  <c r="G9" i="6"/>
  <c r="V9" i="6" s="1"/>
  <c r="F9" i="6"/>
  <c r="D9" i="6"/>
  <c r="S9" i="6" s="1"/>
  <c r="C9" i="6"/>
  <c r="R9" i="6" s="1"/>
  <c r="P8" i="6"/>
  <c r="O8" i="6"/>
  <c r="M8" i="6"/>
  <c r="L8" i="6"/>
  <c r="J8" i="6"/>
  <c r="I8" i="6"/>
  <c r="G8" i="6"/>
  <c r="F8" i="6"/>
  <c r="U8" i="6" s="1"/>
  <c r="D8" i="6"/>
  <c r="C8" i="6"/>
  <c r="P7" i="6"/>
  <c r="O7" i="6"/>
  <c r="M7" i="6"/>
  <c r="L7" i="6"/>
  <c r="J7" i="6"/>
  <c r="I7" i="6"/>
  <c r="G7" i="6"/>
  <c r="F7" i="6"/>
  <c r="D7" i="6"/>
  <c r="C7" i="6"/>
  <c r="P6" i="6"/>
  <c r="O6" i="6"/>
  <c r="M6" i="6"/>
  <c r="L6" i="6"/>
  <c r="L5" i="6" s="1"/>
  <c r="J6" i="6"/>
  <c r="I6" i="6"/>
  <c r="G6" i="6"/>
  <c r="F6" i="6"/>
  <c r="D6" i="6"/>
  <c r="C6" i="6"/>
  <c r="M5" i="6"/>
  <c r="C5" i="6"/>
  <c r="R2" i="6"/>
  <c r="A2" i="6"/>
  <c r="AP36" i="2"/>
  <c r="AO36" i="2"/>
  <c r="AL36" i="2"/>
  <c r="AK36" i="2"/>
  <c r="AJ36" i="2"/>
  <c r="AI36" i="2"/>
  <c r="AH36" i="2"/>
  <c r="AG36" i="2"/>
  <c r="AF36" i="2"/>
  <c r="AE36" i="2"/>
  <c r="AC36" i="2"/>
  <c r="AB36" i="2"/>
  <c r="AA36" i="2"/>
  <c r="Z36" i="2"/>
  <c r="Y36" i="2"/>
  <c r="X36" i="2"/>
  <c r="V36" i="2"/>
  <c r="S36" i="2"/>
  <c r="R36" i="2"/>
  <c r="Q36" i="2"/>
  <c r="P36" i="2"/>
  <c r="O36" i="2"/>
  <c r="N36" i="2"/>
  <c r="M36" i="2"/>
  <c r="L36" i="2"/>
  <c r="K36" i="2"/>
  <c r="J36" i="2" s="1"/>
  <c r="I36" i="2"/>
  <c r="H36" i="2"/>
  <c r="G36" i="2"/>
  <c r="F36" i="2"/>
  <c r="E36" i="2"/>
  <c r="C36" i="2"/>
  <c r="B36" i="2"/>
  <c r="AP35" i="2"/>
  <c r="AO35" i="2"/>
  <c r="AL35" i="2"/>
  <c r="AK35" i="2"/>
  <c r="AJ35" i="2"/>
  <c r="AI35" i="2"/>
  <c r="AH35" i="2"/>
  <c r="AG35" i="2"/>
  <c r="AF35" i="2"/>
  <c r="AE35" i="2"/>
  <c r="AC35" i="2"/>
  <c r="AN35" i="2" s="1"/>
  <c r="AB35" i="2"/>
  <c r="AA35" i="2"/>
  <c r="Z35" i="2"/>
  <c r="Y35" i="2"/>
  <c r="X35" i="2"/>
  <c r="V35" i="2"/>
  <c r="S35" i="2"/>
  <c r="R35" i="2"/>
  <c r="Q35" i="2"/>
  <c r="P35" i="2"/>
  <c r="O35" i="2"/>
  <c r="N35" i="2"/>
  <c r="M35" i="2"/>
  <c r="L35" i="2"/>
  <c r="K35" i="2"/>
  <c r="I35" i="2"/>
  <c r="H35" i="2"/>
  <c r="G35" i="2"/>
  <c r="F35" i="2"/>
  <c r="E35" i="2"/>
  <c r="C35" i="2"/>
  <c r="B35" i="2"/>
  <c r="AP34" i="2"/>
  <c r="AO34" i="2"/>
  <c r="AL34" i="2"/>
  <c r="AK34" i="2"/>
  <c r="AJ34" i="2"/>
  <c r="AI34" i="2"/>
  <c r="AH34" i="2"/>
  <c r="AG34" i="2"/>
  <c r="AF34" i="2"/>
  <c r="AE34" i="2"/>
  <c r="AC34" i="2"/>
  <c r="AB34" i="2"/>
  <c r="AA34" i="2"/>
  <c r="Z34" i="2"/>
  <c r="Y34" i="2"/>
  <c r="X34" i="2"/>
  <c r="V34" i="2"/>
  <c r="S34" i="2"/>
  <c r="R34" i="2"/>
  <c r="Q34" i="2"/>
  <c r="P34" i="2"/>
  <c r="O34" i="2"/>
  <c r="N34" i="2"/>
  <c r="M34" i="2"/>
  <c r="L34" i="2"/>
  <c r="K34" i="2"/>
  <c r="J34" i="2" s="1"/>
  <c r="I34" i="2"/>
  <c r="H34" i="2"/>
  <c r="G34" i="2"/>
  <c r="F34" i="2"/>
  <c r="E34" i="2"/>
  <c r="C34" i="2"/>
  <c r="B34" i="2"/>
  <c r="AP33" i="2"/>
  <c r="AO33" i="2"/>
  <c r="AL33" i="2"/>
  <c r="AK33" i="2"/>
  <c r="AJ33" i="2"/>
  <c r="AI33" i="2"/>
  <c r="AH33" i="2"/>
  <c r="AG33" i="2"/>
  <c r="AF33" i="2"/>
  <c r="AE33" i="2"/>
  <c r="AC33" i="2"/>
  <c r="AN33" i="2" s="1"/>
  <c r="AB33" i="2"/>
  <c r="AA33" i="2"/>
  <c r="Z33" i="2"/>
  <c r="Y33" i="2"/>
  <c r="X33" i="2"/>
  <c r="V33" i="2"/>
  <c r="S33" i="2"/>
  <c r="R33" i="2"/>
  <c r="Q33" i="2"/>
  <c r="P33" i="2"/>
  <c r="O33" i="2"/>
  <c r="N33" i="2"/>
  <c r="M33" i="2"/>
  <c r="L33" i="2"/>
  <c r="K33" i="2"/>
  <c r="J33" i="2" s="1"/>
  <c r="I33" i="2"/>
  <c r="H33" i="2"/>
  <c r="G33" i="2"/>
  <c r="F33" i="2"/>
  <c r="E33" i="2"/>
  <c r="C33" i="2"/>
  <c r="B33" i="2"/>
  <c r="AP32" i="2"/>
  <c r="AO32" i="2"/>
  <c r="AL32" i="2"/>
  <c r="AK32" i="2"/>
  <c r="AJ32" i="2"/>
  <c r="AI32" i="2"/>
  <c r="AH32" i="2"/>
  <c r="AG32" i="2"/>
  <c r="AF32" i="2"/>
  <c r="AE32" i="2"/>
  <c r="AC32" i="2"/>
  <c r="AB32" i="2"/>
  <c r="AA32" i="2"/>
  <c r="Z32" i="2"/>
  <c r="Y32" i="2"/>
  <c r="X32" i="2"/>
  <c r="V32" i="2"/>
  <c r="S32" i="2"/>
  <c r="R32" i="2"/>
  <c r="Q32" i="2"/>
  <c r="P32" i="2"/>
  <c r="O32" i="2"/>
  <c r="N32" i="2"/>
  <c r="M32" i="2"/>
  <c r="L32" i="2"/>
  <c r="K32" i="2"/>
  <c r="I32" i="2"/>
  <c r="H32" i="2"/>
  <c r="G32" i="2"/>
  <c r="F32" i="2"/>
  <c r="E32" i="2"/>
  <c r="C32" i="2"/>
  <c r="B32" i="2"/>
  <c r="AP31" i="2"/>
  <c r="AO31" i="2"/>
  <c r="AL31" i="2"/>
  <c r="AK31" i="2"/>
  <c r="AJ31" i="2"/>
  <c r="AI31" i="2"/>
  <c r="AH31" i="2"/>
  <c r="AG31" i="2"/>
  <c r="AF31" i="2"/>
  <c r="AE31" i="2"/>
  <c r="AC31" i="2"/>
  <c r="AB31" i="2"/>
  <c r="AA31" i="2"/>
  <c r="Z31" i="2"/>
  <c r="Y31" i="2"/>
  <c r="X31" i="2"/>
  <c r="V31" i="2"/>
  <c r="S31" i="2"/>
  <c r="R31" i="2"/>
  <c r="Q31" i="2"/>
  <c r="P31" i="2"/>
  <c r="O31" i="2"/>
  <c r="N31" i="2"/>
  <c r="M31" i="2"/>
  <c r="L31" i="2"/>
  <c r="K31" i="2"/>
  <c r="I31" i="2"/>
  <c r="H31" i="2"/>
  <c r="G31" i="2"/>
  <c r="F31" i="2"/>
  <c r="E31" i="2"/>
  <c r="C31" i="2"/>
  <c r="B31" i="2"/>
  <c r="AP30" i="2"/>
  <c r="AO30" i="2"/>
  <c r="AL30" i="2"/>
  <c r="AK30" i="2"/>
  <c r="AJ30" i="2"/>
  <c r="AI30" i="2"/>
  <c r="AH30" i="2"/>
  <c r="AG30" i="2"/>
  <c r="AF30" i="2"/>
  <c r="AE30" i="2"/>
  <c r="AC30" i="2"/>
  <c r="AB30" i="2"/>
  <c r="AA30" i="2"/>
  <c r="Z30" i="2"/>
  <c r="Y30" i="2"/>
  <c r="X30" i="2"/>
  <c r="V30" i="2"/>
  <c r="S30" i="2"/>
  <c r="R30" i="2"/>
  <c r="Q30" i="2"/>
  <c r="P30" i="2"/>
  <c r="O30" i="2"/>
  <c r="N30" i="2"/>
  <c r="M30" i="2"/>
  <c r="L30" i="2"/>
  <c r="K30" i="2"/>
  <c r="I30" i="2"/>
  <c r="H30" i="2"/>
  <c r="G30" i="2"/>
  <c r="F30" i="2"/>
  <c r="E30" i="2"/>
  <c r="D30" i="2" s="1"/>
  <c r="C30" i="2"/>
  <c r="B30" i="2"/>
  <c r="AP29" i="2"/>
  <c r="AO29" i="2"/>
  <c r="AL29" i="2"/>
  <c r="AK29" i="2"/>
  <c r="AJ29" i="2"/>
  <c r="AI29" i="2"/>
  <c r="AH29" i="2"/>
  <c r="AG29" i="2"/>
  <c r="AF29" i="2"/>
  <c r="AE29" i="2"/>
  <c r="AC29" i="2"/>
  <c r="AB29" i="2"/>
  <c r="AA29" i="2"/>
  <c r="Z29" i="2"/>
  <c r="Y29" i="2"/>
  <c r="X29" i="2"/>
  <c r="V29" i="2"/>
  <c r="S29" i="2"/>
  <c r="R29" i="2"/>
  <c r="Q29" i="2"/>
  <c r="P29" i="2"/>
  <c r="O29" i="2"/>
  <c r="N29" i="2"/>
  <c r="M29" i="2"/>
  <c r="L29" i="2"/>
  <c r="K29" i="2"/>
  <c r="I29" i="2"/>
  <c r="H29" i="2"/>
  <c r="G29" i="2"/>
  <c r="F29" i="2"/>
  <c r="E29" i="2"/>
  <c r="C29" i="2"/>
  <c r="B29" i="2"/>
  <c r="AP28" i="2"/>
  <c r="AO28" i="2"/>
  <c r="AL28" i="2"/>
  <c r="AK28" i="2"/>
  <c r="AJ28" i="2"/>
  <c r="AI28" i="2"/>
  <c r="AH28" i="2"/>
  <c r="AG28" i="2"/>
  <c r="AF28" i="2"/>
  <c r="AE28" i="2"/>
  <c r="AC28" i="2"/>
  <c r="AB28" i="2"/>
  <c r="AA28" i="2"/>
  <c r="Z28" i="2"/>
  <c r="Y28" i="2"/>
  <c r="X28" i="2"/>
  <c r="V28" i="2"/>
  <c r="S28" i="2"/>
  <c r="R28" i="2"/>
  <c r="Q28" i="2"/>
  <c r="P28" i="2"/>
  <c r="O28" i="2"/>
  <c r="N28" i="2"/>
  <c r="M28" i="2"/>
  <c r="L28" i="2"/>
  <c r="K28" i="2"/>
  <c r="I28" i="2"/>
  <c r="H28" i="2"/>
  <c r="G28" i="2"/>
  <c r="F28" i="2"/>
  <c r="E28" i="2"/>
  <c r="C28" i="2"/>
  <c r="B28" i="2"/>
  <c r="AP27" i="2"/>
  <c r="AO27" i="2"/>
  <c r="AL27" i="2"/>
  <c r="AK27" i="2"/>
  <c r="AJ27" i="2"/>
  <c r="AI27" i="2"/>
  <c r="AH27" i="2"/>
  <c r="AG27" i="2"/>
  <c r="AF27" i="2"/>
  <c r="AE27" i="2"/>
  <c r="AC27" i="2"/>
  <c r="AB27" i="2"/>
  <c r="AA27" i="2"/>
  <c r="Z27" i="2"/>
  <c r="Y27" i="2"/>
  <c r="X27" i="2"/>
  <c r="V27" i="2"/>
  <c r="S27" i="2"/>
  <c r="R27" i="2"/>
  <c r="Q27" i="2"/>
  <c r="P27" i="2"/>
  <c r="O27" i="2"/>
  <c r="N27" i="2"/>
  <c r="M27" i="2"/>
  <c r="L27" i="2"/>
  <c r="K27" i="2"/>
  <c r="I27" i="2"/>
  <c r="H27" i="2"/>
  <c r="G27" i="2"/>
  <c r="F27" i="2"/>
  <c r="E27" i="2"/>
  <c r="C27" i="2"/>
  <c r="B27" i="2"/>
  <c r="AP26" i="2"/>
  <c r="AO26" i="2"/>
  <c r="AL26" i="2"/>
  <c r="AK26" i="2"/>
  <c r="AJ26" i="2"/>
  <c r="AI26" i="2"/>
  <c r="AH26" i="2"/>
  <c r="AG26" i="2"/>
  <c r="AF26" i="2"/>
  <c r="AE26" i="2"/>
  <c r="AC26" i="2"/>
  <c r="AB26" i="2"/>
  <c r="AA26" i="2"/>
  <c r="Z26" i="2"/>
  <c r="Y26" i="2"/>
  <c r="X26" i="2"/>
  <c r="V26" i="2"/>
  <c r="S26" i="2"/>
  <c r="R26" i="2"/>
  <c r="Q26" i="2"/>
  <c r="P26" i="2"/>
  <c r="O26" i="2"/>
  <c r="N26" i="2"/>
  <c r="M26" i="2"/>
  <c r="L26" i="2"/>
  <c r="K26" i="2"/>
  <c r="I26" i="2"/>
  <c r="H26" i="2"/>
  <c r="G26" i="2"/>
  <c r="F26" i="2"/>
  <c r="E26" i="2"/>
  <c r="C26" i="2"/>
  <c r="B26" i="2"/>
  <c r="AP25" i="2"/>
  <c r="AO25" i="2"/>
  <c r="AL25" i="2"/>
  <c r="AK25" i="2"/>
  <c r="AJ25" i="2"/>
  <c r="AI25" i="2"/>
  <c r="AH25" i="2"/>
  <c r="AG25" i="2"/>
  <c r="AF25" i="2"/>
  <c r="AE25" i="2"/>
  <c r="AC25" i="2"/>
  <c r="AB25" i="2"/>
  <c r="AA25" i="2"/>
  <c r="Z25" i="2"/>
  <c r="Y25" i="2"/>
  <c r="X25" i="2"/>
  <c r="V25" i="2"/>
  <c r="S25" i="2"/>
  <c r="R25" i="2"/>
  <c r="Q25" i="2"/>
  <c r="P25" i="2"/>
  <c r="O25" i="2"/>
  <c r="N25" i="2"/>
  <c r="M25" i="2"/>
  <c r="L25" i="2"/>
  <c r="K25" i="2"/>
  <c r="J25" i="2" s="1"/>
  <c r="I25" i="2"/>
  <c r="H25" i="2"/>
  <c r="G25" i="2"/>
  <c r="F25" i="2"/>
  <c r="E25" i="2"/>
  <c r="C25" i="2"/>
  <c r="B25" i="2"/>
  <c r="AP24" i="2"/>
  <c r="AO24" i="2"/>
  <c r="AL24" i="2"/>
  <c r="AK24" i="2"/>
  <c r="AJ24" i="2"/>
  <c r="AI24" i="2"/>
  <c r="AH24" i="2"/>
  <c r="AG24" i="2"/>
  <c r="AF24" i="2"/>
  <c r="AE24" i="2"/>
  <c r="AC24" i="2"/>
  <c r="AB24" i="2"/>
  <c r="AA24" i="2"/>
  <c r="Z24" i="2"/>
  <c r="Y24" i="2"/>
  <c r="X24" i="2"/>
  <c r="V24" i="2"/>
  <c r="S24" i="2"/>
  <c r="R24" i="2"/>
  <c r="Q24" i="2"/>
  <c r="P24" i="2"/>
  <c r="O24" i="2"/>
  <c r="N24" i="2"/>
  <c r="M24" i="2"/>
  <c r="L24" i="2"/>
  <c r="K24" i="2"/>
  <c r="I24" i="2"/>
  <c r="H24" i="2"/>
  <c r="G24" i="2"/>
  <c r="F24" i="2"/>
  <c r="E24" i="2"/>
  <c r="C24" i="2"/>
  <c r="B24" i="2"/>
  <c r="AP23" i="2"/>
  <c r="AO23" i="2"/>
  <c r="AL23" i="2"/>
  <c r="AK23" i="2"/>
  <c r="AJ23" i="2"/>
  <c r="AI23" i="2"/>
  <c r="AH23" i="2"/>
  <c r="AG23" i="2"/>
  <c r="AF23" i="2"/>
  <c r="AE23" i="2"/>
  <c r="AC23" i="2"/>
  <c r="AB23" i="2"/>
  <c r="AA23" i="2"/>
  <c r="Z23" i="2"/>
  <c r="Y23" i="2"/>
  <c r="X23" i="2"/>
  <c r="V23" i="2"/>
  <c r="S23" i="2"/>
  <c r="R23" i="2"/>
  <c r="Q23" i="2"/>
  <c r="P23" i="2"/>
  <c r="O23" i="2"/>
  <c r="N23" i="2"/>
  <c r="M23" i="2"/>
  <c r="L23" i="2"/>
  <c r="K23" i="2"/>
  <c r="I23" i="2"/>
  <c r="H23" i="2"/>
  <c r="G23" i="2"/>
  <c r="F23" i="2"/>
  <c r="E23" i="2"/>
  <c r="C23" i="2"/>
  <c r="B23" i="2"/>
  <c r="AP22" i="2"/>
  <c r="AO22" i="2"/>
  <c r="AL22" i="2"/>
  <c r="AK22" i="2"/>
  <c r="AJ22" i="2"/>
  <c r="AI22" i="2"/>
  <c r="AH22" i="2"/>
  <c r="AG22" i="2"/>
  <c r="AF22" i="2"/>
  <c r="AE22" i="2"/>
  <c r="AC22" i="2"/>
  <c r="AB22" i="2"/>
  <c r="AA22" i="2"/>
  <c r="Z22" i="2"/>
  <c r="Y22" i="2"/>
  <c r="X22" i="2"/>
  <c r="V22" i="2"/>
  <c r="S22" i="2"/>
  <c r="R22" i="2"/>
  <c r="Q22" i="2"/>
  <c r="P22" i="2"/>
  <c r="O22" i="2"/>
  <c r="N22" i="2"/>
  <c r="M22" i="2"/>
  <c r="L22" i="2"/>
  <c r="K22" i="2"/>
  <c r="I22" i="2"/>
  <c r="H22" i="2"/>
  <c r="G22" i="2"/>
  <c r="F22" i="2"/>
  <c r="E22" i="2"/>
  <c r="C22" i="2"/>
  <c r="B22" i="2"/>
  <c r="AP21" i="2"/>
  <c r="AP20" i="2" s="1"/>
  <c r="AO21" i="2"/>
  <c r="AL21" i="2"/>
  <c r="AL20" i="2" s="1"/>
  <c r="AK21" i="2"/>
  <c r="AJ21" i="2"/>
  <c r="AJ20" i="2" s="1"/>
  <c r="AI21" i="2"/>
  <c r="AI20" i="2" s="1"/>
  <c r="AH21" i="2"/>
  <c r="AH20" i="2" s="1"/>
  <c r="AG21" i="2"/>
  <c r="AF21" i="2"/>
  <c r="AF20" i="2" s="1"/>
  <c r="AE21" i="2"/>
  <c r="AC21" i="2"/>
  <c r="AB21" i="2"/>
  <c r="AA21" i="2"/>
  <c r="AA20" i="2" s="1"/>
  <c r="Z21" i="2"/>
  <c r="Z20" i="2" s="1"/>
  <c r="Y21" i="2"/>
  <c r="Y20" i="2" s="1"/>
  <c r="X21" i="2"/>
  <c r="X20" i="2" s="1"/>
  <c r="V21" i="2"/>
  <c r="V20" i="2" s="1"/>
  <c r="S21" i="2"/>
  <c r="S20" i="2" s="1"/>
  <c r="R21" i="2"/>
  <c r="R20" i="2" s="1"/>
  <c r="Q21" i="2"/>
  <c r="Q20" i="2" s="1"/>
  <c r="P21" i="2"/>
  <c r="P20" i="2" s="1"/>
  <c r="O21" i="2"/>
  <c r="N21" i="2"/>
  <c r="M21" i="2"/>
  <c r="L21" i="2"/>
  <c r="L20" i="2" s="1"/>
  <c r="K21" i="2"/>
  <c r="I21" i="2"/>
  <c r="H21" i="2"/>
  <c r="G21" i="2"/>
  <c r="G20" i="2" s="1"/>
  <c r="F21" i="2"/>
  <c r="E21" i="2"/>
  <c r="C21" i="2"/>
  <c r="B21" i="2"/>
  <c r="AO20" i="2"/>
  <c r="AK20" i="2"/>
  <c r="AG20" i="2"/>
  <c r="AE20" i="2"/>
  <c r="AB20" i="2"/>
  <c r="N20" i="2"/>
  <c r="I20" i="2"/>
  <c r="AP19" i="2"/>
  <c r="AO19" i="2"/>
  <c r="AL19" i="2"/>
  <c r="AK19" i="2"/>
  <c r="AJ19" i="2"/>
  <c r="AI19" i="2"/>
  <c r="AH19" i="2"/>
  <c r="AG19" i="2"/>
  <c r="AF19" i="2"/>
  <c r="AE19" i="2"/>
  <c r="AC19" i="2"/>
  <c r="AB19" i="2"/>
  <c r="AA19" i="2"/>
  <c r="Z19" i="2"/>
  <c r="Y19" i="2"/>
  <c r="X19" i="2"/>
  <c r="V19" i="2"/>
  <c r="S19" i="2"/>
  <c r="R19" i="2"/>
  <c r="Q19" i="2"/>
  <c r="P19" i="2"/>
  <c r="O19" i="2"/>
  <c r="N19" i="2"/>
  <c r="M19" i="2"/>
  <c r="L19" i="2"/>
  <c r="K19" i="2"/>
  <c r="I19" i="2"/>
  <c r="H19" i="2"/>
  <c r="G19" i="2"/>
  <c r="F19" i="2"/>
  <c r="E19" i="2"/>
  <c r="C19" i="2"/>
  <c r="B19" i="2"/>
  <c r="AP18" i="2"/>
  <c r="AO18" i="2"/>
  <c r="AL18" i="2"/>
  <c r="AK18" i="2"/>
  <c r="AJ18" i="2"/>
  <c r="AI18" i="2"/>
  <c r="AH18" i="2"/>
  <c r="AG18" i="2"/>
  <c r="AF18" i="2"/>
  <c r="AE18" i="2"/>
  <c r="AC18" i="2"/>
  <c r="AB18" i="2"/>
  <c r="AA18" i="2"/>
  <c r="Z18" i="2"/>
  <c r="Y18" i="2"/>
  <c r="X18" i="2"/>
  <c r="V18" i="2"/>
  <c r="S18" i="2"/>
  <c r="R18" i="2"/>
  <c r="Q18" i="2"/>
  <c r="P18" i="2"/>
  <c r="O18" i="2"/>
  <c r="N18" i="2"/>
  <c r="M18" i="2"/>
  <c r="L18" i="2"/>
  <c r="K18" i="2"/>
  <c r="I18" i="2"/>
  <c r="H18" i="2"/>
  <c r="G18" i="2"/>
  <c r="F18" i="2"/>
  <c r="E18" i="2"/>
  <c r="C18" i="2"/>
  <c r="B18" i="2"/>
  <c r="AP17" i="2"/>
  <c r="AP16" i="2" s="1"/>
  <c r="AO17" i="2"/>
  <c r="AL17" i="2"/>
  <c r="AL16" i="2" s="1"/>
  <c r="AK17" i="2"/>
  <c r="AJ17" i="2"/>
  <c r="AJ16" i="2" s="1"/>
  <c r="AI17" i="2"/>
  <c r="AI16" i="2" s="1"/>
  <c r="AH17" i="2"/>
  <c r="AH16" i="2" s="1"/>
  <c r="AG17" i="2"/>
  <c r="AG16" i="2" s="1"/>
  <c r="AF17" i="2"/>
  <c r="AE17" i="2"/>
  <c r="AE16" i="2" s="1"/>
  <c r="AC17" i="2"/>
  <c r="AB17" i="2"/>
  <c r="AB16" i="2" s="1"/>
  <c r="AA17" i="2"/>
  <c r="Z17" i="2"/>
  <c r="Z16" i="2" s="1"/>
  <c r="Y17" i="2"/>
  <c r="X17" i="2"/>
  <c r="X16" i="2" s="1"/>
  <c r="V17" i="2"/>
  <c r="S17" i="2"/>
  <c r="S16" i="2" s="1"/>
  <c r="R17" i="2"/>
  <c r="Q17" i="2"/>
  <c r="Q16" i="2" s="1"/>
  <c r="P17" i="2"/>
  <c r="P16" i="2" s="1"/>
  <c r="O17" i="2"/>
  <c r="O16" i="2" s="1"/>
  <c r="N17" i="2"/>
  <c r="N16" i="2" s="1"/>
  <c r="M17" i="2"/>
  <c r="M16" i="2" s="1"/>
  <c r="L17" i="2"/>
  <c r="L16" i="2" s="1"/>
  <c r="K17" i="2"/>
  <c r="K16" i="2" s="1"/>
  <c r="I17" i="2"/>
  <c r="H17" i="2"/>
  <c r="G17" i="2"/>
  <c r="G16" i="2" s="1"/>
  <c r="F17" i="2"/>
  <c r="F16" i="2" s="1"/>
  <c r="E17" i="2"/>
  <c r="C17" i="2"/>
  <c r="B17" i="2"/>
  <c r="AO16" i="2"/>
  <c r="AK16" i="2"/>
  <c r="AF16" i="2"/>
  <c r="AC16" i="2"/>
  <c r="AA16" i="2"/>
  <c r="Y16" i="2"/>
  <c r="V16" i="2"/>
  <c r="R16" i="2"/>
  <c r="I16" i="2"/>
  <c r="H16" i="2"/>
  <c r="B16" i="2"/>
  <c r="AP15" i="2"/>
  <c r="AO15" i="2"/>
  <c r="AL15" i="2"/>
  <c r="AK15" i="2"/>
  <c r="AJ15" i="2"/>
  <c r="AI15" i="2"/>
  <c r="AH15" i="2"/>
  <c r="AG15" i="2"/>
  <c r="AF15" i="2"/>
  <c r="AE15" i="2"/>
  <c r="AC15" i="2"/>
  <c r="AB15" i="2"/>
  <c r="AA15" i="2"/>
  <c r="Z15" i="2"/>
  <c r="Y15" i="2"/>
  <c r="X15" i="2"/>
  <c r="V15" i="2"/>
  <c r="S15" i="2"/>
  <c r="R15" i="2"/>
  <c r="Q15" i="2"/>
  <c r="P15" i="2"/>
  <c r="O15" i="2"/>
  <c r="N15" i="2"/>
  <c r="M15" i="2"/>
  <c r="L15" i="2"/>
  <c r="K15" i="2"/>
  <c r="I15" i="2"/>
  <c r="H15" i="2"/>
  <c r="G15" i="2"/>
  <c r="F15" i="2"/>
  <c r="E15" i="2"/>
  <c r="C15" i="2"/>
  <c r="B15" i="2"/>
  <c r="AP14" i="2"/>
  <c r="AO14" i="2"/>
  <c r="AL14" i="2"/>
  <c r="AK14" i="2"/>
  <c r="AJ14" i="2"/>
  <c r="AI14" i="2"/>
  <c r="AH14" i="2"/>
  <c r="AG14" i="2"/>
  <c r="AF14" i="2"/>
  <c r="AE14" i="2"/>
  <c r="AC14" i="2"/>
  <c r="AB14" i="2"/>
  <c r="AA14" i="2"/>
  <c r="Z14" i="2"/>
  <c r="Y14" i="2"/>
  <c r="X14" i="2"/>
  <c r="V14" i="2"/>
  <c r="S14" i="2"/>
  <c r="R14" i="2"/>
  <c r="Q14" i="2"/>
  <c r="P14" i="2"/>
  <c r="O14" i="2"/>
  <c r="N14" i="2"/>
  <c r="M14" i="2"/>
  <c r="L14" i="2"/>
  <c r="K14" i="2"/>
  <c r="I14" i="2"/>
  <c r="H14" i="2"/>
  <c r="G14" i="2"/>
  <c r="F14" i="2"/>
  <c r="E14" i="2"/>
  <c r="C14" i="2"/>
  <c r="B14" i="2"/>
  <c r="AP13" i="2"/>
  <c r="AO13" i="2"/>
  <c r="AL13" i="2"/>
  <c r="AK13" i="2"/>
  <c r="AJ13" i="2"/>
  <c r="AI13" i="2"/>
  <c r="AH13" i="2"/>
  <c r="AG13" i="2"/>
  <c r="AF13" i="2"/>
  <c r="AE13" i="2"/>
  <c r="AC13" i="2"/>
  <c r="AB13" i="2"/>
  <c r="AA13" i="2"/>
  <c r="Z13" i="2"/>
  <c r="Y13" i="2"/>
  <c r="X13" i="2"/>
  <c r="V13" i="2"/>
  <c r="S13" i="2"/>
  <c r="R13" i="2"/>
  <c r="Q13" i="2"/>
  <c r="P13" i="2"/>
  <c r="O13" i="2"/>
  <c r="N13" i="2"/>
  <c r="M13" i="2"/>
  <c r="L13" i="2"/>
  <c r="K13" i="2"/>
  <c r="I13" i="2"/>
  <c r="U13" i="2" s="1"/>
  <c r="H13" i="2"/>
  <c r="G13" i="2"/>
  <c r="F13" i="2"/>
  <c r="E13" i="2"/>
  <c r="D13" i="2" s="1"/>
  <c r="C13" i="2"/>
  <c r="B13" i="2"/>
  <c r="AP12" i="2"/>
  <c r="AO12" i="2"/>
  <c r="AL12" i="2"/>
  <c r="AK12" i="2"/>
  <c r="AJ12" i="2"/>
  <c r="AI12" i="2"/>
  <c r="AH12" i="2"/>
  <c r="AG12" i="2"/>
  <c r="AF12" i="2"/>
  <c r="AE12" i="2"/>
  <c r="AC12" i="2"/>
  <c r="AB12" i="2"/>
  <c r="AA12" i="2"/>
  <c r="Z12" i="2"/>
  <c r="Y12" i="2"/>
  <c r="X12" i="2"/>
  <c r="V12" i="2"/>
  <c r="S12" i="2"/>
  <c r="R12" i="2"/>
  <c r="Q12" i="2"/>
  <c r="P12" i="2"/>
  <c r="O12" i="2"/>
  <c r="N12" i="2"/>
  <c r="M12" i="2"/>
  <c r="L12" i="2"/>
  <c r="K12" i="2"/>
  <c r="J12" i="2" s="1"/>
  <c r="I12" i="2"/>
  <c r="H12" i="2"/>
  <c r="G12" i="2"/>
  <c r="F12" i="2"/>
  <c r="E12" i="2"/>
  <c r="C12" i="2"/>
  <c r="B12" i="2"/>
  <c r="AP11" i="2"/>
  <c r="AP10" i="2" s="1"/>
  <c r="AO11" i="2"/>
  <c r="AL11" i="2"/>
  <c r="AL10" i="2" s="1"/>
  <c r="AK11" i="2"/>
  <c r="AK10" i="2" s="1"/>
  <c r="AJ11" i="2"/>
  <c r="AI11" i="2"/>
  <c r="AH11" i="2"/>
  <c r="AG11" i="2"/>
  <c r="AG10" i="2" s="1"/>
  <c r="AF11" i="2"/>
  <c r="AE11" i="2"/>
  <c r="AE10" i="2" s="1"/>
  <c r="AC11" i="2"/>
  <c r="AB11" i="2"/>
  <c r="AA11" i="2"/>
  <c r="Z11" i="2"/>
  <c r="Z10" i="2" s="1"/>
  <c r="Y11" i="2"/>
  <c r="X11" i="2"/>
  <c r="V11" i="2"/>
  <c r="S11" i="2"/>
  <c r="S10" i="2" s="1"/>
  <c r="R11" i="2"/>
  <c r="Q11" i="2"/>
  <c r="Q10" i="2" s="1"/>
  <c r="P11" i="2"/>
  <c r="O11" i="2"/>
  <c r="O10" i="2" s="1"/>
  <c r="N11" i="2"/>
  <c r="M11" i="2"/>
  <c r="M10" i="2" s="1"/>
  <c r="L11" i="2"/>
  <c r="K11" i="2"/>
  <c r="I11" i="2"/>
  <c r="H11" i="2"/>
  <c r="H10" i="2" s="1"/>
  <c r="G11" i="2"/>
  <c r="G10" i="2" s="1"/>
  <c r="F11" i="2"/>
  <c r="F10" i="2" s="1"/>
  <c r="E11" i="2"/>
  <c r="C11" i="2"/>
  <c r="C10" i="2" s="1"/>
  <c r="B11" i="2"/>
  <c r="B10" i="2" s="1"/>
  <c r="AO10" i="2"/>
  <c r="AI10" i="2"/>
  <c r="AB10" i="2"/>
  <c r="X10" i="2"/>
  <c r="AP9" i="2"/>
  <c r="AO9" i="2"/>
  <c r="AL9" i="2"/>
  <c r="AK9" i="2"/>
  <c r="AJ9" i="2"/>
  <c r="AI9" i="2"/>
  <c r="AH9" i="2"/>
  <c r="AG9" i="2"/>
  <c r="AF9" i="2"/>
  <c r="AE9" i="2"/>
  <c r="AC9" i="2"/>
  <c r="AB9" i="2"/>
  <c r="AA9" i="2"/>
  <c r="Z9" i="2"/>
  <c r="Y9" i="2"/>
  <c r="X9" i="2"/>
  <c r="V9" i="2"/>
  <c r="S9" i="2"/>
  <c r="R9" i="2"/>
  <c r="Q9" i="2"/>
  <c r="P9" i="2"/>
  <c r="O9" i="2"/>
  <c r="N9" i="2"/>
  <c r="M9" i="2"/>
  <c r="L9" i="2"/>
  <c r="K9" i="2"/>
  <c r="I9" i="2"/>
  <c r="H9" i="2"/>
  <c r="G9" i="2"/>
  <c r="F9" i="2"/>
  <c r="E9" i="2"/>
  <c r="C9" i="2"/>
  <c r="B9" i="2"/>
  <c r="AP8" i="2"/>
  <c r="AO8" i="2"/>
  <c r="AL8" i="2"/>
  <c r="AK8" i="2"/>
  <c r="AJ8" i="2"/>
  <c r="AI8" i="2"/>
  <c r="AH8" i="2"/>
  <c r="AG8" i="2"/>
  <c r="AF8" i="2"/>
  <c r="AE8" i="2"/>
  <c r="AC8" i="2"/>
  <c r="AB8" i="2"/>
  <c r="AA8" i="2"/>
  <c r="Z8" i="2"/>
  <c r="Y8" i="2"/>
  <c r="X8" i="2"/>
  <c r="V8" i="2"/>
  <c r="S8" i="2"/>
  <c r="R8" i="2"/>
  <c r="Q8" i="2"/>
  <c r="P8" i="2"/>
  <c r="O8" i="2"/>
  <c r="N8" i="2"/>
  <c r="M8" i="2"/>
  <c r="L8" i="2"/>
  <c r="K8" i="2"/>
  <c r="I8" i="2"/>
  <c r="H8" i="2"/>
  <c r="G8" i="2"/>
  <c r="F8" i="2"/>
  <c r="E8" i="2"/>
  <c r="C8" i="2"/>
  <c r="B8" i="2"/>
  <c r="AP7" i="2"/>
  <c r="AO7" i="2"/>
  <c r="AL7" i="2"/>
  <c r="AK7" i="2"/>
  <c r="AJ7" i="2"/>
  <c r="AI7" i="2"/>
  <c r="AH7" i="2"/>
  <c r="AG7" i="2"/>
  <c r="AF7" i="2"/>
  <c r="AE7" i="2"/>
  <c r="AC7" i="2"/>
  <c r="AB7" i="2"/>
  <c r="AA7" i="2"/>
  <c r="Z7" i="2"/>
  <c r="Y7" i="2"/>
  <c r="X7" i="2"/>
  <c r="V7" i="2"/>
  <c r="S7" i="2"/>
  <c r="R7" i="2"/>
  <c r="Q7" i="2"/>
  <c r="P7" i="2"/>
  <c r="O7" i="2"/>
  <c r="N7" i="2"/>
  <c r="M7" i="2"/>
  <c r="L7" i="2"/>
  <c r="K7" i="2"/>
  <c r="I7" i="2"/>
  <c r="H7" i="2"/>
  <c r="G7" i="2"/>
  <c r="F7" i="2"/>
  <c r="E7" i="2"/>
  <c r="C7" i="2"/>
  <c r="B7" i="2"/>
  <c r="AP6" i="2"/>
  <c r="AO6" i="2"/>
  <c r="AO5" i="2" s="1"/>
  <c r="AO37" i="2" s="1"/>
  <c r="AL6" i="2"/>
  <c r="AK6" i="2"/>
  <c r="AK5" i="2" s="1"/>
  <c r="AJ6" i="2"/>
  <c r="AI6" i="2"/>
  <c r="AI5" i="2" s="1"/>
  <c r="AH6" i="2"/>
  <c r="AG6" i="2"/>
  <c r="AG5" i="2" s="1"/>
  <c r="AF6" i="2"/>
  <c r="AE6" i="2"/>
  <c r="AC6" i="2"/>
  <c r="AB6" i="2"/>
  <c r="AA6" i="2"/>
  <c r="Z6" i="2"/>
  <c r="Z5" i="2" s="1"/>
  <c r="Y6" i="2"/>
  <c r="X6" i="2"/>
  <c r="V6" i="2"/>
  <c r="S6" i="2"/>
  <c r="S5" i="2" s="1"/>
  <c r="R6" i="2"/>
  <c r="Q6" i="2"/>
  <c r="P6" i="2"/>
  <c r="O6" i="2"/>
  <c r="O5" i="2" s="1"/>
  <c r="N6" i="2"/>
  <c r="M6" i="2"/>
  <c r="L6" i="2"/>
  <c r="K6" i="2"/>
  <c r="K5" i="2" s="1"/>
  <c r="I6" i="2"/>
  <c r="H6" i="2"/>
  <c r="H5" i="2" s="1"/>
  <c r="G6" i="2"/>
  <c r="F6" i="2"/>
  <c r="F5" i="2" s="1"/>
  <c r="E6" i="2"/>
  <c r="C6" i="2"/>
  <c r="C5" i="2" s="1"/>
  <c r="B6" i="2"/>
  <c r="AP5" i="2"/>
  <c r="AB5" i="2"/>
  <c r="X5" i="2"/>
  <c r="Q5" i="2"/>
  <c r="M5" i="2"/>
  <c r="G5" i="2"/>
  <c r="AP2" i="2"/>
  <c r="W2" i="2"/>
  <c r="A2" i="2"/>
  <c r="AI37" i="2" l="1"/>
  <c r="W25" i="2"/>
  <c r="J27" i="2"/>
  <c r="J31" i="2"/>
  <c r="W33" i="2"/>
  <c r="J35" i="2"/>
  <c r="J5" i="6"/>
  <c r="P5" i="6"/>
  <c r="M10" i="6"/>
  <c r="K34" i="6"/>
  <c r="H36" i="6"/>
  <c r="E38" i="6"/>
  <c r="W34" i="2"/>
  <c r="B33" i="6"/>
  <c r="H35" i="6"/>
  <c r="K38" i="6"/>
  <c r="E42" i="6"/>
  <c r="K43" i="6"/>
  <c r="G52" i="6"/>
  <c r="B29" i="6"/>
  <c r="N29" i="6"/>
  <c r="U30" i="6"/>
  <c r="T30" i="6" s="1"/>
  <c r="R32" i="6"/>
  <c r="H33" i="6"/>
  <c r="N34" i="6"/>
  <c r="K42" i="6"/>
  <c r="B43" i="6"/>
  <c r="H44" i="6"/>
  <c r="N45" i="6"/>
  <c r="E46" i="6"/>
  <c r="K47" i="6"/>
  <c r="Q49" i="6"/>
  <c r="N50" i="6"/>
  <c r="I52" i="6"/>
  <c r="H52" i="6" s="1"/>
  <c r="N52" i="6"/>
  <c r="K55" i="6"/>
  <c r="U11" i="2"/>
  <c r="J14" i="2"/>
  <c r="T14" i="2" s="1"/>
  <c r="W36" i="2"/>
  <c r="G10" i="6"/>
  <c r="N38" i="6"/>
  <c r="H43" i="6"/>
  <c r="K46" i="6"/>
  <c r="B47" i="6"/>
  <c r="H48" i="6"/>
  <c r="N49" i="6"/>
  <c r="E50" i="6"/>
  <c r="K51" i="6"/>
  <c r="K53" i="6"/>
  <c r="V54" i="6"/>
  <c r="V52" i="6" s="1"/>
  <c r="B55" i="6"/>
  <c r="H56" i="6"/>
  <c r="N57" i="6"/>
  <c r="E58" i="6"/>
  <c r="V60" i="6"/>
  <c r="R61" i="6"/>
  <c r="AB37" i="2"/>
  <c r="X37" i="2"/>
  <c r="D14" i="2"/>
  <c r="U14" i="2"/>
  <c r="W15" i="2"/>
  <c r="D17" i="2"/>
  <c r="U17" i="2"/>
  <c r="AN17" i="2"/>
  <c r="J18" i="2"/>
  <c r="D19" i="2"/>
  <c r="U19" i="2"/>
  <c r="AN19" i="2"/>
  <c r="W24" i="2"/>
  <c r="AN25" i="2"/>
  <c r="W26" i="2"/>
  <c r="W28" i="2"/>
  <c r="AN29" i="2"/>
  <c r="D35" i="2"/>
  <c r="U35" i="2"/>
  <c r="AD36" i="2"/>
  <c r="N9" i="6"/>
  <c r="N11" i="6"/>
  <c r="K12" i="6"/>
  <c r="H13" i="6"/>
  <c r="N15" i="6"/>
  <c r="K18" i="6"/>
  <c r="N18" i="6"/>
  <c r="B19" i="6"/>
  <c r="N23" i="6"/>
  <c r="AJ5" i="2"/>
  <c r="AD33" i="2"/>
  <c r="AK37" i="2"/>
  <c r="AH10" i="2"/>
  <c r="AJ10" i="2"/>
  <c r="AD12" i="2"/>
  <c r="AF5" i="2"/>
  <c r="AN8" i="2"/>
  <c r="W9" i="2"/>
  <c r="AD9" i="2"/>
  <c r="AP37" i="2"/>
  <c r="W8" i="2"/>
  <c r="I10" i="2"/>
  <c r="U10" i="2" s="1"/>
  <c r="AD8" i="2"/>
  <c r="AN24" i="2"/>
  <c r="AD25" i="2"/>
  <c r="AD29" i="2"/>
  <c r="AN30" i="2"/>
  <c r="AN32" i="2"/>
  <c r="AG37" i="2"/>
  <c r="AD18" i="2"/>
  <c r="D7" i="2"/>
  <c r="R5" i="2"/>
  <c r="V5" i="2"/>
  <c r="Y5" i="2"/>
  <c r="AA5" i="2"/>
  <c r="AN7" i="2"/>
  <c r="AL5" i="2"/>
  <c r="AL37" i="2" s="1"/>
  <c r="AD14" i="2"/>
  <c r="D15" i="2"/>
  <c r="U15" i="2"/>
  <c r="U20" i="2"/>
  <c r="D21" i="2"/>
  <c r="T21" i="2" s="1"/>
  <c r="U21" i="2"/>
  <c r="AN21" i="2"/>
  <c r="J22" i="2"/>
  <c r="D23" i="2"/>
  <c r="U23" i="2"/>
  <c r="AN23" i="2"/>
  <c r="J24" i="2"/>
  <c r="D27" i="2"/>
  <c r="T27" i="2" s="1"/>
  <c r="U27" i="2"/>
  <c r="D29" i="2"/>
  <c r="W32" i="2"/>
  <c r="H6" i="6"/>
  <c r="K5" i="6"/>
  <c r="E7" i="6"/>
  <c r="K7" i="6"/>
  <c r="N7" i="6"/>
  <c r="E8" i="6"/>
  <c r="S8" i="6"/>
  <c r="K20" i="6"/>
  <c r="K21" i="6"/>
  <c r="H23" i="6"/>
  <c r="K23" i="6"/>
  <c r="V30" i="6"/>
  <c r="N30" i="6"/>
  <c r="B31" i="6"/>
  <c r="S31" i="6"/>
  <c r="V31" i="6"/>
  <c r="K31" i="6"/>
  <c r="S32" i="6"/>
  <c r="U32" i="6"/>
  <c r="T32" i="6" s="1"/>
  <c r="H32" i="6"/>
  <c r="R33" i="6"/>
  <c r="U33" i="6"/>
  <c r="I34" i="6"/>
  <c r="H34" i="6" s="1"/>
  <c r="R35" i="6"/>
  <c r="U35" i="6"/>
  <c r="R36" i="6"/>
  <c r="E36" i="6"/>
  <c r="V36" i="6"/>
  <c r="T36" i="6" s="1"/>
  <c r="N36" i="6"/>
  <c r="B37" i="6"/>
  <c r="S37" i="6"/>
  <c r="Q37" i="6" s="1"/>
  <c r="V37" i="6"/>
  <c r="T37" i="6" s="1"/>
  <c r="K37" i="6"/>
  <c r="S38" i="6"/>
  <c r="U38" i="6"/>
  <c r="T38" i="6" s="1"/>
  <c r="H38" i="6"/>
  <c r="R39" i="6"/>
  <c r="U39" i="6"/>
  <c r="R40" i="6"/>
  <c r="E40" i="6"/>
  <c r="V40" i="6"/>
  <c r="T40" i="6" s="1"/>
  <c r="N40" i="6"/>
  <c r="B41" i="6"/>
  <c r="S41" i="6"/>
  <c r="V41" i="6"/>
  <c r="T41" i="6" s="1"/>
  <c r="K41" i="6"/>
  <c r="S42" i="6"/>
  <c r="Q42" i="6" s="1"/>
  <c r="U42" i="6"/>
  <c r="H42" i="6"/>
  <c r="R43" i="6"/>
  <c r="U43" i="6"/>
  <c r="T43" i="6" s="1"/>
  <c r="R44" i="6"/>
  <c r="E44" i="6"/>
  <c r="V44" i="6"/>
  <c r="N44" i="6"/>
  <c r="B45" i="6"/>
  <c r="S45" i="6"/>
  <c r="Q45" i="6" s="1"/>
  <c r="V45" i="6"/>
  <c r="T45" i="6" s="1"/>
  <c r="K45" i="6"/>
  <c r="H46" i="6"/>
  <c r="E48" i="6"/>
  <c r="N48" i="6"/>
  <c r="B49" i="6"/>
  <c r="K49" i="6"/>
  <c r="H50" i="6"/>
  <c r="E54" i="6"/>
  <c r="N54" i="6"/>
  <c r="Q32" i="6"/>
  <c r="Q38" i="6"/>
  <c r="Q41" i="6"/>
  <c r="T44" i="6"/>
  <c r="Q55" i="6"/>
  <c r="T55" i="6"/>
  <c r="Q56" i="6"/>
  <c r="E56" i="6"/>
  <c r="N56" i="6"/>
  <c r="B57" i="6"/>
  <c r="K57" i="6"/>
  <c r="T58" i="6"/>
  <c r="H58" i="6"/>
  <c r="H59" i="6"/>
  <c r="N65" i="6"/>
  <c r="Q60" i="6"/>
  <c r="E60" i="6"/>
  <c r="N60" i="6"/>
  <c r="B61" i="6"/>
  <c r="K61" i="6"/>
  <c r="Q37" i="2"/>
  <c r="AJ37" i="2"/>
  <c r="C16" i="2"/>
  <c r="W17" i="2"/>
  <c r="AD17" i="2"/>
  <c r="U18" i="2"/>
  <c r="W19" i="2"/>
  <c r="AD19" i="2"/>
  <c r="E20" i="2"/>
  <c r="AC20" i="2"/>
  <c r="AN20" i="2" s="1"/>
  <c r="C20" i="2"/>
  <c r="F20" i="2"/>
  <c r="H20" i="2"/>
  <c r="H37" i="2" s="1"/>
  <c r="F22" i="4" s="1"/>
  <c r="J21" i="2"/>
  <c r="M20" i="2"/>
  <c r="M37" i="2" s="1"/>
  <c r="O20" i="2"/>
  <c r="W21" i="2"/>
  <c r="AD21" i="2"/>
  <c r="D22" i="2"/>
  <c r="T22" i="2" s="1"/>
  <c r="AN22" i="2"/>
  <c r="J23" i="2"/>
  <c r="W23" i="2"/>
  <c r="AD23" i="2"/>
  <c r="D25" i="2"/>
  <c r="U25" i="2"/>
  <c r="D26" i="2"/>
  <c r="U26" i="2"/>
  <c r="AN26" i="2"/>
  <c r="AN27" i="2"/>
  <c r="J28" i="2"/>
  <c r="AN28" i="2"/>
  <c r="J29" i="2"/>
  <c r="W29" i="2"/>
  <c r="W30" i="2"/>
  <c r="D31" i="2"/>
  <c r="T31" i="2" s="1"/>
  <c r="U31" i="2"/>
  <c r="AN31" i="2"/>
  <c r="J32" i="2"/>
  <c r="I5" i="6"/>
  <c r="U6" i="6"/>
  <c r="H9" i="6"/>
  <c r="K9" i="6"/>
  <c r="H11" i="6"/>
  <c r="K11" i="6"/>
  <c r="K14" i="6"/>
  <c r="N14" i="6"/>
  <c r="B15" i="6"/>
  <c r="M17" i="6"/>
  <c r="M16" i="6" s="1"/>
  <c r="N19" i="6"/>
  <c r="U20" i="6"/>
  <c r="H20" i="6"/>
  <c r="R22" i="6"/>
  <c r="E22" i="6"/>
  <c r="S22" i="6"/>
  <c r="S21" i="6" s="1"/>
  <c r="K24" i="6"/>
  <c r="B25" i="6"/>
  <c r="G64" i="6"/>
  <c r="H27" i="6"/>
  <c r="N27" i="6"/>
  <c r="C28" i="6"/>
  <c r="D33" i="2"/>
  <c r="T33" i="2" s="1"/>
  <c r="D34" i="2"/>
  <c r="T34" i="2" s="1"/>
  <c r="AN34" i="2"/>
  <c r="Q31" i="6"/>
  <c r="T31" i="6"/>
  <c r="AD6" i="2"/>
  <c r="AD5" i="2" s="1"/>
  <c r="U7" i="2"/>
  <c r="L5" i="2"/>
  <c r="N5" i="2"/>
  <c r="P5" i="2"/>
  <c r="AH5" i="2"/>
  <c r="J8" i="2"/>
  <c r="J11" i="2"/>
  <c r="U12" i="2"/>
  <c r="AN14" i="2"/>
  <c r="J15" i="2"/>
  <c r="AD15" i="2"/>
  <c r="AM15" i="2" s="1"/>
  <c r="U16" i="2"/>
  <c r="AN16" i="2"/>
  <c r="J17" i="2"/>
  <c r="T17" i="2" s="1"/>
  <c r="AN18" i="2"/>
  <c r="J19" i="2"/>
  <c r="AD27" i="2"/>
  <c r="U29" i="2"/>
  <c r="U30" i="2"/>
  <c r="AD35" i="2"/>
  <c r="AD31" i="2"/>
  <c r="U33" i="2"/>
  <c r="U34" i="2"/>
  <c r="S37" i="2"/>
  <c r="Z37" i="2"/>
  <c r="I5" i="2"/>
  <c r="AC5" i="2"/>
  <c r="U6" i="2"/>
  <c r="J6" i="2"/>
  <c r="J5" i="2" s="1"/>
  <c r="AN6" i="2"/>
  <c r="D8" i="2"/>
  <c r="U8" i="2"/>
  <c r="D9" i="2"/>
  <c r="U9" i="2"/>
  <c r="K10" i="2"/>
  <c r="L10" i="2"/>
  <c r="N10" i="2"/>
  <c r="P10" i="2"/>
  <c r="R10" i="2"/>
  <c r="Y10" i="2"/>
  <c r="AA10" i="2"/>
  <c r="AA37" i="2" s="1"/>
  <c r="G22" i="3" s="1"/>
  <c r="AN11" i="2"/>
  <c r="AF10" i="2"/>
  <c r="AN12" i="2"/>
  <c r="J13" i="2"/>
  <c r="W13" i="2"/>
  <c r="AD13" i="2"/>
  <c r="AM9" i="2"/>
  <c r="U22" i="2"/>
  <c r="G37" i="2"/>
  <c r="F22" i="3" s="1"/>
  <c r="AN5" i="2"/>
  <c r="AF37" i="2"/>
  <c r="F37" i="2"/>
  <c r="E5" i="2"/>
  <c r="O37" i="2"/>
  <c r="D22" i="3" s="1"/>
  <c r="AE5" i="2"/>
  <c r="AE37" i="2" s="1"/>
  <c r="B5" i="2"/>
  <c r="W6" i="2"/>
  <c r="J7" i="2"/>
  <c r="T7" i="2" s="1"/>
  <c r="W7" i="2"/>
  <c r="AD7" i="2"/>
  <c r="J9" i="2"/>
  <c r="AN9" i="2"/>
  <c r="V10" i="2"/>
  <c r="V37" i="2" s="1"/>
  <c r="AC10" i="2"/>
  <c r="AN10" i="2" s="1"/>
  <c r="D11" i="2"/>
  <c r="W11" i="2"/>
  <c r="AD11" i="2"/>
  <c r="D12" i="2"/>
  <c r="T12" i="2" s="1"/>
  <c r="W12" i="2"/>
  <c r="AM12" i="2" s="1"/>
  <c r="AN13" i="2"/>
  <c r="W14" i="2"/>
  <c r="AN15" i="2"/>
  <c r="D18" i="2"/>
  <c r="T18" i="2" s="1"/>
  <c r="W18" i="2"/>
  <c r="W16" i="2" s="1"/>
  <c r="K20" i="2"/>
  <c r="K37" i="2" s="1"/>
  <c r="W22" i="2"/>
  <c r="AD22" i="2"/>
  <c r="T23" i="2"/>
  <c r="D24" i="2"/>
  <c r="U24" i="2"/>
  <c r="AD24" i="2"/>
  <c r="AM24" i="2" s="1"/>
  <c r="T25" i="2"/>
  <c r="J26" i="2"/>
  <c r="W27" i="2"/>
  <c r="D28" i="2"/>
  <c r="T28" i="2" s="1"/>
  <c r="U28" i="2"/>
  <c r="AD28" i="2"/>
  <c r="AM28" i="2" s="1"/>
  <c r="J30" i="2"/>
  <c r="T30" i="2" s="1"/>
  <c r="W31" i="2"/>
  <c r="D32" i="2"/>
  <c r="U32" i="2"/>
  <c r="AD32" i="2"/>
  <c r="W35" i="2"/>
  <c r="D36" i="2"/>
  <c r="T36" i="2" s="1"/>
  <c r="U36" i="2"/>
  <c r="AN36" i="2"/>
  <c r="H5" i="6"/>
  <c r="R7" i="6"/>
  <c r="K8" i="6"/>
  <c r="N8" i="6"/>
  <c r="B9" i="6"/>
  <c r="C10" i="6"/>
  <c r="B11" i="6"/>
  <c r="U12" i="6"/>
  <c r="H12" i="6"/>
  <c r="V13" i="6"/>
  <c r="N13" i="6"/>
  <c r="R14" i="6"/>
  <c r="E14" i="6"/>
  <c r="S14" i="6"/>
  <c r="H15" i="6"/>
  <c r="K15" i="6"/>
  <c r="L17" i="6"/>
  <c r="K17" i="6" s="1"/>
  <c r="R18" i="6"/>
  <c r="R17" i="6" s="1"/>
  <c r="E18" i="6"/>
  <c r="S18" i="6"/>
  <c r="S17" i="6" s="1"/>
  <c r="H19" i="6"/>
  <c r="K19" i="6"/>
  <c r="K22" i="6"/>
  <c r="N22" i="6"/>
  <c r="B23" i="6"/>
  <c r="H24" i="6"/>
  <c r="H25" i="6"/>
  <c r="K25" i="6"/>
  <c r="R27" i="6"/>
  <c r="U27" i="6"/>
  <c r="T27" i="6" s="1"/>
  <c r="H28" i="6"/>
  <c r="H29" i="6"/>
  <c r="K29" i="6"/>
  <c r="AD26" i="2"/>
  <c r="AM26" i="2" s="1"/>
  <c r="AD30" i="2"/>
  <c r="AD34" i="2"/>
  <c r="AM34" i="2" s="1"/>
  <c r="T35" i="2"/>
  <c r="R6" i="6"/>
  <c r="B6" i="6"/>
  <c r="N6" i="6"/>
  <c r="O5" i="6"/>
  <c r="N5" i="6" s="1"/>
  <c r="V7" i="6"/>
  <c r="G5" i="6"/>
  <c r="S6" i="6"/>
  <c r="Q6" i="6" s="1"/>
  <c r="V6" i="6"/>
  <c r="T6" i="6" s="1"/>
  <c r="K6" i="6"/>
  <c r="S7" i="6"/>
  <c r="Q7" i="6" s="1"/>
  <c r="U7" i="6"/>
  <c r="H7" i="6"/>
  <c r="H8" i="6"/>
  <c r="I10" i="6"/>
  <c r="H10" i="6" s="1"/>
  <c r="U11" i="6"/>
  <c r="T11" i="6" s="1"/>
  <c r="R12" i="6"/>
  <c r="Q12" i="6" s="1"/>
  <c r="E12" i="6"/>
  <c r="V12" i="6"/>
  <c r="V10" i="6" s="1"/>
  <c r="N12" i="6"/>
  <c r="B13" i="6"/>
  <c r="S13" i="6"/>
  <c r="Q13" i="6" s="1"/>
  <c r="K13" i="6"/>
  <c r="H14" i="6"/>
  <c r="U15" i="6"/>
  <c r="T15" i="6" s="1"/>
  <c r="D17" i="6"/>
  <c r="J17" i="6"/>
  <c r="H18" i="6"/>
  <c r="U19" i="6"/>
  <c r="T19" i="6" s="1"/>
  <c r="R20" i="6"/>
  <c r="Q20" i="6" s="1"/>
  <c r="E20" i="6"/>
  <c r="V20" i="6"/>
  <c r="T20" i="6" s="1"/>
  <c r="N20" i="6"/>
  <c r="D21" i="6"/>
  <c r="J21" i="6"/>
  <c r="H22" i="6"/>
  <c r="U23" i="6"/>
  <c r="T23" i="6" s="1"/>
  <c r="R24" i="6"/>
  <c r="E24" i="6"/>
  <c r="V24" i="6"/>
  <c r="V21" i="6" s="1"/>
  <c r="N24" i="6"/>
  <c r="U25" i="6"/>
  <c r="T25" i="6" s="1"/>
  <c r="C64" i="6"/>
  <c r="E26" i="6"/>
  <c r="O64" i="6"/>
  <c r="B27" i="6"/>
  <c r="S27" i="6"/>
  <c r="Q27" i="6" s="1"/>
  <c r="K27" i="6"/>
  <c r="G28" i="6"/>
  <c r="L28" i="6"/>
  <c r="K28" i="6" s="1"/>
  <c r="N28" i="6"/>
  <c r="R29" i="6"/>
  <c r="U29" i="6"/>
  <c r="R30" i="6"/>
  <c r="E30" i="6"/>
  <c r="T13" i="6"/>
  <c r="AM8" i="2"/>
  <c r="W10" i="2"/>
  <c r="AM19" i="2"/>
  <c r="AM21" i="2"/>
  <c r="T24" i="2"/>
  <c r="AM25" i="2"/>
  <c r="T32" i="2"/>
  <c r="AM33" i="2"/>
  <c r="AM36" i="2"/>
  <c r="T7" i="6"/>
  <c r="T15" i="2"/>
  <c r="U5" i="2"/>
  <c r="B20" i="2"/>
  <c r="D5" i="6"/>
  <c r="F5" i="6"/>
  <c r="P63" i="6"/>
  <c r="P62" i="6"/>
  <c r="E6" i="6"/>
  <c r="B7" i="6"/>
  <c r="R8" i="6"/>
  <c r="Q8" i="6" s="1"/>
  <c r="B8" i="6"/>
  <c r="V8" i="6"/>
  <c r="U9" i="6"/>
  <c r="T9" i="6" s="1"/>
  <c r="E9" i="6"/>
  <c r="Q9" i="6"/>
  <c r="N10" i="6"/>
  <c r="Q11" i="6"/>
  <c r="T14" i="6"/>
  <c r="Q15" i="6"/>
  <c r="T18" i="6"/>
  <c r="Q19" i="6"/>
  <c r="T22" i="6"/>
  <c r="Q23" i="6"/>
  <c r="Q24" i="6"/>
  <c r="Q25" i="6"/>
  <c r="Q29" i="6"/>
  <c r="D6" i="2"/>
  <c r="E10" i="2"/>
  <c r="E16" i="2"/>
  <c r="M62" i="6"/>
  <c r="M63" i="6"/>
  <c r="Q22" i="6"/>
  <c r="R21" i="6"/>
  <c r="Q21" i="6" s="1"/>
  <c r="D10" i="6"/>
  <c r="F10" i="6"/>
  <c r="E10" i="6" s="1"/>
  <c r="L10" i="6"/>
  <c r="K10" i="6" s="1"/>
  <c r="E11" i="6"/>
  <c r="B12" i="6"/>
  <c r="E13" i="6"/>
  <c r="B14" i="6"/>
  <c r="E15" i="6"/>
  <c r="F16" i="6"/>
  <c r="C17" i="6"/>
  <c r="G17" i="6"/>
  <c r="I17" i="6"/>
  <c r="O17" i="6"/>
  <c r="B18" i="6"/>
  <c r="E19" i="6"/>
  <c r="B20" i="6"/>
  <c r="C21" i="6"/>
  <c r="B21" i="6" s="1"/>
  <c r="G21" i="6"/>
  <c r="E21" i="6" s="1"/>
  <c r="I21" i="6"/>
  <c r="O21" i="6"/>
  <c r="N21" i="6" s="1"/>
  <c r="B22" i="6"/>
  <c r="E23" i="6"/>
  <c r="B24" i="6"/>
  <c r="E25" i="6"/>
  <c r="B26" i="6"/>
  <c r="D64" i="6"/>
  <c r="F64" i="6"/>
  <c r="E64" i="6" s="1"/>
  <c r="H26" i="6"/>
  <c r="J64" i="6"/>
  <c r="L64" i="6"/>
  <c r="K64" i="6" s="1"/>
  <c r="N26" i="6"/>
  <c r="P64" i="6"/>
  <c r="R26" i="6"/>
  <c r="V26" i="6"/>
  <c r="V64" i="6" s="1"/>
  <c r="E27" i="6"/>
  <c r="D28" i="6"/>
  <c r="B28" i="6" s="1"/>
  <c r="F28" i="6"/>
  <c r="E29" i="6"/>
  <c r="Q30" i="6"/>
  <c r="Q33" i="6"/>
  <c r="T33" i="6"/>
  <c r="Q35" i="6"/>
  <c r="T35" i="6"/>
  <c r="Q36" i="6"/>
  <c r="Q39" i="6"/>
  <c r="T39" i="6"/>
  <c r="Q40" i="6"/>
  <c r="T42" i="6"/>
  <c r="Q43" i="6"/>
  <c r="Q44" i="6"/>
  <c r="T46" i="6"/>
  <c r="Q47" i="6"/>
  <c r="T47" i="6"/>
  <c r="Q48" i="6"/>
  <c r="T50" i="6"/>
  <c r="Q51" i="6"/>
  <c r="T51" i="6"/>
  <c r="Q53" i="6"/>
  <c r="R52" i="6"/>
  <c r="Q52" i="6" s="1"/>
  <c r="T53" i="6"/>
  <c r="U52" i="6"/>
  <c r="Q54" i="6"/>
  <c r="H64" i="6"/>
  <c r="B30" i="6"/>
  <c r="E31" i="6"/>
  <c r="B32" i="6"/>
  <c r="E33" i="6"/>
  <c r="D34" i="6"/>
  <c r="B34" i="6" s="1"/>
  <c r="F34" i="6"/>
  <c r="E34" i="6" s="1"/>
  <c r="E35" i="6"/>
  <c r="B36" i="6"/>
  <c r="E37" i="6"/>
  <c r="B38" i="6"/>
  <c r="E39" i="6"/>
  <c r="B40" i="6"/>
  <c r="E41" i="6"/>
  <c r="B42" i="6"/>
  <c r="E43" i="6"/>
  <c r="B44" i="6"/>
  <c r="E45" i="6"/>
  <c r="B46" i="6"/>
  <c r="E47" i="6"/>
  <c r="B48" i="6"/>
  <c r="E49" i="6"/>
  <c r="B50" i="6"/>
  <c r="E51" i="6"/>
  <c r="D52" i="6"/>
  <c r="B52" i="6" s="1"/>
  <c r="F52" i="6"/>
  <c r="E52" i="6" s="1"/>
  <c r="E53" i="6"/>
  <c r="B54" i="6"/>
  <c r="E55" i="6"/>
  <c r="T56" i="6"/>
  <c r="Q57" i="6"/>
  <c r="T57" i="6"/>
  <c r="Q58" i="6"/>
  <c r="V65" i="6"/>
  <c r="H65" i="6"/>
  <c r="K65" i="6"/>
  <c r="T60" i="6"/>
  <c r="Q61" i="6"/>
  <c r="T61" i="6"/>
  <c r="F22" i="5"/>
  <c r="R65" i="6"/>
  <c r="E22" i="3"/>
  <c r="E22" i="4"/>
  <c r="G22" i="4"/>
  <c r="G22" i="5"/>
  <c r="B56" i="6"/>
  <c r="E57" i="6"/>
  <c r="B58" i="6"/>
  <c r="E59" i="6"/>
  <c r="K59" i="6"/>
  <c r="S59" i="6"/>
  <c r="S65" i="6" s="1"/>
  <c r="U59" i="6"/>
  <c r="B60" i="6"/>
  <c r="E61" i="6"/>
  <c r="C65" i="6"/>
  <c r="B65" i="6" s="1"/>
  <c r="G65" i="6"/>
  <c r="E65" i="6" s="1"/>
  <c r="V28" i="6" l="1"/>
  <c r="T52" i="6"/>
  <c r="L16" i="6"/>
  <c r="K16" i="6" s="1"/>
  <c r="T24" i="6"/>
  <c r="S16" i="6"/>
  <c r="AM32" i="2"/>
  <c r="AM27" i="2"/>
  <c r="W20" i="2"/>
  <c r="T11" i="2"/>
  <c r="AM29" i="2"/>
  <c r="U64" i="6"/>
  <c r="D5" i="2"/>
  <c r="AM30" i="2"/>
  <c r="T26" i="2"/>
  <c r="P37" i="2"/>
  <c r="D22" i="4" s="1"/>
  <c r="I37" i="2"/>
  <c r="U37" i="2" s="1"/>
  <c r="T19" i="2"/>
  <c r="AH37" i="2"/>
  <c r="E22" i="5" s="1"/>
  <c r="T54" i="6"/>
  <c r="S28" i="6"/>
  <c r="V5" i="6"/>
  <c r="N64" i="6"/>
  <c r="B64" i="6"/>
  <c r="J10" i="2"/>
  <c r="N37" i="2"/>
  <c r="D22" i="5" s="1"/>
  <c r="AM23" i="2"/>
  <c r="J20" i="2"/>
  <c r="AD16" i="2"/>
  <c r="AM16" i="2" s="1"/>
  <c r="V34" i="6"/>
  <c r="T29" i="2"/>
  <c r="D20" i="2"/>
  <c r="Y37" i="2"/>
  <c r="AM31" i="2"/>
  <c r="R34" i="6"/>
  <c r="S34" i="6"/>
  <c r="U34" i="6"/>
  <c r="R28" i="6"/>
  <c r="AM13" i="2"/>
  <c r="C37" i="2"/>
  <c r="U21" i="6"/>
  <c r="T21" i="6" s="1"/>
  <c r="H21" i="6"/>
  <c r="U17" i="6"/>
  <c r="R10" i="6"/>
  <c r="AM17" i="2"/>
  <c r="AD20" i="2"/>
  <c r="AM14" i="2"/>
  <c r="AD10" i="2"/>
  <c r="R37" i="2"/>
  <c r="AM35" i="2"/>
  <c r="T8" i="2"/>
  <c r="L37" i="2"/>
  <c r="T20" i="2"/>
  <c r="T9" i="2"/>
  <c r="J16" i="2"/>
  <c r="J37" i="2" s="1"/>
  <c r="T64" i="6"/>
  <c r="V17" i="6"/>
  <c r="V16" i="6" s="1"/>
  <c r="V63" i="6" s="1"/>
  <c r="Q18" i="6"/>
  <c r="S10" i="6"/>
  <c r="Q14" i="6"/>
  <c r="U10" i="6"/>
  <c r="T10" i="6" s="1"/>
  <c r="AM7" i="2"/>
  <c r="W5" i="2"/>
  <c r="W37" i="2" s="1"/>
  <c r="AM18" i="2"/>
  <c r="T13" i="2"/>
  <c r="AM10" i="2"/>
  <c r="AM6" i="2"/>
  <c r="AM22" i="2"/>
  <c r="AM20" i="2"/>
  <c r="D16" i="2"/>
  <c r="AM11" i="2"/>
  <c r="S64" i="6"/>
  <c r="E28" i="6"/>
  <c r="B10" i="6"/>
  <c r="E37" i="2"/>
  <c r="T8" i="6"/>
  <c r="AC37" i="2"/>
  <c r="AN37" i="2" s="1"/>
  <c r="D10" i="2"/>
  <c r="AD37" i="2"/>
  <c r="D16" i="6"/>
  <c r="S5" i="6"/>
  <c r="S63" i="6" s="1"/>
  <c r="T12" i="6"/>
  <c r="K62" i="6"/>
  <c r="J16" i="6"/>
  <c r="T29" i="6"/>
  <c r="U28" i="6"/>
  <c r="T28" i="6" s="1"/>
  <c r="V62" i="6"/>
  <c r="Q59" i="6"/>
  <c r="T59" i="6"/>
  <c r="U65" i="6"/>
  <c r="T65" i="6" s="1"/>
  <c r="Q65" i="6"/>
  <c r="U16" i="6"/>
  <c r="T16" i="6" s="1"/>
  <c r="H17" i="6"/>
  <c r="I16" i="6"/>
  <c r="B17" i="6"/>
  <c r="C16" i="6"/>
  <c r="L63" i="6"/>
  <c r="K63" i="6" s="1"/>
  <c r="D63" i="6"/>
  <c r="D62" i="6"/>
  <c r="B5" i="6"/>
  <c r="T5" i="2"/>
  <c r="R64" i="6"/>
  <c r="Q64" i="6" s="1"/>
  <c r="Q26" i="6"/>
  <c r="N17" i="6"/>
  <c r="O16" i="6"/>
  <c r="G16" i="6"/>
  <c r="E16" i="6" s="1"/>
  <c r="T26" i="6"/>
  <c r="Q17" i="6"/>
  <c r="R16" i="6"/>
  <c r="Q16" i="6" s="1"/>
  <c r="E17" i="6"/>
  <c r="L62" i="6"/>
  <c r="F63" i="6"/>
  <c r="F62" i="6"/>
  <c r="E5" i="6"/>
  <c r="T6" i="2"/>
  <c r="U5" i="6"/>
  <c r="R5" i="6"/>
  <c r="AM5" i="2"/>
  <c r="B37" i="2"/>
  <c r="T34" i="6" l="1"/>
  <c r="AM37" i="2"/>
  <c r="Q10" i="6"/>
  <c r="T17" i="6"/>
  <c r="S62" i="6"/>
  <c r="T10" i="2"/>
  <c r="T16" i="2"/>
  <c r="Q28" i="6"/>
  <c r="Q34" i="6"/>
  <c r="D37" i="2"/>
  <c r="T37" i="2" s="1"/>
  <c r="J62" i="6"/>
  <c r="J63" i="6"/>
  <c r="R63" i="6"/>
  <c r="Q63" i="6" s="1"/>
  <c r="R62" i="6"/>
  <c r="Q5" i="6"/>
  <c r="N16" i="6"/>
  <c r="N62" i="6" s="1"/>
  <c r="O62" i="6"/>
  <c r="O63" i="6"/>
  <c r="N63" i="6" s="1"/>
  <c r="U62" i="6"/>
  <c r="U63" i="6"/>
  <c r="T63" i="6" s="1"/>
  <c r="T5" i="6"/>
  <c r="T62" i="6" s="1"/>
  <c r="E62" i="6"/>
  <c r="G63" i="6"/>
  <c r="E63" i="6" s="1"/>
  <c r="G62" i="6"/>
  <c r="B16" i="6"/>
  <c r="C63" i="6"/>
  <c r="B63" i="6" s="1"/>
  <c r="C62" i="6"/>
  <c r="B62" i="6" s="1"/>
  <c r="H16" i="6"/>
  <c r="H62" i="6" s="1"/>
  <c r="I63" i="6"/>
  <c r="I62" i="6"/>
  <c r="H63" i="6" l="1"/>
  <c r="Q62" i="6"/>
  <c r="R68" i="6"/>
  <c r="U68" i="6"/>
</calcChain>
</file>

<file path=xl/sharedStrings.xml><?xml version="1.0" encoding="utf-8"?>
<sst xmlns="http://schemas.openxmlformats.org/spreadsheetml/2006/main" count="73936" uniqueCount="26099">
  <si>
    <t>固定资产及折旧情况表（卡片数据）</t>
  </si>
  <si>
    <t>资产类别</t>
  </si>
  <si>
    <t>年初</t>
  </si>
  <si>
    <t>本年增加</t>
  </si>
  <si>
    <t>本年减少</t>
  </si>
  <si>
    <t>年末</t>
  </si>
  <si>
    <t>期间数据核对</t>
  </si>
  <si>
    <t>重分类及地市内划拨核对</t>
  </si>
  <si>
    <t>逾龄资产预计</t>
  </si>
  <si>
    <t>资产原值</t>
  </si>
  <si>
    <t>其中：已提足折旧资产原值</t>
  </si>
  <si>
    <t>合计</t>
  </si>
  <si>
    <t>其中：其他</t>
  </si>
  <si>
    <t>其中：子分公司间划转资产</t>
  </si>
  <si>
    <t>其中：省外划拨</t>
  </si>
  <si>
    <t>其中：省内地市间划拨</t>
  </si>
  <si>
    <t>其中：重分类及地市内划拨</t>
  </si>
  <si>
    <t>其中：报废</t>
  </si>
  <si>
    <t>其中：出售</t>
  </si>
  <si>
    <t>其中：三供一业无偿划出</t>
  </si>
  <si>
    <t>累计折旧</t>
  </si>
  <si>
    <t>其中：本年计提</t>
  </si>
  <si>
    <t>预计2020年末逾龄资产</t>
  </si>
  <si>
    <t>预计2021年末逾龄资产</t>
  </si>
  <si>
    <t>一、输电线路</t>
  </si>
  <si>
    <t xml:space="preserve">    500千伏</t>
  </si>
  <si>
    <t xml:space="preserve">    220千伏</t>
  </si>
  <si>
    <t xml:space="preserve">    110千伏</t>
  </si>
  <si>
    <t xml:space="preserve">    35千伏</t>
  </si>
  <si>
    <t>二、变电设备</t>
  </si>
  <si>
    <t xml:space="preserve">    10千伏</t>
  </si>
  <si>
    <t>三、配电线路</t>
  </si>
  <si>
    <t xml:space="preserve">    10千伏以下</t>
  </si>
  <si>
    <t>四、配电设备</t>
  </si>
  <si>
    <t>　　其中：电动汽车充换电设备</t>
  </si>
  <si>
    <t>四、用电计量设备</t>
  </si>
  <si>
    <t>六、通信线路及设备</t>
  </si>
  <si>
    <t>六、自动化控制设备、信息设备及仪器仪表</t>
  </si>
  <si>
    <t>七、发电及供热设备</t>
  </si>
  <si>
    <t>八、水工机械设备</t>
  </si>
  <si>
    <t>九、制造及检修维护设备</t>
  </si>
  <si>
    <t>十、生产管理用工器具</t>
  </si>
  <si>
    <t>十一、运输设备</t>
  </si>
  <si>
    <t>十二、辅助生产用设备及器具</t>
  </si>
  <si>
    <t>十四、房屋</t>
  </si>
  <si>
    <t>十五、建筑物</t>
  </si>
  <si>
    <t>十六、土地</t>
  </si>
  <si>
    <t>2018年度固定资产及折旧情况表（卡片数据）</t>
  </si>
  <si>
    <t>年初原值</t>
  </si>
  <si>
    <t>年末原值</t>
  </si>
  <si>
    <t>年初累计折旧</t>
  </si>
  <si>
    <t>年末累计折旧</t>
  </si>
  <si>
    <t>本年折旧</t>
  </si>
  <si>
    <t>年初净值</t>
  </si>
  <si>
    <t>年末净值</t>
  </si>
  <si>
    <t>存量资产原值
（2014年12月31日及以前）</t>
  </si>
  <si>
    <t>增量资产原值
（2014年12月31日以后）</t>
  </si>
  <si>
    <t>存量资产累计折旧
（2014年12月31日及以前）</t>
  </si>
  <si>
    <t>增量资产累计折旧
（2014年12月31日以后）</t>
  </si>
  <si>
    <t>存量资产本年折旧
（2014年12月31日及以前）</t>
  </si>
  <si>
    <t>增量资产本年折旧
（2014年12月31日以后）</t>
  </si>
  <si>
    <t>存量资产净值
（2014年12月31日及以前）</t>
  </si>
  <si>
    <t>增量资产净值
（2014年12月31日以后）</t>
  </si>
  <si>
    <t>三、配电线路及设备</t>
  </si>
  <si>
    <t xml:space="preserve">   1.配电线路</t>
  </si>
  <si>
    <t xml:space="preserve">   2.配电设备</t>
  </si>
  <si>
    <t>五、通信线路及设备</t>
  </si>
  <si>
    <t xml:space="preserve">    1.继电保护及安全自动装置</t>
  </si>
  <si>
    <t xml:space="preserve">    2.自动化系统及设备</t>
  </si>
  <si>
    <t xml:space="preserve">    3.其他控制和保护设备</t>
  </si>
  <si>
    <t xml:space="preserve">    4.信息系统及设备</t>
  </si>
  <si>
    <t xml:space="preserve">   5.仪器仪表及测试设备</t>
  </si>
  <si>
    <t xml:space="preserve">    1.输煤设备</t>
  </si>
  <si>
    <t xml:space="preserve">    2.煤粉设备</t>
  </si>
  <si>
    <t xml:space="preserve">    3.输油设备</t>
  </si>
  <si>
    <t xml:space="preserve">    4.锅炉设备</t>
  </si>
  <si>
    <t xml:space="preserve">    5.排污及疏水设备</t>
  </si>
  <si>
    <t xml:space="preserve">    6.烟气脱硫（硝）设备</t>
  </si>
  <si>
    <t xml:space="preserve">    7.除灰除尘设备</t>
  </si>
  <si>
    <t xml:space="preserve">    8.化学水处理设备</t>
  </si>
  <si>
    <t xml:space="preserve">    9.制氢设备</t>
  </si>
  <si>
    <t xml:space="preserve">    10.供热管道及设备</t>
  </si>
  <si>
    <t xml:space="preserve">    11.汽轮发电机组</t>
  </si>
  <si>
    <t xml:space="preserve">    12.水轮发电机组</t>
  </si>
  <si>
    <r>
      <rPr>
        <b/>
        <sz val="9"/>
        <rFont val="宋体"/>
        <charset val="134"/>
      </rPr>
      <t xml:space="preserve">    13.内燃</t>
    </r>
    <r>
      <rPr>
        <b/>
        <sz val="9"/>
        <rFont val="宋体"/>
        <charset val="134"/>
      </rPr>
      <t>发电机组</t>
    </r>
  </si>
  <si>
    <t xml:space="preserve">    14.其他发电设备</t>
  </si>
  <si>
    <t xml:space="preserve">    1.铁路运输设备</t>
  </si>
  <si>
    <t xml:space="preserve">    2.水上运输设备</t>
  </si>
  <si>
    <t xml:space="preserve">    3.汽车运输设备</t>
  </si>
  <si>
    <t xml:space="preserve">    4.空运设备</t>
  </si>
  <si>
    <t xml:space="preserve">    5.其他运输设备</t>
  </si>
  <si>
    <t>专用设备合计</t>
  </si>
  <si>
    <t>通用设备合计</t>
  </si>
  <si>
    <t>土地、房屋及构筑物</t>
  </si>
  <si>
    <t>2019年度固定资产及折旧情况表（卡片数据）</t>
  </si>
  <si>
    <t>编制单位：国网四川省电力公司XXXX</t>
  </si>
  <si>
    <t>编制日期：2019-12-31</t>
  </si>
  <si>
    <t>单位：元</t>
  </si>
  <si>
    <t>资产编号</t>
  </si>
  <si>
    <t>资产描述</t>
  </si>
  <si>
    <t>电压等级</t>
  </si>
  <si>
    <t>资本化日期</t>
  </si>
  <si>
    <t>使用年限</t>
  </si>
  <si>
    <t>数据核对</t>
  </si>
  <si>
    <t>当年计提折旧</t>
  </si>
  <si>
    <t>资产变动类型</t>
  </si>
  <si>
    <t>已到使用年限残值率异常卡片
(单元格显示红色表示异常)</t>
  </si>
  <si>
    <t>预计2020年底逾龄的
(19年末未逾龄的通过资本化日期判断)</t>
  </si>
  <si>
    <t>预计2021年底逾龄的
(通过资本化日期判断)</t>
  </si>
  <si>
    <t>110001000418</t>
  </si>
  <si>
    <t>输电线路</t>
  </si>
  <si>
    <t>35kV灌山线</t>
  </si>
  <si>
    <t>35kV</t>
  </si>
  <si>
    <t>0</t>
  </si>
  <si>
    <t>110001000423</t>
  </si>
  <si>
    <t>35kV青公线</t>
  </si>
  <si>
    <t>110001000427</t>
  </si>
  <si>
    <t>110kV聚金线</t>
  </si>
  <si>
    <t>110kV</t>
  </si>
  <si>
    <t>110001000432</t>
  </si>
  <si>
    <t>35kV张白田支线</t>
  </si>
  <si>
    <t>110001000435</t>
  </si>
  <si>
    <t>110kV连灌线</t>
  </si>
  <si>
    <t>工程项目</t>
  </si>
  <si>
    <t>1</t>
  </si>
  <si>
    <t>110001000438</t>
  </si>
  <si>
    <t>35kV蒲玉线</t>
  </si>
  <si>
    <t>110001000440</t>
  </si>
  <si>
    <t>35kV灌丁线</t>
  </si>
  <si>
    <t>110001000442</t>
  </si>
  <si>
    <t>35kV磁大线</t>
  </si>
  <si>
    <t>110001000444</t>
  </si>
  <si>
    <t>110kV聚胥线</t>
  </si>
  <si>
    <t>110001000447</t>
  </si>
  <si>
    <t>35kV青公平支线</t>
  </si>
  <si>
    <t>110001000683</t>
  </si>
  <si>
    <t>35kV城果线</t>
  </si>
  <si>
    <t>110001000700</t>
  </si>
  <si>
    <t>35kV灌山石支线</t>
  </si>
  <si>
    <t>110001000718</t>
  </si>
  <si>
    <t>35kV蒲花线</t>
  </si>
  <si>
    <t>110001000727</t>
  </si>
  <si>
    <t>35kV灌磁线</t>
  </si>
  <si>
    <t>110001000735</t>
  </si>
  <si>
    <t>35kV城谭线</t>
  </si>
  <si>
    <t>110001002385</t>
  </si>
  <si>
    <t>35kV关彭线</t>
  </si>
  <si>
    <t>110001002386</t>
  </si>
  <si>
    <t>35kV胥千线</t>
  </si>
  <si>
    <t>110001002387</t>
  </si>
  <si>
    <t>110kV胥灌线</t>
  </si>
  <si>
    <t>110001002388</t>
  </si>
  <si>
    <t>35kV灌九线</t>
  </si>
  <si>
    <t>110001002389</t>
  </si>
  <si>
    <t>110kV聚蒲一线</t>
  </si>
  <si>
    <t>110001002390</t>
  </si>
  <si>
    <t>110kV聚蒲二线</t>
  </si>
  <si>
    <t>110001002530</t>
  </si>
  <si>
    <t>110kV聚灌线</t>
  </si>
  <si>
    <t>110001002531</t>
  </si>
  <si>
    <t>110kV聚清线</t>
  </si>
  <si>
    <t>110001002884</t>
  </si>
  <si>
    <t>35kV金沙线</t>
  </si>
  <si>
    <t>110001003289</t>
  </si>
  <si>
    <t>110kV驾城线</t>
  </si>
  <si>
    <t>110001007047</t>
  </si>
  <si>
    <t>110kV聚铁线</t>
  </si>
  <si>
    <t>110001007601</t>
  </si>
  <si>
    <t>110kV聚城线</t>
  </si>
  <si>
    <t>110001009228</t>
  </si>
  <si>
    <t>110kV聚彩线</t>
  </si>
  <si>
    <t>110001009229</t>
  </si>
  <si>
    <t>110kV聚金彩支线</t>
  </si>
  <si>
    <t>110001009358</t>
  </si>
  <si>
    <t>35kV磁小线</t>
  </si>
  <si>
    <t>110001009415</t>
  </si>
  <si>
    <t>35kV蒲双线</t>
  </si>
  <si>
    <t>110001009417</t>
  </si>
  <si>
    <t>35kV青公街支线</t>
  </si>
  <si>
    <t>110001009418</t>
  </si>
  <si>
    <t>35kV青湖龙支线</t>
  </si>
  <si>
    <t>110001009419</t>
  </si>
  <si>
    <t>35kV青湖线</t>
  </si>
  <si>
    <t>110001009514</t>
  </si>
  <si>
    <t>35kV西崇柳支线</t>
  </si>
  <si>
    <t>110001010165</t>
  </si>
  <si>
    <t>35kV白香小支线</t>
  </si>
  <si>
    <t>110001010177</t>
  </si>
  <si>
    <t>110kV驾沿一线</t>
  </si>
  <si>
    <t>110001010178</t>
  </si>
  <si>
    <t>110kV驾沿二线</t>
  </si>
  <si>
    <t>110001010666</t>
  </si>
  <si>
    <t>110kV驾金线</t>
  </si>
  <si>
    <t>110001010667</t>
  </si>
  <si>
    <t>110kV驾济线</t>
  </si>
  <si>
    <t>110001010681</t>
  </si>
  <si>
    <t>35kV金城线</t>
  </si>
  <si>
    <t>110001010699</t>
  </si>
  <si>
    <t>110KV聚彩线</t>
  </si>
  <si>
    <t>110001010700</t>
  </si>
  <si>
    <t>110001011584</t>
  </si>
  <si>
    <t>35kV青张翠支线</t>
  </si>
  <si>
    <t>110001011585</t>
  </si>
  <si>
    <t>35kV金西线</t>
  </si>
  <si>
    <t>110001011586</t>
  </si>
  <si>
    <t>110KV输电线路（避雷器）</t>
  </si>
  <si>
    <t>110003003363</t>
  </si>
  <si>
    <t>幸关线</t>
  </si>
  <si>
    <t>110003003364</t>
  </si>
  <si>
    <t>35kV西龙线</t>
  </si>
  <si>
    <t>110003003365</t>
  </si>
  <si>
    <t>35kV西崇线</t>
  </si>
  <si>
    <t>110003003366</t>
  </si>
  <si>
    <t>城张线</t>
  </si>
  <si>
    <t>140100000906</t>
  </si>
  <si>
    <t>变电设备</t>
  </si>
  <si>
    <t>1号主变压器</t>
  </si>
  <si>
    <t>140100000908</t>
  </si>
  <si>
    <t>140100000909</t>
  </si>
  <si>
    <t>2号主变压器</t>
  </si>
  <si>
    <t>220kV</t>
  </si>
  <si>
    <t>140100000910</t>
  </si>
  <si>
    <t>140100000917</t>
  </si>
  <si>
    <t>140100000919</t>
  </si>
  <si>
    <t>140100000925</t>
  </si>
  <si>
    <t>140100001177</t>
  </si>
  <si>
    <t>140100001178</t>
  </si>
  <si>
    <t>140100001184</t>
  </si>
  <si>
    <t>140100001185</t>
  </si>
  <si>
    <t>10kV所用变压器</t>
  </si>
  <si>
    <t>10kV</t>
  </si>
  <si>
    <t>140100001186</t>
  </si>
  <si>
    <t>35kV站用变所用变压器</t>
  </si>
  <si>
    <t>140100004434</t>
  </si>
  <si>
    <t>140100004455</t>
  </si>
  <si>
    <t>140100004456</t>
  </si>
  <si>
    <t>35kV所用变压器</t>
  </si>
  <si>
    <t>140100004546</t>
  </si>
  <si>
    <t>140100004730</t>
  </si>
  <si>
    <t>140100004759</t>
  </si>
  <si>
    <t>140100004929</t>
  </si>
  <si>
    <t>140100004931</t>
  </si>
  <si>
    <t>1号主变3013隔离开关</t>
  </si>
  <si>
    <t>140100005004</t>
  </si>
  <si>
    <t>35kV站用变</t>
  </si>
  <si>
    <t>140100006162</t>
  </si>
  <si>
    <t>140100006954</t>
  </si>
  <si>
    <t>10kV1号所用变压器</t>
  </si>
  <si>
    <t>140100006955</t>
  </si>
  <si>
    <t>10kV2号所用变压器</t>
  </si>
  <si>
    <t>140100007490</t>
  </si>
  <si>
    <t>35kVⅡ段母线A相电压互感器</t>
  </si>
  <si>
    <t>140100007491</t>
  </si>
  <si>
    <t>35kVⅠ段母线C相电压互感器</t>
  </si>
  <si>
    <t>140100007498</t>
  </si>
  <si>
    <t>35kVⅠ段母线B相电压互感器</t>
  </si>
  <si>
    <t>140100007504</t>
  </si>
  <si>
    <t>35kVⅠ段母线A相电压互感器</t>
  </si>
  <si>
    <t>140100007514</t>
  </si>
  <si>
    <t>35kVⅡ段母线B相电压互感器</t>
  </si>
  <si>
    <t>140100008259</t>
  </si>
  <si>
    <t>140100008261</t>
  </si>
  <si>
    <t>10kV站用变</t>
  </si>
  <si>
    <t>140100008262</t>
  </si>
  <si>
    <t>35kV站用变ABC相</t>
  </si>
  <si>
    <t>140100008410</t>
  </si>
  <si>
    <t>140100008823</t>
  </si>
  <si>
    <t>140100011136</t>
  </si>
  <si>
    <t>140100011137</t>
  </si>
  <si>
    <t>140100011211</t>
  </si>
  <si>
    <t>10kV2号站用接地变</t>
  </si>
  <si>
    <t>地市内划拨</t>
  </si>
  <si>
    <t>140100011417</t>
  </si>
  <si>
    <t>10kV1号站用接地变</t>
  </si>
  <si>
    <t>140100011418</t>
  </si>
  <si>
    <t>140100011612</t>
  </si>
  <si>
    <t>140100011613</t>
  </si>
  <si>
    <t>140100011697</t>
  </si>
  <si>
    <t>140100012039</t>
  </si>
  <si>
    <t>10kV站用变所用变压器</t>
  </si>
  <si>
    <t>140100012040</t>
  </si>
  <si>
    <t>140100012528</t>
  </si>
  <si>
    <t>140100012529</t>
  </si>
  <si>
    <t>140100012639</t>
  </si>
  <si>
    <t>10kV1号站用变</t>
  </si>
  <si>
    <t>140100012640</t>
  </si>
  <si>
    <t>10kV2号站用变962所用变</t>
  </si>
  <si>
    <t>140100012843</t>
  </si>
  <si>
    <t>140100012844</t>
  </si>
  <si>
    <t>140100012845</t>
  </si>
  <si>
    <t>10kV1号站用接地变961所用变</t>
  </si>
  <si>
    <t>140100012846</t>
  </si>
  <si>
    <t>10kV2号站用接地变962所用变</t>
  </si>
  <si>
    <t>140100015432</t>
  </si>
  <si>
    <t>140100016473</t>
  </si>
  <si>
    <t>站用变</t>
  </si>
  <si>
    <t>140100016474</t>
  </si>
  <si>
    <t>厂用变压器2CB</t>
  </si>
  <si>
    <t>140100016475</t>
  </si>
  <si>
    <t>厂用变压器1CB</t>
  </si>
  <si>
    <t>140100016482</t>
  </si>
  <si>
    <t>主变压器</t>
  </si>
  <si>
    <t>140100016483</t>
  </si>
  <si>
    <t>140100016484</t>
  </si>
  <si>
    <t>厂变1</t>
  </si>
  <si>
    <t>140100016485</t>
  </si>
  <si>
    <t>厂变2</t>
  </si>
  <si>
    <t>140100016486</t>
  </si>
  <si>
    <t>10Kv厂用变</t>
  </si>
  <si>
    <t>140100016489</t>
  </si>
  <si>
    <t>140100016491</t>
  </si>
  <si>
    <t>140100016492</t>
  </si>
  <si>
    <t>2号主变</t>
  </si>
  <si>
    <t>140100016493</t>
  </si>
  <si>
    <t>140100016494</t>
  </si>
  <si>
    <t>140100019121</t>
  </si>
  <si>
    <t>35kV1号站用变所用变压器</t>
  </si>
  <si>
    <t>140100019122</t>
  </si>
  <si>
    <t>10kV2号站用变</t>
  </si>
  <si>
    <t>140100019123</t>
  </si>
  <si>
    <t>140100019124</t>
  </si>
  <si>
    <t>140100019125</t>
  </si>
  <si>
    <t>140100019126</t>
  </si>
  <si>
    <t>140100019127</t>
  </si>
  <si>
    <t>10kV站用变9151所用变压器</t>
  </si>
  <si>
    <t>140100019128</t>
  </si>
  <si>
    <t>140100019129</t>
  </si>
  <si>
    <t>140100019130</t>
  </si>
  <si>
    <t>140100019131</t>
  </si>
  <si>
    <t>140100019132</t>
  </si>
  <si>
    <t>140100019133</t>
  </si>
  <si>
    <t>140100019134</t>
  </si>
  <si>
    <t>140100019135</t>
  </si>
  <si>
    <t>10kV所用变</t>
  </si>
  <si>
    <t>140100019934</t>
  </si>
  <si>
    <t>35kV崇义变电站2012年退役的2号主变</t>
  </si>
  <si>
    <t>140100019935</t>
  </si>
  <si>
    <t>35kV崇义变电站2012年退役的1号主变</t>
  </si>
  <si>
    <t>140100021042</t>
  </si>
  <si>
    <t>140100021043</t>
  </si>
  <si>
    <t>10kV2号站用变所用变压器</t>
  </si>
  <si>
    <t>140100021044</t>
  </si>
  <si>
    <t>140100021045</t>
  </si>
  <si>
    <t>140100021046</t>
  </si>
  <si>
    <t>140100021142</t>
  </si>
  <si>
    <t>140100021655</t>
  </si>
  <si>
    <t>10kV1号接地所用变压器</t>
  </si>
  <si>
    <t>140100022044</t>
  </si>
  <si>
    <t>140201014939</t>
  </si>
  <si>
    <t>10kV电容一路电抗器</t>
  </si>
  <si>
    <t>140201014940</t>
  </si>
  <si>
    <t>10kV电容二路电抗器</t>
  </si>
  <si>
    <t>140201014941</t>
  </si>
  <si>
    <t>10kV电容三路电抗器</t>
  </si>
  <si>
    <t>140201014942</t>
  </si>
  <si>
    <t>10kV电容四路电抗器</t>
  </si>
  <si>
    <t>140201015212</t>
  </si>
  <si>
    <t>10kV电容二路982电抗器</t>
  </si>
  <si>
    <t>140201015332</t>
  </si>
  <si>
    <t>10kV电容三路913A相电抗器</t>
  </si>
  <si>
    <t>140201015333</t>
  </si>
  <si>
    <t>10kV电容三路913B相电抗器</t>
  </si>
  <si>
    <t>140201015334</t>
  </si>
  <si>
    <t>10kV电容三路913C相电抗器</t>
  </si>
  <si>
    <t>140201015335</t>
  </si>
  <si>
    <t>10kV电容一路911A相电抗器</t>
  </si>
  <si>
    <t>140201015336</t>
  </si>
  <si>
    <t>10kV电容一路911B相电抗器</t>
  </si>
  <si>
    <t>140201015337</t>
  </si>
  <si>
    <t>10kV电容一路911C相电抗器</t>
  </si>
  <si>
    <t>140201015338</t>
  </si>
  <si>
    <t>10kV电容五路915B相电抗器</t>
  </si>
  <si>
    <t>140201015339</t>
  </si>
  <si>
    <t>10kV电容五路915C相电抗器</t>
  </si>
  <si>
    <t>140201015362</t>
  </si>
  <si>
    <t>10kV电容一路981电抗器</t>
  </si>
  <si>
    <t>140201015727</t>
  </si>
  <si>
    <t>1号主变901电抗器A相</t>
  </si>
  <si>
    <t>140201015728</t>
  </si>
  <si>
    <t>1号主变901电抗器B相</t>
  </si>
  <si>
    <t>140201015729</t>
  </si>
  <si>
    <t>1号主变901电抗器C相</t>
  </si>
  <si>
    <t>140201015730</t>
  </si>
  <si>
    <t>2号主变902电抗器A相</t>
  </si>
  <si>
    <t>140201015731</t>
  </si>
  <si>
    <t>2号主变902电抗器B相</t>
  </si>
  <si>
    <t>140201015732</t>
  </si>
  <si>
    <t>2号主变902电抗器C相</t>
  </si>
  <si>
    <t>140201015733</t>
  </si>
  <si>
    <t>10kV电容八路978电抗器</t>
  </si>
  <si>
    <t>140201015734</t>
  </si>
  <si>
    <t>10kV电容一路971电抗器</t>
  </si>
  <si>
    <t>140201015735</t>
  </si>
  <si>
    <t>10kV电容五路975电抗器</t>
  </si>
  <si>
    <t>140201015736</t>
  </si>
  <si>
    <t>10kV电容二路972电抗器</t>
  </si>
  <si>
    <t>140201015737</t>
  </si>
  <si>
    <t>10kV电容九路979电抗器</t>
  </si>
  <si>
    <t>140201015738</t>
  </si>
  <si>
    <t>10kV电容四路974电抗器</t>
  </si>
  <si>
    <t>140201015739</t>
  </si>
  <si>
    <t>10kV电容六路976电抗器</t>
  </si>
  <si>
    <t>140201015740</t>
  </si>
  <si>
    <t>10kV电容十路970电抗器</t>
  </si>
  <si>
    <t>140201015741</t>
  </si>
  <si>
    <t>10kV电容七路977电抗器</t>
  </si>
  <si>
    <t>140201015742</t>
  </si>
  <si>
    <t>10kV电容三路973电抗器</t>
  </si>
  <si>
    <t>140201015841</t>
  </si>
  <si>
    <t>10kV电容五路915A相电抗器</t>
  </si>
  <si>
    <t>140201016306</t>
  </si>
  <si>
    <t>10kV电容三路973A相电抗器</t>
  </si>
  <si>
    <t>140201016307</t>
  </si>
  <si>
    <t>10kV电容三路973B相电抗器</t>
  </si>
  <si>
    <t>140201016308</t>
  </si>
  <si>
    <t>10kV电容三路973C相电抗器</t>
  </si>
  <si>
    <t>140201016309</t>
  </si>
  <si>
    <t>10kV电容四路974A相电抗器</t>
  </si>
  <si>
    <t>140201016310</t>
  </si>
  <si>
    <t>10kV电容四路974B相电抗器</t>
  </si>
  <si>
    <t>140201016311</t>
  </si>
  <si>
    <t>10kV电容四路974C相电抗器</t>
  </si>
  <si>
    <t>140201016312</t>
  </si>
  <si>
    <t>10kV电容一路971A相电抗器</t>
  </si>
  <si>
    <t>140201016313</t>
  </si>
  <si>
    <t>10kV电容一路971B相电抗器</t>
  </si>
  <si>
    <t>140201016314</t>
  </si>
  <si>
    <t>10kV电容一路971C相电抗器</t>
  </si>
  <si>
    <t>140201016797</t>
  </si>
  <si>
    <t>10kV电容二路972A相电抗器</t>
  </si>
  <si>
    <t>140201016798</t>
  </si>
  <si>
    <t>10kV电容二路972B相电抗器</t>
  </si>
  <si>
    <t>140201016799</t>
  </si>
  <si>
    <t>10kV电容二路972C相电抗器</t>
  </si>
  <si>
    <t>140201019476</t>
  </si>
  <si>
    <t>140201019477</t>
  </si>
  <si>
    <t>140201019478</t>
  </si>
  <si>
    <t>10kV电容909电抗器</t>
  </si>
  <si>
    <t>140201019479</t>
  </si>
  <si>
    <t>10kV电容路981电抗器</t>
  </si>
  <si>
    <t>140201019480</t>
  </si>
  <si>
    <t>140201019481</t>
  </si>
  <si>
    <t>140300010570</t>
  </si>
  <si>
    <t>110KV备用165结合滤波器</t>
  </si>
  <si>
    <t>140300010578</t>
  </si>
  <si>
    <t>110kV连灌线161线路电压互感器A相</t>
  </si>
  <si>
    <t>140300010620</t>
  </si>
  <si>
    <t>110kV中性点避雷器O相</t>
  </si>
  <si>
    <t>140300010631</t>
  </si>
  <si>
    <t>2号主变220kV侧中性点2029接地刀闸O相</t>
  </si>
  <si>
    <t>140300010632</t>
  </si>
  <si>
    <t>2号主变110kV侧1029隔离开关</t>
  </si>
  <si>
    <t>140300010633</t>
  </si>
  <si>
    <t>2号主变220kV侧中性点避雷器O相</t>
  </si>
  <si>
    <t>140300010634</t>
  </si>
  <si>
    <t>2号主变110kV侧避雷器</t>
  </si>
  <si>
    <t>140300010638</t>
  </si>
  <si>
    <t>2号主变9026隔离开关</t>
  </si>
  <si>
    <t>140300010641</t>
  </si>
  <si>
    <t>10kV电容二路922开关柜</t>
  </si>
  <si>
    <t>140300010655</t>
  </si>
  <si>
    <t>110KVⅡ段母线</t>
  </si>
  <si>
    <t>140300010692</t>
  </si>
  <si>
    <t>110kV聚蒲一线137断路器</t>
  </si>
  <si>
    <t>140300010700</t>
  </si>
  <si>
    <t>1号主变220kV侧中性点2019接地刀闸O相</t>
  </si>
  <si>
    <t>140300010701</t>
  </si>
  <si>
    <t>1号主变110kV侧1019隔离开关</t>
  </si>
  <si>
    <t>140300010702</t>
  </si>
  <si>
    <t>1号主变220kV侧避雷器</t>
  </si>
  <si>
    <t>140300010709</t>
  </si>
  <si>
    <t>1号主变220kV侧2012隔离开关</t>
  </si>
  <si>
    <t>140300010711</t>
  </si>
  <si>
    <t>1号主变201断路器</t>
  </si>
  <si>
    <t>140300010712</t>
  </si>
  <si>
    <t>1号主变201断路器A相电流互感器</t>
  </si>
  <si>
    <t>140300010718</t>
  </si>
  <si>
    <t>1号主变110kV侧1012隔离开关</t>
  </si>
  <si>
    <t>140300010722</t>
  </si>
  <si>
    <t>1号主变9016隔离开关</t>
  </si>
  <si>
    <t>140300010779</t>
  </si>
  <si>
    <t>消弧线圈</t>
  </si>
  <si>
    <t>140300010794</t>
  </si>
  <si>
    <t>2号主变10kV侧母线桥避雷器B相</t>
  </si>
  <si>
    <t>140300010819</t>
  </si>
  <si>
    <t>1号主变3011隔离开关</t>
  </si>
  <si>
    <t>140300010875</t>
  </si>
  <si>
    <t>140300015357</t>
  </si>
  <si>
    <t>1号主变301断路器</t>
  </si>
  <si>
    <t>140300015358</t>
  </si>
  <si>
    <t>35kV青梅线305断路器</t>
  </si>
  <si>
    <t>140300015359</t>
  </si>
  <si>
    <t>35kV灌山线309断路器</t>
  </si>
  <si>
    <t>140300015360</t>
  </si>
  <si>
    <t>35kV青山线303断路器</t>
  </si>
  <si>
    <t>140300015361</t>
  </si>
  <si>
    <t>35kV青张线307断路器</t>
  </si>
  <si>
    <t>140300015362</t>
  </si>
  <si>
    <t>1号主变35kV跌落A相熔断器</t>
  </si>
  <si>
    <t>140300015363</t>
  </si>
  <si>
    <t>1号主变35kV跌落B相熔断器</t>
  </si>
  <si>
    <t>140300015364</t>
  </si>
  <si>
    <t>1号主变35kV跌落C相熔断器</t>
  </si>
  <si>
    <t>140300015365</t>
  </si>
  <si>
    <t>35kV西崇柳支线避雷器A相</t>
  </si>
  <si>
    <t>140300015366</t>
  </si>
  <si>
    <t>35kV西崇柳支线避雷器B相</t>
  </si>
  <si>
    <t>140300015367</t>
  </si>
  <si>
    <t>35kV西崇柳支线避雷器C相</t>
  </si>
  <si>
    <t>140300015369</t>
  </si>
  <si>
    <t>2号主变10kV侧B相避雷器</t>
  </si>
  <si>
    <t>140300015370</t>
  </si>
  <si>
    <t>2号主变10kV侧C相避雷器</t>
  </si>
  <si>
    <t>140300015371</t>
  </si>
  <si>
    <t>2号主变110kV侧中性点电流互感器O相</t>
  </si>
  <si>
    <t>140300015372</t>
  </si>
  <si>
    <t>2号主变220kV侧电流互感器</t>
  </si>
  <si>
    <t>140300015373</t>
  </si>
  <si>
    <t>1号主变间隙电流互感器</t>
  </si>
  <si>
    <t>140300015374</t>
  </si>
  <si>
    <t>2号主变间隙电流互感器O相</t>
  </si>
  <si>
    <t>140300015375</t>
  </si>
  <si>
    <t>220kV待用2662隔离开关</t>
  </si>
  <si>
    <t>140300015376</t>
  </si>
  <si>
    <t>220kV源山北线2622隔离开关</t>
  </si>
  <si>
    <t>140300015377</t>
  </si>
  <si>
    <t>220kV源山南线2612隔离开关</t>
  </si>
  <si>
    <t>140300015378</t>
  </si>
  <si>
    <t>2号主变220kV侧2022隔离开关</t>
  </si>
  <si>
    <t>140300015379</t>
  </si>
  <si>
    <t>1号主变110kV中性点1019接地隔离开关O相</t>
  </si>
  <si>
    <t>140300015380</t>
  </si>
  <si>
    <t>2号主变110kV中性点1029接地隔离开关O相</t>
  </si>
  <si>
    <t>140300015381</t>
  </si>
  <si>
    <t>220kV母联2121隔离开关</t>
  </si>
  <si>
    <t>140300015382</t>
  </si>
  <si>
    <t>220kV母联2122隔离开关</t>
  </si>
  <si>
    <t>140300015383</t>
  </si>
  <si>
    <t>1号主变110kV中性点避雷器O相</t>
  </si>
  <si>
    <t>140300015386</t>
  </si>
  <si>
    <t>2号主变110kV中性点避雷器O相</t>
  </si>
  <si>
    <t>140300015389</t>
  </si>
  <si>
    <t>220kVII母PT228刀闸</t>
  </si>
  <si>
    <t>140300015392</t>
  </si>
  <si>
    <t>220kVI母PT218刀闸</t>
  </si>
  <si>
    <t>140300015394</t>
  </si>
  <si>
    <t>220kV源山南线2611隔离开关</t>
  </si>
  <si>
    <t>140300015396</t>
  </si>
  <si>
    <t>220kV待用2661隔离开关</t>
  </si>
  <si>
    <t>140300015399</t>
  </si>
  <si>
    <t>220kV源山北线2621隔离开关</t>
  </si>
  <si>
    <t>140300015403</t>
  </si>
  <si>
    <t>2号主变220kV侧2021隔离开关</t>
  </si>
  <si>
    <t>140300015418</t>
  </si>
  <si>
    <t>1号主变35kV避雷器</t>
  </si>
  <si>
    <t>140300015419</t>
  </si>
  <si>
    <t>2号主变35kV中性点避雷器O相</t>
  </si>
  <si>
    <t>140300015420</t>
  </si>
  <si>
    <t>1号主变35kV侧A相避雷器</t>
  </si>
  <si>
    <t>140300015421</t>
  </si>
  <si>
    <t>1号主变35kV侧B相避雷器</t>
  </si>
  <si>
    <t>140300015422</t>
  </si>
  <si>
    <t>1号主变35kV侧C相避雷器</t>
  </si>
  <si>
    <t>140300015423</t>
  </si>
  <si>
    <t>2号主变35kV侧避雷器A相</t>
  </si>
  <si>
    <t>140300015424</t>
  </si>
  <si>
    <t>2号主变35kV侧避雷器B相</t>
  </si>
  <si>
    <t>140300015425</t>
  </si>
  <si>
    <t>2号主变35kV侧避雷器C相</t>
  </si>
  <si>
    <t>140300015426</t>
  </si>
  <si>
    <t>110kV分段130断路器</t>
  </si>
  <si>
    <t>140300015427</t>
  </si>
  <si>
    <t>1号主变101断路器</t>
  </si>
  <si>
    <t>140300015429</t>
  </si>
  <si>
    <t>2号主变102断路器</t>
  </si>
  <si>
    <t>140300015431</t>
  </si>
  <si>
    <t>220kV源丹南线2656隔离开关</t>
  </si>
  <si>
    <t>140300015433</t>
  </si>
  <si>
    <t>110kV聚蒲二线142断路器</t>
  </si>
  <si>
    <t>140300015435</t>
  </si>
  <si>
    <t>220kV源丹南线2666隔离开关</t>
  </si>
  <si>
    <t>140300015436</t>
  </si>
  <si>
    <t>110kV聚蒲一线141断路器</t>
  </si>
  <si>
    <t>140300015437</t>
  </si>
  <si>
    <t>110kV分段1301隔离开关</t>
  </si>
  <si>
    <t>140300015438</t>
  </si>
  <si>
    <t>110kV分段1302隔离开关</t>
  </si>
  <si>
    <t>140300015439</t>
  </si>
  <si>
    <t>1号主变高压侧1011隔离开关</t>
  </si>
  <si>
    <t>140300015440</t>
  </si>
  <si>
    <t>1号主变高压侧1013隔离开关</t>
  </si>
  <si>
    <t>140300015441</t>
  </si>
  <si>
    <t>2号主变高压侧1021隔离开关</t>
  </si>
  <si>
    <t>140300015442</t>
  </si>
  <si>
    <t>2号主变高压侧1023隔离开关</t>
  </si>
  <si>
    <t>140300015445</t>
  </si>
  <si>
    <t>220kV源山北线2626隔离开关</t>
  </si>
  <si>
    <t>140300015448</t>
  </si>
  <si>
    <t>220kV源山南线2616隔离开关</t>
  </si>
  <si>
    <t>140300015449</t>
  </si>
  <si>
    <t>2号主变220kV侧2023隔离开关</t>
  </si>
  <si>
    <t>140300015452</t>
  </si>
  <si>
    <t>220kVII母2210接地刀闸</t>
  </si>
  <si>
    <t>140300015453</t>
  </si>
  <si>
    <t>220kVII母2220接地隔离开关</t>
  </si>
  <si>
    <t>140300015454</t>
  </si>
  <si>
    <t>220kVI母2110接地隔离开关</t>
  </si>
  <si>
    <t>140300015455</t>
  </si>
  <si>
    <t>220kVI母2120接地隔离开关</t>
  </si>
  <si>
    <t>140300015456</t>
  </si>
  <si>
    <t>220kV母联212A相电流互感器</t>
  </si>
  <si>
    <t>140300015457</t>
  </si>
  <si>
    <t>220kV母联212B相电流互感器</t>
  </si>
  <si>
    <t>140300015458</t>
  </si>
  <si>
    <t>220kV母联212C相电流互感器</t>
  </si>
  <si>
    <t>140300015459</t>
  </si>
  <si>
    <t>2号主变202断路器A相电流互感器</t>
  </si>
  <si>
    <t>140300015460</t>
  </si>
  <si>
    <t>2号主变202断路器B相电流互感器</t>
  </si>
  <si>
    <t>140300015461</t>
  </si>
  <si>
    <t>2号主变202断路器C相电流互感器</t>
  </si>
  <si>
    <t>140300015479</t>
  </si>
  <si>
    <t>110kVI母PT1018隔离开关</t>
  </si>
  <si>
    <t>140300015480</t>
  </si>
  <si>
    <t>110kVII母PT1028隔离开关</t>
  </si>
  <si>
    <t>140300015481</t>
  </si>
  <si>
    <t>110kV聚蒲二线1421隔离开关</t>
  </si>
  <si>
    <t>140300015482</t>
  </si>
  <si>
    <t>110kV聚蒲二线1423隔离开关</t>
  </si>
  <si>
    <t>140300015484</t>
  </si>
  <si>
    <t>110kV聚蒲一线1413隔离开关</t>
  </si>
  <si>
    <t>140300015485</t>
  </si>
  <si>
    <t>110kV分段130断路器电流互感器A相</t>
  </si>
  <si>
    <t>140300015486</t>
  </si>
  <si>
    <t>110kV分段130断路器电流互感器B相</t>
  </si>
  <si>
    <t>140300015487</t>
  </si>
  <si>
    <t>110kV分段130断路器电流互感器C相</t>
  </si>
  <si>
    <t>140300015488</t>
  </si>
  <si>
    <t>1号主变101断路器A相电流互感器</t>
  </si>
  <si>
    <t>140300015489</t>
  </si>
  <si>
    <t>1号主变101断路器B相电流互感器</t>
  </si>
  <si>
    <t>140300015490</t>
  </si>
  <si>
    <t>1号主变101断路器C相电流互感器</t>
  </si>
  <si>
    <t>140300015491</t>
  </si>
  <si>
    <t>2号主变102断路器A相电流互感器</t>
  </si>
  <si>
    <t>140300015492</t>
  </si>
  <si>
    <t>2号主变102断路器B相电流互感器</t>
  </si>
  <si>
    <t>140300015493</t>
  </si>
  <si>
    <t>2号主变102断路器C相电流互感器</t>
  </si>
  <si>
    <t>140300015494</t>
  </si>
  <si>
    <t>110kV聚蒲二线142断路器A相电流互感器</t>
  </si>
  <si>
    <t>140300015495</t>
  </si>
  <si>
    <t>110kV聚蒲二线142断路器B相电流互感器</t>
  </si>
  <si>
    <t>140300015497</t>
  </si>
  <si>
    <t>110kV聚蒲一线141断路器A相电流互感器</t>
  </si>
  <si>
    <t>140300015499</t>
  </si>
  <si>
    <t>110kV聚蒲一线141断路器C相电流互感器</t>
  </si>
  <si>
    <t>140300015500</t>
  </si>
  <si>
    <t>110kV聚蒲二线142断路器C相电流互感器</t>
  </si>
  <si>
    <t>140300015501</t>
  </si>
  <si>
    <t>110kV聚蒲一线141断路器B相电流互感器</t>
  </si>
  <si>
    <t>140300015502</t>
  </si>
  <si>
    <t>220kV源丹南线265A相电流互感器</t>
  </si>
  <si>
    <t>140300015503</t>
  </si>
  <si>
    <t>220kV源丹南线265B相电流互感器</t>
  </si>
  <si>
    <t>140300015504</t>
  </si>
  <si>
    <t>220kV源丹南线265C相电流互感器</t>
  </si>
  <si>
    <t>140300015505</t>
  </si>
  <si>
    <t>220kV待用266A相电流互感器</t>
  </si>
  <si>
    <t>140300015506</t>
  </si>
  <si>
    <t>220kV待用266B相电流互感器</t>
  </si>
  <si>
    <t>140300015507</t>
  </si>
  <si>
    <t>220kV待用266C相电流互感器</t>
  </si>
  <si>
    <t>140300015508</t>
  </si>
  <si>
    <t>220kV源山北线262A相电流互感器</t>
  </si>
  <si>
    <t>140300015509</t>
  </si>
  <si>
    <t>220kV源山北线262B相电流互感器</t>
  </si>
  <si>
    <t>140300015510</t>
  </si>
  <si>
    <t>220kV源山北线262C相电流互感器</t>
  </si>
  <si>
    <t>140300015511</t>
  </si>
  <si>
    <t>220kV源山南线261断路器A相电流互感器</t>
  </si>
  <si>
    <t>140300015512</t>
  </si>
  <si>
    <t>220kV源山南线261断路器B相电流互感器</t>
  </si>
  <si>
    <t>140300015513</t>
  </si>
  <si>
    <t>220kV源山南线261断路器C相电流互感器</t>
  </si>
  <si>
    <t>140300015514</t>
  </si>
  <si>
    <t>220kVⅡ母电压互感器A相</t>
  </si>
  <si>
    <t>140300015515</t>
  </si>
  <si>
    <t>220kVⅡ母电压互感器B相</t>
  </si>
  <si>
    <t>140300015516</t>
  </si>
  <si>
    <t>220kVⅡ母电压互感器C相</t>
  </si>
  <si>
    <t>140300015517</t>
  </si>
  <si>
    <t>220kVⅠ母PTA相</t>
  </si>
  <si>
    <t>140300015518</t>
  </si>
  <si>
    <t>220kVⅠ母PTB相</t>
  </si>
  <si>
    <t>140300015519</t>
  </si>
  <si>
    <t>220kVⅠ母PTC相</t>
  </si>
  <si>
    <t>140300015520</t>
  </si>
  <si>
    <t>110kV聚彩线135B相电流互感器</t>
  </si>
  <si>
    <t>140300015521</t>
  </si>
  <si>
    <t>110kV聚胥线136断路器</t>
  </si>
  <si>
    <t>140300015522</t>
  </si>
  <si>
    <t>110kV母联130断路器</t>
  </si>
  <si>
    <t>140300015523</t>
  </si>
  <si>
    <t>140300015524</t>
  </si>
  <si>
    <t>110kV聚彩线1352隔离开关</t>
  </si>
  <si>
    <t>140300015525</t>
  </si>
  <si>
    <t>110kV聚胥线1362隔离开关</t>
  </si>
  <si>
    <t>140300015526</t>
  </si>
  <si>
    <t>1号主变110kV侧1011隔离开关</t>
  </si>
  <si>
    <t>140300015527</t>
  </si>
  <si>
    <t>2号主变110kV侧1022隔离开关</t>
  </si>
  <si>
    <t>140300015531</t>
  </si>
  <si>
    <t>110kVⅠ母PT1018隔离开关</t>
  </si>
  <si>
    <t>140300015533</t>
  </si>
  <si>
    <t>110kVⅡ母PT1028隔离开关</t>
  </si>
  <si>
    <t>140300015534</t>
  </si>
  <si>
    <t>110kV聚彩线1351隔离开关</t>
  </si>
  <si>
    <t>140300015536</t>
  </si>
  <si>
    <t>110kV聚彩线1353隔离开关</t>
  </si>
  <si>
    <t>140300015539</t>
  </si>
  <si>
    <t>110kV聚胥线1361隔离开关</t>
  </si>
  <si>
    <t>140300015541</t>
  </si>
  <si>
    <t>110kV聚胥线1363隔离开关</t>
  </si>
  <si>
    <t>140300015544</t>
  </si>
  <si>
    <t>110kV母联1301隔离开关</t>
  </si>
  <si>
    <t>140300015545</t>
  </si>
  <si>
    <t>110kV母联1302隔离开关</t>
  </si>
  <si>
    <t>140300015548</t>
  </si>
  <si>
    <t>1号主变110kV侧1013隔离开关</t>
  </si>
  <si>
    <t>140300015549</t>
  </si>
  <si>
    <t>2号主变110kV侧1021隔离开关</t>
  </si>
  <si>
    <t>140300015551</t>
  </si>
  <si>
    <t>2号主变110kV侧1023隔离开关</t>
  </si>
  <si>
    <t>140300015554</t>
  </si>
  <si>
    <t>110kV聚彩线135A相电流互感器</t>
  </si>
  <si>
    <t>140300015556</t>
  </si>
  <si>
    <t>110kV聚彩线135C相电流互感器</t>
  </si>
  <si>
    <t>140300015557</t>
  </si>
  <si>
    <t>110kV聚胥线136A相电流互感器</t>
  </si>
  <si>
    <t>140300015558</t>
  </si>
  <si>
    <t>110kV聚胥线136B相电流互感器</t>
  </si>
  <si>
    <t>140300015559</t>
  </si>
  <si>
    <t>110kV聚胥线136C相电流互感器</t>
  </si>
  <si>
    <t>140300015560</t>
  </si>
  <si>
    <t>110kV母联130断路器电流互感器A相</t>
  </si>
  <si>
    <t>140300015561</t>
  </si>
  <si>
    <t>110kV母联130断路器电流互感器B相</t>
  </si>
  <si>
    <t>140300015562</t>
  </si>
  <si>
    <t>110kV母联130断路器电流互感器C相</t>
  </si>
  <si>
    <t>140300015563</t>
  </si>
  <si>
    <t>140300015564</t>
  </si>
  <si>
    <t>140300015565</t>
  </si>
  <si>
    <t>140300015566</t>
  </si>
  <si>
    <t>110kVⅠ母A相电压互感器</t>
  </si>
  <si>
    <t>140300015567</t>
  </si>
  <si>
    <t>110kVⅠ母B相电压互感器</t>
  </si>
  <si>
    <t>140300015568</t>
  </si>
  <si>
    <t>110kVⅠ母C相电压互感器</t>
  </si>
  <si>
    <t>140300015569</t>
  </si>
  <si>
    <t>110kVⅡ母A相电压互感器</t>
  </si>
  <si>
    <t>140300015570</t>
  </si>
  <si>
    <t>110kVⅡ母B相电压互感器</t>
  </si>
  <si>
    <t>140300015571</t>
  </si>
  <si>
    <t>110kVⅡ母C相电压互感器</t>
  </si>
  <si>
    <t>140300015572</t>
  </si>
  <si>
    <t>110kVⅠ母避雷器A相</t>
  </si>
  <si>
    <t>140300015573</t>
  </si>
  <si>
    <t>110kVⅠ母避雷器C相</t>
  </si>
  <si>
    <t>140300015574</t>
  </si>
  <si>
    <t>110kVⅡ母A相避雷器</t>
  </si>
  <si>
    <t>140300015575</t>
  </si>
  <si>
    <t>110kVⅡ母B相避雷器</t>
  </si>
  <si>
    <t>140300015576</t>
  </si>
  <si>
    <t>110kVⅡ母C相避雷器</t>
  </si>
  <si>
    <t>140300015577</t>
  </si>
  <si>
    <t>2号主变110kV侧A相避雷器</t>
  </si>
  <si>
    <t>140300015578</t>
  </si>
  <si>
    <t>2号主变110kV侧B相避雷器</t>
  </si>
  <si>
    <t>140300015579</t>
  </si>
  <si>
    <t>2号主变110kV侧C相避雷器</t>
  </si>
  <si>
    <t>140300015580</t>
  </si>
  <si>
    <t>110kV聚蒲二线142线路A相电压互感器</t>
  </si>
  <si>
    <t>140300015581</t>
  </si>
  <si>
    <t>110kV聚蒲一线141线路A相电压互感器</t>
  </si>
  <si>
    <t>140300015586</t>
  </si>
  <si>
    <t>110kVⅠ段母线A相电压互感器</t>
  </si>
  <si>
    <t>140300015587</t>
  </si>
  <si>
    <t>110kVⅠ段母线B相电压互感器</t>
  </si>
  <si>
    <t>140300015588</t>
  </si>
  <si>
    <t>110kVⅠ段母线C相电压互感器</t>
  </si>
  <si>
    <t>140300015589</t>
  </si>
  <si>
    <t>110kVⅡ段母线A相电压互感器</t>
  </si>
  <si>
    <t>140300015590</t>
  </si>
  <si>
    <t>110kVⅡ段母线B相电压互感器</t>
  </si>
  <si>
    <t>140300015591</t>
  </si>
  <si>
    <t>110kVⅡ段母线C相电压互感器</t>
  </si>
  <si>
    <t>140300015594</t>
  </si>
  <si>
    <t>110kVⅠ段母线A相避雷器</t>
  </si>
  <si>
    <t>140300015595</t>
  </si>
  <si>
    <t>110kVⅠ段母线B相避雷器</t>
  </si>
  <si>
    <t>140300015596</t>
  </si>
  <si>
    <t>110kVⅠ段母线C相避雷器</t>
  </si>
  <si>
    <t>140300015597</t>
  </si>
  <si>
    <t>110kVⅡ段母线A相避雷器</t>
  </si>
  <si>
    <t>140300015598</t>
  </si>
  <si>
    <t>110kVⅡ段母线B相避雷器</t>
  </si>
  <si>
    <t>140300015599</t>
  </si>
  <si>
    <t>110kVⅡ段母线C相避雷器</t>
  </si>
  <si>
    <t>140300015600</t>
  </si>
  <si>
    <t>110kV聚蒲二线142线路A相避雷器</t>
  </si>
  <si>
    <t>140300015601</t>
  </si>
  <si>
    <t>110kV聚蒲二线142线路B相避雷器</t>
  </si>
  <si>
    <t>140300015602</t>
  </si>
  <si>
    <t>110kV聚蒲二线142线路C相避雷器</t>
  </si>
  <si>
    <t>140300015603</t>
  </si>
  <si>
    <t>110kV聚蒲一线141线路A相避雷器</t>
  </si>
  <si>
    <t>140300015604</t>
  </si>
  <si>
    <t>110kV聚蒲一线141线路B相避雷器</t>
  </si>
  <si>
    <t>140300015605</t>
  </si>
  <si>
    <t>110kV聚蒲一线141线路C相避雷器</t>
  </si>
  <si>
    <t>140300015625</t>
  </si>
  <si>
    <t>10kV蒲美路915断路器</t>
  </si>
  <si>
    <t>140300015644</t>
  </si>
  <si>
    <t>110kV聚蒲二线1382隔离开关</t>
  </si>
  <si>
    <t>140300015645</t>
  </si>
  <si>
    <t>110kV聚蒲一线1372隔离开关</t>
  </si>
  <si>
    <t>140300015648</t>
  </si>
  <si>
    <t>110kV聚蒲二线1383隔离开关</t>
  </si>
  <si>
    <t>140300015651</t>
  </si>
  <si>
    <t>110kV聚蒲一线1373隔离开关</t>
  </si>
  <si>
    <t>140300015654</t>
  </si>
  <si>
    <t>110kV聚蒲二线138A相电流互感器</t>
  </si>
  <si>
    <t>140300015655</t>
  </si>
  <si>
    <t>110kV聚蒲二线138B相电流互感器</t>
  </si>
  <si>
    <t>140300015656</t>
  </si>
  <si>
    <t>110kV聚蒲二线138C相电流互感器</t>
  </si>
  <si>
    <t>140300015657</t>
  </si>
  <si>
    <t>110kV聚蒲一线137A相电流互感器</t>
  </si>
  <si>
    <t>140300015658</t>
  </si>
  <si>
    <t>110kV聚蒲一线137B相电流互感器</t>
  </si>
  <si>
    <t>140300015659</t>
  </si>
  <si>
    <t>110kV聚蒲一线137C相电流互感器</t>
  </si>
  <si>
    <t>140300015660</t>
  </si>
  <si>
    <t>1号主变10kV侧A相避雷器</t>
  </si>
  <si>
    <t>140300015661</t>
  </si>
  <si>
    <t>1号主变10kV侧B相避雷器</t>
  </si>
  <si>
    <t>140300015669</t>
  </si>
  <si>
    <t>35kV中性点3019隔离开关O相</t>
  </si>
  <si>
    <t>140300015670</t>
  </si>
  <si>
    <t>35kV中性点3029隔离开关O相</t>
  </si>
  <si>
    <t>140300015671</t>
  </si>
  <si>
    <t>1号主变中压侧3013隔离开关</t>
  </si>
  <si>
    <t>140300015672</t>
  </si>
  <si>
    <t>2号主变中压侧3023隔离开关</t>
  </si>
  <si>
    <t>140300015673</t>
  </si>
  <si>
    <t>电容三路983串联电抗器</t>
  </si>
  <si>
    <t>140300015674</t>
  </si>
  <si>
    <t>电容四路984串联电抗器</t>
  </si>
  <si>
    <t>140300015677</t>
  </si>
  <si>
    <t>10kV电容二路9826隔离开关</t>
  </si>
  <si>
    <t>140300015678</t>
  </si>
  <si>
    <t>10kV电容二路982开关避雷器A相</t>
  </si>
  <si>
    <t>140300015679</t>
  </si>
  <si>
    <t>10kV电容二路982开关避雷器B相</t>
  </si>
  <si>
    <t>140300015680</t>
  </si>
  <si>
    <t>10kV电容二路982开关避雷器C相</t>
  </si>
  <si>
    <t>140300015683</t>
  </si>
  <si>
    <t>10kV电容三路9836隔离开关</t>
  </si>
  <si>
    <t>140300015684</t>
  </si>
  <si>
    <t>10kV电容三路983避雷器A相</t>
  </si>
  <si>
    <t>140300015686</t>
  </si>
  <si>
    <t>10kV电容三路983避雷器B相</t>
  </si>
  <si>
    <t>140300015688</t>
  </si>
  <si>
    <t>10kV电容三路983避雷器C相</t>
  </si>
  <si>
    <t>140300015694</t>
  </si>
  <si>
    <t>10kV电容四路984避雷器A相</t>
  </si>
  <si>
    <t>140300015696</t>
  </si>
  <si>
    <t>10kV电容四路984避雷器B相</t>
  </si>
  <si>
    <t>140300015698</t>
  </si>
  <si>
    <t>10kV电容四路984避雷器C相</t>
  </si>
  <si>
    <t>140300015703</t>
  </si>
  <si>
    <t>10kV电容一路9816隔离开关</t>
  </si>
  <si>
    <t>140300015704</t>
  </si>
  <si>
    <t>10kV电容一路981避雷器A相</t>
  </si>
  <si>
    <t>140300015706</t>
  </si>
  <si>
    <t>10kV电容一路981避雷器B相</t>
  </si>
  <si>
    <t>140300015708</t>
  </si>
  <si>
    <t>10kV电容一路981避雷器C相</t>
  </si>
  <si>
    <t>140300015710</t>
  </si>
  <si>
    <t>电容一路981串联电抗器</t>
  </si>
  <si>
    <t>140300015714</t>
  </si>
  <si>
    <t>1号主变220kV侧2011隔离开关</t>
  </si>
  <si>
    <t>140300015716</t>
  </si>
  <si>
    <t>1号主变220kV侧2013隔离开关</t>
  </si>
  <si>
    <t>140300015719</t>
  </si>
  <si>
    <t>1号主变201断路器B相电流互感器</t>
  </si>
  <si>
    <t>140300015720</t>
  </si>
  <si>
    <t>1号主变201断路器C相电流互感器</t>
  </si>
  <si>
    <t>140300015721</t>
  </si>
  <si>
    <t>1号主变220kV侧A相避雷器</t>
  </si>
  <si>
    <t>140300015722</t>
  </si>
  <si>
    <t>1号主变220kV侧B相避雷器</t>
  </si>
  <si>
    <t>140300015723</t>
  </si>
  <si>
    <t>1号主变220kV侧C相避雷器</t>
  </si>
  <si>
    <t>140300015730</t>
  </si>
  <si>
    <t>1号主变110kV侧中性点电流互感器O相</t>
  </si>
  <si>
    <t>140300015731</t>
  </si>
  <si>
    <t>140300015732</t>
  </si>
  <si>
    <t>140300015733</t>
  </si>
  <si>
    <t>140300015736</t>
  </si>
  <si>
    <t>110kV聚蒲一线1371隔离开关</t>
  </si>
  <si>
    <t>140300015741</t>
  </si>
  <si>
    <t>10kV2号站用变920开关柜</t>
  </si>
  <si>
    <t>140300015754</t>
  </si>
  <si>
    <t>10kV电容四路924开关柜</t>
  </si>
  <si>
    <t>140300015758</t>
  </si>
  <si>
    <t>10kV电容六路926开关柜</t>
  </si>
  <si>
    <t>140300015763</t>
  </si>
  <si>
    <t>10kV电容八路928开关柜</t>
  </si>
  <si>
    <t>140300015775</t>
  </si>
  <si>
    <t>110kV聚蒲二线138断路器</t>
  </si>
  <si>
    <t>140300015776</t>
  </si>
  <si>
    <t>1号主变110kV侧101断路器</t>
  </si>
  <si>
    <t>140300015777</t>
  </si>
  <si>
    <t>1号主变110kV侧A相避雷器</t>
  </si>
  <si>
    <t>140300015778</t>
  </si>
  <si>
    <t>1号主变110kV侧B相避雷器</t>
  </si>
  <si>
    <t>140300015779</t>
  </si>
  <si>
    <t>1号主变110kV侧C相避雷器</t>
  </si>
  <si>
    <t>140300015780</t>
  </si>
  <si>
    <t>110kVⅠ母避雷器B相</t>
  </si>
  <si>
    <t>140300015781</t>
  </si>
  <si>
    <t>110kV聚彩线135A相避雷器</t>
  </si>
  <si>
    <t>140300015782</t>
  </si>
  <si>
    <t>110kV聚彩线135B相避雷器</t>
  </si>
  <si>
    <t>140300015783</t>
  </si>
  <si>
    <t>110kV聚彩线135C相避雷器</t>
  </si>
  <si>
    <t>140300015784</t>
  </si>
  <si>
    <t>110kV聚蒲二线138A相避雷器</t>
  </si>
  <si>
    <t>140300015785</t>
  </si>
  <si>
    <t>110kV聚蒲二线138B相避雷器</t>
  </si>
  <si>
    <t>140300015786</t>
  </si>
  <si>
    <t>110kV聚蒲二线138C相避雷器</t>
  </si>
  <si>
    <t>140300015787</t>
  </si>
  <si>
    <t>110kV聚胥线136A相避雷器</t>
  </si>
  <si>
    <t>140300015788</t>
  </si>
  <si>
    <t>110kV聚胥线136B相避雷器</t>
  </si>
  <si>
    <t>140300015789</t>
  </si>
  <si>
    <t>110kV聚胥线136C相避雷器</t>
  </si>
  <si>
    <t>140300015792</t>
  </si>
  <si>
    <t>2号主变9021开关柜</t>
  </si>
  <si>
    <t>140300015798</t>
  </si>
  <si>
    <t>10kVⅡ段PT开关柜</t>
  </si>
  <si>
    <t>140300015811</t>
  </si>
  <si>
    <t>2号主变902开关柜</t>
  </si>
  <si>
    <t>140300015817</t>
  </si>
  <si>
    <t>10kV电容二路922电力电容器</t>
  </si>
  <si>
    <t>140300015818</t>
  </si>
  <si>
    <t>电容二路9226隔离开关</t>
  </si>
  <si>
    <t>140300015820</t>
  </si>
  <si>
    <t>10kV电容二路922电容器A相避雷器</t>
  </si>
  <si>
    <t>140300015821</t>
  </si>
  <si>
    <t>10kV电容二路922电容器B相避雷器</t>
  </si>
  <si>
    <t>140300015822</t>
  </si>
  <si>
    <t>10kV电容二路922电容器C相避雷器</t>
  </si>
  <si>
    <t>140300015824</t>
  </si>
  <si>
    <t>10kV电容四路924电力电容器</t>
  </si>
  <si>
    <t>140300015825</t>
  </si>
  <si>
    <t>10kV电容四路9246隔离开关</t>
  </si>
  <si>
    <t>140300015827</t>
  </si>
  <si>
    <t>10kV电容四路924电容器A相避雷器</t>
  </si>
  <si>
    <t>140300015828</t>
  </si>
  <si>
    <t>10kV电容四路924电容器B相避雷器</t>
  </si>
  <si>
    <t>140300015829</t>
  </si>
  <si>
    <t>10kV电容四路924电容器C相避雷器</t>
  </si>
  <si>
    <t>140300015831</t>
  </si>
  <si>
    <t>10kV电容六路926电力电容器</t>
  </si>
  <si>
    <t>140300015832</t>
  </si>
  <si>
    <t>10kV电容六路9266隔离开关</t>
  </si>
  <si>
    <t>140300015834</t>
  </si>
  <si>
    <t>10kV电容六路926电容器A相避雷器</t>
  </si>
  <si>
    <t>140300015835</t>
  </si>
  <si>
    <t>10kV电容六路926电容器B相避雷器</t>
  </si>
  <si>
    <t>140300015836</t>
  </si>
  <si>
    <t>10kV电容六路926电容器C相避雷器</t>
  </si>
  <si>
    <t>140300015838</t>
  </si>
  <si>
    <t>10kV电容八路928电力电容器</t>
  </si>
  <si>
    <t>140300015839</t>
  </si>
  <si>
    <t>10kV电容八路9286隔离开关</t>
  </si>
  <si>
    <t>140300015842</t>
  </si>
  <si>
    <t>10kV电容八路928电容器A相避雷器</t>
  </si>
  <si>
    <t>140300015843</t>
  </si>
  <si>
    <t>10kV电容八路928电容器C相避雷器</t>
  </si>
  <si>
    <t>140300015867</t>
  </si>
  <si>
    <t>110kV聚蒲二线138线路A相电压互感器</t>
  </si>
  <si>
    <t>140300015868</t>
  </si>
  <si>
    <t>110kV聚蒲一线137A相避雷器</t>
  </si>
  <si>
    <t>140300015869</t>
  </si>
  <si>
    <t>110kV聚蒲一线137B相避雷器</t>
  </si>
  <si>
    <t>140300015870</t>
  </si>
  <si>
    <t>110kV聚蒲一线137C相避雷器</t>
  </si>
  <si>
    <t>140300015871</t>
  </si>
  <si>
    <t>110V聚蒲一线137线路A相电压互感器</t>
  </si>
  <si>
    <t>140300015879</t>
  </si>
  <si>
    <t>10kV1号站用变910开关柜</t>
  </si>
  <si>
    <t>140300015885</t>
  </si>
  <si>
    <t>10kVI段PT开关柜</t>
  </si>
  <si>
    <t>140300015889</t>
  </si>
  <si>
    <t>1号主变9011开关柜</t>
  </si>
  <si>
    <t>140300015897</t>
  </si>
  <si>
    <t>1号主变901开关柜</t>
  </si>
  <si>
    <t>140300015913</t>
  </si>
  <si>
    <t>1号主变301开关柜</t>
  </si>
  <si>
    <t>140300015921</t>
  </si>
  <si>
    <t>2号主变302开关柜</t>
  </si>
  <si>
    <t>140300015929</t>
  </si>
  <si>
    <t>35kVⅠ母PT开关柜</t>
  </si>
  <si>
    <t>140300015937</t>
  </si>
  <si>
    <t>35kVⅡ母PT开关柜</t>
  </si>
  <si>
    <t>140300015939</t>
  </si>
  <si>
    <t>35kV分段3302隔离开关开关柜</t>
  </si>
  <si>
    <t>140300015943</t>
  </si>
  <si>
    <t>35kV分段330开关柜</t>
  </si>
  <si>
    <t>140300015944</t>
  </si>
  <si>
    <t>35kV蒲峰线3211隔离开关</t>
  </si>
  <si>
    <t>140300015945</t>
  </si>
  <si>
    <t>35kV蒲峰线3213隔离开关</t>
  </si>
  <si>
    <t>140300015948</t>
  </si>
  <si>
    <t>35kV蒲峰线321开关柜</t>
  </si>
  <si>
    <t>140300015955</t>
  </si>
  <si>
    <t>35kV蒲花线311开关柜</t>
  </si>
  <si>
    <t>140300015962</t>
  </si>
  <si>
    <t>35kV蒲双线312开关柜</t>
  </si>
  <si>
    <t>140300015964</t>
  </si>
  <si>
    <t>35kV蒲玉路322开关柜</t>
  </si>
  <si>
    <t>140300015978</t>
  </si>
  <si>
    <t>10kV电容路909A相电力电容器</t>
  </si>
  <si>
    <t>140300015995</t>
  </si>
  <si>
    <t>10kV柳江路905出线电力电缆</t>
  </si>
  <si>
    <t>140300015999</t>
  </si>
  <si>
    <t>10kV柳江路905开关柜</t>
  </si>
  <si>
    <t>140300016003</t>
  </si>
  <si>
    <t>10kV柳洪路903出线电力电缆</t>
  </si>
  <si>
    <t>140300016007</t>
  </si>
  <si>
    <t>10kV柳洪路903开关柜</t>
  </si>
  <si>
    <t>140300016015</t>
  </si>
  <si>
    <t>10kV备用907开关柜</t>
  </si>
  <si>
    <t>140300016017</t>
  </si>
  <si>
    <t>140300016019</t>
  </si>
  <si>
    <t>1号主变901电力电缆</t>
  </si>
  <si>
    <t>140300016027</t>
  </si>
  <si>
    <t>10kVⅠ段PT9716刀闸开关柜</t>
  </si>
  <si>
    <t>140300016037</t>
  </si>
  <si>
    <t>140300016047</t>
  </si>
  <si>
    <t>10kV分段9302隔离开关开关柜</t>
  </si>
  <si>
    <t>140300016051</t>
  </si>
  <si>
    <t>10kV分段930开关柜</t>
  </si>
  <si>
    <t>140300016058</t>
  </si>
  <si>
    <t>10kV1号站用接地变961开关柜</t>
  </si>
  <si>
    <t>140300016062</t>
  </si>
  <si>
    <t>1号主变901断路器开关柜</t>
  </si>
  <si>
    <t>140300016069</t>
  </si>
  <si>
    <t>10kV2号站用接地变962开关柜</t>
  </si>
  <si>
    <t>140300016073</t>
  </si>
  <si>
    <t>2号主变902断路器开关柜</t>
  </si>
  <si>
    <t>140300016077</t>
  </si>
  <si>
    <t>10kV蒲美路915开关柜</t>
  </si>
  <si>
    <t>140300016090</t>
  </si>
  <si>
    <t>10kV备用917开关柜</t>
  </si>
  <si>
    <t>140300016097</t>
  </si>
  <si>
    <t>10kV蒲电路918开关柜</t>
  </si>
  <si>
    <t>140300016104</t>
  </si>
  <si>
    <t>10kV蒲街路925开关柜</t>
  </si>
  <si>
    <t>140300016111</t>
  </si>
  <si>
    <t>10kV蒲堰路926开关柜</t>
  </si>
  <si>
    <t>140300016115</t>
  </si>
  <si>
    <t>10kV蒲园二路921开关柜</t>
  </si>
  <si>
    <t>140300016118</t>
  </si>
  <si>
    <t>10kV蒲镇路927开关柜</t>
  </si>
  <si>
    <t>140300016125</t>
  </si>
  <si>
    <t>10kV备用928开关柜</t>
  </si>
  <si>
    <t>140300016133</t>
  </si>
  <si>
    <t>10kV电容二路982开关柜</t>
  </si>
  <si>
    <t>140300016138</t>
  </si>
  <si>
    <t>10kV电容三路983断路器开关柜</t>
  </si>
  <si>
    <t>140300016148</t>
  </si>
  <si>
    <t>10kV电容一路981开关柜</t>
  </si>
  <si>
    <t>140300016152</t>
  </si>
  <si>
    <t>10kV备用923开关柜</t>
  </si>
  <si>
    <t>140300016159</t>
  </si>
  <si>
    <t>10kV蒲桂路913开关柜</t>
  </si>
  <si>
    <t>140300016166</t>
  </si>
  <si>
    <t>10kV蒲驾路924开关柜</t>
  </si>
  <si>
    <t>140300016173</t>
  </si>
  <si>
    <t>10kV蒲向路914断路器开关柜</t>
  </si>
  <si>
    <t>140300016187</t>
  </si>
  <si>
    <t>10kV蒲园三路912开关柜</t>
  </si>
  <si>
    <t>140300016194</t>
  </si>
  <si>
    <t>10kV蒲园四路922开关柜</t>
  </si>
  <si>
    <t>140300016389</t>
  </si>
  <si>
    <t>35kVⅠ段母线PTB相</t>
  </si>
  <si>
    <t>140300016390</t>
  </si>
  <si>
    <t>35kVⅠ段母线B相避雷器</t>
  </si>
  <si>
    <t>140300016391</t>
  </si>
  <si>
    <t>35kVⅠ段母线C相避雷器</t>
  </si>
  <si>
    <t>140300016398</t>
  </si>
  <si>
    <t>35kV灌磁线303断路器</t>
  </si>
  <si>
    <t>140300016399</t>
  </si>
  <si>
    <t>35kV灌磁线303断路器A相电流互感器</t>
  </si>
  <si>
    <t>140300016400</t>
  </si>
  <si>
    <t>35kV灌磁线303断路器B相电流互感器</t>
  </si>
  <si>
    <t>140300016401</t>
  </si>
  <si>
    <t>35kV灌磁线303断路器C相电流互感器</t>
  </si>
  <si>
    <t>140300016402</t>
  </si>
  <si>
    <t>35kV灌磁线303线路A相避雷器</t>
  </si>
  <si>
    <t>140300016403</t>
  </si>
  <si>
    <t>35kV灌磁线303线路B相避雷器</t>
  </si>
  <si>
    <t>140300016404</t>
  </si>
  <si>
    <t>35kV灌磁线303线路C相避雷器</t>
  </si>
  <si>
    <t>140300016405</t>
  </si>
  <si>
    <t>35kV灌磁线3033隔离开关</t>
  </si>
  <si>
    <t>140300016406</t>
  </si>
  <si>
    <t>35kV磁小线304断路器</t>
  </si>
  <si>
    <t>140300016407</t>
  </si>
  <si>
    <t>35kV磁小线304 断路器A相电流互感器</t>
  </si>
  <si>
    <t>140300016408</t>
  </si>
  <si>
    <t>35kV磁小线304 断路器B相电流互感器</t>
  </si>
  <si>
    <t>140300016409</t>
  </si>
  <si>
    <t>35kV磁小线304 断路器C相电流互感器</t>
  </si>
  <si>
    <t>140300016410</t>
  </si>
  <si>
    <t>35kV磁小线304线路A相避雷器</t>
  </si>
  <si>
    <t>140300016411</t>
  </si>
  <si>
    <t>35kV磁小线304线路B相避雷器</t>
  </si>
  <si>
    <t>140300016412</t>
  </si>
  <si>
    <t>35kV磁小线304线路C相避雷器</t>
  </si>
  <si>
    <t>140300016413</t>
  </si>
  <si>
    <t>35kV磁小线3041隔离开关</t>
  </si>
  <si>
    <t>140300016422</t>
  </si>
  <si>
    <t>35kV内桥330断路器A相电流互感器</t>
  </si>
  <si>
    <t>140300016423</t>
  </si>
  <si>
    <t>35kV内桥330断路器B相电流互感器</t>
  </si>
  <si>
    <t>140300016424</t>
  </si>
  <si>
    <t>35kV内桥330断路器C相电流互感器</t>
  </si>
  <si>
    <t>140300016437</t>
  </si>
  <si>
    <t>35kV高压A相熔断器</t>
  </si>
  <si>
    <t>140300016438</t>
  </si>
  <si>
    <t>35kV高压B相熔断器</t>
  </si>
  <si>
    <t>140300016439</t>
  </si>
  <si>
    <t>35kV高压C相熔断器</t>
  </si>
  <si>
    <t>140300016920</t>
  </si>
  <si>
    <t>10kV双农路907断路器A相电流互感器</t>
  </si>
  <si>
    <t>140300016922</t>
  </si>
  <si>
    <t>10kV双农路907断路器C相电流互感器</t>
  </si>
  <si>
    <t>140300016926</t>
  </si>
  <si>
    <t>10kV双镇路905断路器A相电流互感器</t>
  </si>
  <si>
    <t>140300016928</t>
  </si>
  <si>
    <t>10kV双镇路905断路器C相电流互感器</t>
  </si>
  <si>
    <t>140300016931</t>
  </si>
  <si>
    <t>10kV母线A相电压互感器</t>
  </si>
  <si>
    <t>140300016932</t>
  </si>
  <si>
    <t>10kV母线B相电压互感器</t>
  </si>
  <si>
    <t>140300016933</t>
  </si>
  <si>
    <t>10kV母线C相电压互感器</t>
  </si>
  <si>
    <t>140300087096</t>
  </si>
  <si>
    <t>140300087097</t>
  </si>
  <si>
    <t>140300087098</t>
  </si>
  <si>
    <t>1号主变10kV侧C相避雷器</t>
  </si>
  <si>
    <t>140300087369</t>
  </si>
  <si>
    <t>10kV小君路913开关柜</t>
  </si>
  <si>
    <t>140300087370</t>
  </si>
  <si>
    <t>10kV电容一路981断路器开关柜</t>
  </si>
  <si>
    <t>140300087371</t>
  </si>
  <si>
    <t>10kV分断930断路器开关柜</t>
  </si>
  <si>
    <t>140300087381</t>
  </si>
  <si>
    <t>载波机屏</t>
  </si>
  <si>
    <t>140300087642</t>
  </si>
  <si>
    <t>35kV青湖线301线路B相避雷器</t>
  </si>
  <si>
    <t>140300087643</t>
  </si>
  <si>
    <t>35kV青湖线301开关柜</t>
  </si>
  <si>
    <t>140300087645</t>
  </si>
  <si>
    <t>35kV青湖线301线路C相避雷器</t>
  </si>
  <si>
    <t>140300087649</t>
  </si>
  <si>
    <t>1号主变3016隔离开关</t>
  </si>
  <si>
    <t>140300087650</t>
  </si>
  <si>
    <t>35kV青湖线301线路A相避雷器</t>
  </si>
  <si>
    <t>140300087661</t>
  </si>
  <si>
    <t>140300087672</t>
  </si>
  <si>
    <t>10kV翠朝路903电力电缆</t>
  </si>
  <si>
    <t>140300087675</t>
  </si>
  <si>
    <t>10kV翠朝路903开关柜</t>
  </si>
  <si>
    <t>140300087688</t>
  </si>
  <si>
    <t>10kV翠五路905开关柜</t>
  </si>
  <si>
    <t>140300087696</t>
  </si>
  <si>
    <t>140300087699</t>
  </si>
  <si>
    <t>10kV母线PT开关柜</t>
  </si>
  <si>
    <t>140300087708</t>
  </si>
  <si>
    <t>140300087710</t>
  </si>
  <si>
    <t>10kV站用变开关柜</t>
  </si>
  <si>
    <t>140300087714</t>
  </si>
  <si>
    <t>35kV母线PT开关柜</t>
  </si>
  <si>
    <t>140300090252</t>
  </si>
  <si>
    <t>10kV胥镇一路911开关柜</t>
  </si>
  <si>
    <t>140300090253</t>
  </si>
  <si>
    <t>2号站用变922开关柜</t>
  </si>
  <si>
    <t>140300090254</t>
  </si>
  <si>
    <t>1号站用变925开关柜</t>
  </si>
  <si>
    <t>140300090484</t>
  </si>
  <si>
    <t>10kV胥伦路907开关柜</t>
  </si>
  <si>
    <t>140300090486</t>
  </si>
  <si>
    <t>10kV胥都北路909开关柜</t>
  </si>
  <si>
    <t>140300091645</t>
  </si>
  <si>
    <t>10kV田卫路907断路器</t>
  </si>
  <si>
    <t>140300109843</t>
  </si>
  <si>
    <t>35kV青公线3011负荷隔离开关</t>
  </si>
  <si>
    <t>140300109882</t>
  </si>
  <si>
    <t>140300109883</t>
  </si>
  <si>
    <t>140300109884</t>
  </si>
  <si>
    <t>140300110006</t>
  </si>
  <si>
    <t>35kV青公线A相避雷器</t>
  </si>
  <si>
    <t>140300110007</t>
  </si>
  <si>
    <t>35kV青公线C相避雷器</t>
  </si>
  <si>
    <t>140300110008</t>
  </si>
  <si>
    <t>35kV青公线B相避雷器</t>
  </si>
  <si>
    <t>140300111323</t>
  </si>
  <si>
    <t>10kV小通路912断路器开关柜</t>
  </si>
  <si>
    <t>140300111324</t>
  </si>
  <si>
    <t>10kV小湾路911断路器开关柜</t>
  </si>
  <si>
    <t>140300111625</t>
  </si>
  <si>
    <t>10kV备用903开关柜</t>
  </si>
  <si>
    <t>140300111632</t>
  </si>
  <si>
    <t>10kV唐大路905出线电力电缆</t>
  </si>
  <si>
    <t>140300111633</t>
  </si>
  <si>
    <t>10kV唐大路905开关柜</t>
  </si>
  <si>
    <t>140300111637</t>
  </si>
  <si>
    <t>10kV电容器</t>
  </si>
  <si>
    <t>140300111640</t>
  </si>
  <si>
    <t>10kV电容路909开关柜</t>
  </si>
  <si>
    <t>140300111643</t>
  </si>
  <si>
    <t>1号主变电力电缆</t>
  </si>
  <si>
    <t>140300111644</t>
  </si>
  <si>
    <t>140300111651</t>
  </si>
  <si>
    <t>10kV唐古路907开关柜</t>
  </si>
  <si>
    <t>140300111657</t>
  </si>
  <si>
    <t>140300111664</t>
  </si>
  <si>
    <t>10kVPT站用变开关柜</t>
  </si>
  <si>
    <t>140300111665</t>
  </si>
  <si>
    <t>140300111666</t>
  </si>
  <si>
    <t>1号主变35kV侧A相熔断器</t>
  </si>
  <si>
    <t>140300111667</t>
  </si>
  <si>
    <t>1号主变35kV侧B相熔断器</t>
  </si>
  <si>
    <t>140300111668</t>
  </si>
  <si>
    <t>1号主变35kV侧C相熔断器</t>
  </si>
  <si>
    <t>140300111687</t>
  </si>
  <si>
    <t>10kV石庙路903开关柜</t>
  </si>
  <si>
    <t>140300111697</t>
  </si>
  <si>
    <t>10kV石城路905出线电力电缆</t>
  </si>
  <si>
    <t>140300111698</t>
  </si>
  <si>
    <t>10kV石城路905开关柜</t>
  </si>
  <si>
    <t>140300111705</t>
  </si>
  <si>
    <t>140300111706</t>
  </si>
  <si>
    <t>10kV电容路909电力电容器</t>
  </si>
  <si>
    <t>140300111712</t>
  </si>
  <si>
    <t>10kV石四路907开关柜</t>
  </si>
  <si>
    <t>140300111717</t>
  </si>
  <si>
    <t>10kV站用变压器</t>
  </si>
  <si>
    <t>140300111719</t>
  </si>
  <si>
    <t>10kVPT站用变9151开关柜</t>
  </si>
  <si>
    <t>140300115653</t>
  </si>
  <si>
    <t>1号主变110kV侧中性点1019接地隔离开关O相</t>
  </si>
  <si>
    <t>140300115655</t>
  </si>
  <si>
    <t>140300115800</t>
  </si>
  <si>
    <t>2号主变35kV侧母线桥避雷器B相</t>
  </si>
  <si>
    <t>140300115801</t>
  </si>
  <si>
    <t>2号主变35kV侧母线桥避雷器A相</t>
  </si>
  <si>
    <t>140300115802</t>
  </si>
  <si>
    <t>2号主变35kV侧母线桥避雷器C相</t>
  </si>
  <si>
    <t>140300115803</t>
  </si>
  <si>
    <t>140300115804</t>
  </si>
  <si>
    <t>140300115805</t>
  </si>
  <si>
    <t>140300115806</t>
  </si>
  <si>
    <t>140300115807</t>
  </si>
  <si>
    <t>1号主变35kV侧母线桥避雷器B相</t>
  </si>
  <si>
    <t>140300115808</t>
  </si>
  <si>
    <t>1号主变35kV侧母线桥避雷器A相</t>
  </si>
  <si>
    <t>140300115813</t>
  </si>
  <si>
    <t>110kV驾金线142线路B相避雷器</t>
  </si>
  <si>
    <t>140300115814</t>
  </si>
  <si>
    <t>110kV驾金线142线路C相避雷器</t>
  </si>
  <si>
    <t>140300115815</t>
  </si>
  <si>
    <t>110kV驾金线142线路A相避雷器</t>
  </si>
  <si>
    <t>140300115817</t>
  </si>
  <si>
    <t>1号主变10kV侧母线桥避雷器A相</t>
  </si>
  <si>
    <t>140300115818</t>
  </si>
  <si>
    <t>1号主变10kV侧母线桥避雷器B相</t>
  </si>
  <si>
    <t>140300115819</t>
  </si>
  <si>
    <t>1号主变10kV侧母线桥避雷器C相</t>
  </si>
  <si>
    <t>140300115820</t>
  </si>
  <si>
    <t>2号主变10kV侧母线桥避雷器C相</t>
  </si>
  <si>
    <t>140300115821</t>
  </si>
  <si>
    <t>2号主变10kV侧母线桥避雷器A相</t>
  </si>
  <si>
    <t>140300115822</t>
  </si>
  <si>
    <t>110kV聚金线143断路器</t>
  </si>
  <si>
    <t>140300116007</t>
  </si>
  <si>
    <t>110kV内桥1302隔离开关</t>
  </si>
  <si>
    <t>140300116179</t>
  </si>
  <si>
    <t>2号主变110kV侧中性点1029接地隔离开关O相</t>
  </si>
  <si>
    <t>140300116198</t>
  </si>
  <si>
    <t>110kVⅡ段母线PT1028隔离开关</t>
  </si>
  <si>
    <t>140300116199</t>
  </si>
  <si>
    <t>110kV聚金线1433隔离开关</t>
  </si>
  <si>
    <t>140300116200</t>
  </si>
  <si>
    <t>110kV聚金线1431隔离开关</t>
  </si>
  <si>
    <t>140300116208</t>
  </si>
  <si>
    <t>2号主变1023隔离开关</t>
  </si>
  <si>
    <t>140300116212</t>
  </si>
  <si>
    <t>2号主变110kV中性点间隙电流互感器O相</t>
  </si>
  <si>
    <t>140300116213</t>
  </si>
  <si>
    <t>1号主变110kV侧电流互感器A相</t>
  </si>
  <si>
    <t>140300116214</t>
  </si>
  <si>
    <t>1号主变110kV侧电流互感器C相</t>
  </si>
  <si>
    <t>140300116334</t>
  </si>
  <si>
    <t>110kV聚金线143线路B相电压互感器</t>
  </si>
  <si>
    <t>140300116339</t>
  </si>
  <si>
    <t>110kV聚金线143断路器B相电流互感器</t>
  </si>
  <si>
    <t>140300116340</t>
  </si>
  <si>
    <t>110kV聚金线143断路器C相电流互感器</t>
  </si>
  <si>
    <t>140300116341</t>
  </si>
  <si>
    <t>110kV聚金线143断路器A相电流互感器</t>
  </si>
  <si>
    <t>140300116342</t>
  </si>
  <si>
    <t>2号主变110kV套管电流互感器B相</t>
  </si>
  <si>
    <t>140300116343</t>
  </si>
  <si>
    <t>110kV驾金线142断路器C相电流互感器</t>
  </si>
  <si>
    <t>140300116344</t>
  </si>
  <si>
    <t>1号主变110kV侧电流互感器B相</t>
  </si>
  <si>
    <t>140300116345</t>
  </si>
  <si>
    <t>140300116346</t>
  </si>
  <si>
    <t>140300116347</t>
  </si>
  <si>
    <t>140300116348</t>
  </si>
  <si>
    <t>140300116349</t>
  </si>
  <si>
    <t>140300116350</t>
  </si>
  <si>
    <t>10kV金桥一路936线路A相避雷器</t>
  </si>
  <si>
    <t>140300116351</t>
  </si>
  <si>
    <t>10kV金桥一路936线路C相避雷器</t>
  </si>
  <si>
    <t>140300116352</t>
  </si>
  <si>
    <t>10kV金桥一路936线路B相避雷器</t>
  </si>
  <si>
    <t>140300116353</t>
  </si>
  <si>
    <t>110kV聚金线143线路A相避雷器</t>
  </si>
  <si>
    <t>140300116537</t>
  </si>
  <si>
    <t>10kV金源三路9083隔离开关</t>
  </si>
  <si>
    <t>140300116847</t>
  </si>
  <si>
    <t>35kVⅠ段PT高压熔断器A相熔断器</t>
  </si>
  <si>
    <t>140300116848</t>
  </si>
  <si>
    <t>35kVⅠ段PT高压熔断器C相熔断器</t>
  </si>
  <si>
    <t>140300116849</t>
  </si>
  <si>
    <t>35kVⅠ段PT高压熔断器B相熔断器</t>
  </si>
  <si>
    <t>140300116850</t>
  </si>
  <si>
    <t>35kV站用变熔断器A相</t>
  </si>
  <si>
    <t>140300116851</t>
  </si>
  <si>
    <t>35kV站用变熔断器B相</t>
  </si>
  <si>
    <t>140300116852</t>
  </si>
  <si>
    <t>35kV站用变熔断器C相</t>
  </si>
  <si>
    <t>140300116853</t>
  </si>
  <si>
    <t>10kV电容一路918开关柜</t>
  </si>
  <si>
    <t>140300116854</t>
  </si>
  <si>
    <t>10kV彭济路905开关柜</t>
  </si>
  <si>
    <t>140300116855</t>
  </si>
  <si>
    <t>10kV彭城路907开关柜</t>
  </si>
  <si>
    <t>140300116886</t>
  </si>
  <si>
    <t>1号主变501断路器</t>
  </si>
  <si>
    <t>140300116887</t>
  </si>
  <si>
    <t>2号主变502断路器</t>
  </si>
  <si>
    <t>140300116904</t>
  </si>
  <si>
    <t>140300116905</t>
  </si>
  <si>
    <t>140300116909</t>
  </si>
  <si>
    <t>140300116910</t>
  </si>
  <si>
    <t>140300117159</t>
  </si>
  <si>
    <t>35kV分段530断路器</t>
  </si>
  <si>
    <t>140300117187</t>
  </si>
  <si>
    <t>10kV备用913断路器高压开关柜</t>
  </si>
  <si>
    <t>140300117217</t>
  </si>
  <si>
    <t>10kV幸电路907断路器高压开关柜</t>
  </si>
  <si>
    <t>140300117277</t>
  </si>
  <si>
    <t>1号主变901断路器高压开关柜</t>
  </si>
  <si>
    <t>140300117278</t>
  </si>
  <si>
    <t>10kV幸城二路905断路器高压开关柜</t>
  </si>
  <si>
    <t>140300117279</t>
  </si>
  <si>
    <t>10kV幸城三路911断路器高压开关柜</t>
  </si>
  <si>
    <t>140300117280</t>
  </si>
  <si>
    <t>2主变902断路器高压开关柜</t>
  </si>
  <si>
    <t>140300117569</t>
  </si>
  <si>
    <t>2号主变110kV中性点1029隔离开关O相</t>
  </si>
  <si>
    <t>140300117570</t>
  </si>
  <si>
    <t>140300117594</t>
  </si>
  <si>
    <t>2号主变10kV母线桥A相避雷器</t>
  </si>
  <si>
    <t>140300117595</t>
  </si>
  <si>
    <t>2号主变35kV侧C相避雷器</t>
  </si>
  <si>
    <t>140300117596</t>
  </si>
  <si>
    <t>2号主变10kV母线桥B相避雷器</t>
  </si>
  <si>
    <t>140300117597</t>
  </si>
  <si>
    <t>2号主变10kV母线桥C相避雷器</t>
  </si>
  <si>
    <t>140300117598</t>
  </si>
  <si>
    <t>2号主变35kV侧A相避雷器</t>
  </si>
  <si>
    <t>140300117599</t>
  </si>
  <si>
    <t>2号主变35kV侧B相避雷器</t>
  </si>
  <si>
    <t>140300117621</t>
  </si>
  <si>
    <t>110kV备用143断路器</t>
  </si>
  <si>
    <t>140300117622</t>
  </si>
  <si>
    <t>140300117623</t>
  </si>
  <si>
    <t>110kV聚胥线141断路器</t>
  </si>
  <si>
    <t>140300117624</t>
  </si>
  <si>
    <t>110kV胥灌线144断路器</t>
  </si>
  <si>
    <t>140300117754</t>
  </si>
  <si>
    <t>140300117755</t>
  </si>
  <si>
    <t>140300117756</t>
  </si>
  <si>
    <t>140300117757</t>
  </si>
  <si>
    <t>110kV聚胥线141A相电流互感器</t>
  </si>
  <si>
    <t>140300117758</t>
  </si>
  <si>
    <t>110kV聚胥线141B相电流互感器</t>
  </si>
  <si>
    <t>140300117759</t>
  </si>
  <si>
    <t>110kV聚胥线141C相电流互感器</t>
  </si>
  <si>
    <t>140300117760</t>
  </si>
  <si>
    <t>110kV胥灌线144断路器C相电流互感器</t>
  </si>
  <si>
    <t>140300117761</t>
  </si>
  <si>
    <t>110kV胥灌线144断路器A相电流互感器</t>
  </si>
  <si>
    <t>140300117762</t>
  </si>
  <si>
    <t>110kV胥灌线144断路器B相电流互感器</t>
  </si>
  <si>
    <t>140300117763</t>
  </si>
  <si>
    <t>110kV胥灌线144线路电压互感器A相</t>
  </si>
  <si>
    <t>140300117816</t>
  </si>
  <si>
    <t>110kV聚胥线141线路B相电压互感器</t>
  </si>
  <si>
    <t>140300117817</t>
  </si>
  <si>
    <t>110kV聚胥线141线路A相电压互感器</t>
  </si>
  <si>
    <t>140300117818</t>
  </si>
  <si>
    <t>110kV聚胥线141线路C相电压互感器</t>
  </si>
  <si>
    <t>140300117847</t>
  </si>
  <si>
    <t>110kVII母B相避雷器</t>
  </si>
  <si>
    <t>140300117848</t>
  </si>
  <si>
    <t>110kVII母A相避雷器</t>
  </si>
  <si>
    <t>140300117849</t>
  </si>
  <si>
    <t>110kVII母C相避雷器</t>
  </si>
  <si>
    <t>140300117880</t>
  </si>
  <si>
    <t>140300117881</t>
  </si>
  <si>
    <t>35kV胥千线306开关柜</t>
  </si>
  <si>
    <t>140300117882</t>
  </si>
  <si>
    <t>140300117914</t>
  </si>
  <si>
    <t>35kV胥花线304开关柜</t>
  </si>
  <si>
    <t>140300117916</t>
  </si>
  <si>
    <t>10kV胥灵路904开关柜</t>
  </si>
  <si>
    <t>140300117918</t>
  </si>
  <si>
    <t>10kV胥观路910开关柜</t>
  </si>
  <si>
    <t>140300117920</t>
  </si>
  <si>
    <t>10kV胥玉路912开关柜</t>
  </si>
  <si>
    <t>140300117922</t>
  </si>
  <si>
    <t>10kV旁路916开关柜</t>
  </si>
  <si>
    <t>140300117952</t>
  </si>
  <si>
    <t>10kV胥江路908开关柜</t>
  </si>
  <si>
    <t>140300117954</t>
  </si>
  <si>
    <t>140300117956</t>
  </si>
  <si>
    <t>140300118084</t>
  </si>
  <si>
    <t>10kV胥高路914开关柜</t>
  </si>
  <si>
    <t>140300118086</t>
  </si>
  <si>
    <t>10kV电容三路924开关柜</t>
  </si>
  <si>
    <t>140300118087</t>
  </si>
  <si>
    <t>10kV胥都南路918开关柜</t>
  </si>
  <si>
    <t>140300118268</t>
  </si>
  <si>
    <t>10kV电容三路9243隔离开关</t>
  </si>
  <si>
    <t>140300118271</t>
  </si>
  <si>
    <t>10kV电容三路924电力电容器</t>
  </si>
  <si>
    <t>140300118272</t>
  </si>
  <si>
    <t>10kV电容三路924电抗器</t>
  </si>
  <si>
    <t>140300118726</t>
  </si>
  <si>
    <t>1号主变10kV母线桥A相避雷器</t>
  </si>
  <si>
    <t>140300118727</t>
  </si>
  <si>
    <t>1号主变10kV母线桥B相避雷器</t>
  </si>
  <si>
    <t>140300118728</t>
  </si>
  <si>
    <t>1号主变10kV母线桥C相避雷器</t>
  </si>
  <si>
    <t>140300118735</t>
  </si>
  <si>
    <t>140300118736</t>
  </si>
  <si>
    <t>140300118737</t>
  </si>
  <si>
    <t>140300118741</t>
  </si>
  <si>
    <t>140300118742</t>
  </si>
  <si>
    <t>1号主变高压侧101断路器</t>
  </si>
  <si>
    <t>140300118743</t>
  </si>
  <si>
    <t>10kV电容二路9233隔离开关</t>
  </si>
  <si>
    <t>140300118744</t>
  </si>
  <si>
    <t>10kV电容四路9283隔离开关</t>
  </si>
  <si>
    <t>140300118749</t>
  </si>
  <si>
    <t>140300118750</t>
  </si>
  <si>
    <t>140300118751</t>
  </si>
  <si>
    <t>110kV胥灌线1443隔离开关</t>
  </si>
  <si>
    <t>140300118752</t>
  </si>
  <si>
    <t>110kV胥灌线1441隔离开关</t>
  </si>
  <si>
    <t>140300118753</t>
  </si>
  <si>
    <t>110KVI母PT1018隔离开关</t>
  </si>
  <si>
    <t>140300118756</t>
  </si>
  <si>
    <t>140300118757</t>
  </si>
  <si>
    <t>35kV胥通线303开关柜</t>
  </si>
  <si>
    <t>140300118759</t>
  </si>
  <si>
    <t>140300118774</t>
  </si>
  <si>
    <t>140300118777</t>
  </si>
  <si>
    <t>10kV电容四路928开关柜</t>
  </si>
  <si>
    <t>140300118784</t>
  </si>
  <si>
    <t>10kV胥天路905开关柜</t>
  </si>
  <si>
    <t>140300118786</t>
  </si>
  <si>
    <t>10kV胥游路903开关柜</t>
  </si>
  <si>
    <t>140300118802</t>
  </si>
  <si>
    <t>140300118803</t>
  </si>
  <si>
    <t>10kV电容一路9213隔离开关</t>
  </si>
  <si>
    <t>140300118805</t>
  </si>
  <si>
    <t>10kV电容一路921电抗器</t>
  </si>
  <si>
    <t>140300118807</t>
  </si>
  <si>
    <t>10kV电容一路921电力电容器</t>
  </si>
  <si>
    <t>140300118810</t>
  </si>
  <si>
    <t>10kV电容一路921开关柜</t>
  </si>
  <si>
    <t>140300118813</t>
  </si>
  <si>
    <t>10kV电容二路电力电容器</t>
  </si>
  <si>
    <t>140300118814</t>
  </si>
  <si>
    <t>10kV电容四路928电力电容器</t>
  </si>
  <si>
    <t>140300119196</t>
  </si>
  <si>
    <t>35kV灌磁线304线路避雷器B相</t>
  </si>
  <si>
    <t>140300119200</t>
  </si>
  <si>
    <t>35kV备用305线路A相避雷器</t>
  </si>
  <si>
    <t>140300119201</t>
  </si>
  <si>
    <t>35kV备用305线路C相避雷器</t>
  </si>
  <si>
    <t>140300119202</t>
  </si>
  <si>
    <t>35kV备用305线路B相避雷器</t>
  </si>
  <si>
    <t>140300119203</t>
  </si>
  <si>
    <t>10kV电容三路921A相避雷器</t>
  </si>
  <si>
    <t>140300119204</t>
  </si>
  <si>
    <t>10kV电容三路921C相避雷器</t>
  </si>
  <si>
    <t>140300119205</t>
  </si>
  <si>
    <t>35kV备用303线路C相避雷器</t>
  </si>
  <si>
    <t>140300119206</t>
  </si>
  <si>
    <t>35kV备用308线路避雷器A相</t>
  </si>
  <si>
    <t>140300119207</t>
  </si>
  <si>
    <t>35kV备用308线路避雷器B相</t>
  </si>
  <si>
    <t>140300119208</t>
  </si>
  <si>
    <t>35kV备用308线路避雷器C相</t>
  </si>
  <si>
    <t>140300119209</t>
  </si>
  <si>
    <t>35kV备用306线路B相避雷器</t>
  </si>
  <si>
    <t>140300119210</t>
  </si>
  <si>
    <t>35kV备用306线路A相避雷器</t>
  </si>
  <si>
    <t>140300119211</t>
  </si>
  <si>
    <t>35kV备用306线路C相避雷器</t>
  </si>
  <si>
    <t>140300119212</t>
  </si>
  <si>
    <t>35KV灌九线305线路A相避雷器</t>
  </si>
  <si>
    <t>140300119213</t>
  </si>
  <si>
    <t>35KV灌九线305线路B相避雷器</t>
  </si>
  <si>
    <t>140300119214</t>
  </si>
  <si>
    <t>35KV灌九线305线路C相避雷器</t>
  </si>
  <si>
    <t>140300119215</t>
  </si>
  <si>
    <t>35KV灌果线307线路A相避雷器</t>
  </si>
  <si>
    <t>140300119216</t>
  </si>
  <si>
    <t>35KV灌果线307线路B相避雷器</t>
  </si>
  <si>
    <t>140300119217</t>
  </si>
  <si>
    <t>35KV灌果线307线路C相避雷器</t>
  </si>
  <si>
    <t>140300119218</t>
  </si>
  <si>
    <t>35kV灌磁线304线路避雷器C相</t>
  </si>
  <si>
    <t>140300119219</t>
  </si>
  <si>
    <t>35kV灌磁线304线路避雷器A相</t>
  </si>
  <si>
    <t>140300119220</t>
  </si>
  <si>
    <t>140300119221</t>
  </si>
  <si>
    <t>35kV备用303线路B相避雷器</t>
  </si>
  <si>
    <t>140300119222</t>
  </si>
  <si>
    <t>35kV备用303线路A相避雷器</t>
  </si>
  <si>
    <t>140300119223</t>
  </si>
  <si>
    <t>110kV备用165断路器</t>
  </si>
  <si>
    <t>140300119228</t>
  </si>
  <si>
    <t>110kV胥灌线1661隔离开关</t>
  </si>
  <si>
    <t>140300119229</t>
  </si>
  <si>
    <t>110kV备用1631隔离开关</t>
  </si>
  <si>
    <t>140300119230</t>
  </si>
  <si>
    <t>110kV灌香线1611隔离开关</t>
  </si>
  <si>
    <t>140300119231</t>
  </si>
  <si>
    <t>1号主变1011隔离开关</t>
  </si>
  <si>
    <t>140300119232</t>
  </si>
  <si>
    <t>140300119233</t>
  </si>
  <si>
    <t>140300119234</t>
  </si>
  <si>
    <t>110kV备用1653隔离开关</t>
  </si>
  <si>
    <t>140300119235</t>
  </si>
  <si>
    <t>140300119236</t>
  </si>
  <si>
    <t>110kVⅠ段母线PT1018隔离开关</t>
  </si>
  <si>
    <t>140300119237</t>
  </si>
  <si>
    <t>110kV备用165断路器电流互感器C相</t>
  </si>
  <si>
    <t>140300119238</t>
  </si>
  <si>
    <t>110kV备用165断路器电流互感器B相</t>
  </si>
  <si>
    <t>140300119239</t>
  </si>
  <si>
    <t>110kV备用165断路器电流互感器A相</t>
  </si>
  <si>
    <t>140300119240</t>
  </si>
  <si>
    <t>140300119241</t>
  </si>
  <si>
    <t>140300119242</t>
  </si>
  <si>
    <t>140300119243</t>
  </si>
  <si>
    <t>110kV备用165线路电压互感器C相</t>
  </si>
  <si>
    <t>140300119244</t>
  </si>
  <si>
    <t>110kV备用165线路电压互感器A相</t>
  </si>
  <si>
    <t>140300119245</t>
  </si>
  <si>
    <t>110kV备用165线路电压互感器B相</t>
  </si>
  <si>
    <t>140300119250</t>
  </si>
  <si>
    <t>140300119252</t>
  </si>
  <si>
    <t>140300119253</t>
  </si>
  <si>
    <t>140300119254</t>
  </si>
  <si>
    <t>10kV电容二路922避雷器B相</t>
  </si>
  <si>
    <t>140300119255</t>
  </si>
  <si>
    <t>10kV电容二路922避雷器C相</t>
  </si>
  <si>
    <t>140300119256</t>
  </si>
  <si>
    <t>10kV电容二路922避雷器A相</t>
  </si>
  <si>
    <t>140300119261</t>
  </si>
  <si>
    <t>2号主变10kV母线桥避雷器A相</t>
  </si>
  <si>
    <t>140300119262</t>
  </si>
  <si>
    <t>2号主变10kV母线桥避雷器B相</t>
  </si>
  <si>
    <t>140300119263</t>
  </si>
  <si>
    <t>2号主变10kV母线桥避雷器C相</t>
  </si>
  <si>
    <t>140300119264</t>
  </si>
  <si>
    <t>10kV电容一路C相避雷器</t>
  </si>
  <si>
    <t>140300119265</t>
  </si>
  <si>
    <t>10kV电容一路B相避雷器</t>
  </si>
  <si>
    <t>140300119266</t>
  </si>
  <si>
    <t>10kV电容四路C相避雷器</t>
  </si>
  <si>
    <t>140300119267</t>
  </si>
  <si>
    <t>10kV电容四路A相避雷器</t>
  </si>
  <si>
    <t>140300119268</t>
  </si>
  <si>
    <t>10kV电容四路B相避雷器</t>
  </si>
  <si>
    <t>140300119308</t>
  </si>
  <si>
    <t>10kVⅡ母PT开关柜</t>
  </si>
  <si>
    <t>140300119309</t>
  </si>
  <si>
    <t>140300119310</t>
  </si>
  <si>
    <t>10kV灌城三路911开关柜</t>
  </si>
  <si>
    <t>140300119311</t>
  </si>
  <si>
    <t>140300119314</t>
  </si>
  <si>
    <t>10kVⅠ母PT开关柜</t>
  </si>
  <si>
    <t>140300119315</t>
  </si>
  <si>
    <t>10kV灌四路904开关柜</t>
  </si>
  <si>
    <t>140300119316</t>
  </si>
  <si>
    <t>10kV电容三路921电力电容器</t>
  </si>
  <si>
    <t>140300119317</t>
  </si>
  <si>
    <t>140300119318</t>
  </si>
  <si>
    <t>10kV电容一路电力电容器</t>
  </si>
  <si>
    <t>140300119319</t>
  </si>
  <si>
    <t>140300119322</t>
  </si>
  <si>
    <t>1号主变高压侧1015隔离开关</t>
  </si>
  <si>
    <t>140300119323</t>
  </si>
  <si>
    <t>140300119324</t>
  </si>
  <si>
    <t>2号主变高压侧1025隔离开关</t>
  </si>
  <si>
    <t>140300119325</t>
  </si>
  <si>
    <t>140300119326</t>
  </si>
  <si>
    <t>140300119327</t>
  </si>
  <si>
    <t>140300119328</t>
  </si>
  <si>
    <t>140300119329</t>
  </si>
  <si>
    <t>2号主变110kV侧中性点避雷器O相</t>
  </si>
  <si>
    <t>140300119330</t>
  </si>
  <si>
    <t>2号主变110kV侧避雷器B相</t>
  </si>
  <si>
    <t>140300119331</t>
  </si>
  <si>
    <t>2号主变110kV侧避雷器C相</t>
  </si>
  <si>
    <t>140300119332</t>
  </si>
  <si>
    <t>1号主变110kV侧避雷器B相</t>
  </si>
  <si>
    <t>140300119333</t>
  </si>
  <si>
    <t>1号主变110kV侧避雷器A相</t>
  </si>
  <si>
    <t>140300119334</t>
  </si>
  <si>
    <t>1号主变110kV侧避雷器C相</t>
  </si>
  <si>
    <t>140300126400</t>
  </si>
  <si>
    <t>220kV源丹南线266断路器</t>
  </si>
  <si>
    <t>140300126401</t>
  </si>
  <si>
    <t>220kV源山南线261断路器</t>
  </si>
  <si>
    <t>140300126402</t>
  </si>
  <si>
    <t>220kV源丹南线265断路器</t>
  </si>
  <si>
    <t>140300126403</t>
  </si>
  <si>
    <t>220kV母联212断路器</t>
  </si>
  <si>
    <t>140300126404</t>
  </si>
  <si>
    <t>2号主变202断路器</t>
  </si>
  <si>
    <t>140300126550</t>
  </si>
  <si>
    <t>10kVⅠ段PT开关柜</t>
  </si>
  <si>
    <t>140300126555</t>
  </si>
  <si>
    <t>10kVⅡ段PT高压开关柜</t>
  </si>
  <si>
    <t>140300126561</t>
  </si>
  <si>
    <t>10kV分段930断路器高压开关柜</t>
  </si>
  <si>
    <t>140300127011</t>
  </si>
  <si>
    <t>110kV聚铁线131线路电压互感器A相</t>
  </si>
  <si>
    <t>140300127013</t>
  </si>
  <si>
    <t>110kV聚铁线131B相电流互感器</t>
  </si>
  <si>
    <t>140300127014</t>
  </si>
  <si>
    <t>110kV聚铁线131A相电流互感器</t>
  </si>
  <si>
    <t>140300127015</t>
  </si>
  <si>
    <t>110kV聚铁线131C相电流互感器</t>
  </si>
  <si>
    <t>140300127016</t>
  </si>
  <si>
    <t>110kV聚铁线131A相避雷器</t>
  </si>
  <si>
    <t>140300127017</t>
  </si>
  <si>
    <t>110kV聚铁线131B相避雷器</t>
  </si>
  <si>
    <t>140300127018</t>
  </si>
  <si>
    <t>110kV聚铁线131C相避雷器</t>
  </si>
  <si>
    <t>140300128098</t>
  </si>
  <si>
    <t>110kV聚铁线131线路B相电压互感器</t>
  </si>
  <si>
    <t>140300128099</t>
  </si>
  <si>
    <t>110kV聚铁线131线路C相电压互感器</t>
  </si>
  <si>
    <t>140300128166</t>
  </si>
  <si>
    <t>110kV聚城线133断路器</t>
  </si>
  <si>
    <t>140300128167</t>
  </si>
  <si>
    <t>110kV聚城线1331隔离开关</t>
  </si>
  <si>
    <t>140300128168</t>
  </si>
  <si>
    <t>110kV聚城线1332隔离开关</t>
  </si>
  <si>
    <t>140300128169</t>
  </si>
  <si>
    <t>110kV聚城线1333隔离开关</t>
  </si>
  <si>
    <t>140300128174</t>
  </si>
  <si>
    <t>110kV聚城线133B相电流互感器</t>
  </si>
  <si>
    <t>140300128175</t>
  </si>
  <si>
    <t>110kV聚城线133C相电流互感器</t>
  </si>
  <si>
    <t>140300128176</t>
  </si>
  <si>
    <t>110kV聚城线133A相电流互感器</t>
  </si>
  <si>
    <t>140300128177</t>
  </si>
  <si>
    <t>110kV聚城线133线路A相电压互感器</t>
  </si>
  <si>
    <t>140300128178</t>
  </si>
  <si>
    <t>110kV聚城线133A相避雷器</t>
  </si>
  <si>
    <t>140300128179</t>
  </si>
  <si>
    <t>110kV聚城线133C相避雷器</t>
  </si>
  <si>
    <t>140300128180</t>
  </si>
  <si>
    <t>110kV聚城线133B相避雷器</t>
  </si>
  <si>
    <t>140300128202</t>
  </si>
  <si>
    <t>10kV金土路91630接地隔离开关</t>
  </si>
  <si>
    <t>140300128204</t>
  </si>
  <si>
    <t>金源二路91230接地隔离开关</t>
  </si>
  <si>
    <t>140300128205</t>
  </si>
  <si>
    <t>10kV金源三路90830接地隔离开关</t>
  </si>
  <si>
    <t>140300128206</t>
  </si>
  <si>
    <t>10kV备用911线路避雷器C相</t>
  </si>
  <si>
    <t>140300128215</t>
  </si>
  <si>
    <t>10kV金铁一路904线路A相避雷器</t>
  </si>
  <si>
    <t>140300128365</t>
  </si>
  <si>
    <t>220kVⅠ母A相避雷器</t>
  </si>
  <si>
    <t>140300128366</t>
  </si>
  <si>
    <t>220kVⅠ母B相避雷器</t>
  </si>
  <si>
    <t>140300128367</t>
  </si>
  <si>
    <t>220kVⅠ母C相避雷器</t>
  </si>
  <si>
    <t>140300128368</t>
  </si>
  <si>
    <t>220kVⅡ母避雷器A相</t>
  </si>
  <si>
    <t>140300128369</t>
  </si>
  <si>
    <t>220kVⅡ母避雷器B相</t>
  </si>
  <si>
    <t>140300128370</t>
  </si>
  <si>
    <t>220kVⅡ母避雷器C相</t>
  </si>
  <si>
    <t>140300128371</t>
  </si>
  <si>
    <t>2号主变220kV侧B相避雷器</t>
  </si>
  <si>
    <t>140300128372</t>
  </si>
  <si>
    <t>2号主变220kV侧C相避雷器</t>
  </si>
  <si>
    <t>140300133011</t>
  </si>
  <si>
    <t>140300133013</t>
  </si>
  <si>
    <t>10kV1号站用接地变电压互感器</t>
  </si>
  <si>
    <t>140300133014</t>
  </si>
  <si>
    <t>10kV2号站用接地变9629隔离开关</t>
  </si>
  <si>
    <t>140300133015</t>
  </si>
  <si>
    <t>10kV2号站用接地变电压互感器</t>
  </si>
  <si>
    <t>140300133016</t>
  </si>
  <si>
    <t>10kV2号站用接地变消弧装置</t>
  </si>
  <si>
    <t>140300133017</t>
  </si>
  <si>
    <t>10kV2号接地变所用变压器</t>
  </si>
  <si>
    <t>140300133018</t>
  </si>
  <si>
    <t>10kV2号站用接地变避雷器</t>
  </si>
  <si>
    <t>140300133019</t>
  </si>
  <si>
    <t>10kV备用916开关柜</t>
  </si>
  <si>
    <t>140300133020</t>
  </si>
  <si>
    <t>10kV1号站用接地变消弧装置</t>
  </si>
  <si>
    <t>140300133021</t>
  </si>
  <si>
    <t>10kV电容二路982串联电抗器</t>
  </si>
  <si>
    <t>140300133022</t>
  </si>
  <si>
    <t>10kV1号站用接地变9619隔离开关</t>
  </si>
  <si>
    <t>140300133028</t>
  </si>
  <si>
    <t>110kVⅠ段母线</t>
  </si>
  <si>
    <t>140300133031</t>
  </si>
  <si>
    <t>110kVⅡ段母线</t>
  </si>
  <si>
    <t>140300133362</t>
  </si>
  <si>
    <t>220kV源山北线262断路器</t>
  </si>
  <si>
    <t>140300133363</t>
  </si>
  <si>
    <t>10kV1号站用接地变避雷器</t>
  </si>
  <si>
    <t>140300136070</t>
  </si>
  <si>
    <t>35kV母线</t>
  </si>
  <si>
    <t>140300140994</t>
  </si>
  <si>
    <t>110kV聚蒲二线1381隔离开关</t>
  </si>
  <si>
    <t>140300140995</t>
  </si>
  <si>
    <t>110kVⅠ组母线</t>
  </si>
  <si>
    <t>140300140996</t>
  </si>
  <si>
    <t>1号主变110kV侧避雷器</t>
  </si>
  <si>
    <t>140300140997</t>
  </si>
  <si>
    <t>1号主变220kV侧中性点电流互感器O相</t>
  </si>
  <si>
    <t>140300140998</t>
  </si>
  <si>
    <t>220kVⅠ组母线</t>
  </si>
  <si>
    <t>140300140999</t>
  </si>
  <si>
    <t>220kVⅡ组母线</t>
  </si>
  <si>
    <t>140300143288</t>
  </si>
  <si>
    <t>110kV羊航线144断路器</t>
  </si>
  <si>
    <t>140300144908</t>
  </si>
  <si>
    <t>35kV备用3211隔离开关</t>
  </si>
  <si>
    <t>140300144910</t>
  </si>
  <si>
    <t>35kV备用3213隔离开关</t>
  </si>
  <si>
    <t>140300145021</t>
  </si>
  <si>
    <t>35kV备用321断路器</t>
  </si>
  <si>
    <t>140300145028</t>
  </si>
  <si>
    <t>35kV分段330断路器</t>
  </si>
  <si>
    <t>140300145029</t>
  </si>
  <si>
    <t>35kV分段3301隔离开关</t>
  </si>
  <si>
    <t>140300145030</t>
  </si>
  <si>
    <t>35kV分段3302隔离开关</t>
  </si>
  <si>
    <t>140300145031</t>
  </si>
  <si>
    <t>35kV分段330断路器A相电流互感器</t>
  </si>
  <si>
    <t>140300145032</t>
  </si>
  <si>
    <t>35kV分段330断路器B相电流互感器</t>
  </si>
  <si>
    <t>140300145033</t>
  </si>
  <si>
    <t>35kV分段330断路器C相电流互感器</t>
  </si>
  <si>
    <t>140300145037</t>
  </si>
  <si>
    <t>35kVII母PT3726隔离开关</t>
  </si>
  <si>
    <t>140300145044</t>
  </si>
  <si>
    <t>35kVⅡ段A相电压互感器</t>
  </si>
  <si>
    <t>140300145045</t>
  </si>
  <si>
    <t>35kVⅡ段B相电压互感器</t>
  </si>
  <si>
    <t>140300145046</t>
  </si>
  <si>
    <t>35kVⅡ段C相电压互感器</t>
  </si>
  <si>
    <t>140300145053</t>
  </si>
  <si>
    <t>35kV备用321断路器电流互感器A相</t>
  </si>
  <si>
    <t>140300145054</t>
  </si>
  <si>
    <t>35kV备用321断路器电流互感器B相</t>
  </si>
  <si>
    <t>140300145055</t>
  </si>
  <si>
    <t>35kV备用321断路器电流互感器C相</t>
  </si>
  <si>
    <t>140300148680</t>
  </si>
  <si>
    <t>35kVⅡ段PTA相熔断器</t>
  </si>
  <si>
    <t>140300148681</t>
  </si>
  <si>
    <t>35kVⅡ段PTB相熔断器</t>
  </si>
  <si>
    <t>140300148682</t>
  </si>
  <si>
    <t>35kVⅡ段PTC相熔断器</t>
  </si>
  <si>
    <t>140300155747</t>
  </si>
  <si>
    <t>35kVⅠ段A相电压互感器</t>
  </si>
  <si>
    <t>140300155748</t>
  </si>
  <si>
    <t>35kVⅠ段B相电压互感器</t>
  </si>
  <si>
    <t>140300155749</t>
  </si>
  <si>
    <t>35kVⅠ段C相电压互感器</t>
  </si>
  <si>
    <t>140300156922</t>
  </si>
  <si>
    <t>10kVⅡ段母线</t>
  </si>
  <si>
    <t>140300156929</t>
  </si>
  <si>
    <t>10kVⅠ段母线</t>
  </si>
  <si>
    <t>140300156945</t>
  </si>
  <si>
    <t>35kVⅠ母PTB相</t>
  </si>
  <si>
    <t>140300156971</t>
  </si>
  <si>
    <t>35kV胥幸线5031隔离开关</t>
  </si>
  <si>
    <t>140300156972</t>
  </si>
  <si>
    <t>35kV胥幸线5033隔离开关</t>
  </si>
  <si>
    <t>140300157862</t>
  </si>
  <si>
    <t>10kV备用906断路器高压开关柜</t>
  </si>
  <si>
    <t>140300157864</t>
  </si>
  <si>
    <t>10kV备用909断路器高压开关柜</t>
  </si>
  <si>
    <t>140300157870</t>
  </si>
  <si>
    <t>10kV备用910断路器高压开关柜</t>
  </si>
  <si>
    <t>140300157874</t>
  </si>
  <si>
    <t>10kV备用912断路器高压开关柜</t>
  </si>
  <si>
    <t>140300157881</t>
  </si>
  <si>
    <t>10kV备用914断路器高压开关柜</t>
  </si>
  <si>
    <t>140300161852</t>
  </si>
  <si>
    <t>1号主变35kV侧中性点避雷器O相</t>
  </si>
  <si>
    <t>140300161859</t>
  </si>
  <si>
    <t>2号主变35kV侧中性点避雷器O相</t>
  </si>
  <si>
    <t>140300164957</t>
  </si>
  <si>
    <t>10kV备用935开关柜</t>
  </si>
  <si>
    <t>140300164960</t>
  </si>
  <si>
    <t>110kV聚蒲一线1411隔离开关</t>
  </si>
  <si>
    <t>140300164964</t>
  </si>
  <si>
    <t>10kV金水路947开关柜</t>
  </si>
  <si>
    <t>140300164969</t>
  </si>
  <si>
    <t>10kV金桥一路936开关柜</t>
  </si>
  <si>
    <t>140300164970</t>
  </si>
  <si>
    <t>10kV金福路937开关柜</t>
  </si>
  <si>
    <t>140300164972</t>
  </si>
  <si>
    <t>10kV金聚路945开关柜</t>
  </si>
  <si>
    <t>140300164981</t>
  </si>
  <si>
    <t>10kV电容三路92490接地隔离开关</t>
  </si>
  <si>
    <t>140300164991</t>
  </si>
  <si>
    <t>10kV电容四路9846隔离开关</t>
  </si>
  <si>
    <t>140300165016</t>
  </si>
  <si>
    <t>10kV电容一路92190接地隔离开关</t>
  </si>
  <si>
    <t>140300165018</t>
  </si>
  <si>
    <t>10kV电容四路92890接地隔离开关</t>
  </si>
  <si>
    <t>140300165042</t>
  </si>
  <si>
    <t>37160隔离开关</t>
  </si>
  <si>
    <t>140300168014</t>
  </si>
  <si>
    <t>数字电力线路载波通信柜</t>
  </si>
  <si>
    <t>140300171253</t>
  </si>
  <si>
    <t>35kV站用变A相熔断器</t>
  </si>
  <si>
    <t>140300171254</t>
  </si>
  <si>
    <t>35kV站用变B相熔断器</t>
  </si>
  <si>
    <t>140300171255</t>
  </si>
  <si>
    <t>35kV站用变C相熔断器</t>
  </si>
  <si>
    <t>140300172720</t>
  </si>
  <si>
    <t>10kV胥联路913开关柜</t>
  </si>
  <si>
    <t>140300172765</t>
  </si>
  <si>
    <t>10kV胥铁路915开关柜</t>
  </si>
  <si>
    <t>140300173671</t>
  </si>
  <si>
    <t>35kV分段5301隔离开关</t>
  </si>
  <si>
    <t>140300176651</t>
  </si>
  <si>
    <t>35kV消弧线圈消弧装置</t>
  </si>
  <si>
    <t>140300178708</t>
  </si>
  <si>
    <t>2号主变35kV中性点避雷器避雷器O相</t>
  </si>
  <si>
    <t>140300178723</t>
  </si>
  <si>
    <t>140300178728</t>
  </si>
  <si>
    <t>140300178745</t>
  </si>
  <si>
    <t>140300178783</t>
  </si>
  <si>
    <t>35kVⅠ母PTA相熔断器</t>
  </si>
  <si>
    <t>140300178784</t>
  </si>
  <si>
    <t>35kVⅠ母PTB相熔断器</t>
  </si>
  <si>
    <t>140300178785</t>
  </si>
  <si>
    <t>35kVⅠ母PTC相熔断器</t>
  </si>
  <si>
    <t>140300180193</t>
  </si>
  <si>
    <t>140300180194</t>
  </si>
  <si>
    <t>140300180195</t>
  </si>
  <si>
    <t>140300185559</t>
  </si>
  <si>
    <t>10kV胥桥路906开关柜</t>
  </si>
  <si>
    <t>140300185561</t>
  </si>
  <si>
    <t>10kV旁路A相母线</t>
  </si>
  <si>
    <t>140300185564</t>
  </si>
  <si>
    <t>10kV胥尚路920开关柜</t>
  </si>
  <si>
    <t>140300185892</t>
  </si>
  <si>
    <t>35kVI母PT开关柜</t>
  </si>
  <si>
    <t>140300186065</t>
  </si>
  <si>
    <t>140300187690</t>
  </si>
  <si>
    <t>110kVI母A相电压互感器</t>
  </si>
  <si>
    <t>140300187691</t>
  </si>
  <si>
    <t>110kVI母B相电压互感器</t>
  </si>
  <si>
    <t>140300187692</t>
  </si>
  <si>
    <t>110kVI母C相电压互感器</t>
  </si>
  <si>
    <t>140300187731</t>
  </si>
  <si>
    <t>110KVⅠ母A相避雷器</t>
  </si>
  <si>
    <t>140300187732</t>
  </si>
  <si>
    <t>110KVⅠ母B相避雷器</t>
  </si>
  <si>
    <t>140300187733</t>
  </si>
  <si>
    <t>110KVⅠ母C相避雷器</t>
  </si>
  <si>
    <t>140300187774</t>
  </si>
  <si>
    <t>10KVⅠ段A相母线</t>
  </si>
  <si>
    <t>140300187777</t>
  </si>
  <si>
    <t>10KVⅡ段A相母线</t>
  </si>
  <si>
    <t>140300187802</t>
  </si>
  <si>
    <t>10KV电容二路电抗器</t>
  </si>
  <si>
    <t>140300187804</t>
  </si>
  <si>
    <t>10KV电容二路923开关柜</t>
  </si>
  <si>
    <t>140300187805</t>
  </si>
  <si>
    <t>10KV电容四路928电抗器</t>
  </si>
  <si>
    <t>140300187883</t>
  </si>
  <si>
    <t>140300188241</t>
  </si>
  <si>
    <t>110KV聚胥线141线路B相避雷器</t>
  </si>
  <si>
    <t>140300188242</t>
  </si>
  <si>
    <t>110KV聚胥线141线路A相避雷器</t>
  </si>
  <si>
    <t>140300188243</t>
  </si>
  <si>
    <t>110KV聚胥线141线路C相避雷器</t>
  </si>
  <si>
    <t>140300188244</t>
  </si>
  <si>
    <t>110kV胥灌线144线路A相避雷器</t>
  </si>
  <si>
    <t>140300188245</t>
  </si>
  <si>
    <t>110kV胥灌线144线路C相避雷器</t>
  </si>
  <si>
    <t>140300188246</t>
  </si>
  <si>
    <t>110kV胥灌线144线路B相避雷器</t>
  </si>
  <si>
    <t>140300188301</t>
  </si>
  <si>
    <t>110KVⅠ段A相母线</t>
  </si>
  <si>
    <t>140300188305</t>
  </si>
  <si>
    <t>110KVⅡ段A相母线</t>
  </si>
  <si>
    <t>140300203425</t>
  </si>
  <si>
    <t>10kV电容三路921B相避雷器</t>
  </si>
  <si>
    <t>140300203473</t>
  </si>
  <si>
    <t>110kV备用1655旁路隔离开关</t>
  </si>
  <si>
    <t>140300203474</t>
  </si>
  <si>
    <t>110kV备用1651隔离开关</t>
  </si>
  <si>
    <t>140300203475</t>
  </si>
  <si>
    <t>140300203476</t>
  </si>
  <si>
    <t>110kV聚灌线1625隔离开关</t>
  </si>
  <si>
    <t>140300203477</t>
  </si>
  <si>
    <t>35kV中性点消弧线圈3019隔离开关O相</t>
  </si>
  <si>
    <t>140300203478</t>
  </si>
  <si>
    <t>110kV胥灌线1665隔离开关</t>
  </si>
  <si>
    <t>140300203479</t>
  </si>
  <si>
    <t>140300203480</t>
  </si>
  <si>
    <t>110kV灌香线1615隔离开关</t>
  </si>
  <si>
    <t>140300203481</t>
  </si>
  <si>
    <t>110kV旁路1902隔离开关</t>
  </si>
  <si>
    <t>140300203482</t>
  </si>
  <si>
    <t>110kV旁路1901隔离开关</t>
  </si>
  <si>
    <t>140300203566</t>
  </si>
  <si>
    <t>110kV聚灌线1621隔离开关</t>
  </si>
  <si>
    <t>140300203567</t>
  </si>
  <si>
    <t>110kV聚灌线1623隔离开关</t>
  </si>
  <si>
    <t>140300203568</t>
  </si>
  <si>
    <t>140300203569</t>
  </si>
  <si>
    <t>110kV胥灌线1663隔离开关</t>
  </si>
  <si>
    <t>140300203570</t>
  </si>
  <si>
    <t>140300203571</t>
  </si>
  <si>
    <t>110kV灌香线1613隔离开关</t>
  </si>
  <si>
    <t>140300203572</t>
  </si>
  <si>
    <t>110kV旁路1905隔离开关</t>
  </si>
  <si>
    <t>140300203588</t>
  </si>
  <si>
    <t>110kV备用165断路器计量电流互感器A相</t>
  </si>
  <si>
    <t>140300203589</t>
  </si>
  <si>
    <t>110kV备用165断路器计量电流互感器B相</t>
  </si>
  <si>
    <t>140300203590</t>
  </si>
  <si>
    <t>110kV备用165断路器计量电流互感器C相</t>
  </si>
  <si>
    <t>140300203593</t>
  </si>
  <si>
    <t>140300203594</t>
  </si>
  <si>
    <t>140300203595</t>
  </si>
  <si>
    <t>140300203611</t>
  </si>
  <si>
    <t>110kV Ⅰ母电压互感器A相</t>
  </si>
  <si>
    <t>140300203612</t>
  </si>
  <si>
    <t>110kV Ⅰ母电压互感器C相</t>
  </si>
  <si>
    <t>140300203613</t>
  </si>
  <si>
    <t>110kV Ⅰ母电压互感器B相</t>
  </si>
  <si>
    <t>140300203844</t>
  </si>
  <si>
    <t>140300203845</t>
  </si>
  <si>
    <t>140300203846</t>
  </si>
  <si>
    <t>140300203850</t>
  </si>
  <si>
    <t>35kVⅠ段母线</t>
  </si>
  <si>
    <t>140300203873</t>
  </si>
  <si>
    <t>2号主变避雷器</t>
  </si>
  <si>
    <t>140300203874</t>
  </si>
  <si>
    <t>1号主变避雷器</t>
  </si>
  <si>
    <t>140300212155</t>
  </si>
  <si>
    <t>35kV灌天线306线路避雷器A相</t>
  </si>
  <si>
    <t>140300212157</t>
  </si>
  <si>
    <t>35kV灌天线306线路避雷器C相</t>
  </si>
  <si>
    <t>140300212159</t>
  </si>
  <si>
    <t>35kV灌天线306线路避雷器B相</t>
  </si>
  <si>
    <t>140300212178</t>
  </si>
  <si>
    <t>140300212181</t>
  </si>
  <si>
    <t>2号主变35kV中性点3029隔离开关O相</t>
  </si>
  <si>
    <t>140300212415</t>
  </si>
  <si>
    <t>10kV灌宁路913开关柜</t>
  </si>
  <si>
    <t>140300212450</t>
  </si>
  <si>
    <t>10kV灌向路908开关柜</t>
  </si>
  <si>
    <t>140300212458</t>
  </si>
  <si>
    <t>10kV灌城二路905开关柜</t>
  </si>
  <si>
    <t>140300212466</t>
  </si>
  <si>
    <t>10kV灌八路903开关柜</t>
  </si>
  <si>
    <t>140300212474</t>
  </si>
  <si>
    <t>10kV灌城一路910开关柜</t>
  </si>
  <si>
    <t>140300212480</t>
  </si>
  <si>
    <t>10kV备用918开关柜</t>
  </si>
  <si>
    <t>140300212490</t>
  </si>
  <si>
    <t>10kV灌纸路906开关柜</t>
  </si>
  <si>
    <t>140300212493</t>
  </si>
  <si>
    <t>10kV灌凤路912开关柜</t>
  </si>
  <si>
    <t>140300212501</t>
  </si>
  <si>
    <t>10kV电容三路电容器串联电抗器</t>
  </si>
  <si>
    <t>140300212506</t>
  </si>
  <si>
    <t>10kV电容三路9213隔离开关</t>
  </si>
  <si>
    <t>140300212509</t>
  </si>
  <si>
    <t>10kV电容三路921开关柜</t>
  </si>
  <si>
    <t>140300212513</t>
  </si>
  <si>
    <t>140300212521</t>
  </si>
  <si>
    <t>10kV灌煤路907开关柜</t>
  </si>
  <si>
    <t>140300212528</t>
  </si>
  <si>
    <t>140300212530</t>
  </si>
  <si>
    <t>10kV电容二路9223隔离开关</t>
  </si>
  <si>
    <t>140300212535</t>
  </si>
  <si>
    <t>10kV电容二路922电容器串联电抗器</t>
  </si>
  <si>
    <t>140300212538</t>
  </si>
  <si>
    <t>140300212544</t>
  </si>
  <si>
    <t>10kV备用909开关柜</t>
  </si>
  <si>
    <t>140300212553</t>
  </si>
  <si>
    <t>1号站用917开关柜</t>
  </si>
  <si>
    <t>140300212560</t>
  </si>
  <si>
    <t>2号站用变920开关柜</t>
  </si>
  <si>
    <t>140300212566</t>
  </si>
  <si>
    <t>10kV备用915开关柜</t>
  </si>
  <si>
    <t>140300212572</t>
  </si>
  <si>
    <t>10kV电容一路电容器串联电抗器</t>
  </si>
  <si>
    <t>140300212573</t>
  </si>
  <si>
    <t>10kV电容一路9193隔离开关</t>
  </si>
  <si>
    <t>140300212579</t>
  </si>
  <si>
    <t>10kV电容四路9243隔离开关</t>
  </si>
  <si>
    <t>140300212581</t>
  </si>
  <si>
    <t>10kV电容四路电容器串联电抗器</t>
  </si>
  <si>
    <t>140300212589</t>
  </si>
  <si>
    <t>10kV备用914开关柜</t>
  </si>
  <si>
    <t>140300212595</t>
  </si>
  <si>
    <t>140300212606</t>
  </si>
  <si>
    <t>10kV电容一路A相避雷器</t>
  </si>
  <si>
    <t>140300212607</t>
  </si>
  <si>
    <t>10kV电容一路919开关柜</t>
  </si>
  <si>
    <t>140300212608</t>
  </si>
  <si>
    <t>140300212713</t>
  </si>
  <si>
    <t>140300212714</t>
  </si>
  <si>
    <t>110kVⅡ段A相母线</t>
  </si>
  <si>
    <t>140300212718</t>
  </si>
  <si>
    <t>110K旁路A相母线</t>
  </si>
  <si>
    <t>140300212720</t>
  </si>
  <si>
    <t>110kVⅠ段A相母线</t>
  </si>
  <si>
    <t>140300212724</t>
  </si>
  <si>
    <t>140300212725</t>
  </si>
  <si>
    <t>140300212726</t>
  </si>
  <si>
    <t>2号主变110kV侧避雷器A相</t>
  </si>
  <si>
    <t>140300212727</t>
  </si>
  <si>
    <t>110kV II母避雷器C相</t>
  </si>
  <si>
    <t>140300212728</t>
  </si>
  <si>
    <t>110kV II母避雷器B相</t>
  </si>
  <si>
    <t>140300212729</t>
  </si>
  <si>
    <t>110kV II母避雷器A相</t>
  </si>
  <si>
    <t>140300212730</t>
  </si>
  <si>
    <t>110KV连灌线161线路避雷器A相</t>
  </si>
  <si>
    <t>140300212731</t>
  </si>
  <si>
    <t>110KV连灌线161线路避雷器C相</t>
  </si>
  <si>
    <t>140300212732</t>
  </si>
  <si>
    <t>110KV连灌线161线路避雷器B相</t>
  </si>
  <si>
    <t>140300215864</t>
  </si>
  <si>
    <t>10kV电容二路972A相电力电容器</t>
  </si>
  <si>
    <t>140300215867</t>
  </si>
  <si>
    <t>10kV电容三路973A相电力电容器</t>
  </si>
  <si>
    <t>140300215870</t>
  </si>
  <si>
    <t>10kV电容四路974A相电力电容器</t>
  </si>
  <si>
    <t>140300215873</t>
  </si>
  <si>
    <t>10kV电容一路971A相电力电容器</t>
  </si>
  <si>
    <t>140300219644</t>
  </si>
  <si>
    <t>10kV青镇路913断路器开关柜</t>
  </si>
  <si>
    <t>140300219653</t>
  </si>
  <si>
    <t>10kV青田路910断路器开关柜</t>
  </si>
  <si>
    <t>140300219668</t>
  </si>
  <si>
    <t>140300219669</t>
  </si>
  <si>
    <t>140300219670</t>
  </si>
  <si>
    <t>140300219671</t>
  </si>
  <si>
    <t>140300219672</t>
  </si>
  <si>
    <t>10kV1号站用接地变可控消弧装置</t>
  </si>
  <si>
    <t>140300219673</t>
  </si>
  <si>
    <t>10kV2号站用接地变可控消弧装置</t>
  </si>
  <si>
    <t>140300219674</t>
  </si>
  <si>
    <t>35kV消弧装置</t>
  </si>
  <si>
    <t>140300221538</t>
  </si>
  <si>
    <t>35kV张白田支线3011电力导线（导流排）</t>
  </si>
  <si>
    <t>140300224684</t>
  </si>
  <si>
    <t>10kV1号主变901穿墙套管</t>
  </si>
  <si>
    <t>140300224689</t>
  </si>
  <si>
    <t>2号主变902穿墙套管</t>
  </si>
  <si>
    <t>140300224694</t>
  </si>
  <si>
    <t>10kvⅡ段母线ABC相</t>
  </si>
  <si>
    <t>140300224697</t>
  </si>
  <si>
    <t>140300224701</t>
  </si>
  <si>
    <t>10kV彭白路907电力电缆电力电缆</t>
  </si>
  <si>
    <t>140300224705</t>
  </si>
  <si>
    <t>10kv彭取路909穿墙套管</t>
  </si>
  <si>
    <t>140300224707</t>
  </si>
  <si>
    <t>10kv彭取路909开关柜</t>
  </si>
  <si>
    <t>140300224710</t>
  </si>
  <si>
    <t>10kV彭氮路903穿墙套管</t>
  </si>
  <si>
    <t>140300224715</t>
  </si>
  <si>
    <t>10kV彭济路905电力电缆</t>
  </si>
  <si>
    <t>140300224720</t>
  </si>
  <si>
    <t>10kV彭甲路908穿墙套管</t>
  </si>
  <si>
    <t>140300224721</t>
  </si>
  <si>
    <t>10kV彭甲路908电力电缆</t>
  </si>
  <si>
    <t>140300224723</t>
  </si>
  <si>
    <t>10kV彭甲路908开关柜</t>
  </si>
  <si>
    <t>140300224727</t>
  </si>
  <si>
    <t>10kV彭新路906电力电缆</t>
  </si>
  <si>
    <t>140300224729</t>
  </si>
  <si>
    <t>10kV彭新路906开关柜</t>
  </si>
  <si>
    <t>140300224732</t>
  </si>
  <si>
    <t>10kV彭药路904穿墙套管</t>
  </si>
  <si>
    <t>140300224734</t>
  </si>
  <si>
    <t>10kV电容二路928开关柜</t>
  </si>
  <si>
    <t>140300224735</t>
  </si>
  <si>
    <t>140300224739</t>
  </si>
  <si>
    <t>35kVⅡ段PT高压A相熔断器</t>
  </si>
  <si>
    <t>140300224740</t>
  </si>
  <si>
    <t>35kVⅡ段PT高压B相熔断器</t>
  </si>
  <si>
    <t>140300224741</t>
  </si>
  <si>
    <t>35kVⅡ段PT高压C相熔断器</t>
  </si>
  <si>
    <t>140300224751</t>
  </si>
  <si>
    <t>站用变屏</t>
  </si>
  <si>
    <t>140300224752</t>
  </si>
  <si>
    <t>五防主机</t>
  </si>
  <si>
    <t>140300224753</t>
  </si>
  <si>
    <t>五防挂锁</t>
  </si>
  <si>
    <t>140300224754</t>
  </si>
  <si>
    <t>电脑钥匙</t>
  </si>
  <si>
    <t>140300226262</t>
  </si>
  <si>
    <t>35kVⅡ段PTB相避雷器</t>
  </si>
  <si>
    <t>140300226263</t>
  </si>
  <si>
    <t>35kVⅡ段PTC相避雷器</t>
  </si>
  <si>
    <t>140300226264</t>
  </si>
  <si>
    <t>35kV站用变A相避雷器</t>
  </si>
  <si>
    <t>140300226265</t>
  </si>
  <si>
    <t>35kV站用变B相避雷器</t>
  </si>
  <si>
    <t>140300226266</t>
  </si>
  <si>
    <t>35kV站用变C相避雷器</t>
  </si>
  <si>
    <t>140300226738</t>
  </si>
  <si>
    <t>35kVII段PT5026隔离开关</t>
  </si>
  <si>
    <t>140300226754</t>
  </si>
  <si>
    <t>140300235418</t>
  </si>
  <si>
    <t>220kV源丹南线2651隔离开关</t>
  </si>
  <si>
    <t>140300235419</t>
  </si>
  <si>
    <t>220kV源丹南线2652隔离开关</t>
  </si>
  <si>
    <t>140300235421</t>
  </si>
  <si>
    <t>2号主变220kV侧A相避雷器</t>
  </si>
  <si>
    <t>140300235520</t>
  </si>
  <si>
    <t>2号主变中性点1029接地隔离开关O相</t>
  </si>
  <si>
    <t>140300238638</t>
  </si>
  <si>
    <t>110kV聚铁线131断路器</t>
  </si>
  <si>
    <t>140300238639</t>
  </si>
  <si>
    <t>110kV聚铁线1311隔离开关</t>
  </si>
  <si>
    <t>140300238640</t>
  </si>
  <si>
    <t>110kV聚铁线1312隔离开关</t>
  </si>
  <si>
    <t>140300238641</t>
  </si>
  <si>
    <t>110kV聚铁线1313隔离开关</t>
  </si>
  <si>
    <t>140300243741</t>
  </si>
  <si>
    <t>110kV聚灌线162断路器</t>
  </si>
  <si>
    <t>140300244328</t>
  </si>
  <si>
    <t>10kV备用924零序电流互感器</t>
  </si>
  <si>
    <t>140300244364</t>
  </si>
  <si>
    <t>10kV电容二路9728隔离开关</t>
  </si>
  <si>
    <t>140300244372</t>
  </si>
  <si>
    <t>10kV电容三路9738隔离开关</t>
  </si>
  <si>
    <t>140300244381</t>
  </si>
  <si>
    <t>10kV电容四路9748隔离开关</t>
  </si>
  <si>
    <t>140300244389</t>
  </si>
  <si>
    <t>10kV电容一路9718隔离开关</t>
  </si>
  <si>
    <t>140300244416</t>
  </si>
  <si>
    <t>140300244424</t>
  </si>
  <si>
    <t>2号主变3026隔离开关</t>
  </si>
  <si>
    <t>140300244483</t>
  </si>
  <si>
    <t>10kV青泰路922断路器开关柜</t>
  </si>
  <si>
    <t>140300245380</t>
  </si>
  <si>
    <t>10kVⅠ段总路A相电抗器</t>
  </si>
  <si>
    <t>140300245381</t>
  </si>
  <si>
    <t>10kVⅠ段总路B相电抗器</t>
  </si>
  <si>
    <t>140300245382</t>
  </si>
  <si>
    <t>10kVⅠ段总路C相电抗器</t>
  </si>
  <si>
    <t>140300245383</t>
  </si>
  <si>
    <t>10kV总路A相电抗器</t>
  </si>
  <si>
    <t>140300245384</t>
  </si>
  <si>
    <t>10kV总路B相电抗器</t>
  </si>
  <si>
    <t>140300245385</t>
  </si>
  <si>
    <t>10kV总路C相电抗器</t>
  </si>
  <si>
    <t>140300245386</t>
  </si>
  <si>
    <t>10kV电容八路928串联A相电抗器</t>
  </si>
  <si>
    <t>140300245387</t>
  </si>
  <si>
    <t>10kV电容八路928串联B相电抗器</t>
  </si>
  <si>
    <t>140300245388</t>
  </si>
  <si>
    <t>10kV电容八路928串联C相电抗器</t>
  </si>
  <si>
    <t>140300245389</t>
  </si>
  <si>
    <t>10kV电容六路926串联A相电抗器</t>
  </si>
  <si>
    <t>140300245390</t>
  </si>
  <si>
    <t>10kV电容六路926串联B相电抗器</t>
  </si>
  <si>
    <t>140300245391</t>
  </si>
  <si>
    <t>10kV电容六路926串联C相电抗器</t>
  </si>
  <si>
    <t>140300245392</t>
  </si>
  <si>
    <t>10kV电容二路922串联B相电抗器</t>
  </si>
  <si>
    <t>140300245393</t>
  </si>
  <si>
    <t>10kV电容二路922串联A相电抗器</t>
  </si>
  <si>
    <t>140300245394</t>
  </si>
  <si>
    <t>10kV电容二路922串联C相电抗器</t>
  </si>
  <si>
    <t>140300245395</t>
  </si>
  <si>
    <t>10kV电容四路924串联A相电抗器</t>
  </si>
  <si>
    <t>140300245396</t>
  </si>
  <si>
    <t>10kV电容四路924串联B相电抗器</t>
  </si>
  <si>
    <t>140300245397</t>
  </si>
  <si>
    <t>10kV电容四路924串联C相电抗器</t>
  </si>
  <si>
    <t>140300245425</t>
  </si>
  <si>
    <t>140300245483</t>
  </si>
  <si>
    <t>110kV聚灌线162断路器电流互感器B相</t>
  </si>
  <si>
    <t>140300245484</t>
  </si>
  <si>
    <t>110kV聚灌线162断路器电流互感器A相</t>
  </si>
  <si>
    <t>140300245485</t>
  </si>
  <si>
    <t>110kV聚灌线162断路器电流互感器C相</t>
  </si>
  <si>
    <t>140300245486</t>
  </si>
  <si>
    <t>110kV聚灌线162线路电压互感器A相</t>
  </si>
  <si>
    <t>140300245500</t>
  </si>
  <si>
    <t>110kV胥灌线166断路器电流互感器A相</t>
  </si>
  <si>
    <t>140300245501</t>
  </si>
  <si>
    <t>110kV胥灌线166断路器电流互感器B相</t>
  </si>
  <si>
    <t>140300245502</t>
  </si>
  <si>
    <t>110kV胥灌线166断路器电流互感器C相</t>
  </si>
  <si>
    <t>140300245503</t>
  </si>
  <si>
    <t>110kV连灌线161断路器电流互感器A相</t>
  </si>
  <si>
    <t>140300245504</t>
  </si>
  <si>
    <t>110kV旁路190断路器电流互感器B相</t>
  </si>
  <si>
    <t>140300245505</t>
  </si>
  <si>
    <t>110kV旁路190断路器电流互感器A相</t>
  </si>
  <si>
    <t>140300245506</t>
  </si>
  <si>
    <t>110kV旁路190断路器</t>
  </si>
  <si>
    <t>140300245507</t>
  </si>
  <si>
    <t>110kV连灌线161断路器</t>
  </si>
  <si>
    <t>140300245508</t>
  </si>
  <si>
    <t>110kV旁路190断路器电流互感器C相</t>
  </si>
  <si>
    <t>140300245509</t>
  </si>
  <si>
    <t>110kV连灌线161断路器电流互感器B相</t>
  </si>
  <si>
    <t>140300245510</t>
  </si>
  <si>
    <t>110kV连灌线161断路器电流互感器C相</t>
  </si>
  <si>
    <t>140300245513</t>
  </si>
  <si>
    <t>10KV电容路909电抗器</t>
  </si>
  <si>
    <t>140300245518</t>
  </si>
  <si>
    <t>140300245521</t>
  </si>
  <si>
    <t>140300245523</t>
  </si>
  <si>
    <t>35kV内桥330断路器</t>
  </si>
  <si>
    <t>140300245525</t>
  </si>
  <si>
    <t>35kV内桥3302隔离开关</t>
  </si>
  <si>
    <t>140300245527</t>
  </si>
  <si>
    <t>35kV内桥3301隔离开关</t>
  </si>
  <si>
    <t>140300245530</t>
  </si>
  <si>
    <t>35kVⅠ段母线ABC相</t>
  </si>
  <si>
    <t>140300245538</t>
  </si>
  <si>
    <t>35kVⅠ段母线A相避雷器</t>
  </si>
  <si>
    <t>140300245539</t>
  </si>
  <si>
    <t>140300245540</t>
  </si>
  <si>
    <t>10kV磁镇路907开关柜</t>
  </si>
  <si>
    <t>140300245545</t>
  </si>
  <si>
    <t>35kV灌磁线3031隔离开关</t>
  </si>
  <si>
    <t>140300245547</t>
  </si>
  <si>
    <t>140300245562</t>
  </si>
  <si>
    <t>35kVⅡ段母线ABC相</t>
  </si>
  <si>
    <t>140300245567</t>
  </si>
  <si>
    <t>35kVⅠ段母线PTA相</t>
  </si>
  <si>
    <t>140300245568</t>
  </si>
  <si>
    <t>35kVⅠ段母线PTC相</t>
  </si>
  <si>
    <t>140300245569</t>
  </si>
  <si>
    <t>10kV磁虹路903开关柜</t>
  </si>
  <si>
    <t>140300245570</t>
  </si>
  <si>
    <t>10kV磁新路905开关柜</t>
  </si>
  <si>
    <t>140300245577</t>
  </si>
  <si>
    <t>35kV磁小线3043隔离开关</t>
  </si>
  <si>
    <t>140300245578</t>
  </si>
  <si>
    <t>35kVI段母线PT3716隔离开关</t>
  </si>
  <si>
    <t>140300245629</t>
  </si>
  <si>
    <t>140300245648</t>
  </si>
  <si>
    <t>140300245649</t>
  </si>
  <si>
    <t>10kV青东路905开关柜</t>
  </si>
  <si>
    <t>140300245651</t>
  </si>
  <si>
    <t>10kV青疗路907开关柜</t>
  </si>
  <si>
    <t>140300245652</t>
  </si>
  <si>
    <t>140300245754</t>
  </si>
  <si>
    <t>140300245755</t>
  </si>
  <si>
    <t>10kV青一路903开关柜</t>
  </si>
  <si>
    <t>140300245913</t>
  </si>
  <si>
    <t>110kV聚灌线1391隔离开关</t>
  </si>
  <si>
    <t>140300245914</t>
  </si>
  <si>
    <t>110kV聚灌线1392隔离开关</t>
  </si>
  <si>
    <t>140300245915</t>
  </si>
  <si>
    <t>110kV聚灌线1393隔离开关</t>
  </si>
  <si>
    <t>140300245916</t>
  </si>
  <si>
    <t>110kV聚灌线139线路A相电压互感器</t>
  </si>
  <si>
    <t>140300245917</t>
  </si>
  <si>
    <t>110kV聚灌线139A相电流互感器</t>
  </si>
  <si>
    <t>140300245918</t>
  </si>
  <si>
    <t>110kV聚灌线139B相电流互感器</t>
  </si>
  <si>
    <t>140300245919</t>
  </si>
  <si>
    <t>110kV聚灌线139断路器</t>
  </si>
  <si>
    <t>140300245920</t>
  </si>
  <si>
    <t>110kV聚清线1402隔离开关</t>
  </si>
  <si>
    <t>140300245921</t>
  </si>
  <si>
    <t>110kV聚清线1403隔离开关</t>
  </si>
  <si>
    <t>140300245928</t>
  </si>
  <si>
    <t>110kV聚灌线139C相电流互感器</t>
  </si>
  <si>
    <t>140300245929</t>
  </si>
  <si>
    <t>110kV聚清线140A相电流互感器</t>
  </si>
  <si>
    <t>140300245930</t>
  </si>
  <si>
    <t>110kV聚清线140线路A相电压互感器</t>
  </si>
  <si>
    <t>140300245931</t>
  </si>
  <si>
    <t>110kV聚清线140B相电流互感器</t>
  </si>
  <si>
    <t>140300245932</t>
  </si>
  <si>
    <t>110kV聚清线140C相电流互感器</t>
  </si>
  <si>
    <t>140300245933</t>
  </si>
  <si>
    <t>110kV聚清线140A相避雷器</t>
  </si>
  <si>
    <t>140300245934</t>
  </si>
  <si>
    <t>110kV聚清线140C相避雷器</t>
  </si>
  <si>
    <t>140300245935</t>
  </si>
  <si>
    <t>110kV聚清线140B相避雷器</t>
  </si>
  <si>
    <t>140300245936</t>
  </si>
  <si>
    <t>110kV聚灌线139A相避雷器</t>
  </si>
  <si>
    <t>140300245937</t>
  </si>
  <si>
    <t>110kV聚灌线139C相避雷器</t>
  </si>
  <si>
    <t>140300245938</t>
  </si>
  <si>
    <t>110kV聚灌线139B相避雷器</t>
  </si>
  <si>
    <t>140300245939</t>
  </si>
  <si>
    <t>110kV聚清线140断路器</t>
  </si>
  <si>
    <t>140300247388</t>
  </si>
  <si>
    <t>140300247389</t>
  </si>
  <si>
    <t>140300247390</t>
  </si>
  <si>
    <t>140300247391</t>
  </si>
  <si>
    <t>110kV Ⅱ母电压互感器B相</t>
  </si>
  <si>
    <t>140300247392</t>
  </si>
  <si>
    <t>110kV Ⅱ母电压互感器C相</t>
  </si>
  <si>
    <t>140300247393</t>
  </si>
  <si>
    <t>110kV Ⅱ母电压互感器A相</t>
  </si>
  <si>
    <t>140300247395</t>
  </si>
  <si>
    <t>10kV电容二路92390接地隔离开关</t>
  </si>
  <si>
    <t>140300247398</t>
  </si>
  <si>
    <t>35kV消弧线圈避雷器</t>
  </si>
  <si>
    <t>140300247402</t>
  </si>
  <si>
    <t>10kV金桥一路9362隔离开关</t>
  </si>
  <si>
    <t>140300247406</t>
  </si>
  <si>
    <t>10kV备用9382隔离开关</t>
  </si>
  <si>
    <t>140300247409</t>
  </si>
  <si>
    <t>10kV备用938线路避雷器A相</t>
  </si>
  <si>
    <t>140300247410</t>
  </si>
  <si>
    <t>10kV备用938线路避雷器B相</t>
  </si>
  <si>
    <t>140300247411</t>
  </si>
  <si>
    <t>10kV备用938线路避雷器C相</t>
  </si>
  <si>
    <t>140300247415</t>
  </si>
  <si>
    <t>140300247418</t>
  </si>
  <si>
    <t>140300247422</t>
  </si>
  <si>
    <t>10kV备用948开关柜</t>
  </si>
  <si>
    <t>140300247424</t>
  </si>
  <si>
    <t>110KVII母A相母线</t>
  </si>
  <si>
    <t>140300247427</t>
  </si>
  <si>
    <t>110kVI母A相母线</t>
  </si>
  <si>
    <t>140300247430</t>
  </si>
  <si>
    <t>10kV备用938开关柜</t>
  </si>
  <si>
    <t>140300248936</t>
  </si>
  <si>
    <t>35KV站用变A相熔断器</t>
  </si>
  <si>
    <t>140300248937</t>
  </si>
  <si>
    <t>35KV站用变B相熔断器</t>
  </si>
  <si>
    <t>140300248938</t>
  </si>
  <si>
    <t>35KV站用变C相熔断器</t>
  </si>
  <si>
    <t>140300248955</t>
  </si>
  <si>
    <t>140300249075</t>
  </si>
  <si>
    <t>140300249082</t>
  </si>
  <si>
    <t>10kVII段母线B相避雷器</t>
  </si>
  <si>
    <t>140300249083</t>
  </si>
  <si>
    <t>10kVII段母线C相避雷器</t>
  </si>
  <si>
    <t>140300249084</t>
  </si>
  <si>
    <t>10kVII段母线A相避雷器</t>
  </si>
  <si>
    <t>140300249085</t>
  </si>
  <si>
    <t>10kVI段母线A相避雷器</t>
  </si>
  <si>
    <t>140300249086</t>
  </si>
  <si>
    <t>10kVI段母线C相避雷器</t>
  </si>
  <si>
    <t>140300249087</t>
  </si>
  <si>
    <t>10kVI段母线B相避雷器</t>
  </si>
  <si>
    <t>140300249111</t>
  </si>
  <si>
    <t>35KV母线PT3716A相熔断器</t>
  </si>
  <si>
    <t>140300249112</t>
  </si>
  <si>
    <t>35KV母线PT3716B相熔断器</t>
  </si>
  <si>
    <t>140300249113</t>
  </si>
  <si>
    <t>35KV母线PT3716C相熔断器</t>
  </si>
  <si>
    <t>140300249130</t>
  </si>
  <si>
    <t>10kV白水线3131隔离开关</t>
  </si>
  <si>
    <t>140300249131</t>
  </si>
  <si>
    <t>35kV金白线3121隔离开关</t>
  </si>
  <si>
    <t>140300249132</t>
  </si>
  <si>
    <t>35kV金沙线3111隔离开关</t>
  </si>
  <si>
    <t>140300249133</t>
  </si>
  <si>
    <t>140300249134</t>
  </si>
  <si>
    <t>35kV母线PT3716隔离开关</t>
  </si>
  <si>
    <t>140300249145</t>
  </si>
  <si>
    <t>35kV站用变3613隔离开关</t>
  </si>
  <si>
    <t>140300249149</t>
  </si>
  <si>
    <t>35kV白水线3133隔离开关</t>
  </si>
  <si>
    <t>140300249150</t>
  </si>
  <si>
    <t>35kV金白线3123隔离开关</t>
  </si>
  <si>
    <t>140300249151</t>
  </si>
  <si>
    <t>35kV金沙线3113隔离开关</t>
  </si>
  <si>
    <t>140300249153</t>
  </si>
  <si>
    <t>35kV结合滤波器接地隔离开关</t>
  </si>
  <si>
    <t>140300249158</t>
  </si>
  <si>
    <t>35kVA相母线</t>
  </si>
  <si>
    <t>140300249162</t>
  </si>
  <si>
    <t>10kV电容一路981A相电抗器</t>
  </si>
  <si>
    <t>140300249163</t>
  </si>
  <si>
    <t>10kV电容一路981B相电抗器</t>
  </si>
  <si>
    <t>140300249164</t>
  </si>
  <si>
    <t>10kV电容一路981C相电抗器</t>
  </si>
  <si>
    <t>140300249167</t>
  </si>
  <si>
    <t>通讯设备柜</t>
  </si>
  <si>
    <t>140300250072</t>
  </si>
  <si>
    <t>1号主变电流互感器A相</t>
  </si>
  <si>
    <t>140300250073</t>
  </si>
  <si>
    <t>1号主变电流互感器B相</t>
  </si>
  <si>
    <t>140300250074</t>
  </si>
  <si>
    <t>1号主变电流互感器C相</t>
  </si>
  <si>
    <t>140300250075</t>
  </si>
  <si>
    <t>35kVⅡ段母线避雷器A相</t>
  </si>
  <si>
    <t>140300250076</t>
  </si>
  <si>
    <t>35kVⅡ段母线避雷器B相</t>
  </si>
  <si>
    <t>140300250077</t>
  </si>
  <si>
    <t>35kVⅡ段母线避雷器C相</t>
  </si>
  <si>
    <t>140300250118</t>
  </si>
  <si>
    <t>35kV备用321线路电压互感器A相</t>
  </si>
  <si>
    <t>140300250119</t>
  </si>
  <si>
    <t>35kV备用321线路电压互感器B相</t>
  </si>
  <si>
    <t>140300250120</t>
  </si>
  <si>
    <t>35kV备用321线路电压互感器C相</t>
  </si>
  <si>
    <t>140300250127</t>
  </si>
  <si>
    <t>35kV备用321线路避雷器A相</t>
  </si>
  <si>
    <t>140300250128</t>
  </si>
  <si>
    <t>35kV备用321线路避雷器B相</t>
  </si>
  <si>
    <t>140300250129</t>
  </si>
  <si>
    <t>35kV备用321线路避雷器C相</t>
  </si>
  <si>
    <t>140300250130</t>
  </si>
  <si>
    <t>35kVⅡ段C相避雷器</t>
  </si>
  <si>
    <t>140300250131</t>
  </si>
  <si>
    <t>35kVⅡ段A相避雷器</t>
  </si>
  <si>
    <t>140300250132</t>
  </si>
  <si>
    <t>35kVⅡ段B相避雷器</t>
  </si>
  <si>
    <t>140300250137</t>
  </si>
  <si>
    <t>1号通讯机柜</t>
  </si>
  <si>
    <t>140300250146</t>
  </si>
  <si>
    <t>通讯蓄电池柜</t>
  </si>
  <si>
    <t>140300250147</t>
  </si>
  <si>
    <t>3号通讯机柜</t>
  </si>
  <si>
    <t>140300250160</t>
  </si>
  <si>
    <t>10kV1号站用接地变961断路器开关柜</t>
  </si>
  <si>
    <t>140300250161</t>
  </si>
  <si>
    <t>10kV分段9121隔离刀闸开关柜</t>
  </si>
  <si>
    <t>140300250162</t>
  </si>
  <si>
    <t>10kV2号站用接地变962断路器开关柜</t>
  </si>
  <si>
    <t>140300250163</t>
  </si>
  <si>
    <t>10kV青中路926断路器开关柜</t>
  </si>
  <si>
    <t>140300250164</t>
  </si>
  <si>
    <t>10kV青翠路907断路器开关柜</t>
  </si>
  <si>
    <t>140300250165</t>
  </si>
  <si>
    <t>10kV青景路920断路器开关柜</t>
  </si>
  <si>
    <t>140300250166</t>
  </si>
  <si>
    <t>10kV电容二路972开关柜</t>
  </si>
  <si>
    <t>140300250167</t>
  </si>
  <si>
    <t>140300250169</t>
  </si>
  <si>
    <t>110kV驾城线1516隔离开关</t>
  </si>
  <si>
    <t>140300250170</t>
  </si>
  <si>
    <t>140300250171</t>
  </si>
  <si>
    <t>140300250172</t>
  </si>
  <si>
    <t>110kVⅠ母PT1181隔离开关</t>
  </si>
  <si>
    <t>140300250174</t>
  </si>
  <si>
    <t>110kVⅡ母PT1282隔离开关</t>
  </si>
  <si>
    <t>140300250177</t>
  </si>
  <si>
    <t>2号通讯机柜</t>
  </si>
  <si>
    <t>140300250182</t>
  </si>
  <si>
    <t>110kV聚城线152线路避雷器A相</t>
  </si>
  <si>
    <t>140300250183</t>
  </si>
  <si>
    <t>140300250184</t>
  </si>
  <si>
    <t>10kV分段912断路器开关柜</t>
  </si>
  <si>
    <t>140300250185</t>
  </si>
  <si>
    <t>140300250186</t>
  </si>
  <si>
    <t>10kVⅡ母PT避雷器开关柜</t>
  </si>
  <si>
    <t>140300250187</t>
  </si>
  <si>
    <t>10kV备用925断路器开关柜</t>
  </si>
  <si>
    <t>140300250188</t>
  </si>
  <si>
    <t>10kV青院路923断路器开关柜</t>
  </si>
  <si>
    <t>140300250189</t>
  </si>
  <si>
    <t>10kV青平路906断路器开关柜</t>
  </si>
  <si>
    <t>140300250190</t>
  </si>
  <si>
    <t>10kV青云路908断路器开关柜</t>
  </si>
  <si>
    <t>140300250191</t>
  </si>
  <si>
    <t>10kV青上路909断路器开关柜</t>
  </si>
  <si>
    <t>140300250192</t>
  </si>
  <si>
    <t>10kV待用914断路器开关柜</t>
  </si>
  <si>
    <t>140300250193</t>
  </si>
  <si>
    <t>10kV电容四路974开关柜</t>
  </si>
  <si>
    <t>140300250194</t>
  </si>
  <si>
    <t>10kV电容三路973开关柜</t>
  </si>
  <si>
    <t>140300250195</t>
  </si>
  <si>
    <t>140300250196</t>
  </si>
  <si>
    <t>35kV青湖线321开关柜</t>
  </si>
  <si>
    <t>140300250197</t>
  </si>
  <si>
    <t>35kV分段312开关柜</t>
  </si>
  <si>
    <t>140300250198</t>
  </si>
  <si>
    <t>35kV分段3122隔离开关柜</t>
  </si>
  <si>
    <t>140300250199</t>
  </si>
  <si>
    <t>35kV备用311开关柜</t>
  </si>
  <si>
    <t>140300250200</t>
  </si>
  <si>
    <t>35kV青公线322开关柜</t>
  </si>
  <si>
    <t>140300250201</t>
  </si>
  <si>
    <t>10kV青西路905断路器开关柜</t>
  </si>
  <si>
    <t>140300250202</t>
  </si>
  <si>
    <t>10kVⅠ母PT避雷器开关柜</t>
  </si>
  <si>
    <t>140300250203</t>
  </si>
  <si>
    <t>10kV青蓝路928断路器开关柜</t>
  </si>
  <si>
    <t>140300250204</t>
  </si>
  <si>
    <t>10kV青革路927断路器开关柜</t>
  </si>
  <si>
    <t>140300250205</t>
  </si>
  <si>
    <t>10kV青颂路924断路器开关柜</t>
  </si>
  <si>
    <t>140300250206</t>
  </si>
  <si>
    <t>10kV电容一路971开关柜</t>
  </si>
  <si>
    <t>140300250207</t>
  </si>
  <si>
    <t>140300250208</t>
  </si>
  <si>
    <t>35kV备用313开关柜</t>
  </si>
  <si>
    <t>140300250209</t>
  </si>
  <si>
    <t>140300250211</t>
  </si>
  <si>
    <t>110kV聚城线1526隔离开关</t>
  </si>
  <si>
    <t>140300250212</t>
  </si>
  <si>
    <t>2号主变1022隔离开关</t>
  </si>
  <si>
    <t>140300250215</t>
  </si>
  <si>
    <t>110kV聚城线1522隔离开关</t>
  </si>
  <si>
    <t>140300250218</t>
  </si>
  <si>
    <t>110kV驾城线1511隔离开关</t>
  </si>
  <si>
    <t>140300250222</t>
  </si>
  <si>
    <t>1号主变110kV侧1019接地隔离开关O相</t>
  </si>
  <si>
    <t>140300250223</t>
  </si>
  <si>
    <t>1号主变35kV侧中性点3019接地隔离开关O相</t>
  </si>
  <si>
    <t>140300250224</t>
  </si>
  <si>
    <t>140300250227</t>
  </si>
  <si>
    <t>110kV内桥1121隔离开关</t>
  </si>
  <si>
    <t>140300250228</t>
  </si>
  <si>
    <t>110kV内桥1122隔离开关</t>
  </si>
  <si>
    <t>140300250229</t>
  </si>
  <si>
    <t>110kV聚城线152线路避雷器B相</t>
  </si>
  <si>
    <t>140300250230</t>
  </si>
  <si>
    <t>110kV聚城线152线路避雷器C相</t>
  </si>
  <si>
    <t>140300250231</t>
  </si>
  <si>
    <t>110kV驾城线151线路避雷器A相</t>
  </si>
  <si>
    <t>140300250232</t>
  </si>
  <si>
    <t>110kV驾城线151线路避雷器B相</t>
  </si>
  <si>
    <t>140300250233</t>
  </si>
  <si>
    <t>110kV驾城线151线路避雷器C相</t>
  </si>
  <si>
    <t>140300250234</t>
  </si>
  <si>
    <t>140300250235</t>
  </si>
  <si>
    <t>1号主变35kV母线桥避雷器A相</t>
  </si>
  <si>
    <t>140300250236</t>
  </si>
  <si>
    <t>1号主变35kV母线桥避雷器B相</t>
  </si>
  <si>
    <t>140300250237</t>
  </si>
  <si>
    <t>1号主变35kV母线桥避雷器C相</t>
  </si>
  <si>
    <t>140300250238</t>
  </si>
  <si>
    <t>2号主变35kV母线桥避雷器A相</t>
  </si>
  <si>
    <t>140300250239</t>
  </si>
  <si>
    <t>2号主变35kV母线桥避雷器B相</t>
  </si>
  <si>
    <t>140300250240</t>
  </si>
  <si>
    <t>2号主变35kV母线桥避雷器C相</t>
  </si>
  <si>
    <t>140300250241</t>
  </si>
  <si>
    <t>1号主变35kV中性点避雷器O相</t>
  </si>
  <si>
    <t>140300250242</t>
  </si>
  <si>
    <t>140300250243</t>
  </si>
  <si>
    <t>140300250245</t>
  </si>
  <si>
    <t>110kV聚城线152线路电压互感器A相</t>
  </si>
  <si>
    <t>140300250246</t>
  </si>
  <si>
    <t>110kV聚城线152断路器电流互感器B相</t>
  </si>
  <si>
    <t>140300250247</t>
  </si>
  <si>
    <t>110kV驾城线151断路器电流互感器B相</t>
  </si>
  <si>
    <t>140300250248</t>
  </si>
  <si>
    <t>110kV驾城线151断路器电流互感器C相</t>
  </si>
  <si>
    <t>140300250249</t>
  </si>
  <si>
    <t>110kV驾城线151断路器电流互感器A相</t>
  </si>
  <si>
    <t>140300250250</t>
  </si>
  <si>
    <t>110kV内桥112断路器电流互感器C相</t>
  </si>
  <si>
    <t>140300250252</t>
  </si>
  <si>
    <t>110kVⅡ母电压互感器A相</t>
  </si>
  <si>
    <t>140300250253</t>
  </si>
  <si>
    <t>110kV聚城线152断路器</t>
  </si>
  <si>
    <t>140300250257</t>
  </si>
  <si>
    <t>110kVⅠ母电压互感器B相</t>
  </si>
  <si>
    <t>140300250258</t>
  </si>
  <si>
    <t>110kVⅡ母电压互感器B相</t>
  </si>
  <si>
    <t>140300250259</t>
  </si>
  <si>
    <t>110kV聚城线152断路器电流互感器A相</t>
  </si>
  <si>
    <t>140300250260</t>
  </si>
  <si>
    <t>110kV聚城线152断路器电流互感器C相</t>
  </si>
  <si>
    <t>140300250261</t>
  </si>
  <si>
    <t>110kV内桥112断路器电流互感器A相</t>
  </si>
  <si>
    <t>140300250262</t>
  </si>
  <si>
    <t>110kV内桥112断路器电流互感器B相</t>
  </si>
  <si>
    <t>140300250263</t>
  </si>
  <si>
    <t>1号主变中性点电流互感器O相</t>
  </si>
  <si>
    <t>140300250264</t>
  </si>
  <si>
    <t>2号主变中性点间隙电流互感器O相</t>
  </si>
  <si>
    <t>140300250265</t>
  </si>
  <si>
    <t>110kV驾城线151线路电压互感器A相</t>
  </si>
  <si>
    <t>140300250266</t>
  </si>
  <si>
    <t>110kV内桥112断路器</t>
  </si>
  <si>
    <t>140300250271</t>
  </si>
  <si>
    <t>110kVⅠ母电压互感器A相</t>
  </si>
  <si>
    <t>140300250272</t>
  </si>
  <si>
    <t>110kVⅠ母电压互感器C相</t>
  </si>
  <si>
    <t>140300250273</t>
  </si>
  <si>
    <t>110kVⅡ母电压互感器C相</t>
  </si>
  <si>
    <t>140300250274</t>
  </si>
  <si>
    <t>110kV驾城线151断路器</t>
  </si>
  <si>
    <t>140300250387</t>
  </si>
  <si>
    <t>1号主变中性点1019接地隔离开关O相</t>
  </si>
  <si>
    <t>140300250388</t>
  </si>
  <si>
    <t>1号主变110kV避雷器</t>
  </si>
  <si>
    <t>140300250946</t>
  </si>
  <si>
    <t>35kV幸张线5061隔离开关</t>
  </si>
  <si>
    <t>140300250947</t>
  </si>
  <si>
    <t>35kV幸张线5063隔离开关</t>
  </si>
  <si>
    <t>140300250953</t>
  </si>
  <si>
    <t>35kV金沙石支线避雷器A相</t>
  </si>
  <si>
    <t>140300250954</t>
  </si>
  <si>
    <t>35kV金沙石支线避雷器B相</t>
  </si>
  <si>
    <t>140300250955</t>
  </si>
  <si>
    <t>35kV金沙石支线避雷器C相</t>
  </si>
  <si>
    <t>140300251004</t>
  </si>
  <si>
    <t>10kV站用PT开关柜</t>
  </si>
  <si>
    <t>140300251005</t>
  </si>
  <si>
    <t>10kV电容器开关柜</t>
  </si>
  <si>
    <t>140300269445</t>
  </si>
  <si>
    <t>10kV电容一路911零序中性点电流互感器</t>
  </si>
  <si>
    <t>140300269446</t>
  </si>
  <si>
    <t>10kV电容三路913电容器中性点电流互感器</t>
  </si>
  <si>
    <t>140300269453</t>
  </si>
  <si>
    <t>10kV电容五路915电容器中性点电流互感器</t>
  </si>
  <si>
    <t>140300269458</t>
  </si>
  <si>
    <t>10kV电容一路911开关柜</t>
  </si>
  <si>
    <t>140300269459</t>
  </si>
  <si>
    <t>10kV电容三路913开关柜</t>
  </si>
  <si>
    <t>140300269460</t>
  </si>
  <si>
    <t>10kV电容五路915开关柜</t>
  </si>
  <si>
    <t>140300273606</t>
  </si>
  <si>
    <t>110kVⅠ母母线</t>
  </si>
  <si>
    <t>140300273607</t>
  </si>
  <si>
    <t>110kVⅡ母母线</t>
  </si>
  <si>
    <t>140300273653</t>
  </si>
  <si>
    <t>10kV电容一路911电力电容器</t>
  </si>
  <si>
    <t>140300273654</t>
  </si>
  <si>
    <t>10kV电容三路913电力电容器</t>
  </si>
  <si>
    <t>140300273655</t>
  </si>
  <si>
    <t>10kV电容五路915电力电容器</t>
  </si>
  <si>
    <t>140300273656</t>
  </si>
  <si>
    <t>10kV电容一路981电力电容器</t>
  </si>
  <si>
    <t>140300273657</t>
  </si>
  <si>
    <t>10kV电容四路984电力电容器</t>
  </si>
  <si>
    <t>140300273658</t>
  </si>
  <si>
    <t>110KV蒲阳变电站10kV电容二路982电力电容器</t>
  </si>
  <si>
    <t>140300273659</t>
  </si>
  <si>
    <t>10kV电容三路983电力电容器</t>
  </si>
  <si>
    <t>140300273660</t>
  </si>
  <si>
    <t>10kV1号站用接地变器O相避雷器</t>
  </si>
  <si>
    <t>140300273661</t>
  </si>
  <si>
    <t>10kV2号站用接地变O相避雷器</t>
  </si>
  <si>
    <t>140300283347</t>
  </si>
  <si>
    <t>10kVPTA相电压互感器</t>
  </si>
  <si>
    <t>140300283348</t>
  </si>
  <si>
    <t>10kVPTC相电压互感器</t>
  </si>
  <si>
    <t>140300370247</t>
  </si>
  <si>
    <t>110kV驾金线1421隔离开关</t>
  </si>
  <si>
    <t>140300370248</t>
  </si>
  <si>
    <t>220kV源丹北线264断路器</t>
  </si>
  <si>
    <t>140300370249</t>
  </si>
  <si>
    <t>220kV源丹北线2641隔离开关</t>
  </si>
  <si>
    <t>140300370250</t>
  </si>
  <si>
    <t>220kV源丹北线2642隔离开关</t>
  </si>
  <si>
    <t>140300370251</t>
  </si>
  <si>
    <t>220kV源丹北线2646隔离开关</t>
  </si>
  <si>
    <t>140300370252</t>
  </si>
  <si>
    <t>220kV源丹北线264电流互感器A相</t>
  </si>
  <si>
    <t>140300370253</t>
  </si>
  <si>
    <t>220kV源丹北线264电流互感器B相</t>
  </si>
  <si>
    <t>140300370301</t>
  </si>
  <si>
    <t>220kV源丹北线264电流互感器C相</t>
  </si>
  <si>
    <t>140300370302</t>
  </si>
  <si>
    <t>220kV源丹北线264电压互感器A相</t>
  </si>
  <si>
    <t>140300395386</t>
  </si>
  <si>
    <t>110kVI母线</t>
  </si>
  <si>
    <t>140300395387</t>
  </si>
  <si>
    <t>110kVII母线</t>
  </si>
  <si>
    <t>140300395388</t>
  </si>
  <si>
    <t>140300395389</t>
  </si>
  <si>
    <t>140300395707</t>
  </si>
  <si>
    <t>110kV聚彩线152断路器</t>
  </si>
  <si>
    <t>140300395708</t>
  </si>
  <si>
    <t>140300395709</t>
  </si>
  <si>
    <t>110kV聚金彩支线151断路器</t>
  </si>
  <si>
    <t>140300395717</t>
  </si>
  <si>
    <t>110kV驾金线142线路B相电压互感器</t>
  </si>
  <si>
    <t>140300395803</t>
  </si>
  <si>
    <t>110kV内桥130断路器</t>
  </si>
  <si>
    <t>140300395804</t>
  </si>
  <si>
    <t>110kV驾金线142断路器</t>
  </si>
  <si>
    <t>140300395820</t>
  </si>
  <si>
    <t>110kV聚金线134断路器</t>
  </si>
  <si>
    <t>140300395828</t>
  </si>
  <si>
    <t>140300395829</t>
  </si>
  <si>
    <t>2号主变高压侧102断路器</t>
  </si>
  <si>
    <t>140300395830</t>
  </si>
  <si>
    <t>110kV胥灌线166断路器</t>
  </si>
  <si>
    <t>140300395989</t>
  </si>
  <si>
    <t>110kV聚彩线152线路A相电压互感器</t>
  </si>
  <si>
    <t>140300395990</t>
  </si>
  <si>
    <t>110kV聚金彩支线151线路A相电压互感器</t>
  </si>
  <si>
    <t>140300395991</t>
  </si>
  <si>
    <t>140300395992</t>
  </si>
  <si>
    <t>140300395993</t>
  </si>
  <si>
    <t>140300396015</t>
  </si>
  <si>
    <t>110kVII母A相电压互感器</t>
  </si>
  <si>
    <t>140300396016</t>
  </si>
  <si>
    <t>110kVII母B相电压互感器</t>
  </si>
  <si>
    <t>140300396017</t>
  </si>
  <si>
    <t>110kVII母C相电压互感器</t>
  </si>
  <si>
    <t>140300396028</t>
  </si>
  <si>
    <t>110kV聚金线134A相电压互感器</t>
  </si>
  <si>
    <t>140300396031</t>
  </si>
  <si>
    <t>140300396032</t>
  </si>
  <si>
    <t>110kVI母PT1181隔离开关</t>
  </si>
  <si>
    <t>140300396033</t>
  </si>
  <si>
    <t>140300396034</t>
  </si>
  <si>
    <t>140300396035</t>
  </si>
  <si>
    <t>110kVII母PT1282隔离开关</t>
  </si>
  <si>
    <t>140300396392</t>
  </si>
  <si>
    <t>110kV聚彩线152A相电流互感器</t>
  </si>
  <si>
    <t>140300396393</t>
  </si>
  <si>
    <t>110kV聚金彩支线151A相电流互感器</t>
  </si>
  <si>
    <t>140300396394</t>
  </si>
  <si>
    <t>110kV聚金彩支线151B相电流互感器</t>
  </si>
  <si>
    <t>140300396395</t>
  </si>
  <si>
    <t>110kV聚金彩支线151C相电流互感器</t>
  </si>
  <si>
    <t>140300396396</t>
  </si>
  <si>
    <t>1号主变110kV中性点间隙电流互感器O相</t>
  </si>
  <si>
    <t>140300396397</t>
  </si>
  <si>
    <t>110kV聚彩线152C相电流互感器</t>
  </si>
  <si>
    <t>140300396398</t>
  </si>
  <si>
    <t>110kV聚彩线152B相电流互感器</t>
  </si>
  <si>
    <t>140300396399</t>
  </si>
  <si>
    <t>110kV内桥112断路器A相电流互感器</t>
  </si>
  <si>
    <t>140300396400</t>
  </si>
  <si>
    <t>110kV内桥112断路器B相电流互感器</t>
  </si>
  <si>
    <t>140300396401</t>
  </si>
  <si>
    <t>110kV内桥112断路器C相电流互感器</t>
  </si>
  <si>
    <t>140300396402</t>
  </si>
  <si>
    <t>110kV聚金线134B相电流互感器</t>
  </si>
  <si>
    <t>140300396403</t>
  </si>
  <si>
    <t>110kV聚金线134A相电流互感器</t>
  </si>
  <si>
    <t>140300396404</t>
  </si>
  <si>
    <t>110kV聚金线134C相电流互感器</t>
  </si>
  <si>
    <t>140300396405</t>
  </si>
  <si>
    <t>2号主变110kV间隙电流互感器</t>
  </si>
  <si>
    <t>140300396674</t>
  </si>
  <si>
    <t>110kV聚彩线152线路避雷器A相</t>
  </si>
  <si>
    <t>140300396675</t>
  </si>
  <si>
    <t>110kV聚彩线152线路避雷器B相</t>
  </si>
  <si>
    <t>140300396676</t>
  </si>
  <si>
    <t>110kV聚彩线152线路避雷器C相</t>
  </si>
  <si>
    <t>140300396677</t>
  </si>
  <si>
    <t>110kV聚金彩支线151线路A相避雷器</t>
  </si>
  <si>
    <t>140300396678</t>
  </si>
  <si>
    <t>110kV聚金彩支线151线路B相避雷器</t>
  </si>
  <si>
    <t>140300396679</t>
  </si>
  <si>
    <t>110kV聚金彩支线151线路C相避雷器</t>
  </si>
  <si>
    <t>140300396680</t>
  </si>
  <si>
    <t>140300396681</t>
  </si>
  <si>
    <t>140300399652</t>
  </si>
  <si>
    <t>110kV聚金线134A相避雷器</t>
  </si>
  <si>
    <t>140300399653</t>
  </si>
  <si>
    <t>110kV聚金线134B相避雷器</t>
  </si>
  <si>
    <t>140300399654</t>
  </si>
  <si>
    <t>110kV聚金线134C相避雷器</t>
  </si>
  <si>
    <t>140300399662</t>
  </si>
  <si>
    <t>110kV聚金线1341隔离开关</t>
  </si>
  <si>
    <t>140300399663</t>
  </si>
  <si>
    <t>110kV聚金线1342隔离开关</t>
  </si>
  <si>
    <t>140300399664</t>
  </si>
  <si>
    <t>110kV聚金线1343隔离开关</t>
  </si>
  <si>
    <t>140300401574</t>
  </si>
  <si>
    <t>140300401575</t>
  </si>
  <si>
    <t>140300412758</t>
  </si>
  <si>
    <t>1号主变35kV侧母线桥避雷器C相</t>
  </si>
  <si>
    <t>140300414546</t>
  </si>
  <si>
    <t>110kV聚金线143线路A相电压互感器</t>
  </si>
  <si>
    <t>140300414547</t>
  </si>
  <si>
    <t>110kV聚金线143线路C相电压互感器</t>
  </si>
  <si>
    <t>140300414548</t>
  </si>
  <si>
    <t>110kV内桥1301隔离开关</t>
  </si>
  <si>
    <t>140300414640</t>
  </si>
  <si>
    <t>2号主变110kV套管电流互感器A相</t>
  </si>
  <si>
    <t>140300414641</t>
  </si>
  <si>
    <t>2号主变110kV套管电流互感器C相</t>
  </si>
  <si>
    <t>140300416145</t>
  </si>
  <si>
    <t>35kV幸关线5051隔离开关</t>
  </si>
  <si>
    <t>140300416153</t>
  </si>
  <si>
    <t>10kV备用9113隔离开关</t>
  </si>
  <si>
    <t>140300416188</t>
  </si>
  <si>
    <t>10kV金铁一路9043隔离开关</t>
  </si>
  <si>
    <t>140300416190</t>
  </si>
  <si>
    <t>10kV金土路9162隔离开关</t>
  </si>
  <si>
    <t>140300416198</t>
  </si>
  <si>
    <t>10kV备用9123隔离开关</t>
  </si>
  <si>
    <t>140300416230</t>
  </si>
  <si>
    <t>10kV金土路916开关柜</t>
  </si>
  <si>
    <t>140300416234</t>
  </si>
  <si>
    <t>10kV金源三路908断路器A相避雷器</t>
  </si>
  <si>
    <t>140300416236</t>
  </si>
  <si>
    <t>10kV金源三路908开关柜</t>
  </si>
  <si>
    <t>140300416241</t>
  </si>
  <si>
    <t>10kV金源二路912开关柜</t>
  </si>
  <si>
    <t>140300416242</t>
  </si>
  <si>
    <t>10kV备用911开关柜</t>
  </si>
  <si>
    <t>140300416245</t>
  </si>
  <si>
    <t>10kV金铁一路904开关柜开关柜</t>
  </si>
  <si>
    <t>140300416260</t>
  </si>
  <si>
    <t>35kVI段B相电压互感器</t>
  </si>
  <si>
    <t>140300416261</t>
  </si>
  <si>
    <t>35kVI段A相电压互感器</t>
  </si>
  <si>
    <t>140300416262</t>
  </si>
  <si>
    <t>35kVI段C相电压互感器</t>
  </si>
  <si>
    <t>140300416263</t>
  </si>
  <si>
    <t>35kVI段A相避雷器</t>
  </si>
  <si>
    <t>140300416264</t>
  </si>
  <si>
    <t>35kVI段B相避雷器</t>
  </si>
  <si>
    <t>140300416265</t>
  </si>
  <si>
    <t>35kVI段C相避雷器</t>
  </si>
  <si>
    <t>140300416266</t>
  </si>
  <si>
    <t>35kV磁小线311断路器A相电流互感器</t>
  </si>
  <si>
    <t>140300416267</t>
  </si>
  <si>
    <t>35kV磁小线311断路器B相电流互感器</t>
  </si>
  <si>
    <t>140300416268</t>
  </si>
  <si>
    <t>35kV磁小线311断路器C相电流互感器</t>
  </si>
  <si>
    <t>140300416269</t>
  </si>
  <si>
    <t>35kV磁小线311线路A相避雷器</t>
  </si>
  <si>
    <t>140300416270</t>
  </si>
  <si>
    <t>35kV磁小线311线路B相避雷器</t>
  </si>
  <si>
    <t>140300416271</t>
  </si>
  <si>
    <t>35kV磁小线311线路C相避雷器</t>
  </si>
  <si>
    <t>140300416285</t>
  </si>
  <si>
    <t>140300416286</t>
  </si>
  <si>
    <t>1号主变301断路器C相电流互感器</t>
  </si>
  <si>
    <t>140300416287</t>
  </si>
  <si>
    <t>1号主变301断路器A相电流互感器</t>
  </si>
  <si>
    <t>140300416288</t>
  </si>
  <si>
    <t>1号主变301断路器B相电流互感器</t>
  </si>
  <si>
    <t>140300416295</t>
  </si>
  <si>
    <t>35kVI母PT3716隔离开关</t>
  </si>
  <si>
    <t>140300416299</t>
  </si>
  <si>
    <t>35kV磁小线3113隔离开关</t>
  </si>
  <si>
    <t>140300416300</t>
  </si>
  <si>
    <t>1号主变高压侧3011隔离开关</t>
  </si>
  <si>
    <t>140300416301</t>
  </si>
  <si>
    <t>140300416307</t>
  </si>
  <si>
    <t>35kVI段A相熔断器</t>
  </si>
  <si>
    <t>140300416308</t>
  </si>
  <si>
    <t>35kVI段B相熔断器</t>
  </si>
  <si>
    <t>140300416309</t>
  </si>
  <si>
    <t>35kVI段C相熔断器</t>
  </si>
  <si>
    <t>140300416315</t>
  </si>
  <si>
    <t>140300416332</t>
  </si>
  <si>
    <t>10kV电容一路911电容器A相避雷器</t>
  </si>
  <si>
    <t>140300416333</t>
  </si>
  <si>
    <t>10kV电容一路911电容器B相避雷器</t>
  </si>
  <si>
    <t>140300416334</t>
  </si>
  <si>
    <t>10kV电容一路911电容器C相避雷器</t>
  </si>
  <si>
    <t>140300416336</t>
  </si>
  <si>
    <t>10kV电容五路915电容器C相避雷器</t>
  </si>
  <si>
    <t>140300416380</t>
  </si>
  <si>
    <t>140300416385</t>
  </si>
  <si>
    <t>140300416402</t>
  </si>
  <si>
    <t>10kVI段母线PT开关柜</t>
  </si>
  <si>
    <t>140300416415</t>
  </si>
  <si>
    <t>10kVII段母线PT开关柜</t>
  </si>
  <si>
    <t>140300416448</t>
  </si>
  <si>
    <t>10kV分段9122隔离开关柜</t>
  </si>
  <si>
    <t>140300416451</t>
  </si>
  <si>
    <t>10kV分段912开关柜</t>
  </si>
  <si>
    <t>140300416457</t>
  </si>
  <si>
    <t>140300416461</t>
  </si>
  <si>
    <t>140300416462</t>
  </si>
  <si>
    <t>10kV1号站用接地变消弧线圈避雷器O相</t>
  </si>
  <si>
    <t>140300416471</t>
  </si>
  <si>
    <t>10kV2号站用接地变消弧线圈避雷器O相</t>
  </si>
  <si>
    <t>140300416472</t>
  </si>
  <si>
    <t>140300416473</t>
  </si>
  <si>
    <t>140300416474</t>
  </si>
  <si>
    <t>10kV虹宾路907开关柜</t>
  </si>
  <si>
    <t>140300416475</t>
  </si>
  <si>
    <t>10kV虹景路950开关柜</t>
  </si>
  <si>
    <t>140300416477</t>
  </si>
  <si>
    <t>10kV虹联路924开关柜</t>
  </si>
  <si>
    <t>140300416478</t>
  </si>
  <si>
    <t>10kV虹民路923开关柜</t>
  </si>
  <si>
    <t>140300416481</t>
  </si>
  <si>
    <t>10kV虹勤路905开关柜</t>
  </si>
  <si>
    <t>140300416482</t>
  </si>
  <si>
    <t>10kV虹太路913开关柜</t>
  </si>
  <si>
    <t>140300416484</t>
  </si>
  <si>
    <t>10kV虹堂路927开关柜</t>
  </si>
  <si>
    <t>140300416486</t>
  </si>
  <si>
    <t>10kV虹天路926开关柜</t>
  </si>
  <si>
    <t>140300416487</t>
  </si>
  <si>
    <t>10kV虹新路925开关柜</t>
  </si>
  <si>
    <t>140300416489</t>
  </si>
  <si>
    <t>10kV虹永路909开关柜</t>
  </si>
  <si>
    <t>140300416490</t>
  </si>
  <si>
    <t>10kV虹玉路908开关柜</t>
  </si>
  <si>
    <t>140300416495</t>
  </si>
  <si>
    <t>140300416499</t>
  </si>
  <si>
    <t>140300416501</t>
  </si>
  <si>
    <t>10kV电容一路电容器A相避雷器</t>
  </si>
  <si>
    <t>140300416502</t>
  </si>
  <si>
    <t>10kV电容一路电容器B相避雷器</t>
  </si>
  <si>
    <t>140300416503</t>
  </si>
  <si>
    <t>10kV电容一路电容器C相避雷器</t>
  </si>
  <si>
    <t>140300416507</t>
  </si>
  <si>
    <t>140300416511</t>
  </si>
  <si>
    <t>140300416514</t>
  </si>
  <si>
    <t>140300416518</t>
  </si>
  <si>
    <t>10kV电容二路电容器避雷器A相</t>
  </si>
  <si>
    <t>140300416519</t>
  </si>
  <si>
    <t>10kV电容二路电容器避雷器B相</t>
  </si>
  <si>
    <t>140300416520</t>
  </si>
  <si>
    <t>10kV电容二路电容器避雷器C相</t>
  </si>
  <si>
    <t>140300416521</t>
  </si>
  <si>
    <t>140300416526</t>
  </si>
  <si>
    <t>10kV电容四路电力电容器</t>
  </si>
  <si>
    <t>140300416530</t>
  </si>
  <si>
    <t>10kV电容四路电容器A相避雷器</t>
  </si>
  <si>
    <t>140300416531</t>
  </si>
  <si>
    <t>10kV电容四路电容器B相避雷器</t>
  </si>
  <si>
    <t>140300416532</t>
  </si>
  <si>
    <t>10kV电容四路电容器C相避雷器</t>
  </si>
  <si>
    <t>140300416533</t>
  </si>
  <si>
    <t>140300416534</t>
  </si>
  <si>
    <t>140300416535</t>
  </si>
  <si>
    <t>140300416537</t>
  </si>
  <si>
    <t>1号主变10kV侧母线桥A相避雷器</t>
  </si>
  <si>
    <t>140300416538</t>
  </si>
  <si>
    <t>2号主变10kV侧母线桥C相避雷器</t>
  </si>
  <si>
    <t>140300416539</t>
  </si>
  <si>
    <t>1号主变10kV侧母线桥B相避雷器</t>
  </si>
  <si>
    <t>140300416540</t>
  </si>
  <si>
    <t>1号主变10kV侧母线桥C相避雷器</t>
  </si>
  <si>
    <t>140300416541</t>
  </si>
  <si>
    <t>2号主变10kV侧母线桥A相避雷器</t>
  </si>
  <si>
    <t>140300416542</t>
  </si>
  <si>
    <t>2号主变10kV侧母线桥B相避雷器</t>
  </si>
  <si>
    <t>140300422040</t>
  </si>
  <si>
    <t>10kVI母PT9016开关柜</t>
  </si>
  <si>
    <t>140300422041</t>
  </si>
  <si>
    <t>10kVII母PT9026开关柜</t>
  </si>
  <si>
    <t>140300422412</t>
  </si>
  <si>
    <t>110kV驾沿一线166组合电器</t>
  </si>
  <si>
    <t>140300422423</t>
  </si>
  <si>
    <t>110kV驾沿一线166线路A相电压互感器</t>
  </si>
  <si>
    <t>140300422424</t>
  </si>
  <si>
    <t>110kV驾沿一线166线路避雷器A相</t>
  </si>
  <si>
    <t>140300422425</t>
  </si>
  <si>
    <t>110kV驾沿一线166线路避雷器B相</t>
  </si>
  <si>
    <t>140300422426</t>
  </si>
  <si>
    <t>110kV驾沿一线166线路避雷器C相</t>
  </si>
  <si>
    <t>140300422427</t>
  </si>
  <si>
    <t>110kV驾沿二线167组合电器</t>
  </si>
  <si>
    <t>140300422428</t>
  </si>
  <si>
    <t>110kV驾沿二线167线路避雷器A相</t>
  </si>
  <si>
    <t>140300422429</t>
  </si>
  <si>
    <t>110kV驾沿二线167线路避雷器B相</t>
  </si>
  <si>
    <t>140300422430</t>
  </si>
  <si>
    <t>110kV驾沿二线167线路A相电压互感器</t>
  </si>
  <si>
    <t>140300422431</t>
  </si>
  <si>
    <t>110kV驾沿二线167线路避雷器C相</t>
  </si>
  <si>
    <t>140300428754</t>
  </si>
  <si>
    <t>2号主变302断路器</t>
  </si>
  <si>
    <t>140300428755</t>
  </si>
  <si>
    <t>2号主变3021隔离开关</t>
  </si>
  <si>
    <t>140300428756</t>
  </si>
  <si>
    <t>140300428757</t>
  </si>
  <si>
    <t>10kV电容二路9822电力电容器</t>
  </si>
  <si>
    <t>140300433152</t>
  </si>
  <si>
    <t>10kV电容一路9116隔离开关</t>
  </si>
  <si>
    <t>140300433156</t>
  </si>
  <si>
    <t>10kV电容五路9156隔离开关</t>
  </si>
  <si>
    <t>140300433157</t>
  </si>
  <si>
    <t>10kV电容五路915电容器A相避雷器</t>
  </si>
  <si>
    <t>140300433158</t>
  </si>
  <si>
    <t>10kV电容五路915电容器B相避雷器</t>
  </si>
  <si>
    <t>140300433162</t>
  </si>
  <si>
    <t>10kV电容三路913电容器A相避雷器</t>
  </si>
  <si>
    <t>140300433163</t>
  </si>
  <si>
    <t>10kV电容三路913电容器B相避雷器</t>
  </si>
  <si>
    <t>140300433164</t>
  </si>
  <si>
    <t>10kV电容三路913电容器C相避雷器</t>
  </si>
  <si>
    <t>140300433167</t>
  </si>
  <si>
    <t>10kV电容三路9136隔离开关</t>
  </si>
  <si>
    <t>140300433566</t>
  </si>
  <si>
    <t>35kV白香小支线3121隔离开关</t>
  </si>
  <si>
    <t>140300433567</t>
  </si>
  <si>
    <t>35kV白香小支线312断路器</t>
  </si>
  <si>
    <t>140300433568</t>
  </si>
  <si>
    <t>35kV白香小支线312断路器A相电流互感器</t>
  </si>
  <si>
    <t>140300433569</t>
  </si>
  <si>
    <t>35kV白香小支线312断路器B相电流互感器</t>
  </si>
  <si>
    <t>140300433570</t>
  </si>
  <si>
    <t>35kV白香小支线312断路器C相电流互感器</t>
  </si>
  <si>
    <t>140300433571</t>
  </si>
  <si>
    <t>35kV白香小支线312线路A相避雷器</t>
  </si>
  <si>
    <t>140300433572</t>
  </si>
  <si>
    <t>35kV白香小支线312线路B相避雷器</t>
  </si>
  <si>
    <t>140300433573</t>
  </si>
  <si>
    <t>35kV白香小支线312线路C相避雷器</t>
  </si>
  <si>
    <t>140300433574</t>
  </si>
  <si>
    <t>35kV磁小线311断路器</t>
  </si>
  <si>
    <t>140300433575</t>
  </si>
  <si>
    <t>35kV磁小线3111隔离开关</t>
  </si>
  <si>
    <t>140300433576</t>
  </si>
  <si>
    <t>35kV白香小支线3123隔离开关</t>
  </si>
  <si>
    <t>140300433577</t>
  </si>
  <si>
    <t>35kVI段母线</t>
  </si>
  <si>
    <t>140300433578</t>
  </si>
  <si>
    <t>35kVII段母线</t>
  </si>
  <si>
    <t>140300436418</t>
  </si>
  <si>
    <t>10kV虹丰路910开关柜</t>
  </si>
  <si>
    <t>140300436421</t>
  </si>
  <si>
    <t>10kV虹翔路914开关柜</t>
  </si>
  <si>
    <t>140300436423</t>
  </si>
  <si>
    <t>10kV虹江路922开关柜</t>
  </si>
  <si>
    <t>140300436425</t>
  </si>
  <si>
    <t>10kV虹佳路920开关柜</t>
  </si>
  <si>
    <t>140300436426</t>
  </si>
  <si>
    <t>140300436429</t>
  </si>
  <si>
    <t>10kV虹观线928开关柜</t>
  </si>
  <si>
    <t>140300436430</t>
  </si>
  <si>
    <t>10kV虹康路915开关柜</t>
  </si>
  <si>
    <t>140300436433</t>
  </si>
  <si>
    <t>10kV虹奎路929开关柜</t>
  </si>
  <si>
    <t>140300436435</t>
  </si>
  <si>
    <t>10kV虹西路906开关柜</t>
  </si>
  <si>
    <t>140300436437</t>
  </si>
  <si>
    <t>10kV电容三路电力电容器</t>
  </si>
  <si>
    <t>140300436441</t>
  </si>
  <si>
    <t>10kV电容三路电容器A相避雷器</t>
  </si>
  <si>
    <t>140300436442</t>
  </si>
  <si>
    <t>10kV电容三路电容器B相避雷器</t>
  </si>
  <si>
    <t>140300436443</t>
  </si>
  <si>
    <t>10kV电容三路电容器C相避雷器</t>
  </si>
  <si>
    <t>140300436451</t>
  </si>
  <si>
    <t>10kVⅡ段母线PT开关柜</t>
  </si>
  <si>
    <t>140300436452</t>
  </si>
  <si>
    <t>140300436453</t>
  </si>
  <si>
    <t>140300436455</t>
  </si>
  <si>
    <t>140300436478</t>
  </si>
  <si>
    <t>10kV小济路921断路器柜开关柜</t>
  </si>
  <si>
    <t>140300436479</t>
  </si>
  <si>
    <t>10kV备用922断路器开关柜</t>
  </si>
  <si>
    <t>140300436480</t>
  </si>
  <si>
    <t>10kVⅠ段PT9716开关柜</t>
  </si>
  <si>
    <t>140300436483</t>
  </si>
  <si>
    <t>140300436484</t>
  </si>
  <si>
    <t>140300444473</t>
  </si>
  <si>
    <t>140300449258</t>
  </si>
  <si>
    <t>220kV蜀驾二线265组合电器</t>
  </si>
  <si>
    <t>140300449259</t>
  </si>
  <si>
    <t>220kV蜀驾一线266组合电器</t>
  </si>
  <si>
    <t>140300449260</t>
  </si>
  <si>
    <t>220kV蜀驾一线266线路电压互感器A相</t>
  </si>
  <si>
    <t>140300449261</t>
  </si>
  <si>
    <t>220kV蜀驾一线266线路避雷器C相</t>
  </si>
  <si>
    <t>140300449262</t>
  </si>
  <si>
    <t>220kV蜀驾一线266线路避雷器A相</t>
  </si>
  <si>
    <t>140300449263</t>
  </si>
  <si>
    <t>220kV蜀驾一线266线路避雷器B相</t>
  </si>
  <si>
    <t>140300449264</t>
  </si>
  <si>
    <t>1号主变201组合电器</t>
  </si>
  <si>
    <t>140300449265</t>
  </si>
  <si>
    <t>220kV蜀驾二线265线路A相电压互感器</t>
  </si>
  <si>
    <t>140300449266</t>
  </si>
  <si>
    <t>220kV蜀驾二线265线路避雷器A相</t>
  </si>
  <si>
    <t>140300449267</t>
  </si>
  <si>
    <t>220kV蜀驾二线265线路避雷器B相</t>
  </si>
  <si>
    <t>140300449268</t>
  </si>
  <si>
    <t>220kV蜀驾二线265线路避雷器C相</t>
  </si>
  <si>
    <t>140300449269</t>
  </si>
  <si>
    <t>2号主变202组合电器</t>
  </si>
  <si>
    <t>140300449270</t>
  </si>
  <si>
    <t>220kVⅠ母PT组合电器</t>
  </si>
  <si>
    <t>140300449271</t>
  </si>
  <si>
    <t>220kVⅡ母PT组合电器</t>
  </si>
  <si>
    <t>140300449272</t>
  </si>
  <si>
    <t>220kV母联212组合电器</t>
  </si>
  <si>
    <t>140300449273</t>
  </si>
  <si>
    <t>110kV驾城线170组合电器</t>
  </si>
  <si>
    <t>140300449274</t>
  </si>
  <si>
    <t>110kV驾城线170线路A相电压互感器</t>
  </si>
  <si>
    <t>140300449275</t>
  </si>
  <si>
    <t>110kV驾城线170线路避雷器A相</t>
  </si>
  <si>
    <t>140300449276</t>
  </si>
  <si>
    <t>110kV驾城线170线路避雷器B相</t>
  </si>
  <si>
    <t>140300449277</t>
  </si>
  <si>
    <t>110kV驾城线170线路避雷器C相</t>
  </si>
  <si>
    <t>140300449278</t>
  </si>
  <si>
    <t>110kV驾济线171组合电器</t>
  </si>
  <si>
    <t>140300449279</t>
  </si>
  <si>
    <t>110kV驾济线171线路A相电压互感器</t>
  </si>
  <si>
    <t>140300449280</t>
  </si>
  <si>
    <t>110kV驾济线171线路避雷器A相</t>
  </si>
  <si>
    <t>140300449281</t>
  </si>
  <si>
    <t>110kV驾济线171线路避雷器B相</t>
  </si>
  <si>
    <t>140300449282</t>
  </si>
  <si>
    <t>110kV驾济线171线路避雷器C相</t>
  </si>
  <si>
    <t>140300449283</t>
  </si>
  <si>
    <t>110kV驾金线168组合电器</t>
  </si>
  <si>
    <t>140300449284</t>
  </si>
  <si>
    <t>110kV驾金线168线路避雷器A相</t>
  </si>
  <si>
    <t>140300449285</t>
  </si>
  <si>
    <t>110kV驾金线168线路A相电压互感器</t>
  </si>
  <si>
    <t>140300449286</t>
  </si>
  <si>
    <t>110kV驾金线168线路避雷器B相</t>
  </si>
  <si>
    <t>140300449287</t>
  </si>
  <si>
    <t>110kV驾金线168线路避雷器C相</t>
  </si>
  <si>
    <t>140300449288</t>
  </si>
  <si>
    <t>110kV母联112组合电器</t>
  </si>
  <si>
    <t>140300449289</t>
  </si>
  <si>
    <t>1号主变101组合电器</t>
  </si>
  <si>
    <t>140300449290</t>
  </si>
  <si>
    <t>2号主变102组合电器</t>
  </si>
  <si>
    <t>140300449291</t>
  </si>
  <si>
    <t>140300449292</t>
  </si>
  <si>
    <t>140300449293</t>
  </si>
  <si>
    <t>140300449294</t>
  </si>
  <si>
    <t>110kVⅠ母PT组合电器</t>
  </si>
  <si>
    <t>140300449295</t>
  </si>
  <si>
    <t>110kVⅡ母PT组合电器</t>
  </si>
  <si>
    <t>140300451701</t>
  </si>
  <si>
    <t>1号主变低压侧9016隔离开关</t>
  </si>
  <si>
    <t>140300451702</t>
  </si>
  <si>
    <t>2号主变低压侧9026隔离开关</t>
  </si>
  <si>
    <t>140300451703</t>
  </si>
  <si>
    <t>电容一路9718隔离开关</t>
  </si>
  <si>
    <t>140300451704</t>
  </si>
  <si>
    <t>10kV电容八路9788隔离开关</t>
  </si>
  <si>
    <t>140300451705</t>
  </si>
  <si>
    <t>电容五路9758隔离开关</t>
  </si>
  <si>
    <t>140300451706</t>
  </si>
  <si>
    <t>1号主变220kV侧中性点2019接地隔离开关O相</t>
  </si>
  <si>
    <t>140300451707</t>
  </si>
  <si>
    <t>140300451708</t>
  </si>
  <si>
    <t>140300451709</t>
  </si>
  <si>
    <t>2号主变中性点1029接地刀闸O相</t>
  </si>
  <si>
    <t>140300451710</t>
  </si>
  <si>
    <t>140300451711</t>
  </si>
  <si>
    <t>10kV电容九路9798隔离开关</t>
  </si>
  <si>
    <t>140300451712</t>
  </si>
  <si>
    <t>电容四路9748隔离开关</t>
  </si>
  <si>
    <t>140300451713</t>
  </si>
  <si>
    <t>10kV电容十路9708隔离开关</t>
  </si>
  <si>
    <t>140300451714</t>
  </si>
  <si>
    <t>10kV电容七路9778隔离开关</t>
  </si>
  <si>
    <t>140300451715</t>
  </si>
  <si>
    <t>140300451716</t>
  </si>
  <si>
    <t>10kV电容六路9768隔离开关</t>
  </si>
  <si>
    <t>140300451717</t>
  </si>
  <si>
    <t>140300451718</t>
  </si>
  <si>
    <t>140300451720</t>
  </si>
  <si>
    <t>140300451721</t>
  </si>
  <si>
    <t>110kV聚清线1401隔离开关</t>
  </si>
  <si>
    <t>140300451722</t>
  </si>
  <si>
    <t>140300451723</t>
  </si>
  <si>
    <t>10kV电容一路98160接地隔离开关</t>
  </si>
  <si>
    <t>140300451724</t>
  </si>
  <si>
    <t>10kV补偿电容器9093隔离开关</t>
  </si>
  <si>
    <t>140300453120</t>
  </si>
  <si>
    <t>140300453121</t>
  </si>
  <si>
    <t>140300453122</t>
  </si>
  <si>
    <t>10kV电容八路978开关柜</t>
  </si>
  <si>
    <t>140300453123</t>
  </si>
  <si>
    <t>140300453124</t>
  </si>
  <si>
    <t>10kV电容一路971电容器A相避雷器</t>
  </si>
  <si>
    <t>140300453125</t>
  </si>
  <si>
    <t>10kV电容一路971电容器B相避雷器</t>
  </si>
  <si>
    <t>140300453126</t>
  </si>
  <si>
    <t>10kV电容一路971电容器C相避雷器</t>
  </si>
  <si>
    <t>140300453127</t>
  </si>
  <si>
    <t>10kV电容八路978电力电容器</t>
  </si>
  <si>
    <t>140300453128</t>
  </si>
  <si>
    <t>10kV电容八路978电容器A相避雷器</t>
  </si>
  <si>
    <t>140300453129</t>
  </si>
  <si>
    <t>10kV电容八路978电容器B相避雷器</t>
  </si>
  <si>
    <t>140300453130</t>
  </si>
  <si>
    <t>10kV电容八路978电容器C相避雷器</t>
  </si>
  <si>
    <t>140300453131</t>
  </si>
  <si>
    <t>10kV电容一路971电力电容器</t>
  </si>
  <si>
    <t>140300453132</t>
  </si>
  <si>
    <t>10kVⅠ母PT9811开关柜</t>
  </si>
  <si>
    <t>140300453133</t>
  </si>
  <si>
    <t>1号主变220kV侧避雷器A相</t>
  </si>
  <si>
    <t>140300453134</t>
  </si>
  <si>
    <t>1号主变220kV侧避雷器B相</t>
  </si>
  <si>
    <t>140300453135</t>
  </si>
  <si>
    <t>1号主变220kV侧避雷器C相</t>
  </si>
  <si>
    <t>140300453136</t>
  </si>
  <si>
    <t>1号主变220kV侧中性点避雷器O相</t>
  </si>
  <si>
    <t>140300453137</t>
  </si>
  <si>
    <t>1号主变110kV侧中性点避雷器O相</t>
  </si>
  <si>
    <t>140300453138</t>
  </si>
  <si>
    <t>1号主变10kV侧避雷器A相</t>
  </si>
  <si>
    <t>140300453139</t>
  </si>
  <si>
    <t>1号主变10kV侧避雷器B相</t>
  </si>
  <si>
    <t>140300453140</t>
  </si>
  <si>
    <t>1号主变10kV侧避雷器C相</t>
  </si>
  <si>
    <t>140300453141</t>
  </si>
  <si>
    <t>1号主变220kV侧中性点间隙电流互感器O相</t>
  </si>
  <si>
    <t>140300453142</t>
  </si>
  <si>
    <t>1号主变110kV侧中性点间隙电流互感器</t>
  </si>
  <si>
    <t>140300453143</t>
  </si>
  <si>
    <t>10kV1号站用变961开关柜</t>
  </si>
  <si>
    <t>140300453144</t>
  </si>
  <si>
    <t>10kV2号站用变962开关柜</t>
  </si>
  <si>
    <t>140300453145</t>
  </si>
  <si>
    <t>2号主变220kV侧避雷器A相</t>
  </si>
  <si>
    <t>140300453146</t>
  </si>
  <si>
    <t>2号主变220kV侧避雷器B相</t>
  </si>
  <si>
    <t>140300453147</t>
  </si>
  <si>
    <t>2号主变220kV侧避雷器C相</t>
  </si>
  <si>
    <t>140300453148</t>
  </si>
  <si>
    <t>140300453149</t>
  </si>
  <si>
    <t>140300453150</t>
  </si>
  <si>
    <t>140300453151</t>
  </si>
  <si>
    <t>2号主变10kV侧避雷器A相</t>
  </si>
  <si>
    <t>140300453152</t>
  </si>
  <si>
    <t>2号主变10kV侧避雷器B相</t>
  </si>
  <si>
    <t>140300453153</t>
  </si>
  <si>
    <t>2号主变10kV侧避雷器C相</t>
  </si>
  <si>
    <t>140300453154</t>
  </si>
  <si>
    <t>2号主变220kV侧中性点间隙电流互感器O相</t>
  </si>
  <si>
    <t>140300453155</t>
  </si>
  <si>
    <t>2号主变110kV侧中性点间隙电流互感器O相</t>
  </si>
  <si>
    <t>140300453156</t>
  </si>
  <si>
    <t>2号主变220kV中性点避雷器O相</t>
  </si>
  <si>
    <t>140300453157</t>
  </si>
  <si>
    <t>140300453158</t>
  </si>
  <si>
    <t>10kVⅡ母PT9822开关柜</t>
  </si>
  <si>
    <t>140300453159</t>
  </si>
  <si>
    <t>10kV电容二路972电力电容器</t>
  </si>
  <si>
    <t>140300453160</t>
  </si>
  <si>
    <t>10kV电容五路975电力电容器</t>
  </si>
  <si>
    <t>140300453161</t>
  </si>
  <si>
    <t>10kV电容二路972电容器A相避雷器</t>
  </si>
  <si>
    <t>140300453162</t>
  </si>
  <si>
    <t>10kV电容二路972电容器B相避雷器</t>
  </si>
  <si>
    <t>140300453163</t>
  </si>
  <si>
    <t>10kV电容二路972电容器C相避雷器</t>
  </si>
  <si>
    <t>140300453164</t>
  </si>
  <si>
    <t>10kV电容五路975电容器A相避雷器</t>
  </si>
  <si>
    <t>140300453165</t>
  </si>
  <si>
    <t>10kV电容五路975电容器B相避雷器</t>
  </si>
  <si>
    <t>140300453166</t>
  </si>
  <si>
    <t>10kV电容五路975电容器C相避雷器</t>
  </si>
  <si>
    <t>140300453167</t>
  </si>
  <si>
    <t>140300453168</t>
  </si>
  <si>
    <t>10kV电容五路975开关柜</t>
  </si>
  <si>
    <t>140300453169</t>
  </si>
  <si>
    <t>10kV电容九路979电力电容器</t>
  </si>
  <si>
    <t>140300453170</t>
  </si>
  <si>
    <t>10kV电容九路979电容器A相避雷器</t>
  </si>
  <si>
    <t>140300453171</t>
  </si>
  <si>
    <t>10kV电容九路979电容器B相避雷器</t>
  </si>
  <si>
    <t>140300453172</t>
  </si>
  <si>
    <t>10kV电容九路979电容器C相避雷器</t>
  </si>
  <si>
    <t>140300453174</t>
  </si>
  <si>
    <t>10kV电容九路979开关柜</t>
  </si>
  <si>
    <t>140300453175</t>
  </si>
  <si>
    <t>10kV电容四路974电力电容器</t>
  </si>
  <si>
    <t>140300453176</t>
  </si>
  <si>
    <t>10kV电容四路974电容器A相避雷器</t>
  </si>
  <si>
    <t>140300453177</t>
  </si>
  <si>
    <t>10kV电容四路974电容器B相避雷器</t>
  </si>
  <si>
    <t>140300453178</t>
  </si>
  <si>
    <t>10kV电容四路974电容器C相避雷器</t>
  </si>
  <si>
    <t>140300453179</t>
  </si>
  <si>
    <t>140300453181</t>
  </si>
  <si>
    <t>10kV电容六路976电容A相避雷器</t>
  </si>
  <si>
    <t>140300453182</t>
  </si>
  <si>
    <t>10kV电容六路976电容C相避雷器</t>
  </si>
  <si>
    <t>140300453183</t>
  </si>
  <si>
    <t>10kV电容十路970开关柜</t>
  </si>
  <si>
    <t>140300453184</t>
  </si>
  <si>
    <t>10kV电容六路976电容B相避雷器</t>
  </si>
  <si>
    <t>140300453185</t>
  </si>
  <si>
    <t>10kV电容十路970电力电容器</t>
  </si>
  <si>
    <t>140300453186</t>
  </si>
  <si>
    <t>10kV电容十路970电容器A相避雷器</t>
  </si>
  <si>
    <t>140300453187</t>
  </si>
  <si>
    <t>10kV电容十路970电容器B相避雷器</t>
  </si>
  <si>
    <t>140300453188</t>
  </si>
  <si>
    <t>10kV电容十路970电容器C相避雷器</t>
  </si>
  <si>
    <t>140300453189</t>
  </si>
  <si>
    <t>10kV电容六路976开关柜</t>
  </si>
  <si>
    <t>140300453190</t>
  </si>
  <si>
    <t>10kV电容七路977电力电容器</t>
  </si>
  <si>
    <t>140300453191</t>
  </si>
  <si>
    <t>10kV电容七路977电容器A相避雷器</t>
  </si>
  <si>
    <t>140300453192</t>
  </si>
  <si>
    <t>10kV电容七路977电容器B相避雷器</t>
  </si>
  <si>
    <t>140300453193</t>
  </si>
  <si>
    <t>10kV电容七路977电容器C相避雷器</t>
  </si>
  <si>
    <t>140300453194</t>
  </si>
  <si>
    <t>10kV电容三路973电力电容器</t>
  </si>
  <si>
    <t>140300453195</t>
  </si>
  <si>
    <t>10kV电容七路977开关柜</t>
  </si>
  <si>
    <t>140300453196</t>
  </si>
  <si>
    <t>10kV电容三路973电容器A相避雷器</t>
  </si>
  <si>
    <t>140300453197</t>
  </si>
  <si>
    <t>10kV电容三路973电容器B相避雷器</t>
  </si>
  <si>
    <t>140300453198</t>
  </si>
  <si>
    <t>10kV电容三路973电容器C相避雷器</t>
  </si>
  <si>
    <t>140300453199</t>
  </si>
  <si>
    <t>140300453200</t>
  </si>
  <si>
    <t>10kV电容六路976电力电容器</t>
  </si>
  <si>
    <t>140300453586</t>
  </si>
  <si>
    <t>10KV电容路909电容器A相避雷器</t>
  </si>
  <si>
    <t>140300453587</t>
  </si>
  <si>
    <t>10KV电容路909电容器B相避雷器</t>
  </si>
  <si>
    <t>140300453588</t>
  </si>
  <si>
    <t>10KV电容路909电容器C相避雷器</t>
  </si>
  <si>
    <t>140300453593</t>
  </si>
  <si>
    <t>10kV电容一路981电容器A相避雷器</t>
  </si>
  <si>
    <t>140300453594</t>
  </si>
  <si>
    <t>10kV电容一路981电容器B相避雷器</t>
  </si>
  <si>
    <t>140300453595</t>
  </si>
  <si>
    <t>10kV电容一路981电容器C相避雷器</t>
  </si>
  <si>
    <t>140300453596</t>
  </si>
  <si>
    <t>1号主变901避雷器A相</t>
  </si>
  <si>
    <t>140300453597</t>
  </si>
  <si>
    <t>1号主变901避雷器B相</t>
  </si>
  <si>
    <t>140300453598</t>
  </si>
  <si>
    <t>1号主变901避雷器C相</t>
  </si>
  <si>
    <t>140300453599</t>
  </si>
  <si>
    <t>140300453600</t>
  </si>
  <si>
    <t>140300453601</t>
  </si>
  <si>
    <t>140300453602</t>
  </si>
  <si>
    <t>10kV小通路912线路A相避雷器</t>
  </si>
  <si>
    <t>140300453603</t>
  </si>
  <si>
    <t>10kV小通路912线路B相避雷器</t>
  </si>
  <si>
    <t>140300453604</t>
  </si>
  <si>
    <t>10kV小通路912线路C相避雷器</t>
  </si>
  <si>
    <t>140300454254</t>
  </si>
  <si>
    <t>10kV电容八路928电容器B相避雷器</t>
  </si>
  <si>
    <t>140300454255</t>
  </si>
  <si>
    <t>10kV金铁一路904线路B相避雷器</t>
  </si>
  <si>
    <t>140300454256</t>
  </si>
  <si>
    <t>10kV金铁一路904线路C相避雷器</t>
  </si>
  <si>
    <t>140300454257</t>
  </si>
  <si>
    <t>10kV备用912线路避雷器B相</t>
  </si>
  <si>
    <t>140300454258</t>
  </si>
  <si>
    <t>10kV备用912线路避雷器C相</t>
  </si>
  <si>
    <t>140300454259</t>
  </si>
  <si>
    <t>10kV金源三路908断路器B相避雷器</t>
  </si>
  <si>
    <t>140300454260</t>
  </si>
  <si>
    <t>10kV金源三路908断路器C相避雷器</t>
  </si>
  <si>
    <t>140300454261</t>
  </si>
  <si>
    <t>110kV聚金线143线路B相避雷器</t>
  </si>
  <si>
    <t>140300454262</t>
  </si>
  <si>
    <t>110kV聚金线143线路C相避雷器</t>
  </si>
  <si>
    <t>140300454263</t>
  </si>
  <si>
    <t>140300454264</t>
  </si>
  <si>
    <t>2号主变302A相电流互感器</t>
  </si>
  <si>
    <t>140300454265</t>
  </si>
  <si>
    <t>2号主变302B相电流互感器</t>
  </si>
  <si>
    <t>140300454266</t>
  </si>
  <si>
    <t>2号主变302C相电流互感器</t>
  </si>
  <si>
    <t>140300454267</t>
  </si>
  <si>
    <t>10kV电容二路982电容器A相避雷器</t>
  </si>
  <si>
    <t>140300454268</t>
  </si>
  <si>
    <t>10kV电容二路982电容器B相避雷器</t>
  </si>
  <si>
    <t>140300454269</t>
  </si>
  <si>
    <t>10kV电容二路982电容器C相避雷器</t>
  </si>
  <si>
    <t>140300454270</t>
  </si>
  <si>
    <t>140300459534</t>
  </si>
  <si>
    <t>1号主变110kV套管电流互感器A相</t>
  </si>
  <si>
    <t>140300459535</t>
  </si>
  <si>
    <t>1号主变110kV套管电流互感器B相</t>
  </si>
  <si>
    <t>140300459536</t>
  </si>
  <si>
    <t>1号主变110kV套管电流互感器C相</t>
  </si>
  <si>
    <t>140300464067</t>
  </si>
  <si>
    <t>110kV驾沿二线152线路B相避雷器</t>
  </si>
  <si>
    <t>140300464068</t>
  </si>
  <si>
    <t>110kV驾沿二线152线路C相避雷器</t>
  </si>
  <si>
    <t>140300464069</t>
  </si>
  <si>
    <t>110kV驾沿二线152线路A相避雷器</t>
  </si>
  <si>
    <t>140300464070</t>
  </si>
  <si>
    <t>110kV驾沿一线151线路B相避雷器</t>
  </si>
  <si>
    <t>140300464071</t>
  </si>
  <si>
    <t>110kV驾沿一线151线路A相避雷器</t>
  </si>
  <si>
    <t>140300464072</t>
  </si>
  <si>
    <t>110kV驾沿一线151线路C相避雷器</t>
  </si>
  <si>
    <t>140300464073</t>
  </si>
  <si>
    <t>1号主变110kV侧中性点1019接地隔离开关</t>
  </si>
  <si>
    <t>140300464074</t>
  </si>
  <si>
    <t>1号主变110kV侧中性点间隙电流互感器O相</t>
  </si>
  <si>
    <t>140300464075</t>
  </si>
  <si>
    <t>1号主变110kV侧中性点避雷器</t>
  </si>
  <si>
    <t>140300464076</t>
  </si>
  <si>
    <t>140300464077</t>
  </si>
  <si>
    <t>140300464078</t>
  </si>
  <si>
    <t>140300464079</t>
  </si>
  <si>
    <t>110kV驾沿二线152组合电器</t>
  </si>
  <si>
    <t>140300464080</t>
  </si>
  <si>
    <t>140300464081</t>
  </si>
  <si>
    <t>2号主变10kV侧A相避雷器</t>
  </si>
  <si>
    <t>140300464082</t>
  </si>
  <si>
    <t>140300464083</t>
  </si>
  <si>
    <t>140300464084</t>
  </si>
  <si>
    <t>110kV驾沿一线151组合电器</t>
  </si>
  <si>
    <t>140300464085</t>
  </si>
  <si>
    <t>1号主变1011开关组合电器</t>
  </si>
  <si>
    <t>140300464086</t>
  </si>
  <si>
    <t>2号主变1022开关组合电器</t>
  </si>
  <si>
    <t>140300464087</t>
  </si>
  <si>
    <t>2号主变110kV侧中性点避雷器</t>
  </si>
  <si>
    <t>140300464090</t>
  </si>
  <si>
    <t>110kV内桥112组合电器</t>
  </si>
  <si>
    <t>140300464091</t>
  </si>
  <si>
    <t>10kV备用905开关柜</t>
  </si>
  <si>
    <t>140300464092</t>
  </si>
  <si>
    <t>10kV备用906开关柜</t>
  </si>
  <si>
    <t>140300464093</t>
  </si>
  <si>
    <t>140300464094</t>
  </si>
  <si>
    <t>10kV备用908开关柜</t>
  </si>
  <si>
    <t>140300464095</t>
  </si>
  <si>
    <t>10kV沿桥路909开关柜</t>
  </si>
  <si>
    <t>140300464096</t>
  </si>
  <si>
    <t>10kV备用910开关柜</t>
  </si>
  <si>
    <t>140300464097</t>
  </si>
  <si>
    <t>10kV备用913开关柜</t>
  </si>
  <si>
    <t>140300464098</t>
  </si>
  <si>
    <t>140300464099</t>
  </si>
  <si>
    <t>140300464100</t>
  </si>
  <si>
    <t>140300464101</t>
  </si>
  <si>
    <t>10kV沿翠路917开关柜</t>
  </si>
  <si>
    <t>140300464102</t>
  </si>
  <si>
    <t>140300464103</t>
  </si>
  <si>
    <t>10kV备用920开关柜</t>
  </si>
  <si>
    <t>140300464104</t>
  </si>
  <si>
    <t>10kV备用922开关柜</t>
  </si>
  <si>
    <t>140300464105</t>
  </si>
  <si>
    <t>140300464106</t>
  </si>
  <si>
    <t>10kV沿宝路924开关柜</t>
  </si>
  <si>
    <t>140300464107</t>
  </si>
  <si>
    <t>10kV备用925开关柜</t>
  </si>
  <si>
    <t>140300464108</t>
  </si>
  <si>
    <t>10kV备用926开关柜</t>
  </si>
  <si>
    <t>140300464109</t>
  </si>
  <si>
    <t>10kV备用927开关柜</t>
  </si>
  <si>
    <t>140300464110</t>
  </si>
  <si>
    <t>140300464111</t>
  </si>
  <si>
    <t>10kV备用929开关柜</t>
  </si>
  <si>
    <t>140300464112</t>
  </si>
  <si>
    <t>10kV备用950开关柜</t>
  </si>
  <si>
    <t>140300464113</t>
  </si>
  <si>
    <t>10kV备用951开关柜</t>
  </si>
  <si>
    <t>140300464114</t>
  </si>
  <si>
    <t>10kV备用952开关柜</t>
  </si>
  <si>
    <t>140300464115</t>
  </si>
  <si>
    <t>140300464116</t>
  </si>
  <si>
    <t>140300464120</t>
  </si>
  <si>
    <t>10kV母联9122开关柜</t>
  </si>
  <si>
    <t>140300464121</t>
  </si>
  <si>
    <t>10kV母联912开关柜</t>
  </si>
  <si>
    <t>140300464122</t>
  </si>
  <si>
    <t>140300464123</t>
  </si>
  <si>
    <t>10kV1号站用接地变中性点消弧线圈9619中性点隔离开关</t>
  </si>
  <si>
    <t>140300464124</t>
  </si>
  <si>
    <t>10kV1号站用接地变961消弧装置</t>
  </si>
  <si>
    <t>140300464125</t>
  </si>
  <si>
    <t>10kV2号站用接地变962消弧装置</t>
  </si>
  <si>
    <t>140300464126</t>
  </si>
  <si>
    <t>140300464127</t>
  </si>
  <si>
    <t>10kV电容二路972电容器组A相避雷器</t>
  </si>
  <si>
    <t>140300464128</t>
  </si>
  <si>
    <t>10kV电容二路972电容器组B相避雷器</t>
  </si>
  <si>
    <t>140300464129</t>
  </si>
  <si>
    <t>10kV电容二路972电容器组C相避雷器</t>
  </si>
  <si>
    <t>140300464130</t>
  </si>
  <si>
    <t>140300464131</t>
  </si>
  <si>
    <t>140300464132</t>
  </si>
  <si>
    <t>10kV电容三路973电容器组A相避雷器</t>
  </si>
  <si>
    <t>140300464133</t>
  </si>
  <si>
    <t>140300464134</t>
  </si>
  <si>
    <t>10kV电容三路973电容器组B相避雷器</t>
  </si>
  <si>
    <t>140300464135</t>
  </si>
  <si>
    <t>10kV电容三路973电容器组C相避雷器</t>
  </si>
  <si>
    <t>140300464136</t>
  </si>
  <si>
    <t>140300464137</t>
  </si>
  <si>
    <t>10kV电容四路974电容器组C相避雷器</t>
  </si>
  <si>
    <t>140300464138</t>
  </si>
  <si>
    <t>10kV电容四路974电容器组A相避雷器</t>
  </si>
  <si>
    <t>140300464139</t>
  </si>
  <si>
    <t>10kV电容四路974电容器组B相避雷器</t>
  </si>
  <si>
    <t>140300464140</t>
  </si>
  <si>
    <t>140300464141</t>
  </si>
  <si>
    <t>140300464142</t>
  </si>
  <si>
    <t>10kV电容一路971电容器组B相避雷器</t>
  </si>
  <si>
    <t>140300464143</t>
  </si>
  <si>
    <t>10kV电容一路971电容器组C相避雷器</t>
  </si>
  <si>
    <t>140300464144</t>
  </si>
  <si>
    <t>10kV电容一路971电容器组A相避雷器</t>
  </si>
  <si>
    <t>140300464145</t>
  </si>
  <si>
    <t>140300464146</t>
  </si>
  <si>
    <t>2号主变110kV侧中性点间隙电流互感器</t>
  </si>
  <si>
    <t>140300464147</t>
  </si>
  <si>
    <t>140300464148</t>
  </si>
  <si>
    <t>140300464149</t>
  </si>
  <si>
    <t>10kV974电力电容器</t>
  </si>
  <si>
    <t>140300464150</t>
  </si>
  <si>
    <t>110kVII母PT组合电器</t>
  </si>
  <si>
    <t>140300464151</t>
  </si>
  <si>
    <t>110kVI母PT组合电器</t>
  </si>
  <si>
    <t>140300464158</t>
  </si>
  <si>
    <t>10kVII母PT9822开关柜</t>
  </si>
  <si>
    <t>140300464159</t>
  </si>
  <si>
    <t>10kVI母PT9811开关柜</t>
  </si>
  <si>
    <t>140300464160</t>
  </si>
  <si>
    <t>140300468028</t>
  </si>
  <si>
    <t>220kV备用261组合电器</t>
  </si>
  <si>
    <t>140300468029</t>
  </si>
  <si>
    <t>220kV备用262组合电器</t>
  </si>
  <si>
    <t>140300468030</t>
  </si>
  <si>
    <t>110kV备用163组合电器</t>
  </si>
  <si>
    <t>140300468031</t>
  </si>
  <si>
    <t>110kV备用172组合电器</t>
  </si>
  <si>
    <t>140300468032</t>
  </si>
  <si>
    <t>110kV备用169组合电器</t>
  </si>
  <si>
    <t>140300468033</t>
  </si>
  <si>
    <t>110kV备用164组合电器</t>
  </si>
  <si>
    <t>140300468034</t>
  </si>
  <si>
    <t>110kV备用165组合电器</t>
  </si>
  <si>
    <t>140300468035</t>
  </si>
  <si>
    <t>140300468036</t>
  </si>
  <si>
    <t>110kV备用165线路A相避雷器</t>
  </si>
  <si>
    <t>140300468037</t>
  </si>
  <si>
    <t>110kV备用165线路B相避雷器</t>
  </si>
  <si>
    <t>140300468038</t>
  </si>
  <si>
    <t>110kV备用165线路C相避雷器</t>
  </si>
  <si>
    <t>140300475467</t>
  </si>
  <si>
    <t>140300475468</t>
  </si>
  <si>
    <t>140300475469</t>
  </si>
  <si>
    <t>140300478523</t>
  </si>
  <si>
    <t>110kV蒲新线144线路A相避雷器</t>
  </si>
  <si>
    <t>140300478524</t>
  </si>
  <si>
    <t>110kV蒲新线144线路C相避雷器</t>
  </si>
  <si>
    <t>140300478525</t>
  </si>
  <si>
    <t>110kV蒲新线144线路B相避雷器</t>
  </si>
  <si>
    <t>140300479123</t>
  </si>
  <si>
    <t>140300480826</t>
  </si>
  <si>
    <t>10kV金土路9161隔离开关</t>
  </si>
  <si>
    <t>140300480828</t>
  </si>
  <si>
    <t>10kV备用911线路避雷器A相</t>
  </si>
  <si>
    <t>140300480829</t>
  </si>
  <si>
    <t>10kV金铁一璐9041隔离开关</t>
  </si>
  <si>
    <t>140300480834</t>
  </si>
  <si>
    <t>10kV备用912线路避雷器A相</t>
  </si>
  <si>
    <t>140300480848</t>
  </si>
  <si>
    <t>10kV金源三路9082隔离开关</t>
  </si>
  <si>
    <t>140300480850</t>
  </si>
  <si>
    <t>10kV备用911线路避雷器B相</t>
  </si>
  <si>
    <t>140300480852</t>
  </si>
  <si>
    <t>10kV金铁一路9042隔离开关</t>
  </si>
  <si>
    <t>140300480853</t>
  </si>
  <si>
    <t>10kV金源二路9122隔离开关</t>
  </si>
  <si>
    <t>140300480866</t>
  </si>
  <si>
    <t>140300480867</t>
  </si>
  <si>
    <t>140300480868</t>
  </si>
  <si>
    <t>10kVI段母线</t>
  </si>
  <si>
    <t>140300480869</t>
  </si>
  <si>
    <t>10kVⅠⅠ段母线</t>
  </si>
  <si>
    <t>140300480870</t>
  </si>
  <si>
    <t>140300480871</t>
  </si>
  <si>
    <t>140300481206</t>
  </si>
  <si>
    <t>110kV驾金线142线路C相电压互感器</t>
  </si>
  <si>
    <t>140300484363</t>
  </si>
  <si>
    <t>110kV驾金线1423隔离开关</t>
  </si>
  <si>
    <t>140300484364</t>
  </si>
  <si>
    <t>140300487953</t>
  </si>
  <si>
    <t>1号主变高压侧5011隔离开关</t>
  </si>
  <si>
    <t>140300487954</t>
  </si>
  <si>
    <t>35kVI段PT5016隔离开关</t>
  </si>
  <si>
    <t>140300489217</t>
  </si>
  <si>
    <t>110kV聚胥线1411隔离开关</t>
  </si>
  <si>
    <t>140300489218</t>
  </si>
  <si>
    <t>110kV聚胥线1413隔离开关</t>
  </si>
  <si>
    <t>140300489219</t>
  </si>
  <si>
    <t>110KV母线分段1301隔离开关</t>
  </si>
  <si>
    <t>140300489220</t>
  </si>
  <si>
    <t>110kV备用1431隔离开关</t>
  </si>
  <si>
    <t>140300489221</t>
  </si>
  <si>
    <t>110kV备用1433隔离开关</t>
  </si>
  <si>
    <t>140300489222</t>
  </si>
  <si>
    <t>140300489223</t>
  </si>
  <si>
    <t>140300489224</t>
  </si>
  <si>
    <t>110KV母线分段1302隔离开关</t>
  </si>
  <si>
    <t>140300489225</t>
  </si>
  <si>
    <t>110KVII母PT1028隔离开关</t>
  </si>
  <si>
    <t>140300489242</t>
  </si>
  <si>
    <t>110kV聚彩线1526隔离开关</t>
  </si>
  <si>
    <t>140300489243</t>
  </si>
  <si>
    <t>110kV聚彩线1522隔离开关</t>
  </si>
  <si>
    <t>140300489244</t>
  </si>
  <si>
    <t>110kV聚金彩支线1516隔离开关</t>
  </si>
  <si>
    <t>140300489245</t>
  </si>
  <si>
    <t>110kV聚金彩支线1511隔离开关</t>
  </si>
  <si>
    <t>140300489246</t>
  </si>
  <si>
    <t>140300489247</t>
  </si>
  <si>
    <t>140300489248</t>
  </si>
  <si>
    <t>140300491891</t>
  </si>
  <si>
    <t>10kVII段母线母线</t>
  </si>
  <si>
    <t>140300491892</t>
  </si>
  <si>
    <t>10kVI段母线母线</t>
  </si>
  <si>
    <t>140300491893</t>
  </si>
  <si>
    <t>10kVⅠ母母线</t>
  </si>
  <si>
    <t>140300491894</t>
  </si>
  <si>
    <t>10kVⅡ母母线</t>
  </si>
  <si>
    <t>140300496363</t>
  </si>
  <si>
    <t>10kVI母母线</t>
  </si>
  <si>
    <t>140300496364</t>
  </si>
  <si>
    <t>10kV1号开关站母线母线</t>
  </si>
  <si>
    <t>140300496365</t>
  </si>
  <si>
    <t>10kV2号开关站母线母线</t>
  </si>
  <si>
    <t>140300496366</t>
  </si>
  <si>
    <t>10kVII母母线</t>
  </si>
  <si>
    <t>140300496551</t>
  </si>
  <si>
    <t>140300496977</t>
  </si>
  <si>
    <t>220kVⅠ母组合电器</t>
  </si>
  <si>
    <t>140300496978</t>
  </si>
  <si>
    <t>220kVⅡ母组合电器</t>
  </si>
  <si>
    <t>140300496979</t>
  </si>
  <si>
    <t>110kVⅠ母组合电器</t>
  </si>
  <si>
    <t>140300496980</t>
  </si>
  <si>
    <t>110kVⅡ母组合电器</t>
  </si>
  <si>
    <t>140300498065</t>
  </si>
  <si>
    <t>220kV待用2666隔离开关</t>
  </si>
  <si>
    <t>140300498067</t>
  </si>
  <si>
    <t>220kV待用266线路A相电压互感器A相</t>
  </si>
  <si>
    <t>140300498068</t>
  </si>
  <si>
    <t>140300498069</t>
  </si>
  <si>
    <t>110kV备用143线路A相电压互感器</t>
  </si>
  <si>
    <t>140300498070</t>
  </si>
  <si>
    <t>140300498071</t>
  </si>
  <si>
    <t>110kV聚彩线135线路A相电压互感器</t>
  </si>
  <si>
    <t>140300498072</t>
  </si>
  <si>
    <t>110kV备用143线路B相电压互感器</t>
  </si>
  <si>
    <t>140300498073</t>
  </si>
  <si>
    <t>220kV源丹南线265线路A相电压互感器</t>
  </si>
  <si>
    <t>140300498074</t>
  </si>
  <si>
    <t>220kV源山南线线路PTA相</t>
  </si>
  <si>
    <t>140300498075</t>
  </si>
  <si>
    <t>110kV聚胥线136线路A相电压互感器</t>
  </si>
  <si>
    <t>140300498076</t>
  </si>
  <si>
    <t>110KV备用1635旁路隔离开关</t>
  </si>
  <si>
    <t>140300498077</t>
  </si>
  <si>
    <t>110kVI段母线A相电压互感器</t>
  </si>
  <si>
    <t>140300498078</t>
  </si>
  <si>
    <t>110kV驾金线142线路A相电压互感器</t>
  </si>
  <si>
    <t>140300498079</t>
  </si>
  <si>
    <t>110kV备用143线路C相电压互感器</t>
  </si>
  <si>
    <t>140300498080</t>
  </si>
  <si>
    <t>110kVI段母线B相电压互感器</t>
  </si>
  <si>
    <t>140300498081</t>
  </si>
  <si>
    <t>110kVI段母线C相电压互感器</t>
  </si>
  <si>
    <t>140300498082</t>
  </si>
  <si>
    <t>220kV源双线263断路器</t>
  </si>
  <si>
    <t>140300498083</t>
  </si>
  <si>
    <t>220kV源双线2631隔离开关</t>
  </si>
  <si>
    <t>140300498084</t>
  </si>
  <si>
    <t>220kV源双线2632隔离开关</t>
  </si>
  <si>
    <t>140300498085</t>
  </si>
  <si>
    <t>220kV源双线2636隔离开关</t>
  </si>
  <si>
    <t>140300498086</t>
  </si>
  <si>
    <t>220kV源双线263断路器电流互感器A相</t>
  </si>
  <si>
    <t>140300498087</t>
  </si>
  <si>
    <t>220kV源双线263断路器电流互感器B相</t>
  </si>
  <si>
    <t>140300498088</t>
  </si>
  <si>
    <t>220kV源双线263断路器电流互感器C相</t>
  </si>
  <si>
    <t>140300498089</t>
  </si>
  <si>
    <t>220kV源双线263线路电压互感器A相</t>
  </si>
  <si>
    <t>140300498090</t>
  </si>
  <si>
    <t>220kV源双线263线路电压互感器B相</t>
  </si>
  <si>
    <t>140300498091</t>
  </si>
  <si>
    <t>220kV源双线263线路电压互感器C相</t>
  </si>
  <si>
    <t>140300502669</t>
  </si>
  <si>
    <t>35kV灌磁线304开关柜</t>
  </si>
  <si>
    <t>140300502670</t>
  </si>
  <si>
    <t>35kV灌天线306开关柜</t>
  </si>
  <si>
    <t>140300502671</t>
  </si>
  <si>
    <t>35kVⅡ母PT3326开关柜</t>
  </si>
  <si>
    <t>140300502672</t>
  </si>
  <si>
    <t>140300502673</t>
  </si>
  <si>
    <t>35kV备用308开关柜</t>
  </si>
  <si>
    <t>140300502674</t>
  </si>
  <si>
    <t>35kV灌果线307开关柜</t>
  </si>
  <si>
    <t>140300502675</t>
  </si>
  <si>
    <t>35kV灌九线305开关柜</t>
  </si>
  <si>
    <t>140300502676</t>
  </si>
  <si>
    <t>140300502677</t>
  </si>
  <si>
    <t>35kV分段3121开关柜</t>
  </si>
  <si>
    <t>140300502678</t>
  </si>
  <si>
    <t>35kVⅠ母PT3316刀闸开关柜</t>
  </si>
  <si>
    <t>140300507233</t>
  </si>
  <si>
    <t>140300507820</t>
  </si>
  <si>
    <t>电压互感器1</t>
  </si>
  <si>
    <t>140300507821</t>
  </si>
  <si>
    <t>电压互感器2</t>
  </si>
  <si>
    <t>140300507822</t>
  </si>
  <si>
    <t>电压互感器3</t>
  </si>
  <si>
    <t>140300507823</t>
  </si>
  <si>
    <t>电压互感器4</t>
  </si>
  <si>
    <t>140300507824</t>
  </si>
  <si>
    <t>电压互感器5</t>
  </si>
  <si>
    <t>140300507825</t>
  </si>
  <si>
    <t>电压互感器6</t>
  </si>
  <si>
    <t>140300507826</t>
  </si>
  <si>
    <t>电压互感器7</t>
  </si>
  <si>
    <t>140300507827</t>
  </si>
  <si>
    <t>电压互感器8</t>
  </si>
  <si>
    <t>140300507828</t>
  </si>
  <si>
    <t>电流互感器1</t>
  </si>
  <si>
    <t>140300507829</t>
  </si>
  <si>
    <t>电流互感器2</t>
  </si>
  <si>
    <t>140300507830</t>
  </si>
  <si>
    <t>140300507831</t>
  </si>
  <si>
    <t>140300507832</t>
  </si>
  <si>
    <t>140300507833</t>
  </si>
  <si>
    <t>140300507834</t>
  </si>
  <si>
    <t>140300507835</t>
  </si>
  <si>
    <t>140300507836</t>
  </si>
  <si>
    <t>140300507837</t>
  </si>
  <si>
    <t>140300507838</t>
  </si>
  <si>
    <t>140300507839</t>
  </si>
  <si>
    <t>140300507840</t>
  </si>
  <si>
    <t>电流互感器3</t>
  </si>
  <si>
    <t>140300507841</t>
  </si>
  <si>
    <t>电流互感器4</t>
  </si>
  <si>
    <t>140300507842</t>
  </si>
  <si>
    <t>电流互感器5</t>
  </si>
  <si>
    <t>140300507843</t>
  </si>
  <si>
    <t>电流互感器6</t>
  </si>
  <si>
    <t>140300507844</t>
  </si>
  <si>
    <t>电流互感器7</t>
  </si>
  <si>
    <t>140300507845</t>
  </si>
  <si>
    <t>电流互感器8</t>
  </si>
  <si>
    <t>140300507846</t>
  </si>
  <si>
    <t>电流互感器9</t>
  </si>
  <si>
    <t>140300507847</t>
  </si>
  <si>
    <t>电流互感器10</t>
  </si>
  <si>
    <t>140300507848</t>
  </si>
  <si>
    <t>电流互感器11</t>
  </si>
  <si>
    <t>140300507849</t>
  </si>
  <si>
    <t>140300507850</t>
  </si>
  <si>
    <t>140300507851</t>
  </si>
  <si>
    <t>140300507852</t>
  </si>
  <si>
    <t>140300507853</t>
  </si>
  <si>
    <t>140300507854</t>
  </si>
  <si>
    <t>140300507855</t>
  </si>
  <si>
    <t>140300507856</t>
  </si>
  <si>
    <t>140300507857</t>
  </si>
  <si>
    <t>电压互感器9</t>
  </si>
  <si>
    <t>140300507858</t>
  </si>
  <si>
    <t>140300507859</t>
  </si>
  <si>
    <t>140300507860</t>
  </si>
  <si>
    <t>140300507861</t>
  </si>
  <si>
    <t>140300507862</t>
  </si>
  <si>
    <t>140300507863</t>
  </si>
  <si>
    <t>140300507864</t>
  </si>
  <si>
    <t>140300507865</t>
  </si>
  <si>
    <t>140300507866</t>
  </si>
  <si>
    <t>140300507867</t>
  </si>
  <si>
    <t>140300507868</t>
  </si>
  <si>
    <t>140300507869</t>
  </si>
  <si>
    <t>电流互感器12</t>
  </si>
  <si>
    <t>140300507872</t>
  </si>
  <si>
    <t>隔离开关5</t>
  </si>
  <si>
    <t>140300507873</t>
  </si>
  <si>
    <t>隔离开关6</t>
  </si>
  <si>
    <t>140300507874</t>
  </si>
  <si>
    <t>隔离开关7</t>
  </si>
  <si>
    <t>140300507875</t>
  </si>
  <si>
    <t>隔离开关8</t>
  </si>
  <si>
    <t>140300507876</t>
  </si>
  <si>
    <t>隔离开关9</t>
  </si>
  <si>
    <t>140300507877</t>
  </si>
  <si>
    <t>隔离开关10</t>
  </si>
  <si>
    <t>140300507878</t>
  </si>
  <si>
    <t>隔离开关11</t>
  </si>
  <si>
    <t>140300507879</t>
  </si>
  <si>
    <t>隔离开关12</t>
  </si>
  <si>
    <t>140300507880</t>
  </si>
  <si>
    <t>隔离开关13</t>
  </si>
  <si>
    <t>140300507881</t>
  </si>
  <si>
    <t>油开关</t>
  </si>
  <si>
    <t>140300507882</t>
  </si>
  <si>
    <t>避雷器2</t>
  </si>
  <si>
    <t>140300507883</t>
  </si>
  <si>
    <t>避雷器3</t>
  </si>
  <si>
    <t>140300507884</t>
  </si>
  <si>
    <t>避雷器4</t>
  </si>
  <si>
    <t>140300507885</t>
  </si>
  <si>
    <t>避雷器1</t>
  </si>
  <si>
    <t>140300507886</t>
  </si>
  <si>
    <t>140300507887</t>
  </si>
  <si>
    <t>140300507888</t>
  </si>
  <si>
    <t>140300507889</t>
  </si>
  <si>
    <t>避雷器5</t>
  </si>
  <si>
    <t>140300507890</t>
  </si>
  <si>
    <t>避雷器6</t>
  </si>
  <si>
    <t>140300507893</t>
  </si>
  <si>
    <t>140300507894</t>
  </si>
  <si>
    <t>140300507895</t>
  </si>
  <si>
    <t>140300507896</t>
  </si>
  <si>
    <t>140300507897</t>
  </si>
  <si>
    <t>140300507898</t>
  </si>
  <si>
    <t>140300507899</t>
  </si>
  <si>
    <t>140300507900</t>
  </si>
  <si>
    <t>140300507901</t>
  </si>
  <si>
    <t>140300507902</t>
  </si>
  <si>
    <t>140300507903</t>
  </si>
  <si>
    <t>140300507904</t>
  </si>
  <si>
    <t>140300507905</t>
  </si>
  <si>
    <t>140300507906</t>
  </si>
  <si>
    <t>140300507907</t>
  </si>
  <si>
    <t>母线1</t>
  </si>
  <si>
    <t>140300507908</t>
  </si>
  <si>
    <t>母线2</t>
  </si>
  <si>
    <t>140300507909</t>
  </si>
  <si>
    <t>隔离开关2</t>
  </si>
  <si>
    <t>140300507910</t>
  </si>
  <si>
    <t>隔离开关3</t>
  </si>
  <si>
    <t>140300507911</t>
  </si>
  <si>
    <t>隔离开关4</t>
  </si>
  <si>
    <t>140300507912</t>
  </si>
  <si>
    <t>熔断器1</t>
  </si>
  <si>
    <t>140300507913</t>
  </si>
  <si>
    <t>熔断器2</t>
  </si>
  <si>
    <t>140300507914</t>
  </si>
  <si>
    <t>熔断器3</t>
  </si>
  <si>
    <t>140300507915</t>
  </si>
  <si>
    <t>隔离开关1</t>
  </si>
  <si>
    <t>140300507916</t>
  </si>
  <si>
    <t>140300507917</t>
  </si>
  <si>
    <t>140300507918</t>
  </si>
  <si>
    <t>140300507919</t>
  </si>
  <si>
    <t>140300507920</t>
  </si>
  <si>
    <t>140300507921</t>
  </si>
  <si>
    <t>140300507922</t>
  </si>
  <si>
    <t>140300507927</t>
  </si>
  <si>
    <t>断路器2</t>
  </si>
  <si>
    <t>140300507928</t>
  </si>
  <si>
    <t>断路器3</t>
  </si>
  <si>
    <t>140300507929</t>
  </si>
  <si>
    <t>断路器4</t>
  </si>
  <si>
    <t>140300507930</t>
  </si>
  <si>
    <t>断路器5</t>
  </si>
  <si>
    <t>140300507931</t>
  </si>
  <si>
    <t>140300507932</t>
  </si>
  <si>
    <t>140300507933</t>
  </si>
  <si>
    <t>140300507934</t>
  </si>
  <si>
    <t>140300507935</t>
  </si>
  <si>
    <t>真空开关1</t>
  </si>
  <si>
    <t>140300507936</t>
  </si>
  <si>
    <t>真空开关2</t>
  </si>
  <si>
    <t>140300507937</t>
  </si>
  <si>
    <t>真空开关3</t>
  </si>
  <si>
    <t>140300507938</t>
  </si>
  <si>
    <t>真空开关4</t>
  </si>
  <si>
    <t>140300507939</t>
  </si>
  <si>
    <t>真空开关5</t>
  </si>
  <si>
    <t>140300507940</t>
  </si>
  <si>
    <t>35kV青安线304开关柜</t>
  </si>
  <si>
    <t>140300507941</t>
  </si>
  <si>
    <t>35kV西龙线303开关柜</t>
  </si>
  <si>
    <t>140300507942</t>
  </si>
  <si>
    <t>35kV青湖龙支线305开关柜</t>
  </si>
  <si>
    <t>140300507943</t>
  </si>
  <si>
    <t>140300507944</t>
  </si>
  <si>
    <t>140300507945</t>
  </si>
  <si>
    <t>35kV站用变开关柜</t>
  </si>
  <si>
    <t>140300534245</t>
  </si>
  <si>
    <t>140300534246</t>
  </si>
  <si>
    <t>35kV西崇线303线路避雷器A相</t>
  </si>
  <si>
    <t>140300534247</t>
  </si>
  <si>
    <t>140300534248</t>
  </si>
  <si>
    <t>35kV1号站用变开关柜</t>
  </si>
  <si>
    <t>140300534249</t>
  </si>
  <si>
    <t>10kV金府路9133隔离开关</t>
  </si>
  <si>
    <t>140300534250</t>
  </si>
  <si>
    <t>10kV电容二路避雷器A相</t>
  </si>
  <si>
    <t>140300534251</t>
  </si>
  <si>
    <t>35kV金中线307线路避雷器A相</t>
  </si>
  <si>
    <t>140300534252</t>
  </si>
  <si>
    <t>10kV金黄路9143隔离开关</t>
  </si>
  <si>
    <t>140300534253</t>
  </si>
  <si>
    <t>35kV金羊线306线路避雷器A相</t>
  </si>
  <si>
    <t>140300534254</t>
  </si>
  <si>
    <t>140300534255</t>
  </si>
  <si>
    <t>10kV电容一路9073隔离开关</t>
  </si>
  <si>
    <t>140300534256</t>
  </si>
  <si>
    <t>10kV金村路9033隔离开关</t>
  </si>
  <si>
    <t>140300534257</t>
  </si>
  <si>
    <t>35kV金沙线304线路避雷器A相</t>
  </si>
  <si>
    <t>140300534258</t>
  </si>
  <si>
    <t>10kV电容二路918开关柜</t>
  </si>
  <si>
    <t>140300534259</t>
  </si>
  <si>
    <t>35kV金双线312线路避雷器C相</t>
  </si>
  <si>
    <t>140300534260</t>
  </si>
  <si>
    <t>10kV电容一路907避雷器A相</t>
  </si>
  <si>
    <t>140300534261</t>
  </si>
  <si>
    <t>35kV金白线305开关柜</t>
  </si>
  <si>
    <t>140300534262</t>
  </si>
  <si>
    <t>35kVⅡ段母线PT开关柜</t>
  </si>
  <si>
    <t>140300534263</t>
  </si>
  <si>
    <t>35kV金中线3073隔离开关</t>
  </si>
  <si>
    <t>140300534264</t>
  </si>
  <si>
    <t>35kV备用3033隔离开关</t>
  </si>
  <si>
    <t>140300534265</t>
  </si>
  <si>
    <t>10kV电容一路907电力电容器</t>
  </si>
  <si>
    <t>140300534266</t>
  </si>
  <si>
    <t>35kV备用303开关柜开关柜</t>
  </si>
  <si>
    <t>140300534267</t>
  </si>
  <si>
    <t>35kV金沙线304开关柜</t>
  </si>
  <si>
    <t>140300534268</t>
  </si>
  <si>
    <t>10kV金桥二路909线路避雷器C相</t>
  </si>
  <si>
    <t>140300534269</t>
  </si>
  <si>
    <t>35kV金西线3083隔离开关</t>
  </si>
  <si>
    <t>140300534270</t>
  </si>
  <si>
    <t>10kV电容二路9183隔离开关</t>
  </si>
  <si>
    <t>140300534271</t>
  </si>
  <si>
    <t>35kV金羊线3063隔离开关</t>
  </si>
  <si>
    <t>140300534272</t>
  </si>
  <si>
    <t>35kV备用311线路避雷器A相</t>
  </si>
  <si>
    <t>140300534273</t>
  </si>
  <si>
    <t>35kV金双线312开关柜</t>
  </si>
  <si>
    <t>140300534274</t>
  </si>
  <si>
    <t>10kVⅠ段母线PT开关柜</t>
  </si>
  <si>
    <t>140300534275</t>
  </si>
  <si>
    <t>35kV金白线3053隔离开关</t>
  </si>
  <si>
    <t>140300534276</t>
  </si>
  <si>
    <t>10kV金村路903线路避雷器A相</t>
  </si>
  <si>
    <t>140300534277</t>
  </si>
  <si>
    <t>35kV金中线307开关柜</t>
  </si>
  <si>
    <t>140300534278</t>
  </si>
  <si>
    <t>140300534279</t>
  </si>
  <si>
    <t>35kV金西线308线路A相避雷器</t>
  </si>
  <si>
    <t>140300534280</t>
  </si>
  <si>
    <t>10kV金村路903线路避雷器C相</t>
  </si>
  <si>
    <t>140300534281</t>
  </si>
  <si>
    <t>10kV金黄路914线路避雷器A相</t>
  </si>
  <si>
    <t>140300534282</t>
  </si>
  <si>
    <t>35kV备用303线路避雷器A相避雷器</t>
  </si>
  <si>
    <t>140300534283</t>
  </si>
  <si>
    <t>10kV金桥二路9093隔离开关</t>
  </si>
  <si>
    <t>140300534284</t>
  </si>
  <si>
    <t>140300534285</t>
  </si>
  <si>
    <t>35kV金羊线306开关柜</t>
  </si>
  <si>
    <t>140300534286</t>
  </si>
  <si>
    <t>35kV金西线308开关柜</t>
  </si>
  <si>
    <t>140300534287</t>
  </si>
  <si>
    <t>10kV电容一路907开关柜</t>
  </si>
  <si>
    <t>140300534288</t>
  </si>
  <si>
    <t>35kV备用3113隔离开关</t>
  </si>
  <si>
    <t>140300534289</t>
  </si>
  <si>
    <t>35kV金沙线3043隔离开关</t>
  </si>
  <si>
    <t>140300534290</t>
  </si>
  <si>
    <t>35kV金白线305线路避雷器A相</t>
  </si>
  <si>
    <t>140300534291</t>
  </si>
  <si>
    <t>10kV电容二路电容器</t>
  </si>
  <si>
    <t>140300534292</t>
  </si>
  <si>
    <t>10kV金府路913线路避雷器A相</t>
  </si>
  <si>
    <t>140300534293</t>
  </si>
  <si>
    <t>35kVⅠ段母线PT开关柜</t>
  </si>
  <si>
    <t>140300534294</t>
  </si>
  <si>
    <t>10kV金村路903线路避雷器B相</t>
  </si>
  <si>
    <t>140300534295</t>
  </si>
  <si>
    <t>35kV分段3302开关柜</t>
  </si>
  <si>
    <t>140300534296</t>
  </si>
  <si>
    <t>10kV金桥二路909开关柜</t>
  </si>
  <si>
    <t>140300534297</t>
  </si>
  <si>
    <t>10kV金府路913开关柜</t>
  </si>
  <si>
    <t>140300534298</t>
  </si>
  <si>
    <t>10kV2号开关站总路906开关柜</t>
  </si>
  <si>
    <t>140300534299</t>
  </si>
  <si>
    <t>10kV金黄路914开关柜</t>
  </si>
  <si>
    <t>140300534300</t>
  </si>
  <si>
    <t>10kV金村路903开关柜</t>
  </si>
  <si>
    <t>140300534301</t>
  </si>
  <si>
    <t>10kV1号开关站总路905开关柜</t>
  </si>
  <si>
    <t>140300534302</t>
  </si>
  <si>
    <t>35kV青安线304线路避雷器A相</t>
  </si>
  <si>
    <t>140300534303</t>
  </si>
  <si>
    <t>35kV西龙线303线路避雷器A相</t>
  </si>
  <si>
    <t>140300534304</t>
  </si>
  <si>
    <t>35kV金西线303断路器</t>
  </si>
  <si>
    <t>140300534305</t>
  </si>
  <si>
    <t>35kV金西线3031隔离开关</t>
  </si>
  <si>
    <t>140300534306</t>
  </si>
  <si>
    <t>35kV金西线3033隔离开关</t>
  </si>
  <si>
    <t>140300534307</t>
  </si>
  <si>
    <t>35kV金西线303线路A相避雷器</t>
  </si>
  <si>
    <t>140300534308</t>
  </si>
  <si>
    <t>35kV金西线303线路B相避雷器</t>
  </si>
  <si>
    <t>140300534309</t>
  </si>
  <si>
    <t>35kV金西线303线路C相避雷器</t>
  </si>
  <si>
    <t>140300534310</t>
  </si>
  <si>
    <t>35kV西崇线305断路器</t>
  </si>
  <si>
    <t>140300534311</t>
  </si>
  <si>
    <t>35kV西崇线3053隔离开关</t>
  </si>
  <si>
    <t>140300534312</t>
  </si>
  <si>
    <t>35kV青湖西支线304断路器</t>
  </si>
  <si>
    <t>140300534313</t>
  </si>
  <si>
    <t>35kV青湖西支线3041隔离开关</t>
  </si>
  <si>
    <t>140300534314</t>
  </si>
  <si>
    <t>35kV青湖西支线3043隔离开关</t>
  </si>
  <si>
    <t>140300534315</t>
  </si>
  <si>
    <t>35kV青湖西支线304线路A相避雷器</t>
  </si>
  <si>
    <t>140300534316</t>
  </si>
  <si>
    <t>35kV青湖西支线304线路B相避雷器</t>
  </si>
  <si>
    <t>140300534317</t>
  </si>
  <si>
    <t>35kV青湖西支线304线路C相避雷器</t>
  </si>
  <si>
    <t>140300534318</t>
  </si>
  <si>
    <t>35kV西崇线3051隔离开关</t>
  </si>
  <si>
    <t>140300534319</t>
  </si>
  <si>
    <t>35kV西崇线305线路A相避雷器</t>
  </si>
  <si>
    <t>140300534320</t>
  </si>
  <si>
    <t>35kV西崇线305线路B相避雷器</t>
  </si>
  <si>
    <t>140300534321</t>
  </si>
  <si>
    <t>35kV西崇线305线路C相避雷器</t>
  </si>
  <si>
    <t>140300534322</t>
  </si>
  <si>
    <t>35kV西龙线306断路器</t>
  </si>
  <si>
    <t>140300534323</t>
  </si>
  <si>
    <t>35kV西龙线3061隔离开关</t>
  </si>
  <si>
    <t>140300534324</t>
  </si>
  <si>
    <t>35kV西龙线3063隔离开关</t>
  </si>
  <si>
    <t>140300534325</t>
  </si>
  <si>
    <t>35kV西龙线306线路A相避雷器</t>
  </si>
  <si>
    <t>140300534326</t>
  </si>
  <si>
    <t>35kV西龙线306线路B相避雷器</t>
  </si>
  <si>
    <t>140300534327</t>
  </si>
  <si>
    <t>35kV西龙线306线路C相避雷器</t>
  </si>
  <si>
    <t>140300534328</t>
  </si>
  <si>
    <t>140300534329</t>
  </si>
  <si>
    <t>140300534330</t>
  </si>
  <si>
    <t>140300534331</t>
  </si>
  <si>
    <t>2号主变高压侧3021隔离开关</t>
  </si>
  <si>
    <t>140300534332</t>
  </si>
  <si>
    <t>10kV备用9083隔离开关</t>
  </si>
  <si>
    <t>140300534333</t>
  </si>
  <si>
    <t>140300534334</t>
  </si>
  <si>
    <t>35Kv分段3301隔离开关</t>
  </si>
  <si>
    <t>140300534335</t>
  </si>
  <si>
    <t>35Kv分段3302隔离开关</t>
  </si>
  <si>
    <t>140300534336</t>
  </si>
  <si>
    <t>10kV备用9063隔离开关</t>
  </si>
  <si>
    <t>140300534337</t>
  </si>
  <si>
    <t>35kVII母3326A相电压互感器</t>
  </si>
  <si>
    <t>140300534338</t>
  </si>
  <si>
    <t>35kVII母3326B相电压互感器</t>
  </si>
  <si>
    <t>140300534339</t>
  </si>
  <si>
    <t>35kVII母3326C相电压互感器</t>
  </si>
  <si>
    <t>140300534340</t>
  </si>
  <si>
    <t>35kVII段PT3326隔离开关</t>
  </si>
  <si>
    <t>140300534341</t>
  </si>
  <si>
    <t>35kVII母PT3326A相避雷器</t>
  </si>
  <si>
    <t>140300534342</t>
  </si>
  <si>
    <t>35kVII母PT3326B相避雷器</t>
  </si>
  <si>
    <t>140300534343</t>
  </si>
  <si>
    <t>35kVII母PT3326C相避雷器</t>
  </si>
  <si>
    <t>140300534344</t>
  </si>
  <si>
    <t>10kV天金路9053隔离开关</t>
  </si>
  <si>
    <t>140300534345</t>
  </si>
  <si>
    <t>10kV天金路905A相避雷器</t>
  </si>
  <si>
    <t>140300534346</t>
  </si>
  <si>
    <t>10kV天金路905B相避雷器</t>
  </si>
  <si>
    <t>140300534347</t>
  </si>
  <si>
    <t>10kV天金路905C相避雷器</t>
  </si>
  <si>
    <t>140300534348</t>
  </si>
  <si>
    <t>10kV天马路9033隔离开关</t>
  </si>
  <si>
    <t>140300534349</t>
  </si>
  <si>
    <t>35kVI段PT3316隔离开关</t>
  </si>
  <si>
    <t>140300534350</t>
  </si>
  <si>
    <t>35kVI母3316A相电压互感器</t>
  </si>
  <si>
    <t>140300534351</t>
  </si>
  <si>
    <t>35kVI母3316B相电压互感器</t>
  </si>
  <si>
    <t>140300534352</t>
  </si>
  <si>
    <t>35kVI母3316C相电压互感器</t>
  </si>
  <si>
    <t>140300534353</t>
  </si>
  <si>
    <t>35kVI母PT3316A相避雷器</t>
  </si>
  <si>
    <t>140300534354</t>
  </si>
  <si>
    <t>35kVI母PT3316B相避雷器</t>
  </si>
  <si>
    <t>140300534355</t>
  </si>
  <si>
    <t>35kVI母PT3316C相避雷器</t>
  </si>
  <si>
    <t>140300534356</t>
  </si>
  <si>
    <t>10kV天宁路9073隔离开关</t>
  </si>
  <si>
    <t>140300534357</t>
  </si>
  <si>
    <t>10kV天宁路907开关柜</t>
  </si>
  <si>
    <t>140300534358</t>
  </si>
  <si>
    <t>10kV天马路903开关柜</t>
  </si>
  <si>
    <t>140300534359</t>
  </si>
  <si>
    <t>10kV天金路905开关柜</t>
  </si>
  <si>
    <t>140300534360</t>
  </si>
  <si>
    <t>140300534361</t>
  </si>
  <si>
    <t>140300534362</t>
  </si>
  <si>
    <t>140300534363</t>
  </si>
  <si>
    <t>10kVII段PT开关柜</t>
  </si>
  <si>
    <t>140300534364</t>
  </si>
  <si>
    <t>140300534365</t>
  </si>
  <si>
    <t>10kV天镇路9043隔离开关</t>
  </si>
  <si>
    <t>140300534366</t>
  </si>
  <si>
    <t>10kV天镇路904开关柜</t>
  </si>
  <si>
    <t>140300534367</t>
  </si>
  <si>
    <t>140300534368</t>
  </si>
  <si>
    <t>140300534369</t>
  </si>
  <si>
    <t>35kV备用305开关柜</t>
  </si>
  <si>
    <t>140300534370</t>
  </si>
  <si>
    <t>35kV天闽线304开关柜</t>
  </si>
  <si>
    <t>140300534371</t>
  </si>
  <si>
    <t>35kV灌天线303开关柜</t>
  </si>
  <si>
    <t>140300534372</t>
  </si>
  <si>
    <t>10kV电容路9093隔离开关</t>
  </si>
  <si>
    <t>140300534373</t>
  </si>
  <si>
    <t>10kV电容器909A相避雷器</t>
  </si>
  <si>
    <t>140300534374</t>
  </si>
  <si>
    <t>10kV电容器909B相避雷器</t>
  </si>
  <si>
    <t>140300534375</t>
  </si>
  <si>
    <t>10kV电容器909C相避雷器</t>
  </si>
  <si>
    <t>140300534376</t>
  </si>
  <si>
    <t>35kV灌天线3033隔离开关</t>
  </si>
  <si>
    <t>140300534377</t>
  </si>
  <si>
    <t>35kV天闽线304隔离开关</t>
  </si>
  <si>
    <t>140300534378</t>
  </si>
  <si>
    <t>35kV备用3053隔离开关</t>
  </si>
  <si>
    <t>140300534379</t>
  </si>
  <si>
    <t>140300534380</t>
  </si>
  <si>
    <t>140300534381</t>
  </si>
  <si>
    <t>35kV母线PT3316开关柜</t>
  </si>
  <si>
    <t>140300534382</t>
  </si>
  <si>
    <t>140300534385</t>
  </si>
  <si>
    <t>35kV消弧线圈中性点消弧装置</t>
  </si>
  <si>
    <t>140300534386</t>
  </si>
  <si>
    <t>1号主变35kV中性点3019隔离开关O相</t>
  </si>
  <si>
    <t>140300534387</t>
  </si>
  <si>
    <t>35kV消弧线圈中性点避雷器O相</t>
  </si>
  <si>
    <t>140300534388</t>
  </si>
  <si>
    <t>140300534389</t>
  </si>
  <si>
    <t>35kV蒲玉崇支线3041隔离开关</t>
  </si>
  <si>
    <t>140300534390</t>
  </si>
  <si>
    <t>35kV蒲玉崇支线3043隔离开关</t>
  </si>
  <si>
    <t>140300534391</t>
  </si>
  <si>
    <t>35kV崇田线3051隔离开关</t>
  </si>
  <si>
    <t>140300534392</t>
  </si>
  <si>
    <t>35kV崇田线3053隔离开关</t>
  </si>
  <si>
    <t>140300534393</t>
  </si>
  <si>
    <t>35kV西崇线3031隔离开关</t>
  </si>
  <si>
    <t>140300534394</t>
  </si>
  <si>
    <t>35kV西崇线3033隔离开关</t>
  </si>
  <si>
    <t>140300534395</t>
  </si>
  <si>
    <t>35kV站用变A相高压熔断器</t>
  </si>
  <si>
    <t>140300534396</t>
  </si>
  <si>
    <t>140300534397</t>
  </si>
  <si>
    <t>140300534398</t>
  </si>
  <si>
    <t>35kV母线A相电压互感器</t>
  </si>
  <si>
    <t>140300534399</t>
  </si>
  <si>
    <t>35kV母线B相电压互感器</t>
  </si>
  <si>
    <t>140300534400</t>
  </si>
  <si>
    <t>35kV母线C相电压互感器</t>
  </si>
  <si>
    <t>140300534401</t>
  </si>
  <si>
    <t>35kV崇田线305线路A相避雷器</t>
  </si>
  <si>
    <t>140300534402</t>
  </si>
  <si>
    <t>35kV崇田线305线路B相避雷器</t>
  </si>
  <si>
    <t>140300534403</t>
  </si>
  <si>
    <t>35kV崇田线305线路C相避雷器</t>
  </si>
  <si>
    <t>140300534404</t>
  </si>
  <si>
    <t>35kV母线PTA相避雷器</t>
  </si>
  <si>
    <t>140300534405</t>
  </si>
  <si>
    <t>35kV母线PTB相避雷器</t>
  </si>
  <si>
    <t>140300534406</t>
  </si>
  <si>
    <t>35kV母线PTC相避雷器</t>
  </si>
  <si>
    <t>140300534407</t>
  </si>
  <si>
    <t>35kV母线PT3316隔离开关</t>
  </si>
  <si>
    <t>140300534408</t>
  </si>
  <si>
    <t>35kV母线PTA相熔断器</t>
  </si>
  <si>
    <t>140300534409</t>
  </si>
  <si>
    <t>35kV母线PTB相熔断器</t>
  </si>
  <si>
    <t>140300534410</t>
  </si>
  <si>
    <t>35kV母线PTC相熔断器</t>
  </si>
  <si>
    <t>140300534411</t>
  </si>
  <si>
    <t>35kV站用变B相高压熔断器</t>
  </si>
  <si>
    <t>140300534412</t>
  </si>
  <si>
    <t>35kV站用变C相高压熔断器</t>
  </si>
  <si>
    <t>140300534413</t>
  </si>
  <si>
    <t>35kV青安线304线路避雷器B相</t>
  </si>
  <si>
    <t>140300534414</t>
  </si>
  <si>
    <t>35kV青安线304线路避雷器C相</t>
  </si>
  <si>
    <t>140300534415</t>
  </si>
  <si>
    <t>35kV西龙线303线路避雷器B相</t>
  </si>
  <si>
    <t>140300534416</t>
  </si>
  <si>
    <t>35kV西龙线303线路避雷器C相</t>
  </si>
  <si>
    <t>140300534417</t>
  </si>
  <si>
    <t>10kV电容二路91890接地O相隔离开关</t>
  </si>
  <si>
    <t>140300534418</t>
  </si>
  <si>
    <t>10kV电容一路90790接地O相隔离开关</t>
  </si>
  <si>
    <t>140300534419</t>
  </si>
  <si>
    <t>35kVII母线</t>
  </si>
  <si>
    <t>140300534420</t>
  </si>
  <si>
    <t>35kVI母线</t>
  </si>
  <si>
    <t>140300534421</t>
  </si>
  <si>
    <t>140300534422</t>
  </si>
  <si>
    <t>35kV灌天线303A相电压互感器</t>
  </si>
  <si>
    <t>140300534423</t>
  </si>
  <si>
    <t>35kV灌天线303C相电压互感器</t>
  </si>
  <si>
    <t>140300534424</t>
  </si>
  <si>
    <t>140300534425</t>
  </si>
  <si>
    <t>140300534426</t>
  </si>
  <si>
    <t>140300534427</t>
  </si>
  <si>
    <t>10kV分段9302开关柜</t>
  </si>
  <si>
    <t>140300534428</t>
  </si>
  <si>
    <t>10kV青大路904开关柜</t>
  </si>
  <si>
    <t>140300534429</t>
  </si>
  <si>
    <t>10kV金黄路914线路避雷器B相</t>
  </si>
  <si>
    <t>140300534430</t>
  </si>
  <si>
    <t>10kV金黄路914线路避雷器C相</t>
  </si>
  <si>
    <t>140300534431</t>
  </si>
  <si>
    <t>10kV金府路913线路避雷器B相</t>
  </si>
  <si>
    <t>140300534432</t>
  </si>
  <si>
    <t>10kV金府路913线路避雷器C相</t>
  </si>
  <si>
    <t>140300534433</t>
  </si>
  <si>
    <t>10kV电容二路避雷器B相</t>
  </si>
  <si>
    <t>140300534434</t>
  </si>
  <si>
    <t>10kV电容二路避雷器C相</t>
  </si>
  <si>
    <t>140300534435</t>
  </si>
  <si>
    <t>10kV电容一路907避雷器B相</t>
  </si>
  <si>
    <t>140300534436</t>
  </si>
  <si>
    <t>10kV电容一路907避雷器C相</t>
  </si>
  <si>
    <t>140300534437</t>
  </si>
  <si>
    <t>35kV金沙线304线路避雷器B相</t>
  </si>
  <si>
    <t>140300534438</t>
  </si>
  <si>
    <t>35kV金沙线304线路避雷器C相</t>
  </si>
  <si>
    <t>140300534439</t>
  </si>
  <si>
    <t>35kV备用311线路避雷器B相</t>
  </si>
  <si>
    <t>140300534440</t>
  </si>
  <si>
    <t>35kV备用311线路避雷器C相</t>
  </si>
  <si>
    <t>140300534441</t>
  </si>
  <si>
    <t>35kV金白线305线路避雷器B相</t>
  </si>
  <si>
    <t>140300534442</t>
  </si>
  <si>
    <t>35kV金白线305线路避雷器C相</t>
  </si>
  <si>
    <t>140300534443</t>
  </si>
  <si>
    <t>35kV备用303线路避雷器B相避雷器</t>
  </si>
  <si>
    <t>140300534444</t>
  </si>
  <si>
    <t>35kV备用303线路避雷器C相避雷器</t>
  </si>
  <si>
    <t>140300534445</t>
  </si>
  <si>
    <t>35kV金西线308线路B相避雷器</t>
  </si>
  <si>
    <t>140300534446</t>
  </si>
  <si>
    <t>35kV金西线308线路C相避雷器</t>
  </si>
  <si>
    <t>140300534447</t>
  </si>
  <si>
    <t>35kV金羊线306线路避雷器B相</t>
  </si>
  <si>
    <t>140300534448</t>
  </si>
  <si>
    <t>35kV金羊线306线路避雷器C相</t>
  </si>
  <si>
    <t>140300534449</t>
  </si>
  <si>
    <t>35kV金中线307线路避雷器B相</t>
  </si>
  <si>
    <t>140300534450</t>
  </si>
  <si>
    <t>35kV金中线307线路避雷器C相</t>
  </si>
  <si>
    <t>140300534451</t>
  </si>
  <si>
    <t>10kV电容路981开关柜</t>
  </si>
  <si>
    <t>140300534452</t>
  </si>
  <si>
    <t>10kV青软路906开关柜</t>
  </si>
  <si>
    <t>140300534453</t>
  </si>
  <si>
    <t>10kV青石路905开关柜</t>
  </si>
  <si>
    <t>140300534454</t>
  </si>
  <si>
    <t>10kV青元路908开关柜</t>
  </si>
  <si>
    <t>140300534455</t>
  </si>
  <si>
    <t>10kV青鑫路903开关柜</t>
  </si>
  <si>
    <t>140300534456</t>
  </si>
  <si>
    <t>140300534457</t>
  </si>
  <si>
    <t>140300534458</t>
  </si>
  <si>
    <t>140300534459</t>
  </si>
  <si>
    <t>10kV崇电路903开关柜</t>
  </si>
  <si>
    <t>140300534460</t>
  </si>
  <si>
    <t>140300534461</t>
  </si>
  <si>
    <t>10kV崇钢路906开关柜</t>
  </si>
  <si>
    <t>140300534462</t>
  </si>
  <si>
    <t>10kV崇天路907开关柜</t>
  </si>
  <si>
    <t>140300534463</t>
  </si>
  <si>
    <t>10kV崇镇路904开关柜</t>
  </si>
  <si>
    <t>140300534464</t>
  </si>
  <si>
    <t>140300534465</t>
  </si>
  <si>
    <t>140300534466</t>
  </si>
  <si>
    <t>140300534467</t>
  </si>
  <si>
    <t>10kV崇积路905开关柜</t>
  </si>
  <si>
    <t>140300534468</t>
  </si>
  <si>
    <t>35kV西崇线303断路器</t>
  </si>
  <si>
    <t>140300534469</t>
  </si>
  <si>
    <t>35kV西崇线303A相电流互感器</t>
  </si>
  <si>
    <t>140300534470</t>
  </si>
  <si>
    <t>35kV西崇线303B相电流互感器</t>
  </si>
  <si>
    <t>140300534471</t>
  </si>
  <si>
    <t>35kV西崇线303C相电流互感器</t>
  </si>
  <si>
    <t>140300534472</t>
  </si>
  <si>
    <t>35kV蒲玉崇支线304断路器</t>
  </si>
  <si>
    <t>140300534473</t>
  </si>
  <si>
    <t>35kV蒲玉崇支线304A相电流互感器</t>
  </si>
  <si>
    <t>140300534474</t>
  </si>
  <si>
    <t>35kV蒲玉崇支线304C相电流互感器</t>
  </si>
  <si>
    <t>140300534475</t>
  </si>
  <si>
    <t>35kV蒲玉崇支线304B相电流互感器</t>
  </si>
  <si>
    <t>140300534476</t>
  </si>
  <si>
    <t>35kV崇田线305断路器</t>
  </si>
  <si>
    <t>140300534477</t>
  </si>
  <si>
    <t>35kV崇田线305A相电流互感器</t>
  </si>
  <si>
    <t>140300534478</t>
  </si>
  <si>
    <t>35kV崇田线305B相电流互感器</t>
  </si>
  <si>
    <t>140300534479</t>
  </si>
  <si>
    <t>35kV崇田线305C相电流互感器</t>
  </si>
  <si>
    <t>140300534480</t>
  </si>
  <si>
    <t>140300534481</t>
  </si>
  <si>
    <t>140300534482</t>
  </si>
  <si>
    <t>1号主变301A相电流互感器</t>
  </si>
  <si>
    <t>140300534483</t>
  </si>
  <si>
    <t>1号主变301B相电流互感器</t>
  </si>
  <si>
    <t>140300534484</t>
  </si>
  <si>
    <t>1号主变301C相电流互感器</t>
  </si>
  <si>
    <t>140300534485</t>
  </si>
  <si>
    <t>140300534486</t>
  </si>
  <si>
    <t>140300534487</t>
  </si>
  <si>
    <t>140300534488</t>
  </si>
  <si>
    <t>10kV电容一路909开关柜</t>
  </si>
  <si>
    <t>140300534489</t>
  </si>
  <si>
    <t>10kV电容二路910开关柜</t>
  </si>
  <si>
    <t>140300534490</t>
  </si>
  <si>
    <t>140300534491</t>
  </si>
  <si>
    <t>10kV电容二路补偿电容器开关柜</t>
  </si>
  <si>
    <t>140300534492</t>
  </si>
  <si>
    <t>10kV电容一路补偿电容器开关柜</t>
  </si>
  <si>
    <t>140300534493</t>
  </si>
  <si>
    <t>140300534494</t>
  </si>
  <si>
    <t>140300534495</t>
  </si>
  <si>
    <t>10kV崇双路908开关柜</t>
  </si>
  <si>
    <t>140300534496</t>
  </si>
  <si>
    <t>10kV西柳路907开关柜</t>
  </si>
  <si>
    <t>140300534497</t>
  </si>
  <si>
    <t>10kV西徐路909开关柜</t>
  </si>
  <si>
    <t>140300534498</t>
  </si>
  <si>
    <t>10kV西红路906开关柜</t>
  </si>
  <si>
    <t>140300534499</t>
  </si>
  <si>
    <t>10kV西镇路905开关柜</t>
  </si>
  <si>
    <t>140300534500</t>
  </si>
  <si>
    <t>10kV西恒路908开关柜</t>
  </si>
  <si>
    <t>140300534501</t>
  </si>
  <si>
    <t>140300534502</t>
  </si>
  <si>
    <t>140300534503</t>
  </si>
  <si>
    <t>10kV西太路910开关柜</t>
  </si>
  <si>
    <t>140300534504</t>
  </si>
  <si>
    <t>140300534505</t>
  </si>
  <si>
    <t>140300534506</t>
  </si>
  <si>
    <t>140300534507</t>
  </si>
  <si>
    <t>140300534508</t>
  </si>
  <si>
    <t>140300534509</t>
  </si>
  <si>
    <t>10kVI母PT开关柜</t>
  </si>
  <si>
    <t>140300534510</t>
  </si>
  <si>
    <t>140300534511</t>
  </si>
  <si>
    <t>140300534512</t>
  </si>
  <si>
    <t>140300534513</t>
  </si>
  <si>
    <t>140300534514</t>
  </si>
  <si>
    <t>10kV分段9301开关柜</t>
  </si>
  <si>
    <t>140300534515</t>
  </si>
  <si>
    <t>140300534516</t>
  </si>
  <si>
    <t>35kVII母PT3326A相熔断器</t>
  </si>
  <si>
    <t>140300534517</t>
  </si>
  <si>
    <t>35kVII母PT3326B相熔断器</t>
  </si>
  <si>
    <t>140300534518</t>
  </si>
  <si>
    <t>35kVII母PT3326C相熔断器</t>
  </si>
  <si>
    <t>140300534519</t>
  </si>
  <si>
    <t>35kVI母PT3316A相熔断器</t>
  </si>
  <si>
    <t>140300534520</t>
  </si>
  <si>
    <t>35kVI母PT3316B相熔断器</t>
  </si>
  <si>
    <t>140300534521</t>
  </si>
  <si>
    <t>35kVI母PT3316C相熔断器</t>
  </si>
  <si>
    <t>140300534522</t>
  </si>
  <si>
    <t>140300534523</t>
  </si>
  <si>
    <t>140300534524</t>
  </si>
  <si>
    <t>140300534525</t>
  </si>
  <si>
    <t>10kV青元路9083隔离开关</t>
  </si>
  <si>
    <t>140300534526</t>
  </si>
  <si>
    <t>35kV青湖龙支线305A相电流互感器</t>
  </si>
  <si>
    <t>140300534527</t>
  </si>
  <si>
    <t>35kV青湖龙支线305B相电流互感器</t>
  </si>
  <si>
    <t>140300534528</t>
  </si>
  <si>
    <t>35kV青湖龙支线305C相电流互感器</t>
  </si>
  <si>
    <t>140300534529</t>
  </si>
  <si>
    <t>2号主变10kV侧避雷器A相避雷器</t>
  </si>
  <si>
    <t>140300534530</t>
  </si>
  <si>
    <t>2号主变10kV侧避雷器B相避雷器</t>
  </si>
  <si>
    <t>140300534531</t>
  </si>
  <si>
    <t>2号主变10kV侧避雷器C相避雷器</t>
  </si>
  <si>
    <t>140300534532</t>
  </si>
  <si>
    <t>140300534533</t>
  </si>
  <si>
    <t>140300534534</t>
  </si>
  <si>
    <t>140300534535</t>
  </si>
  <si>
    <t>10kV电容一路9818隔离开关</t>
  </si>
  <si>
    <t>140300534536</t>
  </si>
  <si>
    <t>10kV电容路981电力电容器</t>
  </si>
  <si>
    <t>140300534537</t>
  </si>
  <si>
    <t>140300534538</t>
  </si>
  <si>
    <t>10kV电容二路9828隔离开关</t>
  </si>
  <si>
    <t>140300534539</t>
  </si>
  <si>
    <t>10kV电容二路982电力电容器</t>
  </si>
  <si>
    <t>140300534540</t>
  </si>
  <si>
    <t>140300534541</t>
  </si>
  <si>
    <t>35kVII母母线</t>
  </si>
  <si>
    <t>140300534542</t>
  </si>
  <si>
    <t>35kVI母母线</t>
  </si>
  <si>
    <t>140300562657</t>
  </si>
  <si>
    <t>110kV备用143线路A相避雷器</t>
  </si>
  <si>
    <t>140300562658</t>
  </si>
  <si>
    <t>110kV备用143线路B相避雷器</t>
  </si>
  <si>
    <t>140300562659</t>
  </si>
  <si>
    <t>110kV备用143线路C相避雷器</t>
  </si>
  <si>
    <t>140300573292</t>
  </si>
  <si>
    <t>35kV白水线313断路器</t>
  </si>
  <si>
    <t>140300573293</t>
  </si>
  <si>
    <t>35kV白水线313断路器电流互感器A相</t>
  </si>
  <si>
    <t>140300573294</t>
  </si>
  <si>
    <t>35kV白水线313断路器电流互感器B相</t>
  </si>
  <si>
    <t>140300573295</t>
  </si>
  <si>
    <t>35kV白水线313断路器电流互感器C相</t>
  </si>
  <si>
    <t>140300573296</t>
  </si>
  <si>
    <t>35kV白水线313线路避雷器A相</t>
  </si>
  <si>
    <t>140300573297</t>
  </si>
  <si>
    <t>35kV白水线313线路避雷器B相</t>
  </si>
  <si>
    <t>140300573298</t>
  </si>
  <si>
    <t>35kV白水线313线路避雷器C相</t>
  </si>
  <si>
    <t>140300573299</t>
  </si>
  <si>
    <t>35kV金白线312断路器</t>
  </si>
  <si>
    <t>140300573300</t>
  </si>
  <si>
    <t>35kV金白线312断路器电流互感器A相</t>
  </si>
  <si>
    <t>140300573301</t>
  </si>
  <si>
    <t>35kV金白线312断路器电流互感器B相</t>
  </si>
  <si>
    <t>140300573302</t>
  </si>
  <si>
    <t>35kV金白线312断路器电流互感器C相</t>
  </si>
  <si>
    <t>140300573303</t>
  </si>
  <si>
    <t>35kV金白线312线路避雷器A相</t>
  </si>
  <si>
    <t>140300573304</t>
  </si>
  <si>
    <t>35kV金白线312线路避雷器B相</t>
  </si>
  <si>
    <t>140300573305</t>
  </si>
  <si>
    <t>35kV金白线312线路避雷器C相</t>
  </si>
  <si>
    <t>140300573306</t>
  </si>
  <si>
    <t>35kV金沙线311断路器</t>
  </si>
  <si>
    <t>140300573307</t>
  </si>
  <si>
    <t>35kV金沙线311断路器电流互感器A相</t>
  </si>
  <si>
    <t>140300573308</t>
  </si>
  <si>
    <t>35kV金沙线311断路器电流互感器B相</t>
  </si>
  <si>
    <t>140300573309</t>
  </si>
  <si>
    <t>35kV金沙线311断路器电流互感器C相</t>
  </si>
  <si>
    <t>140300573310</t>
  </si>
  <si>
    <t>35kV金沙线311线路避雷器A相</t>
  </si>
  <si>
    <t>140300573311</t>
  </si>
  <si>
    <t>35kV金沙线311线路避雷器B相</t>
  </si>
  <si>
    <t>140300573312</t>
  </si>
  <si>
    <t>35kV金沙线311线路避雷器C相</t>
  </si>
  <si>
    <t>140300573313</t>
  </si>
  <si>
    <t>140300573314</t>
  </si>
  <si>
    <t>1号主变301断路器电流互感器A相</t>
  </si>
  <si>
    <t>140300573315</t>
  </si>
  <si>
    <t>1号主变301断路器电流互感器B相</t>
  </si>
  <si>
    <t>140300573316</t>
  </si>
  <si>
    <t>1号主变301断路器电流互感器C相</t>
  </si>
  <si>
    <t>140300573317</t>
  </si>
  <si>
    <t>35kV母线PTA相电压互感器</t>
  </si>
  <si>
    <t>140300573318</t>
  </si>
  <si>
    <t>35kV母线PTB相电压互感器</t>
  </si>
  <si>
    <t>140300573319</t>
  </si>
  <si>
    <t>35kV母线PTC相电压互感器</t>
  </si>
  <si>
    <t>140300573320</t>
  </si>
  <si>
    <t>35kV母线A相避雷器</t>
  </si>
  <si>
    <t>140300573321</t>
  </si>
  <si>
    <t>35kV母线B相避雷器</t>
  </si>
  <si>
    <t>140300573322</t>
  </si>
  <si>
    <t>35kV母线C相避雷器</t>
  </si>
  <si>
    <t>140300573323</t>
  </si>
  <si>
    <t>10kV白城路913开关柜</t>
  </si>
  <si>
    <t>140300573324</t>
  </si>
  <si>
    <t>10kV白虹路923开关柜</t>
  </si>
  <si>
    <t>140300573325</t>
  </si>
  <si>
    <t>10kV白尖路915开关柜</t>
  </si>
  <si>
    <t>140300573326</t>
  </si>
  <si>
    <t>10kV白枢路924开关柜</t>
  </si>
  <si>
    <t>140300573327</t>
  </si>
  <si>
    <t>10kV白坪路912开关柜</t>
  </si>
  <si>
    <t>140300573328</t>
  </si>
  <si>
    <t>10kV白青路914开关柜</t>
  </si>
  <si>
    <t>140300573329</t>
  </si>
  <si>
    <t>10kV待用922开关柜</t>
  </si>
  <si>
    <t>140300573330</t>
  </si>
  <si>
    <t>10kV白西路911开关柜</t>
  </si>
  <si>
    <t>140300573331</t>
  </si>
  <si>
    <t>10kV白江路921开关柜</t>
  </si>
  <si>
    <t>140300573332</t>
  </si>
  <si>
    <t>140300573333</t>
  </si>
  <si>
    <t>140300573334</t>
  </si>
  <si>
    <t>140300573335</t>
  </si>
  <si>
    <t>140300573336</t>
  </si>
  <si>
    <t>10kV分段9301隔离开关开关柜</t>
  </si>
  <si>
    <t>140300573337</t>
  </si>
  <si>
    <t>10kV站用变9621开关柜</t>
  </si>
  <si>
    <t>140300573338</t>
  </si>
  <si>
    <t>140300573339</t>
  </si>
  <si>
    <t>140300573340</t>
  </si>
  <si>
    <t>140300573341</t>
  </si>
  <si>
    <t>140300573342</t>
  </si>
  <si>
    <t>140300573343</t>
  </si>
  <si>
    <t>110kV内桥130断路器C相电流互感器</t>
  </si>
  <si>
    <t>140300573344</t>
  </si>
  <si>
    <t>110kV聚彩线135断路器</t>
  </si>
  <si>
    <t>140300573345</t>
  </si>
  <si>
    <t>220kV源山北线线路A相电压互感器</t>
  </si>
  <si>
    <t>140300573346</t>
  </si>
  <si>
    <t>10kV站用变946开关柜</t>
  </si>
  <si>
    <t>140300573347</t>
  </si>
  <si>
    <t>140300573348</t>
  </si>
  <si>
    <t>140300573349</t>
  </si>
  <si>
    <t>140300573350</t>
  </si>
  <si>
    <t>140300573351</t>
  </si>
  <si>
    <t>110kV分段130断路器A相电流互感器</t>
  </si>
  <si>
    <t>140300573352</t>
  </si>
  <si>
    <t>110kV分段130断路器B相电流互感器</t>
  </si>
  <si>
    <t>140300573353</t>
  </si>
  <si>
    <t>110kV分段130断路器C相电流互感器</t>
  </si>
  <si>
    <t>140300573354</t>
  </si>
  <si>
    <t>140300573355</t>
  </si>
  <si>
    <t>140300573356</t>
  </si>
  <si>
    <t>10kV电容四路984断路器开关柜</t>
  </si>
  <si>
    <t>140300573357</t>
  </si>
  <si>
    <t>2号主变3023隔离开关</t>
  </si>
  <si>
    <t>140300573358</t>
  </si>
  <si>
    <t>10kV蒲园一路911断路器开关柜</t>
  </si>
  <si>
    <t>140300573359</t>
  </si>
  <si>
    <t>110kV驾金线142断路器A相电流互感器</t>
  </si>
  <si>
    <t>140300573360</t>
  </si>
  <si>
    <t>110kV驾金线142断路器B相电流互感器</t>
  </si>
  <si>
    <t>140300573361</t>
  </si>
  <si>
    <t>110kV内桥130断路器A相电流互感器</t>
  </si>
  <si>
    <t>140300573362</t>
  </si>
  <si>
    <t>110kV内桥130断路器B相电流互感器</t>
  </si>
  <si>
    <t>140300581386</t>
  </si>
  <si>
    <t>10kV1号站用接地变9619隔离开关O相</t>
  </si>
  <si>
    <t>140300581387</t>
  </si>
  <si>
    <t>10kV1号站用接地变中性点电压互感器O相</t>
  </si>
  <si>
    <t>140300581388</t>
  </si>
  <si>
    <t>10kV1号站用接地变中性点避雷器O相</t>
  </si>
  <si>
    <t>140300581389</t>
  </si>
  <si>
    <t>140300589735</t>
  </si>
  <si>
    <t>140300589736</t>
  </si>
  <si>
    <t>140300589737</t>
  </si>
  <si>
    <t>140300589738</t>
  </si>
  <si>
    <t>140300589739</t>
  </si>
  <si>
    <t>140300589740</t>
  </si>
  <si>
    <t>140300589741</t>
  </si>
  <si>
    <t>35kV站用变307开关柜</t>
  </si>
  <si>
    <t>140300596436</t>
  </si>
  <si>
    <t>柱上断路器（84台）</t>
  </si>
  <si>
    <t>140300596437</t>
  </si>
  <si>
    <t>交流避雷器（504台）</t>
  </si>
  <si>
    <t>140300596438</t>
  </si>
  <si>
    <t>组合式互感器（36台）</t>
  </si>
  <si>
    <t>140300596439</t>
  </si>
  <si>
    <t>组合式互感器（37台）</t>
  </si>
  <si>
    <t>140300596440</t>
  </si>
  <si>
    <t>组合式互感器（13台）</t>
  </si>
  <si>
    <t>140300596441</t>
  </si>
  <si>
    <t>组合式互感器（5台）</t>
  </si>
  <si>
    <t>140300596442</t>
  </si>
  <si>
    <t>组合式互感器（2台）</t>
  </si>
  <si>
    <t>140300596443</t>
  </si>
  <si>
    <t>三相隔离开关（168组）</t>
  </si>
  <si>
    <t>140300596503</t>
  </si>
  <si>
    <t>10KV1号消弧装置成套装置</t>
  </si>
  <si>
    <t>140300596504</t>
  </si>
  <si>
    <t>10KV2号消弧装置成套装置</t>
  </si>
  <si>
    <t>140300596505</t>
  </si>
  <si>
    <t>140300596506</t>
  </si>
  <si>
    <t>140300596571</t>
  </si>
  <si>
    <t>低压开关</t>
  </si>
  <si>
    <t>140300596572</t>
  </si>
  <si>
    <t>140300596573</t>
  </si>
  <si>
    <t>140300596574</t>
  </si>
  <si>
    <t>140300596575</t>
  </si>
  <si>
    <t>140300596576</t>
  </si>
  <si>
    <t>140300596577</t>
  </si>
  <si>
    <t>140300596578</t>
  </si>
  <si>
    <t>140300596579</t>
  </si>
  <si>
    <t>140300596580</t>
  </si>
  <si>
    <t>140300596581</t>
  </si>
  <si>
    <t>柱上分段器</t>
  </si>
  <si>
    <t>140300596582</t>
  </si>
  <si>
    <t>140300596583</t>
  </si>
  <si>
    <t>140300596584</t>
  </si>
  <si>
    <t>140300596585</t>
  </si>
  <si>
    <t>140300596586</t>
  </si>
  <si>
    <t>140300596587</t>
  </si>
  <si>
    <t>140300596588</t>
  </si>
  <si>
    <t>140300596589</t>
  </si>
  <si>
    <t>140300596590</t>
  </si>
  <si>
    <t>140300596591</t>
  </si>
  <si>
    <t>140300596592</t>
  </si>
  <si>
    <t>140300596593</t>
  </si>
  <si>
    <t>140300596594</t>
  </si>
  <si>
    <t>140300596595</t>
  </si>
  <si>
    <t>140300596596</t>
  </si>
  <si>
    <t>140300596597</t>
  </si>
  <si>
    <t>140300596598</t>
  </si>
  <si>
    <t>140300596599</t>
  </si>
  <si>
    <t>140300596600</t>
  </si>
  <si>
    <t>140300596601</t>
  </si>
  <si>
    <t>140300596602</t>
  </si>
  <si>
    <t>140300596603</t>
  </si>
  <si>
    <t>140300596604</t>
  </si>
  <si>
    <t>140300596605</t>
  </si>
  <si>
    <t>140300596606</t>
  </si>
  <si>
    <t>140300596607</t>
  </si>
  <si>
    <t>140300596608</t>
  </si>
  <si>
    <t>140300596609</t>
  </si>
  <si>
    <t>140300596610</t>
  </si>
  <si>
    <t>140300596611</t>
  </si>
  <si>
    <t>140300596612</t>
  </si>
  <si>
    <t>140300596613</t>
  </si>
  <si>
    <t>140300596614</t>
  </si>
  <si>
    <t>140300596615</t>
  </si>
  <si>
    <t>140300596616</t>
  </si>
  <si>
    <t>140300596617</t>
  </si>
  <si>
    <t>140300596618</t>
  </si>
  <si>
    <t>140300596619</t>
  </si>
  <si>
    <t>140300596620</t>
  </si>
  <si>
    <t>140300596621</t>
  </si>
  <si>
    <t>140300596622</t>
  </si>
  <si>
    <t>140300596623</t>
  </si>
  <si>
    <t>140300596624</t>
  </si>
  <si>
    <t>140300596625</t>
  </si>
  <si>
    <t>140300596626</t>
  </si>
  <si>
    <t>140300596627</t>
  </si>
  <si>
    <t>140300596628</t>
  </si>
  <si>
    <t>140300596629</t>
  </si>
  <si>
    <t>140300596630</t>
  </si>
  <si>
    <t>140300596631</t>
  </si>
  <si>
    <t>140300596632</t>
  </si>
  <si>
    <t>140300596633</t>
  </si>
  <si>
    <t>140300610208</t>
  </si>
  <si>
    <t>10kV电容二路922电力电容器（新）</t>
  </si>
  <si>
    <t>140400001818</t>
  </si>
  <si>
    <t>10kV胥伦路907出线电力电缆</t>
  </si>
  <si>
    <t>140400001819</t>
  </si>
  <si>
    <t>10kV胥镇一路911出线电力电缆</t>
  </si>
  <si>
    <t>140400001820</t>
  </si>
  <si>
    <t>10kV胥都北路909出线电力电缆</t>
  </si>
  <si>
    <t>140400001821</t>
  </si>
  <si>
    <t>1号主变10kV侧B相电力电缆</t>
  </si>
  <si>
    <t>140400001822</t>
  </si>
  <si>
    <t>1号主变10kV侧A相电力电缆</t>
  </si>
  <si>
    <t>140400001823</t>
  </si>
  <si>
    <t>1号主变10kV侧C相电力电缆</t>
  </si>
  <si>
    <t>140400002443</t>
  </si>
  <si>
    <t>10kV蒲电路918出线电力电缆</t>
  </si>
  <si>
    <t>140400002480</t>
  </si>
  <si>
    <t>10kV唐古路907 出线电力电缆</t>
  </si>
  <si>
    <t>140400002958</t>
  </si>
  <si>
    <t>10kV胥游路903C相电力电缆</t>
  </si>
  <si>
    <t>140400002959</t>
  </si>
  <si>
    <t>10kV胥游路903A相电力电缆</t>
  </si>
  <si>
    <t>140400002960</t>
  </si>
  <si>
    <t>10kV胥游路903B相电力电缆</t>
  </si>
  <si>
    <t>140400002992</t>
  </si>
  <si>
    <t>10kV蒲街路925电力电缆</t>
  </si>
  <si>
    <t>140400003163</t>
  </si>
  <si>
    <t>10kV蒲园二路921电力电缆</t>
  </si>
  <si>
    <t>140400003164</t>
  </si>
  <si>
    <t>10kV蒲园四路922电力电缆</t>
  </si>
  <si>
    <t>140400003165</t>
  </si>
  <si>
    <t>10kV蒲桂路913电力电缆</t>
  </si>
  <si>
    <t>140400003225</t>
  </si>
  <si>
    <t>10kV电容三路983开关电力电缆</t>
  </si>
  <si>
    <t>140400003226</t>
  </si>
  <si>
    <t>10kV胥联路913电力电缆</t>
  </si>
  <si>
    <t>140400003227</t>
  </si>
  <si>
    <t>10kV胥铁路915电力电缆</t>
  </si>
  <si>
    <t>140400003230</t>
  </si>
  <si>
    <t>10KV电容一路断路器电力电缆</t>
  </si>
  <si>
    <t>140400003251</t>
  </si>
  <si>
    <t>10kV电容二路982开关A相电力电缆</t>
  </si>
  <si>
    <t>140400003252</t>
  </si>
  <si>
    <t>10kV电容二路982开关B相电力电缆</t>
  </si>
  <si>
    <t>140400003253</t>
  </si>
  <si>
    <t>10kV电容二路982开关C相电力电缆</t>
  </si>
  <si>
    <t>140400003271</t>
  </si>
  <si>
    <t>2号站用变电力电缆</t>
  </si>
  <si>
    <t>140400003272</t>
  </si>
  <si>
    <t>1号站用变电力电缆</t>
  </si>
  <si>
    <t>140400003273</t>
  </si>
  <si>
    <t>电容二路电力电缆</t>
  </si>
  <si>
    <t>140400003274</t>
  </si>
  <si>
    <t>电容三路电力电缆</t>
  </si>
  <si>
    <t>140400003275</t>
  </si>
  <si>
    <t>电容四路电力电缆</t>
  </si>
  <si>
    <t>140400003276</t>
  </si>
  <si>
    <t>10kV青院路923出线A相电力电缆</t>
  </si>
  <si>
    <t>140400003277</t>
  </si>
  <si>
    <t>10kV青院路923出线B相电力电缆</t>
  </si>
  <si>
    <t>140400003278</t>
  </si>
  <si>
    <t>10kV青院路923出线C相电力电缆</t>
  </si>
  <si>
    <t>140400003279</t>
  </si>
  <si>
    <t>140400003280</t>
  </si>
  <si>
    <t>电容一路电力电缆</t>
  </si>
  <si>
    <t>140400003339</t>
  </si>
  <si>
    <t>140400003340</t>
  </si>
  <si>
    <t>10kV1号站用变电力电缆</t>
  </si>
  <si>
    <t>140400003341</t>
  </si>
  <si>
    <t>10kV2号站用变电力电缆</t>
  </si>
  <si>
    <t>140400003342</t>
  </si>
  <si>
    <t>140400003343</t>
  </si>
  <si>
    <t>140400003344</t>
  </si>
  <si>
    <t>140400004607</t>
  </si>
  <si>
    <t>140400004697</t>
  </si>
  <si>
    <t>10kV蒲驾路924电力电缆</t>
  </si>
  <si>
    <t>140400004698</t>
  </si>
  <si>
    <t>10kV蒲镇路927电力电缆</t>
  </si>
  <si>
    <t>140400004699</t>
  </si>
  <si>
    <t>10kV蒲向路914电力电缆</t>
  </si>
  <si>
    <t>140400004726</t>
  </si>
  <si>
    <t>10kV电容八路电力电缆</t>
  </si>
  <si>
    <t>140400004727</t>
  </si>
  <si>
    <t>10kV电容二路电力电缆</t>
  </si>
  <si>
    <t>140400004728</t>
  </si>
  <si>
    <t>10kV电容六路电力电缆</t>
  </si>
  <si>
    <t>140400004729</t>
  </si>
  <si>
    <t>140400004730</t>
  </si>
  <si>
    <t>10kV电容四路电力电缆</t>
  </si>
  <si>
    <t>140400004841</t>
  </si>
  <si>
    <t>10kV电容路909断路器电力电缆</t>
  </si>
  <si>
    <t>140400004842</t>
  </si>
  <si>
    <t>10kV青东路905出线A相电力电缆</t>
  </si>
  <si>
    <t>140400004843</t>
  </si>
  <si>
    <t>10kV青疗路907出线A相电力电缆</t>
  </si>
  <si>
    <t>140400004856</t>
  </si>
  <si>
    <t>140400004857</t>
  </si>
  <si>
    <t>10kV青一路903出线电力电缆</t>
  </si>
  <si>
    <t>140400004889</t>
  </si>
  <si>
    <t>2号主变3023隔离开关至302断路器电力电缆ABC相</t>
  </si>
  <si>
    <t>140400004890</t>
  </si>
  <si>
    <t>10kV金桥一路936电力电缆</t>
  </si>
  <si>
    <t>140400004894</t>
  </si>
  <si>
    <t>35kV站用变电力电缆</t>
  </si>
  <si>
    <t>140400004895</t>
  </si>
  <si>
    <t>35kV白水线313电力电缆</t>
  </si>
  <si>
    <t>140400004896</t>
  </si>
  <si>
    <t>10kV电容一路981电力电缆</t>
  </si>
  <si>
    <t>140400004897</t>
  </si>
  <si>
    <t>10kV白城路913出线电力电缆</t>
  </si>
  <si>
    <t>140400004898</t>
  </si>
  <si>
    <t>10kV白虹路923出线电力电缆</t>
  </si>
  <si>
    <t>140400004899</t>
  </si>
  <si>
    <t>10kV白尖路915出线电力电缆</t>
  </si>
  <si>
    <t>140400004900</t>
  </si>
  <si>
    <t>10kV白枢路924出线电力电缆</t>
  </si>
  <si>
    <t>140400004901</t>
  </si>
  <si>
    <t>10kV白坪路912出线电力电缆</t>
  </si>
  <si>
    <t>140400004902</t>
  </si>
  <si>
    <t>10kV白青路914出线电力电缆</t>
  </si>
  <si>
    <t>140400004903</t>
  </si>
  <si>
    <t>10kV待用922出线电力电缆</t>
  </si>
  <si>
    <t>140400004904</t>
  </si>
  <si>
    <t>10kV白西路911出线电力电缆</t>
  </si>
  <si>
    <t>140400004905</t>
  </si>
  <si>
    <t>10kV白江路921电力电缆</t>
  </si>
  <si>
    <t>140400004906</t>
  </si>
  <si>
    <t>140400004907</t>
  </si>
  <si>
    <t>10kV电容二路982电力电缆</t>
  </si>
  <si>
    <t>140400005132</t>
  </si>
  <si>
    <t>聚源站10kV2号站用变电力电缆</t>
  </si>
  <si>
    <t>140400005133</t>
  </si>
  <si>
    <t>10kV青平路906出线电力电缆</t>
  </si>
  <si>
    <t>140400005134</t>
  </si>
  <si>
    <t>10kV青西路905电缆电力电缆</t>
  </si>
  <si>
    <t>140400005135</t>
  </si>
  <si>
    <t>10kV翠五路905电力电缆</t>
  </si>
  <si>
    <t>140400007120</t>
  </si>
  <si>
    <t>10kV金源一路911电力电缆</t>
  </si>
  <si>
    <t>140400007123</t>
  </si>
  <si>
    <t>10kV金源二路9123线路   电力电缆</t>
  </si>
  <si>
    <t>140400007124</t>
  </si>
  <si>
    <t>10kV金源三路908电力电缆</t>
  </si>
  <si>
    <t>140400007127</t>
  </si>
  <si>
    <t>10kV小通路912线路电力电缆</t>
  </si>
  <si>
    <t>140400007128</t>
  </si>
  <si>
    <t>10kV电容一路981A相电力电缆</t>
  </si>
  <si>
    <t>140400007129</t>
  </si>
  <si>
    <t>10kV电容一路981C相电力电缆</t>
  </si>
  <si>
    <t>140400007130</t>
  </si>
  <si>
    <t>10kV电容一路981B相电力电缆</t>
  </si>
  <si>
    <t>140400007131</t>
  </si>
  <si>
    <t>10kV电抗器981零相电力电缆</t>
  </si>
  <si>
    <t>140400007132</t>
  </si>
  <si>
    <t>35kV青湖线321出线电力电缆</t>
  </si>
  <si>
    <t>140400007133</t>
  </si>
  <si>
    <t>10kV1号站用接地变961出线电力电缆</t>
  </si>
  <si>
    <t>140400007134</t>
  </si>
  <si>
    <t>10kV2号站用接地变962出线电力电缆</t>
  </si>
  <si>
    <t>140400007135</t>
  </si>
  <si>
    <t>10kV电容一路971出线电力电缆</t>
  </si>
  <si>
    <t>140400007136</t>
  </si>
  <si>
    <t>10kV电容二路972出线电力电缆</t>
  </si>
  <si>
    <t>140400007137</t>
  </si>
  <si>
    <t>10kV电容四路974出线电力电缆</t>
  </si>
  <si>
    <t>140400007138</t>
  </si>
  <si>
    <t>10kV虹宾路907出线电力电缆</t>
  </si>
  <si>
    <t>140400007139</t>
  </si>
  <si>
    <t>10kV虹景路950出线电力电缆</t>
  </si>
  <si>
    <t>140400007140</t>
  </si>
  <si>
    <t>10kV虹联路950电力电缆</t>
  </si>
  <si>
    <t>140400007141</t>
  </si>
  <si>
    <t>0kV虹太路913出线电力电缆</t>
  </si>
  <si>
    <t>140400007142</t>
  </si>
  <si>
    <t>10kV虹新路925出线电力电缆</t>
  </si>
  <si>
    <t>140400007143</t>
  </si>
  <si>
    <t>0kV虹永路909出线电力电缆</t>
  </si>
  <si>
    <t>140400007144</t>
  </si>
  <si>
    <t>10kV虹勤路905电力电缆</t>
  </si>
  <si>
    <t>140400007145</t>
  </si>
  <si>
    <t>10kV虹民路923出线电力电缆</t>
  </si>
  <si>
    <t>140400007146</t>
  </si>
  <si>
    <t>10kV青革路927电力电缆</t>
  </si>
  <si>
    <t>140400007473</t>
  </si>
  <si>
    <t>10kV电容一路电力电缆</t>
  </si>
  <si>
    <t>140400007474</t>
  </si>
  <si>
    <t>10kV电容五路电力电缆</t>
  </si>
  <si>
    <t>140400007475</t>
  </si>
  <si>
    <t>10kV电容三路电力电缆</t>
  </si>
  <si>
    <t>140400007507</t>
  </si>
  <si>
    <t>10kV青云路908出线A相电力电缆</t>
  </si>
  <si>
    <t>140400007508</t>
  </si>
  <si>
    <t>10kV913青镇路913出线A相电力电缆</t>
  </si>
  <si>
    <t>140400007509</t>
  </si>
  <si>
    <t>10kV青田路910出线A相电力电缆</t>
  </si>
  <si>
    <t>140400007510</t>
  </si>
  <si>
    <t>10kV蒲堰路926线路电力电缆</t>
  </si>
  <si>
    <t>140400007511</t>
  </si>
  <si>
    <t>35kV青公线322出线电力电缆</t>
  </si>
  <si>
    <t>140400007512</t>
  </si>
  <si>
    <t>10kV青中路926出线电力电缆</t>
  </si>
  <si>
    <t>140400007513</t>
  </si>
  <si>
    <t>10kV青翠路907出线电力电缆</t>
  </si>
  <si>
    <t>140400007514</t>
  </si>
  <si>
    <t>10kV电容三路973出线电力电缆</t>
  </si>
  <si>
    <t>140400007515</t>
  </si>
  <si>
    <t>10kV虹玉路908出线电力电缆</t>
  </si>
  <si>
    <t>140400007516</t>
  </si>
  <si>
    <t>10kV虹天路926出线电力电缆</t>
  </si>
  <si>
    <t>140400007517</t>
  </si>
  <si>
    <t>10kV虹堂路927出线电力电缆</t>
  </si>
  <si>
    <t>140400007518</t>
  </si>
  <si>
    <t>10kV虹康路915电力电缆</t>
  </si>
  <si>
    <t>140400007519</t>
  </si>
  <si>
    <t>10kV虹奎路929电力电缆</t>
  </si>
  <si>
    <t>140400007520</t>
  </si>
  <si>
    <t>10kV虹西路906电力电缆</t>
  </si>
  <si>
    <t>140400007521</t>
  </si>
  <si>
    <t>915电力电缆</t>
  </si>
  <si>
    <t>140400007522</t>
  </si>
  <si>
    <t>10kV小济路921电缆电力电缆</t>
  </si>
  <si>
    <t>140400007841</t>
  </si>
  <si>
    <t>10kV电容一路971电力电缆</t>
  </si>
  <si>
    <t>140400007842</t>
  </si>
  <si>
    <t>10kV电容八路978电力电缆</t>
  </si>
  <si>
    <t>140400007843</t>
  </si>
  <si>
    <t>10kV1号站用变961电力电缆</t>
  </si>
  <si>
    <t>140400007844</t>
  </si>
  <si>
    <t>10kV2号站用变962电力电缆</t>
  </si>
  <si>
    <t>140400007845</t>
  </si>
  <si>
    <t>10kV电容五路975电力电缆</t>
  </si>
  <si>
    <t>140400007846</t>
  </si>
  <si>
    <t>10kV电容二路972电力电缆</t>
  </si>
  <si>
    <t>140400007847</t>
  </si>
  <si>
    <t>10kV电容九路979电力电缆</t>
  </si>
  <si>
    <t>140400007848</t>
  </si>
  <si>
    <t>10kV电容四路974电力电缆</t>
  </si>
  <si>
    <t>140400007849</t>
  </si>
  <si>
    <t>10kV电容六路976电力电缆</t>
  </si>
  <si>
    <t>140400007850</t>
  </si>
  <si>
    <t>10kV电容十路970电力电缆</t>
  </si>
  <si>
    <t>140400007851</t>
  </si>
  <si>
    <t>10kV电容七路977电力电缆</t>
  </si>
  <si>
    <t>140400007852</t>
  </si>
  <si>
    <t>10kV电容三路973电力电缆</t>
  </si>
  <si>
    <t>140400008578</t>
  </si>
  <si>
    <t>1号主变3013隔离开关至301开关电力电缆</t>
  </si>
  <si>
    <t>140400008710</t>
  </si>
  <si>
    <t>35kV备用309出线A相电力电缆</t>
  </si>
  <si>
    <t>140400008711</t>
  </si>
  <si>
    <t>35kV灌九线307出线A相电力电缆</t>
  </si>
  <si>
    <t>140400008712</t>
  </si>
  <si>
    <t>35kV灌九线307出线B相电力电缆</t>
  </si>
  <si>
    <t>140400008713</t>
  </si>
  <si>
    <t>35kV灌山线310出线A相电力电缆</t>
  </si>
  <si>
    <t>140400008714</t>
  </si>
  <si>
    <t>35kV灌山线310出线B相电力电缆</t>
  </si>
  <si>
    <t>140400008715</t>
  </si>
  <si>
    <t>35kV灌山线310出线C相电力电缆</t>
  </si>
  <si>
    <t>140400008716</t>
  </si>
  <si>
    <t>35kV备用303出线A相电力电缆</t>
  </si>
  <si>
    <t>140400008717</t>
  </si>
  <si>
    <t>1号主变3011刀闸至3013刀闸间A相电力电缆</t>
  </si>
  <si>
    <t>140400008718</t>
  </si>
  <si>
    <t>1号主变3011刀闸至3013刀闸间B相电力电缆</t>
  </si>
  <si>
    <t>140400008719</t>
  </si>
  <si>
    <t>35kV灌磁线304出线C相电力电缆</t>
  </si>
  <si>
    <t>140400008720</t>
  </si>
  <si>
    <t>35kV灌磁线304出线A相电力电缆</t>
  </si>
  <si>
    <t>140400008721</t>
  </si>
  <si>
    <t>35kV灌磁线304出线B相电力电缆</t>
  </si>
  <si>
    <t>140400008722</t>
  </si>
  <si>
    <t>35kV备用303出线C相电力电缆</t>
  </si>
  <si>
    <t>140400008723</t>
  </si>
  <si>
    <t>35kV备用309出线B相电力电缆</t>
  </si>
  <si>
    <t>140400008724</t>
  </si>
  <si>
    <t>35kV备用309出线C相电力电缆</t>
  </si>
  <si>
    <t>140400008725</t>
  </si>
  <si>
    <t>35kV备用303出线B相电力电缆</t>
  </si>
  <si>
    <t>140400008726</t>
  </si>
  <si>
    <t>1号主变3011刀闸至3013刀闸间C相电力电缆</t>
  </si>
  <si>
    <t>140400008727</t>
  </si>
  <si>
    <t>2号主变3021刀闸至3023刀闸间B相电力电缆</t>
  </si>
  <si>
    <t>140400008728</t>
  </si>
  <si>
    <t>2号主变3021刀闸至3023刀闸间C相电力电缆</t>
  </si>
  <si>
    <t>140400008729</t>
  </si>
  <si>
    <t>2号主变3021刀闸至3023刀闸间A相电力电缆</t>
  </si>
  <si>
    <t>140400008730</t>
  </si>
  <si>
    <t>35kV备用306出线A相电力电缆</t>
  </si>
  <si>
    <t>140400008731</t>
  </si>
  <si>
    <t>35kV备用306出线B相电力电缆</t>
  </si>
  <si>
    <t>140400008732</t>
  </si>
  <si>
    <t>35kV备用306出线C相电力电缆</t>
  </si>
  <si>
    <t>140400008733</t>
  </si>
  <si>
    <t>35kV灌天线308出线A相电力电缆</t>
  </si>
  <si>
    <t>140400008734</t>
  </si>
  <si>
    <t>35kV灌天线308出线B相电力电缆</t>
  </si>
  <si>
    <t>140400008735</t>
  </si>
  <si>
    <t>35kV灌天线308出线C相电力电缆</t>
  </si>
  <si>
    <t>140400008736</t>
  </si>
  <si>
    <t>35kV备用305出线A相电力电缆</t>
  </si>
  <si>
    <t>140400008737</t>
  </si>
  <si>
    <t>35kV灌九线307出线C相电力电缆</t>
  </si>
  <si>
    <t>140400008738</t>
  </si>
  <si>
    <t>35kV备用305出线B相电力电缆</t>
  </si>
  <si>
    <t>140400008739</t>
  </si>
  <si>
    <t>35kV备用305出线C相电力电缆</t>
  </si>
  <si>
    <t>140400009083</t>
  </si>
  <si>
    <t>电力电缆1</t>
  </si>
  <si>
    <t>140400009084</t>
  </si>
  <si>
    <t>电力电缆2</t>
  </si>
  <si>
    <t>140400009085</t>
  </si>
  <si>
    <t>电力电缆3</t>
  </si>
  <si>
    <t>140400009086</t>
  </si>
  <si>
    <t>电力电缆4</t>
  </si>
  <si>
    <t>140400009087</t>
  </si>
  <si>
    <t>电力电缆5</t>
  </si>
  <si>
    <t>140400009088</t>
  </si>
  <si>
    <t>电力电缆6</t>
  </si>
  <si>
    <t>140400009089</t>
  </si>
  <si>
    <t>电力电缆7</t>
  </si>
  <si>
    <t>140400009090</t>
  </si>
  <si>
    <t>电力电缆8</t>
  </si>
  <si>
    <t>140400009091</t>
  </si>
  <si>
    <t>电力电缆9</t>
  </si>
  <si>
    <t>140400009092</t>
  </si>
  <si>
    <t>电力电缆10</t>
  </si>
  <si>
    <t>140400009093</t>
  </si>
  <si>
    <t>140400009094</t>
  </si>
  <si>
    <t>140400009095</t>
  </si>
  <si>
    <t>140400009096</t>
  </si>
  <si>
    <t>140400009097</t>
  </si>
  <si>
    <t>140400009098</t>
  </si>
  <si>
    <t>140400009099</t>
  </si>
  <si>
    <t>140400009100</t>
  </si>
  <si>
    <t>电缆1</t>
  </si>
  <si>
    <t>140400009101</t>
  </si>
  <si>
    <t>电缆2</t>
  </si>
  <si>
    <t>140400009102</t>
  </si>
  <si>
    <t>电缆3</t>
  </si>
  <si>
    <t>140400009103</t>
  </si>
  <si>
    <t>电缆4</t>
  </si>
  <si>
    <t>140400009104</t>
  </si>
  <si>
    <t>电缆5</t>
  </si>
  <si>
    <t>140400009105</t>
  </si>
  <si>
    <t>电缆6</t>
  </si>
  <si>
    <t>140400009106</t>
  </si>
  <si>
    <t>电缆7</t>
  </si>
  <si>
    <t>140400009107</t>
  </si>
  <si>
    <t>电缆8</t>
  </si>
  <si>
    <t>140400009108</t>
  </si>
  <si>
    <t>电缆9</t>
  </si>
  <si>
    <t>140400009109</t>
  </si>
  <si>
    <t>电缆10</t>
  </si>
  <si>
    <t>140400009110</t>
  </si>
  <si>
    <t>电缆11</t>
  </si>
  <si>
    <t>140400009777</t>
  </si>
  <si>
    <t>10kV站用变电力电缆ABC相</t>
  </si>
  <si>
    <t>140400009778</t>
  </si>
  <si>
    <t>10kV电容二路918电力电缆</t>
  </si>
  <si>
    <t>140400009779</t>
  </si>
  <si>
    <t>10kV1号开关站总路905电力电缆</t>
  </si>
  <si>
    <t>140400009780</t>
  </si>
  <si>
    <t>10kV2号开关站总路906电力电缆</t>
  </si>
  <si>
    <t>140400009781</t>
  </si>
  <si>
    <t>10kV电容一路907电力电缆</t>
  </si>
  <si>
    <t>140400009782</t>
  </si>
  <si>
    <t>10kV金桥二路909电力电缆</t>
  </si>
  <si>
    <t>140400009783</t>
  </si>
  <si>
    <t>35kV分段330断路器C相电力电缆</t>
  </si>
  <si>
    <t>140400009784</t>
  </si>
  <si>
    <t>35kV分段330断路器A相电力电缆</t>
  </si>
  <si>
    <t>140400009785</t>
  </si>
  <si>
    <t>35kV分段330断路器B相电力电缆</t>
  </si>
  <si>
    <t>140400009786</t>
  </si>
  <si>
    <t>10kV电容路909电力电缆</t>
  </si>
  <si>
    <t>140400009787</t>
  </si>
  <si>
    <t>10kV金新二路948电力电缆</t>
  </si>
  <si>
    <t>140400009788</t>
  </si>
  <si>
    <t>1号主变35kV电力电缆</t>
  </si>
  <si>
    <t>140400009789</t>
  </si>
  <si>
    <t>1号主变低压侧电力电缆</t>
  </si>
  <si>
    <t>140400009790</t>
  </si>
  <si>
    <t>2号主变低压侧电力电缆</t>
  </si>
  <si>
    <t>140400009791</t>
  </si>
  <si>
    <t>140400009792</t>
  </si>
  <si>
    <t>10kV电容二路910电力电缆</t>
  </si>
  <si>
    <t>140400009793</t>
  </si>
  <si>
    <t>10kV青元路908电力电缆</t>
  </si>
  <si>
    <t>140400009794</t>
  </si>
  <si>
    <t>908电力电缆</t>
  </si>
  <si>
    <t>140400009795</t>
  </si>
  <si>
    <t>10kV电容路981电力电缆</t>
  </si>
  <si>
    <t>140400009796</t>
  </si>
  <si>
    <t>140400009797</t>
  </si>
  <si>
    <t>140400009798</t>
  </si>
  <si>
    <t>905电力电缆</t>
  </si>
  <si>
    <t>140400011132</t>
  </si>
  <si>
    <t>35kV站用变高压电缆</t>
  </si>
  <si>
    <t>160100032576</t>
  </si>
  <si>
    <t>配电线路</t>
  </si>
  <si>
    <t>10KV蒲园1路线路(电缆)</t>
  </si>
  <si>
    <r>
      <rPr>
        <sz val="10"/>
        <rFont val="Arial"/>
        <family val="2"/>
      </rPr>
      <t>10kV</t>
    </r>
    <r>
      <rPr>
        <sz val="10"/>
        <rFont val="宋体"/>
        <charset val="134"/>
      </rPr>
      <t>以下</t>
    </r>
  </si>
  <si>
    <t>160100032577</t>
  </si>
  <si>
    <t>10KV蒲园1路线路</t>
  </si>
  <si>
    <t>160100032578</t>
  </si>
  <si>
    <t>10kV蒲园二路</t>
  </si>
  <si>
    <t>160100032592</t>
  </si>
  <si>
    <t>10KV幸城III路延伸线</t>
  </si>
  <si>
    <t>160100032605</t>
  </si>
  <si>
    <t>10KV幸福站-柏油仓库</t>
  </si>
  <si>
    <t>160100032610</t>
  </si>
  <si>
    <t>东门口线路</t>
  </si>
  <si>
    <t>160100032629</t>
  </si>
  <si>
    <t>塔中-柏油仓库线</t>
  </si>
  <si>
    <t>160100032631</t>
  </si>
  <si>
    <t>10KV张综路天桥花园分支箱</t>
  </si>
  <si>
    <t>160100032639</t>
  </si>
  <si>
    <t>鱼咀站-青城桥线</t>
  </si>
  <si>
    <t>160100032640</t>
  </si>
  <si>
    <t>鱼咀站-紫坪线</t>
  </si>
  <si>
    <t>160100032642</t>
  </si>
  <si>
    <t>10kV石城路</t>
  </si>
  <si>
    <t>160100032646</t>
  </si>
  <si>
    <t>10KV金土路</t>
  </si>
  <si>
    <t>160100032655</t>
  </si>
  <si>
    <t>10KV线路</t>
  </si>
  <si>
    <t>160100032657</t>
  </si>
  <si>
    <t>"10KV幸城1,2回迎宾大道支线"</t>
  </si>
  <si>
    <t>160100032658</t>
  </si>
  <si>
    <t>160100032662</t>
  </si>
  <si>
    <t>10KV青大路安龙支低压线</t>
  </si>
  <si>
    <t>160100032663</t>
  </si>
  <si>
    <t>安龙乡C类配电线路</t>
  </si>
  <si>
    <t>160100032664</t>
  </si>
  <si>
    <t>安龙镇户户通电接户线</t>
  </si>
  <si>
    <t>160100032665</t>
  </si>
  <si>
    <t>160100032666</t>
  </si>
  <si>
    <t>安龙镇户户通电进户线</t>
  </si>
  <si>
    <t>160100032667</t>
  </si>
  <si>
    <t>安龙镇泊江村380V线路</t>
  </si>
  <si>
    <t>160100032668</t>
  </si>
  <si>
    <t>安龙镇泊江村220V线路</t>
  </si>
  <si>
    <t>160100032669</t>
  </si>
  <si>
    <t>安龙镇布津村二组380V线路</t>
  </si>
  <si>
    <t>160100032670</t>
  </si>
  <si>
    <t>安龙镇布津村二组220V线路</t>
  </si>
  <si>
    <t>160100032671</t>
  </si>
  <si>
    <t>160100032672</t>
  </si>
  <si>
    <t>安龙镇布津村五组380V线路</t>
  </si>
  <si>
    <t>160100032673</t>
  </si>
  <si>
    <t>安龙镇布津村五组220V线路</t>
  </si>
  <si>
    <t>160100032674</t>
  </si>
  <si>
    <t>安龙镇场镇220V线路</t>
  </si>
  <si>
    <t>160100032675</t>
  </si>
  <si>
    <t>安龙镇定红村220V线路</t>
  </si>
  <si>
    <t>160100032678</t>
  </si>
  <si>
    <t>安龙镇东风村220V线路</t>
  </si>
  <si>
    <t>160100032680</t>
  </si>
  <si>
    <t>安龙镇东义村一组220V线路</t>
  </si>
  <si>
    <t>160100032684</t>
  </si>
  <si>
    <t>安龙镇金沙村线路</t>
  </si>
  <si>
    <t>160100032685</t>
  </si>
  <si>
    <t>安龙镇金沙村220V线路</t>
  </si>
  <si>
    <t>160100032687</t>
  </si>
  <si>
    <t>安龙镇青莲村四组220V线路</t>
  </si>
  <si>
    <t>160100032688</t>
  </si>
  <si>
    <t>安龙镇青莲村四组380V线路</t>
  </si>
  <si>
    <t>160100032689</t>
  </si>
  <si>
    <t>160100032691</t>
  </si>
  <si>
    <t>安龙镇青石村380V线路</t>
  </si>
  <si>
    <t>160100032693</t>
  </si>
  <si>
    <t>安龙镇青石村220V线路</t>
  </si>
  <si>
    <t>160100032698</t>
  </si>
  <si>
    <t>安龙镇太平村二组220V线路</t>
  </si>
  <si>
    <t>160100032699</t>
  </si>
  <si>
    <t>安龙镇太平村六组220V线路</t>
  </si>
  <si>
    <t>160100032700</t>
  </si>
  <si>
    <t>160100032703</t>
  </si>
  <si>
    <t>安龙镇团结村220V线路</t>
  </si>
  <si>
    <t>160100032704</t>
  </si>
  <si>
    <t>160100032707</t>
  </si>
  <si>
    <t>10KV田紫路支线低压线</t>
  </si>
  <si>
    <t>160100032709</t>
  </si>
  <si>
    <t>10KV白城路支线低压线</t>
  </si>
  <si>
    <t>160100032711</t>
  </si>
  <si>
    <t>10KV白鱼路支线低压线</t>
  </si>
  <si>
    <t>160100032712</t>
  </si>
  <si>
    <t>长征组公变线路</t>
  </si>
  <si>
    <t>160100032713</t>
  </si>
  <si>
    <t>160100032714</t>
  </si>
  <si>
    <t>160100032715</t>
  </si>
  <si>
    <t>场镇6号线路</t>
  </si>
  <si>
    <t>160100032716</t>
  </si>
  <si>
    <t>160100032717</t>
  </si>
  <si>
    <t>场镇2号线路</t>
  </si>
  <si>
    <t>160100032718</t>
  </si>
  <si>
    <t>160100032719</t>
  </si>
  <si>
    <t>场镇4号线路</t>
  </si>
  <si>
    <t>160100032720</t>
  </si>
  <si>
    <t>160100032728</t>
  </si>
  <si>
    <t>崇义村4组10KV线路</t>
  </si>
  <si>
    <t>160100032729</t>
  </si>
  <si>
    <t>崇义大桥村220V线路</t>
  </si>
  <si>
    <t>160100032731</t>
  </si>
  <si>
    <t>崇义飞桥村220V线路</t>
  </si>
  <si>
    <t>160100032732</t>
  </si>
  <si>
    <t>崇义飞桥村380V线路</t>
  </si>
  <si>
    <t>160100032733</t>
  </si>
  <si>
    <t>崇义村四组</t>
  </si>
  <si>
    <t>160100032740</t>
  </si>
  <si>
    <t>10KV张东路</t>
  </si>
  <si>
    <t>160100032741</t>
  </si>
  <si>
    <t>220V笆桥村线路</t>
  </si>
  <si>
    <t>160100032742</t>
  </si>
  <si>
    <t>160100032743</t>
  </si>
  <si>
    <t>380V笆桥村线路</t>
  </si>
  <si>
    <t>160100032744</t>
  </si>
  <si>
    <t>桂桥村6组10KV线路</t>
  </si>
  <si>
    <t>160100032746</t>
  </si>
  <si>
    <t>崇义横山村220V线路</t>
  </si>
  <si>
    <t>160100032747</t>
  </si>
  <si>
    <t>崇义横山村380V线路</t>
  </si>
  <si>
    <t>160100032748</t>
  </si>
  <si>
    <t>崇义积桥村220V线路</t>
  </si>
  <si>
    <t>160100032750</t>
  </si>
  <si>
    <t>崇义界牌村220V线路</t>
  </si>
  <si>
    <t>160100032757</t>
  </si>
  <si>
    <t>崇义双土村380V线路</t>
  </si>
  <si>
    <t>160100032760</t>
  </si>
  <si>
    <t>吴塘村7组10KV线路</t>
  </si>
  <si>
    <t>160100032766</t>
  </si>
  <si>
    <t>崇天路支线低压线</t>
  </si>
  <si>
    <t>160100032768</t>
  </si>
  <si>
    <t>崇电路支线低压线</t>
  </si>
  <si>
    <t>160100032770</t>
  </si>
  <si>
    <t>10KV双镇路支线低压线</t>
  </si>
  <si>
    <t>160100032775</t>
  </si>
  <si>
    <t>崇义笆桥村220V线路</t>
  </si>
  <si>
    <t>160100032776</t>
  </si>
  <si>
    <t>双土村1组220V线路</t>
  </si>
  <si>
    <t>160100032777</t>
  </si>
  <si>
    <t>160100032778</t>
  </si>
  <si>
    <t>镇飞路出线10KV线路</t>
  </si>
  <si>
    <t>160100032779</t>
  </si>
  <si>
    <t>崇义开关站--航兴公司10KV线路</t>
  </si>
  <si>
    <t>160100032792</t>
  </si>
  <si>
    <t>磁丰镇鹿坪村220V线路</t>
  </si>
  <si>
    <t>160100032793</t>
  </si>
  <si>
    <t>磁丰镇庙坪村低压线路</t>
  </si>
  <si>
    <t>160100032794</t>
  </si>
  <si>
    <t>磁丰镇蟠龙村220V线路</t>
  </si>
  <si>
    <t>160100032795</t>
  </si>
  <si>
    <t>磁丰镇石门村低压线路</t>
  </si>
  <si>
    <t>160100032796</t>
  </si>
  <si>
    <t>磁丰镇西一村220V线路</t>
  </si>
  <si>
    <t>160100032798</t>
  </si>
  <si>
    <t>磁丰镇涌华村低压线路</t>
  </si>
  <si>
    <t>160100032799</t>
  </si>
  <si>
    <t>10kV磁新路</t>
  </si>
  <si>
    <t>160100032800</t>
  </si>
  <si>
    <t>10KV磁新路楠木支线</t>
  </si>
  <si>
    <t>160100032801</t>
  </si>
  <si>
    <t>10kV磁镇路</t>
  </si>
  <si>
    <t>160100032803</t>
  </si>
  <si>
    <t>10KV磁滴路</t>
  </si>
  <si>
    <t>160100032804</t>
  </si>
  <si>
    <t>10KV磁新路82-94#线路</t>
  </si>
  <si>
    <t>160100032805</t>
  </si>
  <si>
    <t>10KV磁镇路41-58#线路</t>
  </si>
  <si>
    <t>160100032807</t>
  </si>
  <si>
    <t>10KV花塔二支线</t>
  </si>
  <si>
    <t>160100032808</t>
  </si>
  <si>
    <t>10KV花塔三支线</t>
  </si>
  <si>
    <t>160100032809</t>
  </si>
  <si>
    <t>10KV花塔四支线</t>
  </si>
  <si>
    <t>160100032810</t>
  </si>
  <si>
    <t>10KV皇城支线</t>
  </si>
  <si>
    <t>160100032813</t>
  </si>
  <si>
    <t>10KV莲水支线</t>
  </si>
  <si>
    <t>160100032815</t>
  </si>
  <si>
    <t>220V鹿坪村十二组</t>
  </si>
  <si>
    <t>160100032817</t>
  </si>
  <si>
    <t>10KV庙坪支线</t>
  </si>
  <si>
    <t>160100032818</t>
  </si>
  <si>
    <t>10KV涌华支线</t>
  </si>
  <si>
    <t>160100032824</t>
  </si>
  <si>
    <t>10KV蟠龙支线</t>
  </si>
  <si>
    <t>160100032829</t>
  </si>
  <si>
    <t>10KV清煤支线</t>
  </si>
  <si>
    <t>160100032830</t>
  </si>
  <si>
    <t>10KV西一支线</t>
  </si>
  <si>
    <t>160100032832</t>
  </si>
  <si>
    <t>220V小石村七组B、C支</t>
  </si>
  <si>
    <t>160100032835</t>
  </si>
  <si>
    <t>莲花湖开发区低压线</t>
  </si>
  <si>
    <t>160100032837</t>
  </si>
  <si>
    <t>磁峰镇C类配电线路</t>
  </si>
  <si>
    <t>160100032838</t>
  </si>
  <si>
    <t>磁镇、磁新10KV双回路</t>
  </si>
  <si>
    <t>160100032840</t>
  </si>
  <si>
    <t>磁峰镇户户通电工程接户线</t>
  </si>
  <si>
    <t>160100032843</t>
  </si>
  <si>
    <t>磁新路定山8组低压线</t>
  </si>
  <si>
    <t>160100032848</t>
  </si>
  <si>
    <t>380V磁峰镇定山村二组380V线路                      </t>
  </si>
  <si>
    <t>160100032850</t>
  </si>
  <si>
    <t>磁峰镇定山村五组380V线路</t>
  </si>
  <si>
    <t>160100032853</t>
  </si>
  <si>
    <t>380V磁峰镇花鹿坪村3-11组线路                      </t>
  </si>
  <si>
    <t>160100032854</t>
  </si>
  <si>
    <t>380V磁峰镇花坪村1台区线路                         </t>
  </si>
  <si>
    <t>160100032857</t>
  </si>
  <si>
    <t>380V磁峰镇花塔村十一组380V线路                     </t>
  </si>
  <si>
    <t>160100032858</t>
  </si>
  <si>
    <t>220V磁峰镇花塔村十一组线路                         </t>
  </si>
  <si>
    <t>160100032860</t>
  </si>
  <si>
    <t>380V磁峰镇花塔村五组380V线路                      </t>
  </si>
  <si>
    <t>160100032861</t>
  </si>
  <si>
    <t>220V磁峰镇花塔村五组线路                          </t>
  </si>
  <si>
    <t>160100032862</t>
  </si>
  <si>
    <t>380V磁峰镇花台村2台区线路                         </t>
  </si>
  <si>
    <t>160100032864</t>
  </si>
  <si>
    <t>220V磁峰镇皇城村线路                            </t>
  </si>
  <si>
    <t>160100032865</t>
  </si>
  <si>
    <t>380V磁峰镇街村线路                             </t>
  </si>
  <si>
    <t>160100032866</t>
  </si>
  <si>
    <t>160100032867</t>
  </si>
  <si>
    <t>磁丰镇莲水村低压线路</t>
  </si>
  <si>
    <t>160100032868</t>
  </si>
  <si>
    <t>380V磁峰镇莲水村2组线路                          </t>
  </si>
  <si>
    <t>160100032870</t>
  </si>
  <si>
    <t>380V磁峰镇鹿坪村2#线路                          </t>
  </si>
  <si>
    <t>160100032872</t>
  </si>
  <si>
    <t>380V磁峰镇庙平村1-7组线路                        </t>
  </si>
  <si>
    <t>160100032873</t>
  </si>
  <si>
    <t>380V磁峰镇庙坪村3#线路                          </t>
  </si>
  <si>
    <t>160100032874</t>
  </si>
  <si>
    <t>380V磁峰镇蟠龙村1台区线路                         </t>
  </si>
  <si>
    <t>160100032876</t>
  </si>
  <si>
    <t>380V磁峰镇西一村低压线                           </t>
  </si>
  <si>
    <t>160100032877</t>
  </si>
  <si>
    <t>磁峰镇小石1#公变低压线路</t>
  </si>
  <si>
    <t>160100032880</t>
  </si>
  <si>
    <t>磁新路小石3#公变低压线路</t>
  </si>
  <si>
    <t>160100032881</t>
  </si>
  <si>
    <t>磁峰镇小石村8组线路                              </t>
  </si>
  <si>
    <t>160100032883</t>
  </si>
  <si>
    <t>380V磁新路涌华村低压线路                          </t>
  </si>
  <si>
    <t>160100032884</t>
  </si>
  <si>
    <t>380V"磁峰镇镇溪1村1,2组;8-11组线路"               </t>
  </si>
  <si>
    <t>160100032885</t>
  </si>
  <si>
    <t>磁峰镇镇溪1村6-8组380v线路                       </t>
  </si>
  <si>
    <t>160100032886</t>
  </si>
  <si>
    <t>翠月湖东江村线路</t>
  </si>
  <si>
    <t>160100032889</t>
  </si>
  <si>
    <t>翠月湖广利村线路</t>
  </si>
  <si>
    <t>160100032891</t>
  </si>
  <si>
    <t>翠月湖临江村线路</t>
  </si>
  <si>
    <t>160100032893</t>
  </si>
  <si>
    <t>160100032895</t>
  </si>
  <si>
    <t>翠月湖青河村线路</t>
  </si>
  <si>
    <t>160100032896</t>
  </si>
  <si>
    <t>翠月湖清河村线路</t>
  </si>
  <si>
    <t>160100032897</t>
  </si>
  <si>
    <t>160100032898</t>
  </si>
  <si>
    <t>翠月湖三桥村线路</t>
  </si>
  <si>
    <t>160100032901</t>
  </si>
  <si>
    <t>翠月湖五桂村线路</t>
  </si>
  <si>
    <t>160100032902</t>
  </si>
  <si>
    <t>160100032903</t>
  </si>
  <si>
    <t>翠月湖新集镇线路</t>
  </si>
  <si>
    <t>160100032907</t>
  </si>
  <si>
    <t>翠月湖永兴村线路</t>
  </si>
  <si>
    <t>160100032909</t>
  </si>
  <si>
    <t>160100032910</t>
  </si>
  <si>
    <t>160100032911</t>
  </si>
  <si>
    <t>翠月湖永益村线路</t>
  </si>
  <si>
    <t>160100032912</t>
  </si>
  <si>
    <t>380V石梁村公变线路</t>
  </si>
  <si>
    <t>160100032913</t>
  </si>
  <si>
    <t>10kV青大路</t>
  </si>
  <si>
    <t>160100032914</t>
  </si>
  <si>
    <t>10KV青大路低压线</t>
  </si>
  <si>
    <t>160100032915</t>
  </si>
  <si>
    <t>青大路邮局支.场镇支低压线</t>
  </si>
  <si>
    <t>160100032916</t>
  </si>
  <si>
    <t>青大路飞鹅村低压线</t>
  </si>
  <si>
    <t>160100032917</t>
  </si>
  <si>
    <t>青大路平清村低压线</t>
  </si>
  <si>
    <t>160100032918</t>
  </si>
  <si>
    <t>青大路石佛村低压线</t>
  </si>
  <si>
    <t>160100032919</t>
  </si>
  <si>
    <t>青大路双胜村低压线</t>
  </si>
  <si>
    <t>160100032920</t>
  </si>
  <si>
    <t>青大路新农村低压线</t>
  </si>
  <si>
    <t>160100032921</t>
  </si>
  <si>
    <t>青大路友爱村低压线</t>
  </si>
  <si>
    <t>160100032922</t>
  </si>
  <si>
    <t>青大路园林村低压线</t>
  </si>
  <si>
    <t>160100032923</t>
  </si>
  <si>
    <t>大观镇接户线(2695户)</t>
  </si>
  <si>
    <t>160100032924</t>
  </si>
  <si>
    <t>大观镇户户通电接户线</t>
  </si>
  <si>
    <t>160100032925</t>
  </si>
  <si>
    <t>160100032928</t>
  </si>
  <si>
    <t>大观镇保全村线路</t>
  </si>
  <si>
    <t>160100032929</t>
  </si>
  <si>
    <t>160100032930</t>
  </si>
  <si>
    <t>160100032933</t>
  </si>
  <si>
    <t>10kV青大路大观镇大观社区场镇四号公变台区</t>
  </si>
  <si>
    <t>160100032934</t>
  </si>
  <si>
    <t>大观镇场镇线路</t>
  </si>
  <si>
    <t>160100032938</t>
  </si>
  <si>
    <t>160100032940</t>
  </si>
  <si>
    <t>大观镇飞鹅村线路</t>
  </si>
  <si>
    <t>160100032942</t>
  </si>
  <si>
    <t>大观镇河口村10KV线路</t>
  </si>
  <si>
    <t>160100032944</t>
  </si>
  <si>
    <t>大观镇红梅村380V线路</t>
  </si>
  <si>
    <t>160100032945</t>
  </si>
  <si>
    <t>大观镇红梅村220V线路</t>
  </si>
  <si>
    <t>160100032948</t>
  </si>
  <si>
    <t>大观镇麻盐村2#380V线路</t>
  </si>
  <si>
    <t>160100032949</t>
  </si>
  <si>
    <t>大观镇麻盐村2#220V线路</t>
  </si>
  <si>
    <t>160100032951</t>
  </si>
  <si>
    <t>大观镇麻盐村3#380V线路</t>
  </si>
  <si>
    <t>160100032952</t>
  </si>
  <si>
    <t>大观镇麻盐村3#220V线路</t>
  </si>
  <si>
    <t>160100032953</t>
  </si>
  <si>
    <t>160100032954</t>
  </si>
  <si>
    <t>大观镇平清村线路</t>
  </si>
  <si>
    <t>160100032957</t>
  </si>
  <si>
    <t>大观镇石佛村线路</t>
  </si>
  <si>
    <t>160100032962</t>
  </si>
  <si>
    <t>大观镇双胜村线路</t>
  </si>
  <si>
    <t>160100032963</t>
  </si>
  <si>
    <t>160100032964</t>
  </si>
  <si>
    <t>160100032965</t>
  </si>
  <si>
    <t>160100032971</t>
  </si>
  <si>
    <t>大观镇盐井村10KV线路</t>
  </si>
  <si>
    <t>160100032972</t>
  </si>
  <si>
    <t>大观镇盐井村380V线路</t>
  </si>
  <si>
    <t>160100032973</t>
  </si>
  <si>
    <t>大观镇盐井村低压线路</t>
  </si>
  <si>
    <t>160100032974</t>
  </si>
  <si>
    <t>大观镇友爱村线路</t>
  </si>
  <si>
    <t>160100032977</t>
  </si>
  <si>
    <t>大观镇园林村线路</t>
  </si>
  <si>
    <t>160100032978</t>
  </si>
  <si>
    <t>160100032980</t>
  </si>
  <si>
    <t>大观镇跃进村线路</t>
  </si>
  <si>
    <t>160100032982</t>
  </si>
  <si>
    <t>大乐乡布津村4组线路</t>
  </si>
  <si>
    <t>160100032983</t>
  </si>
  <si>
    <t>大乐乡场镇公变线路</t>
  </si>
  <si>
    <t>160100032984</t>
  </si>
  <si>
    <t>160100032986</t>
  </si>
  <si>
    <t>大乐乡场镇220V线路</t>
  </si>
  <si>
    <t>160100032990</t>
  </si>
  <si>
    <t>大乐乡大乐村2组220V线路</t>
  </si>
  <si>
    <t>160100032992</t>
  </si>
  <si>
    <t>大乐乡大乐村3组220V线路</t>
  </si>
  <si>
    <t>160100032993</t>
  </si>
  <si>
    <t>大乐乡东义3组线路</t>
  </si>
  <si>
    <t>160100032994</t>
  </si>
  <si>
    <t>大乐乡东义村3组220V线路</t>
  </si>
  <si>
    <t>160100032996</t>
  </si>
  <si>
    <t>大乐乡东义村7组线路</t>
  </si>
  <si>
    <t>160100032997</t>
  </si>
  <si>
    <t>大乐乡东义村7组220V线路</t>
  </si>
  <si>
    <t>160100033000</t>
  </si>
  <si>
    <t>大乐乡东义村9组线路</t>
  </si>
  <si>
    <t>160100033001</t>
  </si>
  <si>
    <t>160100033002</t>
  </si>
  <si>
    <t>大乐乡东义村9组220V线路</t>
  </si>
  <si>
    <t>160100033003</t>
  </si>
  <si>
    <t>大乐乡关田村1#公变线路</t>
  </si>
  <si>
    <t>160100033004</t>
  </si>
  <si>
    <t>大乐乡关田村2#公变线路</t>
  </si>
  <si>
    <t>160100033005</t>
  </si>
  <si>
    <t>大乐乡关田村220V线路</t>
  </si>
  <si>
    <t>160100033007</t>
  </si>
  <si>
    <t>大乐乡何家村1组线路</t>
  </si>
  <si>
    <t>160100033009</t>
  </si>
  <si>
    <t>"大乐乡何家村4,5组线路"</t>
  </si>
  <si>
    <t>160100033010</t>
  </si>
  <si>
    <t>大乐乡何家村6组线路</t>
  </si>
  <si>
    <t>160100033011</t>
  </si>
  <si>
    <t>大乐乡青莲村220V线路</t>
  </si>
  <si>
    <t>160100033012</t>
  </si>
  <si>
    <t>大乐乡青莲村4组线路</t>
  </si>
  <si>
    <t>160100033013</t>
  </si>
  <si>
    <t>大乐乡青莲村5组线路</t>
  </si>
  <si>
    <t>160100033014</t>
  </si>
  <si>
    <t>160100033016</t>
  </si>
  <si>
    <t>大乐乡青石村3组线路</t>
  </si>
  <si>
    <t>160100033017</t>
  </si>
  <si>
    <t>大乐乡青石村3组220V线路</t>
  </si>
  <si>
    <t>160100033018</t>
  </si>
  <si>
    <t>大乐乡升平村5组线路</t>
  </si>
  <si>
    <t>160100033019</t>
  </si>
  <si>
    <t>大乐乡升平村5组220V线路</t>
  </si>
  <si>
    <t>160100033020</t>
  </si>
  <si>
    <t>大乐乡太平村220V线路</t>
  </si>
  <si>
    <t>160100033021</t>
  </si>
  <si>
    <t>大乐乡团结村3组线路</t>
  </si>
  <si>
    <t>160100033024</t>
  </si>
  <si>
    <t>大乐乡元定村4组220V线路</t>
  </si>
  <si>
    <t>160100033025</t>
  </si>
  <si>
    <t>10kV灌城三路</t>
  </si>
  <si>
    <t>160100033028</t>
  </si>
  <si>
    <t>380V线路</t>
  </si>
  <si>
    <t>160100033029</t>
  </si>
  <si>
    <t>160100033030</t>
  </si>
  <si>
    <t>160100033031</t>
  </si>
  <si>
    <t>160100033032</t>
  </si>
  <si>
    <t>10KV胥新线33-78</t>
  </si>
  <si>
    <t>160100033034</t>
  </si>
  <si>
    <t>城区线路</t>
  </si>
  <si>
    <t>160100033036</t>
  </si>
  <si>
    <t>10kV灌城二路</t>
  </si>
  <si>
    <t>160100033038</t>
  </si>
  <si>
    <t>关隆线延伸</t>
  </si>
  <si>
    <t>160100033040</t>
  </si>
  <si>
    <t>胥玉路、胥灵路、灌城三路、胥观路一环路低压电缆</t>
  </si>
  <si>
    <t>160100033041</t>
  </si>
  <si>
    <t>西徐路徐支路低压线</t>
  </si>
  <si>
    <t>160100033042</t>
  </si>
  <si>
    <t>复兴村2台380V线路                             </t>
  </si>
  <si>
    <t>160100033044</t>
  </si>
  <si>
    <t>复兴村3台区380V线路                            </t>
  </si>
  <si>
    <t>160100033049</t>
  </si>
  <si>
    <t>380V工业区C类配电线路 </t>
  </si>
  <si>
    <t>160100033054</t>
  </si>
  <si>
    <t>工业区勤俭村线路</t>
  </si>
  <si>
    <t>160100033056</t>
  </si>
  <si>
    <t>380V紫坪铺镇都江村线路                           </t>
  </si>
  <si>
    <t>160100033057</t>
  </si>
  <si>
    <t>谷王村公变线路</t>
  </si>
  <si>
    <t>160100033064</t>
  </si>
  <si>
    <t>卫星村2台线路</t>
  </si>
  <si>
    <t>160100033067</t>
  </si>
  <si>
    <t>10KV观景路380V低压线路</t>
  </si>
  <si>
    <t>160100033068</t>
  </si>
  <si>
    <t>160100033069</t>
  </si>
  <si>
    <t>160100033071</t>
  </si>
  <si>
    <t>"10KV灌城1,2路延伸380V线路"</t>
  </si>
  <si>
    <t>160100033072</t>
  </si>
  <si>
    <t>160100033076</t>
  </si>
  <si>
    <t>观景路380V低压线路 </t>
  </si>
  <si>
    <t>160100033077</t>
  </si>
  <si>
    <t> 银杏支路380V低压线路                    </t>
  </si>
  <si>
    <t>160100033078</t>
  </si>
  <si>
    <t>高埂5组380V低压线路 </t>
  </si>
  <si>
    <t>160100033079</t>
  </si>
  <si>
    <t>蒲阳路380V低压线路                             </t>
  </si>
  <si>
    <t>160100033080</t>
  </si>
  <si>
    <t>百花支线380V低压线路                          </t>
  </si>
  <si>
    <t>160100033081</t>
  </si>
  <si>
    <t>富民路380V低压线路                             </t>
  </si>
  <si>
    <t>160100033082</t>
  </si>
  <si>
    <t>观景路380V低压线路                             </t>
  </si>
  <si>
    <t>160100033086</t>
  </si>
  <si>
    <t>邮广支线</t>
  </si>
  <si>
    <t>160100033088</t>
  </si>
  <si>
    <t>交通局支线</t>
  </si>
  <si>
    <t>160100033089</t>
  </si>
  <si>
    <t>通站路支线</t>
  </si>
  <si>
    <t>160100033090</t>
  </si>
  <si>
    <t>大修厂</t>
  </si>
  <si>
    <t>160100033091</t>
  </si>
  <si>
    <t>索道公司</t>
  </si>
  <si>
    <t>160100033092</t>
  </si>
  <si>
    <t>解放小区支线</t>
  </si>
  <si>
    <t>160100033093</t>
  </si>
  <si>
    <t>蒲阳路</t>
  </si>
  <si>
    <t>160100033094</t>
  </si>
  <si>
    <t>灵岩支线</t>
  </si>
  <si>
    <t>160100033095</t>
  </si>
  <si>
    <t>灵岩8队支线</t>
  </si>
  <si>
    <t>160100033096</t>
  </si>
  <si>
    <t>国土局支线</t>
  </si>
  <si>
    <t>160100033097</t>
  </si>
  <si>
    <t>宁江厂支线</t>
  </si>
  <si>
    <t>160100033098</t>
  </si>
  <si>
    <t>银杏支380V低压线路                             </t>
  </si>
  <si>
    <t>160100033099</t>
  </si>
  <si>
    <t>高埂5队</t>
  </si>
  <si>
    <t>160100033100</t>
  </si>
  <si>
    <t>养麝场支线</t>
  </si>
  <si>
    <t>160100033101</t>
  </si>
  <si>
    <t>茶厂支线</t>
  </si>
  <si>
    <t>160100033102</t>
  </si>
  <si>
    <t>高月路支线</t>
  </si>
  <si>
    <t>160100033103</t>
  </si>
  <si>
    <t>工农兵街1号</t>
  </si>
  <si>
    <t>160100033104</t>
  </si>
  <si>
    <t>灵岩旧线路</t>
  </si>
  <si>
    <t>160100033105</t>
  </si>
  <si>
    <t>百花1队低压线路（380v）</t>
  </si>
  <si>
    <t>160100033106</t>
  </si>
  <si>
    <t>灌口村百花村4组线路</t>
  </si>
  <si>
    <t>160100033109</t>
  </si>
  <si>
    <t>高埂9队低压线路（380v）</t>
  </si>
  <si>
    <t>160100033110</t>
  </si>
  <si>
    <t>高埂村7队低压线路（380v）</t>
  </si>
  <si>
    <t>160100033111</t>
  </si>
  <si>
    <t>10KV胥灵路</t>
  </si>
  <si>
    <t>160100033112</t>
  </si>
  <si>
    <t>10KV胥新路</t>
  </si>
  <si>
    <t>160100033113</t>
  </si>
  <si>
    <t>富民路2号公变</t>
  </si>
  <si>
    <t>160100033114</t>
  </si>
  <si>
    <t>解放小区1号公变线路</t>
  </si>
  <si>
    <t>160100033115</t>
  </si>
  <si>
    <t>解放小区2号公变线路</t>
  </si>
  <si>
    <t>160100033116</t>
  </si>
  <si>
    <t>解放小区3号公变线路</t>
  </si>
  <si>
    <t>160100033117</t>
  </si>
  <si>
    <t>解放小区4号公变线</t>
  </si>
  <si>
    <t>160100033118</t>
  </si>
  <si>
    <t>解放小区5号公变线</t>
  </si>
  <si>
    <t>160100033119</t>
  </si>
  <si>
    <t>银杏公寓1号公变线路</t>
  </si>
  <si>
    <t>160100033120</t>
  </si>
  <si>
    <t>银杏公寓2号公变线路</t>
  </si>
  <si>
    <t>160100033121</t>
  </si>
  <si>
    <t>外北街公变线路</t>
  </si>
  <si>
    <t>160100033122</t>
  </si>
  <si>
    <t>蒲阳办事处公变线</t>
  </si>
  <si>
    <t>160100033123</t>
  </si>
  <si>
    <t>天马乡政府公变线路</t>
  </si>
  <si>
    <t>160100033124</t>
  </si>
  <si>
    <t>岷江公司公变线路</t>
  </si>
  <si>
    <t>160100033125</t>
  </si>
  <si>
    <t>农贸公司公变线</t>
  </si>
  <si>
    <t>160100033126</t>
  </si>
  <si>
    <t>工农兵街1号公变线</t>
  </si>
  <si>
    <t>160100033127</t>
  </si>
  <si>
    <t>工农兵街2号公变线</t>
  </si>
  <si>
    <t>160100033128</t>
  </si>
  <si>
    <t>工农兵街3号公变线</t>
  </si>
  <si>
    <t>160100033129</t>
  </si>
  <si>
    <t>彩印厂公变线</t>
  </si>
  <si>
    <t>160100033130</t>
  </si>
  <si>
    <t>统计局公变线</t>
  </si>
  <si>
    <t>160100033131</t>
  </si>
  <si>
    <t>佳美景园公变线</t>
  </si>
  <si>
    <t>160100033133</t>
  </si>
  <si>
    <t>宝瓶花园公变线</t>
  </si>
  <si>
    <t>160100033134</t>
  </si>
  <si>
    <t>交通局公变线</t>
  </si>
  <si>
    <t>160100033135</t>
  </si>
  <si>
    <t>肉联厂公变线路</t>
  </si>
  <si>
    <t>160100033142</t>
  </si>
  <si>
    <t>物资局公变线</t>
  </si>
  <si>
    <t>160100033144</t>
  </si>
  <si>
    <t>工农兵街7号公变线</t>
  </si>
  <si>
    <t>160100033145</t>
  </si>
  <si>
    <t>工农兵街8号公变线</t>
  </si>
  <si>
    <t>160100033148</t>
  </si>
  <si>
    <t>160100033150</t>
  </si>
  <si>
    <t>380V平义7组安置房配电线路</t>
  </si>
  <si>
    <t>160100033151</t>
  </si>
  <si>
    <t>380V新城投资公司配电线路</t>
  </si>
  <si>
    <t>160100033152</t>
  </si>
  <si>
    <t>10KV灌3平义7组支线</t>
  </si>
  <si>
    <t>160100033154</t>
  </si>
  <si>
    <t>灵岩5队低压线路（380v）</t>
  </si>
  <si>
    <t>160100033155</t>
  </si>
  <si>
    <t>灌口镇C类配电线路</t>
  </si>
  <si>
    <t>160100033157</t>
  </si>
  <si>
    <t>灌口镇户户通电工程接户线</t>
  </si>
  <si>
    <t>160100033158</t>
  </si>
  <si>
    <t>灌口镇户户通电工程进户线</t>
  </si>
  <si>
    <t>160100033159</t>
  </si>
  <si>
    <t>160100033161</t>
  </si>
  <si>
    <t>灌城3路百花3社低压线</t>
  </si>
  <si>
    <t>160100033162</t>
  </si>
  <si>
    <t>百花村低压线路</t>
  </si>
  <si>
    <t>160100033163</t>
  </si>
  <si>
    <t>灌口镇百花村380V线路</t>
  </si>
  <si>
    <t>160100033164</t>
  </si>
  <si>
    <t>灌口镇百花村3组线路</t>
  </si>
  <si>
    <t>160100033165</t>
  </si>
  <si>
    <t>灌口镇百花村4组线路</t>
  </si>
  <si>
    <t>160100033167</t>
  </si>
  <si>
    <t>"灌口镇百花村5,6组线路"</t>
  </si>
  <si>
    <t>160100033168</t>
  </si>
  <si>
    <t>灌口镇百花村低压线路</t>
  </si>
  <si>
    <t>160100033169</t>
  </si>
  <si>
    <t>灌口镇百花村5组线路</t>
  </si>
  <si>
    <t>160100033170</t>
  </si>
  <si>
    <t>160100033171</t>
  </si>
  <si>
    <t>灌口镇富民路公变线路</t>
  </si>
  <si>
    <t>160100033172</t>
  </si>
  <si>
    <t>磁峰镇莲水村220V线路</t>
  </si>
  <si>
    <t>160100033173</t>
  </si>
  <si>
    <t>灌城3路高埂4社低压线</t>
  </si>
  <si>
    <t>160100033175</t>
  </si>
  <si>
    <t>灌口镇高埂村4组线路</t>
  </si>
  <si>
    <t>160100033176</t>
  </si>
  <si>
    <t>灌口镇高埂村7组线路</t>
  </si>
  <si>
    <t>160100033177</t>
  </si>
  <si>
    <t>160100033178</t>
  </si>
  <si>
    <t>高埂村三组380V线路</t>
  </si>
  <si>
    <t>160100033180</t>
  </si>
  <si>
    <t>高埂村三组220V线路</t>
  </si>
  <si>
    <t>160100033181</t>
  </si>
  <si>
    <t>灌城2路解放小区支线</t>
  </si>
  <si>
    <t>160100033182</t>
  </si>
  <si>
    <t>灌城2路解放小区低压</t>
  </si>
  <si>
    <t>160100033187</t>
  </si>
  <si>
    <t>灵岩村10KV线路</t>
  </si>
  <si>
    <t>160100033188</t>
  </si>
  <si>
    <t>灌口镇灵岩1组低压线路</t>
  </si>
  <si>
    <t>160100033197</t>
  </si>
  <si>
    <t>灌口镇灵岩村7组线路</t>
  </si>
  <si>
    <t>160100033198</t>
  </si>
  <si>
    <t>灌口镇万灵村2组线路</t>
  </si>
  <si>
    <t>160100033199</t>
  </si>
  <si>
    <t>160100033200</t>
  </si>
  <si>
    <t>"灌口镇万灵村4,5,6组线路"</t>
  </si>
  <si>
    <t>160100033202</t>
  </si>
  <si>
    <t>灌口镇万岭村10KV线路</t>
  </si>
  <si>
    <t>160100033203</t>
  </si>
  <si>
    <t>万岭村10KV线路</t>
  </si>
  <si>
    <t>160100033206</t>
  </si>
  <si>
    <t>灌口镇万岭村低压线路</t>
  </si>
  <si>
    <t>160100033207</t>
  </si>
  <si>
    <t>灌煤路长河6组低压线</t>
  </si>
  <si>
    <t>160100033209</t>
  </si>
  <si>
    <t>广益村1台线路</t>
  </si>
  <si>
    <t>160100033211</t>
  </si>
  <si>
    <t>高峰村380V/220V线路</t>
  </si>
  <si>
    <t>160100033213</t>
  </si>
  <si>
    <t>10kV香桂路</t>
  </si>
  <si>
    <t>160100033214</t>
  </si>
  <si>
    <t>10KV桂花路</t>
  </si>
  <si>
    <t>160100033215</t>
  </si>
  <si>
    <t>10KV桂丰路</t>
  </si>
  <si>
    <t>160100033216</t>
  </si>
  <si>
    <t>10KV香桂路高峰支路</t>
  </si>
  <si>
    <t>160100033217</t>
  </si>
  <si>
    <t>10KV一龙支路</t>
  </si>
  <si>
    <t>160100033218</t>
  </si>
  <si>
    <t>10KV雪岩支路</t>
  </si>
  <si>
    <t>160100033221</t>
  </si>
  <si>
    <t>10KV土陶支路</t>
  </si>
  <si>
    <t>160100033222</t>
  </si>
  <si>
    <t>10KV龙桥支路</t>
  </si>
  <si>
    <t>160100033223</t>
  </si>
  <si>
    <t>白羊村2#（4社）220V线路</t>
  </si>
  <si>
    <t>160100033224</t>
  </si>
  <si>
    <t>豹子 村1#380V/220V线路</t>
  </si>
  <si>
    <t>160100033225</t>
  </si>
  <si>
    <t>豹子村2#380V/220V线路</t>
  </si>
  <si>
    <t>160100033226</t>
  </si>
  <si>
    <t>改造关桂路及新修开关站线路</t>
  </si>
  <si>
    <t>160100033229</t>
  </si>
  <si>
    <t>桂花街村380V/220V线路</t>
  </si>
  <si>
    <t>160100033230</t>
  </si>
  <si>
    <t>利济村380V/220V线路</t>
  </si>
  <si>
    <t>160100033231</t>
  </si>
  <si>
    <t>龙头村380V/220V线路</t>
  </si>
  <si>
    <t>160100033232</t>
  </si>
  <si>
    <t>普安村380V/220V线路</t>
  </si>
  <si>
    <t>160100033234</t>
  </si>
  <si>
    <t>瓦子村380V/220V线路</t>
  </si>
  <si>
    <t>160100033235</t>
  </si>
  <si>
    <t>乌木村380V/220V线路</t>
  </si>
  <si>
    <t>160100033236</t>
  </si>
  <si>
    <t>雪岩村380V/220V线路</t>
  </si>
  <si>
    <t>160100033238</t>
  </si>
  <si>
    <t>一龙村九社380V/220V线路</t>
  </si>
  <si>
    <t>160100033239</t>
  </si>
  <si>
    <t>一龙村三社380V/220V线路</t>
  </si>
  <si>
    <t>160100033240</t>
  </si>
  <si>
    <t>桂花镇户户通电工程220V线路</t>
  </si>
  <si>
    <t>160100033241</t>
  </si>
  <si>
    <t>160100033242</t>
  </si>
  <si>
    <t>桂花镇白羊村线路</t>
  </si>
  <si>
    <t>160100033244</t>
  </si>
  <si>
    <t>160100033245</t>
  </si>
  <si>
    <t>160100033246</t>
  </si>
  <si>
    <t>桂花镇插旗村线路</t>
  </si>
  <si>
    <t>160100033249</t>
  </si>
  <si>
    <t>160100033250</t>
  </si>
  <si>
    <t>关桂路灯塔村低压线</t>
  </si>
  <si>
    <t>160100033252</t>
  </si>
  <si>
    <t>桂花镇分水村线路</t>
  </si>
  <si>
    <t>160100033255</t>
  </si>
  <si>
    <t>桂花镇丰乐街村线路</t>
  </si>
  <si>
    <t>160100033256</t>
  </si>
  <si>
    <t>160100033260</t>
  </si>
  <si>
    <t>160100033261</t>
  </si>
  <si>
    <t>高峰村1#公变低压线路</t>
  </si>
  <si>
    <t>160100033262</t>
  </si>
  <si>
    <t>高峰村2#公变低压线路</t>
  </si>
  <si>
    <t>160100033263</t>
  </si>
  <si>
    <t>桂花镇高峰村10KV线路</t>
  </si>
  <si>
    <t>160100033264</t>
  </si>
  <si>
    <t>桂花镇衡州村线路</t>
  </si>
  <si>
    <t>160100033266</t>
  </si>
  <si>
    <t>160100033272</t>
  </si>
  <si>
    <t>桂花镇利济村公变低压线路</t>
  </si>
  <si>
    <t>160100033273</t>
  </si>
  <si>
    <t>桂花镇利济村220V线路</t>
  </si>
  <si>
    <t>160100033274</t>
  </si>
  <si>
    <t>桂花镇利济村十组380V线路</t>
  </si>
  <si>
    <t>160100033275</t>
  </si>
  <si>
    <t>桂花镇利济村十组220V线路</t>
  </si>
  <si>
    <t>160100033276</t>
  </si>
  <si>
    <t>关桂路凉风村低压线</t>
  </si>
  <si>
    <t>160100033280</t>
  </si>
  <si>
    <t>桂花镇两河村线路</t>
  </si>
  <si>
    <t>160100033281</t>
  </si>
  <si>
    <t>160100033283</t>
  </si>
  <si>
    <t>160100033284</t>
  </si>
  <si>
    <t>桂花镇龙桥村线路</t>
  </si>
  <si>
    <t>160100033286</t>
  </si>
  <si>
    <t>160100033287</t>
  </si>
  <si>
    <t>160100033288</t>
  </si>
  <si>
    <t>桂花镇龙头村380V线路</t>
  </si>
  <si>
    <t>160100033289</t>
  </si>
  <si>
    <t>桂花镇龙头村220V线路</t>
  </si>
  <si>
    <t>160100033292</t>
  </si>
  <si>
    <t>关桂路罗汉村低压线</t>
  </si>
  <si>
    <t>160100033294</t>
  </si>
  <si>
    <t>桂花镇罗汉村线路</t>
  </si>
  <si>
    <t>160100033295</t>
  </si>
  <si>
    <t>关桂路念福村低压线</t>
  </si>
  <si>
    <t>160100033296</t>
  </si>
  <si>
    <t>桂花镇普安村380V线路</t>
  </si>
  <si>
    <t>160100033297</t>
  </si>
  <si>
    <t>桂花镇普安村220V线路</t>
  </si>
  <si>
    <t>160100033298</t>
  </si>
  <si>
    <t>桂花镇仁和村线路</t>
  </si>
  <si>
    <t>160100033300</t>
  </si>
  <si>
    <t>160100033302</t>
  </si>
  <si>
    <t>160100033303</t>
  </si>
  <si>
    <t>关桂路石花村低压线路</t>
  </si>
  <si>
    <t>160100033304</t>
  </si>
  <si>
    <t>桂花镇石花村低压线路</t>
  </si>
  <si>
    <t>160100033309</t>
  </si>
  <si>
    <t>桂花镇双林村线路</t>
  </si>
  <si>
    <t>160100033310</t>
  </si>
  <si>
    <t>160100033311</t>
  </si>
  <si>
    <t>160100033313</t>
  </si>
  <si>
    <t>160100033316</t>
  </si>
  <si>
    <t>160100033317</t>
  </si>
  <si>
    <t>桂花镇乌木村380V线路</t>
  </si>
  <si>
    <t>160100033318</t>
  </si>
  <si>
    <t>桂花镇乌木村220V线路</t>
  </si>
  <si>
    <t>160100033322</t>
  </si>
  <si>
    <t>桂花镇雪岩村380V线路</t>
  </si>
  <si>
    <t>160100033323</t>
  </si>
  <si>
    <t>桂花镇雪岩村220V线路</t>
  </si>
  <si>
    <t>160100033324</t>
  </si>
  <si>
    <t>桂花镇一龙村380V线路</t>
  </si>
  <si>
    <t>160100033325</t>
  </si>
  <si>
    <t>桂花镇一龙村220V线路</t>
  </si>
  <si>
    <t>160100033327</t>
  </si>
  <si>
    <t>红花村3台线路</t>
  </si>
  <si>
    <t>160100033328</t>
  </si>
  <si>
    <t>160100033329</t>
  </si>
  <si>
    <t>红花村2台线路</t>
  </si>
  <si>
    <t>160100033331</t>
  </si>
  <si>
    <t>红花村1台线路</t>
  </si>
  <si>
    <t>160100033332</t>
  </si>
  <si>
    <t>红岩村低压线路</t>
  </si>
  <si>
    <t>160100033333</t>
  </si>
  <si>
    <t>虹口村5组低压线</t>
  </si>
  <si>
    <t>160100033334</t>
  </si>
  <si>
    <t>160100033336</t>
  </si>
  <si>
    <t>白石公变低压线路</t>
  </si>
  <si>
    <t>160100033337</t>
  </si>
  <si>
    <t>虹口乡C类配电线路</t>
  </si>
  <si>
    <t>160100033338</t>
  </si>
  <si>
    <t>虹口乡户户通电进户线</t>
  </si>
  <si>
    <t>160100033339</t>
  </si>
  <si>
    <t>虹口乡高原村220V线路</t>
  </si>
  <si>
    <t>160100033340</t>
  </si>
  <si>
    <t>虹口乡光荣村220V线路</t>
  </si>
  <si>
    <t>160100033342</t>
  </si>
  <si>
    <t>虹口乡光荣村1.2组线路</t>
  </si>
  <si>
    <t>160100033344</t>
  </si>
  <si>
    <t>虹口乡红色村220V线路</t>
  </si>
  <si>
    <t>160100033345</t>
  </si>
  <si>
    <t>虹口乡红色村380V线路</t>
  </si>
  <si>
    <t>160100033346</t>
  </si>
  <si>
    <t>虹口乡虹口村220V线路</t>
  </si>
  <si>
    <t>160100033347</t>
  </si>
  <si>
    <t>虹口乡虹口村380V线路</t>
  </si>
  <si>
    <t>160100033348</t>
  </si>
  <si>
    <t>虹口乡久红村220V线路</t>
  </si>
  <si>
    <t>160100033349</t>
  </si>
  <si>
    <t>虹口乡久红村380V线路</t>
  </si>
  <si>
    <t>160100033350</t>
  </si>
  <si>
    <t>虹口乡龙池村380V线路</t>
  </si>
  <si>
    <t>160100033352</t>
  </si>
  <si>
    <t>虹口乡深溪村220V线路</t>
  </si>
  <si>
    <t>160100033353</t>
  </si>
  <si>
    <t>虹口乡深溪村380V线路</t>
  </si>
  <si>
    <t>160100033354</t>
  </si>
  <si>
    <t>虹口乡棕花村220V线路</t>
  </si>
  <si>
    <t>160100033355</t>
  </si>
  <si>
    <t>虹口乡棕花村380V线路</t>
  </si>
  <si>
    <t>160100033356</t>
  </si>
  <si>
    <t>护乡村1台线路</t>
  </si>
  <si>
    <t>160100033357</t>
  </si>
  <si>
    <t>护乡村2台线路</t>
  </si>
  <si>
    <t>160100033359</t>
  </si>
  <si>
    <t>驾虹场镇</t>
  </si>
  <si>
    <t>160100033361</t>
  </si>
  <si>
    <t>驾虹金虹村，纪家村线路</t>
  </si>
  <si>
    <t>160100033362</t>
  </si>
  <si>
    <t>160100033363</t>
  </si>
  <si>
    <t>驾虹金山村1，4，5线路</t>
  </si>
  <si>
    <t>160100033364</t>
  </si>
  <si>
    <t>驾虹南海村线路</t>
  </si>
  <si>
    <t>160100033365</t>
  </si>
  <si>
    <t>驾虹胜利村线路</t>
  </si>
  <si>
    <t>160100033368</t>
  </si>
  <si>
    <t>谭蒲路驾支路低压线</t>
  </si>
  <si>
    <t>160100033369</t>
  </si>
  <si>
    <t>驾虹乡场镇线路</t>
  </si>
  <si>
    <t>160100033370</t>
  </si>
  <si>
    <t>160100033371</t>
  </si>
  <si>
    <t>驾虹乡纪家村线路</t>
  </si>
  <si>
    <t>160100033372</t>
  </si>
  <si>
    <t>驾虹乡金虹村线路</t>
  </si>
  <si>
    <t>160100033373</t>
  </si>
  <si>
    <t>谭蒲路驾支41#变低压</t>
  </si>
  <si>
    <t>160100033376</t>
  </si>
  <si>
    <t>驾虹乡南海村线路</t>
  </si>
  <si>
    <t>160100033377</t>
  </si>
  <si>
    <t>谭蒲路驾支路6#变低压</t>
  </si>
  <si>
    <t>160100033378</t>
  </si>
  <si>
    <t>驾虹乡胜利村线路</t>
  </si>
  <si>
    <t>160100033382</t>
  </si>
  <si>
    <t>谭蒲路驾支28#变低压</t>
  </si>
  <si>
    <t>160100033384</t>
  </si>
  <si>
    <t>驾虹新民村线路</t>
  </si>
  <si>
    <t>160100033387</t>
  </si>
  <si>
    <t>场镇380V线路</t>
  </si>
  <si>
    <t>160100033390</t>
  </si>
  <si>
    <t>石梁村220V线路</t>
  </si>
  <si>
    <t>160100033391</t>
  </si>
  <si>
    <t>莲经村低压线路</t>
  </si>
  <si>
    <t>160100033393</t>
  </si>
  <si>
    <t>街子镇C类配电线路</t>
  </si>
  <si>
    <t>160100033394</t>
  </si>
  <si>
    <t>唐古路街朝支12#变低压线</t>
  </si>
  <si>
    <t>160100033395</t>
  </si>
  <si>
    <t>街子镇场镇线路</t>
  </si>
  <si>
    <t>160100033396</t>
  </si>
  <si>
    <t>160100033397</t>
  </si>
  <si>
    <t>160100033399</t>
  </si>
  <si>
    <t>唐古路街朝支16#变低压线</t>
  </si>
  <si>
    <t>160100033402</t>
  </si>
  <si>
    <t>唐古路58#变低压线路</t>
  </si>
  <si>
    <t>160100033403</t>
  </si>
  <si>
    <t>唐古路莲支路23#变低压线</t>
  </si>
  <si>
    <t>160100033404</t>
  </si>
  <si>
    <t>街子镇莲经村线路</t>
  </si>
  <si>
    <t>160100033406</t>
  </si>
  <si>
    <t>160100033408</t>
  </si>
  <si>
    <t>唐古路30#变低压线路</t>
  </si>
  <si>
    <t>160100033409</t>
  </si>
  <si>
    <t>街子镇石梁村线路</t>
  </si>
  <si>
    <t>160100033416</t>
  </si>
  <si>
    <t>街子镇政府公变线路</t>
  </si>
  <si>
    <t>160100033417</t>
  </si>
  <si>
    <t>160100033419</t>
  </si>
  <si>
    <t>军街路中和1组低压线</t>
  </si>
  <si>
    <t>160100033422</t>
  </si>
  <si>
    <t>街子镇中和村线路</t>
  </si>
  <si>
    <t>160100033425</t>
  </si>
  <si>
    <t>灌煤路金凤6组低压线</t>
  </si>
  <si>
    <t>160100033430</t>
  </si>
  <si>
    <t>220V B支</t>
  </si>
  <si>
    <t>160100033445</t>
  </si>
  <si>
    <t>220V D支</t>
  </si>
  <si>
    <t>160100033448</t>
  </si>
  <si>
    <t>380V C支</t>
  </si>
  <si>
    <t>160100033449</t>
  </si>
  <si>
    <t>220V A支</t>
  </si>
  <si>
    <t>160100033452</t>
  </si>
  <si>
    <t>160100033453</t>
  </si>
  <si>
    <t>221V B支</t>
  </si>
  <si>
    <t>160100033456</t>
  </si>
  <si>
    <t>220V C支</t>
  </si>
  <si>
    <t>160100033457</t>
  </si>
  <si>
    <t>160100033458</t>
  </si>
  <si>
    <t>长河村变220V A支</t>
  </si>
  <si>
    <t>160100033463</t>
  </si>
  <si>
    <t>160100033471</t>
  </si>
  <si>
    <t>220V A1-4R支</t>
  </si>
  <si>
    <t>160100033476</t>
  </si>
  <si>
    <t>380V A0-A4R支</t>
  </si>
  <si>
    <t>160100033480</t>
  </si>
  <si>
    <t>220VB2、B2-B10支</t>
  </si>
  <si>
    <t>160100033481</t>
  </si>
  <si>
    <t>380V B3支</t>
  </si>
  <si>
    <t>160100033509</t>
  </si>
  <si>
    <t>380V A支</t>
  </si>
  <si>
    <t>160100033510</t>
  </si>
  <si>
    <t>220V A11R</t>
  </si>
  <si>
    <t>160100033530</t>
  </si>
  <si>
    <t>220V A4支</t>
  </si>
  <si>
    <t>160100033531</t>
  </si>
  <si>
    <t>金凤乡C类配电线路</t>
  </si>
  <si>
    <t>160100033532</t>
  </si>
  <si>
    <t>10KV金河路</t>
  </si>
  <si>
    <t>160100033533</t>
  </si>
  <si>
    <t>10KV金紫路</t>
  </si>
  <si>
    <t>160100033534</t>
  </si>
  <si>
    <t>160100033535</t>
  </si>
  <si>
    <t>10KV灌城旧杆路</t>
  </si>
  <si>
    <t>160100033537</t>
  </si>
  <si>
    <t>金凤乡线路</t>
  </si>
  <si>
    <t>160100033541</t>
  </si>
  <si>
    <t>灌煤路长河5组低压线</t>
  </si>
  <si>
    <t>160100033544</t>
  </si>
  <si>
    <t>灌煤路金凤场镇低压线</t>
  </si>
  <si>
    <t>160100033546</t>
  </si>
  <si>
    <t>灌煤路佛来5组低压线</t>
  </si>
  <si>
    <t>160100033547</t>
  </si>
  <si>
    <t>灌煤路楠枰3组低压线</t>
  </si>
  <si>
    <t>160100033549</t>
  </si>
  <si>
    <t>10KV灌城一路</t>
  </si>
  <si>
    <t>160100033551</t>
  </si>
  <si>
    <t>灌煤路金腾2组低压线</t>
  </si>
  <si>
    <t>160100033553</t>
  </si>
  <si>
    <t>灌煤路金腾6组低压线</t>
  </si>
  <si>
    <t>160100033555</t>
  </si>
  <si>
    <t>灌煤路凉水2组低压线</t>
  </si>
  <si>
    <t>160100033556</t>
  </si>
  <si>
    <t>金凤乡楠坪村线路</t>
  </si>
  <si>
    <t>160100033559</t>
  </si>
  <si>
    <t>灌煤路楠枰5组低压线</t>
  </si>
  <si>
    <t>160100033561</t>
  </si>
  <si>
    <t>灌煤路蟠龙3组低压线</t>
  </si>
  <si>
    <t>160100033563</t>
  </si>
  <si>
    <t>灌煤路蟠龙5组低压线</t>
  </si>
  <si>
    <t>160100033565</t>
  </si>
  <si>
    <t>灌煤路蟠旗2组低压线</t>
  </si>
  <si>
    <t>160100033567</t>
  </si>
  <si>
    <t>灌煤路银杏4组低压线</t>
  </si>
  <si>
    <t>160100033569</t>
  </si>
  <si>
    <t>灌煤路银杏7组低压线</t>
  </si>
  <si>
    <t>160100033571</t>
  </si>
  <si>
    <t>灌煤路银杏8组低压线</t>
  </si>
  <si>
    <t>160100033573</t>
  </si>
  <si>
    <t>灌城3路紫柏低压线路</t>
  </si>
  <si>
    <t>160100033588</t>
  </si>
  <si>
    <t>160100033590</t>
  </si>
  <si>
    <t>160100033595</t>
  </si>
  <si>
    <t>160100033603</t>
  </si>
  <si>
    <t>160100033611</t>
  </si>
  <si>
    <t>160100033614</t>
  </si>
  <si>
    <t>160100033616</t>
  </si>
  <si>
    <t>380V B支</t>
  </si>
  <si>
    <t>160100033617</t>
  </si>
  <si>
    <t>160100033620</t>
  </si>
  <si>
    <t>380V E支</t>
  </si>
  <si>
    <t>160100033628</t>
  </si>
  <si>
    <t>160100033631</t>
  </si>
  <si>
    <t>金花村1台线路</t>
  </si>
  <si>
    <t>160100033637</t>
  </si>
  <si>
    <t>关隆路江昌支路低压线</t>
  </si>
  <si>
    <t>160100033638</t>
  </si>
  <si>
    <t>关隆路马桑支路低压线</t>
  </si>
  <si>
    <t>160100033639</t>
  </si>
  <si>
    <t>10KV关隆路石牛支路380v低压线                      </t>
  </si>
  <si>
    <t>160100033640</t>
  </si>
  <si>
    <t>10KV关关隆路九隆支路380v低压线                     </t>
  </si>
  <si>
    <t>160100033642</t>
  </si>
  <si>
    <t>10KV关隆路双松支路380v低压线                      </t>
  </si>
  <si>
    <t>160100033650</t>
  </si>
  <si>
    <t>10KV双松村支路</t>
  </si>
  <si>
    <t>160100033651</t>
  </si>
  <si>
    <t>10KV配线</t>
  </si>
  <si>
    <t>160100033652</t>
  </si>
  <si>
    <t>380V配线</t>
  </si>
  <si>
    <t>160100033657</t>
  </si>
  <si>
    <t>九陇镇集埝村线路</t>
  </si>
  <si>
    <t>160100033658</t>
  </si>
  <si>
    <t>160100033659</t>
  </si>
  <si>
    <t>160100033661</t>
  </si>
  <si>
    <t>九陇镇街村线路</t>
  </si>
  <si>
    <t>160100033662</t>
  </si>
  <si>
    <t>九陇镇马桑村线路</t>
  </si>
  <si>
    <t>160100033663</t>
  </si>
  <si>
    <t>160100033665</t>
  </si>
  <si>
    <t>九陇镇石牛村线路</t>
  </si>
  <si>
    <t>160100033666</t>
  </si>
  <si>
    <t>160100033669</t>
  </si>
  <si>
    <t>160100033674</t>
  </si>
  <si>
    <t>160100033676</t>
  </si>
  <si>
    <t>金黄路檬梓村低压线路</t>
  </si>
  <si>
    <t>160100033677</t>
  </si>
  <si>
    <t>金黄路石埂村低压线路</t>
  </si>
  <si>
    <t>160100033678</t>
  </si>
  <si>
    <t>金黄路迎祥村低压线路</t>
  </si>
  <si>
    <t>160100033679</t>
  </si>
  <si>
    <t>金黄路三坝村低压线路</t>
  </si>
  <si>
    <t>160100033680</t>
  </si>
  <si>
    <t>金黄路金鸣村低压线路</t>
  </si>
  <si>
    <t>160100033681</t>
  </si>
  <si>
    <t>金黄路玉龙村低压线路</t>
  </si>
  <si>
    <t>160100033683</t>
  </si>
  <si>
    <t>金黄路大夫村低压线路</t>
  </si>
  <si>
    <t>160100033684</t>
  </si>
  <si>
    <t>10kV永定街公变380v低压线路                       </t>
  </si>
  <si>
    <t>160100033685</t>
  </si>
  <si>
    <t>聚源镇C类配电线路</t>
  </si>
  <si>
    <t>160100033691</t>
  </si>
  <si>
    <t>聚源镇大夫村线路</t>
  </si>
  <si>
    <t>160100033694</t>
  </si>
  <si>
    <t>聚源镇黄鹤村线路</t>
  </si>
  <si>
    <t>160100033695</t>
  </si>
  <si>
    <t>"聚源镇黄鹤村6,7组线路"</t>
  </si>
  <si>
    <t>160100033697</t>
  </si>
  <si>
    <t>160100033699</t>
  </si>
  <si>
    <t>聚源镇梨园村线路</t>
  </si>
  <si>
    <t>160100033703</t>
  </si>
  <si>
    <t>金黄路普贤村低压线路</t>
  </si>
  <si>
    <t>160100033704</t>
  </si>
  <si>
    <t>聚源镇普贤村线路</t>
  </si>
  <si>
    <t>160100033705</t>
  </si>
  <si>
    <t>聚源镇三星村线路</t>
  </si>
  <si>
    <t>160100033709</t>
  </si>
  <si>
    <t>聚源镇双合村线路</t>
  </si>
  <si>
    <t>160100033712</t>
  </si>
  <si>
    <t>10KV线路电缆</t>
  </si>
  <si>
    <t>160100033713</t>
  </si>
  <si>
    <t>380V线路电缆</t>
  </si>
  <si>
    <t>160100033714</t>
  </si>
  <si>
    <t>160100033715</t>
  </si>
  <si>
    <t>160100033716</t>
  </si>
  <si>
    <t>160100033717</t>
  </si>
  <si>
    <t>160100033718</t>
  </si>
  <si>
    <t>160100033719</t>
  </si>
  <si>
    <t>10KV张景支Ⅱ莲花苑支线</t>
  </si>
  <si>
    <t>160100033721</t>
  </si>
  <si>
    <t>两河乡C类配电线路</t>
  </si>
  <si>
    <t>160100033724</t>
  </si>
  <si>
    <t>两河乡河口村线路</t>
  </si>
  <si>
    <t>160100033728</t>
  </si>
  <si>
    <t>10KV灵岩路380V低压线路</t>
  </si>
  <si>
    <t>160100033730</t>
  </si>
  <si>
    <t>10KV西柳路同乐支低压线</t>
  </si>
  <si>
    <t>160100033731</t>
  </si>
  <si>
    <t>柳街镇接户线(5537户)</t>
  </si>
  <si>
    <t>160100033732</t>
  </si>
  <si>
    <t>10KV西恒路支路</t>
  </si>
  <si>
    <t>160100033733</t>
  </si>
  <si>
    <t>柳街镇场镇220V线路</t>
  </si>
  <si>
    <t>160100033734</t>
  </si>
  <si>
    <t>柳街镇场镇公变线路</t>
  </si>
  <si>
    <t>160100033735</t>
  </si>
  <si>
    <t>柳街镇凤安村220V线路</t>
  </si>
  <si>
    <t>160100033736</t>
  </si>
  <si>
    <t>160100033737</t>
  </si>
  <si>
    <t>柳街镇凤安村3组线路</t>
  </si>
  <si>
    <t>160100033738</t>
  </si>
  <si>
    <t>柳街镇凤安村5组线路</t>
  </si>
  <si>
    <t>160100033739</t>
  </si>
  <si>
    <t>柳街镇鹤鸣村220V线路</t>
  </si>
  <si>
    <t>160100033740</t>
  </si>
  <si>
    <t>柳街镇鹤鸣村3组线路</t>
  </si>
  <si>
    <t>160100033742</t>
  </si>
  <si>
    <t>10KV西徐路沿江支路</t>
  </si>
  <si>
    <t>160100033743</t>
  </si>
  <si>
    <t>160100033744</t>
  </si>
  <si>
    <t>柳街镇金龙村5组线路</t>
  </si>
  <si>
    <t>160100033745</t>
  </si>
  <si>
    <t>柳街镇金龙村220V线路</t>
  </si>
  <si>
    <t>160100033746</t>
  </si>
  <si>
    <t>柳街镇金龙村4组线路</t>
  </si>
  <si>
    <t>160100033747</t>
  </si>
  <si>
    <t>10KV西柳路支路</t>
  </si>
  <si>
    <t>160100033748</t>
  </si>
  <si>
    <t>160100033749</t>
  </si>
  <si>
    <t>160100033750</t>
  </si>
  <si>
    <t>柳街镇七里村220V线路</t>
  </si>
  <si>
    <t>160100033751</t>
  </si>
  <si>
    <t>柳街镇双凤村220V线路</t>
  </si>
  <si>
    <t>160100033752</t>
  </si>
  <si>
    <t>柳街镇双凤村1#线路</t>
  </si>
  <si>
    <t>160100033753</t>
  </si>
  <si>
    <t>柳街镇四角村220V线路</t>
  </si>
  <si>
    <t>160100033754</t>
  </si>
  <si>
    <t>柳街镇四角村1#线路</t>
  </si>
  <si>
    <t>160100033755</t>
  </si>
  <si>
    <t>10kV西柳路</t>
  </si>
  <si>
    <t>160100033756</t>
  </si>
  <si>
    <t>10KV西柳路低压线</t>
  </si>
  <si>
    <t>160100033757</t>
  </si>
  <si>
    <t>柳街镇同乐村220V线路</t>
  </si>
  <si>
    <t>160100033758</t>
  </si>
  <si>
    <t>柳街镇同乐村1组线路</t>
  </si>
  <si>
    <t>160100033759</t>
  </si>
  <si>
    <t>柳街镇万福村220V线路</t>
  </si>
  <si>
    <t>160100033760</t>
  </si>
  <si>
    <t>柳街镇万福村2#</t>
  </si>
  <si>
    <t>160100033761</t>
  </si>
  <si>
    <t>柳街镇五一村220V线路</t>
  </si>
  <si>
    <t>160100033763</t>
  </si>
  <si>
    <t>柳街镇义虎村220V线路</t>
  </si>
  <si>
    <t>160100033764</t>
  </si>
  <si>
    <t>柳街镇义虎村4组线路</t>
  </si>
  <si>
    <t>160100033766</t>
  </si>
  <si>
    <t>柳街镇义虎村7组线路</t>
  </si>
  <si>
    <t>160100033768</t>
  </si>
  <si>
    <t>10白水路低压线</t>
  </si>
  <si>
    <t>160100033773</t>
  </si>
  <si>
    <t>线路设施</t>
  </si>
  <si>
    <t>160100033774</t>
  </si>
  <si>
    <t>380V西北村居民聚居点村变线路</t>
  </si>
  <si>
    <t>160100033787</t>
  </si>
  <si>
    <t>隆丰接户线(3318户)-1</t>
  </si>
  <si>
    <t>160100033788</t>
  </si>
  <si>
    <t>隆丰接户线(3318户)-2</t>
  </si>
  <si>
    <t>160100033789</t>
  </si>
  <si>
    <t>隆丰接户线(3318户)-3</t>
  </si>
  <si>
    <t>160100033794</t>
  </si>
  <si>
    <t>隆丰镇白泥村低压线</t>
  </si>
  <si>
    <t>160100033804</t>
  </si>
  <si>
    <t>隆丰镇金山村线路</t>
  </si>
  <si>
    <t>160100033805</t>
  </si>
  <si>
    <t>160100033806</t>
  </si>
  <si>
    <t>隆丰镇九九村低压线</t>
  </si>
  <si>
    <t>160100033807</t>
  </si>
  <si>
    <t>隆丰镇九九村线路</t>
  </si>
  <si>
    <t>160100033809</t>
  </si>
  <si>
    <t>160100033811</t>
  </si>
  <si>
    <t>隆丰镇双堰村低压线</t>
  </si>
  <si>
    <t>160100033812</t>
  </si>
  <si>
    <t>隆丰镇太平村线路</t>
  </si>
  <si>
    <t>160100033814</t>
  </si>
  <si>
    <t>160100033816</t>
  </si>
  <si>
    <t>隆丰镇同德村低压线</t>
  </si>
  <si>
    <t>160100033818</t>
  </si>
  <si>
    <t>隆丰镇同德村线路</t>
  </si>
  <si>
    <t>160100033820</t>
  </si>
  <si>
    <t>隆丰镇文家村线路</t>
  </si>
  <si>
    <t>160100033821</t>
  </si>
  <si>
    <t>160100033823</t>
  </si>
  <si>
    <t>160100033826</t>
  </si>
  <si>
    <t>隆丰镇五一村线路</t>
  </si>
  <si>
    <t>160100033827</t>
  </si>
  <si>
    <t>160100033829</t>
  </si>
  <si>
    <t>隆丰镇西北村线路</t>
  </si>
  <si>
    <t>160100033831</t>
  </si>
  <si>
    <t>160100033832</t>
  </si>
  <si>
    <t>隆丰镇新润村低压线</t>
  </si>
  <si>
    <t>160100033833</t>
  </si>
  <si>
    <t>隆丰镇新润村线路</t>
  </si>
  <si>
    <t>160100033837</t>
  </si>
  <si>
    <t>隆丰镇永丰村线路</t>
  </si>
  <si>
    <t>160100033839</t>
  </si>
  <si>
    <t>10KV中河路低压线</t>
  </si>
  <si>
    <t>160100033840</t>
  </si>
  <si>
    <t>民兴乡C类配电线路</t>
  </si>
  <si>
    <t>160100033841</t>
  </si>
  <si>
    <t>中河路东江支9#变低压线</t>
  </si>
  <si>
    <t>160100033842</t>
  </si>
  <si>
    <t>10KV翠朝路10#变低压线</t>
  </si>
  <si>
    <t>160100033843</t>
  </si>
  <si>
    <t>中河路民兴支永益支路4#变低压线</t>
  </si>
  <si>
    <t>160100033844</t>
  </si>
  <si>
    <t>10KV青疗路92#变低压线</t>
  </si>
  <si>
    <t>160100033847</t>
  </si>
  <si>
    <t>楠木村2台线路</t>
  </si>
  <si>
    <t>160100033854</t>
  </si>
  <si>
    <t>0.38/0.22KV输电线路</t>
  </si>
  <si>
    <t>160100033855</t>
  </si>
  <si>
    <t>10KV输电线路</t>
  </si>
  <si>
    <t>160100033856</t>
  </si>
  <si>
    <t>灌城二路</t>
  </si>
  <si>
    <t>160100033857</t>
  </si>
  <si>
    <t>10kV灌煤路</t>
  </si>
  <si>
    <t>160100033858</t>
  </si>
  <si>
    <t>10kV灌向路</t>
  </si>
  <si>
    <t>160100033863</t>
  </si>
  <si>
    <t>10kv灌煤路回龙支路</t>
  </si>
  <si>
    <t>160100033880</t>
  </si>
  <si>
    <t>关桂路支线低压线</t>
  </si>
  <si>
    <t>160100033882</t>
  </si>
  <si>
    <t>10KV谭蒲路支线低压线</t>
  </si>
  <si>
    <t>160100033883</t>
  </si>
  <si>
    <t>10kV蒲镇路</t>
  </si>
  <si>
    <t>160100033887</t>
  </si>
  <si>
    <t>灌向路支线低压线</t>
  </si>
  <si>
    <t>160100033888</t>
  </si>
  <si>
    <t>蒲阳镇C类配电线路</t>
  </si>
  <si>
    <t>160100033889</t>
  </si>
  <si>
    <t>蒲阳镇户户通电接户线</t>
  </si>
  <si>
    <t>160100033890</t>
  </si>
  <si>
    <t>蒲阳镇户户通电进户线</t>
  </si>
  <si>
    <t>160100033892</t>
  </si>
  <si>
    <t>蒲阳镇插棋村220V线路</t>
  </si>
  <si>
    <t>160100033894</t>
  </si>
  <si>
    <t>蒲阳镇长河村220V线路</t>
  </si>
  <si>
    <t>160100033895</t>
  </si>
  <si>
    <t>蒲阳镇长河村六组10KV线路</t>
  </si>
  <si>
    <t>160100033896</t>
  </si>
  <si>
    <t>蒲阳镇长河村六组220V线路</t>
  </si>
  <si>
    <t>160100033898</t>
  </si>
  <si>
    <t>蒲阳镇长林村线路</t>
  </si>
  <si>
    <t>160100033899</t>
  </si>
  <si>
    <t>蒲阳镇长林村220V线路</t>
  </si>
  <si>
    <t>160100033901</t>
  </si>
  <si>
    <t>蒲阳镇福来村220V线路</t>
  </si>
  <si>
    <t>160100033902</t>
  </si>
  <si>
    <t>蒲阳镇互助村线路</t>
  </si>
  <si>
    <t>160100033903</t>
  </si>
  <si>
    <t>160100033908</t>
  </si>
  <si>
    <t>蒲阳镇花溪村220V线路</t>
  </si>
  <si>
    <t>160100033909</t>
  </si>
  <si>
    <t>蒲阳镇回龙村线路</t>
  </si>
  <si>
    <t>160100033912</t>
  </si>
  <si>
    <t>160100033913</t>
  </si>
  <si>
    <t>蒲阳镇回龙村220V线路</t>
  </si>
  <si>
    <t>160100033914</t>
  </si>
  <si>
    <t>蒲阳镇金凤场镇220V线路</t>
  </si>
  <si>
    <t>160100033916</t>
  </si>
  <si>
    <t>蒲阳镇栏厢村线路</t>
  </si>
  <si>
    <t>160100033917</t>
  </si>
  <si>
    <t>160100033918</t>
  </si>
  <si>
    <t>蒲阳镇栏厢村220V线路</t>
  </si>
  <si>
    <t>160100033919</t>
  </si>
  <si>
    <t>蒲阳镇凉水村220V线路</t>
  </si>
  <si>
    <t>160100033921</t>
  </si>
  <si>
    <t>蒲阳镇柳林村线路</t>
  </si>
  <si>
    <t>160100033923</t>
  </si>
  <si>
    <t>蒲阳镇南坪村220V线路</t>
  </si>
  <si>
    <t>160100033924</t>
  </si>
  <si>
    <t>蒲阳镇南溪村线路</t>
  </si>
  <si>
    <t>160100033925</t>
  </si>
  <si>
    <t>160100033927</t>
  </si>
  <si>
    <t>160100033928</t>
  </si>
  <si>
    <t>蒲阳镇南溪村220V线路</t>
  </si>
  <si>
    <t>160100033929</t>
  </si>
  <si>
    <t>蒲阳镇楠坪220V线路</t>
  </si>
  <si>
    <t>160100033930</t>
  </si>
  <si>
    <t>蒲阳镇蟠龙村380V线路</t>
  </si>
  <si>
    <t>160100033931</t>
  </si>
  <si>
    <t>蒲阳镇蟠龙村220V线路</t>
  </si>
  <si>
    <t>160100033932</t>
  </si>
  <si>
    <t>蒲阳镇齐心村线路</t>
  </si>
  <si>
    <t>160100033937</t>
  </si>
  <si>
    <t>蒲阳镇清泉村线路</t>
  </si>
  <si>
    <t>160100033938</t>
  </si>
  <si>
    <t>160100033939</t>
  </si>
  <si>
    <t>蒲阳镇清泉村220V线路</t>
  </si>
  <si>
    <t>160100033940</t>
  </si>
  <si>
    <t>谭蒲路支线低压线</t>
  </si>
  <si>
    <t>160100033941</t>
  </si>
  <si>
    <t>蒲阳镇双槐村220V线路</t>
  </si>
  <si>
    <t>160100033942</t>
  </si>
  <si>
    <t>蒲阳镇双愧村线路</t>
  </si>
  <si>
    <t>160100033943</t>
  </si>
  <si>
    <t>160100033944</t>
  </si>
  <si>
    <t>蒲阳镇同义村线路</t>
  </si>
  <si>
    <t>160100033945</t>
  </si>
  <si>
    <t>160100033947</t>
  </si>
  <si>
    <t>蒲阳镇银杏村380V线路</t>
  </si>
  <si>
    <t>160100033948</t>
  </si>
  <si>
    <t>蒲阳镇银杏村220V线路</t>
  </si>
  <si>
    <t>160100033949</t>
  </si>
  <si>
    <t>城郊2路安顺支低压线</t>
  </si>
  <si>
    <t>160100033957</t>
  </si>
  <si>
    <t>10KV山泰路支线低压线</t>
  </si>
  <si>
    <t>160100033959</t>
  </si>
  <si>
    <t>山道路政府支线低压线</t>
  </si>
  <si>
    <t>160100033961</t>
  </si>
  <si>
    <t>山电路支线低压线</t>
  </si>
  <si>
    <t>160100033962</t>
  </si>
  <si>
    <t>青城山味江2#公变低压线路</t>
  </si>
  <si>
    <t>160100033964</t>
  </si>
  <si>
    <t>青城山镇电管所线路</t>
  </si>
  <si>
    <t>160100033965</t>
  </si>
  <si>
    <t>青城山镇尖锋村线路</t>
  </si>
  <si>
    <t>160100033968</t>
  </si>
  <si>
    <t>青城山镇尖锋村1组线路</t>
  </si>
  <si>
    <t>160100033969</t>
  </si>
  <si>
    <t>青城山镇青城村低压线路</t>
  </si>
  <si>
    <t>160100033971</t>
  </si>
  <si>
    <t>青城山镇青城村8组线路</t>
  </si>
  <si>
    <t>160100033973</t>
  </si>
  <si>
    <t>10KV青泰路</t>
  </si>
  <si>
    <t>160100033974</t>
  </si>
  <si>
    <t>青城山镇青龙村低压线路</t>
  </si>
  <si>
    <t>160100033975</t>
  </si>
  <si>
    <t>青城山镇青龙村2，4，6组线路</t>
  </si>
  <si>
    <t>160100033977</t>
  </si>
  <si>
    <t>青城山镇沙坪村低压线路</t>
  </si>
  <si>
    <t>160100033981</t>
  </si>
  <si>
    <t>青城山镇桃花村三组380V线路</t>
  </si>
  <si>
    <t>160100033983</t>
  </si>
  <si>
    <t>青城山镇桃花村三组220V线路</t>
  </si>
  <si>
    <t>160100033984</t>
  </si>
  <si>
    <t>10KV西太路</t>
  </si>
  <si>
    <t>160100033985</t>
  </si>
  <si>
    <t>西太路低压线</t>
  </si>
  <si>
    <t>160100033986</t>
  </si>
  <si>
    <t>青城乡C类配电线路</t>
  </si>
  <si>
    <t>160100033987</t>
  </si>
  <si>
    <t>西太路五里大田支低压线</t>
  </si>
  <si>
    <t>160100033988</t>
  </si>
  <si>
    <t>西太路芒飞支路低压线</t>
  </si>
  <si>
    <t>160100033990</t>
  </si>
  <si>
    <t>青大路青石支路低压线</t>
  </si>
  <si>
    <t>160100033991</t>
  </si>
  <si>
    <t>青城镇场镇线路</t>
  </si>
  <si>
    <t>160100033992</t>
  </si>
  <si>
    <t>青城镇坪乐七组低压线路</t>
  </si>
  <si>
    <t>160100033993</t>
  </si>
  <si>
    <t>青城镇大田村线路</t>
  </si>
  <si>
    <t>160100033994</t>
  </si>
  <si>
    <t>160100033996</t>
  </si>
  <si>
    <t>青城镇飞龙村线路</t>
  </si>
  <si>
    <t>160100033997</t>
  </si>
  <si>
    <t>160100033999</t>
  </si>
  <si>
    <t>160100034000</t>
  </si>
  <si>
    <t>青城镇芒城村低压线路</t>
  </si>
  <si>
    <t>160100034001</t>
  </si>
  <si>
    <t>青城镇芒城村线路</t>
  </si>
  <si>
    <t>160100034002</t>
  </si>
  <si>
    <t>青城镇青城村线路</t>
  </si>
  <si>
    <t>160100034004</t>
  </si>
  <si>
    <t>青城镇清智村线路</t>
  </si>
  <si>
    <t>160100034006</t>
  </si>
  <si>
    <t>160100034010</t>
  </si>
  <si>
    <t>青城镇石桥村线路</t>
  </si>
  <si>
    <t>160100034011</t>
  </si>
  <si>
    <t>青城镇石桥村10KV线路</t>
  </si>
  <si>
    <t>160100034012</t>
  </si>
  <si>
    <t>160100034013</t>
  </si>
  <si>
    <t>160100034015</t>
  </si>
  <si>
    <t>160100034016</t>
  </si>
  <si>
    <t>160100034017</t>
  </si>
  <si>
    <t>青城镇万安村线路</t>
  </si>
  <si>
    <t>160100034021</t>
  </si>
  <si>
    <t>160100034023</t>
  </si>
  <si>
    <t>青城镇五里村低压线路</t>
  </si>
  <si>
    <t>160100034024</t>
  </si>
  <si>
    <t>青城镇五里村线路</t>
  </si>
  <si>
    <t>160100034026</t>
  </si>
  <si>
    <t>160100034036</t>
  </si>
  <si>
    <t>清平村1台线路</t>
  </si>
  <si>
    <t>160100034037</t>
  </si>
  <si>
    <t>清平村2台线路</t>
  </si>
  <si>
    <t>160100034038</t>
  </si>
  <si>
    <t>清水村1台线路</t>
  </si>
  <si>
    <t>160100034040</t>
  </si>
  <si>
    <t>清水村3台线路</t>
  </si>
  <si>
    <t>160100034045</t>
  </si>
  <si>
    <t>10KV石城路康复路380V线路</t>
  </si>
  <si>
    <t>160100034048</t>
  </si>
  <si>
    <t>石羊镇3号线路</t>
  </si>
  <si>
    <t>160100034050</t>
  </si>
  <si>
    <t>石羊镇1号线路</t>
  </si>
  <si>
    <t>160100034051</t>
  </si>
  <si>
    <t>石羊镇C类配电线路</t>
  </si>
  <si>
    <t>160100034054</t>
  </si>
  <si>
    <t>石羊镇户户通电380V线路</t>
  </si>
  <si>
    <t>160100034056</t>
  </si>
  <si>
    <t>石羊镇长征村线路</t>
  </si>
  <si>
    <t>160100034057</t>
  </si>
  <si>
    <t>160100034058</t>
  </si>
  <si>
    <t>石羊镇场镇1#配变线路</t>
  </si>
  <si>
    <t>160100034059</t>
  </si>
  <si>
    <t>石羊镇复兴村线路</t>
  </si>
  <si>
    <t>160100034060</t>
  </si>
  <si>
    <t>160100034064</t>
  </si>
  <si>
    <t>新架10KV线路</t>
  </si>
  <si>
    <t>160100034065</t>
  </si>
  <si>
    <t>160100034066</t>
  </si>
  <si>
    <t>新架380V</t>
  </si>
  <si>
    <t>160100034067</t>
  </si>
  <si>
    <t>石羊镇谷王村公变线路</t>
  </si>
  <si>
    <t>160100034068</t>
  </si>
  <si>
    <t>160100034069</t>
  </si>
  <si>
    <t>160100034072</t>
  </si>
  <si>
    <t>石羊镇红川村公变线路</t>
  </si>
  <si>
    <t>160100034074</t>
  </si>
  <si>
    <t>石羊镇红花村线路</t>
  </si>
  <si>
    <t>160100034075</t>
  </si>
  <si>
    <t>160100034077</t>
  </si>
  <si>
    <t>160100034078</t>
  </si>
  <si>
    <t>石羊镇护乡村线路</t>
  </si>
  <si>
    <t>160100034079</t>
  </si>
  <si>
    <t>160100034081</t>
  </si>
  <si>
    <t>石羊镇金花村线路</t>
  </si>
  <si>
    <t>160100034085</t>
  </si>
  <si>
    <t>石羊镇楠木村线路</t>
  </si>
  <si>
    <t>160100034086</t>
  </si>
  <si>
    <t>石羊镇青林村公变线路</t>
  </si>
  <si>
    <t>160100034087</t>
  </si>
  <si>
    <t>160100034088</t>
  </si>
  <si>
    <t>石羊镇清平村线路</t>
  </si>
  <si>
    <t>160100034089</t>
  </si>
  <si>
    <t>160100034091</t>
  </si>
  <si>
    <t>石羊镇清水村线路</t>
  </si>
  <si>
    <t>160100034092</t>
  </si>
  <si>
    <t>石羊镇天平村公变线路</t>
  </si>
  <si>
    <t>160100034093</t>
  </si>
  <si>
    <t>160100034095</t>
  </si>
  <si>
    <t>石羊镇同心村线路</t>
  </si>
  <si>
    <t>160100034096</t>
  </si>
  <si>
    <t>石羊镇卫星村线路</t>
  </si>
  <si>
    <t>160100034097</t>
  </si>
  <si>
    <t>160100034099</t>
  </si>
  <si>
    <t>石羊镇义河村公变线路</t>
  </si>
  <si>
    <t>160100034101</t>
  </si>
  <si>
    <t>160100034105</t>
  </si>
  <si>
    <t>皂角村1台线路</t>
  </si>
  <si>
    <t>160100034110</t>
  </si>
  <si>
    <t>市政府.玉带桥.杨柳河等高低压线</t>
  </si>
  <si>
    <t>160100034112</t>
  </si>
  <si>
    <t>太平村2组线路</t>
  </si>
  <si>
    <t>160100034113</t>
  </si>
  <si>
    <t>太平村6组线路</t>
  </si>
  <si>
    <t>160100034115</t>
  </si>
  <si>
    <t>10KV唐大路</t>
  </si>
  <si>
    <t>160100034118</t>
  </si>
  <si>
    <t>天镇路支线低压线</t>
  </si>
  <si>
    <t>160100034119</t>
  </si>
  <si>
    <t>160100034121</t>
  </si>
  <si>
    <t>天马路支线低压线</t>
  </si>
  <si>
    <t>160100034122</t>
  </si>
  <si>
    <t>天马镇C类配电线路</t>
  </si>
  <si>
    <t>160100034125</t>
  </si>
  <si>
    <t>160100034126</t>
  </si>
  <si>
    <t>天马镇安阜村线路</t>
  </si>
  <si>
    <t>160100034127</t>
  </si>
  <si>
    <t>160100034128</t>
  </si>
  <si>
    <t>10kV金村路</t>
  </si>
  <si>
    <t>160100034130</t>
  </si>
  <si>
    <t>天马镇金马村线路</t>
  </si>
  <si>
    <t>160100034135</t>
  </si>
  <si>
    <t>天马镇净土村线路</t>
  </si>
  <si>
    <t>160100034136</t>
  </si>
  <si>
    <t>160100034137</t>
  </si>
  <si>
    <t>天马镇乐民村线路</t>
  </si>
  <si>
    <t>160100034139</t>
  </si>
  <si>
    <t>160100034140</t>
  </si>
  <si>
    <t>天马镇绿凤村线路</t>
  </si>
  <si>
    <t>160100034142</t>
  </si>
  <si>
    <t>160100034145</t>
  </si>
  <si>
    <t>天马镇童山村线路</t>
  </si>
  <si>
    <t>160100034147</t>
  </si>
  <si>
    <t>160100034148</t>
  </si>
  <si>
    <t>天马镇仙鹤村线路</t>
  </si>
  <si>
    <t>160100034150</t>
  </si>
  <si>
    <t>160100034152</t>
  </si>
  <si>
    <t>天马镇禹王村线路</t>
  </si>
  <si>
    <t>160100034153</t>
  </si>
  <si>
    <t>160100034155</t>
  </si>
  <si>
    <t>160100034156</t>
  </si>
  <si>
    <t>天马镇禹王村提灌2站线路</t>
  </si>
  <si>
    <t>160100034157</t>
  </si>
  <si>
    <t>天平村公变线路</t>
  </si>
  <si>
    <t>160100034158</t>
  </si>
  <si>
    <t>160100034159</t>
  </si>
  <si>
    <t>160100034160</t>
  </si>
  <si>
    <t>160100034161</t>
  </si>
  <si>
    <t>160100034162</t>
  </si>
  <si>
    <t>160100034163</t>
  </si>
  <si>
    <t>160100034164</t>
  </si>
  <si>
    <t>160100034165</t>
  </si>
  <si>
    <t>10KV线路通所线</t>
  </si>
  <si>
    <t>160100034166</t>
  </si>
  <si>
    <t>10KV崇德支线</t>
  </si>
  <si>
    <t>160100034170</t>
  </si>
  <si>
    <t>10KV关济路通春支路</t>
  </si>
  <si>
    <t>160100034171</t>
  </si>
  <si>
    <t>春芽村220V线路</t>
  </si>
  <si>
    <t>160100034172</t>
  </si>
  <si>
    <t>甘溪村220V线路</t>
  </si>
  <si>
    <t>160100034173</t>
  </si>
  <si>
    <t>160100034174</t>
  </si>
  <si>
    <t>220V线路</t>
  </si>
  <si>
    <t>160100034176</t>
  </si>
  <si>
    <t>380V大坪村1#公变线路</t>
  </si>
  <si>
    <t>160100034177</t>
  </si>
  <si>
    <t>380V楼桥村2#公变线路</t>
  </si>
  <si>
    <t>160100034179</t>
  </si>
  <si>
    <t>380V黄村3#公变A支</t>
  </si>
  <si>
    <t>160100034180</t>
  </si>
  <si>
    <t>红山村380V线路</t>
  </si>
  <si>
    <t>160100034183</t>
  </si>
  <si>
    <t>花拱村380V线路</t>
  </si>
  <si>
    <t>160100034184</t>
  </si>
  <si>
    <t>花拱村220V线路</t>
  </si>
  <si>
    <t>160100034186</t>
  </si>
  <si>
    <t>黄村380V线路</t>
  </si>
  <si>
    <t>160100034187</t>
  </si>
  <si>
    <t>黄村220V线路</t>
  </si>
  <si>
    <t>160100034189</t>
  </si>
  <si>
    <t>桥楼村220V线路</t>
  </si>
  <si>
    <t>160100034190</t>
  </si>
  <si>
    <t>杉树村220V线路</t>
  </si>
  <si>
    <t>160100034192</t>
  </si>
  <si>
    <t>筒车村380V线路</t>
  </si>
  <si>
    <t>160100034193</t>
  </si>
  <si>
    <t>筒车村220V线路</t>
  </si>
  <si>
    <t>160100034194</t>
  </si>
  <si>
    <t>西禅村220V线路</t>
  </si>
  <si>
    <t>160100034196</t>
  </si>
  <si>
    <t>岩鹅村220V线路</t>
  </si>
  <si>
    <t>160100034198</t>
  </si>
  <si>
    <t>羊叉村220V线路</t>
  </si>
  <si>
    <t>160100034202</t>
  </si>
  <si>
    <t>通济镇C类配电线路</t>
  </si>
  <si>
    <t>160100034203</t>
  </si>
  <si>
    <t>关济路低压线</t>
  </si>
  <si>
    <t>160100034204</t>
  </si>
  <si>
    <t>通济镇街村2#10KV线路</t>
  </si>
  <si>
    <t>160100034207</t>
  </si>
  <si>
    <t>通济镇街村新区380V线路</t>
  </si>
  <si>
    <t>160100034208</t>
  </si>
  <si>
    <t>关济路107#变低压线</t>
  </si>
  <si>
    <t>160100034209</t>
  </si>
  <si>
    <t>通济镇崇德村线路</t>
  </si>
  <si>
    <t>160100034210</t>
  </si>
  <si>
    <t>通济镇春牙村线路</t>
  </si>
  <si>
    <t>160100034212</t>
  </si>
  <si>
    <t>通济镇春芽村线路</t>
  </si>
  <si>
    <t>160100034215</t>
  </si>
  <si>
    <t>通济镇大坪村10KV线路</t>
  </si>
  <si>
    <t>160100034216</t>
  </si>
  <si>
    <t>通济镇大坪村七组380V线路</t>
  </si>
  <si>
    <t>160100034217</t>
  </si>
  <si>
    <t>通济镇大坪村七组220V线路</t>
  </si>
  <si>
    <t>160100034218</t>
  </si>
  <si>
    <t>通济镇大坪村三组380V线路</t>
  </si>
  <si>
    <t>160100034219</t>
  </si>
  <si>
    <t>通济镇大坪村三组220V线路</t>
  </si>
  <si>
    <t>160100034220</t>
  </si>
  <si>
    <t>通济镇大坪村十组380V线路</t>
  </si>
  <si>
    <t>160100034221</t>
  </si>
  <si>
    <t>通济镇大坪村十组220V线路</t>
  </si>
  <si>
    <t>160100034222</t>
  </si>
  <si>
    <t>关济路通黄支5#变低压线</t>
  </si>
  <si>
    <t>160100034223</t>
  </si>
  <si>
    <t>通济镇甘溪村线路</t>
  </si>
  <si>
    <t>160100034224</t>
  </si>
  <si>
    <t>160100034230</t>
  </si>
  <si>
    <t>通济镇花拱村线路</t>
  </si>
  <si>
    <t>160100034231</t>
  </si>
  <si>
    <t>160100034233</t>
  </si>
  <si>
    <t>关济路通黄支8#变低压线</t>
  </si>
  <si>
    <t>160100034234</t>
  </si>
  <si>
    <t>通济镇黄村线路</t>
  </si>
  <si>
    <t>160100034235</t>
  </si>
  <si>
    <t>160100034236</t>
  </si>
  <si>
    <t>通济镇黄村10KV线路</t>
  </si>
  <si>
    <t>160100034238</t>
  </si>
  <si>
    <t>通济镇景甘村线路</t>
  </si>
  <si>
    <t>160100034239</t>
  </si>
  <si>
    <t>通济镇景山村线路</t>
  </si>
  <si>
    <t>160100034240</t>
  </si>
  <si>
    <t>通济镇桥楼村线路</t>
  </si>
  <si>
    <t>160100034242</t>
  </si>
  <si>
    <t>160100034243</t>
  </si>
  <si>
    <t>160100034244</t>
  </si>
  <si>
    <t>160100034245</t>
  </si>
  <si>
    <t>160100034246</t>
  </si>
  <si>
    <t>关济路塔支8#变低压线</t>
  </si>
  <si>
    <t>160100034247</t>
  </si>
  <si>
    <t>通济镇杉树村线路</t>
  </si>
  <si>
    <t>160100034250</t>
  </si>
  <si>
    <t>关济路鱼同支3#变低压线</t>
  </si>
  <si>
    <t>160100034252</t>
  </si>
  <si>
    <t>通济镇筒车村线路</t>
  </si>
  <si>
    <t>160100034253</t>
  </si>
  <si>
    <t>160100034256</t>
  </si>
  <si>
    <t>通济镇西禅村线路</t>
  </si>
  <si>
    <t>160100034257</t>
  </si>
  <si>
    <t>通济镇西蝉村线路</t>
  </si>
  <si>
    <t>160100034259</t>
  </si>
  <si>
    <t>通济镇岩峨村线路</t>
  </si>
  <si>
    <t>160100034260</t>
  </si>
  <si>
    <t>通济镇岩鹅村线路</t>
  </si>
  <si>
    <t>160100034261</t>
  </si>
  <si>
    <t>160100034263</t>
  </si>
  <si>
    <t>通济镇羊叉村二组10KV线路</t>
  </si>
  <si>
    <t>160100034264</t>
  </si>
  <si>
    <t>通济镇羊叉村二组380V线路</t>
  </si>
  <si>
    <t>160100034265</t>
  </si>
  <si>
    <t>通济镇洋叉村线路</t>
  </si>
  <si>
    <t>160100034266</t>
  </si>
  <si>
    <t>160100034268</t>
  </si>
  <si>
    <t>关济路通塔支22+1#变低压线</t>
  </si>
  <si>
    <t>160100034269</t>
  </si>
  <si>
    <t>通济镇梓桐村线路</t>
  </si>
  <si>
    <t>160100034271</t>
  </si>
  <si>
    <t>160100034272</t>
  </si>
  <si>
    <t>160100034275</t>
  </si>
  <si>
    <t>同心村1台线路</t>
  </si>
  <si>
    <t>160100034277</t>
  </si>
  <si>
    <t>崇电路圣安支低压线</t>
  </si>
  <si>
    <t>160100034278</t>
  </si>
  <si>
    <t>土桥乡C类配电线路</t>
  </si>
  <si>
    <t>160100034279</t>
  </si>
  <si>
    <t>土桥乡场镇公变线路</t>
  </si>
  <si>
    <t>160100034281</t>
  </si>
  <si>
    <t>160100034283</t>
  </si>
  <si>
    <t>160100034284</t>
  </si>
  <si>
    <t>土桥乡独柏村线路</t>
  </si>
  <si>
    <t>160100034286</t>
  </si>
  <si>
    <t>160100034287</t>
  </si>
  <si>
    <t>160100034288</t>
  </si>
  <si>
    <t>160100034289</t>
  </si>
  <si>
    <t>崇电路圣安支18#变低压线</t>
  </si>
  <si>
    <t>160100034292</t>
  </si>
  <si>
    <t>土桥乡公平村线路</t>
  </si>
  <si>
    <t>160100034293</t>
  </si>
  <si>
    <t>160100034294</t>
  </si>
  <si>
    <t>土桥乡古桥村线路</t>
  </si>
  <si>
    <t>160100034296</t>
  </si>
  <si>
    <t>10KV崇电路</t>
  </si>
  <si>
    <t>160100034297</t>
  </si>
  <si>
    <t>崇电路江安支19#变低压线</t>
  </si>
  <si>
    <t>160100034300</t>
  </si>
  <si>
    <t>崇电路江安支28#变低压线</t>
  </si>
  <si>
    <t>160100034303</t>
  </si>
  <si>
    <t>土桥乡江安村线路</t>
  </si>
  <si>
    <t>160100034306</t>
  </si>
  <si>
    <t>土桥乡清流村线路</t>
  </si>
  <si>
    <t>160100034307</t>
  </si>
  <si>
    <t>160100034310</t>
  </si>
  <si>
    <t>崇电路圣安支60#变低压线</t>
  </si>
  <si>
    <t>160100034311</t>
  </si>
  <si>
    <t>土桥乡圣庵村线路</t>
  </si>
  <si>
    <t>160100034312</t>
  </si>
  <si>
    <t>160100034313</t>
  </si>
  <si>
    <t>崇电路圣安支3#变低压线</t>
  </si>
  <si>
    <t>160100034315</t>
  </si>
  <si>
    <t>土桥乡新华村线路</t>
  </si>
  <si>
    <t>160100034317</t>
  </si>
  <si>
    <t>卫星村3台线路</t>
  </si>
  <si>
    <t>160100034318</t>
  </si>
  <si>
    <t>160100034319</t>
  </si>
  <si>
    <t>160100034320</t>
  </si>
  <si>
    <t>茶房村（10KV）</t>
  </si>
  <si>
    <t>160100034324</t>
  </si>
  <si>
    <t>10KV虹槐</t>
  </si>
  <si>
    <t>160100034326</t>
  </si>
  <si>
    <t>莲池村（10KV）</t>
  </si>
  <si>
    <t>160100034327</t>
  </si>
  <si>
    <t>10KV龙神</t>
  </si>
  <si>
    <t>160100034333</t>
  </si>
  <si>
    <t>10KV灌煤路支线低压线</t>
  </si>
  <si>
    <t>160100034334</t>
  </si>
  <si>
    <t>向峨乡C类配电线路</t>
  </si>
  <si>
    <t>160100034336</t>
  </si>
  <si>
    <t>灌煤路白杨坪低压线路</t>
  </si>
  <si>
    <t>160100034337</t>
  </si>
  <si>
    <t>向峨乡白杨坪线路</t>
  </si>
  <si>
    <t>160100034339</t>
  </si>
  <si>
    <t>向峨乡茶房村线路</t>
  </si>
  <si>
    <t>160100034342</t>
  </si>
  <si>
    <t>向峨乡东林村线路</t>
  </si>
  <si>
    <t>160100034343</t>
  </si>
  <si>
    <t>灌向路月耳支线低压线</t>
  </si>
  <si>
    <t>160100034344</t>
  </si>
  <si>
    <t>160100034345</t>
  </si>
  <si>
    <t>向峨乡东林五组220V线路</t>
  </si>
  <si>
    <t>160100034347</t>
  </si>
  <si>
    <t>向峨乡海虹村线路</t>
  </si>
  <si>
    <t>160100034350</t>
  </si>
  <si>
    <t>160100034351</t>
  </si>
  <si>
    <t>160100034352</t>
  </si>
  <si>
    <t>向峨乡红光村线路</t>
  </si>
  <si>
    <t>160100034353</t>
  </si>
  <si>
    <t>160100034354</t>
  </si>
  <si>
    <t>160100034356</t>
  </si>
  <si>
    <t>向峨乡槐树村220V线路</t>
  </si>
  <si>
    <t>160100034358</t>
  </si>
  <si>
    <t>向峨乡龙竹村线路</t>
  </si>
  <si>
    <t>160100034361</t>
  </si>
  <si>
    <t>向峨乡鹿池村220V线路</t>
  </si>
  <si>
    <t>160100034362</t>
  </si>
  <si>
    <t>向峨乡鹿池村二组220V线路</t>
  </si>
  <si>
    <t>160100034363</t>
  </si>
  <si>
    <t>向峨乡鹿池村二组380V线路</t>
  </si>
  <si>
    <t>160100034365</t>
  </si>
  <si>
    <t>向峨乡任家祠220V线路</t>
  </si>
  <si>
    <t>160100034366</t>
  </si>
  <si>
    <t>灌向路海虹支线低压线</t>
  </si>
  <si>
    <t>160100034369</t>
  </si>
  <si>
    <t>向峨乡石碑村线路</t>
  </si>
  <si>
    <t>160100034373</t>
  </si>
  <si>
    <t>160100034374</t>
  </si>
  <si>
    <t>160100034376</t>
  </si>
  <si>
    <t>160100034377</t>
  </si>
  <si>
    <t>160100034378</t>
  </si>
  <si>
    <t>10kV磁虹路</t>
  </si>
  <si>
    <t>160100034379</t>
  </si>
  <si>
    <t>向峨乡石翁村线路</t>
  </si>
  <si>
    <t>160100034380</t>
  </si>
  <si>
    <t>160100034384</t>
  </si>
  <si>
    <t>10kV灌向路苏麻地380v低压线                       </t>
  </si>
  <si>
    <t>160100034386</t>
  </si>
  <si>
    <t>160100034387</t>
  </si>
  <si>
    <t>160100034388</t>
  </si>
  <si>
    <t>向峨乡月耳村线路</t>
  </si>
  <si>
    <t>160100034389</t>
  </si>
  <si>
    <t>160100034391</t>
  </si>
  <si>
    <t>莲花支路（10KV）</t>
  </si>
  <si>
    <t>160100034393</t>
  </si>
  <si>
    <t>10kV小湾路</t>
  </si>
  <si>
    <t>160100034397</t>
  </si>
  <si>
    <t>小鱼洞变电站公变低压线</t>
  </si>
  <si>
    <t>160100034398</t>
  </si>
  <si>
    <t>160100034399</t>
  </si>
  <si>
    <t>10kV虹新路</t>
  </si>
  <si>
    <t>160100034401</t>
  </si>
  <si>
    <t>关济路石梯支路8#公变低压线路</t>
  </si>
  <si>
    <t>160100034404</t>
  </si>
  <si>
    <t>10kV断山二社公变380v支路                        </t>
  </si>
  <si>
    <t>160100034416</t>
  </si>
  <si>
    <t>光辉鱼场支路（380v）</t>
  </si>
  <si>
    <t>160100034419</t>
  </si>
  <si>
    <t>10kV光辉7社公变380v支路                        </t>
  </si>
  <si>
    <t>160100034443</t>
  </si>
  <si>
    <t>10KV关济路380v低压线                          </t>
  </si>
  <si>
    <t>160100034444</t>
  </si>
  <si>
    <t>新兴镇C类配电线路</t>
  </si>
  <si>
    <t>160100034445</t>
  </si>
  <si>
    <t>10KV关济路、新狮路（支）</t>
  </si>
  <si>
    <t>160100034446</t>
  </si>
  <si>
    <t>10KV关济路、新花路（支）</t>
  </si>
  <si>
    <t>160100034449</t>
  </si>
  <si>
    <t>新兴镇丹景村线路</t>
  </si>
  <si>
    <t>160100034452</t>
  </si>
  <si>
    <t>160100034454</t>
  </si>
  <si>
    <t>380v新兴镇断山村线路                            </t>
  </si>
  <si>
    <t>160100034455</t>
  </si>
  <si>
    <t>新兴镇断山村线路</t>
  </si>
  <si>
    <t>160100034456</t>
  </si>
  <si>
    <t>10KV香济路</t>
  </si>
  <si>
    <t>160100034457</t>
  </si>
  <si>
    <t>10KV关济路光辉路380v低压线                       </t>
  </si>
  <si>
    <t>160100034458</t>
  </si>
  <si>
    <t>新兴镇光辉村线路</t>
  </si>
  <si>
    <t>160100034459</t>
  </si>
  <si>
    <t>160100034460</t>
  </si>
  <si>
    <t>关济路花坪支路低压线</t>
  </si>
  <si>
    <t>160100034461</t>
  </si>
  <si>
    <t>新兴镇花坪村线路</t>
  </si>
  <si>
    <t>160100034463</t>
  </si>
  <si>
    <t>380V新兴镇花坪村十四社线路                         </t>
  </si>
  <si>
    <t>160100034464</t>
  </si>
  <si>
    <t>380V新兴镇街村线路                             </t>
  </si>
  <si>
    <t>160100034465</t>
  </si>
  <si>
    <t>160100034467</t>
  </si>
  <si>
    <t>10KV关济路106#变380V低压线                     </t>
  </si>
  <si>
    <t>160100034469</t>
  </si>
  <si>
    <t>380V新兴镇龙怀村九社380V线路                      </t>
  </si>
  <si>
    <t>160100034470</t>
  </si>
  <si>
    <t>220V新兴镇龙怀村九社线路                          </t>
  </si>
  <si>
    <t>160100034471</t>
  </si>
  <si>
    <t>新兴镇龙怀村十三社380V线路</t>
  </si>
  <si>
    <t>160100034472</t>
  </si>
  <si>
    <t>220V新兴镇龙怀村十三社线路                         </t>
  </si>
  <si>
    <t>160100034481</t>
  </si>
  <si>
    <t>新兴镇田沟村线路</t>
  </si>
  <si>
    <t>160100034483</t>
  </si>
  <si>
    <t>10KV关济路光辉路380V低压线                       </t>
  </si>
  <si>
    <t>160100034487</t>
  </si>
  <si>
    <t>中河村支路（220v）</t>
  </si>
  <si>
    <t>160100034488</t>
  </si>
  <si>
    <t>"10KV幸城1,2回迎宾支380V低压线路"</t>
  </si>
  <si>
    <t>160100034489</t>
  </si>
  <si>
    <t>幸城1路低压线</t>
  </si>
  <si>
    <t>160100034491</t>
  </si>
  <si>
    <t>10KV幸城1路公园路支路</t>
  </si>
  <si>
    <t>160100034492</t>
  </si>
  <si>
    <t>10KV幸城1路公园支380V线路</t>
  </si>
  <si>
    <t>160100034493</t>
  </si>
  <si>
    <t>10KV幸城2路低压线</t>
  </si>
  <si>
    <t>160100034496</t>
  </si>
  <si>
    <t>10kV虹太路</t>
  </si>
  <si>
    <t>160100034501</t>
  </si>
  <si>
    <t>160100034518</t>
  </si>
  <si>
    <t>10KV幸Ⅱ莲花支Ⅰ教师支</t>
  </si>
  <si>
    <t>160100034522</t>
  </si>
  <si>
    <t>10KV幸Ⅱ莲花支阿邮干支</t>
  </si>
  <si>
    <t>160100034523</t>
  </si>
  <si>
    <t>10KV幸Ⅱ福源支幸公寓支</t>
  </si>
  <si>
    <t>160100034532</t>
  </si>
  <si>
    <t>10KV张景支Ⅰ金江五支线</t>
  </si>
  <si>
    <t>160100034533</t>
  </si>
  <si>
    <t>10KV张综都机支平志支线</t>
  </si>
  <si>
    <t>160100034535</t>
  </si>
  <si>
    <t>10KV张景路</t>
  </si>
  <si>
    <t>160100034536</t>
  </si>
  <si>
    <t>10KV张景Ⅲ路</t>
  </si>
  <si>
    <t>160100034537</t>
  </si>
  <si>
    <t>10KV张景Ⅱ路</t>
  </si>
  <si>
    <t>160100034538</t>
  </si>
  <si>
    <t>10KV张综支Ⅲ路</t>
  </si>
  <si>
    <t>160100034539</t>
  </si>
  <si>
    <t>10KV农场支路</t>
  </si>
  <si>
    <t>160100034541</t>
  </si>
  <si>
    <t>10KV张铁路</t>
  </si>
  <si>
    <t>160100034542</t>
  </si>
  <si>
    <t>10KV辅道支路</t>
  </si>
  <si>
    <t>160100034543</t>
  </si>
  <si>
    <t>10KV旋机支路</t>
  </si>
  <si>
    <t>160100034544</t>
  </si>
  <si>
    <t>10KV张景、张综路</t>
  </si>
  <si>
    <t>160100034545</t>
  </si>
  <si>
    <t>10kv张华路</t>
  </si>
  <si>
    <t>160100034546</t>
  </si>
  <si>
    <t>10KV幸Ⅱ莲花支阳光支</t>
  </si>
  <si>
    <t>160100034548</t>
  </si>
  <si>
    <t>160100034573</t>
  </si>
  <si>
    <t>10KV幸Ⅱ莲花支幸福镇支</t>
  </si>
  <si>
    <t>160100034581</t>
  </si>
  <si>
    <t>10KV张景支Ⅲ廖电站支线</t>
  </si>
  <si>
    <t>160100034583</t>
  </si>
  <si>
    <t>10KV张景支Ⅱ银海支线</t>
  </si>
  <si>
    <t>160100034586</t>
  </si>
  <si>
    <t>10KV青城路支线</t>
  </si>
  <si>
    <t>160100034587</t>
  </si>
  <si>
    <t>160100034588</t>
  </si>
  <si>
    <t>10kV张景支Ⅱ幸福三支线</t>
  </si>
  <si>
    <t>160100034603</t>
  </si>
  <si>
    <t>10KV幸Ⅲ塔子三组支线</t>
  </si>
  <si>
    <t>160100034610</t>
  </si>
  <si>
    <t>160100034611</t>
  </si>
  <si>
    <t>10KV张综路电管所支线</t>
  </si>
  <si>
    <t>160100034623</t>
  </si>
  <si>
    <t>10KV张景支Ⅲ街灯支线</t>
  </si>
  <si>
    <t>160100034625</t>
  </si>
  <si>
    <t>10KV张景支Ⅲ华宇支线</t>
  </si>
  <si>
    <t>160100034639</t>
  </si>
  <si>
    <t>10KV张宗路</t>
  </si>
  <si>
    <t>160100034640</t>
  </si>
  <si>
    <t>10KV张宗路低压线</t>
  </si>
  <si>
    <t>160100034641</t>
  </si>
  <si>
    <t>幸福镇C类配电线路</t>
  </si>
  <si>
    <t>160100034642</t>
  </si>
  <si>
    <t>成电营销99城关配网</t>
  </si>
  <si>
    <t>160100034644</t>
  </si>
  <si>
    <t>幸福镇民主村线路</t>
  </si>
  <si>
    <t>160100034646</t>
  </si>
  <si>
    <t>160100034647</t>
  </si>
  <si>
    <t>10KV城铁路低压线</t>
  </si>
  <si>
    <t>160100034649</t>
  </si>
  <si>
    <t>10KV城铁支路低压线</t>
  </si>
  <si>
    <t>160100034650</t>
  </si>
  <si>
    <t>160100034652</t>
  </si>
  <si>
    <t>10KV张景路成灌支低压线</t>
  </si>
  <si>
    <t>160100034653</t>
  </si>
  <si>
    <t>幸福镇石马村线路</t>
  </si>
  <si>
    <t>160100034659</t>
  </si>
  <si>
    <t>10KV张景路幸支路</t>
  </si>
  <si>
    <t>160100034660</t>
  </si>
  <si>
    <t>10KV张景路幸支路低压线</t>
  </si>
  <si>
    <t>160100034661</t>
  </si>
  <si>
    <t>幸福镇永桂村线路</t>
  </si>
  <si>
    <t>160100034662</t>
  </si>
  <si>
    <t>160100034668</t>
  </si>
  <si>
    <t>工程队低压线</t>
  </si>
  <si>
    <t>160100034670</t>
  </si>
  <si>
    <t>环保局低压线</t>
  </si>
  <si>
    <t>160100034675</t>
  </si>
  <si>
    <t>10kV胥都南路</t>
  </si>
  <si>
    <t>160100034692</t>
  </si>
  <si>
    <t>YJV22线路</t>
  </si>
  <si>
    <t>160100034697</t>
  </si>
  <si>
    <t>胥家大林村线路</t>
  </si>
  <si>
    <t>160100034699</t>
  </si>
  <si>
    <t>160100034701</t>
  </si>
  <si>
    <t>胥新路</t>
  </si>
  <si>
    <t>160100034704</t>
  </si>
  <si>
    <t>马安七组</t>
  </si>
  <si>
    <t>160100034706</t>
  </si>
  <si>
    <t>石龙村村变低压台区</t>
  </si>
  <si>
    <t>160100034707</t>
  </si>
  <si>
    <t>大林四组</t>
  </si>
  <si>
    <t>160100034709</t>
  </si>
  <si>
    <t>场镇新街</t>
  </si>
  <si>
    <t>160100034710</t>
  </si>
  <si>
    <t>羊合村村变低压台区</t>
  </si>
  <si>
    <t>160100034718</t>
  </si>
  <si>
    <t>高桥村变低压台区</t>
  </si>
  <si>
    <t>160100034731</t>
  </si>
  <si>
    <t>胥家场镇2#线</t>
  </si>
  <si>
    <t>160100034740</t>
  </si>
  <si>
    <t>新店一组</t>
  </si>
  <si>
    <t>160100034741</t>
  </si>
  <si>
    <t>土　什七组</t>
  </si>
  <si>
    <t>160100034742</t>
  </si>
  <si>
    <t>160100034746</t>
  </si>
  <si>
    <t>马鞍村变低压台区</t>
  </si>
  <si>
    <t>160100034747</t>
  </si>
  <si>
    <t>160100034749</t>
  </si>
  <si>
    <t>马安六组</t>
  </si>
  <si>
    <t>160100034750</t>
  </si>
  <si>
    <t>土什二组</t>
  </si>
  <si>
    <t>160100034751</t>
  </si>
  <si>
    <t>石龙五组</t>
  </si>
  <si>
    <t>160100034752</t>
  </si>
  <si>
    <t>红砂五组</t>
  </si>
  <si>
    <t>160100034753</t>
  </si>
  <si>
    <t>十里四组</t>
  </si>
  <si>
    <t>160100034754</t>
  </si>
  <si>
    <t>正林七组</t>
  </si>
  <si>
    <t>160100034755</t>
  </si>
  <si>
    <t>红砂村四组</t>
  </si>
  <si>
    <t>160100034756</t>
  </si>
  <si>
    <t>土石九组</t>
  </si>
  <si>
    <t>160100034757</t>
  </si>
  <si>
    <t>正林村二组</t>
  </si>
  <si>
    <t>160100034758</t>
  </si>
  <si>
    <t>十里村一组</t>
  </si>
  <si>
    <t>160100034759</t>
  </si>
  <si>
    <t>石龙三组</t>
  </si>
  <si>
    <t>160100034760</t>
  </si>
  <si>
    <t>土石三组</t>
  </si>
  <si>
    <t>160100034762</t>
  </si>
  <si>
    <t>羊合村六组</t>
  </si>
  <si>
    <t>160100034763</t>
  </si>
  <si>
    <t>羊合四组</t>
  </si>
  <si>
    <t>160100034765</t>
  </si>
  <si>
    <t>新店六组</t>
  </si>
  <si>
    <t>160100034767</t>
  </si>
  <si>
    <t>大林村七组</t>
  </si>
  <si>
    <t>160100034768</t>
  </si>
  <si>
    <t>正林村五组</t>
  </si>
  <si>
    <t>160100034769</t>
  </si>
  <si>
    <t>桂花村六组</t>
  </si>
  <si>
    <t>160100034770</t>
  </si>
  <si>
    <t>桂林村七组</t>
  </si>
  <si>
    <t>160100034771</t>
  </si>
  <si>
    <t>羊合村五组</t>
  </si>
  <si>
    <t>160100034772</t>
  </si>
  <si>
    <t>高桥村八组</t>
  </si>
  <si>
    <t>160100034773</t>
  </si>
  <si>
    <t>高桥村六组</t>
  </si>
  <si>
    <t>160100034774</t>
  </si>
  <si>
    <t>桂林村八组</t>
  </si>
  <si>
    <t>160100034776</t>
  </si>
  <si>
    <t>红砂村二组</t>
  </si>
  <si>
    <t>160100034777</t>
  </si>
  <si>
    <t>正林村四组</t>
  </si>
  <si>
    <t>160100034778</t>
  </si>
  <si>
    <t>场镇老下街</t>
  </si>
  <si>
    <t>160100034779</t>
  </si>
  <si>
    <t>土什村四组</t>
  </si>
  <si>
    <t>160100034780</t>
  </si>
  <si>
    <t>桂花村三组</t>
  </si>
  <si>
    <t>160100034781</t>
  </si>
  <si>
    <t>高桥村五组</t>
  </si>
  <si>
    <t>160100034782</t>
  </si>
  <si>
    <t>桂林村六组</t>
  </si>
  <si>
    <t>160100034783</t>
  </si>
  <si>
    <t>马安村四组</t>
  </si>
  <si>
    <t>160100034786</t>
  </si>
  <si>
    <t>石龙村一组</t>
  </si>
  <si>
    <t>160100034788</t>
  </si>
  <si>
    <t>大林村二组</t>
  </si>
  <si>
    <t>160100034789</t>
  </si>
  <si>
    <t>十里村村变</t>
  </si>
  <si>
    <t>160100034790</t>
  </si>
  <si>
    <t>新店村五组</t>
  </si>
  <si>
    <t>160100034792</t>
  </si>
  <si>
    <t>380V高桥村2#公变A支线路</t>
  </si>
  <si>
    <t>160100034794</t>
  </si>
  <si>
    <t>380V红砂六组C支线路</t>
  </si>
  <si>
    <t>160100034795</t>
  </si>
  <si>
    <t>380V大林4组A支线路</t>
  </si>
  <si>
    <t>160100034796</t>
  </si>
  <si>
    <t>10KV胥镇路</t>
  </si>
  <si>
    <t>160100034797</t>
  </si>
  <si>
    <t>10KV胥镇2路大林4组支线</t>
  </si>
  <si>
    <t>160100034798</t>
  </si>
  <si>
    <t>10KV胥镇1路红砂6组支线</t>
  </si>
  <si>
    <t>160100034799</t>
  </si>
  <si>
    <t>胥家沟站10KV出线</t>
  </si>
  <si>
    <t>160100034801</t>
  </si>
  <si>
    <t>10KV桂花支路</t>
  </si>
  <si>
    <t>160100034807</t>
  </si>
  <si>
    <t>380V胥家马鞍村线路                             </t>
  </si>
  <si>
    <t>160100034808</t>
  </si>
  <si>
    <t>胥家马鞍村线路</t>
  </si>
  <si>
    <t>160100034810</t>
  </si>
  <si>
    <t>10KV宁胥路</t>
  </si>
  <si>
    <t>160100034812</t>
  </si>
  <si>
    <t>胥家十里村线路</t>
  </si>
  <si>
    <t>160100034813</t>
  </si>
  <si>
    <t>160100034818</t>
  </si>
  <si>
    <t>胥家石龙村线路</t>
  </si>
  <si>
    <t>160100034820</t>
  </si>
  <si>
    <t>10KV胥镇一路石龙支路</t>
  </si>
  <si>
    <t>160100034824</t>
  </si>
  <si>
    <t>羊合村5组支线低压线</t>
  </si>
  <si>
    <t>160100034826</t>
  </si>
  <si>
    <t>羊合6组支线低压线路</t>
  </si>
  <si>
    <t>160100034828</t>
  </si>
  <si>
    <t>石龙1组支线低压线路</t>
  </si>
  <si>
    <t>160100034829</t>
  </si>
  <si>
    <t>石龙村3组低压线路</t>
  </si>
  <si>
    <t>160100034830</t>
  </si>
  <si>
    <t>10KV羊叉村4组支线</t>
  </si>
  <si>
    <t>160100034831</t>
  </si>
  <si>
    <t>羊叉村4组低压线路</t>
  </si>
  <si>
    <t>160100034833</t>
  </si>
  <si>
    <t>歇马村5组低压线路</t>
  </si>
  <si>
    <t>160100034835</t>
  </si>
  <si>
    <t>380V歇马村2组低压线路                           </t>
  </si>
  <si>
    <t>160100034837</t>
  </si>
  <si>
    <t>高桥村4组380V低压线路                           </t>
  </si>
  <si>
    <t>160100034838</t>
  </si>
  <si>
    <t>10KV高桥村6组支线                             </t>
  </si>
  <si>
    <t>160100034839</t>
  </si>
  <si>
    <t>高桥6组支线低压线路</t>
  </si>
  <si>
    <t>160100034840</t>
  </si>
  <si>
    <t>10KV高桥村7组支线</t>
  </si>
  <si>
    <t>160100034841</t>
  </si>
  <si>
    <t>高桥7组支线低压线路</t>
  </si>
  <si>
    <t>160100034843</t>
  </si>
  <si>
    <t>大林7组支线低压线路</t>
  </si>
  <si>
    <t>160100034848</t>
  </si>
  <si>
    <t>桂林8组支线380V低压线路                          </t>
  </si>
  <si>
    <t>160100034850</t>
  </si>
  <si>
    <t>380V正林6组支线低压线路                          </t>
  </si>
  <si>
    <t>160100034852</t>
  </si>
  <si>
    <t>胥家乡正支线380v低压线路                          </t>
  </si>
  <si>
    <t>160100034854</t>
  </si>
  <si>
    <t>江沙3组支线380V低压线路                          </t>
  </si>
  <si>
    <t>160100034856</t>
  </si>
  <si>
    <t>380V江沙6组支线低压线路                          </t>
  </si>
  <si>
    <t>160100034858</t>
  </si>
  <si>
    <t>十里4组支线低压线路</t>
  </si>
  <si>
    <t>160100034860</t>
  </si>
  <si>
    <t>十里1组支线低压线路</t>
  </si>
  <si>
    <t>160100034862</t>
  </si>
  <si>
    <t>马安2组支线低压线路</t>
  </si>
  <si>
    <t>160100034864</t>
  </si>
  <si>
    <t>马安4组支线低压线路</t>
  </si>
  <si>
    <t>160100034866</t>
  </si>
  <si>
    <t>桂林6组支线低压线路</t>
  </si>
  <si>
    <t>160100034867</t>
  </si>
  <si>
    <t>10KV桂花村3组支线</t>
  </si>
  <si>
    <t>160100034868</t>
  </si>
  <si>
    <t>桂花3组支线低压线路</t>
  </si>
  <si>
    <t>160100034873</t>
  </si>
  <si>
    <t>胥家乡桂林村低压线</t>
  </si>
  <si>
    <t>160100034881</t>
  </si>
  <si>
    <t>胥家镇大林村10KV线路</t>
  </si>
  <si>
    <t>160100034882</t>
  </si>
  <si>
    <t>胥家镇大林村380V线路</t>
  </si>
  <si>
    <t>160100034883</t>
  </si>
  <si>
    <t>胥家镇大林村220V线路</t>
  </si>
  <si>
    <t>160100034884</t>
  </si>
  <si>
    <t>胥家镇金胜村10KV线路</t>
  </si>
  <si>
    <t>160100034885</t>
  </si>
  <si>
    <t>胥家镇金胜村220KV线路</t>
  </si>
  <si>
    <t>160100034887</t>
  </si>
  <si>
    <t>胥家镇石龙村380V线路</t>
  </si>
  <si>
    <t>160100034888</t>
  </si>
  <si>
    <t>胥家镇石龙村220V线路</t>
  </si>
  <si>
    <t>160100034889</t>
  </si>
  <si>
    <t>胥家镇土什村10KV线路</t>
  </si>
  <si>
    <t>160100034890</t>
  </si>
  <si>
    <t>胥家镇土什村380V线路</t>
  </si>
  <si>
    <t>160100034891</t>
  </si>
  <si>
    <t>胥家镇土什村220V线路</t>
  </si>
  <si>
    <t>160100034893</t>
  </si>
  <si>
    <t>胥家镇歇马村380V线路</t>
  </si>
  <si>
    <t>160100034894</t>
  </si>
  <si>
    <t>胥家镇歇马村220V线路</t>
  </si>
  <si>
    <t>160100034895</t>
  </si>
  <si>
    <t>胥家镇新店村10KV线路</t>
  </si>
  <si>
    <t>160100034896</t>
  </si>
  <si>
    <t>胥家镇新店村380V线路</t>
  </si>
  <si>
    <t>160100034897</t>
  </si>
  <si>
    <t>胥家镇新店村220V线路</t>
  </si>
  <si>
    <t>160100034898</t>
  </si>
  <si>
    <t>胥家镇羊合村10KV线路</t>
  </si>
  <si>
    <t>160100034899</t>
  </si>
  <si>
    <t>胥家镇羊合村380V线路</t>
  </si>
  <si>
    <t>160100034900</t>
  </si>
  <si>
    <t>胥家镇羊合村220V线路</t>
  </si>
  <si>
    <t>160100034901</t>
  </si>
  <si>
    <t>160100034902</t>
  </si>
  <si>
    <t>胥家镇正林村10KV线路</t>
  </si>
  <si>
    <t>160100034903</t>
  </si>
  <si>
    <t>胥家镇正林村380V线路</t>
  </si>
  <si>
    <t>160100034904</t>
  </si>
  <si>
    <t>胥家镇正林村220V线路</t>
  </si>
  <si>
    <t>160100034906</t>
  </si>
  <si>
    <t>10KV正林支路</t>
  </si>
  <si>
    <t>160100034907</t>
  </si>
  <si>
    <t>10kV胥江路</t>
  </si>
  <si>
    <t>160100034908</t>
  </si>
  <si>
    <t>10KV胥江路(杨柳河)380V低压线路</t>
  </si>
  <si>
    <t>160100034909</t>
  </si>
  <si>
    <t>160100034910</t>
  </si>
  <si>
    <t>160100034911</t>
  </si>
  <si>
    <t>10KV胥灵路380V低压线路</t>
  </si>
  <si>
    <t>160100034912</t>
  </si>
  <si>
    <t>160100034916</t>
  </si>
  <si>
    <t>10KV西徐路</t>
  </si>
  <si>
    <t>160100034917</t>
  </si>
  <si>
    <t>徐渡乡接户线(3112户)</t>
  </si>
  <si>
    <t>160100034920</t>
  </si>
  <si>
    <t>西徐路徐沿支路低压线</t>
  </si>
  <si>
    <t>160100034921</t>
  </si>
  <si>
    <t>徐渡乡场镇西大街线路</t>
  </si>
  <si>
    <t>160100034923</t>
  </si>
  <si>
    <t>160100034924</t>
  </si>
  <si>
    <t>160100034925</t>
  </si>
  <si>
    <t>徐渡乡大乐村线路</t>
  </si>
  <si>
    <t>160100034926</t>
  </si>
  <si>
    <t>160100034928</t>
  </si>
  <si>
    <t>西徐路徐丰支路低压线</t>
  </si>
  <si>
    <t>160100034929</t>
  </si>
  <si>
    <t>徐渡乡丰乐村线路</t>
  </si>
  <si>
    <t>160100034930</t>
  </si>
  <si>
    <t>160100034931</t>
  </si>
  <si>
    <t>160100034933</t>
  </si>
  <si>
    <t>160100034934</t>
  </si>
  <si>
    <t>徐渡乡风堆村线路</t>
  </si>
  <si>
    <t>160100034944</t>
  </si>
  <si>
    <t>徐渡乡古城村线路</t>
  </si>
  <si>
    <t>160100034945</t>
  </si>
  <si>
    <t>徐渡乡金羊村线路</t>
  </si>
  <si>
    <t>160100034947</t>
  </si>
  <si>
    <t>160100034948</t>
  </si>
  <si>
    <t>160100034949</t>
  </si>
  <si>
    <t>徐渡乡均义村线路</t>
  </si>
  <si>
    <t>160100034952</t>
  </si>
  <si>
    <t>160100034953</t>
  </si>
  <si>
    <t>徐渡乡马祖村线路</t>
  </si>
  <si>
    <t>160100034954</t>
  </si>
  <si>
    <t>160100034957</t>
  </si>
  <si>
    <t>160100034958</t>
  </si>
  <si>
    <t>160100034959</t>
  </si>
  <si>
    <t>160100034960</t>
  </si>
  <si>
    <t>徐渡乡青羊村线路</t>
  </si>
  <si>
    <t>160100034961</t>
  </si>
  <si>
    <t>160100034962</t>
  </si>
  <si>
    <t>160100034965</t>
  </si>
  <si>
    <t>160100034966</t>
  </si>
  <si>
    <t>160100034968</t>
  </si>
  <si>
    <t>10KV西徐路低压线</t>
  </si>
  <si>
    <t>160100034969</t>
  </si>
  <si>
    <t>沿江乡场镇线路</t>
  </si>
  <si>
    <t>160100034970</t>
  </si>
  <si>
    <t>160100034971</t>
  </si>
  <si>
    <t>沿江乡红雄村线路</t>
  </si>
  <si>
    <t>160100034972</t>
  </si>
  <si>
    <t>160100034973</t>
  </si>
  <si>
    <t>160100034974</t>
  </si>
  <si>
    <t>沿江乡集祥村线路</t>
  </si>
  <si>
    <t>160100034975</t>
  </si>
  <si>
    <t>160100034978</t>
  </si>
  <si>
    <t>沿江乡加乐村线路</t>
  </si>
  <si>
    <t>160100034979</t>
  </si>
  <si>
    <t>160100034981</t>
  </si>
  <si>
    <t>沿江乡清凉村线路</t>
  </si>
  <si>
    <t>160100034983</t>
  </si>
  <si>
    <t>沿江乡清义村线路</t>
  </si>
  <si>
    <t>160100034985</t>
  </si>
  <si>
    <t>沿江乡仁和村线路</t>
  </si>
  <si>
    <t>160100034986</t>
  </si>
  <si>
    <t>160100034989</t>
  </si>
  <si>
    <t>沿江乡辛乐村线路</t>
  </si>
  <si>
    <t>160100034990</t>
  </si>
  <si>
    <t>160100034991</t>
  </si>
  <si>
    <t>160100034992</t>
  </si>
  <si>
    <t>沿江乡站洪村线路</t>
  </si>
  <si>
    <t>160100034996</t>
  </si>
  <si>
    <t>幸城二路一环路低压电缆</t>
  </si>
  <si>
    <t>160100034998</t>
  </si>
  <si>
    <t>义和村公变线路</t>
  </si>
  <si>
    <t>160100034999</t>
  </si>
  <si>
    <t>160100035001</t>
  </si>
  <si>
    <t>"10KV幸城1,2回迎宾支延伸380V线路"</t>
  </si>
  <si>
    <t>160100035003</t>
  </si>
  <si>
    <t>石城路公园路、幸城一路太平街及新堰坎、胥玉路建设路低压电缆</t>
  </si>
  <si>
    <t>160100035007</t>
  </si>
  <si>
    <t>中灌路玉堂支低压线</t>
  </si>
  <si>
    <t>160100035010</t>
  </si>
  <si>
    <t>城中路玉堂支低压线</t>
  </si>
  <si>
    <t>160100035011</t>
  </si>
  <si>
    <t>玉堂镇户户通电工程接户线</t>
  </si>
  <si>
    <t>160100035012</t>
  </si>
  <si>
    <t>160100035013</t>
  </si>
  <si>
    <t>玉堂镇白马村线路</t>
  </si>
  <si>
    <t>160100035014</t>
  </si>
  <si>
    <t>160100035017</t>
  </si>
  <si>
    <t>160100035018</t>
  </si>
  <si>
    <t>玉堂镇白马村380V线路</t>
  </si>
  <si>
    <t>160100035019</t>
  </si>
  <si>
    <t>玉堂镇白马村220V线路</t>
  </si>
  <si>
    <t>160100035020</t>
  </si>
  <si>
    <t>160100035021</t>
  </si>
  <si>
    <t>玉堂镇白玉村线路</t>
  </si>
  <si>
    <t>160100035022</t>
  </si>
  <si>
    <t>160100035025</t>
  </si>
  <si>
    <t>玉堂镇保平村线路</t>
  </si>
  <si>
    <t>160100035026</t>
  </si>
  <si>
    <t>160100035031</t>
  </si>
  <si>
    <t>10KV城郊二路</t>
  </si>
  <si>
    <t>160100035032</t>
  </si>
  <si>
    <t>城郊二路玉堂支低压线</t>
  </si>
  <si>
    <t>160100035033</t>
  </si>
  <si>
    <t>玉堂镇大坪村10KV线路</t>
  </si>
  <si>
    <t>160100035034</t>
  </si>
  <si>
    <t>玉堂镇大坪村380V线路</t>
  </si>
  <si>
    <t>160100035035</t>
  </si>
  <si>
    <t>玉堂镇大坪村220V线路</t>
  </si>
  <si>
    <t>160100035036</t>
  </si>
  <si>
    <t>160100035037</t>
  </si>
  <si>
    <t>玉堂镇凤鸣村线路</t>
  </si>
  <si>
    <t>160100035038</t>
  </si>
  <si>
    <t>玉堂镇凤鸣村10KV线路</t>
  </si>
  <si>
    <t>160100035039</t>
  </si>
  <si>
    <t>玉堂镇凤鸣村380V线路</t>
  </si>
  <si>
    <t>160100035040</t>
  </si>
  <si>
    <t>玉堂镇凤鸣村220V线路</t>
  </si>
  <si>
    <t>160100035041</t>
  </si>
  <si>
    <t>玉堂镇龙凤村380V线路</t>
  </si>
  <si>
    <t>160100035042</t>
  </si>
  <si>
    <t>玉堂镇龙凤村220V线路</t>
  </si>
  <si>
    <t>160100035043</t>
  </si>
  <si>
    <t>160100035045</t>
  </si>
  <si>
    <t>玉堂镇南华村线路</t>
  </si>
  <si>
    <t>160100035046</t>
  </si>
  <si>
    <t>玉堂镇南华村10KV线路</t>
  </si>
  <si>
    <t>160100035047</t>
  </si>
  <si>
    <t>玉堂镇南华村380V线路</t>
  </si>
  <si>
    <t>160100035048</t>
  </si>
  <si>
    <t>玉堂镇南华村220V线路</t>
  </si>
  <si>
    <t>160100035049</t>
  </si>
  <si>
    <t>玉堂镇平安村线路</t>
  </si>
  <si>
    <t>160100035052</t>
  </si>
  <si>
    <t>160100035054</t>
  </si>
  <si>
    <t>玉堂镇歧山村线路</t>
  </si>
  <si>
    <t>160100035055</t>
  </si>
  <si>
    <t>160100035056</t>
  </si>
  <si>
    <t>玉堂镇三台村线路</t>
  </si>
  <si>
    <t>160100035058</t>
  </si>
  <si>
    <t>160100035059</t>
  </si>
  <si>
    <t>玉堂镇石牛村线路</t>
  </si>
  <si>
    <t>160100035061</t>
  </si>
  <si>
    <t>玉堂镇石牛村380V线路</t>
  </si>
  <si>
    <t>160100035063</t>
  </si>
  <si>
    <t>玉堂镇水泉村线路</t>
  </si>
  <si>
    <t>160100035065</t>
  </si>
  <si>
    <t>玉堂镇水泉村220V线路</t>
  </si>
  <si>
    <t>160100035067</t>
  </si>
  <si>
    <t>玉堂镇新生村线路</t>
  </si>
  <si>
    <t>160100035068</t>
  </si>
  <si>
    <t>中灌路玉堂支线低压线</t>
  </si>
  <si>
    <t>160100035069</t>
  </si>
  <si>
    <t>160100035070</t>
  </si>
  <si>
    <t>玉堂镇永康村线路</t>
  </si>
  <si>
    <t>160100035071</t>
  </si>
  <si>
    <t>160100035073</t>
  </si>
  <si>
    <t>10KV金桥一路</t>
  </si>
  <si>
    <t>160100035074</t>
  </si>
  <si>
    <t>160100035075</t>
  </si>
  <si>
    <t>160100035077</t>
  </si>
  <si>
    <t>玉堂镇永周村线路</t>
  </si>
  <si>
    <t>160100035078</t>
  </si>
  <si>
    <t>160100035079</t>
  </si>
  <si>
    <t>10KV青上路</t>
  </si>
  <si>
    <t>160100035084</t>
  </si>
  <si>
    <t>中兴镇接户线(5781户)</t>
  </si>
  <si>
    <t>160100035087</t>
  </si>
  <si>
    <t>中兴镇场镇线路</t>
  </si>
  <si>
    <t>160100035089</t>
  </si>
  <si>
    <t>中兴镇慈云村线路</t>
  </si>
  <si>
    <t>160100035090</t>
  </si>
  <si>
    <t>160100035092</t>
  </si>
  <si>
    <t>中兴镇革新村线路</t>
  </si>
  <si>
    <t>160100035094</t>
  </si>
  <si>
    <t>160100035096</t>
  </si>
  <si>
    <t>中兴镇和乐村线路</t>
  </si>
  <si>
    <t>160100035097</t>
  </si>
  <si>
    <t>160100035098</t>
  </si>
  <si>
    <t>160100035099</t>
  </si>
  <si>
    <t>160100035100</t>
  </si>
  <si>
    <t>160100035101</t>
  </si>
  <si>
    <t>中兴镇横山村线路</t>
  </si>
  <si>
    <t>160100035102</t>
  </si>
  <si>
    <t>160100035103</t>
  </si>
  <si>
    <t>中兴镇横山村10KV线路</t>
  </si>
  <si>
    <t>160100035104</t>
  </si>
  <si>
    <t>中兴镇横山村220V线路</t>
  </si>
  <si>
    <t>160100035105</t>
  </si>
  <si>
    <t>中兴镇红楼村线路</t>
  </si>
  <si>
    <t>160100035109</t>
  </si>
  <si>
    <t>中兴镇红楼村10KV线路</t>
  </si>
  <si>
    <t>160100035111</t>
  </si>
  <si>
    <t>中兴镇红楼村220V线路</t>
  </si>
  <si>
    <t>160100035112</t>
  </si>
  <si>
    <t>中兴镇红旗村线路</t>
  </si>
  <si>
    <t>160100035113</t>
  </si>
  <si>
    <t>160100035115</t>
  </si>
  <si>
    <t>中兴镇金井村线路</t>
  </si>
  <si>
    <t>160100035117</t>
  </si>
  <si>
    <t>160100035119</t>
  </si>
  <si>
    <t>中兴镇九龙村线路</t>
  </si>
  <si>
    <t>160100035120</t>
  </si>
  <si>
    <t>160100035124</t>
  </si>
  <si>
    <t>中兴镇两河村线路</t>
  </si>
  <si>
    <t>160100035127</t>
  </si>
  <si>
    <t>中兴镇梅花村线路</t>
  </si>
  <si>
    <t>160100035128</t>
  </si>
  <si>
    <t>160100035129</t>
  </si>
  <si>
    <t>160100035131</t>
  </si>
  <si>
    <t>160100035133</t>
  </si>
  <si>
    <t>中兴镇三角村线路</t>
  </si>
  <si>
    <t>160100035135</t>
  </si>
  <si>
    <t>160100035139</t>
  </si>
  <si>
    <t>中兴镇三溪村380V线路</t>
  </si>
  <si>
    <t>160100035140</t>
  </si>
  <si>
    <t>中兴镇三溪村220V线路</t>
  </si>
  <si>
    <t>160100035141</t>
  </si>
  <si>
    <t>中兴镇上元村线路</t>
  </si>
  <si>
    <t>160100035142</t>
  </si>
  <si>
    <t>160100035143</t>
  </si>
  <si>
    <t>中兴镇上元村10KV线路</t>
  </si>
  <si>
    <t>160100035144</t>
  </si>
  <si>
    <t>中兴镇上元村380V线路</t>
  </si>
  <si>
    <t>160100035145</t>
  </si>
  <si>
    <t>中兴镇上元村220V线路</t>
  </si>
  <si>
    <t>160100035146</t>
  </si>
  <si>
    <t>中兴镇新益村线路</t>
  </si>
  <si>
    <t>160100035148</t>
  </si>
  <si>
    <t>160100035149</t>
  </si>
  <si>
    <t>160100035150</t>
  </si>
  <si>
    <t>中兴镇沿江村线路</t>
  </si>
  <si>
    <t>160100035151</t>
  </si>
  <si>
    <t>160100035152</t>
  </si>
  <si>
    <t>中兴镇永安村线路</t>
  </si>
  <si>
    <t>160100035153</t>
  </si>
  <si>
    <t>160100035154</t>
  </si>
  <si>
    <t>160100035157</t>
  </si>
  <si>
    <t>中兴镇永安村380V线路</t>
  </si>
  <si>
    <t>160100035158</t>
  </si>
  <si>
    <t>中兴镇永安村220V线路</t>
  </si>
  <si>
    <t>160100035159</t>
  </si>
  <si>
    <t>中兴镇永胜村线路</t>
  </si>
  <si>
    <t>160100035161</t>
  </si>
  <si>
    <t>160100035163</t>
  </si>
  <si>
    <t>160100035167</t>
  </si>
  <si>
    <t>中兴镇梓桐村线路</t>
  </si>
  <si>
    <t>160100035168</t>
  </si>
  <si>
    <t>中兴镇梓桐村10KV线路</t>
  </si>
  <si>
    <t>160100035169</t>
  </si>
  <si>
    <t>中兴镇梓桐村220V线路</t>
  </si>
  <si>
    <t>160100035170</t>
  </si>
  <si>
    <t>10KV白虹路</t>
  </si>
  <si>
    <t>160100035171</t>
  </si>
  <si>
    <t>紫坪铺沙湾村380V线路</t>
  </si>
  <si>
    <t>160100035172</t>
  </si>
  <si>
    <t>紫坪铺沙湾村220V线路</t>
  </si>
  <si>
    <t>160100035175</t>
  </si>
  <si>
    <t>紫坪铺镇户户通电接户线</t>
  </si>
  <si>
    <t>160100035177</t>
  </si>
  <si>
    <t>燕岩二台公变低压线路</t>
  </si>
  <si>
    <t>160100035179</t>
  </si>
  <si>
    <t>紫坪铺镇白沙村4组紫坪3组380V线路</t>
  </si>
  <si>
    <t>160100035180</t>
  </si>
  <si>
    <t>紫坪铺镇白沙村4组紫坪3组220V线路</t>
  </si>
  <si>
    <t>160100035181</t>
  </si>
  <si>
    <t>紫坪铺镇都江村220V线路</t>
  </si>
  <si>
    <t>160100035182</t>
  </si>
  <si>
    <t>紫坪铺镇渡江村380V线路</t>
  </si>
  <si>
    <t>160100035183</t>
  </si>
  <si>
    <t>"岷江村二,三组380V线路"</t>
  </si>
  <si>
    <t>160100035184</t>
  </si>
  <si>
    <t>"岷江村二,三组220V线路"</t>
  </si>
  <si>
    <t>160100035194</t>
  </si>
  <si>
    <t>紫坪铺紫坪村1.5组线路</t>
  </si>
  <si>
    <t>160100035196</t>
  </si>
  <si>
    <t>10KV白尖路</t>
  </si>
  <si>
    <t>160100140271</t>
  </si>
  <si>
    <t>幸城一路1#-15#(准备报废0.205KM)</t>
  </si>
  <si>
    <t>160100140272</t>
  </si>
  <si>
    <t>幸城二路1#-15#(准备报废0.205KM)</t>
  </si>
  <si>
    <t>160100141342</t>
  </si>
  <si>
    <t>10kV胥天路</t>
  </si>
  <si>
    <t>160100141343</t>
  </si>
  <si>
    <t>10KV胥屏路33-57</t>
  </si>
  <si>
    <t>160100141344</t>
  </si>
  <si>
    <t>10kV胥高路</t>
  </si>
  <si>
    <t>160100167924</t>
  </si>
  <si>
    <t>下东街公变低压接户线</t>
  </si>
  <si>
    <t>160100167925</t>
  </si>
  <si>
    <t>井福街公变低压接户线</t>
  </si>
  <si>
    <t>160100167926</t>
  </si>
  <si>
    <t>灌中公变低压接户线</t>
  </si>
  <si>
    <t>160100167927</t>
  </si>
  <si>
    <t>文庙街1#公变低压接户线</t>
  </si>
  <si>
    <t>160100167928</t>
  </si>
  <si>
    <t>文庙街2#公变低压接户线</t>
  </si>
  <si>
    <t>160100167929</t>
  </si>
  <si>
    <t>电视差转台公变低压接户线</t>
  </si>
  <si>
    <t>160100167930</t>
  </si>
  <si>
    <t>白果巷公变低压接户线</t>
  </si>
  <si>
    <t>160100167931</t>
  </si>
  <si>
    <t>瑞莲街公变低压接户线</t>
  </si>
  <si>
    <t>160100167933</t>
  </si>
  <si>
    <t>解放小区3#公变低压接户线</t>
  </si>
  <si>
    <t>160100167934</t>
  </si>
  <si>
    <t>解放小区5#公变低压接户线</t>
  </si>
  <si>
    <t>160100167935</t>
  </si>
  <si>
    <t>解放小区4#公变低压接户线</t>
  </si>
  <si>
    <t>160100167936</t>
  </si>
  <si>
    <t>宝瓶花园公变低压接户线</t>
  </si>
  <si>
    <t>160100167937</t>
  </si>
  <si>
    <t>灌口镇供电所公变低压接户线</t>
  </si>
  <si>
    <t>160100167938</t>
  </si>
  <si>
    <t>木机厂公变1低压接户线</t>
  </si>
  <si>
    <t>160100167939</t>
  </si>
  <si>
    <t>木机厂公变2低压接户线</t>
  </si>
  <si>
    <t>160100167940</t>
  </si>
  <si>
    <t>观凤楼公变低压接户线</t>
  </si>
  <si>
    <t>160100167941</t>
  </si>
  <si>
    <t>太平街公变低压接户线</t>
  </si>
  <si>
    <t>160100167942</t>
  </si>
  <si>
    <t>太平街4#公变低压接户线</t>
  </si>
  <si>
    <t>160100167943</t>
  </si>
  <si>
    <t>电视大楼公变低压接户线</t>
  </si>
  <si>
    <t>160100186023</t>
  </si>
  <si>
    <t>柳街四角2#公变低压线路</t>
  </si>
  <si>
    <t>160100186024</t>
  </si>
  <si>
    <t>柳街凤安3#公变低压线路</t>
  </si>
  <si>
    <t>160100186025</t>
  </si>
  <si>
    <t>柳街红雄2#公变低压线路</t>
  </si>
  <si>
    <t>160100186026</t>
  </si>
  <si>
    <t>柳街清凉3#公变低压线路</t>
  </si>
  <si>
    <t>160100186027</t>
  </si>
  <si>
    <t>蒲阳场镇4#公变低压线路</t>
  </si>
  <si>
    <t>160100186035</t>
  </si>
  <si>
    <t>胥家供电所大林村变低压线路</t>
  </si>
  <si>
    <t>160100186036</t>
  </si>
  <si>
    <t>胥家供电所桂花村三组公变低压线路</t>
  </si>
  <si>
    <t>160100186037</t>
  </si>
  <si>
    <t>胥家供电所马鞍六组公变低压线路</t>
  </si>
  <si>
    <t>160100186038</t>
  </si>
  <si>
    <t>胥家供电所桂花二组公变低压线路</t>
  </si>
  <si>
    <t>160100186039</t>
  </si>
  <si>
    <t>胥家供电所桂林村八组公变低压线路</t>
  </si>
  <si>
    <t>160100186040</t>
  </si>
  <si>
    <t>胥家供电所大林七组1#公变低压线路</t>
  </si>
  <si>
    <t>160100186041</t>
  </si>
  <si>
    <t>胥家供电所场镇仓库公变低压线路</t>
  </si>
  <si>
    <t>160100186042</t>
  </si>
  <si>
    <t>胥家供电所正林村二组公变低压线路</t>
  </si>
  <si>
    <t>160100186043</t>
  </si>
  <si>
    <t>胥家供电所新店村公变低压线路</t>
  </si>
  <si>
    <t>160100186044</t>
  </si>
  <si>
    <t>胥家供电所新店村五组公变低压线路</t>
  </si>
  <si>
    <t>160100186046</t>
  </si>
  <si>
    <t>胥家供电所南海4#（南海1#）公变低压线路</t>
  </si>
  <si>
    <t>160100186048</t>
  </si>
  <si>
    <t>胥家供电所政府公变低压线路</t>
  </si>
  <si>
    <t>160100186049</t>
  </si>
  <si>
    <t>胥家供电所羊合四组公变低压线路</t>
  </si>
  <si>
    <t>160100186050</t>
  </si>
  <si>
    <t>胥家供电所羊合村六组公变低压线路</t>
  </si>
  <si>
    <t>160100186051</t>
  </si>
  <si>
    <t>胥家供电所场镇老人桥公变低压线路</t>
  </si>
  <si>
    <t>160100186052</t>
  </si>
  <si>
    <t>胥家供电所圣寿村五组公变低压线路</t>
  </si>
  <si>
    <t>160100186053</t>
  </si>
  <si>
    <t>胥家供电所十里村公变低压线路</t>
  </si>
  <si>
    <t>160100186054</t>
  </si>
  <si>
    <t>胥家供电所石龙四组公变低压线路</t>
  </si>
  <si>
    <t>160100186055</t>
  </si>
  <si>
    <t>胥家供电所土什村公变低压线路</t>
  </si>
  <si>
    <t>160100186056</t>
  </si>
  <si>
    <t>胥家供电所歇马五组公变低压线路</t>
  </si>
  <si>
    <t>160100186057</t>
  </si>
  <si>
    <t>胥家供电所石龙村公变低压线路</t>
  </si>
  <si>
    <t>160100186059</t>
  </si>
  <si>
    <t>胥家供电所桂林村七组公变低压线路</t>
  </si>
  <si>
    <t>160100186060</t>
  </si>
  <si>
    <t>崇义供电所横山二组公变低压线路</t>
  </si>
  <si>
    <t>160100186061</t>
  </si>
  <si>
    <t>崇义供电所梳妆村2组公变低压线路</t>
  </si>
  <si>
    <t>160100186062</t>
  </si>
  <si>
    <t>崇义供电所新华村2组公变低压线路</t>
  </si>
  <si>
    <t>160100186063</t>
  </si>
  <si>
    <t>崇义供电所罗桥村8组公变低压线路</t>
  </si>
  <si>
    <t>160100186064</t>
  </si>
  <si>
    <t>崇义供电所飞桥村4组公变低压线路</t>
  </si>
  <si>
    <t>160100186065</t>
  </si>
  <si>
    <t>崇义供电所土桥场镇2#公变低压线路</t>
  </si>
  <si>
    <t>160100186067</t>
  </si>
  <si>
    <t>崇义供电所积桥村5组公变低压线路</t>
  </si>
  <si>
    <t>160100186069</t>
  </si>
  <si>
    <t>崇义供电所飞桥村7组公变低压线路</t>
  </si>
  <si>
    <t>160100186071</t>
  </si>
  <si>
    <t>崇义供电所海云村7组公变低压线路</t>
  </si>
  <si>
    <t>160100186072</t>
  </si>
  <si>
    <t>崇义供电所积桥村1组公变低压线路</t>
  </si>
  <si>
    <t>160100186073</t>
  </si>
  <si>
    <t>崇义供电所10KV积桥村1组公变</t>
  </si>
  <si>
    <t>160100186074</t>
  </si>
  <si>
    <t>崇义供电所江安村5组公变低压线路</t>
  </si>
  <si>
    <t>160100186075</t>
  </si>
  <si>
    <t>崇义供电所罗桥村三组公变低压线路</t>
  </si>
  <si>
    <t>160100186076</t>
  </si>
  <si>
    <t>160100186077</t>
  </si>
  <si>
    <t>崇义供电所吴塘村7组公变低压线路</t>
  </si>
  <si>
    <t>160100186078</t>
  </si>
  <si>
    <t>崇义供电所吴塘村9组公变低压线路</t>
  </si>
  <si>
    <t>160100186079</t>
  </si>
  <si>
    <t>蒲阳供电所同义（双良）公变低压线路</t>
  </si>
  <si>
    <t>160100186080</t>
  </si>
  <si>
    <t>蒲阳供电所镇4#公变低压线路</t>
  </si>
  <si>
    <t>160100186081</t>
  </si>
  <si>
    <t>蒲阳供电所长林村4组公变低压线路</t>
  </si>
  <si>
    <t>160100186082</t>
  </si>
  <si>
    <t>灌口供电所万岭村公变低压线路</t>
  </si>
  <si>
    <t>160100186083</t>
  </si>
  <si>
    <t>灌口供电所百花村二组公变低压线路</t>
  </si>
  <si>
    <t>160100186084</t>
  </si>
  <si>
    <t>灌口供电所灵岩村八组公变低压线路</t>
  </si>
  <si>
    <t>160100186085</t>
  </si>
  <si>
    <t>灌口供电所灵岩村二组公变低压线路</t>
  </si>
  <si>
    <t>160100186086</t>
  </si>
  <si>
    <t>灌口供电所万岭村提灌低压线路</t>
  </si>
  <si>
    <t>160100186087</t>
  </si>
  <si>
    <t>灌口供电所万岭村二组低压线路</t>
  </si>
  <si>
    <t>160100186089</t>
  </si>
  <si>
    <t>九陇供电所地磅房公变C支路低压线路</t>
  </si>
  <si>
    <t>160100186090</t>
  </si>
  <si>
    <t>九陇供电所丹景山2#公变低压线路</t>
  </si>
  <si>
    <t>160100186091</t>
  </si>
  <si>
    <t>桂花供电所凉水村1#公变低压线路</t>
  </si>
  <si>
    <t>160100186092</t>
  </si>
  <si>
    <t>桂花供电所丰乐街村2#公变低压线路</t>
  </si>
  <si>
    <t>160100186093</t>
  </si>
  <si>
    <t>桂花供电所丰乐街村1#公变低压线路</t>
  </si>
  <si>
    <t>160100186094</t>
  </si>
  <si>
    <t>桂花供电所丰乐砖瓦厂公变低压线路</t>
  </si>
  <si>
    <t>160100186095</t>
  </si>
  <si>
    <t>桂花供电所桂花所1#公变低压线路</t>
  </si>
  <si>
    <t>160100186096</t>
  </si>
  <si>
    <t>桂花供电所积善村公变低压线路</t>
  </si>
  <si>
    <t>160100186097</t>
  </si>
  <si>
    <t>桂花供电所双林村1#公变低压线路</t>
  </si>
  <si>
    <t>160100186098</t>
  </si>
  <si>
    <t>桂花供电所三圣1#公变低压线路</t>
  </si>
  <si>
    <t>160100186099</t>
  </si>
  <si>
    <t>桂花供电所双红村公变低压线路</t>
  </si>
  <si>
    <t>160100186100</t>
  </si>
  <si>
    <t>桂花供电所桂花所2#公变低压线路</t>
  </si>
  <si>
    <t>160100186101</t>
  </si>
  <si>
    <t>隆丰供电所西北村七组公变低压线路</t>
  </si>
  <si>
    <t>160100186102</t>
  </si>
  <si>
    <t>隆丰镇街村二号公变低压线路</t>
  </si>
  <si>
    <t>160100186103</t>
  </si>
  <si>
    <t>隆丰镇街村三号公变低压线路</t>
  </si>
  <si>
    <t>160100186104</t>
  </si>
  <si>
    <t>隆丰镇街村四号公变低压线路</t>
  </si>
  <si>
    <t>160100186105</t>
  </si>
  <si>
    <t>隆丰镇街村一号公变低压线路</t>
  </si>
  <si>
    <t>160100186106</t>
  </si>
  <si>
    <t>蒲阳供电所长林二组公变低压线路</t>
  </si>
  <si>
    <t>160100186108</t>
  </si>
  <si>
    <t>蒲阳银杏村8组公变低压线路</t>
  </si>
  <si>
    <t>160100186109</t>
  </si>
  <si>
    <t>蒲阳双柏村8组公变低压线路</t>
  </si>
  <si>
    <t>160100186110</t>
  </si>
  <si>
    <t>蒲阳双柏村13组公变低压线路</t>
  </si>
  <si>
    <t>160100186112</t>
  </si>
  <si>
    <t>10kV香隆路</t>
  </si>
  <si>
    <t>160100186113</t>
  </si>
  <si>
    <t>隆丰镇金山村七组公变低压线路</t>
  </si>
  <si>
    <t>160100186114</t>
  </si>
  <si>
    <t>隆丰镇永丰村二组公变低压线路</t>
  </si>
  <si>
    <t>160100186116</t>
  </si>
  <si>
    <t>10kV蒲桂路</t>
  </si>
  <si>
    <t>160100186117</t>
  </si>
  <si>
    <t>板桥村公变低压线路</t>
  </si>
  <si>
    <t>160100186118</t>
  </si>
  <si>
    <t>柳林村四组公变低压线路</t>
  </si>
  <si>
    <t>160100186120</t>
  </si>
  <si>
    <t>10KV灌煤、灌向路一</t>
  </si>
  <si>
    <t>160100186121</t>
  </si>
  <si>
    <t>10KV灌煤、灌向路二</t>
  </si>
  <si>
    <t>160100186122</t>
  </si>
  <si>
    <t>10KV灌煤、灌向路三</t>
  </si>
  <si>
    <t>160100186123</t>
  </si>
  <si>
    <t>10KV灌煤、灌向路四</t>
  </si>
  <si>
    <t>160100186124</t>
  </si>
  <si>
    <t>桂花供电所一龙村2#低压线路</t>
  </si>
  <si>
    <t>160100186125</t>
  </si>
  <si>
    <t>桂花供电所一龙村3#低压线路</t>
  </si>
  <si>
    <t>160100186126</t>
  </si>
  <si>
    <t>桂花供电所一龙村7#低压线路</t>
  </si>
  <si>
    <t>160100186127</t>
  </si>
  <si>
    <t>桂花供电所一龙村1#低压线路</t>
  </si>
  <si>
    <t>160100186128</t>
  </si>
  <si>
    <t>蒲阳镇花溪村七组公变低压线路</t>
  </si>
  <si>
    <t>160100186129</t>
  </si>
  <si>
    <t>蒲阳镇齐心五组公变低压线路</t>
  </si>
  <si>
    <t>160100186130</t>
  </si>
  <si>
    <t>蒲阳镇齐心二组公变低压线路</t>
  </si>
  <si>
    <t>160100186131</t>
  </si>
  <si>
    <t>蒲阳镇齐心三组公变低压线路</t>
  </si>
  <si>
    <t>160100186132</t>
  </si>
  <si>
    <t>蒲阳镇回龙机砖厂公变低压线路</t>
  </si>
  <si>
    <t>160100186133</t>
  </si>
  <si>
    <t>蒲阳镇回龙五组公变低压线路</t>
  </si>
  <si>
    <t>160100186134</t>
  </si>
  <si>
    <t>蒲阳金凤六组公变低压线路</t>
  </si>
  <si>
    <t>160100186135</t>
  </si>
  <si>
    <t>蒲阳镇金凤小区公变低压线路</t>
  </si>
  <si>
    <t>160100186136</t>
  </si>
  <si>
    <t>蒲阳镇栏厢九组公变低压线路</t>
  </si>
  <si>
    <t>160100186137</t>
  </si>
  <si>
    <t>蒲阳镇栏厢三组公变低压线路</t>
  </si>
  <si>
    <t>160100186261</t>
  </si>
  <si>
    <t>幸福镇莲花村1组2#公变低压线路</t>
  </si>
  <si>
    <t>160100186263</t>
  </si>
  <si>
    <t>新投莲花村二组1#,2#公变低压线路</t>
  </si>
  <si>
    <t>160100186264</t>
  </si>
  <si>
    <t>幸福镇莲花村3组新投2#公变低压线路</t>
  </si>
  <si>
    <t>160100186265</t>
  </si>
  <si>
    <t>幸福镇莲花村四组1#,2#公变低压线路</t>
  </si>
  <si>
    <t>160100186266</t>
  </si>
  <si>
    <t>幸福镇莲花(上)5组新投2#公变低压线路</t>
  </si>
  <si>
    <t>160100186267</t>
  </si>
  <si>
    <t>幸福镇莲花(下)5组新投2#公变低压线路</t>
  </si>
  <si>
    <t>160100186268</t>
  </si>
  <si>
    <t>莲花村六组1#.2#公变低压线路</t>
  </si>
  <si>
    <t>160100186269</t>
  </si>
  <si>
    <t>幸福镇莲花村七组1#,2#,3#公变低压线路</t>
  </si>
  <si>
    <t>160100186272</t>
  </si>
  <si>
    <t>胥家场镇公变低压线路</t>
  </si>
  <si>
    <t>160100186273</t>
  </si>
  <si>
    <t>160100186274</t>
  </si>
  <si>
    <t>胥家场镇老街公变低压线路</t>
  </si>
  <si>
    <t>160100186276</t>
  </si>
  <si>
    <t>胥家场镇老人桥公变低压线路</t>
  </si>
  <si>
    <t>160100186277</t>
  </si>
  <si>
    <t>胥家场镇新街2#低压线路</t>
  </si>
  <si>
    <t>160100186278</t>
  </si>
  <si>
    <t>新店六组公变低压线路</t>
  </si>
  <si>
    <t>160100186279</t>
  </si>
  <si>
    <t>160100186280</t>
  </si>
  <si>
    <t>歇马公变低压线路</t>
  </si>
  <si>
    <t>160100186281</t>
  </si>
  <si>
    <t>160100186282</t>
  </si>
  <si>
    <t>实践2#公变低压线路</t>
  </si>
  <si>
    <t>160100186283</t>
  </si>
  <si>
    <t>160100186284</t>
  </si>
  <si>
    <t>驾虹供电所2#公变低压线路</t>
  </si>
  <si>
    <t>160100186285</t>
  </si>
  <si>
    <t>160100186286</t>
  </si>
  <si>
    <t>胥家共和2#公变低压线路</t>
  </si>
  <si>
    <t>160100186287</t>
  </si>
  <si>
    <t>160100186310</t>
  </si>
  <si>
    <t>胥家镇土什四组低压改造</t>
  </si>
  <si>
    <t>160100186311</t>
  </si>
  <si>
    <t>隆丰同德5组低压线路</t>
  </si>
  <si>
    <t>160100186312</t>
  </si>
  <si>
    <t>隆丰同德8组公变低压线路改造</t>
  </si>
  <si>
    <t>160100186313</t>
  </si>
  <si>
    <t>隆丰镇九九村四组公变低压线路</t>
  </si>
  <si>
    <t>160100186315</t>
  </si>
  <si>
    <t>隆丰镇双埝村四组公变低压线路</t>
  </si>
  <si>
    <t>160100186316</t>
  </si>
  <si>
    <t>隆丰镇红旗村二组公变低压线路</t>
  </si>
  <si>
    <t>160100186317</t>
  </si>
  <si>
    <t>隆丰镇文家村八组公变低压线路</t>
  </si>
  <si>
    <t>160100186318</t>
  </si>
  <si>
    <t>隆丰镇文家村四组公变低压线路</t>
  </si>
  <si>
    <t>160100186320</t>
  </si>
  <si>
    <t>蒲阳旗松八组公变低压线路</t>
  </si>
  <si>
    <t>160100186321</t>
  </si>
  <si>
    <t>蒲阳旗松五组2#公变低压线路</t>
  </si>
  <si>
    <t>160100186323</t>
  </si>
  <si>
    <t>蒲阳双柏12组公变低压线路</t>
  </si>
  <si>
    <t>160100186324</t>
  </si>
  <si>
    <t>蒲阳双柏14组2#公变低压线路</t>
  </si>
  <si>
    <t>160100186325</t>
  </si>
  <si>
    <t>蒲阳同义八组公变低压线路</t>
  </si>
  <si>
    <t>160100186328</t>
  </si>
  <si>
    <t>10KV蒲阳佛来五组公变低压线路</t>
  </si>
  <si>
    <t>160100186329</t>
  </si>
  <si>
    <t>10KV蒲阳佛来村公变低压线路</t>
  </si>
  <si>
    <t>160100186330</t>
  </si>
  <si>
    <t>蒲阳南坪2组2#公变低压线路</t>
  </si>
  <si>
    <t>160100186331</t>
  </si>
  <si>
    <t>蒲阳南坪3组低压线路</t>
  </si>
  <si>
    <t>160100186335</t>
  </si>
  <si>
    <t>10KV蒲园二路</t>
  </si>
  <si>
    <t>160100186336</t>
  </si>
  <si>
    <t>蒲阳银杏一组公变低压线路</t>
  </si>
  <si>
    <t>160100186337</t>
  </si>
  <si>
    <t>蒲阳银杏八组公变低压线路</t>
  </si>
  <si>
    <t>160100186338</t>
  </si>
  <si>
    <t>蒲阳镇长河村公变低压线路</t>
  </si>
  <si>
    <t>160100186340</t>
  </si>
  <si>
    <t>黄家大院公变低压线路</t>
  </si>
  <si>
    <t>160100186344</t>
  </si>
  <si>
    <t>10KV胥镇一路</t>
  </si>
  <si>
    <t>160100186345</t>
  </si>
  <si>
    <t>10KV大林一组低压线路</t>
  </si>
  <si>
    <t>160100186346</t>
  </si>
  <si>
    <t>胥家柏河村公变低压线路</t>
  </si>
  <si>
    <t>160100186347</t>
  </si>
  <si>
    <t>胥家镇正林村低压线路改造</t>
  </si>
  <si>
    <t>160100186348</t>
  </si>
  <si>
    <t>胥家镇龙马四组公变低压线路</t>
  </si>
  <si>
    <t>160100186349</t>
  </si>
  <si>
    <t>石龙一组公变低压线路</t>
  </si>
  <si>
    <t>160100186350</t>
  </si>
  <si>
    <t>胥家实新四组低压线路</t>
  </si>
  <si>
    <t>160100186351</t>
  </si>
  <si>
    <t>胥家镇新店六组公变低压线路</t>
  </si>
  <si>
    <t>160100186352</t>
  </si>
  <si>
    <t>磁峰供电所西一一台低压线路</t>
  </si>
  <si>
    <t>160100186353</t>
  </si>
  <si>
    <t>磁峰镇莲水村1#公变低压线路</t>
  </si>
  <si>
    <t>160100186354</t>
  </si>
  <si>
    <t>磁峰供电所街村1#公变低压线路</t>
  </si>
  <si>
    <t>160100186355</t>
  </si>
  <si>
    <t>磁峰镇街村公变低压线路</t>
  </si>
  <si>
    <t>160100186356</t>
  </si>
  <si>
    <t>磁峰供电所闽西人家台区低压线路</t>
  </si>
  <si>
    <t>160100186357</t>
  </si>
  <si>
    <t>磁峰莲水村11组1#公变</t>
  </si>
  <si>
    <t>160100186358</t>
  </si>
  <si>
    <t>磁峰镇莲水村1台公变低压线路</t>
  </si>
  <si>
    <t>160100186359</t>
  </si>
  <si>
    <t>磁峰镇鹿坪村公变低压线路</t>
  </si>
  <si>
    <t>160100186360</t>
  </si>
  <si>
    <t>五龙世家1#低压线路</t>
  </si>
  <si>
    <t>160100186361</t>
  </si>
  <si>
    <t>庙坪1#公变低压线路</t>
  </si>
  <si>
    <t>160100186363</t>
  </si>
  <si>
    <t>10kV香镇路</t>
  </si>
  <si>
    <t>160100186366</t>
  </si>
  <si>
    <t>灌城三城灵岩支电缆</t>
  </si>
  <si>
    <t>160100186373</t>
  </si>
  <si>
    <t>飞桥村八组公变低压线路</t>
  </si>
  <si>
    <t>160100186374</t>
  </si>
  <si>
    <t>飞桥村七组公变低压线路</t>
  </si>
  <si>
    <t>160100186375</t>
  </si>
  <si>
    <t>金属制品厂公变低压线路</t>
  </si>
  <si>
    <t>160100186376</t>
  </si>
  <si>
    <t>场水公变低压线路</t>
  </si>
  <si>
    <t>160100186378</t>
  </si>
  <si>
    <t>镇航支公变低压线路</t>
  </si>
  <si>
    <t>160100186379</t>
  </si>
  <si>
    <t>崇义村三组派出所公变低压线路</t>
  </si>
  <si>
    <t>160100186380</t>
  </si>
  <si>
    <t>崇义二组公变低压线路</t>
  </si>
  <si>
    <t>160100186381</t>
  </si>
  <si>
    <t>市场公变低压线路</t>
  </si>
  <si>
    <t>160100186382</t>
  </si>
  <si>
    <t>崇土路公变低压线路</t>
  </si>
  <si>
    <t>160100186383</t>
  </si>
  <si>
    <t>笆桥村四组公变低压线路</t>
  </si>
  <si>
    <t>160100186384</t>
  </si>
  <si>
    <t>界牌村八公变低压线路</t>
  </si>
  <si>
    <t>160100186385</t>
  </si>
  <si>
    <t>大桥村一组公变低压线路</t>
  </si>
  <si>
    <t>160100186386</t>
  </si>
  <si>
    <t>桂花供电所瓦子村低压线路</t>
  </si>
  <si>
    <t>160100186387</t>
  </si>
  <si>
    <t>桂花供电所四砖厂低压线路</t>
  </si>
  <si>
    <t>160100186388</t>
  </si>
  <si>
    <t>桂花供电所罗汉村低压线路</t>
  </si>
  <si>
    <t>160100186389</t>
  </si>
  <si>
    <t>桂花供电所5#配变低压线路</t>
  </si>
  <si>
    <t>160100186390</t>
  </si>
  <si>
    <t>桂花供电所4#配变低压线路</t>
  </si>
  <si>
    <t>160100186391</t>
  </si>
  <si>
    <t>桂花供电所5组低压线路</t>
  </si>
  <si>
    <t>160100186392</t>
  </si>
  <si>
    <t>桂花供电所龙桥村低压线路</t>
  </si>
  <si>
    <t>160100186393</t>
  </si>
  <si>
    <t>桂花供电所龙桥1#低压线路</t>
  </si>
  <si>
    <t>160100186394</t>
  </si>
  <si>
    <t>桂花供电所凉水村2#低压线路</t>
  </si>
  <si>
    <t>160100186395</t>
  </si>
  <si>
    <t>蒲阳镇互助村十四组低压线路</t>
  </si>
  <si>
    <t>160100186397</t>
  </si>
  <si>
    <t>胥家匡家一组公变低压线路</t>
  </si>
  <si>
    <t>160100186398</t>
  </si>
  <si>
    <t>红砂一组公变配变低压线路</t>
  </si>
  <si>
    <t>160100186399</t>
  </si>
  <si>
    <t>红砂六组公变低压线路</t>
  </si>
  <si>
    <t>160100186400</t>
  </si>
  <si>
    <t>红砂五组公变低压线路</t>
  </si>
  <si>
    <t>160100186401</t>
  </si>
  <si>
    <t>匡家二组公变低压线路</t>
  </si>
  <si>
    <t>160100186402</t>
  </si>
  <si>
    <t>匡家四组公变低压线路</t>
  </si>
  <si>
    <t>160100186403</t>
  </si>
  <si>
    <t>街子镇石梁七组公变低压线路</t>
  </si>
  <si>
    <t>160100186404</t>
  </si>
  <si>
    <t>街子镇古石梁一组公变低压线路</t>
  </si>
  <si>
    <t>160100186405</t>
  </si>
  <si>
    <t>街子镇古寺村公变低压线路</t>
  </si>
  <si>
    <t>160100186406</t>
  </si>
  <si>
    <t>大观供电所中和九组公变低压线路</t>
  </si>
  <si>
    <t>160100186408</t>
  </si>
  <si>
    <t>10kV金府路（都江堰）</t>
  </si>
  <si>
    <t>160100186409</t>
  </si>
  <si>
    <t>金府路民寿支低压线路</t>
  </si>
  <si>
    <t>160100186410</t>
  </si>
  <si>
    <t>灵岩六组公变低压线路</t>
  </si>
  <si>
    <t>160100186411</t>
  </si>
  <si>
    <t>灵岩七组公变低压线路</t>
  </si>
  <si>
    <t>160100186412</t>
  </si>
  <si>
    <t>灵岩一组公变低压线路</t>
  </si>
  <si>
    <t>160100186413</t>
  </si>
  <si>
    <t>民主十组公变低压线路</t>
  </si>
  <si>
    <t>160100186414</t>
  </si>
  <si>
    <t>民主二组公变低压线路</t>
  </si>
  <si>
    <t>160100186415</t>
  </si>
  <si>
    <t>万寿一组低压线路</t>
  </si>
  <si>
    <t>160100186416</t>
  </si>
  <si>
    <t>石马四组2#低压线路</t>
  </si>
  <si>
    <t>160100186417</t>
  </si>
  <si>
    <t>永桂七组低压线路</t>
  </si>
  <si>
    <t>160100186418</t>
  </si>
  <si>
    <t>万寿六组低压线路</t>
  </si>
  <si>
    <t>160100186419</t>
  </si>
  <si>
    <t>万寿三组低压线路</t>
  </si>
  <si>
    <t>160100186420</t>
  </si>
  <si>
    <t>石马四组1#低压线路</t>
  </si>
  <si>
    <t>160100186421</t>
  </si>
  <si>
    <t>永桂二组低压线路</t>
  </si>
  <si>
    <t>160100186422</t>
  </si>
  <si>
    <t>万寿四组低压线路</t>
  </si>
  <si>
    <t>160100186424</t>
  </si>
  <si>
    <t>金府路万寿支低压线路</t>
  </si>
  <si>
    <t>160100186425</t>
  </si>
  <si>
    <t>永桂9组低压线路</t>
  </si>
  <si>
    <t>160100186426</t>
  </si>
  <si>
    <t>丹景山镇关口社区公变低压线路</t>
  </si>
  <si>
    <t>160100186427</t>
  </si>
  <si>
    <t>10KV关镇路及支路改造</t>
  </si>
  <si>
    <t>160100186429</t>
  </si>
  <si>
    <t>隆丰镇新润社区低压线路</t>
  </si>
  <si>
    <t>160100186430</t>
  </si>
  <si>
    <t>小鱼洞镇大湾村1#公变低压线路</t>
  </si>
  <si>
    <t>160100186431</t>
  </si>
  <si>
    <t>小鱼洞镇大湾村2#公变低压线路</t>
  </si>
  <si>
    <t>160100186432</t>
  </si>
  <si>
    <t>小鱼洞镇大湾村3#公变低压线路</t>
  </si>
  <si>
    <t>160100186437</t>
  </si>
  <si>
    <t>街子镇莲经四组低压线路</t>
  </si>
  <si>
    <t>160100186438</t>
  </si>
  <si>
    <t>街子镇莲经一组低压线路</t>
  </si>
  <si>
    <t>160100186439</t>
  </si>
  <si>
    <t>街子镇莲经村低压线路</t>
  </si>
  <si>
    <t>160100186441</t>
  </si>
  <si>
    <t>灌口镇白花村四组低压线路</t>
  </si>
  <si>
    <t>160100186442</t>
  </si>
  <si>
    <t>灌口镇万岭二组低压线路</t>
  </si>
  <si>
    <t>160100186443</t>
  </si>
  <si>
    <t>160100186444</t>
  </si>
  <si>
    <t>灌口镇庙子坪安置点低压线路</t>
  </si>
  <si>
    <t>160100186445</t>
  </si>
  <si>
    <t>百花六组低压线路</t>
  </si>
  <si>
    <t>160100186446</t>
  </si>
  <si>
    <t>百花村委会公变低压线路</t>
  </si>
  <si>
    <t>160100186447</t>
  </si>
  <si>
    <t>灌口镇百花二组低压线路</t>
  </si>
  <si>
    <t>160100186448</t>
  </si>
  <si>
    <t>灌口镇百花七组低压线路</t>
  </si>
  <si>
    <t>160100186449</t>
  </si>
  <si>
    <t>富民路1#公变低压线路</t>
  </si>
  <si>
    <t>160100186450</t>
  </si>
  <si>
    <t>灌城三路富民路3#公变低压线路</t>
  </si>
  <si>
    <t>160100186452</t>
  </si>
  <si>
    <t>10KV灌城三路</t>
  </si>
  <si>
    <t>160100186453</t>
  </si>
  <si>
    <t>场镇新区低压线路电缆</t>
  </si>
  <si>
    <t>160100186454</t>
  </si>
  <si>
    <t>街子唐公新区低压线路</t>
  </si>
  <si>
    <t>160100186455</t>
  </si>
  <si>
    <t>街子唐公社区场镇新区2#公变低压线路</t>
  </si>
  <si>
    <t>160100186456</t>
  </si>
  <si>
    <t>街子唐公社区场镇新区1#公变低压线路</t>
  </si>
  <si>
    <t>160100186458</t>
  </si>
  <si>
    <t>桂花镇花场社区低压线路</t>
  </si>
  <si>
    <t>160100186459</t>
  </si>
  <si>
    <t>桂花镇丰乐场社区低压线路</t>
  </si>
  <si>
    <t>160100186460</t>
  </si>
  <si>
    <t>丰乐街村2#公变低压线路</t>
  </si>
  <si>
    <t>160100186461</t>
  </si>
  <si>
    <t>通济镇通济场镇社区低压线路</t>
  </si>
  <si>
    <t>160100186462</t>
  </si>
  <si>
    <t>通济镇通济场镇社区崇德村低压线路</t>
  </si>
  <si>
    <t>160100186463</t>
  </si>
  <si>
    <t>通济镇通济场镇社区街村1#公变低压线路</t>
  </si>
  <si>
    <t>160100186467</t>
  </si>
  <si>
    <t>大观供电所园林4#公变低压线路</t>
  </si>
  <si>
    <t>160100186469</t>
  </si>
  <si>
    <t>大观供电所麻岩1#公变低压线路</t>
  </si>
  <si>
    <t>160100186470</t>
  </si>
  <si>
    <t>大观供电所麻岩2#公变低压线路</t>
  </si>
  <si>
    <t>160100186471</t>
  </si>
  <si>
    <t>大观供电所盐1#公变低压线路</t>
  </si>
  <si>
    <t>160100186472</t>
  </si>
  <si>
    <t>大观供电所平清六组公变低压线路</t>
  </si>
  <si>
    <t>160100186474</t>
  </si>
  <si>
    <t>胥家供电所共和村七组公变低压线路</t>
  </si>
  <si>
    <t>160100186475</t>
  </si>
  <si>
    <t>胥家供电所新民八组公变10KV线路</t>
  </si>
  <si>
    <t>160100186477</t>
  </si>
  <si>
    <t>胥家供电所实新村村变低压线路</t>
  </si>
  <si>
    <t>160100186480</t>
  </si>
  <si>
    <t>桂花镇56017部队低压线路</t>
  </si>
  <si>
    <t>160100186482</t>
  </si>
  <si>
    <t>桂花镇四砖厂公变低压线路</t>
  </si>
  <si>
    <t>160100186483</t>
  </si>
  <si>
    <t>桂花供电所三圣村低压线路</t>
  </si>
  <si>
    <t>160100186484</t>
  </si>
  <si>
    <t>玉堂镇永康村公变低压线路</t>
  </si>
  <si>
    <t>160100186485</t>
  </si>
  <si>
    <t>玉堂镇永康村7组公变低压线路</t>
  </si>
  <si>
    <t>160100186486</t>
  </si>
  <si>
    <t>玉堂镇永固2#公变低压线路</t>
  </si>
  <si>
    <t>160100186487</t>
  </si>
  <si>
    <t>玉堂镇永固1#公变低压线路</t>
  </si>
  <si>
    <t>160100186489</t>
  </si>
  <si>
    <t>玉堂镇新生村公变(平安7组)低压线路</t>
  </si>
  <si>
    <t>160100186491</t>
  </si>
  <si>
    <t>安龙镇大乐村二组(2#)低压线路</t>
  </si>
  <si>
    <t>160100186492</t>
  </si>
  <si>
    <t>安龙供电所官田1#公变10KV线路</t>
  </si>
  <si>
    <t>160100186493</t>
  </si>
  <si>
    <t>安龙供电所泰安2#公变低压线路</t>
  </si>
  <si>
    <t>160100186494</t>
  </si>
  <si>
    <t>安龙供电所清溪1#公变低压线路</t>
  </si>
  <si>
    <t>160100186495</t>
  </si>
  <si>
    <t>安龙场镇清莲2#公变低压线路</t>
  </si>
  <si>
    <t>160100186496</t>
  </si>
  <si>
    <t>安龙供电所场镇1#公变低压线路</t>
  </si>
  <si>
    <t>160100186497</t>
  </si>
  <si>
    <t>安龙供电所大乐3#公变低压线路</t>
  </si>
  <si>
    <t>160100186498</t>
  </si>
  <si>
    <t>蒲阳互助村14组低压线路</t>
  </si>
  <si>
    <t>160100186499</t>
  </si>
  <si>
    <t>蒲阳互助村8组低压线路</t>
  </si>
  <si>
    <t>160100186500</t>
  </si>
  <si>
    <t>蒲阳福来村低压线路</t>
  </si>
  <si>
    <t>160100186501</t>
  </si>
  <si>
    <t>蒲阳南溪村5组公变低压线路</t>
  </si>
  <si>
    <t>160100186502</t>
  </si>
  <si>
    <t>聚源供电所迎祥村4组公变低压线路</t>
  </si>
  <si>
    <t>160100186503</t>
  </si>
  <si>
    <t>聚源供电所黄鹤村7组公变低压线路</t>
  </si>
  <si>
    <t>160100186504</t>
  </si>
  <si>
    <t>聚源供电所画家村公变低压线路</t>
  </si>
  <si>
    <t>160100186505</t>
  </si>
  <si>
    <t>聚源供电所五龙村2组公变低压线路</t>
  </si>
  <si>
    <t>160100186508</t>
  </si>
  <si>
    <t>聚源供电所三坝村15组公变低压线路</t>
  </si>
  <si>
    <t>160100186510</t>
  </si>
  <si>
    <t>聚源供电所普贤村9组公变低压线路</t>
  </si>
  <si>
    <t>160100186511</t>
  </si>
  <si>
    <t>聚源供电所普贤村7组公变低压线路</t>
  </si>
  <si>
    <t>160100186512</t>
  </si>
  <si>
    <t>聚源供电所双合村3组公变低压线路</t>
  </si>
  <si>
    <t>160100186513</t>
  </si>
  <si>
    <t>聚源供电所三坝村7组公变低压线路</t>
  </si>
  <si>
    <t>160100186514</t>
  </si>
  <si>
    <t>聚源供电所金鸡村3组公变低压线路</t>
  </si>
  <si>
    <t>160100186515</t>
  </si>
  <si>
    <t>聚源供电所三坝村5组公变低压线路</t>
  </si>
  <si>
    <t>160100186516</t>
  </si>
  <si>
    <t>聚源供电所导江6组公变低压线路</t>
  </si>
  <si>
    <t>160100186517</t>
  </si>
  <si>
    <t>聚源供电所大夫村6组公变低压线路</t>
  </si>
  <si>
    <t>160100186518</t>
  </si>
  <si>
    <t>聚源供电所大合村2组公变低压线路</t>
  </si>
  <si>
    <t>160100186520</t>
  </si>
  <si>
    <t>隆丰镇大泉村一组低压线路</t>
  </si>
  <si>
    <t>160100186521</t>
  </si>
  <si>
    <t>隆丰镇金山村低压线路</t>
  </si>
  <si>
    <t>160100186522</t>
  </si>
  <si>
    <t>隆丰镇太平村低压线路</t>
  </si>
  <si>
    <t>160100186525</t>
  </si>
  <si>
    <t>隆丰镇太平5组公变新增低压线路</t>
  </si>
  <si>
    <t>160100186526</t>
  </si>
  <si>
    <t>隆丰镇永丰村村变底压线路</t>
  </si>
  <si>
    <t>160100186527</t>
  </si>
  <si>
    <t>隆丰镇太平一组公变新增低压线路</t>
  </si>
  <si>
    <t>160100186530</t>
  </si>
  <si>
    <t>隆丰镇永丰村一组公变新增公变低压线路</t>
  </si>
  <si>
    <t>160100186531</t>
  </si>
  <si>
    <t>隆丰镇幸福村一组公变低压线路</t>
  </si>
  <si>
    <t>160100186532</t>
  </si>
  <si>
    <t>隆丰镇新润村村变低压线路</t>
  </si>
  <si>
    <t>160100186533</t>
  </si>
  <si>
    <t>隆丰镇西北村村变低压线路</t>
  </si>
  <si>
    <t>160100186534</t>
  </si>
  <si>
    <t>隆丰镇双埝村八组变低压线路</t>
  </si>
  <si>
    <t>160100186536</t>
  </si>
  <si>
    <t>天马镇金玉村2#公变低压线路</t>
  </si>
  <si>
    <t>160100186538</t>
  </si>
  <si>
    <t>天马镇禹王村2组公变低压线路</t>
  </si>
  <si>
    <t>160100186544</t>
  </si>
  <si>
    <t>天马镇建华村5组低压线路</t>
  </si>
  <si>
    <t>160100186547</t>
  </si>
  <si>
    <t>柳街供电所民安1#公变低压线路</t>
  </si>
  <si>
    <t>160100186548</t>
  </si>
  <si>
    <t>柳街供电所民安2#公变低压线路</t>
  </si>
  <si>
    <t>160100186550</t>
  </si>
  <si>
    <t>柳街供电所里仁3#公变低压线路</t>
  </si>
  <si>
    <t>160100186551</t>
  </si>
  <si>
    <t>柳街供电所清凉2#公变低压线路</t>
  </si>
  <si>
    <t>160100186553</t>
  </si>
  <si>
    <t>百花村六组公变低压线路</t>
  </si>
  <si>
    <t>160100186554</t>
  </si>
  <si>
    <t>百花村四组公变低压线路</t>
  </si>
  <si>
    <t>160100186555</t>
  </si>
  <si>
    <t>幸福供电所新投幸福村四组公变10KV线路</t>
  </si>
  <si>
    <t>160100186556</t>
  </si>
  <si>
    <t>幸福供电所新投幸福村四组公变低压线路</t>
  </si>
  <si>
    <t>160100186557</t>
  </si>
  <si>
    <t>新投幸福村三组公变低压线路</t>
  </si>
  <si>
    <t>160100186558</t>
  </si>
  <si>
    <t>胥家镇十里村一组公变低压线路</t>
  </si>
  <si>
    <t>160100186559</t>
  </si>
  <si>
    <t>胥家镇红纱村四组公变低压线路</t>
  </si>
  <si>
    <t>160100186561</t>
  </si>
  <si>
    <t>160100186563</t>
  </si>
  <si>
    <t>胥家镇桂花7组公变低压线路</t>
  </si>
  <si>
    <t>160100186564</t>
  </si>
  <si>
    <t>胥家镇桂花5组公变低压线路</t>
  </si>
  <si>
    <t>160100186567</t>
  </si>
  <si>
    <t>胥家镇桂花村低压线路</t>
  </si>
  <si>
    <t>160100186568</t>
  </si>
  <si>
    <t>胥家镇马鞍村5组公变低压线路</t>
  </si>
  <si>
    <t>160100186569</t>
  </si>
  <si>
    <t>胥家镇土什二组公变低压线路</t>
  </si>
  <si>
    <t>160100186571</t>
  </si>
  <si>
    <t>胥家镇土什老九组公变低压线路</t>
  </si>
  <si>
    <t>160100186573</t>
  </si>
  <si>
    <t>胥家镇新店村1组公变低压线路</t>
  </si>
  <si>
    <t>160100186930</t>
  </si>
  <si>
    <t>天马镇金华1#低压线路</t>
  </si>
  <si>
    <t>160100186931</t>
  </si>
  <si>
    <t>天马镇金华2#低压线路</t>
  </si>
  <si>
    <t>160100186933</t>
  </si>
  <si>
    <t>天马镇法华1#低压线路</t>
  </si>
  <si>
    <t>160100186935</t>
  </si>
  <si>
    <t>天马镇法华2#低压线路</t>
  </si>
  <si>
    <t>160100186937</t>
  </si>
  <si>
    <t>天马镇金马村9组低压线路</t>
  </si>
  <si>
    <t>160100186940</t>
  </si>
  <si>
    <t>天马镇金玉2#低压线路</t>
  </si>
  <si>
    <t>160100186941</t>
  </si>
  <si>
    <t>天马镇金玉1#低压线路</t>
  </si>
  <si>
    <t>160100186943</t>
  </si>
  <si>
    <t>天马镇崇金1#低压线路</t>
  </si>
  <si>
    <t>160100186945</t>
  </si>
  <si>
    <t>天马镇崇金2#低压线路</t>
  </si>
  <si>
    <t>160100186946</t>
  </si>
  <si>
    <t>天马镇绿风1#低压线路</t>
  </si>
  <si>
    <t>160100186948</t>
  </si>
  <si>
    <t>天马镇绿风2#低压线路</t>
  </si>
  <si>
    <t>160100186949</t>
  </si>
  <si>
    <t>天马镇绿风3#低压线路</t>
  </si>
  <si>
    <t>160100186951</t>
  </si>
  <si>
    <t>天马镇绿风4#低压线路</t>
  </si>
  <si>
    <t>160100186953</t>
  </si>
  <si>
    <t>天马镇童山1#低压线路</t>
  </si>
  <si>
    <t>160100186955</t>
  </si>
  <si>
    <t>天马镇童山2#低压线路</t>
  </si>
  <si>
    <t>160100186956</t>
  </si>
  <si>
    <t>天马镇童山3#低压线路</t>
  </si>
  <si>
    <t>160100186958</t>
  </si>
  <si>
    <t>天马镇童山村三组低压线路</t>
  </si>
  <si>
    <t>160100186959</t>
  </si>
  <si>
    <t>天马镇仙鹤1#低压线路</t>
  </si>
  <si>
    <t>160100186960</t>
  </si>
  <si>
    <t>天马镇仙鹤2#低压线路</t>
  </si>
  <si>
    <t>160100186962</t>
  </si>
  <si>
    <t>天马镇乐民1#低压线路</t>
  </si>
  <si>
    <t>160100186964</t>
  </si>
  <si>
    <t>天马镇乐民2#低压线路</t>
  </si>
  <si>
    <t>160100186965</t>
  </si>
  <si>
    <t>中兴镇革新村1#低压线路</t>
  </si>
  <si>
    <t>160100186966</t>
  </si>
  <si>
    <t>中兴镇革新村2#低压线路</t>
  </si>
  <si>
    <t>160100186967</t>
  </si>
  <si>
    <t>中兴镇和乐村二台低压线路</t>
  </si>
  <si>
    <t>160100186968</t>
  </si>
  <si>
    <t>中兴镇和乐村1#低压线路</t>
  </si>
  <si>
    <t>160100186969</t>
  </si>
  <si>
    <t>中兴镇金井村2#低压线路</t>
  </si>
  <si>
    <t>160100186970</t>
  </si>
  <si>
    <t>中兴镇金井村1#低压线路</t>
  </si>
  <si>
    <t>160100186971</t>
  </si>
  <si>
    <t>中兴镇横山二台低压线路</t>
  </si>
  <si>
    <t>160100186972</t>
  </si>
  <si>
    <t>中兴镇金井村6组低压线路</t>
  </si>
  <si>
    <t>160100186973</t>
  </si>
  <si>
    <t>中兴镇横山一组低压线路</t>
  </si>
  <si>
    <t>160100186974</t>
  </si>
  <si>
    <t>中兴镇上元村2、4组低压线路</t>
  </si>
  <si>
    <t>160100186975</t>
  </si>
  <si>
    <t>中兴镇上元村六七组低压线路</t>
  </si>
  <si>
    <t>160100186976</t>
  </si>
  <si>
    <t>中兴镇永胜村3#低压线路</t>
  </si>
  <si>
    <t>160100186977</t>
  </si>
  <si>
    <t>中兴镇永胜村1#低压线路</t>
  </si>
  <si>
    <t>160100186978</t>
  </si>
  <si>
    <t>中兴镇永胜村3组公变低压线路</t>
  </si>
  <si>
    <t>160100186979</t>
  </si>
  <si>
    <t>中兴镇三角村三台低压线路</t>
  </si>
  <si>
    <t>160100186980</t>
  </si>
  <si>
    <t>中兴镇三角村一台低压线路</t>
  </si>
  <si>
    <t>160100186981</t>
  </si>
  <si>
    <t>10kV天马路</t>
  </si>
  <si>
    <t>160100186983</t>
  </si>
  <si>
    <t>10KV天镇路</t>
  </si>
  <si>
    <t>160100186987</t>
  </si>
  <si>
    <t>10KV西红路</t>
  </si>
  <si>
    <t>160100186988</t>
  </si>
  <si>
    <t>10KV青中路</t>
  </si>
  <si>
    <t>160100186991</t>
  </si>
  <si>
    <t>10KV青石路</t>
  </si>
  <si>
    <t>160100186993</t>
  </si>
  <si>
    <t>泊江村1#公变低压线路</t>
  </si>
  <si>
    <t>160100186995</t>
  </si>
  <si>
    <t>泊江村2#公变低压线路</t>
  </si>
  <si>
    <t>160100186996</t>
  </si>
  <si>
    <t>泊江村3#公变低压线路</t>
  </si>
  <si>
    <t>160100186998</t>
  </si>
  <si>
    <t>大乐场镇低压线路</t>
  </si>
  <si>
    <t>160100186999</t>
  </si>
  <si>
    <t>定红村1#公变低压线路</t>
  </si>
  <si>
    <t>160100187000</t>
  </si>
  <si>
    <t>定红村2#公变低压线路</t>
  </si>
  <si>
    <t>160100187002</t>
  </si>
  <si>
    <t>接龙村2#公变低压线路</t>
  </si>
  <si>
    <t>160100187003</t>
  </si>
  <si>
    <t>接龙村八组低压线路</t>
  </si>
  <si>
    <t>160100187004</t>
  </si>
  <si>
    <t>义虎村2#公变低压线路</t>
  </si>
  <si>
    <t>160100187005</t>
  </si>
  <si>
    <t>义虎村3#公变低压线路</t>
  </si>
  <si>
    <t>160100187007</t>
  </si>
  <si>
    <t>义虎村10组低压线路</t>
  </si>
  <si>
    <t>160100187008</t>
  </si>
  <si>
    <t>五一村2#低压线路</t>
  </si>
  <si>
    <t>160100187009</t>
  </si>
  <si>
    <t>卫星2#公变低压线路</t>
  </si>
  <si>
    <t>160100187011</t>
  </si>
  <si>
    <t>卫星3#公变低压线路</t>
  </si>
  <si>
    <t>160100187013</t>
  </si>
  <si>
    <t>谷王1#公变低压线路</t>
  </si>
  <si>
    <t>160100187015</t>
  </si>
  <si>
    <t>谷王2#公变低压线路</t>
  </si>
  <si>
    <t>160100187016</t>
  </si>
  <si>
    <t>义和1#公变低压线路</t>
  </si>
  <si>
    <t>160100187017</t>
  </si>
  <si>
    <t>义和2#公变低压线路</t>
  </si>
  <si>
    <t>160100187019</t>
  </si>
  <si>
    <t>义和村6组低压线路</t>
  </si>
  <si>
    <t>160100187021</t>
  </si>
  <si>
    <t>马祖1#低压线路</t>
  </si>
  <si>
    <t>160100187023</t>
  </si>
  <si>
    <t>马祖2#低压线路</t>
  </si>
  <si>
    <t>160100187024</t>
  </si>
  <si>
    <t>马祖3#低压线路</t>
  </si>
  <si>
    <t>160100187025</t>
  </si>
  <si>
    <t>马祖4#低压线路</t>
  </si>
  <si>
    <t>160100187027</t>
  </si>
  <si>
    <t>马祖村3组低压线路</t>
  </si>
  <si>
    <t>160100187028</t>
  </si>
  <si>
    <t>天平1#低压线路</t>
  </si>
  <si>
    <t>160100187029</t>
  </si>
  <si>
    <t>天平2#低压线路</t>
  </si>
  <si>
    <t>160100187031</t>
  </si>
  <si>
    <t>红川低压线路</t>
  </si>
  <si>
    <t>160100187032</t>
  </si>
  <si>
    <t>丰乐1#低压线路</t>
  </si>
  <si>
    <t>160100187033</t>
  </si>
  <si>
    <t>丰乐2#低压线路</t>
  </si>
  <si>
    <t>160100187034</t>
  </si>
  <si>
    <t>丰乐3#低压线路</t>
  </si>
  <si>
    <t>160100187036</t>
  </si>
  <si>
    <t>青羊1#低压线路</t>
  </si>
  <si>
    <t>160100187038</t>
  </si>
  <si>
    <t>青羊2#低压线路</t>
  </si>
  <si>
    <t>160100187039</t>
  </si>
  <si>
    <t>青羊3#低压线路</t>
  </si>
  <si>
    <t>160100187041</t>
  </si>
  <si>
    <t>丰乐村5组低压线路</t>
  </si>
  <si>
    <t>160100187042</t>
  </si>
  <si>
    <t>金羊2#低压线路</t>
  </si>
  <si>
    <t>160100187043</t>
  </si>
  <si>
    <t>均义1#低压线路</t>
  </si>
  <si>
    <t>160100187044</t>
  </si>
  <si>
    <t>均义2#低压线路</t>
  </si>
  <si>
    <t>160100187045</t>
  </si>
  <si>
    <t>均义4#低压线路</t>
  </si>
  <si>
    <t>160100187047</t>
  </si>
  <si>
    <t>10KV青丰一路</t>
  </si>
  <si>
    <t>160100187048</t>
  </si>
  <si>
    <t>10KV青丰二路</t>
  </si>
  <si>
    <t>160100187053</t>
  </si>
  <si>
    <t>白云村公变低压线路</t>
  </si>
  <si>
    <t>160100187054</t>
  </si>
  <si>
    <t>白云村1号公变低压线路</t>
  </si>
  <si>
    <t>160100187055</t>
  </si>
  <si>
    <t>白云村2号公变低压线路</t>
  </si>
  <si>
    <t>160100187056</t>
  </si>
  <si>
    <t>坪乐一组公变低压线路</t>
  </si>
  <si>
    <t>160100187057</t>
  </si>
  <si>
    <t>坪乐一组2号公变低压线路</t>
  </si>
  <si>
    <t>160100187058</t>
  </si>
  <si>
    <t>坪乐三组公变低压线路</t>
  </si>
  <si>
    <t>160100187059</t>
  </si>
  <si>
    <t>坪乐四组公变低压线路</t>
  </si>
  <si>
    <t>160100187060</t>
  </si>
  <si>
    <t>坪乐七组公变低压线路</t>
  </si>
  <si>
    <t>160100187062</t>
  </si>
  <si>
    <t>沙坪一组公变低压线路</t>
  </si>
  <si>
    <t>160100187063</t>
  </si>
  <si>
    <t>沙坪二组公变低压线路</t>
  </si>
  <si>
    <t>160100187064</t>
  </si>
  <si>
    <t>沙坪一组2号公变低压线路</t>
  </si>
  <si>
    <t>160100187065</t>
  </si>
  <si>
    <t>沙坪四组公变（乡政府）低压线路</t>
  </si>
  <si>
    <t>160100187066</t>
  </si>
  <si>
    <t>青龙1号公变低压线路</t>
  </si>
  <si>
    <t>160100187067</t>
  </si>
  <si>
    <t>青龙2号公变低压线路</t>
  </si>
  <si>
    <t>160100187068</t>
  </si>
  <si>
    <t>青龙3号公变低压线路</t>
  </si>
  <si>
    <t>160100187070</t>
  </si>
  <si>
    <t>味江1号公变低压线路</t>
  </si>
  <si>
    <t>160100187071</t>
  </si>
  <si>
    <t>味江2号公变低压线路</t>
  </si>
  <si>
    <t>160100187072</t>
  </si>
  <si>
    <t>白石一组公变低压线路</t>
  </si>
  <si>
    <t>160100187073</t>
  </si>
  <si>
    <t>白石三组公变低压线路</t>
  </si>
  <si>
    <t>160100187074</t>
  </si>
  <si>
    <t>白石四组公变低压线路</t>
  </si>
  <si>
    <t>160100187075</t>
  </si>
  <si>
    <t>白石二组公变低压线路</t>
  </si>
  <si>
    <t>160100187077</t>
  </si>
  <si>
    <t>10KV青镇路</t>
  </si>
  <si>
    <t>160100187078</t>
  </si>
  <si>
    <t>青城七组公变低压线路</t>
  </si>
  <si>
    <t>160100187081</t>
  </si>
  <si>
    <t>五里七组公变低压线路</t>
  </si>
  <si>
    <t>160100187083</t>
  </si>
  <si>
    <t>南岳村低压线路</t>
  </si>
  <si>
    <t>160100187084</t>
  </si>
  <si>
    <t>龙池场镇低压线路</t>
  </si>
  <si>
    <t>160100187085</t>
  </si>
  <si>
    <t>云华村低压线路</t>
  </si>
  <si>
    <t>160100187086</t>
  </si>
  <si>
    <t>东江5组低压线路</t>
  </si>
  <si>
    <t>160100187087</t>
  </si>
  <si>
    <t>广利7组低压线路</t>
  </si>
  <si>
    <t>160100187088</t>
  </si>
  <si>
    <t>五桂2组低压线路</t>
  </si>
  <si>
    <t>160100187089</t>
  </si>
  <si>
    <t>五桂四组低压线路</t>
  </si>
  <si>
    <t>160100187090</t>
  </si>
  <si>
    <t>五桂八组低压线路</t>
  </si>
  <si>
    <t>160100187091</t>
  </si>
  <si>
    <t>五桂九组低压线路</t>
  </si>
  <si>
    <t>160100187092</t>
  </si>
  <si>
    <t>五桂十四组低压线路</t>
  </si>
  <si>
    <t>160100187097</t>
  </si>
  <si>
    <t>10KV灌城路主线</t>
  </si>
  <si>
    <t>160100187228</t>
  </si>
  <si>
    <t>10kV香坦路</t>
  </si>
  <si>
    <t>160100187229</t>
  </si>
  <si>
    <t>中兴镇场镇低压线路</t>
  </si>
  <si>
    <t>160100187231</t>
  </si>
  <si>
    <t>土桥场镇低压线路</t>
  </si>
  <si>
    <t>160100187233</t>
  </si>
  <si>
    <t>天马镇长虹村配变低压线路</t>
  </si>
  <si>
    <t>160100187235</t>
  </si>
  <si>
    <t>天马镇禹王村代压线路</t>
  </si>
  <si>
    <t>160100187236</t>
  </si>
  <si>
    <t>天马镇向荣村低压线路</t>
  </si>
  <si>
    <t>160100187237</t>
  </si>
  <si>
    <t>天马镇金陵村低压线路</t>
  </si>
  <si>
    <t>160100187239</t>
  </si>
  <si>
    <t>天马镇建华村低压线路</t>
  </si>
  <si>
    <t>160100187241</t>
  </si>
  <si>
    <t>天马镇二郎村低压线路</t>
  </si>
  <si>
    <t>160100187243</t>
  </si>
  <si>
    <t>天马镇场镇低压线路</t>
  </si>
  <si>
    <t>160100187245</t>
  </si>
  <si>
    <t>石羊镇竹瓦村低压线路</t>
  </si>
  <si>
    <t>160100187247</t>
  </si>
  <si>
    <t>石羊镇徐渡村低压线路</t>
  </si>
  <si>
    <t>160100187249</t>
  </si>
  <si>
    <t>石羊镇书院村低压线路</t>
  </si>
  <si>
    <t>160100187251</t>
  </si>
  <si>
    <t>石羊镇清水村低压线路</t>
  </si>
  <si>
    <t>160100187253</t>
  </si>
  <si>
    <t>石羊镇金花村低压线路</t>
  </si>
  <si>
    <t>160100187255</t>
  </si>
  <si>
    <t>石羊镇红花村低压线路</t>
  </si>
  <si>
    <t>160100187257</t>
  </si>
  <si>
    <t>石羊镇风堆村低压线路</t>
  </si>
  <si>
    <t>160100187259</t>
  </si>
  <si>
    <t>石羊镇场镇低压线路</t>
  </si>
  <si>
    <t>160100187260</t>
  </si>
  <si>
    <t>青城山镇（太平）场镇低压线路</t>
  </si>
  <si>
    <t>160100187262</t>
  </si>
  <si>
    <t>柳街镇沿江场镇低压线路</t>
  </si>
  <si>
    <t>160100187265</t>
  </si>
  <si>
    <t>10KV城玉路</t>
  </si>
  <si>
    <t>160100187266</t>
  </si>
  <si>
    <t>10KV虹玉路</t>
  </si>
  <si>
    <t>160100187269</t>
  </si>
  <si>
    <t>10KV青翠路</t>
  </si>
  <si>
    <t>160100187270</t>
  </si>
  <si>
    <t>10KV青电路</t>
  </si>
  <si>
    <t>160100187272</t>
  </si>
  <si>
    <t>10kV唐古路</t>
  </si>
  <si>
    <t>160100187273</t>
  </si>
  <si>
    <t>10KV西镇路</t>
  </si>
  <si>
    <t>160100187274</t>
  </si>
  <si>
    <t>10kV小通路</t>
  </si>
  <si>
    <t>160100187277</t>
  </si>
  <si>
    <t>10KV安龙场镇支</t>
  </si>
  <si>
    <t>160100187278</t>
  </si>
  <si>
    <t>安龙场镇支低压线路</t>
  </si>
  <si>
    <t>160100187279</t>
  </si>
  <si>
    <t>大观镇滨江村低压线路</t>
  </si>
  <si>
    <t>160100187281</t>
  </si>
  <si>
    <t>大观镇茶坪村低压线路</t>
  </si>
  <si>
    <t>160100187283</t>
  </si>
  <si>
    <t>大观镇场镇低压线路</t>
  </si>
  <si>
    <t>160100187284</t>
  </si>
  <si>
    <t>大观镇两河场镇低压线路</t>
  </si>
  <si>
    <t>160100187285</t>
  </si>
  <si>
    <t>大观镇大通村1#公变低压线路</t>
  </si>
  <si>
    <t>160100187287</t>
  </si>
  <si>
    <t>大观镇红梅村低压线路</t>
  </si>
  <si>
    <t>160100187289</t>
  </si>
  <si>
    <t>大观镇丽江村低压线路</t>
  </si>
  <si>
    <t>160100187291</t>
  </si>
  <si>
    <t>大观镇桃源村低压线路</t>
  </si>
  <si>
    <t>160100187292</t>
  </si>
  <si>
    <t>大观镇欣禾村低压线路</t>
  </si>
  <si>
    <t>160100187294</t>
  </si>
  <si>
    <t>大观镇宿仙村低压线路</t>
  </si>
  <si>
    <t>160100187295</t>
  </si>
  <si>
    <t>大观镇艳景村低压线路</t>
  </si>
  <si>
    <t>160100187298</t>
  </si>
  <si>
    <t>聚源镇普星村公变低压线路</t>
  </si>
  <si>
    <t>160100187300</t>
  </si>
  <si>
    <t>柳街镇场镇低压线路</t>
  </si>
  <si>
    <t>160100187303</t>
  </si>
  <si>
    <t>中兴供电所民兴社区九组低压线路</t>
  </si>
  <si>
    <t>160100187304</t>
  </si>
  <si>
    <t>160100187305</t>
  </si>
  <si>
    <t>中兴供电所永安上段低压线路改造</t>
  </si>
  <si>
    <t>160100187307</t>
  </si>
  <si>
    <t>中兴供电所三角二台低压线路改造</t>
  </si>
  <si>
    <t>160100187308</t>
  </si>
  <si>
    <t>160100187310</t>
  </si>
  <si>
    <t>中兴供电所梓桐6组低压线路</t>
  </si>
  <si>
    <t>160100187311</t>
  </si>
  <si>
    <t>160100187313</t>
  </si>
  <si>
    <t>中兴供电所红旗村低压线路</t>
  </si>
  <si>
    <t>160100187314</t>
  </si>
  <si>
    <t>160100187315</t>
  </si>
  <si>
    <t>中兴场镇一台低压线路</t>
  </si>
  <si>
    <t>160100187316</t>
  </si>
  <si>
    <t>160100187318</t>
  </si>
  <si>
    <t>中兴供电所红楼三台低压线路</t>
  </si>
  <si>
    <t>160100187325</t>
  </si>
  <si>
    <t>桂花供电所5#公变低压线路</t>
  </si>
  <si>
    <t>160100187332</t>
  </si>
  <si>
    <t>新兴镇花坪村三组公变低压线路</t>
  </si>
  <si>
    <t>160100187334</t>
  </si>
  <si>
    <t>龙池镇东岳三组低压线路</t>
  </si>
  <si>
    <t>160100187335</t>
  </si>
  <si>
    <t>160100187336</t>
  </si>
  <si>
    <t>紫坪铺镇沙湾村五组低压线路</t>
  </si>
  <si>
    <t>160100187337</t>
  </si>
  <si>
    <t>紫坪铺镇白沙村一组低压线路</t>
  </si>
  <si>
    <t>160100187338</t>
  </si>
  <si>
    <t>160100187339</t>
  </si>
  <si>
    <t>大观场镇三号低压线路</t>
  </si>
  <si>
    <t>160100187341</t>
  </si>
  <si>
    <t>大观供电所街子政府公变低压线路</t>
  </si>
  <si>
    <t>160100187343</t>
  </si>
  <si>
    <t>聚源供电所龙泉村1组低压线路</t>
  </si>
  <si>
    <t>160100187344</t>
  </si>
  <si>
    <t>160100187345</t>
  </si>
  <si>
    <t>聚源供电所石埂村7组低压线路</t>
  </si>
  <si>
    <t>160100187347</t>
  </si>
  <si>
    <t>聚源供电所普星村2组低压线路</t>
  </si>
  <si>
    <t>160100187348</t>
  </si>
  <si>
    <t>聚源供电所三坝村3组低压线路</t>
  </si>
  <si>
    <t>160100187349</t>
  </si>
  <si>
    <t>160100187352</t>
  </si>
  <si>
    <t>磁峰供电所皇城村1#公变低压线路改造</t>
  </si>
  <si>
    <t>160100187353</t>
  </si>
  <si>
    <t>磁峰供电所花塔村2#公变低压线路改造</t>
  </si>
  <si>
    <t>160100187355</t>
  </si>
  <si>
    <t>幸福供电所新投联盟4组2#公变低压线路</t>
  </si>
  <si>
    <t>160100187356</t>
  </si>
  <si>
    <t>幸福供电所新投永桂2组低压线路</t>
  </si>
  <si>
    <t>160100187358</t>
  </si>
  <si>
    <t>幸福供电所公变10KV线路</t>
  </si>
  <si>
    <t>160100187359</t>
  </si>
  <si>
    <t>幸福供电所公变低压线路</t>
  </si>
  <si>
    <t>160100187360</t>
  </si>
  <si>
    <t>幸福供电所永桂八组低压线路</t>
  </si>
  <si>
    <t>160100187362</t>
  </si>
  <si>
    <t>幸福供电所新投万寿六组低压线路</t>
  </si>
  <si>
    <t>160100187363</t>
  </si>
  <si>
    <t>蒲阳场镇2#公变低压线路</t>
  </si>
  <si>
    <t>160100187365</t>
  </si>
  <si>
    <t>蒲阳供电所双柏14组低压线路</t>
  </si>
  <si>
    <t>160100187366</t>
  </si>
  <si>
    <t>蒲阳供电所齐心4组低压线路</t>
  </si>
  <si>
    <t>160100187367</t>
  </si>
  <si>
    <t>蒲阳供电所清泉6组低压线路</t>
  </si>
  <si>
    <t>160100187368</t>
  </si>
  <si>
    <t>石羊供电所场镇2#公变低压线路</t>
  </si>
  <si>
    <t>160100187370</t>
  </si>
  <si>
    <t>石羊供电所竹瓦村12组公变低压线路</t>
  </si>
  <si>
    <t>160100187371</t>
  </si>
  <si>
    <t>160100187373</t>
  </si>
  <si>
    <t>石羊供电所古城村5组公变低压线路</t>
  </si>
  <si>
    <t>160100187375</t>
  </si>
  <si>
    <t>石羊供电所广益村3组公变低压线路</t>
  </si>
  <si>
    <t>160100187376</t>
  </si>
  <si>
    <t>160100187377</t>
  </si>
  <si>
    <t>石羊供电所广益2#公变低压线路</t>
  </si>
  <si>
    <t>160100187378</t>
  </si>
  <si>
    <t>160100187380</t>
  </si>
  <si>
    <t>石羊供电所马祖村6组公变低压线路</t>
  </si>
  <si>
    <t>160100187382</t>
  </si>
  <si>
    <t>石羊供电所天平村10组公变低压线路</t>
  </si>
  <si>
    <t>160100187384</t>
  </si>
  <si>
    <t>石羊供电所马组9组低压线路</t>
  </si>
  <si>
    <t>160100187385</t>
  </si>
  <si>
    <t>石羊供电所同心7组低压线路</t>
  </si>
  <si>
    <t>160100187386</t>
  </si>
  <si>
    <t>石羊供电所场镇5#低压线路</t>
  </si>
  <si>
    <t>160100187388</t>
  </si>
  <si>
    <t>崇义供电所海云村10组低压线路</t>
  </si>
  <si>
    <t>160100187390</t>
  </si>
  <si>
    <t>崇义供电所红源村一组公变低压线路</t>
  </si>
  <si>
    <t>160100187391</t>
  </si>
  <si>
    <t>崇义供电所永洪村6组公变低压线路</t>
  </si>
  <si>
    <t>160100187392</t>
  </si>
  <si>
    <t>160100187394</t>
  </si>
  <si>
    <t>崇义供电所双土村4组公变低压线路</t>
  </si>
  <si>
    <t>160100187396</t>
  </si>
  <si>
    <t>崇义供电所笆桥村1组1#公变低压线路</t>
  </si>
  <si>
    <t>160100187397</t>
  </si>
  <si>
    <t>崇义供电所笆桥村1组2#公变低压线路</t>
  </si>
  <si>
    <t>160100187399</t>
  </si>
  <si>
    <t>崇义供电所公平村公变低压线路</t>
  </si>
  <si>
    <t>160100187400</t>
  </si>
  <si>
    <t>崇义供电所场水公变低压线路</t>
  </si>
  <si>
    <t>160100187401</t>
  </si>
  <si>
    <t>崇义供电所罗桥村3组公变低压线路</t>
  </si>
  <si>
    <t>160100187402</t>
  </si>
  <si>
    <t>崇义镇永洪村四组公变低压线路</t>
  </si>
  <si>
    <t>160100187404</t>
  </si>
  <si>
    <t>崇义供电所下场公变低压线路</t>
  </si>
  <si>
    <t>160100187408</t>
  </si>
  <si>
    <t>隆丰镇大宝村村变低压线路</t>
  </si>
  <si>
    <t>160100187409</t>
  </si>
  <si>
    <t>隆丰镇白泥村四组公变低压线路</t>
  </si>
  <si>
    <t>160100187410</t>
  </si>
  <si>
    <t>隆丰镇白泥村村变低压线路</t>
  </si>
  <si>
    <t>160100187411</t>
  </si>
  <si>
    <t>10KV蒲向路</t>
  </si>
  <si>
    <t>160100187412</t>
  </si>
  <si>
    <t>蒲阳镇蟠龙村低压线路</t>
  </si>
  <si>
    <t>160100187414</t>
  </si>
  <si>
    <t>蒲阳镇南溪村低压线路</t>
  </si>
  <si>
    <t>160100187420</t>
  </si>
  <si>
    <t>隆丰镇金山村二组公变低压线路</t>
  </si>
  <si>
    <t>160100187422</t>
  </si>
  <si>
    <t>隆丰镇金山村五组公变低压线路</t>
  </si>
  <si>
    <t>160100187426</t>
  </si>
  <si>
    <t>隆丰镇幸福村五组公变低压线路</t>
  </si>
  <si>
    <t>160100187428</t>
  </si>
  <si>
    <t>隆丰镇双埝村二组公变低压线路</t>
  </si>
  <si>
    <t>160100187430</t>
  </si>
  <si>
    <t>160100187432</t>
  </si>
  <si>
    <t>隆丰镇新润村四组公变低压线路</t>
  </si>
  <si>
    <t>160100187437</t>
  </si>
  <si>
    <t>崇义镇崇义村五组公变低压线路</t>
  </si>
  <si>
    <t>160100187439</t>
  </si>
  <si>
    <t>崇义镇桂桥村一组公变低压线路</t>
  </si>
  <si>
    <t>160100187441</t>
  </si>
  <si>
    <t>10kV天隆路改造</t>
  </si>
  <si>
    <t>160100187442</t>
  </si>
  <si>
    <t>10kV胥镇二路河西支路新建</t>
  </si>
  <si>
    <t>160100187443</t>
  </si>
  <si>
    <t>10kV胥镇一、二路新建</t>
  </si>
  <si>
    <t>160100187444</t>
  </si>
  <si>
    <t>庙坪村2#公变改造低压线路</t>
  </si>
  <si>
    <t>160100187445</t>
  </si>
  <si>
    <t>定山村1#公变改造低压线路</t>
  </si>
  <si>
    <t>160100187446</t>
  </si>
  <si>
    <t>梳妆5组公变改造低压线路</t>
  </si>
  <si>
    <t>160100187448</t>
  </si>
  <si>
    <t>江安村2组公变改造低压线路</t>
  </si>
  <si>
    <t>160100187451</t>
  </si>
  <si>
    <t>海云7组公变改造低压线路</t>
  </si>
  <si>
    <t>160100187453</t>
  </si>
  <si>
    <t>界牌村八组公变改造低压线路</t>
  </si>
  <si>
    <t>160100187455</t>
  </si>
  <si>
    <t>镇江村二组公变改造低压线路</t>
  </si>
  <si>
    <t>160100187458</t>
  </si>
  <si>
    <t>飞桥村二组公变改造低压线路</t>
  </si>
  <si>
    <t>160100187460</t>
  </si>
  <si>
    <t>10kV小君路</t>
  </si>
  <si>
    <t>160100188494</t>
  </si>
  <si>
    <t>10KV柳江路</t>
  </si>
  <si>
    <t>160100192825</t>
  </si>
  <si>
    <t>隆丰供电所街村一号公变380V线路</t>
  </si>
  <si>
    <t>160100192826</t>
  </si>
  <si>
    <t>160100192827</t>
  </si>
  <si>
    <t>隆丰供电所街村二号公变380V线路</t>
  </si>
  <si>
    <t>160100192828</t>
  </si>
  <si>
    <t>160100192830</t>
  </si>
  <si>
    <t>隆丰供电所街村三号公变380V线路</t>
  </si>
  <si>
    <t>160100192832</t>
  </si>
  <si>
    <t>隆丰供电所街村四号公变380V线路</t>
  </si>
  <si>
    <t>160100192835</t>
  </si>
  <si>
    <t>丹景山镇幺店子公变380V线路</t>
  </si>
  <si>
    <t>160100192862</t>
  </si>
  <si>
    <t>10kV金桥二路1#-42#</t>
  </si>
  <si>
    <t>160100192863</t>
  </si>
  <si>
    <t>10kV金桥一路</t>
  </si>
  <si>
    <t>160100192864</t>
  </si>
  <si>
    <t>10kV虹联路</t>
  </si>
  <si>
    <t>160100192867</t>
  </si>
  <si>
    <t>10kV虹奎路江东街支路</t>
  </si>
  <si>
    <t>160100192868</t>
  </si>
  <si>
    <t>10kV虹奎路</t>
  </si>
  <si>
    <t>160100192869</t>
  </si>
  <si>
    <t>10kV虹西路翔凤路口北支路电缆</t>
  </si>
  <si>
    <t>160100192870</t>
  </si>
  <si>
    <t>10kV虹西路丽水印象环网柜-10kV虹西路中龙潭支路1#</t>
  </si>
  <si>
    <t>160100192871</t>
  </si>
  <si>
    <t>10kV虹西路馨洲苑分支箱-10kV虹西路九兴支路1#</t>
  </si>
  <si>
    <t>160100192872</t>
  </si>
  <si>
    <t>10kV虹勤路905断路器间隔-10KV勤俭开关站</t>
  </si>
  <si>
    <t>160100192873</t>
  </si>
  <si>
    <t>10kV虹民路</t>
  </si>
  <si>
    <t>160100192874</t>
  </si>
  <si>
    <t>10KV玉一路至青城桥东侧</t>
  </si>
  <si>
    <t>160100192875</t>
  </si>
  <si>
    <t>10KV玉二路出线电缆</t>
  </si>
  <si>
    <t>160100192876</t>
  </si>
  <si>
    <t>10KV虹玉路大道支13#杆至三台小区10KV开关站架空线</t>
  </si>
  <si>
    <t>160100192877</t>
  </si>
  <si>
    <t>10KV玉中路至10KV玉中路1#杆</t>
  </si>
  <si>
    <t>160100193047</t>
  </si>
  <si>
    <t>10KV天金路</t>
  </si>
  <si>
    <t>160100193048</t>
  </si>
  <si>
    <t>10KV安柳路</t>
  </si>
  <si>
    <t>160100193054</t>
  </si>
  <si>
    <t>10KV金黄路</t>
  </si>
  <si>
    <t>160100193057</t>
  </si>
  <si>
    <t>大夫村四组公变380V线路</t>
  </si>
  <si>
    <t>160100193058</t>
  </si>
  <si>
    <t>大夫村四组公变220V线路</t>
  </si>
  <si>
    <t>160100193061</t>
  </si>
  <si>
    <t>10KV泉水村7组公变380V线路</t>
  </si>
  <si>
    <t>160100193062</t>
  </si>
  <si>
    <t>通济镇杉树村八组380V线路</t>
  </si>
  <si>
    <t>160100193064</t>
  </si>
  <si>
    <t>通济镇街村2#公变380V线路</t>
  </si>
  <si>
    <t>160100193065</t>
  </si>
  <si>
    <t>160100193067</t>
  </si>
  <si>
    <t>通济镇街村3#公变380V线路</t>
  </si>
  <si>
    <t>160100193070</t>
  </si>
  <si>
    <t>通济镇街村1#公变380V线路</t>
  </si>
  <si>
    <t>160100193071</t>
  </si>
  <si>
    <t>160100193073</t>
  </si>
  <si>
    <t>通济镇羊叉村380V线路</t>
  </si>
  <si>
    <t>160100193074</t>
  </si>
  <si>
    <t>160100193075</t>
  </si>
  <si>
    <t>160100193077</t>
  </si>
  <si>
    <t>金羊村1#公变380V线路</t>
  </si>
  <si>
    <t>160100193080</t>
  </si>
  <si>
    <t>石羊场镇6#公变380V线路</t>
  </si>
  <si>
    <t>160100193081</t>
  </si>
  <si>
    <t>石羊场镇6#公变220V线路</t>
  </si>
  <si>
    <t>160100193083</t>
  </si>
  <si>
    <t>卫星1#公变380V线路</t>
  </si>
  <si>
    <t>160100193084</t>
  </si>
  <si>
    <t>卫星1#公变220V线路</t>
  </si>
  <si>
    <t>160100193085</t>
  </si>
  <si>
    <t>石羊场镇4#公变380V线路</t>
  </si>
  <si>
    <t>160100193086</t>
  </si>
  <si>
    <t>石羊场镇4#公变220V线路</t>
  </si>
  <si>
    <t>160100193088</t>
  </si>
  <si>
    <t>复兴1#公变380V线路</t>
  </si>
  <si>
    <t>160100193089</t>
  </si>
  <si>
    <t>复兴1#公变220V线路</t>
  </si>
  <si>
    <t>160100193091</t>
  </si>
  <si>
    <t>10KV金铁二路</t>
  </si>
  <si>
    <t>160100193093</t>
  </si>
  <si>
    <t>10kV金铁一路</t>
  </si>
  <si>
    <t>160100193095</t>
  </si>
  <si>
    <t>10KV崇天路</t>
  </si>
  <si>
    <t>160100193097</t>
  </si>
  <si>
    <t>红色村1#公变</t>
  </si>
  <si>
    <t>160100193099</t>
  </si>
  <si>
    <t>久红村3#公变380V线路</t>
  </si>
  <si>
    <t>160100193100</t>
  </si>
  <si>
    <t>都江社区十一组公变380V线路</t>
  </si>
  <si>
    <t>160100193101</t>
  </si>
  <si>
    <t>都江社区四组公变380V线路</t>
  </si>
  <si>
    <t>160100193103</t>
  </si>
  <si>
    <t>沙湾村四组公变380V线路</t>
  </si>
  <si>
    <t>160100193104</t>
  </si>
  <si>
    <t>10KV望江村十四组公变支路</t>
  </si>
  <si>
    <t>160100193105</t>
  </si>
  <si>
    <t>望江村十四组公变380V线路</t>
  </si>
  <si>
    <t>160100193106</t>
  </si>
  <si>
    <t>大观圆5#公变380V线路</t>
  </si>
  <si>
    <t>160100193107</t>
  </si>
  <si>
    <t>10KV西恒路</t>
  </si>
  <si>
    <t>160100193112</t>
  </si>
  <si>
    <t>柳顺2#公变380V线路</t>
  </si>
  <si>
    <t>160100193113</t>
  </si>
  <si>
    <t>柳顺2#公变220V线路</t>
  </si>
  <si>
    <t>160100193114</t>
  </si>
  <si>
    <t>嘉乐2#公变380V线路</t>
  </si>
  <si>
    <t>160100193115</t>
  </si>
  <si>
    <t>嘉乐2#公变220V线路</t>
  </si>
  <si>
    <t>160100193116</t>
  </si>
  <si>
    <t>柳顺3#公变380V线路</t>
  </si>
  <si>
    <t>160100193117</t>
  </si>
  <si>
    <t>柳顺3#公变220V线路</t>
  </si>
  <si>
    <t>160100193121</t>
  </si>
  <si>
    <t>场镇2#公变380V线路</t>
  </si>
  <si>
    <t>160100193122</t>
  </si>
  <si>
    <t>沙坪1#公变380V线路</t>
  </si>
  <si>
    <t>160100193123</t>
  </si>
  <si>
    <t>160100193125</t>
  </si>
  <si>
    <t>场镇3#公变380V线路</t>
  </si>
  <si>
    <t>160100193126</t>
  </si>
  <si>
    <t>场镇3#公变220V线路</t>
  </si>
  <si>
    <t>160100193127</t>
  </si>
  <si>
    <t>永兴11组公变380V线路</t>
  </si>
  <si>
    <t>160100193128</t>
  </si>
  <si>
    <t>永兴11组公变220V线路</t>
  </si>
  <si>
    <t>160100193129</t>
  </si>
  <si>
    <t>九龙2#公变380V线路</t>
  </si>
  <si>
    <t>160100193130</t>
  </si>
  <si>
    <t>广利8组公变380V线路</t>
  </si>
  <si>
    <t>160100193131</t>
  </si>
  <si>
    <t>梓潼4组公变380V线路</t>
  </si>
  <si>
    <t>160100193132</t>
  </si>
  <si>
    <t>梓潼4组公变220V线路</t>
  </si>
  <si>
    <t>160100193133</t>
  </si>
  <si>
    <t>红楼公变380V线路</t>
  </si>
  <si>
    <t>160100193135</t>
  </si>
  <si>
    <t>清凉村3#公变380V线路</t>
  </si>
  <si>
    <t>160100193136</t>
  </si>
  <si>
    <t>清凉村3#公变220V线路</t>
  </si>
  <si>
    <t>160100193137</t>
  </si>
  <si>
    <t>嘉乐3#公变380V线路</t>
  </si>
  <si>
    <t>160100193138</t>
  </si>
  <si>
    <t>嘉乐3#公变220V线路</t>
  </si>
  <si>
    <t>160100193139</t>
  </si>
  <si>
    <t>鹤鸣2#公变380V线路</t>
  </si>
  <si>
    <t>160100193140</t>
  </si>
  <si>
    <t>鹤鸣2#公变220V线路</t>
  </si>
  <si>
    <t>160100193141</t>
  </si>
  <si>
    <t>清凉2#公变380V线路</t>
  </si>
  <si>
    <t>160100193142</t>
  </si>
  <si>
    <t>清凉2#公变220V线路</t>
  </si>
  <si>
    <t>160100193143</t>
  </si>
  <si>
    <t>民安1#公变380V线路</t>
  </si>
  <si>
    <t>160100193144</t>
  </si>
  <si>
    <t>民安1#公变220V线路</t>
  </si>
  <si>
    <t>160100193145</t>
  </si>
  <si>
    <t>民安2#公变380V线路</t>
  </si>
  <si>
    <t>160100193146</t>
  </si>
  <si>
    <t>民安2#公变220V线路</t>
  </si>
  <si>
    <t>160100193147</t>
  </si>
  <si>
    <t>水月2#公变380V线路</t>
  </si>
  <si>
    <t>160100193148</t>
  </si>
  <si>
    <t>水月2#公变220V线路</t>
  </si>
  <si>
    <t>160100193149</t>
  </si>
  <si>
    <t>水月1#公变380V线路</t>
  </si>
  <si>
    <t>160100193150</t>
  </si>
  <si>
    <t>水月1#公变220V线路</t>
  </si>
  <si>
    <t>160100193151</t>
  </si>
  <si>
    <t>龙安2#公变380V线路</t>
  </si>
  <si>
    <t>160100193152</t>
  </si>
  <si>
    <t>龙安2#公变220V线路</t>
  </si>
  <si>
    <t>160100193153</t>
  </si>
  <si>
    <t>龙安3#公变380V线路</t>
  </si>
  <si>
    <t>160100193154</t>
  </si>
  <si>
    <t>龙安3#公变220V线路</t>
  </si>
  <si>
    <t>160100193155</t>
  </si>
  <si>
    <t>鹤鸣1#公变380V线路</t>
  </si>
  <si>
    <t>160100193156</t>
  </si>
  <si>
    <t>160100193157</t>
  </si>
  <si>
    <t>鹤鸣1#公变220V线路</t>
  </si>
  <si>
    <t>160100193158</t>
  </si>
  <si>
    <t>龙安1#公变380V线路</t>
  </si>
  <si>
    <t>160100193159</t>
  </si>
  <si>
    <t>龙安1#公变220V线路</t>
  </si>
  <si>
    <t>160100193160</t>
  </si>
  <si>
    <t>嘉乐1#公变380V线路</t>
  </si>
  <si>
    <t>160100193161</t>
  </si>
  <si>
    <t>嘉乐1#公变220V线路</t>
  </si>
  <si>
    <t>160100193162</t>
  </si>
  <si>
    <t>160100193163</t>
  </si>
  <si>
    <t>160100193164</t>
  </si>
  <si>
    <t>清凉村1#公变380V线路</t>
  </si>
  <si>
    <t>160100193165</t>
  </si>
  <si>
    <t>清凉村1#公变220V线路</t>
  </si>
  <si>
    <t>160100193167</t>
  </si>
  <si>
    <t>10KV白城路</t>
  </si>
  <si>
    <t>160100193168</t>
  </si>
  <si>
    <t>160100193169</t>
  </si>
  <si>
    <t>商业街公变380V线路</t>
  </si>
  <si>
    <t>160100195219</t>
  </si>
  <si>
    <t>10kV虹奎路奎光路公变低压台区</t>
  </si>
  <si>
    <t>160100195220</t>
  </si>
  <si>
    <t>10kV虹奎路矿贸公司公变低压台区</t>
  </si>
  <si>
    <t>160100195221</t>
  </si>
  <si>
    <t>10kV虹奎路三羊公司公变低压台区</t>
  </si>
  <si>
    <t>160100195222</t>
  </si>
  <si>
    <t>10kV虹西路塔子小区1#公变低压台区</t>
  </si>
  <si>
    <t>160100195223</t>
  </si>
  <si>
    <t>10kV虹西路西川1#公变低压台区</t>
  </si>
  <si>
    <t>160100195224</t>
  </si>
  <si>
    <t>10kV虹西路西川2#公变低压台区</t>
  </si>
  <si>
    <t>160100195225</t>
  </si>
  <si>
    <t>10kV虹西路水利公司公变低压台区</t>
  </si>
  <si>
    <t>160100195226</t>
  </si>
  <si>
    <t>10kV虹奎路团结巷支路1#-10kV虹奎路团结巷支路5#杆架空线</t>
  </si>
  <si>
    <t>160100195227</t>
  </si>
  <si>
    <t>10kV虹西路江中支路1#-10kV虹西路江中支路10#杆架空线</t>
  </si>
  <si>
    <t>160100195228</t>
  </si>
  <si>
    <t>10kV虹玉路天府大道支路25#-10kV虹玉路桥支路21#杆架空线</t>
  </si>
  <si>
    <t>160100195229</t>
  </si>
  <si>
    <t>10kV虹玉路桥支路16#-10kV虹玉路桥支路16-6#杆架空线</t>
  </si>
  <si>
    <t>160100195230</t>
  </si>
  <si>
    <t>10kV虹西路走马河支路1#-10kV虹西路走马河支路4#杆架空线</t>
  </si>
  <si>
    <t>160100195231</t>
  </si>
  <si>
    <t>10kV虹奎路奎光支路14#-10kV虹奎路观江街支路8#杆架空线</t>
  </si>
  <si>
    <t>160100195232</t>
  </si>
  <si>
    <t>10kV虹永路909断路器间隔-10KV永丰开关站电缆线路</t>
  </si>
  <si>
    <t>160100195233</t>
  </si>
  <si>
    <t>10kV胥桥路高桥开关站-10kV胥桥路桂花开关站电缆</t>
  </si>
  <si>
    <t>160100195234</t>
  </si>
  <si>
    <t>10kV胥游路903断路器间隔-10KV上游开关站电缆线路</t>
  </si>
  <si>
    <t>160100195237</t>
  </si>
  <si>
    <t>10kV青院路923开关间隔-10kV青院路1#杆电缆线路</t>
  </si>
  <si>
    <t>160100195238</t>
  </si>
  <si>
    <t>10kV胥联路913断路器间隔-10KV联盟开关站电缆线路</t>
  </si>
  <si>
    <t>160100195241</t>
  </si>
  <si>
    <t>10kV胥桥路906断路器间隔-10kV胥桥路高桥开关站电缆线路</t>
  </si>
  <si>
    <t>160100195243</t>
  </si>
  <si>
    <t>10kV灌城三路古堰春晓环网柜（备自投）-10kV胥灵路血站支路2#杆电缆线路</t>
  </si>
  <si>
    <t>160100195244</t>
  </si>
  <si>
    <t>10kV灌城三路古堰春晓支路5#-灌城三路古堰春晓环网柜（备自投）电缆线路</t>
  </si>
  <si>
    <t>160100195245</t>
  </si>
  <si>
    <t>10kV胥观路</t>
  </si>
  <si>
    <t>160100195247</t>
  </si>
  <si>
    <t>10kV灌城一路</t>
  </si>
  <si>
    <t>160100195255</t>
  </si>
  <si>
    <t>10kV胥观路解放社区公变低压台区</t>
  </si>
  <si>
    <t>160100195256</t>
  </si>
  <si>
    <t>10kV胥观路解放小区1#公变低压台区</t>
  </si>
  <si>
    <t>160100195257</t>
  </si>
  <si>
    <t>10kV胥观路解放小区2#公变低压台区</t>
  </si>
  <si>
    <t>160100195259</t>
  </si>
  <si>
    <t>10kV胥江路解放小区4#公变低压台区</t>
  </si>
  <si>
    <t>160100195260</t>
  </si>
  <si>
    <t>10kV胥江路解放小区5#公变低压台区</t>
  </si>
  <si>
    <t>160100195261</t>
  </si>
  <si>
    <t>10kV虹康路</t>
  </si>
  <si>
    <t>160100195263</t>
  </si>
  <si>
    <t>10kV白枢路田坝支路架空线路</t>
  </si>
  <si>
    <t>160100195264</t>
  </si>
  <si>
    <t>10kV白枢路田坝支路电缆线路</t>
  </si>
  <si>
    <t>160100195265</t>
  </si>
  <si>
    <t>10kV崇双路架空线路</t>
  </si>
  <si>
    <t>160100203637</t>
  </si>
  <si>
    <t>大宝村2组1#公变380V线路</t>
  </si>
  <si>
    <t>160100203638</t>
  </si>
  <si>
    <t>大宝村2组1#公变220V线路</t>
  </si>
  <si>
    <t>160100203639</t>
  </si>
  <si>
    <t>五一村二组公变380V线路</t>
  </si>
  <si>
    <t>160100203640</t>
  </si>
  <si>
    <t>五一村二组公变220V线路</t>
  </si>
  <si>
    <t>160100203641</t>
  </si>
  <si>
    <t>文家五组公变380V线路</t>
  </si>
  <si>
    <t>160100203643</t>
  </si>
  <si>
    <t>文家五组公变220V线路</t>
  </si>
  <si>
    <t>160100204730</t>
  </si>
  <si>
    <t>盘龙5组公变380V线路</t>
  </si>
  <si>
    <t>160100204731</t>
  </si>
  <si>
    <t>盘龙5组公变220V线路</t>
  </si>
  <si>
    <t>160100204732</t>
  </si>
  <si>
    <t>银杏村安置点公变380V线路</t>
  </si>
  <si>
    <t>160100204733</t>
  </si>
  <si>
    <t>银杏村安置点公变220V线路</t>
  </si>
  <si>
    <t>160100204734</t>
  </si>
  <si>
    <t>银杏村公变380V线路</t>
  </si>
  <si>
    <t>160100204735</t>
  </si>
  <si>
    <t>银杏村公变220V线路</t>
  </si>
  <si>
    <t>160100204737</t>
  </si>
  <si>
    <t>石碑村公变380V线路</t>
  </si>
  <si>
    <t>160100204738</t>
  </si>
  <si>
    <t>160100204739</t>
  </si>
  <si>
    <t>石碑村公变220V线路</t>
  </si>
  <si>
    <t>160100204740</t>
  </si>
  <si>
    <t>160100204742</t>
  </si>
  <si>
    <t>石碑村2组公变380V线路</t>
  </si>
  <si>
    <t>160100204744</t>
  </si>
  <si>
    <t>石碑村2组公变220V线路</t>
  </si>
  <si>
    <t>160100204745</t>
  </si>
  <si>
    <t>160100204746</t>
  </si>
  <si>
    <t>鹿池村公变380V线路</t>
  </si>
  <si>
    <t>160100204748</t>
  </si>
  <si>
    <t>鹿池村公变220V线路</t>
  </si>
  <si>
    <t>160100204750</t>
  </si>
  <si>
    <t>花龙村公变380V线路</t>
  </si>
  <si>
    <t>160100204751</t>
  </si>
  <si>
    <t>苏麻地公变380V线路</t>
  </si>
  <si>
    <t>160100204752</t>
  </si>
  <si>
    <t>苏麻地公变220V线路</t>
  </si>
  <si>
    <t>160100204755</t>
  </si>
  <si>
    <t>大泉村公变380V线路</t>
  </si>
  <si>
    <t>160100204756</t>
  </si>
  <si>
    <t>160100204757</t>
  </si>
  <si>
    <t>160100204758</t>
  </si>
  <si>
    <t>大泉村公变220V线路</t>
  </si>
  <si>
    <t>160100204761</t>
  </si>
  <si>
    <t>崇义永红村公变380V线路</t>
  </si>
  <si>
    <t>160100204763</t>
  </si>
  <si>
    <t>崇义永红村公变220V线路</t>
  </si>
  <si>
    <t>160100205299</t>
  </si>
  <si>
    <t>10kV胥玉路工农兵街支路工农兵街1#公变低压台区</t>
  </si>
  <si>
    <t>160100205300</t>
  </si>
  <si>
    <t>10kV胥玉路工农兵街支路工农兵街2#公变低压台区</t>
  </si>
  <si>
    <t>160100205301</t>
  </si>
  <si>
    <t>10kV胥玉路工农兵街支路工农兵街3#公变低压台区</t>
  </si>
  <si>
    <t>160100205363</t>
  </si>
  <si>
    <t>磁峰镇石门村公变380V线路</t>
  </si>
  <si>
    <t>160100205364</t>
  </si>
  <si>
    <t>磁峰镇石门村公变220V线路</t>
  </si>
  <si>
    <t>160100205365</t>
  </si>
  <si>
    <t>灌口镇万岭提灌公变380V线路</t>
  </si>
  <si>
    <t>160100205366</t>
  </si>
  <si>
    <t>灌口镇万岭提灌公变220V线路</t>
  </si>
  <si>
    <t>160100205367</t>
  </si>
  <si>
    <t>灌口镇万岭村公变220V线路</t>
  </si>
  <si>
    <t>160100205368</t>
  </si>
  <si>
    <t>灌口镇百花七组公变380V线路</t>
  </si>
  <si>
    <t>160100205369</t>
  </si>
  <si>
    <t>灌口镇百花七组公变220V线路</t>
  </si>
  <si>
    <t>160100205371</t>
  </si>
  <si>
    <t>小鱼洞镇老街公变380V线路</t>
  </si>
  <si>
    <t>160100205372</t>
  </si>
  <si>
    <t>160100205373</t>
  </si>
  <si>
    <t>小鱼洞镇老街公变220V线路</t>
  </si>
  <si>
    <t>160100205374</t>
  </si>
  <si>
    <t>160100205375</t>
  </si>
  <si>
    <t>小鱼洞镇大湾村公变380V线路</t>
  </si>
  <si>
    <t>160100205376</t>
  </si>
  <si>
    <t>160100205377</t>
  </si>
  <si>
    <t>小鱼洞镇大湾村公变220V线路</t>
  </si>
  <si>
    <t>160100205378</t>
  </si>
  <si>
    <t>160100205380</t>
  </si>
  <si>
    <t>崇义镇清流村4组公变380V线路</t>
  </si>
  <si>
    <t>160100205381</t>
  </si>
  <si>
    <t>160100205382</t>
  </si>
  <si>
    <t>160100205383</t>
  </si>
  <si>
    <t>崇义镇清流村4组公变220V线路</t>
  </si>
  <si>
    <t>160100205384</t>
  </si>
  <si>
    <t>崇义镇迎祥村公变380V线路</t>
  </si>
  <si>
    <t>160100205385</t>
  </si>
  <si>
    <t>崇义镇迎祥村公变220V线路</t>
  </si>
  <si>
    <t>160100205386</t>
  </si>
  <si>
    <t>蒲阳镇场镇公变380V线路</t>
  </si>
  <si>
    <t>160100205387</t>
  </si>
  <si>
    <t>蒲阳镇场镇公变220V线路</t>
  </si>
  <si>
    <t>160100205388</t>
  </si>
  <si>
    <t>10kV天丰路</t>
  </si>
  <si>
    <t>160100205389</t>
  </si>
  <si>
    <t>10KV香隆二路</t>
  </si>
  <si>
    <t>160100205390</t>
  </si>
  <si>
    <t>胥家镇柏河村公变380V线路</t>
  </si>
  <si>
    <t>160100205391</t>
  </si>
  <si>
    <t>胥家镇柏河村公变220V线路</t>
  </si>
  <si>
    <t>160100205394</t>
  </si>
  <si>
    <t>新店六组公变220V线路</t>
  </si>
  <si>
    <t>160100205395</t>
  </si>
  <si>
    <t>十里二组公变220V线路</t>
  </si>
  <si>
    <t>160100227262</t>
  </si>
  <si>
    <t>10kV胥都北路供电局高压配电室2#变压器路-供电局2#公变</t>
  </si>
  <si>
    <t>160100227328</t>
  </si>
  <si>
    <t>10kV胥都北路供电局高压配电室1#变压器路-供电局1#公变</t>
  </si>
  <si>
    <t>160100227478</t>
  </si>
  <si>
    <t>10kV胥都北路供电局支06#-胥都北路进线</t>
  </si>
  <si>
    <t>160100227662</t>
  </si>
  <si>
    <t>10kV胥玉路</t>
  </si>
  <si>
    <t>160100227663</t>
  </si>
  <si>
    <t>10kV蒲园四路</t>
  </si>
  <si>
    <t>160100227664</t>
  </si>
  <si>
    <t>10kV蒲园三路</t>
  </si>
  <si>
    <t>160100227665</t>
  </si>
  <si>
    <t>10kV胥联路</t>
  </si>
  <si>
    <t>160100227666</t>
  </si>
  <si>
    <t>10kV蒲堰路</t>
  </si>
  <si>
    <t>160100227667</t>
  </si>
  <si>
    <t>10kV虹景路</t>
  </si>
  <si>
    <t>160100227668</t>
  </si>
  <si>
    <t>映电花园支路2#-10kV虹康路映电花园01环网柜</t>
  </si>
  <si>
    <t>160100227669</t>
  </si>
  <si>
    <t>10kV虹康路映电花园01环网柜-10kV虹康路映电花园02环网柜</t>
  </si>
  <si>
    <t>160100227670</t>
  </si>
  <si>
    <t>10kV虹康路映电花园02环网柜-10kV虹康路映电花园03环网柜</t>
  </si>
  <si>
    <t>160100227671</t>
  </si>
  <si>
    <t>10kV虹康路映电花园01环网柜-1#箱变</t>
  </si>
  <si>
    <t>160100227672</t>
  </si>
  <si>
    <t>10kV虹康路映电花园01环网柜-2#箱变</t>
  </si>
  <si>
    <t>160100227673</t>
  </si>
  <si>
    <t>10kV虹康路映电花园02环网柜-3#箱变</t>
  </si>
  <si>
    <t>160100227674</t>
  </si>
  <si>
    <t>10kV虹康路映电花园03环网柜-6#箱变</t>
  </si>
  <si>
    <t>160100227675</t>
  </si>
  <si>
    <t>10kV虹康路映电花园03环网柜-7#箱变</t>
  </si>
  <si>
    <t>160100227676</t>
  </si>
  <si>
    <t>10kV虹康路映电花园02环网柜-4#箱变</t>
  </si>
  <si>
    <t>160100227677</t>
  </si>
  <si>
    <t>10kV虹康路映电花园03环网柜-5#箱变</t>
  </si>
  <si>
    <t>160100227678</t>
  </si>
  <si>
    <t>10kV胥灵路外北街口分支箱胥灵中旅支路-10kV胥玉路胥灵路中旅环网柜中旅支路</t>
  </si>
  <si>
    <t>160100227679</t>
  </si>
  <si>
    <t>10kV胥玉路出线电缆</t>
  </si>
  <si>
    <t>160100227680</t>
  </si>
  <si>
    <t>10kV胥玉路玉屏支路19#杆至玉屏环网柜</t>
  </si>
  <si>
    <t>160100227681</t>
  </si>
  <si>
    <t>10kV胥玉路玉屏支路至玉屏支路1#杆</t>
  </si>
  <si>
    <t>160100227682</t>
  </si>
  <si>
    <t>胥玉路精品家电分支箱-三方半二号箱变</t>
  </si>
  <si>
    <t>160100227683</t>
  </si>
  <si>
    <t>10kV胥玉路胥灵路中旅环网柜-10kV胥玉路北街分支箱</t>
  </si>
  <si>
    <t>160100227684</t>
  </si>
  <si>
    <t>10kV胥玉路北街分支箱-10kV胥玉路井福街支路01#杆</t>
  </si>
  <si>
    <t>160100227685</t>
  </si>
  <si>
    <t>10kV胥玉路十局医院分支箱-10kV胥玉路胥灵路中旅环网柜</t>
  </si>
  <si>
    <t>160100227686</t>
  </si>
  <si>
    <t>10kV胥玉路十局医院分支箱-十局医院分支箱公变</t>
  </si>
  <si>
    <t>160100227687</t>
  </si>
  <si>
    <t>10kV胥玉路玉屏分支箱-10kV胥玉路十局医院分支箱</t>
  </si>
  <si>
    <t>160100227688</t>
  </si>
  <si>
    <t>10kV胥玉路玉屏分支箱-玉屏分支箱公变</t>
  </si>
  <si>
    <t>160100227689</t>
  </si>
  <si>
    <t>10kV胥玉路玉屏环网柜-10kV胥玉路玉屏分支箱</t>
  </si>
  <si>
    <t>160100227690</t>
  </si>
  <si>
    <t>10kV胥江路瑞莲街环网柜胥江井福街支路-10kV胥江路胥玉路井福街环网柜胥江井</t>
  </si>
  <si>
    <t>160100228651</t>
  </si>
  <si>
    <t>10kV胥镇一路</t>
  </si>
  <si>
    <t>160100228652</t>
  </si>
  <si>
    <t>10kV胥都北路</t>
  </si>
  <si>
    <t>160100228653</t>
  </si>
  <si>
    <t>10kV蒲园一路</t>
  </si>
  <si>
    <t>160100228660</t>
  </si>
  <si>
    <t>10kV胥游路</t>
  </si>
  <si>
    <t>160100228661</t>
  </si>
  <si>
    <t>10kV胥桥路</t>
  </si>
  <si>
    <t>160100228728</t>
  </si>
  <si>
    <t>10kV虹联路张家湾支路01#-鹤舞青城环网柜</t>
  </si>
  <si>
    <t>160100228733</t>
  </si>
  <si>
    <t>10kV虹宾路</t>
  </si>
  <si>
    <t>160100228734</t>
  </si>
  <si>
    <t>10kV虹天路</t>
  </si>
  <si>
    <t>160100228737</t>
  </si>
  <si>
    <t>10kV翠朝路</t>
  </si>
  <si>
    <t>160100228738</t>
  </si>
  <si>
    <t>10kV小济路</t>
  </si>
  <si>
    <t>160100228739</t>
  </si>
  <si>
    <t>10kV蒲驾路</t>
  </si>
  <si>
    <t>160100228740</t>
  </si>
  <si>
    <t>10kV唐大路</t>
  </si>
  <si>
    <t>160100228741</t>
  </si>
  <si>
    <t>10kV石四路</t>
  </si>
  <si>
    <t>160100228883</t>
  </si>
  <si>
    <t>10kV灌宁路</t>
  </si>
  <si>
    <t>160100228903</t>
  </si>
  <si>
    <t>10kV白江路</t>
  </si>
  <si>
    <t>160100228906</t>
  </si>
  <si>
    <t>10kV灌八路</t>
  </si>
  <si>
    <t>160100228908</t>
  </si>
  <si>
    <t>10kV香水路</t>
  </si>
  <si>
    <t>160100228909</t>
  </si>
  <si>
    <t>10kV香九路</t>
  </si>
  <si>
    <t>160100231129</t>
  </si>
  <si>
    <t>10kV翠五路</t>
  </si>
  <si>
    <t>160100231130</t>
  </si>
  <si>
    <t>10kV蒲电路</t>
  </si>
  <si>
    <t>160100231149</t>
  </si>
  <si>
    <t>10kV蒲街路</t>
  </si>
  <si>
    <t>160100231150</t>
  </si>
  <si>
    <t>10kV胥尚路</t>
  </si>
  <si>
    <t>160100231151</t>
  </si>
  <si>
    <t>10KV胥伦路</t>
  </si>
  <si>
    <t>160100231152</t>
  </si>
  <si>
    <t>10kV虹勤路</t>
  </si>
  <si>
    <t>160100231578</t>
  </si>
  <si>
    <t>胥家镇新民村2#公变380V线路</t>
  </si>
  <si>
    <t>160100231579</t>
  </si>
  <si>
    <t>胥家镇新民村2#公变220V线路</t>
  </si>
  <si>
    <t>160100231580</t>
  </si>
  <si>
    <t>160100231581</t>
  </si>
  <si>
    <t>胥家镇马鞍6组公变380V线路</t>
  </si>
  <si>
    <t>160100231582</t>
  </si>
  <si>
    <t>160100231583</t>
  </si>
  <si>
    <t>胥家镇马鞍6组公变220V线路</t>
  </si>
  <si>
    <t>160100231584</t>
  </si>
  <si>
    <t>崇义镇石梗7组公变380V线路</t>
  </si>
  <si>
    <t>160100231585</t>
  </si>
  <si>
    <t>崇义镇石梗7组公变220V线路</t>
  </si>
  <si>
    <t>160100231586</t>
  </si>
  <si>
    <t>160100231587</t>
  </si>
  <si>
    <t>崇义镇双合3组公变380V线路</t>
  </si>
  <si>
    <t>160100231588</t>
  </si>
  <si>
    <t>崇义镇双合3组公变220V线路</t>
  </si>
  <si>
    <t>160100231589</t>
  </si>
  <si>
    <t>160100231590</t>
  </si>
  <si>
    <t>崇义镇红源村公变380V线路</t>
  </si>
  <si>
    <t>160100231591</t>
  </si>
  <si>
    <t>崇义镇红源村公变220V线路</t>
  </si>
  <si>
    <t>160100231592</t>
  </si>
  <si>
    <t>崇义镇五龙15组公变380V线路</t>
  </si>
  <si>
    <t>160100231593</t>
  </si>
  <si>
    <t>160100231594</t>
  </si>
  <si>
    <t>崇义镇五龙15组公变220V线路</t>
  </si>
  <si>
    <t>160100231595</t>
  </si>
  <si>
    <t>160100234006</t>
  </si>
  <si>
    <t>10kV站用变1#低压出线电力电缆（变压器-低压屏柜）</t>
  </si>
  <si>
    <t>160100234007</t>
  </si>
  <si>
    <t>10kV站用变2#低压出线电力电缆（变压器-低压屏柜）</t>
  </si>
  <si>
    <t>160100234966</t>
  </si>
  <si>
    <t>隆丰镇八角村二组公变380V线路</t>
  </si>
  <si>
    <t>160100234967</t>
  </si>
  <si>
    <t>隆丰镇八角村二组公变220V线路</t>
  </si>
  <si>
    <t>160100234968</t>
  </si>
  <si>
    <t>隆丰镇红旗村四组公变220V线路</t>
  </si>
  <si>
    <t>160100234969</t>
  </si>
  <si>
    <t>隆丰镇八角村四组公变380V线路</t>
  </si>
  <si>
    <t>160100234970</t>
  </si>
  <si>
    <t>隆丰镇八角村四组公变220V线路</t>
  </si>
  <si>
    <t>160100234971</t>
  </si>
  <si>
    <t>隆丰镇幸福村公变380V线路</t>
  </si>
  <si>
    <t>160100234972</t>
  </si>
  <si>
    <t>160100234973</t>
  </si>
  <si>
    <t>隆丰镇幸福村公变220V线路</t>
  </si>
  <si>
    <t>160100234974</t>
  </si>
  <si>
    <t>隆丰镇幸福村九组公变380V线路</t>
  </si>
  <si>
    <t>160100234975</t>
  </si>
  <si>
    <t>隆丰镇幸福村九组公变220V线路</t>
  </si>
  <si>
    <t>160100234976</t>
  </si>
  <si>
    <t>隆丰镇幸白泥五组公变380V线路</t>
  </si>
  <si>
    <t>160100234977</t>
  </si>
  <si>
    <t>隆丰镇幸白泥五组公变220V线路</t>
  </si>
  <si>
    <t>160100234978</t>
  </si>
  <si>
    <t>160100234979</t>
  </si>
  <si>
    <t>隆丰镇大宝村二组2#公变220V线路</t>
  </si>
  <si>
    <t>160100234980</t>
  </si>
  <si>
    <t>160100234981</t>
  </si>
  <si>
    <t>隆丰镇幸白泥四组公变380V线路</t>
  </si>
  <si>
    <t>160100234982</t>
  </si>
  <si>
    <t>隆丰镇幸白泥四组公变220V线路</t>
  </si>
  <si>
    <t>160100234983</t>
  </si>
  <si>
    <t>160100234984</t>
  </si>
  <si>
    <t>磁峰镇荷苞村公变220V线路</t>
  </si>
  <si>
    <t>160100234985</t>
  </si>
  <si>
    <t>磁峰镇花塔村3#公变380V线路</t>
  </si>
  <si>
    <t>160100234986</t>
  </si>
  <si>
    <t>磁峰镇花塔村3#公变220V线路</t>
  </si>
  <si>
    <t>160100234987</t>
  </si>
  <si>
    <t>磁峰镇鹿坪村1#公变贾家支220V线路</t>
  </si>
  <si>
    <t>160100234988</t>
  </si>
  <si>
    <t>磁峰镇鹿坪村1#公变380V线路</t>
  </si>
  <si>
    <t>160100234989</t>
  </si>
  <si>
    <t>磁峰镇鹿坪村1#公变将家支220V线路</t>
  </si>
  <si>
    <t>160100234990</t>
  </si>
  <si>
    <t>磁峰镇两叉河2#公变220V线路</t>
  </si>
  <si>
    <t>160100234991</t>
  </si>
  <si>
    <t>磁峰镇两叉河1#公变380V线路</t>
  </si>
  <si>
    <t>160100234992</t>
  </si>
  <si>
    <t>磁峰镇两叉河1#公变220V线路</t>
  </si>
  <si>
    <t>160100234993</t>
  </si>
  <si>
    <t>160100234994</t>
  </si>
  <si>
    <t>磁峰镇定山村2#公变380V线路</t>
  </si>
  <si>
    <t>160100234995</t>
  </si>
  <si>
    <t>磁峰镇定山村2#公变220V线路</t>
  </si>
  <si>
    <t>160100234996</t>
  </si>
  <si>
    <t>160100234997</t>
  </si>
  <si>
    <t>160100234998</t>
  </si>
  <si>
    <t>160100234999</t>
  </si>
  <si>
    <t>磁峰镇莲水村3#公变220V线路</t>
  </si>
  <si>
    <t>160100235000</t>
  </si>
  <si>
    <t>磁峰镇莲水村3#公变380V线路</t>
  </si>
  <si>
    <t>160100235001</t>
  </si>
  <si>
    <t>桂花镇仁和村1#公变380V线路</t>
  </si>
  <si>
    <t>160100235002</t>
  </si>
  <si>
    <t>桂花镇仁和村1#公变220V线路</t>
  </si>
  <si>
    <t>160100235003</t>
  </si>
  <si>
    <t>桂花镇仁和村2#公变380V线路</t>
  </si>
  <si>
    <t>160100235004</t>
  </si>
  <si>
    <t>桂花镇仁和村2#公变220V线路</t>
  </si>
  <si>
    <t>160100235005</t>
  </si>
  <si>
    <t>桂花镇仁和村3#公变380V线路</t>
  </si>
  <si>
    <t>160100235006</t>
  </si>
  <si>
    <t>桂花镇仁和村3#公变220V线路</t>
  </si>
  <si>
    <t>160100235007</t>
  </si>
  <si>
    <t>桂花镇龙头村3#公变380V线路</t>
  </si>
  <si>
    <t>160100235008</t>
  </si>
  <si>
    <t>桂花镇龙头村3#公变220V线路</t>
  </si>
  <si>
    <t>160100235009</t>
  </si>
  <si>
    <t>桂花镇龙头村2#公变380V线路</t>
  </si>
  <si>
    <t>160100235010</t>
  </si>
  <si>
    <t>桂花镇龙头村2#公变220V线路</t>
  </si>
  <si>
    <t>160100235011</t>
  </si>
  <si>
    <t>桂花镇供电所2#公变380V线路</t>
  </si>
  <si>
    <t>160100235012</t>
  </si>
  <si>
    <t>桂花镇供电所2#公变220V线路</t>
  </si>
  <si>
    <t>160100235013</t>
  </si>
  <si>
    <t>160100235014</t>
  </si>
  <si>
    <t>桂花镇灯塔村公变380V线路</t>
  </si>
  <si>
    <t>160100235015</t>
  </si>
  <si>
    <t>160100235016</t>
  </si>
  <si>
    <t>桂花镇灯塔村公变220V线路</t>
  </si>
  <si>
    <t>160100235017</t>
  </si>
  <si>
    <t>桂花镇豹子村2#公变380V线路</t>
  </si>
  <si>
    <t>160100235018</t>
  </si>
  <si>
    <t>桂花镇豹子村2#公变220V线路</t>
  </si>
  <si>
    <t>160100235019</t>
  </si>
  <si>
    <t>桂花镇豹子村1#公变380V线路</t>
  </si>
  <si>
    <t>160100235020</t>
  </si>
  <si>
    <t>桂花镇豹子村1#公变220V线路</t>
  </si>
  <si>
    <t>160100235021</t>
  </si>
  <si>
    <t>160100235022</t>
  </si>
  <si>
    <t>桂花镇豹子村3#公变380V线路</t>
  </si>
  <si>
    <t>160100235023</t>
  </si>
  <si>
    <t>桂花镇豹子村3#公变220V线路</t>
  </si>
  <si>
    <t>160100235024</t>
  </si>
  <si>
    <t>桂花镇瓦子中心村公变380V线路</t>
  </si>
  <si>
    <t>160100235025</t>
  </si>
  <si>
    <t>桂花镇瓦子中心村公变220V线路</t>
  </si>
  <si>
    <t>160100235026</t>
  </si>
  <si>
    <t>桂花镇高峰村1#公变380V线路</t>
  </si>
  <si>
    <t>160100235027</t>
  </si>
  <si>
    <t>桂花镇高峰村1#公变220V线路</t>
  </si>
  <si>
    <t>160100235028</t>
  </si>
  <si>
    <t>160100235029</t>
  </si>
  <si>
    <t>桂花镇高峰村2#公变380V线路</t>
  </si>
  <si>
    <t>160100235030</t>
  </si>
  <si>
    <t>桂花镇高峰村2#公变220V线路</t>
  </si>
  <si>
    <t>160100235031</t>
  </si>
  <si>
    <t>160100235032</t>
  </si>
  <si>
    <t>桂花镇念佛1#配变380V线路</t>
  </si>
  <si>
    <t>160100235033</t>
  </si>
  <si>
    <t>160100235034</t>
  </si>
  <si>
    <t>桂花镇念佛1#配变220V线路</t>
  </si>
  <si>
    <t>160100235035</t>
  </si>
  <si>
    <t>桂花镇念佛2#配变380V线路</t>
  </si>
  <si>
    <t>160100235036</t>
  </si>
  <si>
    <t>桂花镇念佛2#配变220V线路</t>
  </si>
  <si>
    <t>160100235037</t>
  </si>
  <si>
    <t>桂花镇念佛3#配变380V线路</t>
  </si>
  <si>
    <t>160100235038</t>
  </si>
  <si>
    <t>160100235039</t>
  </si>
  <si>
    <t>桂花镇念佛3#配变220V线路</t>
  </si>
  <si>
    <t>160100235040</t>
  </si>
  <si>
    <t>丹景山镇双松1#公变380V线路</t>
  </si>
  <si>
    <t>160100235041</t>
  </si>
  <si>
    <t>160100235042</t>
  </si>
  <si>
    <t>丹景山镇双松1#公变220V线路</t>
  </si>
  <si>
    <t>160100235043</t>
  </si>
  <si>
    <t>丹景山镇陈家大院公变380V线路</t>
  </si>
  <si>
    <t>160100235044</t>
  </si>
  <si>
    <t>丹景山镇陈家大院公变220V线路</t>
  </si>
  <si>
    <t>160100235045</t>
  </si>
  <si>
    <t>丹景山镇茶山1#公变380V线路</t>
  </si>
  <si>
    <t>160100235046</t>
  </si>
  <si>
    <t>丹景山镇茶山1#公变220V线路</t>
  </si>
  <si>
    <t>160100235047</t>
  </si>
  <si>
    <t>丹景山镇白塔村公变380V线路</t>
  </si>
  <si>
    <t>160100235048</t>
  </si>
  <si>
    <t>丹景山镇白塔村公变220V线路</t>
  </si>
  <si>
    <t>160100235049</t>
  </si>
  <si>
    <t>160100235050</t>
  </si>
  <si>
    <t>崇义镇积桥2#公变380V线路</t>
  </si>
  <si>
    <t>160100235051</t>
  </si>
  <si>
    <t>崇义镇积桥2#公变220V线路</t>
  </si>
  <si>
    <t>160100235052</t>
  </si>
  <si>
    <t>崇义镇罗桥3#公变380V线路</t>
  </si>
  <si>
    <t>160100235053</t>
  </si>
  <si>
    <t>崇义镇芭桥3#公变380V线路</t>
  </si>
  <si>
    <t>160100235054</t>
  </si>
  <si>
    <t>崇义镇芭桥3#公变220V线路</t>
  </si>
  <si>
    <t>160100235055</t>
  </si>
  <si>
    <t>崇义镇积桥4#公变380V线路</t>
  </si>
  <si>
    <t>160100235056</t>
  </si>
  <si>
    <t>崇义镇积桥4#公变220V线路</t>
  </si>
  <si>
    <t>160100235057</t>
  </si>
  <si>
    <t>崇义镇罗桥2#公变220V线路</t>
  </si>
  <si>
    <t>160100235058</t>
  </si>
  <si>
    <t>崇义镇吴塘12#公变380V线路</t>
  </si>
  <si>
    <t>160100235059</t>
  </si>
  <si>
    <t>崇义镇吴塘12#公变220V线路</t>
  </si>
  <si>
    <t>160100235060</t>
  </si>
  <si>
    <t>160100235061</t>
  </si>
  <si>
    <t>160100235062</t>
  </si>
  <si>
    <t>160100235063</t>
  </si>
  <si>
    <t>160100235064</t>
  </si>
  <si>
    <t>崇义镇吴塘7#公变380V线路</t>
  </si>
  <si>
    <t>160100235065</t>
  </si>
  <si>
    <t>崇义镇吴塘7#公变220V线路</t>
  </si>
  <si>
    <t>160100235066</t>
  </si>
  <si>
    <t>160100235067</t>
  </si>
  <si>
    <t>160100235068</t>
  </si>
  <si>
    <t>崇义镇吴塘4#公变380V线路</t>
  </si>
  <si>
    <t>160100235069</t>
  </si>
  <si>
    <t>崇义镇吴塘4#公变220V线路</t>
  </si>
  <si>
    <t>160100235070</t>
  </si>
  <si>
    <t>崇义镇吴塘3#公变380V线路</t>
  </si>
  <si>
    <t>160100235071</t>
  </si>
  <si>
    <t>崇义镇吴塘3#公变220V线路</t>
  </si>
  <si>
    <t>160100235072</t>
  </si>
  <si>
    <t>崇义镇吴塘中心村公变380V线路</t>
  </si>
  <si>
    <t>160100235073</t>
  </si>
  <si>
    <t>崇义镇吴塘中心村公变220V线路</t>
  </si>
  <si>
    <t>160100235405</t>
  </si>
  <si>
    <t>安龙镇东风2#公变380V线路</t>
  </si>
  <si>
    <t>160100235406</t>
  </si>
  <si>
    <t>安龙镇东风2#公变220V线路</t>
  </si>
  <si>
    <t>160100235407</t>
  </si>
  <si>
    <t>160100235408</t>
  </si>
  <si>
    <t>安龙镇三圣3#公变380V线路</t>
  </si>
  <si>
    <t>160100235409</t>
  </si>
  <si>
    <t>安龙镇三圣3#公变220V线路</t>
  </si>
  <si>
    <t>160100235410</t>
  </si>
  <si>
    <t>安龙镇三圣4组2#公变380V线路</t>
  </si>
  <si>
    <t>160100235411</t>
  </si>
  <si>
    <t>安龙镇三圣4组2#公变220V线路</t>
  </si>
  <si>
    <t>160100235412</t>
  </si>
  <si>
    <t>安龙镇铜池3#公变380V线路</t>
  </si>
  <si>
    <t>160100235413</t>
  </si>
  <si>
    <t>安龙镇铜池3#公变220V线路</t>
  </si>
  <si>
    <t>160100235414</t>
  </si>
  <si>
    <t>安龙镇铜池4#公变380V线路</t>
  </si>
  <si>
    <t>160100235415</t>
  </si>
  <si>
    <t>安龙镇铜池4#公变220V线路</t>
  </si>
  <si>
    <t>160100235416</t>
  </si>
  <si>
    <t>安龙镇青石1#公变380V线路</t>
  </si>
  <si>
    <t>160100235417</t>
  </si>
  <si>
    <t>160100235418</t>
  </si>
  <si>
    <t>安龙镇青石1#公变220V线路</t>
  </si>
  <si>
    <t>160100235419</t>
  </si>
  <si>
    <t>160100235420</t>
  </si>
  <si>
    <t>灌口镇金江村1组1#公变380V线路</t>
  </si>
  <si>
    <t>160100235421</t>
  </si>
  <si>
    <t>灌口镇金江村1组1#公变220V线路</t>
  </si>
  <si>
    <t>160100235422</t>
  </si>
  <si>
    <t>160100235423</t>
  </si>
  <si>
    <t>灌口镇金江村2组1#公变380V线路</t>
  </si>
  <si>
    <t>160100235424</t>
  </si>
  <si>
    <t>灌口镇金江村2组1#公变220V线路</t>
  </si>
  <si>
    <t>160100235425</t>
  </si>
  <si>
    <t>160100235426</t>
  </si>
  <si>
    <t>灌口镇金江村3组1#公变380V线路</t>
  </si>
  <si>
    <t>160100235427</t>
  </si>
  <si>
    <t>灌口镇金江村3组1#公变220V线路</t>
  </si>
  <si>
    <t>160100235428</t>
  </si>
  <si>
    <t>灌口镇金江村1组2#公变380V线路</t>
  </si>
  <si>
    <t>160100235429</t>
  </si>
  <si>
    <t>灌口镇金江村1组2#公变220V线路</t>
  </si>
  <si>
    <t>160100235430</t>
  </si>
  <si>
    <t>灌口镇金江村4组公变380V线路</t>
  </si>
  <si>
    <t>160100235431</t>
  </si>
  <si>
    <t>160100235432</t>
  </si>
  <si>
    <t>160100235433</t>
  </si>
  <si>
    <t>灌口镇金江村4组公变220V线路</t>
  </si>
  <si>
    <t>160100235434</t>
  </si>
  <si>
    <t>160100235435</t>
  </si>
  <si>
    <t>灌口镇金江村3组2#公变380V线路</t>
  </si>
  <si>
    <t>160100235436</t>
  </si>
  <si>
    <t>灌口镇金江村3组2#公变220V线路</t>
  </si>
  <si>
    <t>160100235437</t>
  </si>
  <si>
    <t>160100235438</t>
  </si>
  <si>
    <t>石羊镇天生1#公变380V线路</t>
  </si>
  <si>
    <t>160100235439</t>
  </si>
  <si>
    <t>石羊镇天生1#公变220V线路</t>
  </si>
  <si>
    <t>160100235440</t>
  </si>
  <si>
    <t>石羊镇八角2#公变380V线路</t>
  </si>
  <si>
    <t>160100235441</t>
  </si>
  <si>
    <t>石羊镇八角2#公变220V线路</t>
  </si>
  <si>
    <t>160100235442</t>
  </si>
  <si>
    <t>石羊镇八角1#公变220V线路</t>
  </si>
  <si>
    <t>160100235443</t>
  </si>
  <si>
    <t>石羊镇古城村1#公变380V线路</t>
  </si>
  <si>
    <t>160100235444</t>
  </si>
  <si>
    <t>石羊镇古城村1#公变220V线路</t>
  </si>
  <si>
    <t>160100235445</t>
  </si>
  <si>
    <t>石羊镇古城村2#公变380V线路</t>
  </si>
  <si>
    <t>160100235446</t>
  </si>
  <si>
    <t>石羊镇古城村2#公变220V线路</t>
  </si>
  <si>
    <t>160100235447</t>
  </si>
  <si>
    <t>石羊镇古城村3#公变380V线路</t>
  </si>
  <si>
    <t>160100235448</t>
  </si>
  <si>
    <t>石羊镇古城村3#公变220V线路</t>
  </si>
  <si>
    <t>160100235449</t>
  </si>
  <si>
    <t>石羊镇清林2#公变380V线路</t>
  </si>
  <si>
    <t>160100235450</t>
  </si>
  <si>
    <t>石羊镇清林2#公变220V线路</t>
  </si>
  <si>
    <t>160100235451</t>
  </si>
  <si>
    <t>160100235452</t>
  </si>
  <si>
    <t>石羊镇广益1#公变380V线路</t>
  </si>
  <si>
    <t>160100235453</t>
  </si>
  <si>
    <t>石羊镇广益1#公变220V线路</t>
  </si>
  <si>
    <t>160100235454</t>
  </si>
  <si>
    <t>160100235455</t>
  </si>
  <si>
    <t>石羊镇清水1#公变380V线路</t>
  </si>
  <si>
    <t>160100235456</t>
  </si>
  <si>
    <t>石羊镇清水1#公变220V线路</t>
  </si>
  <si>
    <t>160100235457</t>
  </si>
  <si>
    <t>160100235458</t>
  </si>
  <si>
    <t>石羊镇清水2#公变380V线路</t>
  </si>
  <si>
    <t>160100235459</t>
  </si>
  <si>
    <t>石羊镇清水2#公变220V线路</t>
  </si>
  <si>
    <t>160100235460</t>
  </si>
  <si>
    <t>石羊镇清水4#公变380V线路</t>
  </si>
  <si>
    <t>160100235461</t>
  </si>
  <si>
    <t>石羊镇清水4#公变220V线路</t>
  </si>
  <si>
    <t>160100235462</t>
  </si>
  <si>
    <t>聚源镇双合三组公变380V线路</t>
  </si>
  <si>
    <t>160100235463</t>
  </si>
  <si>
    <t>160100235464</t>
  </si>
  <si>
    <t>聚源镇双合三组公变220V线路</t>
  </si>
  <si>
    <t>160100235465</t>
  </si>
  <si>
    <t>聚源镇大合14组公变380V线路</t>
  </si>
  <si>
    <t>160100235466</t>
  </si>
  <si>
    <t>聚源镇大合3组公变380V线路</t>
  </si>
  <si>
    <t>160100235467</t>
  </si>
  <si>
    <t>聚源镇大合3组公变220V线路</t>
  </si>
  <si>
    <t>160100235468</t>
  </si>
  <si>
    <t>聚源镇大夫6组公变380V线路</t>
  </si>
  <si>
    <t>160100235469</t>
  </si>
  <si>
    <t>聚源镇大夫6组公变220V线路</t>
  </si>
  <si>
    <t>160100235470</t>
  </si>
  <si>
    <t>聚源镇大夫3组公变380V线路</t>
  </si>
  <si>
    <t>160100235471</t>
  </si>
  <si>
    <t>聚源镇大夫3组公变220V线路</t>
  </si>
  <si>
    <t>160100235472</t>
  </si>
  <si>
    <t>160100235473</t>
  </si>
  <si>
    <t>聚源镇双合五组公变380V线路</t>
  </si>
  <si>
    <t>160100235474</t>
  </si>
  <si>
    <t>160100235475</t>
  </si>
  <si>
    <t>聚源镇双合五组公变220V线路</t>
  </si>
  <si>
    <t>160100235476</t>
  </si>
  <si>
    <t>桂花镇东方瓷厂支10KV线路</t>
  </si>
  <si>
    <t>160100235477</t>
  </si>
  <si>
    <t>桂花镇豹子1号、2号支10KV线路</t>
  </si>
  <si>
    <t>160100235478</t>
  </si>
  <si>
    <t>桂花镇瓦子中心村配变支10KV线路</t>
  </si>
  <si>
    <t>160100235479</t>
  </si>
  <si>
    <t>桂花镇白塔村配变支10KV线路</t>
  </si>
  <si>
    <t>160100235480</t>
  </si>
  <si>
    <t>丹景山镇双松1#公变10KV线路</t>
  </si>
  <si>
    <t>160100235481</t>
  </si>
  <si>
    <t>崇义镇罗桥3#公变10KV线路</t>
  </si>
  <si>
    <t>160100235482</t>
  </si>
  <si>
    <t>崇义镇吴塘3#公变10KV线路</t>
  </si>
  <si>
    <t>160100237081</t>
  </si>
  <si>
    <t>10kV虹堂路23号起沿青城一号桥西侧电缆通道至10KV金桥一路玉支7号杆电缆</t>
  </si>
  <si>
    <t>160100237187</t>
  </si>
  <si>
    <t>10kV虹康路华侨商业城1、2号公变低压台区</t>
  </si>
  <si>
    <t>160100237188</t>
  </si>
  <si>
    <t>10kV虹奎路水厂支路</t>
  </si>
  <si>
    <t>160100237189</t>
  </si>
  <si>
    <t>10kV虹玉路安轻支路</t>
  </si>
  <si>
    <t>160100237190</t>
  </si>
  <si>
    <t>10kV虹玉路轻工校支路</t>
  </si>
  <si>
    <t>160100237191</t>
  </si>
  <si>
    <t>10kV虹太路通锦路观凤村四组8号公变低压台区</t>
  </si>
  <si>
    <t>160100237192</t>
  </si>
  <si>
    <t>城区公变台区（灌中门口公变等19台区)</t>
  </si>
  <si>
    <t>160100240956</t>
  </si>
  <si>
    <t>10kV虹堂路</t>
  </si>
  <si>
    <t>160100241004</t>
  </si>
  <si>
    <t>160100241005</t>
  </si>
  <si>
    <t>10kV香济路</t>
  </si>
  <si>
    <t>160100241038</t>
  </si>
  <si>
    <t>10kV虹玉路</t>
  </si>
  <si>
    <t>160100241109</t>
  </si>
  <si>
    <t>10kV胥灵路</t>
  </si>
  <si>
    <t>160100241120</t>
  </si>
  <si>
    <t>10kV崇双路</t>
  </si>
  <si>
    <t>160100241169</t>
  </si>
  <si>
    <t>10kV青泰路</t>
  </si>
  <si>
    <t>160100241519</t>
  </si>
  <si>
    <t>10kV金源三路</t>
  </si>
  <si>
    <t>160100242055</t>
  </si>
  <si>
    <t>柱上断路器（2台）</t>
  </si>
  <si>
    <t>160100244234</t>
  </si>
  <si>
    <t>10kV金桥二路</t>
  </si>
  <si>
    <t>160100244235</t>
  </si>
  <si>
    <t>10kV青田路</t>
  </si>
  <si>
    <t>160100244240</t>
  </si>
  <si>
    <t>160100244677</t>
  </si>
  <si>
    <t>10kV青翠路</t>
  </si>
  <si>
    <t>160100244678</t>
  </si>
  <si>
    <t>10kV青上路</t>
  </si>
  <si>
    <t>160100244679</t>
  </si>
  <si>
    <t>10kV青镇路(都江堰)</t>
  </si>
  <si>
    <t>160100244776</t>
  </si>
  <si>
    <t>10kV天金路</t>
  </si>
  <si>
    <t>160100244777</t>
  </si>
  <si>
    <t>10kV天镇路</t>
  </si>
  <si>
    <t>160100244779</t>
  </si>
  <si>
    <t>10kV崇天路</t>
  </si>
  <si>
    <t>160100244780</t>
  </si>
  <si>
    <t>10kV白虹路</t>
  </si>
  <si>
    <t>160100244783</t>
  </si>
  <si>
    <t>10kV金土路</t>
  </si>
  <si>
    <t>160100246326</t>
  </si>
  <si>
    <t>复合低压电力电缆</t>
  </si>
  <si>
    <t>160100246371</t>
  </si>
  <si>
    <t>胥家镇圣寿四组公变380V线路</t>
  </si>
  <si>
    <t>160100246372</t>
  </si>
  <si>
    <t>160100246373</t>
  </si>
  <si>
    <t>胥家镇圣寿四组公变220V线路</t>
  </si>
  <si>
    <t>160100246374</t>
  </si>
  <si>
    <t>胥家镇桂林五组公变380V线路</t>
  </si>
  <si>
    <t>160100246375</t>
  </si>
  <si>
    <t>160100246376</t>
  </si>
  <si>
    <t>胥家镇圣寿三组公变380V线路</t>
  </si>
  <si>
    <t>160100246377</t>
  </si>
  <si>
    <t>160100246378</t>
  </si>
  <si>
    <t>胥家镇圣寿三组公变220V线路</t>
  </si>
  <si>
    <t>160100246379</t>
  </si>
  <si>
    <t>聚源镇檬梓5组公变380V线路</t>
  </si>
  <si>
    <t>160100246380</t>
  </si>
  <si>
    <t>160100246381</t>
  </si>
  <si>
    <t>聚源镇檬梓5组公变220V线路</t>
  </si>
  <si>
    <t>160100246382</t>
  </si>
  <si>
    <t>隆丰镇幸福村一组公变380V线路</t>
  </si>
  <si>
    <t>160100246383</t>
  </si>
  <si>
    <t>隆丰镇幸福村一组公变220V线路</t>
  </si>
  <si>
    <t>160100246384</t>
  </si>
  <si>
    <t>隆丰镇红旗4组公变380V线路</t>
  </si>
  <si>
    <t>160100246385</t>
  </si>
  <si>
    <t>隆丰镇红旗4组公变220V线路</t>
  </si>
  <si>
    <t>160100246386</t>
  </si>
  <si>
    <t>隆丰镇幸福村五组公变380V线路</t>
  </si>
  <si>
    <t>160100246387</t>
  </si>
  <si>
    <t>160100246388</t>
  </si>
  <si>
    <t>隆丰镇幸福村五组公变220V线路</t>
  </si>
  <si>
    <t>160100246389</t>
  </si>
  <si>
    <t>隆丰镇红旗四组公变380V线路</t>
  </si>
  <si>
    <t>160100246390</t>
  </si>
  <si>
    <t>隆丰镇红旗四组公变220V线路</t>
  </si>
  <si>
    <t>160100246391</t>
  </si>
  <si>
    <t>崇义镇公平5组公变380V线路</t>
  </si>
  <si>
    <t>160100246392</t>
  </si>
  <si>
    <t>160100246393</t>
  </si>
  <si>
    <t>崇义镇公平5组公变220V线路</t>
  </si>
  <si>
    <t>160100246394</t>
  </si>
  <si>
    <t>蒲阳镇花溪6组公变380V线路</t>
  </si>
  <si>
    <t>160100246395</t>
  </si>
  <si>
    <t>蒲阳镇花溪6组公变220V线路</t>
  </si>
  <si>
    <t>160100246396</t>
  </si>
  <si>
    <t>160100246397</t>
  </si>
  <si>
    <t>胥家镇正林二组公变380V线路</t>
  </si>
  <si>
    <t>160100246398</t>
  </si>
  <si>
    <t>160100246399</t>
  </si>
  <si>
    <t>胥家镇正林二组公变220V线路</t>
  </si>
  <si>
    <t>160100246400</t>
  </si>
  <si>
    <t>160100246401</t>
  </si>
  <si>
    <t>桂花镇三圣1#公变380V线路</t>
  </si>
  <si>
    <t>160100246402</t>
  </si>
  <si>
    <t>桂花镇三圣1#公变220V线路</t>
  </si>
  <si>
    <t>160100246403</t>
  </si>
  <si>
    <t>桂花镇凉水1#公变380V线路</t>
  </si>
  <si>
    <t>160100246404</t>
  </si>
  <si>
    <t>160100246405</t>
  </si>
  <si>
    <t>桂花镇凉水1#公变220V线路</t>
  </si>
  <si>
    <t>160100246406</t>
  </si>
  <si>
    <t>桂花镇普安公变380V线路</t>
  </si>
  <si>
    <t>160100246407</t>
  </si>
  <si>
    <t>桂花镇普安公变220V线路</t>
  </si>
  <si>
    <t>160100246408</t>
  </si>
  <si>
    <t>桂花镇双红10组公变380V线路</t>
  </si>
  <si>
    <t>160100246409</t>
  </si>
  <si>
    <t>160100246410</t>
  </si>
  <si>
    <t>桂花镇双红10组公变220V线路</t>
  </si>
  <si>
    <t>160100246411</t>
  </si>
  <si>
    <t>桂花镇积善公变380V线路</t>
  </si>
  <si>
    <t>160100246412</t>
  </si>
  <si>
    <t>桂花镇积善公变220V线路</t>
  </si>
  <si>
    <t>160100246413</t>
  </si>
  <si>
    <t>桂花镇分水2#公变380V线路</t>
  </si>
  <si>
    <t>160100246414</t>
  </si>
  <si>
    <t>桂花镇分水2#公变220V线路</t>
  </si>
  <si>
    <t>160100246415</t>
  </si>
  <si>
    <t>160100246416</t>
  </si>
  <si>
    <t>160100246417</t>
  </si>
  <si>
    <t>桂花镇三圣2#公变380V线路</t>
  </si>
  <si>
    <t>160100246418</t>
  </si>
  <si>
    <t>160100246419</t>
  </si>
  <si>
    <t>桂花镇三圣2#公变220V线路</t>
  </si>
  <si>
    <t>160100246420</t>
  </si>
  <si>
    <t>桂花镇分水1#公变380V线路</t>
  </si>
  <si>
    <t>160100246421</t>
  </si>
  <si>
    <t>桂花镇分水1#公变220V线路</t>
  </si>
  <si>
    <t>160100246422</t>
  </si>
  <si>
    <t>160100246423</t>
  </si>
  <si>
    <t>桂花镇一龙8#公变380V线路</t>
  </si>
  <si>
    <t>160100246424</t>
  </si>
  <si>
    <t>桂花镇一龙8#公变220V线路</t>
  </si>
  <si>
    <t>160100246425</t>
  </si>
  <si>
    <t>160100246426</t>
  </si>
  <si>
    <t>桂花镇衡州1#公变380V线路</t>
  </si>
  <si>
    <t>160100246427</t>
  </si>
  <si>
    <t>桂花镇衡州1#公变220V线路</t>
  </si>
  <si>
    <t>160100246428</t>
  </si>
  <si>
    <t>蒲阳镇双柏14组公变380V线路</t>
  </si>
  <si>
    <t>160100246429</t>
  </si>
  <si>
    <t>蒲阳镇双柏14组公变220V线路</t>
  </si>
  <si>
    <t>160100246430</t>
  </si>
  <si>
    <t>160100246431</t>
  </si>
  <si>
    <t>蒲阳镇南溪3组公变380V线路</t>
  </si>
  <si>
    <t>160100246432</t>
  </si>
  <si>
    <t>蒲阳镇南溪3组公变220V线路</t>
  </si>
  <si>
    <t>160100246433</t>
  </si>
  <si>
    <t>160100246434</t>
  </si>
  <si>
    <t>胥家镇共和2#公变380V线路</t>
  </si>
  <si>
    <t>160100246435</t>
  </si>
  <si>
    <t>胥家镇共和2#公变220V线路</t>
  </si>
  <si>
    <t>160100246436</t>
  </si>
  <si>
    <t>160100246437</t>
  </si>
  <si>
    <t>隆丰镇幸福村三组公变380V线路</t>
  </si>
  <si>
    <t>160100246438</t>
  </si>
  <si>
    <t>160100246439</t>
  </si>
  <si>
    <t>隆丰镇双埝七组公变220V线路</t>
  </si>
  <si>
    <t>160100246440</t>
  </si>
  <si>
    <t>隆丰镇双埝八组公变380V线路</t>
  </si>
  <si>
    <t>160100246441</t>
  </si>
  <si>
    <t>160100246442</t>
  </si>
  <si>
    <t>隆丰镇双埝八组公变220V线路</t>
  </si>
  <si>
    <t>160100246443</t>
  </si>
  <si>
    <t>磁峰镇皇城村1#公变380V线路</t>
  </si>
  <si>
    <t>160100246444</t>
  </si>
  <si>
    <t>磁峰镇皇城村1#公变220V线路</t>
  </si>
  <si>
    <t>160100246445</t>
  </si>
  <si>
    <t>160100246446</t>
  </si>
  <si>
    <t>160100246447</t>
  </si>
  <si>
    <t>160100246448</t>
  </si>
  <si>
    <t>磁峰镇荷苞1#公变220V线路</t>
  </si>
  <si>
    <t>160100246449</t>
  </si>
  <si>
    <t>磁峰镇君山村公变（毛家湾）220V线路</t>
  </si>
  <si>
    <t>160100246450</t>
  </si>
  <si>
    <t>磁峰镇定山1#公变380V线路</t>
  </si>
  <si>
    <t>160100246451</t>
  </si>
  <si>
    <t>磁峰镇定山1#公变220V线路</t>
  </si>
  <si>
    <t>160100246452</t>
  </si>
  <si>
    <t>磁峰镇小石1#公变380V线路</t>
  </si>
  <si>
    <t>160100246453</t>
  </si>
  <si>
    <t>丹景山镇金华寺公变380V线路</t>
  </si>
  <si>
    <t>160100246454</t>
  </si>
  <si>
    <t>丹景山镇金华寺公变220V线路</t>
  </si>
  <si>
    <t>160100246455</t>
  </si>
  <si>
    <t>160100246456</t>
  </si>
  <si>
    <t>丹景山镇丹景山2#公变380V线路</t>
  </si>
  <si>
    <t>160100246457</t>
  </si>
  <si>
    <t>丹景山镇丹景山2#公变220V线路</t>
  </si>
  <si>
    <t>160100246458</t>
  </si>
  <si>
    <t>160100246459</t>
  </si>
  <si>
    <t>160100246460</t>
  </si>
  <si>
    <t>磁峰镇滴水村3#公变380V线路</t>
  </si>
  <si>
    <t>160100246461</t>
  </si>
  <si>
    <t>磁峰镇滴水村3#公变220V线路</t>
  </si>
  <si>
    <t>160100246462</t>
  </si>
  <si>
    <t>磁峰镇小石1#公变220V线路</t>
  </si>
  <si>
    <t>160100246463</t>
  </si>
  <si>
    <t>胥家镇歇马一组公变380V线路</t>
  </si>
  <si>
    <t>160100246464</t>
  </si>
  <si>
    <t>160100246465</t>
  </si>
  <si>
    <t>胥家镇歇马一组公变220V线路</t>
  </si>
  <si>
    <t>160100246466</t>
  </si>
  <si>
    <t>磁峰镇涌华村1#公变380V线路</t>
  </si>
  <si>
    <t>160100246467</t>
  </si>
  <si>
    <t>160100246468</t>
  </si>
  <si>
    <t>磁峰镇涌华村1#公变220V线路</t>
  </si>
  <si>
    <t>160100246469</t>
  </si>
  <si>
    <t>崇义镇界牌村十三组公变380V线路</t>
  </si>
  <si>
    <t>160100246470</t>
  </si>
  <si>
    <t>160100246471</t>
  </si>
  <si>
    <t>崇义镇界牌村十三组公变220V线路</t>
  </si>
  <si>
    <t>160100246472</t>
  </si>
  <si>
    <t>崇义镇双土村4组公变380V线路</t>
  </si>
  <si>
    <t>160100246473</t>
  </si>
  <si>
    <t>160100246474</t>
  </si>
  <si>
    <t>崇义镇双土村4组公变220V线路</t>
  </si>
  <si>
    <t>160100246475</t>
  </si>
  <si>
    <t>160100246476</t>
  </si>
  <si>
    <t>磁峰镇荷苞村1#公变380V线路</t>
  </si>
  <si>
    <t>160100246477</t>
  </si>
  <si>
    <t>磁峰镇荷苞村1#公变220V线路</t>
  </si>
  <si>
    <t>160100246478</t>
  </si>
  <si>
    <t>160100246479</t>
  </si>
  <si>
    <t>磁峰镇定山2#公变220V线路</t>
  </si>
  <si>
    <t>160100246480</t>
  </si>
  <si>
    <t>桂花镇雪岩村公变380V线路</t>
  </si>
  <si>
    <t>160100246481</t>
  </si>
  <si>
    <t>桂花镇雪岩村公变220V线路</t>
  </si>
  <si>
    <t>160100246482</t>
  </si>
  <si>
    <t>蒲阳镇旗松2组公变380V线路</t>
  </si>
  <si>
    <t>160100246483</t>
  </si>
  <si>
    <t>160100246484</t>
  </si>
  <si>
    <t>蒲阳镇旗松2组公变220V线路</t>
  </si>
  <si>
    <t>160100246507</t>
  </si>
  <si>
    <t>胥家镇实践1#公变380V线路</t>
  </si>
  <si>
    <t>160100246508</t>
  </si>
  <si>
    <t>胥家镇实践1#公变220V线路</t>
  </si>
  <si>
    <t>160100246509</t>
  </si>
  <si>
    <t>160100246510</t>
  </si>
  <si>
    <t>丹景山镇黄家磨公变380V线路</t>
  </si>
  <si>
    <t>160100246511</t>
  </si>
  <si>
    <t>丹景山镇黄家磨公变220V线路</t>
  </si>
  <si>
    <t>160100246512</t>
  </si>
  <si>
    <t>崇义镇新华村2组公变380V线路</t>
  </si>
  <si>
    <t>160100246513</t>
  </si>
  <si>
    <t>160100246514</t>
  </si>
  <si>
    <t>崇义镇新华村2组公变220V线路</t>
  </si>
  <si>
    <t>160100246515</t>
  </si>
  <si>
    <t>小鱼洞镇鱼洞村1#公变380V线路</t>
  </si>
  <si>
    <t>160100246516</t>
  </si>
  <si>
    <t>160100246517</t>
  </si>
  <si>
    <t>小鱼洞镇鱼洞村1#公变220V线路</t>
  </si>
  <si>
    <t>160100246518</t>
  </si>
  <si>
    <t>小鱼洞镇鱼洞村2#公变380V线路</t>
  </si>
  <si>
    <t>160100246519</t>
  </si>
  <si>
    <t>小鱼洞镇鱼洞村2#公变220V线路</t>
  </si>
  <si>
    <t>160100246520</t>
  </si>
  <si>
    <t>小鱼洞镇江桥村公变380V线路</t>
  </si>
  <si>
    <t>160100246521</t>
  </si>
  <si>
    <t>小鱼洞镇江桥村公变220V线路</t>
  </si>
  <si>
    <t>160100246522</t>
  </si>
  <si>
    <t>磁峰镇花坪村1#公变380V线路</t>
  </si>
  <si>
    <t>160100246523</t>
  </si>
  <si>
    <t>磁峰镇花坪村1#公变220V线路</t>
  </si>
  <si>
    <t>160100246524</t>
  </si>
  <si>
    <t>磁峰镇花塔四社公变380V线路</t>
  </si>
  <si>
    <t>160100246525</t>
  </si>
  <si>
    <t>磁峰镇花塔四社公变220V线路</t>
  </si>
  <si>
    <t>160100246778</t>
  </si>
  <si>
    <t>石羊镇大乐1#公变380V线路(15农升级)</t>
  </si>
  <si>
    <t>160100246779</t>
  </si>
  <si>
    <t>石羊镇大乐1#公变220V线路(15农升级)</t>
  </si>
  <si>
    <t>160100246780</t>
  </si>
  <si>
    <t>160100246781</t>
  </si>
  <si>
    <t>石羊镇改革1#公变380V线路(15农升级)</t>
  </si>
  <si>
    <t>160100246782</t>
  </si>
  <si>
    <t>石羊镇改革1#公变220V线路(15农升级)</t>
  </si>
  <si>
    <t>160100246783</t>
  </si>
  <si>
    <t>160100246784</t>
  </si>
  <si>
    <t>石羊镇同心2#公变380V线路(15农升级)</t>
  </si>
  <si>
    <t>160100246785</t>
  </si>
  <si>
    <t>石羊镇同心2#公变220V线路(15农升级)</t>
  </si>
  <si>
    <t>160100246786</t>
  </si>
  <si>
    <t>160100246787</t>
  </si>
  <si>
    <t>石羊镇同心3#公变380V线路(15农升级)</t>
  </si>
  <si>
    <t>160100246788</t>
  </si>
  <si>
    <t>160100246789</t>
  </si>
  <si>
    <t>160100246790</t>
  </si>
  <si>
    <t>石羊镇同心3#公变220V线路(15农升级)</t>
  </si>
  <si>
    <t>160100246791</t>
  </si>
  <si>
    <t>翠月湖镇新建二台公变380V线路(15农升级)</t>
  </si>
  <si>
    <t>160100246792</t>
  </si>
  <si>
    <t>翠月湖镇新建二台公变220V线路(15农升级)</t>
  </si>
  <si>
    <t>160100246793</t>
  </si>
  <si>
    <t>翠月湖镇新桥村二组公变380V线路(15农升级)</t>
  </si>
  <si>
    <t>160100246794</t>
  </si>
  <si>
    <t>翠月湖镇新桥村二组公变220V线路(15农升级)</t>
  </si>
  <si>
    <t>160100246795</t>
  </si>
  <si>
    <t>青城山镇尖峰1号公变380V线路(15农升级)</t>
  </si>
  <si>
    <t>160100246796</t>
  </si>
  <si>
    <t>青城山镇尖峰1号公变220V线路(15农升级)</t>
  </si>
  <si>
    <t>160100246797</t>
  </si>
  <si>
    <t>160100246798</t>
  </si>
  <si>
    <t>青城山镇香花1号公变380V线路(15农升级)</t>
  </si>
  <si>
    <t>160100246799</t>
  </si>
  <si>
    <t>160100246800</t>
  </si>
  <si>
    <t>青城山镇香花1号公变220V线路(15农升级)</t>
  </si>
  <si>
    <t>160100246801</t>
  </si>
  <si>
    <t>通济镇红山1#公变380V线路(15农升级)</t>
  </si>
  <si>
    <t>160100246802</t>
  </si>
  <si>
    <t>通济镇红山1#公变220V线路(15农升级)</t>
  </si>
  <si>
    <t>160100246803</t>
  </si>
  <si>
    <t>通济镇街村2#公变380V线路(15农升级)</t>
  </si>
  <si>
    <t>160100246804</t>
  </si>
  <si>
    <t>通济镇大坪1#公变380V线路(15农升级)</t>
  </si>
  <si>
    <t>160100246805</t>
  </si>
  <si>
    <t>通济镇大坪1#公变220V线路(15农升级)</t>
  </si>
  <si>
    <t>160100246806</t>
  </si>
  <si>
    <t>160100246807</t>
  </si>
  <si>
    <t>160100246808</t>
  </si>
  <si>
    <t>新兴镇供电所1#公变380V线路(15农升级)</t>
  </si>
  <si>
    <t>160100246809</t>
  </si>
  <si>
    <t>新兴镇供电所1#公变220V线路(15农升级)</t>
  </si>
  <si>
    <t>160100246810</t>
  </si>
  <si>
    <t>新兴镇龙怀村九组公变380V线路(15农升级)</t>
  </si>
  <si>
    <t>160100246811</t>
  </si>
  <si>
    <t>新兴镇龙怀村九组公变220V线路(15农升级)</t>
  </si>
  <si>
    <t>160100246812</t>
  </si>
  <si>
    <t>聚源镇金鸡5组公变380V线路(15农升级)</t>
  </si>
  <si>
    <t>160100246813</t>
  </si>
  <si>
    <t>160100246814</t>
  </si>
  <si>
    <t>聚源镇金鸡5组公变220V线路(15农升级)</t>
  </si>
  <si>
    <t>160100246815</t>
  </si>
  <si>
    <t>160100246816</t>
  </si>
  <si>
    <t>大观镇茶坪2#公变380V线路(15农升级)</t>
  </si>
  <si>
    <t>160100246817</t>
  </si>
  <si>
    <t>160100246818</t>
  </si>
  <si>
    <t>160100246819</t>
  </si>
  <si>
    <t>160100246820</t>
  </si>
  <si>
    <t>柳街镇清溪2#台区380V线路(15农升级)</t>
  </si>
  <si>
    <t>160100246821</t>
  </si>
  <si>
    <t>160100246822</t>
  </si>
  <si>
    <t>柳街镇清溪2#台区220V线路(15农升级)</t>
  </si>
  <si>
    <t>160100246823</t>
  </si>
  <si>
    <t>160100246824</t>
  </si>
  <si>
    <t>紫坪铺镇勇敢五组公变380V线路(15农升级)</t>
  </si>
  <si>
    <t>160100246825</t>
  </si>
  <si>
    <t>160100246826</t>
  </si>
  <si>
    <t>紫坪铺镇勇敢五组公变220V线路(15农升级)</t>
  </si>
  <si>
    <t>160100246827</t>
  </si>
  <si>
    <t>大观镇新农二组公变380V线路(15农升级)</t>
  </si>
  <si>
    <t>160100246828</t>
  </si>
  <si>
    <t>160100246829</t>
  </si>
  <si>
    <t>大观镇新农二组公变220V线路(15农升级)</t>
  </si>
  <si>
    <t>160100246830</t>
  </si>
  <si>
    <t>160100246831</t>
  </si>
  <si>
    <t>大观镇瓦窑一组公变380V线路(15农升级)</t>
  </si>
  <si>
    <t>160100246832</t>
  </si>
  <si>
    <t>大观镇瓦窑一组公变220V线路(15农升级)</t>
  </si>
  <si>
    <t>160100246833</t>
  </si>
  <si>
    <t>街子镇石梁7组公变380V线路(15农升级)</t>
  </si>
  <si>
    <t>160100246834</t>
  </si>
  <si>
    <t>街子镇石梁村公变380V线路(15农升级)</t>
  </si>
  <si>
    <t>160100246835</t>
  </si>
  <si>
    <t>160100246836</t>
  </si>
  <si>
    <t>160100246837</t>
  </si>
  <si>
    <t>街子镇石梁六组公变380V线路(15农升级)</t>
  </si>
  <si>
    <t>160100246838</t>
  </si>
  <si>
    <t>街子镇石梁六组公变220V线路(15农升级)</t>
  </si>
  <si>
    <t>160100246839</t>
  </si>
  <si>
    <t>街子镇中和九组公变380V线路(15农升级)</t>
  </si>
  <si>
    <t>160100246840</t>
  </si>
  <si>
    <t>160100246841</t>
  </si>
  <si>
    <t>街子镇中和九组公变220V线路(15农升级)</t>
  </si>
  <si>
    <t>160100246842</t>
  </si>
  <si>
    <t>街子镇唐公新村公变380V线路(15农升级)</t>
  </si>
  <si>
    <t>160100246843</t>
  </si>
  <si>
    <t>街子镇唐公新村公变220V线路(15农升级)</t>
  </si>
  <si>
    <t>160100246844</t>
  </si>
  <si>
    <t>街子镇石佛1组公变380V线路(15农升级)</t>
  </si>
  <si>
    <t>160100246845</t>
  </si>
  <si>
    <t>街子镇朝阳四组公变380V线路(15农升级)</t>
  </si>
  <si>
    <t>160100246846</t>
  </si>
  <si>
    <t>街子镇朝阳四组公变220V线路(15农升级)</t>
  </si>
  <si>
    <t>160100246847</t>
  </si>
  <si>
    <t>大观镇园林四组公变380V线路(15农升级)</t>
  </si>
  <si>
    <t>160100246848</t>
  </si>
  <si>
    <t>大观镇园林四组公变220V线路(15农升级)</t>
  </si>
  <si>
    <t>160100246849</t>
  </si>
  <si>
    <t>160100246850</t>
  </si>
  <si>
    <t>大观镇石佛四组公变380V线路(15农升级)</t>
  </si>
  <si>
    <t>160100246851</t>
  </si>
  <si>
    <t>大观镇石佛四组公变220V线路(15农升级)</t>
  </si>
  <si>
    <t>160100246852</t>
  </si>
  <si>
    <t>160100246853</t>
  </si>
  <si>
    <t>街子镇新区1#公变380V线路(15农升级)</t>
  </si>
  <si>
    <t>160100246854</t>
  </si>
  <si>
    <t>聚源镇金鸡7组公变380V线路(15农升级)</t>
  </si>
  <si>
    <t>160100246855</t>
  </si>
  <si>
    <t>160100246856</t>
  </si>
  <si>
    <t>聚源镇金鸡7组公变220V线路(15农升级)</t>
  </si>
  <si>
    <t>160100246857</t>
  </si>
  <si>
    <t>大观镇茶坪一组1#公变380V线路(15农升级)</t>
  </si>
  <si>
    <t>160100246858</t>
  </si>
  <si>
    <t>大观镇茶坪一组1#公变220V线路(15农升级)</t>
  </si>
  <si>
    <t>160100246859</t>
  </si>
  <si>
    <t>柳街镇元定1#台区380V线路(15农升级)</t>
  </si>
  <si>
    <t>160100246860</t>
  </si>
  <si>
    <t>160100246861</t>
  </si>
  <si>
    <t>柳街镇元定1#台区220V线路(15农升级)</t>
  </si>
  <si>
    <t>160100246862</t>
  </si>
  <si>
    <t>柳街镇青石2#台区380V线路(15农升级)</t>
  </si>
  <si>
    <t>160100246863</t>
  </si>
  <si>
    <t>160100246864</t>
  </si>
  <si>
    <t>柳街镇青石2#台区220V线路(15农升级)</t>
  </si>
  <si>
    <t>160100246865</t>
  </si>
  <si>
    <t>大观镇茶坪1#公变380V线路(15农升级)</t>
  </si>
  <si>
    <t>160100246866</t>
  </si>
  <si>
    <t>160100246867</t>
  </si>
  <si>
    <t>大观镇茶坪1#公变220V线路(15农升级)</t>
  </si>
  <si>
    <t>160100246868</t>
  </si>
  <si>
    <t>青城山镇飞龙7组公变380V线路(15农升级)</t>
  </si>
  <si>
    <t>160100246869</t>
  </si>
  <si>
    <t>青城山镇飞龙7组公变220V线路(15农升级)</t>
  </si>
  <si>
    <t>160100246870</t>
  </si>
  <si>
    <t>160100246871</t>
  </si>
  <si>
    <t>青城山镇尖峰2号公变380V线路(15农升级)</t>
  </si>
  <si>
    <t>160100246872</t>
  </si>
  <si>
    <t>青城山镇尖峰2号公变220V线路(15农升级)</t>
  </si>
  <si>
    <t>160100246873</t>
  </si>
  <si>
    <t>160100246874</t>
  </si>
  <si>
    <t>青城山镇双磨3号公变380V线路(15农升级)</t>
  </si>
  <si>
    <t>160100246875</t>
  </si>
  <si>
    <t>青城山镇双磨3号公变220V线路(15农升级)</t>
  </si>
  <si>
    <t>160100246876</t>
  </si>
  <si>
    <t>160100246877</t>
  </si>
  <si>
    <t>青城山镇双磨1号公变380V线路(15农升级)</t>
  </si>
  <si>
    <t>160100246878</t>
  </si>
  <si>
    <t>青城山镇双磨1号公变220V线路(15农升级)</t>
  </si>
  <si>
    <t>160100246879</t>
  </si>
  <si>
    <t>柳街镇东风3#公变380V线路(15农升级)</t>
  </si>
  <si>
    <t>160100246880</t>
  </si>
  <si>
    <t>柳街镇东风3#公变220V线路(15农升级)</t>
  </si>
  <si>
    <t>160100246881</t>
  </si>
  <si>
    <t>玉堂镇岐山村公变380V线路(15农升级)</t>
  </si>
  <si>
    <t>160100246882</t>
  </si>
  <si>
    <t>玉堂镇岐山村公变220V线路(15农升级)</t>
  </si>
  <si>
    <t>160100246883</t>
  </si>
  <si>
    <t>柳街镇青义1#公变380V线路(15农升级)</t>
  </si>
  <si>
    <t>160100246884</t>
  </si>
  <si>
    <t>柳街镇青义1#公变220V线路(15农升级)</t>
  </si>
  <si>
    <t>160100246885</t>
  </si>
  <si>
    <t>柳街镇战洪村1#公变380V线路(15农升级)</t>
  </si>
  <si>
    <t>160100246886</t>
  </si>
  <si>
    <t>柳街镇战洪村1#公变220V线路(15农升级)</t>
  </si>
  <si>
    <t>160100246887</t>
  </si>
  <si>
    <t>160100246888</t>
  </si>
  <si>
    <t>柳街镇战洪村2#公变380V线路(15农升级)</t>
  </si>
  <si>
    <t>160100246889</t>
  </si>
  <si>
    <t>柳街镇战洪村2#公变220V线路(15农升级)</t>
  </si>
  <si>
    <t>160100246890</t>
  </si>
  <si>
    <t>160100246891</t>
  </si>
  <si>
    <t>聚源镇迎祥8组公变380V线路(15农升级)</t>
  </si>
  <si>
    <t>160100246892</t>
  </si>
  <si>
    <t>聚源镇迎祥8组公变220V线路(15农升级)</t>
  </si>
  <si>
    <t>160100246893</t>
  </si>
  <si>
    <t>紫坪铺镇沙湾四组公变380V线路(15农升级)</t>
  </si>
  <si>
    <t>160100246894</t>
  </si>
  <si>
    <t>紫坪铺镇沙湾四组公变220V线路(15农升级)</t>
  </si>
  <si>
    <t>160100246895</t>
  </si>
  <si>
    <t>160100246896</t>
  </si>
  <si>
    <t>石羊镇大乐2#公变380V线路(15农升级)</t>
  </si>
  <si>
    <t>160100246897</t>
  </si>
  <si>
    <t>石羊镇大乐2#公变220V线路(15农升级)</t>
  </si>
  <si>
    <t>160100246898</t>
  </si>
  <si>
    <t>160100246899</t>
  </si>
  <si>
    <t>160100246900</t>
  </si>
  <si>
    <t>160100246901</t>
  </si>
  <si>
    <t>新兴镇供电所3#公变380V线路(15农升级)</t>
  </si>
  <si>
    <t>160100246902</t>
  </si>
  <si>
    <t>新兴镇供电所3#公变220V线路(15农升级)</t>
  </si>
  <si>
    <t>160100246903</t>
  </si>
  <si>
    <t>大观镇盐井1#公变380V线路(15农升级)</t>
  </si>
  <si>
    <t>160100246904</t>
  </si>
  <si>
    <t>160100246905</t>
  </si>
  <si>
    <t>大观镇盐井1#公变220V线路(15农升级)</t>
  </si>
  <si>
    <t>160100246906</t>
  </si>
  <si>
    <t>中兴镇梓桐五六组公变380线路(15农升级)</t>
  </si>
  <si>
    <t>160100246907</t>
  </si>
  <si>
    <t>中兴镇梓桐五六组公变220线路(15农升级)</t>
  </si>
  <si>
    <t>160100246908</t>
  </si>
  <si>
    <t>中兴镇三溪村六组公变380V线路(15农升级)</t>
  </si>
  <si>
    <t>160100246909</t>
  </si>
  <si>
    <t>160100246910</t>
  </si>
  <si>
    <t>中兴镇三溪村六组公变220V线路(15农升级)</t>
  </si>
  <si>
    <t>160100246911</t>
  </si>
  <si>
    <t>柳街镇元定村2#公变380V线路(15农升级)</t>
  </si>
  <si>
    <t>160100246912</t>
  </si>
  <si>
    <t>160100246913</t>
  </si>
  <si>
    <t>柳街镇元定村2#公变220V线路(15农升级)</t>
  </si>
  <si>
    <t>160100246914</t>
  </si>
  <si>
    <t>160100246915</t>
  </si>
  <si>
    <t>大观镇红梅2#公变380V线路(15农升级)</t>
  </si>
  <si>
    <t>160100246916</t>
  </si>
  <si>
    <t>160100246917</t>
  </si>
  <si>
    <t>大观镇红梅2#公变220V线路(15农升级)</t>
  </si>
  <si>
    <t>160100246918</t>
  </si>
  <si>
    <t>大观镇河坪2#公变380V线路(15农升级)</t>
  </si>
  <si>
    <t>160100246919</t>
  </si>
  <si>
    <t>160100246920</t>
  </si>
  <si>
    <t>大观镇河坪2#公变220V线路(15农升级)</t>
  </si>
  <si>
    <t>160100246921</t>
  </si>
  <si>
    <t>160100246922</t>
  </si>
  <si>
    <t>紫坪铺镇勇敢四组公变380V线路(15农升级)</t>
  </si>
  <si>
    <t>160100246923</t>
  </si>
  <si>
    <t>160100246924</t>
  </si>
  <si>
    <t>紫坪铺镇勇敢四组公变220V线路(15农升级)</t>
  </si>
  <si>
    <t>160100246925</t>
  </si>
  <si>
    <t>紫坪铺镇白鹤三组公变380V线路(15农升级)</t>
  </si>
  <si>
    <t>160100246926</t>
  </si>
  <si>
    <t>160100246927</t>
  </si>
  <si>
    <t>紫坪铺镇白鹤三组公变220V线路(15农升级)</t>
  </si>
  <si>
    <t>160100246928</t>
  </si>
  <si>
    <t>安龙镇柳顺村4#公变380线路(15农升级)</t>
  </si>
  <si>
    <t>160100246929</t>
  </si>
  <si>
    <t>柳街镇青石1#公变380V线路(15农升级)</t>
  </si>
  <si>
    <t>160100246930</t>
  </si>
  <si>
    <t>160100246931</t>
  </si>
  <si>
    <t>柳街镇青石1#公变220V线路(15农升级)</t>
  </si>
  <si>
    <t>160100246932</t>
  </si>
  <si>
    <t>160100246933</t>
  </si>
  <si>
    <t>柳街镇接龙1#公变380V线路(15农升级)</t>
  </si>
  <si>
    <t>160100246934</t>
  </si>
  <si>
    <t>柳街镇接龙1#公变220V线路(15农升级)</t>
  </si>
  <si>
    <t>160100246935</t>
  </si>
  <si>
    <t>大观镇烂泥村公变380V线路(15农升级)</t>
  </si>
  <si>
    <t>160100246936</t>
  </si>
  <si>
    <t>160100246937</t>
  </si>
  <si>
    <t>大观镇烂泥村公变220V线路(15农升级)</t>
  </si>
  <si>
    <t>160100246938</t>
  </si>
  <si>
    <t>160100246939</t>
  </si>
  <si>
    <t>大观镇麻岩2#公变380V线路(15农升级)</t>
  </si>
  <si>
    <t>160100246940</t>
  </si>
  <si>
    <t>160100246941</t>
  </si>
  <si>
    <t>大观镇麻岩2#公变220V线路(15农升级)</t>
  </si>
  <si>
    <t>160100246942</t>
  </si>
  <si>
    <t>紫坪铺镇紫坪四组公变380V线路(15农升级)</t>
  </si>
  <si>
    <t>160100246943</t>
  </si>
  <si>
    <t>紫坪铺镇紫坪四组公变220V线路(15农升级)</t>
  </si>
  <si>
    <t>160100246944</t>
  </si>
  <si>
    <t>紫坪铺镇紫坪村一组公变380V线路(15农升级)</t>
  </si>
  <si>
    <t>160100246945</t>
  </si>
  <si>
    <t>160100246946</t>
  </si>
  <si>
    <t>青城山镇双磨2号公变380V线路(15农升级)</t>
  </si>
  <si>
    <t>160100246947</t>
  </si>
  <si>
    <t>160100246948</t>
  </si>
  <si>
    <t>青城山镇双磨2号公变220V线路(15农升级)</t>
  </si>
  <si>
    <t>160100246949</t>
  </si>
  <si>
    <t>石羊镇大乐1#公变10KV支路(15农升级)</t>
  </si>
  <si>
    <t>160100246950</t>
  </si>
  <si>
    <t>翠月湖镇新桥村二组公变10KV支路(15农升级)</t>
  </si>
  <si>
    <t>160100246951</t>
  </si>
  <si>
    <t>青城山镇尖峰1号公变10KV支路(15农升级)</t>
  </si>
  <si>
    <t>160100246952</t>
  </si>
  <si>
    <t>柳街镇风安3号新增配变10KV支路(15农升级)</t>
  </si>
  <si>
    <t>160100246953</t>
  </si>
  <si>
    <t>街子镇唐公新村公变10KV支路(15农升级)</t>
  </si>
  <si>
    <t>160100246954</t>
  </si>
  <si>
    <t>街子镇新区1#公变10KV支路(15农升级)</t>
  </si>
  <si>
    <t>160100246955</t>
  </si>
  <si>
    <t>青城山镇飞龙7组公变10KV支路(15农升级)</t>
  </si>
  <si>
    <t>160100246956</t>
  </si>
  <si>
    <t>青城山镇尖峰2号公变10KV支路(15农升级)</t>
  </si>
  <si>
    <t>160100246957</t>
  </si>
  <si>
    <t>青城山镇双磨3号公变10KV支路(15农升级)</t>
  </si>
  <si>
    <t>160100246958</t>
  </si>
  <si>
    <t>玉堂镇岐山村公变10KV支路(15农升级)</t>
  </si>
  <si>
    <t>160100246959</t>
  </si>
  <si>
    <t>中兴镇梓桐五六组公变10KV支路(15农升级)</t>
  </si>
  <si>
    <t>160100246960</t>
  </si>
  <si>
    <t>中兴镇三溪村六组公变10KV支路(15农升级)</t>
  </si>
  <si>
    <t>160100246961</t>
  </si>
  <si>
    <t>大观镇红梅2#公变10KV支路(15农升级)</t>
  </si>
  <si>
    <t>160100246962</t>
  </si>
  <si>
    <t>安龙镇柳顺村4#公变10KV支路(15农升级)</t>
  </si>
  <si>
    <t>160100246963</t>
  </si>
  <si>
    <t>大观镇麻岩2#公变10KV支路(15农升级)</t>
  </si>
  <si>
    <t>160100246964</t>
  </si>
  <si>
    <t>青城山镇双磨2号公变10KV支路(15农升级)</t>
  </si>
  <si>
    <t>160100249693</t>
  </si>
  <si>
    <t>生技线路技改I-7#电缆</t>
  </si>
  <si>
    <t>160100249694</t>
  </si>
  <si>
    <t>10KV城中路(玉支线)</t>
  </si>
  <si>
    <t>160100249695</t>
  </si>
  <si>
    <t>160100249696</t>
  </si>
  <si>
    <t>10KV城纸路</t>
  </si>
  <si>
    <t>160100249697</t>
  </si>
  <si>
    <t>10kV城胥路柏木河桥环网柜</t>
  </si>
  <si>
    <t>160100249698</t>
  </si>
  <si>
    <t>160100249699</t>
  </si>
  <si>
    <t>160100249700</t>
  </si>
  <si>
    <t>10KV金陵村五组安置点线路</t>
  </si>
  <si>
    <t>160100249701</t>
  </si>
  <si>
    <t>10KV金陵村七组安置点二线路</t>
  </si>
  <si>
    <t>160100249702</t>
  </si>
  <si>
    <t>10KV金陵村八组安置点三线路</t>
  </si>
  <si>
    <t>160100249703</t>
  </si>
  <si>
    <t>10KV金陵村十组金灌苑线路</t>
  </si>
  <si>
    <t>160100249704</t>
  </si>
  <si>
    <t>10KV金陵村十二组金盆花园线路</t>
  </si>
  <si>
    <t>160100249705</t>
  </si>
  <si>
    <t>10KV金华村二组夏家大园线路</t>
  </si>
  <si>
    <t>160100249706</t>
  </si>
  <si>
    <t>10KV金华村三组安置点一线路</t>
  </si>
  <si>
    <t>160100249707</t>
  </si>
  <si>
    <t>10KV金华村四组安置点二线路</t>
  </si>
  <si>
    <t>160100249708</t>
  </si>
  <si>
    <t>10KV金华村七.八组安置点四线路</t>
  </si>
  <si>
    <t>160100249709</t>
  </si>
  <si>
    <t>10KV金华村十三组张家院子线路</t>
  </si>
  <si>
    <t>160100249710</t>
  </si>
  <si>
    <t>10KV金玉村五.六组岳家大院线路</t>
  </si>
  <si>
    <t>160100249711</t>
  </si>
  <si>
    <t>10KV绿凤村一组安置点一线路</t>
  </si>
  <si>
    <t>160100249712</t>
  </si>
  <si>
    <t>10KV泰安9组李家坪线路</t>
  </si>
  <si>
    <t>160100249713</t>
  </si>
  <si>
    <t>10KV沙坪村2组锅底沱线路</t>
  </si>
  <si>
    <t>160100249714</t>
  </si>
  <si>
    <t>10KV五里村七组黄包沟线路</t>
  </si>
  <si>
    <t>160100249715</t>
  </si>
  <si>
    <t>10KV泰安村3组线路</t>
  </si>
  <si>
    <t>160100249716</t>
  </si>
  <si>
    <t>10KV沙坪村七组大水井线路</t>
  </si>
  <si>
    <t>160100249717</t>
  </si>
  <si>
    <t>10KV清田村13组线路</t>
  </si>
  <si>
    <t>160100249718</t>
  </si>
  <si>
    <t>10KV望江村11组安置点线路</t>
  </si>
  <si>
    <t>160100249719</t>
  </si>
  <si>
    <t>10KV都江社区5组线路</t>
  </si>
  <si>
    <t>160100249720</t>
  </si>
  <si>
    <t>10KV都江社区7组线路</t>
  </si>
  <si>
    <t>160100249721</t>
  </si>
  <si>
    <t>10KV望江村10组安置点线路</t>
  </si>
  <si>
    <t>160100249722</t>
  </si>
  <si>
    <t>10KV南岳4组安置点线路</t>
  </si>
  <si>
    <t>160100249723</t>
  </si>
  <si>
    <t>10KV五桂五组线路</t>
  </si>
  <si>
    <t>160100249724</t>
  </si>
  <si>
    <t>10KV民兴宋家巷子线路</t>
  </si>
  <si>
    <t>160100249725</t>
  </si>
  <si>
    <t>10KV丰乐7组线路</t>
  </si>
  <si>
    <t>160100249726</t>
  </si>
  <si>
    <t>10KV丰乐15组线路</t>
  </si>
  <si>
    <t>160100249727</t>
  </si>
  <si>
    <t>10KV丰乐17组线路</t>
  </si>
  <si>
    <t>160100249728</t>
  </si>
  <si>
    <t>10KV徐渡1组线路</t>
  </si>
  <si>
    <t>160100249729</t>
  </si>
  <si>
    <t>10KV天平7组线路</t>
  </si>
  <si>
    <t>160100249730</t>
  </si>
  <si>
    <t>10KV卫星村配电线路</t>
  </si>
  <si>
    <t>160100249731</t>
  </si>
  <si>
    <t>10KV何家6、7组安置点线路</t>
  </si>
  <si>
    <t>160100249732</t>
  </si>
  <si>
    <t>10KV东义1组安置点配电线路</t>
  </si>
  <si>
    <t>160100249733</t>
  </si>
  <si>
    <t>10KV东义6组安置点配电线路</t>
  </si>
  <si>
    <t>160100249734</t>
  </si>
  <si>
    <t>10KV东义15组安置点配电线路</t>
  </si>
  <si>
    <t>160100249735</t>
  </si>
  <si>
    <t>10KV成青社区15组安置点线路</t>
  </si>
  <si>
    <t>160100249736</t>
  </si>
  <si>
    <t>10KV龙凤村财神古镇配电线路</t>
  </si>
  <si>
    <t>160100249737</t>
  </si>
  <si>
    <t>10KV永兴四组配电线路</t>
  </si>
  <si>
    <t>160100249738</t>
  </si>
  <si>
    <t>10KV银杏3#安置点配电线路</t>
  </si>
  <si>
    <t>160100249739</t>
  </si>
  <si>
    <t>10KV银杏5#安置点配电线路</t>
  </si>
  <si>
    <t>160100249740</t>
  </si>
  <si>
    <t>10KV实新村10组线路</t>
  </si>
  <si>
    <t>160100249741</t>
  </si>
  <si>
    <t>10KV实新村4组线路</t>
  </si>
  <si>
    <t>160100249742</t>
  </si>
  <si>
    <t>10KV向荣村六组肖家院子线路</t>
  </si>
  <si>
    <t>160100249743</t>
  </si>
  <si>
    <t>向荣村一组老鸭林低压线路</t>
  </si>
  <si>
    <t>160100249744</t>
  </si>
  <si>
    <t>向荣村四组曾家院子低压线路</t>
  </si>
  <si>
    <t>160100249745</t>
  </si>
  <si>
    <t>向荣村六组肖家院子低压线路</t>
  </si>
  <si>
    <t>160100249746</t>
  </si>
  <si>
    <t>二郎村十一组涌山花园低压线路</t>
  </si>
  <si>
    <t>160100249747</t>
  </si>
  <si>
    <t>金陵村二组金陵花园低压线路</t>
  </si>
  <si>
    <t>160100249748</t>
  </si>
  <si>
    <t>金陵村五组安置点一低压线路</t>
  </si>
  <si>
    <t>160100249749</t>
  </si>
  <si>
    <t>金陵村七组安置点二低压线路</t>
  </si>
  <si>
    <t>160100249750</t>
  </si>
  <si>
    <t>金陵村八组安置点三低压线路</t>
  </si>
  <si>
    <t>160100249751</t>
  </si>
  <si>
    <t>金陵村十组金灌苑低压线路</t>
  </si>
  <si>
    <t>160100249752</t>
  </si>
  <si>
    <t>金陵村十一组小筑区低压线路</t>
  </si>
  <si>
    <t>160100249753</t>
  </si>
  <si>
    <t>金陵村十二组金盆花园低压线路</t>
  </si>
  <si>
    <t>160100249754</t>
  </si>
  <si>
    <t>金华村二组夏家大园低压线路</t>
  </si>
  <si>
    <t>160100249755</t>
  </si>
  <si>
    <t>金华村三组安置点一低压线路</t>
  </si>
  <si>
    <t>160100249756</t>
  </si>
  <si>
    <t>金华村四组安置点二低压线路</t>
  </si>
  <si>
    <t>160100249757</t>
  </si>
  <si>
    <t>金华村五.六组安置点三低压线路</t>
  </si>
  <si>
    <t>160100249758</t>
  </si>
  <si>
    <t>金华村七.八组安置点四低压线路</t>
  </si>
  <si>
    <t>160100249759</t>
  </si>
  <si>
    <t>金华村九.十组安置点五低压线路</t>
  </si>
  <si>
    <t>160100249760</t>
  </si>
  <si>
    <t>金华村十三组张家院子低压线路</t>
  </si>
  <si>
    <t>160100249761</t>
  </si>
  <si>
    <t>禹王村一组砖厂低压线路</t>
  </si>
  <si>
    <t>160100249762</t>
  </si>
  <si>
    <t>禹王村五组军区低压线路</t>
  </si>
  <si>
    <t>160100249763</t>
  </si>
  <si>
    <t>禹王村七组伍家低压线路</t>
  </si>
  <si>
    <t>160100249764</t>
  </si>
  <si>
    <t>禹王村九.十组鱼塘低压线路</t>
  </si>
  <si>
    <t>160100249765</t>
  </si>
  <si>
    <t>禹王村十二组唐家院子低压线路</t>
  </si>
  <si>
    <t>160100249766</t>
  </si>
  <si>
    <t>建华村一.五.七组建华中心村低压线路</t>
  </si>
  <si>
    <t>160100249767</t>
  </si>
  <si>
    <t>建华村八组建华聚居点低压线路</t>
  </si>
  <si>
    <t>160100249768</t>
  </si>
  <si>
    <t>建华村八组高基聚居点低压线路</t>
  </si>
  <si>
    <t>160100249769</t>
  </si>
  <si>
    <t>建华村十组高基中心村低压线路</t>
  </si>
  <si>
    <t>160100249770</t>
  </si>
  <si>
    <t>金玉村九组焦家大院低压线路</t>
  </si>
  <si>
    <t>160100249771</t>
  </si>
  <si>
    <t>金玉村五.六组岳家大院低压线路</t>
  </si>
  <si>
    <t>160100249772</t>
  </si>
  <si>
    <t>沙坪村2组锅底沱低压线路</t>
  </si>
  <si>
    <t>160100249773</t>
  </si>
  <si>
    <t>黎明村4组安置点低压线路</t>
  </si>
  <si>
    <t>160100249774</t>
  </si>
  <si>
    <t>黎明村6组安置点低压线路</t>
  </si>
  <si>
    <t>160100249775</t>
  </si>
  <si>
    <t>黎明村9组安置点低压线路</t>
  </si>
  <si>
    <t>160100249776</t>
  </si>
  <si>
    <t>杨柳坪安置点低压线路</t>
  </si>
  <si>
    <t>160100249777</t>
  </si>
  <si>
    <t>望江村11组安置点低压线路</t>
  </si>
  <si>
    <t>160100249778</t>
  </si>
  <si>
    <t>都江社区1组低压线路</t>
  </si>
  <si>
    <t>160100249779</t>
  </si>
  <si>
    <t>都江社区5组低压线路</t>
  </si>
  <si>
    <t>160100249780</t>
  </si>
  <si>
    <t>都江社区7组低压线路</t>
  </si>
  <si>
    <t>160100249781</t>
  </si>
  <si>
    <t>都江社区8、9组低压线路</t>
  </si>
  <si>
    <t>160100249782</t>
  </si>
  <si>
    <t>望江村10组安置点低压线路</t>
  </si>
  <si>
    <t>160100249783</t>
  </si>
  <si>
    <t>五桂五组低压线路</t>
  </si>
  <si>
    <t>160100249784</t>
  </si>
  <si>
    <t>五桂六组低压线路</t>
  </si>
  <si>
    <t>160100249785</t>
  </si>
  <si>
    <t>清江村五组低压线路</t>
  </si>
  <si>
    <t>160100249786</t>
  </si>
  <si>
    <t>清江村八组低压线路</t>
  </si>
  <si>
    <t>160100249787</t>
  </si>
  <si>
    <t>永益八组低压线路</t>
  </si>
  <si>
    <t>160100249788</t>
  </si>
  <si>
    <t>永益四组低压线路</t>
  </si>
  <si>
    <t>160100249789</t>
  </si>
  <si>
    <t>民兴宋家巷子低压线路</t>
  </si>
  <si>
    <t>160100249790</t>
  </si>
  <si>
    <t>民兴村8组低压线路</t>
  </si>
  <si>
    <t>160100249791</t>
  </si>
  <si>
    <t>金羊3组低压线路</t>
  </si>
  <si>
    <t>160100249792</t>
  </si>
  <si>
    <t>金羊5组低压线路</t>
  </si>
  <si>
    <t>160100249793</t>
  </si>
  <si>
    <t>金羊15组低压线路</t>
  </si>
  <si>
    <t>160100249794</t>
  </si>
  <si>
    <t>金羊13组低压线路</t>
  </si>
  <si>
    <t>160100249795</t>
  </si>
  <si>
    <t>丰乐13组低压线路</t>
  </si>
  <si>
    <t>160100249796</t>
  </si>
  <si>
    <t>丰乐7组低压线路</t>
  </si>
  <si>
    <t>160100249797</t>
  </si>
  <si>
    <t>丰乐15组低压线路</t>
  </si>
  <si>
    <t>160100249798</t>
  </si>
  <si>
    <t>丰乐17组低压线路</t>
  </si>
  <si>
    <t>160100249799</t>
  </si>
  <si>
    <t>丰乐6#低压线路</t>
  </si>
  <si>
    <t>160100249800</t>
  </si>
  <si>
    <t>徐渡1组低压线路</t>
  </si>
  <si>
    <t>160100249801</t>
  </si>
  <si>
    <t>徐渡2组低压线路</t>
  </si>
  <si>
    <t>160100249802</t>
  </si>
  <si>
    <t>徐渡4组低压线路</t>
  </si>
  <si>
    <t>160100249803</t>
  </si>
  <si>
    <t>徐渡5、6组低压线路</t>
  </si>
  <si>
    <t>160100249804</t>
  </si>
  <si>
    <t>徐渡10组低压线路</t>
  </si>
  <si>
    <t>160100249805</t>
  </si>
  <si>
    <t>徐渡9、12组低压线路</t>
  </si>
  <si>
    <t>160100249806</t>
  </si>
  <si>
    <t>天平9组低压线路</t>
  </si>
  <si>
    <t>160100249807</t>
  </si>
  <si>
    <t>天平7组低压线路</t>
  </si>
  <si>
    <t>160100249808</t>
  </si>
  <si>
    <t>天平3组低压线路</t>
  </si>
  <si>
    <t>160100249809</t>
  </si>
  <si>
    <t>天平村任家院子低压线路</t>
  </si>
  <si>
    <t>160100249810</t>
  </si>
  <si>
    <t>义和村高家院子低压线路</t>
  </si>
  <si>
    <t>160100249811</t>
  </si>
  <si>
    <t>义和村9组低压线路</t>
  </si>
  <si>
    <t>160100249812</t>
  </si>
  <si>
    <t>义和村7组低压线路</t>
  </si>
  <si>
    <t>160100249813</t>
  </si>
  <si>
    <t>风堆村安置点低压线路</t>
  </si>
  <si>
    <t>160100249814</t>
  </si>
  <si>
    <t>卫星村低压线路</t>
  </si>
  <si>
    <t>160100249815</t>
  </si>
  <si>
    <t>清水14组低压线路</t>
  </si>
  <si>
    <t>160100249816</t>
  </si>
  <si>
    <t>丰乐3组低压线路</t>
  </si>
  <si>
    <t>160100249817</t>
  </si>
  <si>
    <t>泉水土地整理低压线路</t>
  </si>
  <si>
    <t>160100249818</t>
  </si>
  <si>
    <t>五龙土地整理低压线路（一）</t>
  </si>
  <si>
    <t>160100249819</t>
  </si>
  <si>
    <t>五龙土地整理低压线路（二）</t>
  </si>
  <si>
    <t>160100249820</t>
  </si>
  <si>
    <t>新民村安置点低压线路</t>
  </si>
  <si>
    <t>160100249821</t>
  </si>
  <si>
    <t>联合村4组黄金坪安置点配电低压线路</t>
  </si>
  <si>
    <t>160100249822</t>
  </si>
  <si>
    <t>吴塘安置点低压线路</t>
  </si>
  <si>
    <t>160100249823</t>
  </si>
  <si>
    <t>海云安置点低压线路</t>
  </si>
  <si>
    <t>160100249824</t>
  </si>
  <si>
    <t>桂桥安置点低压线路</t>
  </si>
  <si>
    <t>160100249825</t>
  </si>
  <si>
    <t>崇义镇江村公变10KV支路</t>
  </si>
  <si>
    <t>160100249826</t>
  </si>
  <si>
    <t>崇义镇江村公变380V线路</t>
  </si>
  <si>
    <t>160100249827</t>
  </si>
  <si>
    <t>崇义镇江村公变220V线路</t>
  </si>
  <si>
    <t>160100249828</t>
  </si>
  <si>
    <t>柳街镇辛乐二组公变380V线路</t>
  </si>
  <si>
    <t>160100249829</t>
  </si>
  <si>
    <t>160100249830</t>
  </si>
  <si>
    <t>柳街镇辛乐二组公变220V线路</t>
  </si>
  <si>
    <t>160100249831</t>
  </si>
  <si>
    <t>160100249832</t>
  </si>
  <si>
    <t>柳街镇辛乐二组公变10KV支路</t>
  </si>
  <si>
    <t>160100249833</t>
  </si>
  <si>
    <t>柳街镇辛乐二组新增公变380V线路</t>
  </si>
  <si>
    <t>160100249834</t>
  </si>
  <si>
    <t>柳街镇辛乐二组新增公变220V线路</t>
  </si>
  <si>
    <t>160100249835</t>
  </si>
  <si>
    <t>岷江村四组2#公变10KV线路支</t>
  </si>
  <si>
    <t>160100249836</t>
  </si>
  <si>
    <t>岷江村四组2#公变380V线路</t>
  </si>
  <si>
    <t>160100249837</t>
  </si>
  <si>
    <t>160100249838</t>
  </si>
  <si>
    <t>岷江村四组2#公变220V线路</t>
  </si>
  <si>
    <t>160100249839</t>
  </si>
  <si>
    <t>安龙镇三圣村公变10KV线路支</t>
  </si>
  <si>
    <t>160100249840</t>
  </si>
  <si>
    <t>安龙镇三圣村公变380V线路</t>
  </si>
  <si>
    <t>160100249841</t>
  </si>
  <si>
    <t>安龙镇三圣村公变220V线路</t>
  </si>
  <si>
    <t>160100249842</t>
  </si>
  <si>
    <t>新兴镇石梯村1#公变380V线路</t>
  </si>
  <si>
    <t>160100249843</t>
  </si>
  <si>
    <t>160100249844</t>
  </si>
  <si>
    <t>新兴镇石梯村1#公变220V线路</t>
  </si>
  <si>
    <t>160100249845</t>
  </si>
  <si>
    <t>新兴镇石梯村2#公变380V线路</t>
  </si>
  <si>
    <t>160100249846</t>
  </si>
  <si>
    <t>新兴镇石梯村2#公变220V线路</t>
  </si>
  <si>
    <t>160100249847</t>
  </si>
  <si>
    <t>160100249848</t>
  </si>
  <si>
    <t>天马镇崇金2#公变380V线路</t>
  </si>
  <si>
    <t>160100249849</t>
  </si>
  <si>
    <t>天马镇崇金2#公变220V线路</t>
  </si>
  <si>
    <t>160100249850</t>
  </si>
  <si>
    <t>天马镇长虹2#公变380V线路</t>
  </si>
  <si>
    <t>160100249851</t>
  </si>
  <si>
    <t>天马镇长虹2#公变220V线路</t>
  </si>
  <si>
    <t>160100249852</t>
  </si>
  <si>
    <t>160100249853</t>
  </si>
  <si>
    <t>天马镇二郎九组公变380V线路</t>
  </si>
  <si>
    <t>160100249854</t>
  </si>
  <si>
    <t>160100249855</t>
  </si>
  <si>
    <t>天马镇二郎九组公变220V线路</t>
  </si>
  <si>
    <t>160100249856</t>
  </si>
  <si>
    <t>160100249857</t>
  </si>
  <si>
    <t>天马镇向荣1#公变380V线路</t>
  </si>
  <si>
    <t>160100249858</t>
  </si>
  <si>
    <t>160100249859</t>
  </si>
  <si>
    <t>天马镇向荣1#公变220V线路</t>
  </si>
  <si>
    <t>160100249860</t>
  </si>
  <si>
    <t>160100249861</t>
  </si>
  <si>
    <t>天马镇长虹3#公变380V线路</t>
  </si>
  <si>
    <t>160100249862</t>
  </si>
  <si>
    <t>天马镇长虹3#公变220V线路</t>
  </si>
  <si>
    <t>160100249863</t>
  </si>
  <si>
    <t>天马镇二郎1#公变380V线路</t>
  </si>
  <si>
    <t>160100249864</t>
  </si>
  <si>
    <t>天马镇二郎1#公变220V线路</t>
  </si>
  <si>
    <t>160100249865</t>
  </si>
  <si>
    <t>天马镇涌山1#公变380V线路</t>
  </si>
  <si>
    <t>160100249866</t>
  </si>
  <si>
    <t>天马镇涌山1#公变220V线路</t>
  </si>
  <si>
    <t>160100249867</t>
  </si>
  <si>
    <t>160100249868</t>
  </si>
  <si>
    <t>天马镇金玉2#公变380V线路</t>
  </si>
  <si>
    <t>160100249869</t>
  </si>
  <si>
    <t>天马镇金玉2#公变220V线路</t>
  </si>
  <si>
    <t>160100249871</t>
  </si>
  <si>
    <t>160100249873</t>
  </si>
  <si>
    <t>天马镇金玉九组公变380V线路</t>
  </si>
  <si>
    <t>160100249875</t>
  </si>
  <si>
    <t>天马镇金玉九组公变220V线路</t>
  </si>
  <si>
    <t>160100249877</t>
  </si>
  <si>
    <t>天马镇金玉4#公变380V线路</t>
  </si>
  <si>
    <t>160100249879</t>
  </si>
  <si>
    <t>天马镇金玉4#公变220V线路</t>
  </si>
  <si>
    <t>160100249880</t>
  </si>
  <si>
    <t>青城山镇大观园8#公变10KV线路支</t>
  </si>
  <si>
    <t>160100249882</t>
  </si>
  <si>
    <t>青城山镇大观园8#公变380V线路</t>
  </si>
  <si>
    <t>160100249884</t>
  </si>
  <si>
    <t>安龙镇大乐1#公变380V线路</t>
  </si>
  <si>
    <t>160100249886</t>
  </si>
  <si>
    <t>160100249888</t>
  </si>
  <si>
    <t>安龙镇大乐1#公变220V线路</t>
  </si>
  <si>
    <t>160100249890</t>
  </si>
  <si>
    <t>160100249892</t>
  </si>
  <si>
    <t>安龙镇大乐1#公变10KV线路支</t>
  </si>
  <si>
    <t>160100249894</t>
  </si>
  <si>
    <t>安龙镇大乐2#公变380V线路</t>
  </si>
  <si>
    <t>160100249896</t>
  </si>
  <si>
    <t>160100249898</t>
  </si>
  <si>
    <t>安龙镇大乐2#公变220V线路</t>
  </si>
  <si>
    <t>160100249900</t>
  </si>
  <si>
    <t>安龙镇何家村公变380V线路</t>
  </si>
  <si>
    <t>160100249902</t>
  </si>
  <si>
    <t>安龙镇何家村公变220V线路</t>
  </si>
  <si>
    <t>160100249904</t>
  </si>
  <si>
    <t>160100249906</t>
  </si>
  <si>
    <t>160100249908</t>
  </si>
  <si>
    <t>聚源镇龙泉村公变10KV线路支</t>
  </si>
  <si>
    <t>160100249910</t>
  </si>
  <si>
    <t>聚源镇龙泉村公变380V线路</t>
  </si>
  <si>
    <t>160100249912</t>
  </si>
  <si>
    <t>聚源镇龙泉村公变220V线路</t>
  </si>
  <si>
    <t>160100249914</t>
  </si>
  <si>
    <t>安龙镇何家村公变10KV支路</t>
  </si>
  <si>
    <t>160100249916</t>
  </si>
  <si>
    <t>160100249918</t>
  </si>
  <si>
    <t>160100249920</t>
  </si>
  <si>
    <t>160100249922</t>
  </si>
  <si>
    <t>崇义镇祁原村公变10KV支路</t>
  </si>
  <si>
    <t>160100249924</t>
  </si>
  <si>
    <t>崇义镇祁原村公变380V线路</t>
  </si>
  <si>
    <t>160100249926</t>
  </si>
  <si>
    <t>160100249928</t>
  </si>
  <si>
    <t>崇义镇祁原村公变220V线路</t>
  </si>
  <si>
    <t>160100249930</t>
  </si>
  <si>
    <t>紫坪铺镇黎明村四组公变380V线路</t>
  </si>
  <si>
    <t>160100249931</t>
  </si>
  <si>
    <t>160100249933</t>
  </si>
  <si>
    <t>紫坪铺镇黎明村四组公变220V线路</t>
  </si>
  <si>
    <t>160100249935</t>
  </si>
  <si>
    <t>紫坪铺镇黎明村八组公变10KV线路支</t>
  </si>
  <si>
    <t>160100249937</t>
  </si>
  <si>
    <t>紫坪铺镇黎明村八组公变380V线路</t>
  </si>
  <si>
    <t>160100249939</t>
  </si>
  <si>
    <t>160100249941</t>
  </si>
  <si>
    <t>紫坪铺镇黎明村八组公变220V线路</t>
  </si>
  <si>
    <t>160100249943</t>
  </si>
  <si>
    <t>紫坪铺白果三组公变380V线路</t>
  </si>
  <si>
    <t>160100249945</t>
  </si>
  <si>
    <t>160100249947</t>
  </si>
  <si>
    <t>紫坪铺白果三组公变220V线路</t>
  </si>
  <si>
    <t>160100249948</t>
  </si>
  <si>
    <t>紫坪铺白果二组公变220V线路</t>
  </si>
  <si>
    <t>160100249950</t>
  </si>
  <si>
    <t>160100249952</t>
  </si>
  <si>
    <t>紫坪铺友谊6组公变380V线路</t>
  </si>
  <si>
    <t>160100249955</t>
  </si>
  <si>
    <t>紫坪铺友谊6组公变220V线路</t>
  </si>
  <si>
    <t>160100249957</t>
  </si>
  <si>
    <t>紫坪铺东岳2台公变380V线路</t>
  </si>
  <si>
    <t>160100249959</t>
  </si>
  <si>
    <t>紫坪铺东岳2台公变220V线路</t>
  </si>
  <si>
    <t>160100249960</t>
  </si>
  <si>
    <t>紫坪铺东岳2组公变380V线路</t>
  </si>
  <si>
    <t>160100249962</t>
  </si>
  <si>
    <t>紫坪铺东岳2组公变220V线路</t>
  </si>
  <si>
    <t>160100249964</t>
  </si>
  <si>
    <t>紫坪铺望江十四组公变380V线路</t>
  </si>
  <si>
    <t>160100249966</t>
  </si>
  <si>
    <t>紫坪铺望江十四组公变220V线路</t>
  </si>
  <si>
    <t>160100249968</t>
  </si>
  <si>
    <t>紫坪铺新增友谊6组公变10KV线路支</t>
  </si>
  <si>
    <t>160100249970</t>
  </si>
  <si>
    <t>紫坪铺新增友谊6组公变380V线路</t>
  </si>
  <si>
    <t>160100249972</t>
  </si>
  <si>
    <t>紫坪铺新增友谊6组公变220V线路</t>
  </si>
  <si>
    <t>160100249973</t>
  </si>
  <si>
    <t>紫坪铺白沙场镇公变10KV线路支</t>
  </si>
  <si>
    <t>160100249975</t>
  </si>
  <si>
    <t>紫坪铺白沙场镇公变380V线路</t>
  </si>
  <si>
    <t>160100249977</t>
  </si>
  <si>
    <t>紫坪铺白沙场镇公变220V线路</t>
  </si>
  <si>
    <t>160100249979</t>
  </si>
  <si>
    <t>紫坪铺深溪村1#公变380V线路</t>
  </si>
  <si>
    <t>160100249981</t>
  </si>
  <si>
    <t>紫坪铺深溪村1#公变220V线路</t>
  </si>
  <si>
    <t>160100249983</t>
  </si>
  <si>
    <t>紫坪铺光荣7组公变10KV线路支</t>
  </si>
  <si>
    <t>160100249985</t>
  </si>
  <si>
    <t>紫坪铺光荣7组公变380V线路</t>
  </si>
  <si>
    <t>160100249987</t>
  </si>
  <si>
    <t>紫坪铺光荣7组公变220V线路</t>
  </si>
  <si>
    <t>160100249989</t>
  </si>
  <si>
    <t>紫坪铺虹口7组公变10KV线路支</t>
  </si>
  <si>
    <t>160100249991</t>
  </si>
  <si>
    <t>紫坪铺虹口7组公变380V线路</t>
  </si>
  <si>
    <t>160100249993</t>
  </si>
  <si>
    <t>紫坪铺虹口7组公变220V线路</t>
  </si>
  <si>
    <t>160100249994</t>
  </si>
  <si>
    <t>紫坪铺白鹤1组公变10KV线路支</t>
  </si>
  <si>
    <t>160100249996</t>
  </si>
  <si>
    <t>紫坪铺白鹤1组公变380V线路</t>
  </si>
  <si>
    <t>160100249998</t>
  </si>
  <si>
    <t>紫坪铺白鹤1组公变220V线路</t>
  </si>
  <si>
    <t>160100250000</t>
  </si>
  <si>
    <t>紫坪铺白鹤2组公变380V线路</t>
  </si>
  <si>
    <t>160100250002</t>
  </si>
  <si>
    <t>紫坪铺白鹤2组公变220V线路</t>
  </si>
  <si>
    <t>160100250004</t>
  </si>
  <si>
    <t>紫坪铺久红2#公变380V线路</t>
  </si>
  <si>
    <t>160100250006</t>
  </si>
  <si>
    <t>紫坪铺久红2#公变220V线路</t>
  </si>
  <si>
    <t>160100250008</t>
  </si>
  <si>
    <t>紫坪铺龙池三组公变380V线路</t>
  </si>
  <si>
    <t>160100250010</t>
  </si>
  <si>
    <t>紫坪铺龙池三组公变220V线路</t>
  </si>
  <si>
    <t>160100250012</t>
  </si>
  <si>
    <t>紫坪铺红色2#公变380V线路</t>
  </si>
  <si>
    <t>160100250014</t>
  </si>
  <si>
    <t>紫坪铺红色2#公变220V线路</t>
  </si>
  <si>
    <t>160100250016</t>
  </si>
  <si>
    <t>160100250018</t>
  </si>
  <si>
    <t>160100250020</t>
  </si>
  <si>
    <t>160100250022</t>
  </si>
  <si>
    <t>160100250024</t>
  </si>
  <si>
    <t>160100250026</t>
  </si>
  <si>
    <t>160100250028</t>
  </si>
  <si>
    <t>安龙镇大乐3#公变10KV线路支</t>
  </si>
  <si>
    <t>160100250030</t>
  </si>
  <si>
    <t>安龙镇大乐3#公变380V线路</t>
  </si>
  <si>
    <t>160100250032</t>
  </si>
  <si>
    <t>160100250034</t>
  </si>
  <si>
    <t>160100250036</t>
  </si>
  <si>
    <t>安龙镇大乐3#公变220V线路</t>
  </si>
  <si>
    <t>160100250038</t>
  </si>
  <si>
    <t>安龙镇东义村3#公变380V线路</t>
  </si>
  <si>
    <t>160100250040</t>
  </si>
  <si>
    <t>160100250042</t>
  </si>
  <si>
    <t>安龙镇东义村3#公变220V线路</t>
  </si>
  <si>
    <t>160100250043</t>
  </si>
  <si>
    <t>安龙镇东义村1#公变380V线路</t>
  </si>
  <si>
    <t>160100250045</t>
  </si>
  <si>
    <t>160100250047</t>
  </si>
  <si>
    <t>安龙镇东义村1#公变220V线路</t>
  </si>
  <si>
    <t>160100250049</t>
  </si>
  <si>
    <t>安龙镇东义村新增公变380V线路</t>
  </si>
  <si>
    <t>160100250051</t>
  </si>
  <si>
    <t>安龙镇东义村新增公变220V线路</t>
  </si>
  <si>
    <t>160100250053</t>
  </si>
  <si>
    <t>安龙镇东义村15组安置点公变380V线路</t>
  </si>
  <si>
    <t>160100250055</t>
  </si>
  <si>
    <t>安龙镇东义村15组安置点公变220V线路</t>
  </si>
  <si>
    <t>160100250057</t>
  </si>
  <si>
    <t>安龙镇东义村2#公变380V线路</t>
  </si>
  <si>
    <t>160100250059</t>
  </si>
  <si>
    <t>安龙镇东义村2#公变220V线路</t>
  </si>
  <si>
    <t>160100250061</t>
  </si>
  <si>
    <t>10KV青石路东义支</t>
  </si>
  <si>
    <t>160100250063</t>
  </si>
  <si>
    <t>安龙镇东义村6组安置点公变380V线路</t>
  </si>
  <si>
    <t>160100250065</t>
  </si>
  <si>
    <t>安龙镇东义村6组安置点公变220V线路</t>
  </si>
  <si>
    <t>160100250067</t>
  </si>
  <si>
    <t>移展公变380V线路</t>
  </si>
  <si>
    <t>160100250069</t>
  </si>
  <si>
    <t>移展公变220V线路</t>
  </si>
  <si>
    <t>160100250071</t>
  </si>
  <si>
    <t>石羊镇八角1#公变380V线路</t>
  </si>
  <si>
    <t>160100250073</t>
  </si>
  <si>
    <t>160100250075</t>
  </si>
  <si>
    <t>石羊镇风堆1#公变380V线路</t>
  </si>
  <si>
    <t>160100250077</t>
  </si>
  <si>
    <t>石羊镇风堆1#公变220V线路</t>
  </si>
  <si>
    <t>160100250079</t>
  </si>
  <si>
    <t>石羊镇楠木村1#公变380V线路</t>
  </si>
  <si>
    <t>160100250081</t>
  </si>
  <si>
    <t>石羊镇楠木村1#公变220V线路</t>
  </si>
  <si>
    <t>160100250083</t>
  </si>
  <si>
    <t>石羊镇广益村1#公变380V线路</t>
  </si>
  <si>
    <t>160100250085</t>
  </si>
  <si>
    <t>石羊镇广益村1#公变220V线路</t>
  </si>
  <si>
    <t>160100250087</t>
  </si>
  <si>
    <t>石羊镇同心村1#公变10KV线路支</t>
  </si>
  <si>
    <t>160100250089</t>
  </si>
  <si>
    <t>石羊镇同心村1#公变380V线路</t>
  </si>
  <si>
    <t>160100250091</t>
  </si>
  <si>
    <t>石羊镇同心村1#公变220V线路</t>
  </si>
  <si>
    <t>160100250093</t>
  </si>
  <si>
    <t>石羊镇皂角2#公变10KV线路支</t>
  </si>
  <si>
    <t>160100250095</t>
  </si>
  <si>
    <t>石羊镇皂角2#公变380V线路</t>
  </si>
  <si>
    <t>160100250097</t>
  </si>
  <si>
    <t>石羊镇皂角2#公变220V线路</t>
  </si>
  <si>
    <t>160100250099</t>
  </si>
  <si>
    <t>石羊镇皂角1#公变380V线路</t>
  </si>
  <si>
    <t>160100250100</t>
  </si>
  <si>
    <t>石羊镇皂角1#公变220V线路</t>
  </si>
  <si>
    <t>160100250102</t>
  </si>
  <si>
    <t>10KV青林支路</t>
  </si>
  <si>
    <t>160100250104</t>
  </si>
  <si>
    <t>柳街镇金沙1#公变380V线路</t>
  </si>
  <si>
    <t>160100250106</t>
  </si>
  <si>
    <t>柳街镇金沙1#公变220V线路</t>
  </si>
  <si>
    <t>160100250108</t>
  </si>
  <si>
    <t>柳街镇金沙2#公变380V线路</t>
  </si>
  <si>
    <t>160100250110</t>
  </si>
  <si>
    <t>柳街镇金沙2#公变220V线路</t>
  </si>
  <si>
    <t>160100250112</t>
  </si>
  <si>
    <t>柳街镇万福1#公变10KV线路支</t>
  </si>
  <si>
    <t>160100250114</t>
  </si>
  <si>
    <t>柳街镇四角2#公变380V线路</t>
  </si>
  <si>
    <t>160100250116</t>
  </si>
  <si>
    <t>柳街镇四角2#公变220V线路</t>
  </si>
  <si>
    <t>160100250118</t>
  </si>
  <si>
    <t>柳街镇铜池1#公变380V线路</t>
  </si>
  <si>
    <t>160100250120</t>
  </si>
  <si>
    <t>柳街镇铜池1#公变220V线路</t>
  </si>
  <si>
    <t>160100250122</t>
  </si>
  <si>
    <t>柳街镇清溪2#公变220V线路</t>
  </si>
  <si>
    <t>160100250123</t>
  </si>
  <si>
    <t>柳街镇清溪2#公变380V线路</t>
  </si>
  <si>
    <t>160100250125</t>
  </si>
  <si>
    <t>柳街镇清溪3#公变220V线路</t>
  </si>
  <si>
    <t>160100250127</t>
  </si>
  <si>
    <t>柳街镇四角1#公变10KV线路支</t>
  </si>
  <si>
    <t>160100250129</t>
  </si>
  <si>
    <t>柳街镇四角1#公变380V线路</t>
  </si>
  <si>
    <t>160100250131</t>
  </si>
  <si>
    <t>柳街镇四角1#公变220V线路</t>
  </si>
  <si>
    <t>160100250133</t>
  </si>
  <si>
    <t>柳街镇东风1#公变10KV线路支</t>
  </si>
  <si>
    <t>160100250134</t>
  </si>
  <si>
    <t>柳街镇东风1#公变380V线路</t>
  </si>
  <si>
    <t>160100250136</t>
  </si>
  <si>
    <t>柳街镇东风1#公变220V线路</t>
  </si>
  <si>
    <t>160100250138</t>
  </si>
  <si>
    <t>160100250140</t>
  </si>
  <si>
    <t>柳街镇东风2#公变10KV线路支</t>
  </si>
  <si>
    <t>160100250142</t>
  </si>
  <si>
    <t>柳街镇东风2#公变380V线路</t>
  </si>
  <si>
    <t>160100250144</t>
  </si>
  <si>
    <t>柳街镇东风2#公变220V线路</t>
  </si>
  <si>
    <t>160100250147</t>
  </si>
  <si>
    <t>柳街镇铜池1#公变10KV线路支</t>
  </si>
  <si>
    <t>160100250149</t>
  </si>
  <si>
    <t>160100250151</t>
  </si>
  <si>
    <t>160100250153</t>
  </si>
  <si>
    <t>柳街镇铜池2#公变380V线路</t>
  </si>
  <si>
    <t>160100250155</t>
  </si>
  <si>
    <t>安龙场镇西大街公变380V线路</t>
  </si>
  <si>
    <t>160100250157</t>
  </si>
  <si>
    <t>柳街镇吉乐1#公变10KV线路支</t>
  </si>
  <si>
    <t>160100250159</t>
  </si>
  <si>
    <t>柳街镇吉乐1#公变380V线路</t>
  </si>
  <si>
    <t>160100250161</t>
  </si>
  <si>
    <t>柳街镇吉乐1#公变220V线路</t>
  </si>
  <si>
    <t>160100250163</t>
  </si>
  <si>
    <t>柳街镇双凤5组公变10KV线路支</t>
  </si>
  <si>
    <t>160100250165</t>
  </si>
  <si>
    <t>柳街镇泰安2#公变10KV线路支</t>
  </si>
  <si>
    <t>160100250167</t>
  </si>
  <si>
    <t>柳街镇泰安2#公变380V线路</t>
  </si>
  <si>
    <t>160100250169</t>
  </si>
  <si>
    <t>柳街镇泰安2#公变220V线路</t>
  </si>
  <si>
    <t>160100250171</t>
  </si>
  <si>
    <t>柳街镇铜池2#公变220V线路</t>
  </si>
  <si>
    <t>160100250173</t>
  </si>
  <si>
    <t>柳街镇红雄村2#公变10KV线路支</t>
  </si>
  <si>
    <t>160100250175</t>
  </si>
  <si>
    <t>柳街镇集祥村1#公变10KV线路支</t>
  </si>
  <si>
    <t>160100250177</t>
  </si>
  <si>
    <t>柳街镇集祥村2#公变10KV线路支</t>
  </si>
  <si>
    <t>160100250179</t>
  </si>
  <si>
    <t>柳街镇金龙村2#公变10KV线路支</t>
  </si>
  <si>
    <t>160100250181</t>
  </si>
  <si>
    <t>柳街镇辛乐村公变10KV线路支</t>
  </si>
  <si>
    <t>160100250183</t>
  </si>
  <si>
    <t>柳街镇辛乐村公变380V线路</t>
  </si>
  <si>
    <t>160100250185</t>
  </si>
  <si>
    <t>柳街镇三圣1#公变10KV线路支</t>
  </si>
  <si>
    <t>160100250187</t>
  </si>
  <si>
    <t>柳街镇三圣1#公变380V线路</t>
  </si>
  <si>
    <t>160100250188</t>
  </si>
  <si>
    <t>160100250190</t>
  </si>
  <si>
    <t>柳街镇团结村1#公变10KV线路支</t>
  </si>
  <si>
    <t>160100250192</t>
  </si>
  <si>
    <t>柳街镇团结村1#公变380V线路</t>
  </si>
  <si>
    <t>160100250194</t>
  </si>
  <si>
    <t>柳街镇团结村1#公变220V线路</t>
  </si>
  <si>
    <t>160100250197</t>
  </si>
  <si>
    <t>10KV青石路支路</t>
  </si>
  <si>
    <t>160100250199</t>
  </si>
  <si>
    <t>崇义镇导江3组公变380V线路</t>
  </si>
  <si>
    <t>160100250201</t>
  </si>
  <si>
    <t>中兴镇永安6组公变10KV线路支</t>
  </si>
  <si>
    <t>160100250203</t>
  </si>
  <si>
    <t>中兴镇永安6组公变380V线路</t>
  </si>
  <si>
    <t>160100250205</t>
  </si>
  <si>
    <t>160100250207</t>
  </si>
  <si>
    <t>中兴镇永安6组公变220V线路</t>
  </si>
  <si>
    <t>160100250209</t>
  </si>
  <si>
    <t>柳街镇何家1#公变380V线路</t>
  </si>
  <si>
    <t>160100250211</t>
  </si>
  <si>
    <t>柳街镇何家1#公变10KV线路支</t>
  </si>
  <si>
    <t>160100250213</t>
  </si>
  <si>
    <t>柳街镇三圣2#公变10KV线路支</t>
  </si>
  <si>
    <t>160100250215</t>
  </si>
  <si>
    <t>柳街镇三圣2#公变380V线路</t>
  </si>
  <si>
    <t>160100250217</t>
  </si>
  <si>
    <t>柳街镇三圣2#公变220V线路</t>
  </si>
  <si>
    <t>160100250219</t>
  </si>
  <si>
    <t>160100250221</t>
  </si>
  <si>
    <t>160100250223</t>
  </si>
  <si>
    <t>新兴镇定山1#公变380V线路</t>
  </si>
  <si>
    <t>160100250225</t>
  </si>
  <si>
    <t>新兴镇定山1#公变220V线路</t>
  </si>
  <si>
    <t>160100250227</t>
  </si>
  <si>
    <t>新兴镇定山2#公变380V线路</t>
  </si>
  <si>
    <t>160100250229</t>
  </si>
  <si>
    <t>新兴镇定山2#公变220V线路</t>
  </si>
  <si>
    <t>160100250230</t>
  </si>
  <si>
    <t>大观镇河口1#公变380V线路</t>
  </si>
  <si>
    <t>160100250232</t>
  </si>
  <si>
    <t>中兴镇宝瓶村1#公变380V线路</t>
  </si>
  <si>
    <t>160100250234</t>
  </si>
  <si>
    <t>中兴镇宝瓶村1#公变220V线路</t>
  </si>
  <si>
    <t>160100250236</t>
  </si>
  <si>
    <t>崇义镇石梗4组公变380V线路</t>
  </si>
  <si>
    <t>160100250238</t>
  </si>
  <si>
    <t>崇义镇石梗4组公变220V线路</t>
  </si>
  <si>
    <t>160100250240</t>
  </si>
  <si>
    <t>供电所光纤线路改造</t>
  </si>
  <si>
    <t>160100250242</t>
  </si>
  <si>
    <t>160100250244</t>
  </si>
  <si>
    <t>35KV站内配电线路</t>
  </si>
  <si>
    <t>160100250246</t>
  </si>
  <si>
    <t>35KV站内配线路</t>
  </si>
  <si>
    <t>160100250248</t>
  </si>
  <si>
    <t>10KV金铁一路聚支同杆双回</t>
  </si>
  <si>
    <t>160100250250</t>
  </si>
  <si>
    <t>35KV崇义站保护无人值班改造决算转资</t>
  </si>
  <si>
    <t>160100250252</t>
  </si>
  <si>
    <t>2010线路技改1-4</t>
  </si>
  <si>
    <t>160100250253</t>
  </si>
  <si>
    <t>10KV青中路配套工程送出</t>
  </si>
  <si>
    <t>160100250255</t>
  </si>
  <si>
    <t>青城山片区网络优化完善决算转资</t>
  </si>
  <si>
    <t>160100250257</t>
  </si>
  <si>
    <t>110KV青城山站10KV青中路配套送出工程决算转资</t>
  </si>
  <si>
    <t>160100250259</t>
  </si>
  <si>
    <t>翠月湖片区配网优化完善决算转资</t>
  </si>
  <si>
    <t>160100250261</t>
  </si>
  <si>
    <t>10KV小通路线路延伸</t>
  </si>
  <si>
    <t>160100250263</t>
  </si>
  <si>
    <t>160100250265</t>
  </si>
  <si>
    <t>0.4KV线路</t>
  </si>
  <si>
    <t>160100306269</t>
  </si>
  <si>
    <t>电缆配电线路</t>
  </si>
  <si>
    <t>160100306276</t>
  </si>
  <si>
    <t>10kV白城路</t>
  </si>
  <si>
    <t>160100307396</t>
  </si>
  <si>
    <t>10kV崇电路</t>
  </si>
  <si>
    <t>160100307397</t>
  </si>
  <si>
    <t>10kV青中路</t>
  </si>
  <si>
    <t>160100307400</t>
  </si>
  <si>
    <t>10kV西恒路</t>
  </si>
  <si>
    <t>160100311324</t>
  </si>
  <si>
    <t>10kV青石路(都江堰)</t>
  </si>
  <si>
    <t>160100311325</t>
  </si>
  <si>
    <t>10kV白坪路</t>
  </si>
  <si>
    <t>160100311336</t>
  </si>
  <si>
    <t>10kV柳洪路</t>
  </si>
  <si>
    <t>160100311338</t>
  </si>
  <si>
    <t>10kV青元路</t>
  </si>
  <si>
    <t>160100311340</t>
  </si>
  <si>
    <t>10kV西徐路</t>
  </si>
  <si>
    <t>160100317533</t>
  </si>
  <si>
    <t>集镇2#公变低压台区</t>
  </si>
  <si>
    <t>160100317534</t>
  </si>
  <si>
    <t>场镇2#公变低压台区</t>
  </si>
  <si>
    <t>160100317680</t>
  </si>
  <si>
    <t>都江堰供电有限责任公司2016年低压业扩配套项目789月</t>
  </si>
  <si>
    <t>160100317681</t>
  </si>
  <si>
    <t>都江堰供电有限责任公司2016年低压业扩配套项目101112月</t>
  </si>
  <si>
    <t>160100320961</t>
  </si>
  <si>
    <t>翠月湖镇九龙二号公变低压380V线路</t>
  </si>
  <si>
    <t>160100320962</t>
  </si>
  <si>
    <t>翠月湖镇九龙二号公变低压220V线路</t>
  </si>
  <si>
    <t>160100320963</t>
  </si>
  <si>
    <t>160100320964</t>
  </si>
  <si>
    <t>翠月湖镇九龙新增公变380V线路</t>
  </si>
  <si>
    <t>160100320965</t>
  </si>
  <si>
    <t>160100320966</t>
  </si>
  <si>
    <t>翠月湖镇九龙新增公变220V线路</t>
  </si>
  <si>
    <t>160100320967</t>
  </si>
  <si>
    <t>160100320968</t>
  </si>
  <si>
    <t>中兴镇平安金矿配变380V线路</t>
  </si>
  <si>
    <t>160100320969</t>
  </si>
  <si>
    <t>中兴镇平安金矿配变220V线路</t>
  </si>
  <si>
    <t>160100320970</t>
  </si>
  <si>
    <t>160100320971</t>
  </si>
  <si>
    <t>中兴镇凤鸣3#配变380V线路</t>
  </si>
  <si>
    <t>160100320972</t>
  </si>
  <si>
    <t>中兴镇凤鸣3#配变220V线路</t>
  </si>
  <si>
    <t>160100320973</t>
  </si>
  <si>
    <t>聚源镇泉水8组配变380V线路</t>
  </si>
  <si>
    <t>160100320974</t>
  </si>
  <si>
    <t>160100320975</t>
  </si>
  <si>
    <t>聚源镇泉水8组配变220V线路</t>
  </si>
  <si>
    <t>160100320976</t>
  </si>
  <si>
    <t>聚源镇导江2组配变380V线路</t>
  </si>
  <si>
    <t>160100320977</t>
  </si>
  <si>
    <t>160100320978</t>
  </si>
  <si>
    <t>聚源镇导江2组配变220V线路</t>
  </si>
  <si>
    <t>160100320979</t>
  </si>
  <si>
    <t>聚源镇三坝村7组配变380V线路</t>
  </si>
  <si>
    <t>160100320980</t>
  </si>
  <si>
    <t>160100320981</t>
  </si>
  <si>
    <t>聚源镇三坝村7组配变220V线路</t>
  </si>
  <si>
    <t>160100320982</t>
  </si>
  <si>
    <t>聚源镇黄鹤1组配变380V线路</t>
  </si>
  <si>
    <t>160100320983</t>
  </si>
  <si>
    <t>160100320984</t>
  </si>
  <si>
    <t>聚源镇黄鹤1组配变220V线路</t>
  </si>
  <si>
    <t>160100320985</t>
  </si>
  <si>
    <t>160100320986</t>
  </si>
  <si>
    <t>石羊镇楠木1#配变380V线路</t>
  </si>
  <si>
    <t>160100320987</t>
  </si>
  <si>
    <t>石羊镇楠木1#配变220V线路</t>
  </si>
  <si>
    <t>160100320988</t>
  </si>
  <si>
    <t>160100320989</t>
  </si>
  <si>
    <t>石羊镇楠木2#配变380V线路</t>
  </si>
  <si>
    <t>160100320990</t>
  </si>
  <si>
    <t>石羊镇楠木2#配变220V线路</t>
  </si>
  <si>
    <t>160100320991</t>
  </si>
  <si>
    <t>石羊镇楠木3#配变380V线路</t>
  </si>
  <si>
    <t>160100320992</t>
  </si>
  <si>
    <t>160100320993</t>
  </si>
  <si>
    <t>石羊镇楠木3#配变220V线路</t>
  </si>
  <si>
    <t>160100320994</t>
  </si>
  <si>
    <t>石羊镇宁静6#配变380V线路</t>
  </si>
  <si>
    <t>160100320995</t>
  </si>
  <si>
    <t>石羊镇宁静6#配变220V线路</t>
  </si>
  <si>
    <t>160100320996</t>
  </si>
  <si>
    <t>石羊镇均义村配变220V线路</t>
  </si>
  <si>
    <t>160100320997</t>
  </si>
  <si>
    <t>中兴镇和乐1#配变380V线路</t>
  </si>
  <si>
    <t>160100320998</t>
  </si>
  <si>
    <t>中兴镇和乐1#配变220V线路</t>
  </si>
  <si>
    <t>160100320999</t>
  </si>
  <si>
    <t>柳街镇水月村5#配变380V线路</t>
  </si>
  <si>
    <t>160100321000</t>
  </si>
  <si>
    <t>柳街镇水月村5#配变220V线路</t>
  </si>
  <si>
    <t>160100321001</t>
  </si>
  <si>
    <t>柳街镇五一村1#配变380V线路</t>
  </si>
  <si>
    <t>160100321002</t>
  </si>
  <si>
    <t>160100321003</t>
  </si>
  <si>
    <t>柳街镇五一村1#配变220V线路</t>
  </si>
  <si>
    <t>160100321004</t>
  </si>
  <si>
    <t>柳街镇辛乐村2#配变380V线路</t>
  </si>
  <si>
    <t>160100321005</t>
  </si>
  <si>
    <t>柳街镇辛乐村2#配变220V线路</t>
  </si>
  <si>
    <t>160100321006</t>
  </si>
  <si>
    <t>柳街镇辛乐村3#配变380V线路</t>
  </si>
  <si>
    <t>160100321007</t>
  </si>
  <si>
    <t>柳街镇辛乐村3#配变220V线路</t>
  </si>
  <si>
    <t>160100321008</t>
  </si>
  <si>
    <t>柳街镇辛乐村4#配变380V线路</t>
  </si>
  <si>
    <t>160100321009</t>
  </si>
  <si>
    <t>160100321010</t>
  </si>
  <si>
    <t>柳街镇辛乐村4#配变220V线路</t>
  </si>
  <si>
    <t>160100321011</t>
  </si>
  <si>
    <t>柳街镇辛乐村二组配变380V线路</t>
  </si>
  <si>
    <t>160100321012</t>
  </si>
  <si>
    <t>柳街镇辛乐村二组配变220V线路</t>
  </si>
  <si>
    <t>160100321013</t>
  </si>
  <si>
    <t>柳街镇五一村2#配变380V线路</t>
  </si>
  <si>
    <t>160100321014</t>
  </si>
  <si>
    <t>160100321015</t>
  </si>
  <si>
    <t>柳街镇五一村2#配变220V线路</t>
  </si>
  <si>
    <t>160100321016</t>
  </si>
  <si>
    <t>胥家镇共和3#配变380V线路</t>
  </si>
  <si>
    <t>160100321017</t>
  </si>
  <si>
    <t>160100321018</t>
  </si>
  <si>
    <t>胥家镇共和3#配变220V线路</t>
  </si>
  <si>
    <t>160100321019</t>
  </si>
  <si>
    <t>胥家镇大林村配变380V线路</t>
  </si>
  <si>
    <t>160100321020</t>
  </si>
  <si>
    <t>160100321021</t>
  </si>
  <si>
    <t>胥家镇大林村配变220V线路</t>
  </si>
  <si>
    <t>160100321022</t>
  </si>
  <si>
    <t>胥家镇大林村七组配变380V线路</t>
  </si>
  <si>
    <t>160100321023</t>
  </si>
  <si>
    <t>160100321024</t>
  </si>
  <si>
    <t>胥家镇大林村七组配变220V线路</t>
  </si>
  <si>
    <t>160100321025</t>
  </si>
  <si>
    <t>胥家镇大林村四组配变380V线路</t>
  </si>
  <si>
    <t>160100321026</t>
  </si>
  <si>
    <t>160100321027</t>
  </si>
  <si>
    <t>胥家镇大林村四组配变220V线路</t>
  </si>
  <si>
    <t>160100321028</t>
  </si>
  <si>
    <t>胥家镇金虹村组配变380V线路</t>
  </si>
  <si>
    <t>160100321029</t>
  </si>
  <si>
    <t>160100321030</t>
  </si>
  <si>
    <t>胥家镇金虹村组配变220V线路</t>
  </si>
  <si>
    <t>160100321031</t>
  </si>
  <si>
    <t>160100321032</t>
  </si>
  <si>
    <t>胥家镇新民八组村配变380V线路</t>
  </si>
  <si>
    <t>160100321033</t>
  </si>
  <si>
    <t>胥家镇新民八组村配变220V线路</t>
  </si>
  <si>
    <t>160100321034</t>
  </si>
  <si>
    <t>胥家镇马鞍七组村配变380V线路</t>
  </si>
  <si>
    <t>160100321035</t>
  </si>
  <si>
    <t>160100321036</t>
  </si>
  <si>
    <t>胥家镇马鞍七组村配变220V线路</t>
  </si>
  <si>
    <t>160100321037</t>
  </si>
  <si>
    <t>胥家镇南海1#配变380V线路</t>
  </si>
  <si>
    <t>160100321038</t>
  </si>
  <si>
    <t>160100321039</t>
  </si>
  <si>
    <t>胥家镇南海1#配变220V线路</t>
  </si>
  <si>
    <t>160100321040</t>
  </si>
  <si>
    <t>胥家镇南海2#配变380V线路</t>
  </si>
  <si>
    <t>160100321041</t>
  </si>
  <si>
    <t>胥家镇南海2#配变220V线路</t>
  </si>
  <si>
    <t>160100321042</t>
  </si>
  <si>
    <t>胥家镇南海3#配变380V线路</t>
  </si>
  <si>
    <t>160100321043</t>
  </si>
  <si>
    <t>160100321044</t>
  </si>
  <si>
    <t>胥家镇南海3#配变220V线路</t>
  </si>
  <si>
    <t>160100321045</t>
  </si>
  <si>
    <t>崇义镇横山4组配变380V线路</t>
  </si>
  <si>
    <t>160100321046</t>
  </si>
  <si>
    <t>160100321047</t>
  </si>
  <si>
    <t>崇义镇横山4组配变220V线路</t>
  </si>
  <si>
    <t>160100321048</t>
  </si>
  <si>
    <t>胥家镇纪家1#配变380V线路</t>
  </si>
  <si>
    <t>160100321049</t>
  </si>
  <si>
    <t>160100321050</t>
  </si>
  <si>
    <t>胥家镇纪家1#配变220V线路</t>
  </si>
  <si>
    <t>160100321051</t>
  </si>
  <si>
    <t>胥家镇歇马二组1#配变380V线路</t>
  </si>
  <si>
    <t>160100321052</t>
  </si>
  <si>
    <t>胥家镇歇马二组1#配变220V线路</t>
  </si>
  <si>
    <t>160100321053</t>
  </si>
  <si>
    <t>胥家镇歇马二组2#配变380V线路</t>
  </si>
  <si>
    <t>160100321054</t>
  </si>
  <si>
    <t>胥家镇歇马二组2#配变220V线路</t>
  </si>
  <si>
    <t>160100321055</t>
  </si>
  <si>
    <t>中兴镇红旗1#配变380V线路</t>
  </si>
  <si>
    <t>160100321056</t>
  </si>
  <si>
    <t>中兴镇红旗1#配变220V线路</t>
  </si>
  <si>
    <t>160100321057</t>
  </si>
  <si>
    <t>中兴镇红旗4#配变380V线路</t>
  </si>
  <si>
    <t>160100321058</t>
  </si>
  <si>
    <t>中兴镇红旗4#配变220V线路</t>
  </si>
  <si>
    <t>160100321059</t>
  </si>
  <si>
    <t>中兴镇临江3#公变380V线路</t>
  </si>
  <si>
    <t>160100321060</t>
  </si>
  <si>
    <t>中兴镇临江3#公变220V线路</t>
  </si>
  <si>
    <t>160100321061</t>
  </si>
  <si>
    <t>崇义镇界牌村八组380V线路</t>
  </si>
  <si>
    <t>160100321062</t>
  </si>
  <si>
    <t>160100321063</t>
  </si>
  <si>
    <t>崇义镇界牌村八组220V线路</t>
  </si>
  <si>
    <t>160100335131</t>
  </si>
  <si>
    <t>胥家镇匡家1号配变低压220V线路</t>
  </si>
  <si>
    <t>160100335132</t>
  </si>
  <si>
    <t>胥家镇驾虹上场镇公变低压380V线路</t>
  </si>
  <si>
    <t>160100335134</t>
  </si>
  <si>
    <t>胥家镇驾虹上场镇公变低压220V线路</t>
  </si>
  <si>
    <t>160100335135</t>
  </si>
  <si>
    <t>160100335136</t>
  </si>
  <si>
    <t>胥家镇桂林8组公变低压380V线路</t>
  </si>
  <si>
    <t>160100335137</t>
  </si>
  <si>
    <t>胥家镇桂林8组公变低压220V线路</t>
  </si>
  <si>
    <t>160100335138</t>
  </si>
  <si>
    <t>160100335139</t>
  </si>
  <si>
    <t>胥家镇十里村公变380V线路</t>
  </si>
  <si>
    <t>160100335141</t>
  </si>
  <si>
    <t>胥家镇十里村公变220V线路</t>
  </si>
  <si>
    <t>160100335142</t>
  </si>
  <si>
    <t>160100335143</t>
  </si>
  <si>
    <t>胥家镇十里四组公变380V线路</t>
  </si>
  <si>
    <t>160100335144</t>
  </si>
  <si>
    <t>胥家镇十里四组公变220V线路</t>
  </si>
  <si>
    <t>160100335145</t>
  </si>
  <si>
    <t>胥家镇新民2号公变低压380V线路</t>
  </si>
  <si>
    <t>160100335146</t>
  </si>
  <si>
    <t>胥家镇新民2号公变低压220V线路</t>
  </si>
  <si>
    <t>160100335147</t>
  </si>
  <si>
    <t>160100335148</t>
  </si>
  <si>
    <t>胥家镇胜利1号公变低压380V线路</t>
  </si>
  <si>
    <t>160100335149</t>
  </si>
  <si>
    <t>胥家镇胜利1号公变低压220V线路</t>
  </si>
  <si>
    <t>160100335150</t>
  </si>
  <si>
    <t>胥家镇胜利2号公变低压380V线路</t>
  </si>
  <si>
    <t>160100335151</t>
  </si>
  <si>
    <t>胥家镇胜利2号公变低压220V线路</t>
  </si>
  <si>
    <t>160100335152</t>
  </si>
  <si>
    <t>160100335154</t>
  </si>
  <si>
    <t>磁峰镇滴水村1号公变220V线路</t>
  </si>
  <si>
    <t>160100335155</t>
  </si>
  <si>
    <t>160100335156</t>
  </si>
  <si>
    <t>青城山镇青田12组公变380V线路</t>
  </si>
  <si>
    <t>160100335157</t>
  </si>
  <si>
    <t>160100335158</t>
  </si>
  <si>
    <t>青城山镇青田12组公变220V线路</t>
  </si>
  <si>
    <t>160100335159</t>
  </si>
  <si>
    <t>青城山镇万安1号配变380V线路</t>
  </si>
  <si>
    <t>160100335160</t>
  </si>
  <si>
    <t>160100335161</t>
  </si>
  <si>
    <t>青城山镇万安1号配变220V线路</t>
  </si>
  <si>
    <t>160100335162</t>
  </si>
  <si>
    <t>青城山镇万安5号配变380V线路</t>
  </si>
  <si>
    <t>160100335163</t>
  </si>
  <si>
    <t>160100335164</t>
  </si>
  <si>
    <t>青城山镇万安5号配变220V线路</t>
  </si>
  <si>
    <t>160100335165</t>
  </si>
  <si>
    <t>青城山镇万安6号配变380V线路</t>
  </si>
  <si>
    <t>160100335166</t>
  </si>
  <si>
    <t>160100335167</t>
  </si>
  <si>
    <t>青城山镇万安6号配变220V线路</t>
  </si>
  <si>
    <t>160100336860</t>
  </si>
  <si>
    <t>小鱼洞镇草坝村1#配变低压380V线路</t>
  </si>
  <si>
    <t>160100336861</t>
  </si>
  <si>
    <t>小鱼洞镇草坝村1#配变低压220V线路</t>
  </si>
  <si>
    <t>160100336862</t>
  </si>
  <si>
    <t>160100336863</t>
  </si>
  <si>
    <t>小鱼洞镇草坝村2#配变低压380V线路</t>
  </si>
  <si>
    <t>160100336864</t>
  </si>
  <si>
    <t>小鱼洞镇草坝村2#配变低压220V线路</t>
  </si>
  <si>
    <t>160100336865</t>
  </si>
  <si>
    <t>160100336866</t>
  </si>
  <si>
    <t>小鱼洞镇草坝村3#配变低压380V线路</t>
  </si>
  <si>
    <t>160100336867</t>
  </si>
  <si>
    <t>小鱼洞镇草坝村3#配变低压220V线路</t>
  </si>
  <si>
    <t>160100336868</t>
  </si>
  <si>
    <t>160100336869</t>
  </si>
  <si>
    <t>小鱼洞镇君山村配变低压380V线路</t>
  </si>
  <si>
    <t>160100336870</t>
  </si>
  <si>
    <t>小鱼洞镇君山村配变低压220V线路</t>
  </si>
  <si>
    <t>160100336871</t>
  </si>
  <si>
    <t>小鱼洞镇董坪村配变低压380V线路</t>
  </si>
  <si>
    <t>160100336872</t>
  </si>
  <si>
    <t>小鱼洞镇春芽村1#配变低压380V线路</t>
  </si>
  <si>
    <t>160100336873</t>
  </si>
  <si>
    <t>160100336874</t>
  </si>
  <si>
    <t>小鱼洞镇春芽村1#配变低压220V线路</t>
  </si>
  <si>
    <t>160100336875</t>
  </si>
  <si>
    <t>小鱼洞镇春芽村2#配变低压380V线路</t>
  </si>
  <si>
    <t>160100336876</t>
  </si>
  <si>
    <t>小鱼洞镇春芽村2#配变低压220V线路</t>
  </si>
  <si>
    <t>160100336877</t>
  </si>
  <si>
    <t>160100336878</t>
  </si>
  <si>
    <t>向峨镇海虹1#配变380V线路</t>
  </si>
  <si>
    <t>160100336879</t>
  </si>
  <si>
    <t>向峨镇海虹1#配变220V线路</t>
  </si>
  <si>
    <t>160100336880</t>
  </si>
  <si>
    <t>向峨镇望乡台配变380V线路</t>
  </si>
  <si>
    <t>160100336881</t>
  </si>
  <si>
    <t>向峨镇望乡台配变220V线路</t>
  </si>
  <si>
    <t>160100336882</t>
  </si>
  <si>
    <t>160100336883</t>
  </si>
  <si>
    <t>向峨镇海虹3#配变380V线路</t>
  </si>
  <si>
    <t>160100336884</t>
  </si>
  <si>
    <t>向峨镇海虹3#配变220V线路</t>
  </si>
  <si>
    <t>160100336885</t>
  </si>
  <si>
    <t>向峨镇红光五组配变220V线路</t>
  </si>
  <si>
    <t>160100336886</t>
  </si>
  <si>
    <t>160100336887</t>
  </si>
  <si>
    <t>向峨镇红光七组配变380V线路</t>
  </si>
  <si>
    <t>160100336888</t>
  </si>
  <si>
    <t>向峨镇红光七组配变220V线路</t>
  </si>
  <si>
    <t>160100340947</t>
  </si>
  <si>
    <t>10kV虹宾路幸福村三组1号公变双杏园低压台区</t>
  </si>
  <si>
    <t>160100340948</t>
  </si>
  <si>
    <t>10kV虹太路九寨运业专变家属区低压台区</t>
  </si>
  <si>
    <t>160100342524</t>
  </si>
  <si>
    <t>书院村13组公变低压380V线路</t>
  </si>
  <si>
    <t>160100342525</t>
  </si>
  <si>
    <t>书院村13组公变低压220V线路</t>
  </si>
  <si>
    <t>160100342526</t>
  </si>
  <si>
    <t>160100342527</t>
  </si>
  <si>
    <t>复兴村2号配变低压380V线路</t>
  </si>
  <si>
    <t>160100342528</t>
  </si>
  <si>
    <t>复兴村2号配变低压220V线路</t>
  </si>
  <si>
    <t>160100342529</t>
  </si>
  <si>
    <t>160100342530</t>
  </si>
  <si>
    <t>长征1号配变低压380V线路</t>
  </si>
  <si>
    <t>160100342531</t>
  </si>
  <si>
    <t>160100342532</t>
  </si>
  <si>
    <t>长征1号配变低压220V线路</t>
  </si>
  <si>
    <t>160100342533</t>
  </si>
  <si>
    <t>160100342534</t>
  </si>
  <si>
    <t>长征2号配变低压380V线路</t>
  </si>
  <si>
    <t>160100342535</t>
  </si>
  <si>
    <t>160100342536</t>
  </si>
  <si>
    <t>长征2号配变低压220V线路</t>
  </si>
  <si>
    <t>160100342537</t>
  </si>
  <si>
    <t>160100342538</t>
  </si>
  <si>
    <t>吉乐1号公变低压380V线路</t>
  </si>
  <si>
    <t>160100342539</t>
  </si>
  <si>
    <t>吉乐1号公变低压220V线路</t>
  </si>
  <si>
    <t>160100342540</t>
  </si>
  <si>
    <t>160100342541</t>
  </si>
  <si>
    <t>吉乐2号公变低压380V线路</t>
  </si>
  <si>
    <t>160100342542</t>
  </si>
  <si>
    <t>160100342543</t>
  </si>
  <si>
    <t>吉乐2号公变低压220V线路</t>
  </si>
  <si>
    <t>160100342544</t>
  </si>
  <si>
    <t>160100342545</t>
  </si>
  <si>
    <t>吉乐3号公变低压380V线路</t>
  </si>
  <si>
    <t>160100342546</t>
  </si>
  <si>
    <t>160100342547</t>
  </si>
  <si>
    <t>吉乐3号公变低压220V线路</t>
  </si>
  <si>
    <t>160100342548</t>
  </si>
  <si>
    <t>金沙1号公变低压380V线路</t>
  </si>
  <si>
    <t>160100342549</t>
  </si>
  <si>
    <t>160100342550</t>
  </si>
  <si>
    <t>金沙1号公变低压220V线路</t>
  </si>
  <si>
    <t>160100342551</t>
  </si>
  <si>
    <t>160100342552</t>
  </si>
  <si>
    <t>金沙2号公变低压380V线路</t>
  </si>
  <si>
    <t>160100342553</t>
  </si>
  <si>
    <t>泰安2号公变低压380V线路</t>
  </si>
  <si>
    <t>160100342554</t>
  </si>
  <si>
    <t>泰安2号公变低压220V线路</t>
  </si>
  <si>
    <t>160100342555</t>
  </si>
  <si>
    <t>太平2号公变低压380V线路</t>
  </si>
  <si>
    <t>160100342556</t>
  </si>
  <si>
    <t>太平2号公变低压220V线路</t>
  </si>
  <si>
    <t>160100342557</t>
  </si>
  <si>
    <t>160100342558</t>
  </si>
  <si>
    <t>蒲津1号公变低压380V线路</t>
  </si>
  <si>
    <t>160100342559</t>
  </si>
  <si>
    <t>160100342560</t>
  </si>
  <si>
    <t>蒲津1号公变低压220V线路</t>
  </si>
  <si>
    <t>160100342561</t>
  </si>
  <si>
    <t>160100342562</t>
  </si>
  <si>
    <t>红色1号公变低压380V线路</t>
  </si>
  <si>
    <t>160100342563</t>
  </si>
  <si>
    <t>160100342564</t>
  </si>
  <si>
    <t>红色1号公变低压220V线路</t>
  </si>
  <si>
    <t>160100342565</t>
  </si>
  <si>
    <t>都江一组公变低压380V线路</t>
  </si>
  <si>
    <t>160100342566</t>
  </si>
  <si>
    <t>岷江2、3组公变低压380V线路</t>
  </si>
  <si>
    <t>160100342567</t>
  </si>
  <si>
    <t>岷江2、3组公变低压220V线路</t>
  </si>
  <si>
    <t>160100342568</t>
  </si>
  <si>
    <t>岷江村二组2号公变低压380V线路</t>
  </si>
  <si>
    <t>160100342569</t>
  </si>
  <si>
    <t>160100342570</t>
  </si>
  <si>
    <t>岷江村二组2号公变低压220V线路</t>
  </si>
  <si>
    <t>160100342571</t>
  </si>
  <si>
    <t>棕花村公变低压380V线路</t>
  </si>
  <si>
    <t>160100342572</t>
  </si>
  <si>
    <t>棕花村公变低压220V线路</t>
  </si>
  <si>
    <t>160100342573</t>
  </si>
  <si>
    <t>都江村六组1号公变低压380V线路</t>
  </si>
  <si>
    <t>160100342574</t>
  </si>
  <si>
    <t>160100342575</t>
  </si>
  <si>
    <t>都江村七组2号公变低压380V线路</t>
  </si>
  <si>
    <t>160100342576</t>
  </si>
  <si>
    <t>都江村七组公变低压380V线路</t>
  </si>
  <si>
    <t>160100342577</t>
  </si>
  <si>
    <t>都江村七组公变低压220V线路</t>
  </si>
  <si>
    <t>160100342578</t>
  </si>
  <si>
    <t>燕岩一台公变低压380V线路</t>
  </si>
  <si>
    <t>160100342579</t>
  </si>
  <si>
    <t>宁静村2组公变380V线路</t>
  </si>
  <si>
    <t>160100342580</t>
  </si>
  <si>
    <t>宁静村2组公变220V线路</t>
  </si>
  <si>
    <t>160100342581</t>
  </si>
  <si>
    <t>宁静村3组公变380V线路</t>
  </si>
  <si>
    <t>160100342582</t>
  </si>
  <si>
    <t>宁静村3组公变220V线路</t>
  </si>
  <si>
    <t>160100342583</t>
  </si>
  <si>
    <t>160100342584</t>
  </si>
  <si>
    <t>160100342585</t>
  </si>
  <si>
    <t>160100342586</t>
  </si>
  <si>
    <t>皂角村1号公变380V线路</t>
  </si>
  <si>
    <t>160100342587</t>
  </si>
  <si>
    <t>皂角村1号公变220V线路</t>
  </si>
  <si>
    <t>160100342588</t>
  </si>
  <si>
    <t>160100342589</t>
  </si>
  <si>
    <t>皂角8组公变380V线路</t>
  </si>
  <si>
    <t>160100342590</t>
  </si>
  <si>
    <t>皂角8组公变220V线路</t>
  </si>
  <si>
    <t>160100342591</t>
  </si>
  <si>
    <t>160100342592</t>
  </si>
  <si>
    <t>160100342593</t>
  </si>
  <si>
    <t>160100342594</t>
  </si>
  <si>
    <t>160100342595</t>
  </si>
  <si>
    <t>石牛4#公变低压380V线路</t>
  </si>
  <si>
    <t>160100342596</t>
  </si>
  <si>
    <t>160100342597</t>
  </si>
  <si>
    <t>石牛4#公变低压220V线路</t>
  </si>
  <si>
    <t>160100342598</t>
  </si>
  <si>
    <t>石牛6组地磅房配变低压380V线路</t>
  </si>
  <si>
    <t>160100342599</t>
  </si>
  <si>
    <t>160100342600</t>
  </si>
  <si>
    <t>丹景山1#公变低压220V线路</t>
  </si>
  <si>
    <t>160100342601</t>
  </si>
  <si>
    <t>丹景山1#公变低压380V线路</t>
  </si>
  <si>
    <t>160100342602</t>
  </si>
  <si>
    <t>唐家河坝配变低压380V线路</t>
  </si>
  <si>
    <t>160100342603</t>
  </si>
  <si>
    <t>唐家河坝配变低压220V线路</t>
  </si>
  <si>
    <t>160100342604</t>
  </si>
  <si>
    <t>苗圃公变低压380V线路</t>
  </si>
  <si>
    <t>160100342605</t>
  </si>
  <si>
    <t>苗圃公变低压220V线路</t>
  </si>
  <si>
    <t>160100342606</t>
  </si>
  <si>
    <t>10kV香镇路集埝村公变低压380V线路</t>
  </si>
  <si>
    <t>160100342607</t>
  </si>
  <si>
    <t>10kV香镇路集埝村公变低压220V线路</t>
  </si>
  <si>
    <t>160100342608</t>
  </si>
  <si>
    <t>10kV香镇路集埝村2号公变低压380V线路</t>
  </si>
  <si>
    <t>160100342609</t>
  </si>
  <si>
    <t>10kV香镇路集埝村2号公变低压220V线路</t>
  </si>
  <si>
    <t>160100342610</t>
  </si>
  <si>
    <t>幺店子配变低压380V线路</t>
  </si>
  <si>
    <t>160100342611</t>
  </si>
  <si>
    <t>幺店子配变低压220V线路</t>
  </si>
  <si>
    <t>160100342612</t>
  </si>
  <si>
    <t>10kV香镇路集埝村3号公变低压220V线路</t>
  </si>
  <si>
    <t>160100342613</t>
  </si>
  <si>
    <t>10kV香镇路集埝村3号公变低压380V线路</t>
  </si>
  <si>
    <t>160100342614</t>
  </si>
  <si>
    <t>海虹公变低压380V线路</t>
  </si>
  <si>
    <t>160100342615</t>
  </si>
  <si>
    <t>海虹公变低压220V线路</t>
  </si>
  <si>
    <t>160100342616</t>
  </si>
  <si>
    <t>十四组公变低压380V线路</t>
  </si>
  <si>
    <t>160100342617</t>
  </si>
  <si>
    <t>十四组公变低压220V线路</t>
  </si>
  <si>
    <t>160100342618</t>
  </si>
  <si>
    <t>虹槐村公变低压380V线路</t>
  </si>
  <si>
    <t>160100342619</t>
  </si>
  <si>
    <t>虹槐村公变低压220V线路</t>
  </si>
  <si>
    <t>160100342620</t>
  </si>
  <si>
    <t>水厂支公变低压380V线路</t>
  </si>
  <si>
    <t>160100342621</t>
  </si>
  <si>
    <t>水厂支公变低压220V线路</t>
  </si>
  <si>
    <t>160100342622</t>
  </si>
  <si>
    <t>纯碱厂公变低压380V线路</t>
  </si>
  <si>
    <t>160100342623</t>
  </si>
  <si>
    <t>纯碱厂公变低压220V线路</t>
  </si>
  <si>
    <t>160100342624</t>
  </si>
  <si>
    <t>东林2组公变低压380V线路</t>
  </si>
  <si>
    <t>160100342625</t>
  </si>
  <si>
    <t>东林2组公变低压220V线路</t>
  </si>
  <si>
    <t>160100342626</t>
  </si>
  <si>
    <t>东林5组公变低压380V线路</t>
  </si>
  <si>
    <t>160100342627</t>
  </si>
  <si>
    <t>东林5组公变低压220V线路</t>
  </si>
  <si>
    <t>160100342628</t>
  </si>
  <si>
    <t>新兴镇上河村公变低压380V线路</t>
  </si>
  <si>
    <t>160100342629</t>
  </si>
  <si>
    <t>160100342630</t>
  </si>
  <si>
    <t>新兴镇上河村公变低压220V线路</t>
  </si>
  <si>
    <t>160100342631</t>
  </si>
  <si>
    <t>新兴镇渔场公变低压380V线路</t>
  </si>
  <si>
    <t>160100342632</t>
  </si>
  <si>
    <t>新兴镇光辉村17组公变低压380V线路</t>
  </si>
  <si>
    <t>160100342633</t>
  </si>
  <si>
    <t>新兴镇光辉村17组公变低压220V线路</t>
  </si>
  <si>
    <t>160100342634</t>
  </si>
  <si>
    <t>新兴镇断山2组公变低压220V线路</t>
  </si>
  <si>
    <t>160100342635</t>
  </si>
  <si>
    <t>新兴镇断山2组公变低压380V线路</t>
  </si>
  <si>
    <t>160100342636</t>
  </si>
  <si>
    <t>新兴镇断山6组公变低压220V线路</t>
  </si>
  <si>
    <t>160100342637</t>
  </si>
  <si>
    <t>新兴镇断山6组公变低压380V线路</t>
  </si>
  <si>
    <t>160100342638</t>
  </si>
  <si>
    <t>160100342639</t>
  </si>
  <si>
    <t>10KV蒲桂路拦厢6组公变低压380V线路</t>
  </si>
  <si>
    <t>160100342640</t>
  </si>
  <si>
    <t>10KV蒲桂路拦厢6组公变低压220V线路</t>
  </si>
  <si>
    <t>160100342641</t>
  </si>
  <si>
    <t>10KV蒲桂路拦厢2组公变低压380V线路</t>
  </si>
  <si>
    <t>160100342642</t>
  </si>
  <si>
    <t>10KV蒲桂路拦厢2组公变低压220V线路</t>
  </si>
  <si>
    <t>160100342643</t>
  </si>
  <si>
    <t>金山3#公变低压380V线路</t>
  </si>
  <si>
    <t>160100342644</t>
  </si>
  <si>
    <t>160100342645</t>
  </si>
  <si>
    <t>金山3#公变低压220V线路</t>
  </si>
  <si>
    <t>160100342646</t>
  </si>
  <si>
    <t>金山2#公变低压380V线路</t>
  </si>
  <si>
    <t>160100342647</t>
  </si>
  <si>
    <t>160100342648</t>
  </si>
  <si>
    <t>金山2#公变低压220V线路</t>
  </si>
  <si>
    <t>160100342649</t>
  </si>
  <si>
    <t>金山1#公变低压380V线路</t>
  </si>
  <si>
    <t>160100342650</t>
  </si>
  <si>
    <t>金山1#公变低压220V线路</t>
  </si>
  <si>
    <t>160100342651</t>
  </si>
  <si>
    <t>利济4#公变低压380V线路</t>
  </si>
  <si>
    <t>160100342652</t>
  </si>
  <si>
    <t>160100342653</t>
  </si>
  <si>
    <t>利济4#公变低压220V线路</t>
  </si>
  <si>
    <t>160100342654</t>
  </si>
  <si>
    <t>双林3#公变低压380V线路</t>
  </si>
  <si>
    <t>160100342655</t>
  </si>
  <si>
    <t>160100342656</t>
  </si>
  <si>
    <t>双林2#公变低压380V线路</t>
  </si>
  <si>
    <t>160100342657</t>
  </si>
  <si>
    <t>160100342658</t>
  </si>
  <si>
    <t>双林2#公变低压220V线路</t>
  </si>
  <si>
    <t>160100342659</t>
  </si>
  <si>
    <t>双林1#公变低压220V线路</t>
  </si>
  <si>
    <t>160100342660</t>
  </si>
  <si>
    <t>利济11#公变低压380V线路</t>
  </si>
  <si>
    <t>160100342661</t>
  </si>
  <si>
    <t>160100342662</t>
  </si>
  <si>
    <t>利济11#公变低压220V线路</t>
  </si>
  <si>
    <t>160100342663</t>
  </si>
  <si>
    <t>白羊1#公变低压380V线路</t>
  </si>
  <si>
    <t>160100342664</t>
  </si>
  <si>
    <t>白羊1#公变低压220V线路</t>
  </si>
  <si>
    <t>160100342665</t>
  </si>
  <si>
    <t>白羊2#公变低压380V线路</t>
  </si>
  <si>
    <t>160100342666</t>
  </si>
  <si>
    <t>160100342667</t>
  </si>
  <si>
    <t>白羊2#公变低压220V线路</t>
  </si>
  <si>
    <t>160100342668</t>
  </si>
  <si>
    <t>衡州4#公变低压380V线路</t>
  </si>
  <si>
    <t>160100342669</t>
  </si>
  <si>
    <t>160100342670</t>
  </si>
  <si>
    <t>衡州4#公变低压220V线路</t>
  </si>
  <si>
    <t>160100342671</t>
  </si>
  <si>
    <t>利济5#公变低压380V线路</t>
  </si>
  <si>
    <t>160100342672</t>
  </si>
  <si>
    <t>利济5#公变低压220V线路</t>
  </si>
  <si>
    <t>160100342673</t>
  </si>
  <si>
    <t>金陵八组公变低压220V线路</t>
  </si>
  <si>
    <t>160100342674</t>
  </si>
  <si>
    <t>净土3#公变低压380V线路</t>
  </si>
  <si>
    <t>160100342675</t>
  </si>
  <si>
    <t>160100342676</t>
  </si>
  <si>
    <t>绿凤一组公变低压380V线路</t>
  </si>
  <si>
    <t>160100342677</t>
  </si>
  <si>
    <t>绿凤一组公变低压220V线路</t>
  </si>
  <si>
    <t>160100342678</t>
  </si>
  <si>
    <t>仙鹤7#公变低压380V线路</t>
  </si>
  <si>
    <t>160100342679</t>
  </si>
  <si>
    <t>160100342680</t>
  </si>
  <si>
    <t>仙鹤7#公变低压220V线路</t>
  </si>
  <si>
    <t>160100342681</t>
  </si>
  <si>
    <t>向荣老鸦林公变低压380V线路</t>
  </si>
  <si>
    <t>160100342682</t>
  </si>
  <si>
    <t>大观园10#公变低压380V线路</t>
  </si>
  <si>
    <t>160100342683</t>
  </si>
  <si>
    <t>大观园11#公变低压380V线路</t>
  </si>
  <si>
    <t>160100342684</t>
  </si>
  <si>
    <t>160100342685</t>
  </si>
  <si>
    <t>青城山场镇5#公变380V线路</t>
  </si>
  <si>
    <t>160100342686</t>
  </si>
  <si>
    <t>青城8组公变低压380V线路</t>
  </si>
  <si>
    <t>160100342687</t>
  </si>
  <si>
    <t>青城8组2#公变低压380V线路</t>
  </si>
  <si>
    <t>160100342688</t>
  </si>
  <si>
    <t>桃花三组公变低压220V线路</t>
  </si>
  <si>
    <t>160100342689</t>
  </si>
  <si>
    <t>桃花三组公变低压380V线路</t>
  </si>
  <si>
    <t>160100342690</t>
  </si>
  <si>
    <t>160100342691</t>
  </si>
  <si>
    <t>青田7组公变低压220V线路</t>
  </si>
  <si>
    <t>160100342692</t>
  </si>
  <si>
    <t>青智1#公变低压线路380V线路</t>
  </si>
  <si>
    <t>160100342693</t>
  </si>
  <si>
    <t>160100342694</t>
  </si>
  <si>
    <t>青智3#公变低压线路380V线路</t>
  </si>
  <si>
    <t>160100342695</t>
  </si>
  <si>
    <t>青智3#公变低压线路220V线路</t>
  </si>
  <si>
    <t>160100342696</t>
  </si>
  <si>
    <t>青田5组公变低压线路380V线路</t>
  </si>
  <si>
    <t>160100342697</t>
  </si>
  <si>
    <t>青田5组公变低压线路220V线路</t>
  </si>
  <si>
    <t>160100342698</t>
  </si>
  <si>
    <t>大观园7#公变低压线路380V线路</t>
  </si>
  <si>
    <t>160100342699</t>
  </si>
  <si>
    <t>大观园8#公变低压线路380V线路</t>
  </si>
  <si>
    <t>160100342700</t>
  </si>
  <si>
    <t>青智1#公变低压线路220V线路</t>
  </si>
  <si>
    <t>160100342701</t>
  </si>
  <si>
    <t>10KV青泰路青城山镇泰安村5组4#公变低压线路380V线路</t>
  </si>
  <si>
    <t>160100342702</t>
  </si>
  <si>
    <t>两河村380V线路</t>
  </si>
  <si>
    <t>160100342703</t>
  </si>
  <si>
    <t>永益2组公变低压线路380V线路</t>
  </si>
  <si>
    <t>160100342704</t>
  </si>
  <si>
    <t>160100342705</t>
  </si>
  <si>
    <t>永益9组公变低压线路380V线路</t>
  </si>
  <si>
    <t>160100342706</t>
  </si>
  <si>
    <t>永益9组公变低压线路220V线路</t>
  </si>
  <si>
    <t>160100342707</t>
  </si>
  <si>
    <t>永益10组公变低压线路380V线路</t>
  </si>
  <si>
    <t>160100342708</t>
  </si>
  <si>
    <t>清河村2组1#公变低压线路380V线路</t>
  </si>
  <si>
    <t>160100342709</t>
  </si>
  <si>
    <t>清河村2组1#公变低压线路220V线路</t>
  </si>
  <si>
    <t>160100342710</t>
  </si>
  <si>
    <t>清河村2组2#公变低压线路380V线路</t>
  </si>
  <si>
    <t>160100342711</t>
  </si>
  <si>
    <t>160100342712</t>
  </si>
  <si>
    <t>清河村2组2#公变低压线路220V线路</t>
  </si>
  <si>
    <t>160100342713</t>
  </si>
  <si>
    <t>两河村公变低压线路380V线路</t>
  </si>
  <si>
    <t>160100342714</t>
  </si>
  <si>
    <t>两河村公变低压线路220V线路</t>
  </si>
  <si>
    <t>160100342715</t>
  </si>
  <si>
    <t>160100351755</t>
  </si>
  <si>
    <t>2017年中兴低压台区</t>
  </si>
  <si>
    <t>160100351756</t>
  </si>
  <si>
    <t>2017年胥家低压台区</t>
  </si>
  <si>
    <t>160100351757</t>
  </si>
  <si>
    <t>2017年新兴低压台区</t>
  </si>
  <si>
    <t>160100351758</t>
  </si>
  <si>
    <t>2017年小鱼洞低压台区</t>
  </si>
  <si>
    <t>160100351759</t>
  </si>
  <si>
    <t>2017年向峨低压台区</t>
  </si>
  <si>
    <t>160100351760</t>
  </si>
  <si>
    <t>2017年天马低压台区</t>
  </si>
  <si>
    <t>160100351761</t>
  </si>
  <si>
    <t>2017年石羊低压台区</t>
  </si>
  <si>
    <t>160100351762</t>
  </si>
  <si>
    <t>2017年青城山低压台区</t>
  </si>
  <si>
    <t>160100351763</t>
  </si>
  <si>
    <t>2017年蒲阳低压台区</t>
  </si>
  <si>
    <t>160100351764</t>
  </si>
  <si>
    <t>2017年隆丰低压台区</t>
  </si>
  <si>
    <t>160100351765</t>
  </si>
  <si>
    <t>2017年柳街低压台区</t>
  </si>
  <si>
    <t>160100351766</t>
  </si>
  <si>
    <t>2017年九陇低压台区</t>
  </si>
  <si>
    <t>160100351767</t>
  </si>
  <si>
    <t>2017年桂花低压台区</t>
  </si>
  <si>
    <t>160100351768</t>
  </si>
  <si>
    <t>2017年灌口低压台区</t>
  </si>
  <si>
    <t>160100351769</t>
  </si>
  <si>
    <t>2017年大观低压台区</t>
  </si>
  <si>
    <t>160100351770</t>
  </si>
  <si>
    <t>2017年磁峰低压台区</t>
  </si>
  <si>
    <t>160100351771</t>
  </si>
  <si>
    <t>2017年紫坪铺低压台区</t>
  </si>
  <si>
    <t>160100351772</t>
  </si>
  <si>
    <t>2017年崇义低压台区</t>
  </si>
  <si>
    <t>160100351773</t>
  </si>
  <si>
    <t>2017年2.5环内低压台区</t>
  </si>
  <si>
    <t>160100352748</t>
  </si>
  <si>
    <t>10kV蒲桂路南海2#公变低压台区</t>
  </si>
  <si>
    <t>160100352749</t>
  </si>
  <si>
    <t>10kV蒲桂路南海3#公变低压台区</t>
  </si>
  <si>
    <t>160100352750</t>
  </si>
  <si>
    <t>10kV蒲桂路实践1#公变低压台区</t>
  </si>
  <si>
    <t>160100352751</t>
  </si>
  <si>
    <t>10kV蒲桂路实践2#公变低压台区</t>
  </si>
  <si>
    <t>160100352752</t>
  </si>
  <si>
    <t>10kV蒲驾路供电所2#公变低压台区</t>
  </si>
  <si>
    <t>160100352753</t>
  </si>
  <si>
    <t>10kV蒲驾路金山2#公变低压台区</t>
  </si>
  <si>
    <t>160100352754</t>
  </si>
  <si>
    <t>10KV蒲驾路匡家1#公变低压台区</t>
  </si>
  <si>
    <t>160100352755</t>
  </si>
  <si>
    <t>10KV蒲驾路南海4#公变低压台区</t>
  </si>
  <si>
    <t>160100352756</t>
  </si>
  <si>
    <t>10KV蒲驾路胜利1#公变低压台区</t>
  </si>
  <si>
    <t>160100352757</t>
  </si>
  <si>
    <t>10KV蒲驾路胜利2#公变低压台区</t>
  </si>
  <si>
    <t>160100352758</t>
  </si>
  <si>
    <t>10KV蒲驾路胜利中心村公变低压台区</t>
  </si>
  <si>
    <t>160100352759</t>
  </si>
  <si>
    <t>10KV蒲驾路实践六组公变低压台区</t>
  </si>
  <si>
    <t>160100352760</t>
  </si>
  <si>
    <t>10KV天镇路纪家1#公变低压台区</t>
  </si>
  <si>
    <t>160100352761</t>
  </si>
  <si>
    <t>10KV胥都南路桂花三组公变低压台区</t>
  </si>
  <si>
    <t>160100352762</t>
  </si>
  <si>
    <t>10KV胥镇一路桂林八组公变低压台区</t>
  </si>
  <si>
    <t>160100352763</t>
  </si>
  <si>
    <t>10KV胥镇一路马鞍六组公变低压台区</t>
  </si>
  <si>
    <t>160100352764</t>
  </si>
  <si>
    <t>10KV胥镇一路马鞍七组公变低压台区</t>
  </si>
  <si>
    <t>160100352765</t>
  </si>
  <si>
    <t>10KV胥镇一路十里村公变低压台区</t>
  </si>
  <si>
    <t>160100352766</t>
  </si>
  <si>
    <t>10KV胥镇一路十里四组公变低压台区</t>
  </si>
  <si>
    <t>160100352767</t>
  </si>
  <si>
    <t>10KV胥镇一路十里一组公变低压台区</t>
  </si>
  <si>
    <t>160100352768</t>
  </si>
  <si>
    <t>10KV胥镇一路石龙五组公变低压台区</t>
  </si>
  <si>
    <t>160100352769</t>
  </si>
  <si>
    <t>10KV胥镇一路土什七组公变低压台区</t>
  </si>
  <si>
    <t>160100352770</t>
  </si>
  <si>
    <t>10KV胥镇一路土什四组公变低压台区</t>
  </si>
  <si>
    <t>160100352771</t>
  </si>
  <si>
    <t>10KV胥镇一路新店村公变低压台区</t>
  </si>
  <si>
    <t>160100352772</t>
  </si>
  <si>
    <t>10KV胥镇一路新街1#公变低压台区</t>
  </si>
  <si>
    <t>160100352773</t>
  </si>
  <si>
    <t>10KV胥镇一路胥家新学校公变低压台区</t>
  </si>
  <si>
    <t>160100352774</t>
  </si>
  <si>
    <t>10KV胥镇一路阳光西里1#公变低压台区</t>
  </si>
  <si>
    <t>160100352775</t>
  </si>
  <si>
    <t>10KV胥镇一路正林三组公变低压台区</t>
  </si>
  <si>
    <t>160100352776</t>
  </si>
  <si>
    <t>10KV胥镇一路正林四组公变低压台区</t>
  </si>
  <si>
    <t>160100352777</t>
  </si>
  <si>
    <t>10KV蒲桂路圣寿四组公变低压台区</t>
  </si>
  <si>
    <t>160100352778</t>
  </si>
  <si>
    <t>10KV蒲驾路场镇2#公变低压台区</t>
  </si>
  <si>
    <t>160100352779</t>
  </si>
  <si>
    <t>10KV天镇路纪家3#公变低压台区</t>
  </si>
  <si>
    <t>160100352780</t>
  </si>
  <si>
    <t>10KV天镇路圣寿五组公变低压台区</t>
  </si>
  <si>
    <t>160100352781</t>
  </si>
  <si>
    <t>10KV胥镇一路大林八组公变低压台区</t>
  </si>
  <si>
    <t>160100352782</t>
  </si>
  <si>
    <t>10KV胥镇一路大林二组公变低压台区</t>
  </si>
  <si>
    <t>160100352783</t>
  </si>
  <si>
    <t>10KV胥镇一路桂花村公变低压台区</t>
  </si>
  <si>
    <t>160100352784</t>
  </si>
  <si>
    <t>10KV胥镇一路石龙一组公变低压台区</t>
  </si>
  <si>
    <t>160100352785</t>
  </si>
  <si>
    <t>10KV胥镇一路羊合五组公变低压台区</t>
  </si>
  <si>
    <t>160100352786</t>
  </si>
  <si>
    <t>10KV胥镇一路正林村公变低压台区</t>
  </si>
  <si>
    <t>160100352787</t>
  </si>
  <si>
    <t>10KV蒲驾路金山3#公变低压台区</t>
  </si>
  <si>
    <t>160100352788</t>
  </si>
  <si>
    <t>10KV蒲驾路实践2#公变低压台区</t>
  </si>
  <si>
    <t>160100352789</t>
  </si>
  <si>
    <t>10KV蒲驾路实金山3#公变低压台区</t>
  </si>
  <si>
    <t>160100352790</t>
  </si>
  <si>
    <t>10KV蒲驾路新民2#公变低压台区</t>
  </si>
  <si>
    <t>160100352791</t>
  </si>
  <si>
    <t>10KV天镇路共和4#公变低压台区</t>
  </si>
  <si>
    <t>160100352792</t>
  </si>
  <si>
    <t>10KV胥镇一路桂林五组公变低压台区</t>
  </si>
  <si>
    <t>160100352793</t>
  </si>
  <si>
    <t>10KV胥镇一路红纱六组公变低压台区</t>
  </si>
  <si>
    <t>160100352794</t>
  </si>
  <si>
    <t>10KV胥镇一路老人桥公变低压台区</t>
  </si>
  <si>
    <t>160100352795</t>
  </si>
  <si>
    <t>10KV胥镇一路马鞍四组公变低压台区</t>
  </si>
  <si>
    <t>160100352796</t>
  </si>
  <si>
    <t>10KV胥镇一路木材市场公变低压台区</t>
  </si>
  <si>
    <t>160100352797</t>
  </si>
  <si>
    <t>10KV胥镇一路石龙村公变低压台区</t>
  </si>
  <si>
    <t>160100352798</t>
  </si>
  <si>
    <t>10KV胥镇一路政府公变低压台区</t>
  </si>
  <si>
    <t>160100352799</t>
  </si>
  <si>
    <t>双土二组公变低压台区</t>
  </si>
  <si>
    <t>160100352800</t>
  </si>
  <si>
    <t>大桥安置点公变1#低压台区</t>
  </si>
  <si>
    <t>160100352801</t>
  </si>
  <si>
    <t>导江二组公变低压台区</t>
  </si>
  <si>
    <t>160100352802</t>
  </si>
  <si>
    <t>界牌1组公变低压台区</t>
  </si>
  <si>
    <t>160100352803</t>
  </si>
  <si>
    <t>崇义上场公变低压台区</t>
  </si>
  <si>
    <t>160100352804</t>
  </si>
  <si>
    <t>罗桥村八组公变低压台区</t>
  </si>
  <si>
    <t>160100352805</t>
  </si>
  <si>
    <t>聚源场镇4#公变低压台区</t>
  </si>
  <si>
    <t>160100352806</t>
  </si>
  <si>
    <t>双土五组公变低压台区</t>
  </si>
  <si>
    <t>160100352807</t>
  </si>
  <si>
    <t>金鸡五组公变低压台区</t>
  </si>
  <si>
    <t>160100352808</t>
  </si>
  <si>
    <t>泉水村6组公变低压台区</t>
  </si>
  <si>
    <t>160100352809</t>
  </si>
  <si>
    <t>泉水村6组2#公变低压台区</t>
  </si>
  <si>
    <t>160100352810</t>
  </si>
  <si>
    <t>笆桥村8组公变低压台区</t>
  </si>
  <si>
    <t>160100352811</t>
  </si>
  <si>
    <t>崇义中场公变低压台区</t>
  </si>
  <si>
    <t>160100352812</t>
  </si>
  <si>
    <t>梳妆四组公变低压台区</t>
  </si>
  <si>
    <t>160100352813</t>
  </si>
  <si>
    <t>飞桥五组公变低压台区</t>
  </si>
  <si>
    <t>160100352814</t>
  </si>
  <si>
    <t>大夫三组公变低压台区</t>
  </si>
  <si>
    <t>160100352815</t>
  </si>
  <si>
    <t>积桥七组公变低压台区</t>
  </si>
  <si>
    <t>160100352816</t>
  </si>
  <si>
    <t>泉水八组公变低压台区</t>
  </si>
  <si>
    <t>160100352817</t>
  </si>
  <si>
    <t>官家名苑4#公变低压台区</t>
  </si>
  <si>
    <t>160100352818</t>
  </si>
  <si>
    <t>横山七组公变低压台区</t>
  </si>
  <si>
    <t>160100352819</t>
  </si>
  <si>
    <t>永洪1组公变低压台区</t>
  </si>
  <si>
    <t>160100352820</t>
  </si>
  <si>
    <t>界牌8组公变低压台区</t>
  </si>
  <si>
    <t>160100352821</t>
  </si>
  <si>
    <t>莲水村3#公变低压台区</t>
  </si>
  <si>
    <t>160100352822</t>
  </si>
  <si>
    <t>街村1号公变低压台区</t>
  </si>
  <si>
    <t>160100352823</t>
  </si>
  <si>
    <t>五龙世家公变低压台区</t>
  </si>
  <si>
    <t>160100352824</t>
  </si>
  <si>
    <t>万寿村三组公变低压台区</t>
  </si>
  <si>
    <t>160100352825</t>
  </si>
  <si>
    <t>百花村六组公变低压台区</t>
  </si>
  <si>
    <t>160100352826</t>
  </si>
  <si>
    <t>民主村二组公变低压台区</t>
  </si>
  <si>
    <t>160100352827</t>
  </si>
  <si>
    <t>永桂村四组公变低压台区</t>
  </si>
  <si>
    <t>160100352828</t>
  </si>
  <si>
    <t>百花村七组公变低压台区</t>
  </si>
  <si>
    <t>160100352829</t>
  </si>
  <si>
    <t>富民路3#公变低压台区</t>
  </si>
  <si>
    <t>160100352830</t>
  </si>
  <si>
    <t>百花村四组公变低压台区</t>
  </si>
  <si>
    <t>160100352831</t>
  </si>
  <si>
    <t>庙子坪公变低压台区</t>
  </si>
  <si>
    <t>160100352832</t>
  </si>
  <si>
    <t>金江村一组1号公变低压台区</t>
  </si>
  <si>
    <t>160100352833</t>
  </si>
  <si>
    <t>灵岩村8组公变低压台区</t>
  </si>
  <si>
    <t>160100352834</t>
  </si>
  <si>
    <t>万寿村一组公变低压台区</t>
  </si>
  <si>
    <t>160100352835</t>
  </si>
  <si>
    <t>灵岩村九组2#公变低压台区</t>
  </si>
  <si>
    <t>160100352836</t>
  </si>
  <si>
    <t>富民路2#公变低压台区</t>
  </si>
  <si>
    <t>160100352837</t>
  </si>
  <si>
    <t>富民路1#公变低压台区</t>
  </si>
  <si>
    <t>160100352838</t>
  </si>
  <si>
    <t>石马村四组2#公变低压台区</t>
  </si>
  <si>
    <t>160100352839</t>
  </si>
  <si>
    <t>金江村一组2#公变低压台区</t>
  </si>
  <si>
    <t>160100352840</t>
  </si>
  <si>
    <t>金江村三组2#公变低压台区</t>
  </si>
  <si>
    <t>160100352841</t>
  </si>
  <si>
    <t>金江村三组1#公变低压台区</t>
  </si>
  <si>
    <t>160100352842</t>
  </si>
  <si>
    <t>金江村二组公变低压台区</t>
  </si>
  <si>
    <t>160100352843</t>
  </si>
  <si>
    <t>金江村四组公变低压台区</t>
  </si>
  <si>
    <t>160100352844</t>
  </si>
  <si>
    <t>勤俭村2#公变低压台区</t>
  </si>
  <si>
    <t>160100352845</t>
  </si>
  <si>
    <t>石马村四组1#公变低压台区</t>
  </si>
  <si>
    <t>160100352846</t>
  </si>
  <si>
    <t>灵岩村六组公变低压台区</t>
  </si>
  <si>
    <t>160100352847</t>
  </si>
  <si>
    <t>永桂村九组公变低压台区</t>
  </si>
  <si>
    <t>160100352848</t>
  </si>
  <si>
    <t>民主村十组公变 低压台区</t>
  </si>
  <si>
    <t>160100352849</t>
  </si>
  <si>
    <t>百花村二组公变 低压台区</t>
  </si>
  <si>
    <t>160100352850</t>
  </si>
  <si>
    <t>凉水2#公变低压台区</t>
  </si>
  <si>
    <t>160100352851</t>
  </si>
  <si>
    <t>积善村公变 低压台区</t>
  </si>
  <si>
    <t>160100352852</t>
  </si>
  <si>
    <t>三圣村1#公变低压台区</t>
  </si>
  <si>
    <t>160100352853</t>
  </si>
  <si>
    <t>三圣村2#公变低压台区</t>
  </si>
  <si>
    <t>160100352854</t>
  </si>
  <si>
    <t>双红村2#公变低压台区</t>
  </si>
  <si>
    <t>160100352855</t>
  </si>
  <si>
    <t>丰乐街村1#公变低压台区</t>
  </si>
  <si>
    <t>160100352856</t>
  </si>
  <si>
    <t>桂花所2#公变低压台区</t>
  </si>
  <si>
    <t>160100352857</t>
  </si>
  <si>
    <t>桂花街村1#低压台区</t>
  </si>
  <si>
    <t>160100352858</t>
  </si>
  <si>
    <t>丰乐社区龙桥安置点 低压台区</t>
  </si>
  <si>
    <t>160100352859</t>
  </si>
  <si>
    <t>插旗村公变 低压台区</t>
  </si>
  <si>
    <t>160100352860</t>
  </si>
  <si>
    <t>插旗10社公变 低压台区</t>
  </si>
  <si>
    <t>160100352861</t>
  </si>
  <si>
    <t>乌木村公变 低压台区</t>
  </si>
  <si>
    <t>160100352862</t>
  </si>
  <si>
    <t>普安村公变 低压台区</t>
  </si>
  <si>
    <t>160100352863</t>
  </si>
  <si>
    <t>石花村公变 低压台区</t>
  </si>
  <si>
    <t>160100352864</t>
  </si>
  <si>
    <t>两河村1#公变低压台区</t>
  </si>
  <si>
    <t>160100352865</t>
  </si>
  <si>
    <t>石花2#安置点公变 低压台区</t>
  </si>
  <si>
    <t>160100352866</t>
  </si>
  <si>
    <t>一龙村1#公变低压台区</t>
  </si>
  <si>
    <t>160100352867</t>
  </si>
  <si>
    <t>灯塔村2#安置点公变 低压台区</t>
  </si>
  <si>
    <t>160100352868</t>
  </si>
  <si>
    <t>四砖厂公变 低压台区</t>
  </si>
  <si>
    <t>160100352869</t>
  </si>
  <si>
    <t>龙头2#公变低压台区</t>
  </si>
  <si>
    <t>160100352870</t>
  </si>
  <si>
    <t>利济7#公变低压台区</t>
  </si>
  <si>
    <t>160100352871</t>
  </si>
  <si>
    <t>豹子2#公变低压台区</t>
  </si>
  <si>
    <t>160100352872</t>
  </si>
  <si>
    <t>利济3#公变低压台区</t>
  </si>
  <si>
    <t>160100352873</t>
  </si>
  <si>
    <t>利济2#公变低压台区</t>
  </si>
  <si>
    <t>160100352874</t>
  </si>
  <si>
    <t>桂花街村5#低压台区</t>
  </si>
  <si>
    <t>160100352875</t>
  </si>
  <si>
    <t>桂花镇双红村5.6组公变 低压台区</t>
  </si>
  <si>
    <t>160100352876</t>
  </si>
  <si>
    <t>灯塔1#公变低压台区</t>
  </si>
  <si>
    <t>160100352877</t>
  </si>
  <si>
    <t>双林2#公变低压台区</t>
  </si>
  <si>
    <t>160100352878</t>
  </si>
  <si>
    <t>盘龙西街公变低压台区</t>
  </si>
  <si>
    <t>160100352879</t>
  </si>
  <si>
    <t>桂花高峰村1#安置点公变 低压台区</t>
  </si>
  <si>
    <t>160100352880</t>
  </si>
  <si>
    <t>雪岩村公变 低压台区</t>
  </si>
  <si>
    <t>160100352881</t>
  </si>
  <si>
    <t>利济5#公变低压台区</t>
  </si>
  <si>
    <t>160100352882</t>
  </si>
  <si>
    <t>龙桥安置点公变 低压台区</t>
  </si>
  <si>
    <t>160100352883</t>
  </si>
  <si>
    <t>丹景村1#公变低压台区</t>
  </si>
  <si>
    <t>160100352884</t>
  </si>
  <si>
    <t>丹桂苑2#箱变低压台区</t>
  </si>
  <si>
    <t>160100352885</t>
  </si>
  <si>
    <t>茶山1#公变低压台区</t>
  </si>
  <si>
    <t>160100352886</t>
  </si>
  <si>
    <t>丹景村2#公变低压台区</t>
  </si>
  <si>
    <t>160100352887</t>
  </si>
  <si>
    <t>集埝村1#公变低压台区</t>
  </si>
  <si>
    <t>160100352888</t>
  </si>
  <si>
    <t>政府街公变 低压台区</t>
  </si>
  <si>
    <t>160100352889</t>
  </si>
  <si>
    <t>南安5#公变低压台区</t>
  </si>
  <si>
    <t>160100352890</t>
  </si>
  <si>
    <t>南安1#公变低压台区</t>
  </si>
  <si>
    <t>160100352891</t>
  </si>
  <si>
    <t>白塔桥公变 低压台区</t>
  </si>
  <si>
    <t>160100352892</t>
  </si>
  <si>
    <t>陈家院子公变低压台区</t>
  </si>
  <si>
    <t>160100352893</t>
  </si>
  <si>
    <t>南安4#公变低压台区</t>
  </si>
  <si>
    <t>160100352894</t>
  </si>
  <si>
    <t>丹香苑5#箱变低压台区</t>
  </si>
  <si>
    <t>160100352895</t>
  </si>
  <si>
    <t>五一村二组公变 低压台区</t>
  </si>
  <si>
    <t>160100352896</t>
  </si>
  <si>
    <t>幸福村五组公变 低压台区</t>
  </si>
  <si>
    <t>160100352897</t>
  </si>
  <si>
    <t>文家村四组公变 低压台区</t>
  </si>
  <si>
    <t>160100352898</t>
  </si>
  <si>
    <t>金山村二组公变 低压台区</t>
  </si>
  <si>
    <t>160100352899</t>
  </si>
  <si>
    <t>西北村十组公变 低压台区</t>
  </si>
  <si>
    <t>160100352900</t>
  </si>
  <si>
    <t>街村3号公变 低压台区</t>
  </si>
  <si>
    <t>160100352901</t>
  </si>
  <si>
    <t>街村1号公变 低压台区</t>
  </si>
  <si>
    <t>160100352902</t>
  </si>
  <si>
    <t>大泉村二组公变 低压台区</t>
  </si>
  <si>
    <t>160100352903</t>
  </si>
  <si>
    <t>新润村四组公变 低压台区</t>
  </si>
  <si>
    <t>160100352904</t>
  </si>
  <si>
    <t>金山村七组公变 低压台区</t>
  </si>
  <si>
    <t>160100352905</t>
  </si>
  <si>
    <t>九九村六组公变 低压台区</t>
  </si>
  <si>
    <t>160100352906</t>
  </si>
  <si>
    <t>九九村二组公变 低压台区</t>
  </si>
  <si>
    <t>160100352907</t>
  </si>
  <si>
    <t>永丰村二组公变 低压台区</t>
  </si>
  <si>
    <t>160100352908</t>
  </si>
  <si>
    <t>同德村四组公变 低压台区</t>
  </si>
  <si>
    <t>160100352909</t>
  </si>
  <si>
    <t>西北村六组公变 低压台区</t>
  </si>
  <si>
    <t>160100352910</t>
  </si>
  <si>
    <t>街村4号公变 低压台区</t>
  </si>
  <si>
    <t>160100352911</t>
  </si>
  <si>
    <t>西北村二组公变 低压台区</t>
  </si>
  <si>
    <t>160100352912</t>
  </si>
  <si>
    <t>金山村四组公变 低压台区</t>
  </si>
  <si>
    <t>160100352913</t>
  </si>
  <si>
    <t>西北村七组公变 低压台区</t>
  </si>
  <si>
    <t>160100352914</t>
  </si>
  <si>
    <t>八角村四组公变 低压台区</t>
  </si>
  <si>
    <t>160100352915</t>
  </si>
  <si>
    <t>双埝村七组公变 低压台区</t>
  </si>
  <si>
    <t>160100352916</t>
  </si>
  <si>
    <t>丰林苑四号配变 低压台区</t>
  </si>
  <si>
    <t>160100352917</t>
  </si>
  <si>
    <t>永丰村一组公变 低压台区</t>
  </si>
  <si>
    <t>160100352918</t>
  </si>
  <si>
    <t>齐心3组公变 低压台区</t>
  </si>
  <si>
    <t>160100352919</t>
  </si>
  <si>
    <t>齐心4组公变 低压台区</t>
  </si>
  <si>
    <t>160100352920</t>
  </si>
  <si>
    <t>长河安置点1#低压台区</t>
  </si>
  <si>
    <t>160100352921</t>
  </si>
  <si>
    <t>蒲阳镇插旗4组公变 低压台区</t>
  </si>
  <si>
    <t>160100352922</t>
  </si>
  <si>
    <t>蒲阳镇佛来5组公变 低压台区</t>
  </si>
  <si>
    <t>160100352923</t>
  </si>
  <si>
    <t>蒲阳场镇1#公变低压台区</t>
  </si>
  <si>
    <t>160100352924</t>
  </si>
  <si>
    <t>蒲阳兴鑫小区3#变 低压台区</t>
  </si>
  <si>
    <t>160100352925</t>
  </si>
  <si>
    <t>南溪5组公变 低压台区</t>
  </si>
  <si>
    <t>160100352926</t>
  </si>
  <si>
    <t>同义8组公变 低压台区</t>
  </si>
  <si>
    <t>160100352927</t>
  </si>
  <si>
    <t>银杏6组公变 低压台区</t>
  </si>
  <si>
    <t>160100352928</t>
  </si>
  <si>
    <t>兴隆小区5号 低压台区</t>
  </si>
  <si>
    <t>160100352929</t>
  </si>
  <si>
    <t>回龙5组 低压台区</t>
  </si>
  <si>
    <t>160100352930</t>
  </si>
  <si>
    <t>蟠龙提灌公变低压台区</t>
  </si>
  <si>
    <t>160100352931</t>
  </si>
  <si>
    <t>160100352932</t>
  </si>
  <si>
    <t>兴鑫小区3#变 低压台区</t>
  </si>
  <si>
    <t>160100352933</t>
  </si>
  <si>
    <t>栏厢村9组公变 低压台区</t>
  </si>
  <si>
    <t>160100352934</t>
  </si>
  <si>
    <t>建设A区4#低压台区</t>
  </si>
  <si>
    <t>160100352935</t>
  </si>
  <si>
    <t>建设A区3号 低压台区</t>
  </si>
  <si>
    <t>160100352936</t>
  </si>
  <si>
    <t>楠坪2组2#低压台区</t>
  </si>
  <si>
    <t>160100352937</t>
  </si>
  <si>
    <t>蒲阳回龙机砖厂公变 低压台区</t>
  </si>
  <si>
    <t>160100352938</t>
  </si>
  <si>
    <t>蒲阳镇插旗2组公变 低压台区</t>
  </si>
  <si>
    <t>160100352939</t>
  </si>
  <si>
    <t>银杏村4#安置点 低压台区</t>
  </si>
  <si>
    <t>160100352940</t>
  </si>
  <si>
    <t>蒲阳镇栏厢村3组 低压台区</t>
  </si>
  <si>
    <t>160100352941</t>
  </si>
  <si>
    <t>蒲阳镇银杏6组公变 低压台区</t>
  </si>
  <si>
    <t>160100352942</t>
  </si>
  <si>
    <t>建设A区8#低压台区</t>
  </si>
  <si>
    <t>160100352943</t>
  </si>
  <si>
    <t>长林村新台区低压台区</t>
  </si>
  <si>
    <t>160100352944</t>
  </si>
  <si>
    <t>场镇1#公变低压台区</t>
  </si>
  <si>
    <t>160100352945</t>
  </si>
  <si>
    <t>场镇4#公变低压台区</t>
  </si>
  <si>
    <t>160100352946</t>
  </si>
  <si>
    <t>白果场镇低压台区</t>
  </si>
  <si>
    <t>160100352947</t>
  </si>
  <si>
    <t>花溪7组 低压台区</t>
  </si>
  <si>
    <t>160100352948</t>
  </si>
  <si>
    <t>茶房新村2#公变低压台区</t>
  </si>
  <si>
    <t>160100352949</t>
  </si>
  <si>
    <t>李家山公变 低压台区</t>
  </si>
  <si>
    <t>160100352950</t>
  </si>
  <si>
    <t>东林五组公变低压台区</t>
  </si>
  <si>
    <t>160100352951</t>
  </si>
  <si>
    <t>花龙村公变 低压台区</t>
  </si>
  <si>
    <t>160100352952</t>
  </si>
  <si>
    <t>石碑二组公变低压台区</t>
  </si>
  <si>
    <t>160100352953</t>
  </si>
  <si>
    <t>红火新村1#公变低压台区</t>
  </si>
  <si>
    <t>160100352954</t>
  </si>
  <si>
    <t>石观音公变 低压台区</t>
  </si>
  <si>
    <t>160100352955</t>
  </si>
  <si>
    <t>虹槐村公变 低压台区</t>
  </si>
  <si>
    <t>160100352956</t>
  </si>
  <si>
    <t>苏麻地公变 低压台区</t>
  </si>
  <si>
    <t>160100352957</t>
  </si>
  <si>
    <t>红光村公变 低压台区</t>
  </si>
  <si>
    <t>160100352958</t>
  </si>
  <si>
    <t>檬梓树安置点1#公变低压台区</t>
  </si>
  <si>
    <t>160100352959</t>
  </si>
  <si>
    <t>鹿池二组公变低压台区</t>
  </si>
  <si>
    <t>160100352960</t>
  </si>
  <si>
    <t>君山村公变 低压台区</t>
  </si>
  <si>
    <t>160100352961</t>
  </si>
  <si>
    <t>老街公变低压台区</t>
  </si>
  <si>
    <t>160100352962</t>
  </si>
  <si>
    <t>大湾村3#公变低压台区</t>
  </si>
  <si>
    <t>160100352963</t>
  </si>
  <si>
    <t>董坪村3#公变低压台区</t>
  </si>
  <si>
    <t>160100352964</t>
  </si>
  <si>
    <t>太子村2#公变低压台区</t>
  </si>
  <si>
    <t>160100352965</t>
  </si>
  <si>
    <t>草坝村2#公变低压台区</t>
  </si>
  <si>
    <t>160100352966</t>
  </si>
  <si>
    <t>大楠村公变 低压台区</t>
  </si>
  <si>
    <t>160100352967</t>
  </si>
  <si>
    <t>罗阳村1#公变低压台区</t>
  </si>
  <si>
    <t>160100352968</t>
  </si>
  <si>
    <t>江桥人家公变低压台区</t>
  </si>
  <si>
    <t>160100352969</t>
  </si>
  <si>
    <t>太子村公变 低压台区</t>
  </si>
  <si>
    <t>160100352970</t>
  </si>
  <si>
    <t>丙人街公变 低压台区</t>
  </si>
  <si>
    <t>160100352971</t>
  </si>
  <si>
    <t>罗阳村二标公变 低压台区</t>
  </si>
  <si>
    <t>160100352972</t>
  </si>
  <si>
    <t>罗阳村三标公变 低压台区</t>
  </si>
  <si>
    <t>160100352973</t>
  </si>
  <si>
    <t>江桥村公变 低压台区</t>
  </si>
  <si>
    <t>160100352974</t>
  </si>
  <si>
    <t>鱼洞村2#公变低压台区</t>
  </si>
  <si>
    <t>160100352975</t>
  </si>
  <si>
    <t>罗阳村2#公变低压台区</t>
  </si>
  <si>
    <t>160100352976</t>
  </si>
  <si>
    <t>大湾村1#公变低压台区</t>
  </si>
  <si>
    <t>160100352977</t>
  </si>
  <si>
    <t>董坪村1#公变低压台区</t>
  </si>
  <si>
    <t>160100356817</t>
  </si>
  <si>
    <t>10kV金铁一路檬梓村2组配变220V线路</t>
  </si>
  <si>
    <t>160100356818</t>
  </si>
  <si>
    <t>160100356819</t>
  </si>
  <si>
    <t>10kV金铁一路檬梓村5组配变380V线路</t>
  </si>
  <si>
    <t>160100356820</t>
  </si>
  <si>
    <t>160100356821</t>
  </si>
  <si>
    <t>160100356822</t>
  </si>
  <si>
    <t>10kV金铁一路檬梓村5组配变220V线路</t>
  </si>
  <si>
    <t>160100356823</t>
  </si>
  <si>
    <t>160100356824</t>
  </si>
  <si>
    <t>10kV金铁一路龙泉村1组配变380V线路</t>
  </si>
  <si>
    <t>160100356825</t>
  </si>
  <si>
    <t>160100356826</t>
  </si>
  <si>
    <t>160100356827</t>
  </si>
  <si>
    <t>10kV金铁一路龙泉村1组配变220V线路</t>
  </si>
  <si>
    <t>160100356828</t>
  </si>
  <si>
    <t>160100356829</t>
  </si>
  <si>
    <t>10kV金铁一路龙泉村2组配变380V线路</t>
  </si>
  <si>
    <t>160100356830</t>
  </si>
  <si>
    <t>160100356831</t>
  </si>
  <si>
    <t>10kV金铁一路龙泉村2组配变220V线路</t>
  </si>
  <si>
    <t>160100356832</t>
  </si>
  <si>
    <t>160100356833</t>
  </si>
  <si>
    <t>160100356834</t>
  </si>
  <si>
    <t>160100356835</t>
  </si>
  <si>
    <t>160100356836</t>
  </si>
  <si>
    <t>10kV金铁一路黄鹤村七组配变380V线路</t>
  </si>
  <si>
    <t>160100356837</t>
  </si>
  <si>
    <t>160100356838</t>
  </si>
  <si>
    <t>160100356839</t>
  </si>
  <si>
    <t>10kV金铁一路黄鹤村七组配变220V线路</t>
  </si>
  <si>
    <t>160100356840</t>
  </si>
  <si>
    <t>160100356841</t>
  </si>
  <si>
    <t>160100356842</t>
  </si>
  <si>
    <t>10kV崇双路大桥村13组配变380V线路</t>
  </si>
  <si>
    <t>160100356843</t>
  </si>
  <si>
    <t>10kV崇双路大桥村13组配变220V线路</t>
  </si>
  <si>
    <t>160100356844</t>
  </si>
  <si>
    <t>160100356845</t>
  </si>
  <si>
    <t>10kV崇电路大桥村1#配变380V线路</t>
  </si>
  <si>
    <t>160100356846</t>
  </si>
  <si>
    <t>160100356847</t>
  </si>
  <si>
    <t>10kV崇电路大桥村1#配变220V线路</t>
  </si>
  <si>
    <t>160100356848</t>
  </si>
  <si>
    <t>10kV崇双路桂桥村六组配变380V线路</t>
  </si>
  <si>
    <t>160100356849</t>
  </si>
  <si>
    <t>160100356850</t>
  </si>
  <si>
    <t>10kV崇双路桂桥村六组配变200V线路</t>
  </si>
  <si>
    <t>160100356851</t>
  </si>
  <si>
    <t>10kV崇双路桂桥村三组配变380V线路</t>
  </si>
  <si>
    <t>160100356852</t>
  </si>
  <si>
    <t>160100356853</t>
  </si>
  <si>
    <t>10kV崇双路桂桥村三组配变220V线路</t>
  </si>
  <si>
    <t>160100356854</t>
  </si>
  <si>
    <t>160100356855</t>
  </si>
  <si>
    <t>10kV崇双路桂桥村二组配变380V线路</t>
  </si>
  <si>
    <t>160100356856</t>
  </si>
  <si>
    <t>10kV崇双路桂桥村二组配变220V线路</t>
  </si>
  <si>
    <t>160100356857</t>
  </si>
  <si>
    <t>10kV金府路永洪村1组配变380V线路</t>
  </si>
  <si>
    <t>160100356858</t>
  </si>
  <si>
    <t>160100356859</t>
  </si>
  <si>
    <t>10kV金府路永洪村1组配变220V线路</t>
  </si>
  <si>
    <t>160100356860</t>
  </si>
  <si>
    <t>160100356861</t>
  </si>
  <si>
    <t>10kV崇双路横山村2#配变380V线路</t>
  </si>
  <si>
    <t>160100356862</t>
  </si>
  <si>
    <t>160100356863</t>
  </si>
  <si>
    <t>10kV崇双路横山村2#配变220V线路</t>
  </si>
  <si>
    <t>160100356864</t>
  </si>
  <si>
    <t>10kV崇双路横山村7组配变380V线路</t>
  </si>
  <si>
    <t>160100356865</t>
  </si>
  <si>
    <t>160100356866</t>
  </si>
  <si>
    <t>10kV崇双路横山村7组配变220V线路</t>
  </si>
  <si>
    <t>160100356867</t>
  </si>
  <si>
    <t>10kV崇双路永洪村四组配变380V线路</t>
  </si>
  <si>
    <t>160100356868</t>
  </si>
  <si>
    <t>160100356869</t>
  </si>
  <si>
    <t>10kV崇双路永洪村四组配变220V线路</t>
  </si>
  <si>
    <t>160100356870</t>
  </si>
  <si>
    <t>10kV金铁一路迎祥三组配变380V线路</t>
  </si>
  <si>
    <t>160100356871</t>
  </si>
  <si>
    <t>160100356872</t>
  </si>
  <si>
    <t>160100356873</t>
  </si>
  <si>
    <t>10kV金铁一路迎祥三组配变220V线路</t>
  </si>
  <si>
    <t>160100356874</t>
  </si>
  <si>
    <t>160100356875</t>
  </si>
  <si>
    <t>10kV金铁一路迎祥四组配变380V线路</t>
  </si>
  <si>
    <t>160100356876</t>
  </si>
  <si>
    <t>160100356877</t>
  </si>
  <si>
    <t>160100356878</t>
  </si>
  <si>
    <t>10kV金铁一路迎祥四组配变220V线路</t>
  </si>
  <si>
    <t>160100356879</t>
  </si>
  <si>
    <t>160100356880</t>
  </si>
  <si>
    <t>160100356881</t>
  </si>
  <si>
    <t>10kV金铁一路迎祥七组配变380V线路</t>
  </si>
  <si>
    <t>160100356882</t>
  </si>
  <si>
    <t>160100356883</t>
  </si>
  <si>
    <t>160100356884</t>
  </si>
  <si>
    <t>10kV金铁一路迎祥七组配变220V线路</t>
  </si>
  <si>
    <t>160100356885</t>
  </si>
  <si>
    <t>160100356886</t>
  </si>
  <si>
    <t>160100356887</t>
  </si>
  <si>
    <t>10kV金铁一路迎祥八组配变380V线路</t>
  </si>
  <si>
    <t>160100356888</t>
  </si>
  <si>
    <t>160100356889</t>
  </si>
  <si>
    <t>10kV金铁一路迎祥八组配变220V线路</t>
  </si>
  <si>
    <t>160100356890</t>
  </si>
  <si>
    <t>160100356891</t>
  </si>
  <si>
    <t>160100356892</t>
  </si>
  <si>
    <t>10kV金黄路供电所1号公变380V线路</t>
  </si>
  <si>
    <t>160100356893</t>
  </si>
  <si>
    <t>160100356894</t>
  </si>
  <si>
    <t>160100356895</t>
  </si>
  <si>
    <t>10kV金黄路供电所1号公变220V线路</t>
  </si>
  <si>
    <t>160100356896</t>
  </si>
  <si>
    <t>160100356897</t>
  </si>
  <si>
    <t>160100356898</t>
  </si>
  <si>
    <t>160100356899</t>
  </si>
  <si>
    <t>10kV金铁一路迎祥十组配变380V线路</t>
  </si>
  <si>
    <t>160100356900</t>
  </si>
  <si>
    <t>160100356901</t>
  </si>
  <si>
    <t>10kV金铁一路迎祥十组配变220V线路</t>
  </si>
  <si>
    <t>160100356902</t>
  </si>
  <si>
    <t>160100356903</t>
  </si>
  <si>
    <t>10kV崇电路双土村二组公变380V线路</t>
  </si>
  <si>
    <t>160100356904</t>
  </si>
  <si>
    <t>160100356905</t>
  </si>
  <si>
    <t>160100356906</t>
  </si>
  <si>
    <t>160100356907</t>
  </si>
  <si>
    <t>10kV崇电路双土村二组公变220V线路</t>
  </si>
  <si>
    <t>160100356908</t>
  </si>
  <si>
    <t>160100356909</t>
  </si>
  <si>
    <t>160100356910</t>
  </si>
  <si>
    <t>10kV崇电路双土村三组公变380V线路</t>
  </si>
  <si>
    <t>160100356911</t>
  </si>
  <si>
    <t>160100356912</t>
  </si>
  <si>
    <t>160100356913</t>
  </si>
  <si>
    <t>10kV崇电路双土村三组公变220V线路</t>
  </si>
  <si>
    <t>160100356914</t>
  </si>
  <si>
    <t>160100356915</t>
  </si>
  <si>
    <t>10kV崇电路镇江六组配变380V线路</t>
  </si>
  <si>
    <t>160100356916</t>
  </si>
  <si>
    <t>160100356917</t>
  </si>
  <si>
    <t>160100356918</t>
  </si>
  <si>
    <t>10kV崇电路镇江六组配变220V线路</t>
  </si>
  <si>
    <t>160100356919</t>
  </si>
  <si>
    <t>160100356920</t>
  </si>
  <si>
    <t>160100356921</t>
  </si>
  <si>
    <t>160100356922</t>
  </si>
  <si>
    <t>10kV崇电路镇江五组配变380V线路</t>
  </si>
  <si>
    <t>160100356923</t>
  </si>
  <si>
    <t>160100356924</t>
  </si>
  <si>
    <t>160100356925</t>
  </si>
  <si>
    <t>160100356926</t>
  </si>
  <si>
    <t>10kV崇电路镇江五组配变220V线路</t>
  </si>
  <si>
    <t>160100356927</t>
  </si>
  <si>
    <t>160100356928</t>
  </si>
  <si>
    <t>10kV金府路永洪六组配变380V线路</t>
  </si>
  <si>
    <t>160100356929</t>
  </si>
  <si>
    <t>160100356930</t>
  </si>
  <si>
    <t>10kV金府路永洪六组配变220V线路</t>
  </si>
  <si>
    <t>160100356931</t>
  </si>
  <si>
    <t>160100356932</t>
  </si>
  <si>
    <t>160100357758</t>
  </si>
  <si>
    <t>成都都江堰房管局家属区低压台区</t>
  </si>
  <si>
    <t>160100357759</t>
  </si>
  <si>
    <t>成都都江堰烟草公司家属区低压台区</t>
  </si>
  <si>
    <t>160100357760</t>
  </si>
  <si>
    <t>成都都江堰观景苑低压台区</t>
  </si>
  <si>
    <t>160100357761</t>
  </si>
  <si>
    <t>成都都江堰聚源镇勤学路203号低压台区</t>
  </si>
  <si>
    <t>160100357762</t>
  </si>
  <si>
    <t>成都都江堰崇义镇长源小区2号楼低压台区</t>
  </si>
  <si>
    <t>160100357763</t>
  </si>
  <si>
    <t>10kV胥江路汶川水泥厂彩棚苑#1台变台区</t>
  </si>
  <si>
    <t>160100358073</t>
  </si>
  <si>
    <t>10kV香镇路东方瓷厂公变台区</t>
  </si>
  <si>
    <t>160100359101</t>
  </si>
  <si>
    <t>中国水电顾问集团成都勘测设计研究院（下基地）低压台区</t>
  </si>
  <si>
    <t>用户资产</t>
  </si>
  <si>
    <t>160100359102</t>
  </si>
  <si>
    <t>中国水电顾问集团成都勘测设计研究院（上基地）低压台区</t>
  </si>
  <si>
    <t>160100359103</t>
  </si>
  <si>
    <t>10kV灌城三路都电平义苑小区#1箱变低压台区</t>
  </si>
  <si>
    <t>160100359104</t>
  </si>
  <si>
    <t>10kV虹联路华宇小区#1箱变315KVA低压台区</t>
  </si>
  <si>
    <t>160100359105</t>
  </si>
  <si>
    <t>10kV胥江路省建六公司#1箱变低压台区</t>
  </si>
  <si>
    <t>160100359106</t>
  </si>
  <si>
    <t>10kV胥联路水电花园住宅#1箱变低压台区</t>
  </si>
  <si>
    <t>160100359107</t>
  </si>
  <si>
    <t>10kV胥玉路水电十局家属区#1箱变低压台区</t>
  </si>
  <si>
    <t>160100359108</t>
  </si>
  <si>
    <t>10kV胥玉路水电十局家属区#2箱变低压台区</t>
  </si>
  <si>
    <t>160100359109</t>
  </si>
  <si>
    <t>10kV胥玉路水电十局家属区#3箱变低压台区</t>
  </si>
  <si>
    <t>160100359110</t>
  </si>
  <si>
    <t>10kV胥观路水印长滩园中园#1台变低压台区</t>
  </si>
  <si>
    <t>160100359131</t>
  </si>
  <si>
    <t>10kV虹新路观凤小区#1公用台变台区</t>
  </si>
  <si>
    <t>160100359134</t>
  </si>
  <si>
    <t>2018年崇义低压台区</t>
  </si>
  <si>
    <t>160100359135</t>
  </si>
  <si>
    <t>2018年磁峰低压台区</t>
  </si>
  <si>
    <t>160100359136</t>
  </si>
  <si>
    <t>2018年大观低压台区</t>
  </si>
  <si>
    <t>160100359137</t>
  </si>
  <si>
    <t>2018年灌口低压台区</t>
  </si>
  <si>
    <t>160100359138</t>
  </si>
  <si>
    <t>2018年桂花低压台区</t>
  </si>
  <si>
    <t>160100359139</t>
  </si>
  <si>
    <t>2018年九陇低压台区</t>
  </si>
  <si>
    <t>160100359140</t>
  </si>
  <si>
    <t>2018年柳街低压台区</t>
  </si>
  <si>
    <t>160100359141</t>
  </si>
  <si>
    <t>2018年隆丰低压台区</t>
  </si>
  <si>
    <t>160100359142</t>
  </si>
  <si>
    <t>2018年蒲阳低压台区</t>
  </si>
  <si>
    <t>160100359143</t>
  </si>
  <si>
    <t>2018年青城山低压台区</t>
  </si>
  <si>
    <t>160100359144</t>
  </si>
  <si>
    <t>2018年石羊低压台区</t>
  </si>
  <si>
    <t>160100359145</t>
  </si>
  <si>
    <t>2018年天马低压台区</t>
  </si>
  <si>
    <t>160100359146</t>
  </si>
  <si>
    <t>2018年向峨低压台区</t>
  </si>
  <si>
    <t>160100359147</t>
  </si>
  <si>
    <t>2018年小鱼洞低压台区</t>
  </si>
  <si>
    <t>160100359148</t>
  </si>
  <si>
    <t>2018年新兴低压台区</t>
  </si>
  <si>
    <t>160100359149</t>
  </si>
  <si>
    <t>2018年胥家低压台区</t>
  </si>
  <si>
    <t>160100359150</t>
  </si>
  <si>
    <t>2018年中兴低压台区</t>
  </si>
  <si>
    <t>160100359151</t>
  </si>
  <si>
    <t>2018年紫坪铺低压台区</t>
  </si>
  <si>
    <t>160100360717</t>
  </si>
  <si>
    <t>10KV青石路蒲津村11组公变380V线路</t>
  </si>
  <si>
    <t>160100360718</t>
  </si>
  <si>
    <t>160100360719</t>
  </si>
  <si>
    <t>10KV青石路蒲津村11组公变220V线路</t>
  </si>
  <si>
    <t>160100360720</t>
  </si>
  <si>
    <t>160100360721</t>
  </si>
  <si>
    <t>10KV青石路蒲津村11组公变220V接户线路</t>
  </si>
  <si>
    <t>160100360722</t>
  </si>
  <si>
    <t>10kV柳洪路红熊村2号公变380V线路</t>
  </si>
  <si>
    <t>160100361188</t>
  </si>
  <si>
    <t>10kV灌城四线</t>
  </si>
  <si>
    <t>160200026045</t>
  </si>
  <si>
    <t>配电设备-其他</t>
  </si>
  <si>
    <t>配电设备</t>
  </si>
  <si>
    <t>160200026053</t>
  </si>
  <si>
    <t>真空开关</t>
  </si>
  <si>
    <t>160200026063</t>
  </si>
  <si>
    <t>配电变压器</t>
  </si>
  <si>
    <t>160200026065</t>
  </si>
  <si>
    <t>35KV磁丰10KV出线</t>
  </si>
  <si>
    <t>160200026074</t>
  </si>
  <si>
    <t>160200026076</t>
  </si>
  <si>
    <t>SF6断路器</t>
  </si>
  <si>
    <t>160200026078</t>
  </si>
  <si>
    <t>变压器</t>
  </si>
  <si>
    <t>160200026080</t>
  </si>
  <si>
    <t>10kV城奎路物资局公变</t>
  </si>
  <si>
    <t>160200026081</t>
  </si>
  <si>
    <t>无功补偿装置</t>
  </si>
  <si>
    <t>160200026083</t>
  </si>
  <si>
    <t>160200026094</t>
  </si>
  <si>
    <t>160200026099</t>
  </si>
  <si>
    <t>160200026100</t>
  </si>
  <si>
    <t>160200026101</t>
  </si>
  <si>
    <t>160200026103</t>
  </si>
  <si>
    <t>刀熔开关</t>
  </si>
  <si>
    <t>160200026114</t>
  </si>
  <si>
    <t>六氟化硫开关</t>
  </si>
  <si>
    <t>160200026115</t>
  </si>
  <si>
    <t>160200026116</t>
  </si>
  <si>
    <t>户外跌落式熔断器</t>
  </si>
  <si>
    <t>160200026126</t>
  </si>
  <si>
    <t>低压配电柜</t>
  </si>
  <si>
    <t>160200026127</t>
  </si>
  <si>
    <t>低压熔断器箱</t>
  </si>
  <si>
    <t>160200026131</t>
  </si>
  <si>
    <t>低压检修箱</t>
  </si>
  <si>
    <t>160200026132</t>
  </si>
  <si>
    <t>低压双电源切换箱</t>
  </si>
  <si>
    <t>160200026136</t>
  </si>
  <si>
    <t>160200026140</t>
  </si>
  <si>
    <t>低压配电屏</t>
  </si>
  <si>
    <t>160200026141</t>
  </si>
  <si>
    <t>160200026142</t>
  </si>
  <si>
    <t>160200026143</t>
  </si>
  <si>
    <t>动力配电箱</t>
  </si>
  <si>
    <t>160200026144</t>
  </si>
  <si>
    <t>160200026146</t>
  </si>
  <si>
    <t>防爆轴流通风机</t>
  </si>
  <si>
    <t>160200026147</t>
  </si>
  <si>
    <t>160200026148</t>
  </si>
  <si>
    <t>照明配电箱</t>
  </si>
  <si>
    <t>160200026149</t>
  </si>
  <si>
    <t>160200026150</t>
  </si>
  <si>
    <t>160200026151</t>
  </si>
  <si>
    <t>160200026152</t>
  </si>
  <si>
    <t>160200026153</t>
  </si>
  <si>
    <t>160200026154</t>
  </si>
  <si>
    <t>160200026156</t>
  </si>
  <si>
    <t>160200026157</t>
  </si>
  <si>
    <t>160200026158</t>
  </si>
  <si>
    <t>160200026159</t>
  </si>
  <si>
    <t>160200026160</t>
  </si>
  <si>
    <t>160200026162</t>
  </si>
  <si>
    <t>160200026163</t>
  </si>
  <si>
    <t>160200026164</t>
  </si>
  <si>
    <t>160200026165</t>
  </si>
  <si>
    <t>160200026167</t>
  </si>
  <si>
    <t>160200026173</t>
  </si>
  <si>
    <t>160200026176</t>
  </si>
  <si>
    <t>160200026179</t>
  </si>
  <si>
    <t>160200026182</t>
  </si>
  <si>
    <t>160200026184</t>
  </si>
  <si>
    <t>组合式互感器</t>
  </si>
  <si>
    <t>160200026188</t>
  </si>
  <si>
    <t>电表</t>
  </si>
  <si>
    <t>160200026190</t>
  </si>
  <si>
    <t>10kV崇双路崇义镇海云村11组公变</t>
  </si>
  <si>
    <t>160200026193</t>
  </si>
  <si>
    <t>160200026196</t>
  </si>
  <si>
    <t>160200026198</t>
  </si>
  <si>
    <t>160200026199</t>
  </si>
  <si>
    <t>160200026202</t>
  </si>
  <si>
    <t>上场公变</t>
  </si>
  <si>
    <t>160200026204</t>
  </si>
  <si>
    <t>160200026205</t>
  </si>
  <si>
    <t>160200026206</t>
  </si>
  <si>
    <t>160200026207</t>
  </si>
  <si>
    <t>10kV崇双路崇义镇界牌村八组公变</t>
  </si>
  <si>
    <t>160200026208</t>
  </si>
  <si>
    <t>青城花田公变</t>
  </si>
  <si>
    <t>160200026210</t>
  </si>
  <si>
    <t>中场公变</t>
  </si>
  <si>
    <t>160200026212</t>
  </si>
  <si>
    <t>组合互感器</t>
  </si>
  <si>
    <t>160200026216</t>
  </si>
  <si>
    <t>160200026221</t>
  </si>
  <si>
    <t>160200026226</t>
  </si>
  <si>
    <t>160200026227</t>
  </si>
  <si>
    <t>160200026228</t>
  </si>
  <si>
    <t>10kV青翠路青江支新桥四组公变</t>
  </si>
  <si>
    <t>160200026233</t>
  </si>
  <si>
    <t>10kV青中路场镇二台公变</t>
  </si>
  <si>
    <t>160200026234</t>
  </si>
  <si>
    <t>10kV青中路场镇四台公变</t>
  </si>
  <si>
    <t>160200026237</t>
  </si>
  <si>
    <t>10kV沿中线横山村公变</t>
  </si>
  <si>
    <t>160200026238</t>
  </si>
  <si>
    <t>10kV青中路金井村1号公变</t>
  </si>
  <si>
    <t>160200026239</t>
  </si>
  <si>
    <t>160200026240</t>
  </si>
  <si>
    <t>160200026241</t>
  </si>
  <si>
    <t>160200026243</t>
  </si>
  <si>
    <t>160200026244</t>
  </si>
  <si>
    <t>160200026245</t>
  </si>
  <si>
    <t>定山村2号配变</t>
  </si>
  <si>
    <t>160200026246</t>
  </si>
  <si>
    <t>160200026247</t>
  </si>
  <si>
    <t>160200026248</t>
  </si>
  <si>
    <t>160200026249</t>
  </si>
  <si>
    <t>160200026250</t>
  </si>
  <si>
    <t>160200026251</t>
  </si>
  <si>
    <t>小石村4号配变</t>
  </si>
  <si>
    <t>160200026252</t>
  </si>
  <si>
    <t>160200026253</t>
  </si>
  <si>
    <t>160200026254</t>
  </si>
  <si>
    <t>配电箱</t>
  </si>
  <si>
    <t>160200026255</t>
  </si>
  <si>
    <t>160200026256</t>
  </si>
  <si>
    <t>160200026257</t>
  </si>
  <si>
    <t>160200026258</t>
  </si>
  <si>
    <t>160200026259</t>
  </si>
  <si>
    <t>160200026266</t>
  </si>
  <si>
    <t>石佛一组公变</t>
  </si>
  <si>
    <t>160200026267</t>
  </si>
  <si>
    <t>160200026268</t>
  </si>
  <si>
    <t>160200026270</t>
  </si>
  <si>
    <t>160200026271</t>
  </si>
  <si>
    <t>160200026275</t>
  </si>
  <si>
    <t>160200026284</t>
  </si>
  <si>
    <t>160200026287</t>
  </si>
  <si>
    <t>10kV青大路大观镇大观社区场镇四号公变</t>
  </si>
  <si>
    <t>160200026296</t>
  </si>
  <si>
    <t>160200026298</t>
  </si>
  <si>
    <t>160200026299</t>
  </si>
  <si>
    <t>160200026300</t>
  </si>
  <si>
    <t>160200026302</t>
  </si>
  <si>
    <t>160200026303</t>
  </si>
  <si>
    <t>160200026304</t>
  </si>
  <si>
    <t>160200026305</t>
  </si>
  <si>
    <t>160200026306</t>
  </si>
  <si>
    <t>160200026307</t>
  </si>
  <si>
    <t>160200026308</t>
  </si>
  <si>
    <t>160200026309</t>
  </si>
  <si>
    <t>160200026310</t>
  </si>
  <si>
    <t>160200026311</t>
  </si>
  <si>
    <t>160200026312</t>
  </si>
  <si>
    <t>160200026313</t>
  </si>
  <si>
    <t>160200026314</t>
  </si>
  <si>
    <t>160200026315</t>
  </si>
  <si>
    <t>160200026316</t>
  </si>
  <si>
    <t>160200026321</t>
  </si>
  <si>
    <t>160200026322</t>
  </si>
  <si>
    <t>160200026323</t>
  </si>
  <si>
    <t>160200026324</t>
  </si>
  <si>
    <t>160200026325</t>
  </si>
  <si>
    <t>160200026326</t>
  </si>
  <si>
    <t>10kV香隆二路双埝村四组公变</t>
  </si>
  <si>
    <t>160200026327</t>
  </si>
  <si>
    <t>160200026328</t>
  </si>
  <si>
    <t>160200026329</t>
  </si>
  <si>
    <t>160200026330</t>
  </si>
  <si>
    <t>160200026331</t>
  </si>
  <si>
    <t>160200026332</t>
  </si>
  <si>
    <t>160200026333</t>
  </si>
  <si>
    <t>160200026334</t>
  </si>
  <si>
    <t>160200026345</t>
  </si>
  <si>
    <t>160200026354</t>
  </si>
  <si>
    <t>160200026355</t>
  </si>
  <si>
    <t>商业街公变</t>
  </si>
  <si>
    <t>160200026358</t>
  </si>
  <si>
    <t>10kV沿中线金井二号公变</t>
  </si>
  <si>
    <t>160200026360</t>
  </si>
  <si>
    <t>外北街公变</t>
  </si>
  <si>
    <t>160200026362</t>
  </si>
  <si>
    <t>王家桥公变</t>
  </si>
  <si>
    <t>160200026364</t>
  </si>
  <si>
    <t>10kV灌城三路富民路3号配变</t>
  </si>
  <si>
    <t>160200026366</t>
  </si>
  <si>
    <t>物资局公变</t>
  </si>
  <si>
    <t>160200026367</t>
  </si>
  <si>
    <t>解放小区公变</t>
  </si>
  <si>
    <t>160200026368</t>
  </si>
  <si>
    <t>观景路1号公变</t>
  </si>
  <si>
    <t>160200026370</t>
  </si>
  <si>
    <t>10kV沿中线金井村六组公变</t>
  </si>
  <si>
    <t>160200026371</t>
  </si>
  <si>
    <t>10kV沿中线龙凤村八组安置点公变</t>
  </si>
  <si>
    <t>160200026373</t>
  </si>
  <si>
    <t>160200026374</t>
  </si>
  <si>
    <t>10kV青中路梅花村公变</t>
  </si>
  <si>
    <t>160200026375</t>
  </si>
  <si>
    <t>10kV青中路中兴镇梅花二组公变</t>
  </si>
  <si>
    <t>160200026376</t>
  </si>
  <si>
    <t>10kV沿中线三角村二号公变</t>
  </si>
  <si>
    <t>160200026377</t>
  </si>
  <si>
    <t>160200026392</t>
  </si>
  <si>
    <t>160200026393</t>
  </si>
  <si>
    <t>160200026394</t>
  </si>
  <si>
    <t>160200026395</t>
  </si>
  <si>
    <t>160200026396</t>
  </si>
  <si>
    <t>160200026397</t>
  </si>
  <si>
    <t>160200026398</t>
  </si>
  <si>
    <t>160200026399</t>
  </si>
  <si>
    <t>160200026400</t>
  </si>
  <si>
    <t>160200026401</t>
  </si>
  <si>
    <t>160200026402</t>
  </si>
  <si>
    <t>160200026403</t>
  </si>
  <si>
    <t>160200026404</t>
  </si>
  <si>
    <t>160200026405</t>
  </si>
  <si>
    <t>160200026406</t>
  </si>
  <si>
    <t>160200026407</t>
  </si>
  <si>
    <t>160200026408</t>
  </si>
  <si>
    <t>160200026409</t>
  </si>
  <si>
    <t>160200026410</t>
  </si>
  <si>
    <t>10kV蒲驾路供电所2号公变</t>
  </si>
  <si>
    <t>160200026460</t>
  </si>
  <si>
    <t>160200026461</t>
  </si>
  <si>
    <t>10kV蒲驾路共和村1号公变</t>
  </si>
  <si>
    <t>160200026462</t>
  </si>
  <si>
    <t>160200026463</t>
  </si>
  <si>
    <t>10KV蒲驾路共和村4号公变</t>
  </si>
  <si>
    <t>160200026466</t>
  </si>
  <si>
    <t>10kV青中路三角一台公变</t>
  </si>
  <si>
    <t>160200026467</t>
  </si>
  <si>
    <t>万岭村公变</t>
  </si>
  <si>
    <t>160200026470</t>
  </si>
  <si>
    <t>160200026473</t>
  </si>
  <si>
    <t>160200026479</t>
  </si>
  <si>
    <t>160200026484</t>
  </si>
  <si>
    <t>160200026485</t>
  </si>
  <si>
    <t>解放小区1号公变</t>
  </si>
  <si>
    <t>160200026488</t>
  </si>
  <si>
    <t>解放小区4号公变</t>
  </si>
  <si>
    <t>160200026491</t>
  </si>
  <si>
    <t>160200026492</t>
  </si>
  <si>
    <t>10kV胥观路物资局公变</t>
  </si>
  <si>
    <t>160200026493</t>
  </si>
  <si>
    <t>豹子村1#变台</t>
  </si>
  <si>
    <t>160200026494</t>
  </si>
  <si>
    <t>10kV沿中线上元小区公变</t>
  </si>
  <si>
    <t>160200026497</t>
  </si>
  <si>
    <t>10kV蒲驾路共和七组公变</t>
  </si>
  <si>
    <t>160200026498</t>
  </si>
  <si>
    <t>10kV香桂路仁和1号公变</t>
  </si>
  <si>
    <t>160200026499</t>
  </si>
  <si>
    <t>10kV香桂路仁和3号公变</t>
  </si>
  <si>
    <t>160200026500</t>
  </si>
  <si>
    <t>利济公变</t>
  </si>
  <si>
    <t>160200026501</t>
  </si>
  <si>
    <t>10kV青中路新桥支永安下段公变</t>
  </si>
  <si>
    <t>160200026502</t>
  </si>
  <si>
    <t>10kV香桂路桂花镇桂花社区三号公变</t>
  </si>
  <si>
    <t>160200026503</t>
  </si>
  <si>
    <t>桂花街村变台</t>
  </si>
  <si>
    <t>160200026504</t>
  </si>
  <si>
    <t>10kV香桂路桂花镇双红村三号公变</t>
  </si>
  <si>
    <t>160200026506</t>
  </si>
  <si>
    <t>供电所5#（凉风村）变台</t>
  </si>
  <si>
    <t>160200026507</t>
  </si>
  <si>
    <t>10kV青中路新桥支永兴九组公变</t>
  </si>
  <si>
    <t>160200026508</t>
  </si>
  <si>
    <t>10kV青翠路新桥支永兴九组公变</t>
  </si>
  <si>
    <t>160200026511</t>
  </si>
  <si>
    <t>10kV青中路新桥支永兴六组公变</t>
  </si>
  <si>
    <t>160200026513</t>
  </si>
  <si>
    <t>10kV香桂路雪岩村公变</t>
  </si>
  <si>
    <t>160200026514</t>
  </si>
  <si>
    <t>10kV香桂路一龙村公变</t>
  </si>
  <si>
    <t>160200026516</t>
  </si>
  <si>
    <t>10kV青中路沿江村公变</t>
  </si>
  <si>
    <t>160200026517</t>
  </si>
  <si>
    <t>一龙村三社变台</t>
  </si>
  <si>
    <t>160200026518</t>
  </si>
  <si>
    <t>10kV沿中线永胜四号公变</t>
  </si>
  <si>
    <t>160200026519</t>
  </si>
  <si>
    <t>10kV香桂路白羊2号公变</t>
  </si>
  <si>
    <t>160200026523</t>
  </si>
  <si>
    <t>160200026525</t>
  </si>
  <si>
    <t>160200026526</t>
  </si>
  <si>
    <t>160200026528</t>
  </si>
  <si>
    <t>10kV香桂路龙头村1号公变</t>
  </si>
  <si>
    <t>160200026529</t>
  </si>
  <si>
    <t>160200026530</t>
  </si>
  <si>
    <t>160200026531</t>
  </si>
  <si>
    <t>10kV蒲驾路金山1号公变</t>
  </si>
  <si>
    <t>160200026534</t>
  </si>
  <si>
    <t>10kV蒲驾路金山3号公变</t>
  </si>
  <si>
    <t>160200026535</t>
  </si>
  <si>
    <t>10kV蒲驾路金山村2号公变</t>
  </si>
  <si>
    <t>160200026536</t>
  </si>
  <si>
    <t>10KV蒲驾路匡家1号公变</t>
  </si>
  <si>
    <t>160200026537</t>
  </si>
  <si>
    <t>10kV蒲驾路匡家四组公变</t>
  </si>
  <si>
    <t>160200026538</t>
  </si>
  <si>
    <t>10kV蒲驾路南海4号公变</t>
  </si>
  <si>
    <t>160200026539</t>
  </si>
  <si>
    <t>10kV虹太路天乙商座分支箱1#公变</t>
  </si>
  <si>
    <t>160200026540</t>
  </si>
  <si>
    <t>160200026541</t>
  </si>
  <si>
    <t>160200026542</t>
  </si>
  <si>
    <t>160200026543</t>
  </si>
  <si>
    <t>10kV蒲驾路胥家镇金胜村胜利一号公变</t>
  </si>
  <si>
    <t>160200026544</t>
  </si>
  <si>
    <t>10kV蒲驾路胥家镇新民村新民二号公变</t>
  </si>
  <si>
    <t>160200026545</t>
  </si>
  <si>
    <t>10kV蒲桂路胥家镇共和村三号公变</t>
  </si>
  <si>
    <t>160200026550</t>
  </si>
  <si>
    <t>10kV蒲驾路胜利中心村公变</t>
  </si>
  <si>
    <t>160200026551</t>
  </si>
  <si>
    <t>10kV蒲驾路石龙四组公变</t>
  </si>
  <si>
    <t>160200026552</t>
  </si>
  <si>
    <t>10kV蒲驾路实践2号公变</t>
  </si>
  <si>
    <t>160200026553</t>
  </si>
  <si>
    <t>160200026554</t>
  </si>
  <si>
    <t>10kV蒲驾路歇马二组公变</t>
  </si>
  <si>
    <t>160200026556</t>
  </si>
  <si>
    <t>10kV蒲驾路歇马三组公变</t>
  </si>
  <si>
    <t>160200026557</t>
  </si>
  <si>
    <t>160200026558</t>
  </si>
  <si>
    <t>10kV虹新路烟草大厦环网柜</t>
  </si>
  <si>
    <t>160200026560</t>
  </si>
  <si>
    <t>160200026561</t>
  </si>
  <si>
    <t>10kV虹太路侨都分支箱二号公变</t>
  </si>
  <si>
    <t>160200026562</t>
  </si>
  <si>
    <t>160200026563</t>
  </si>
  <si>
    <t>160200026564</t>
  </si>
  <si>
    <t>10kV青中路永胜村3号公变</t>
  </si>
  <si>
    <t>160200026565</t>
  </si>
  <si>
    <t>场镇低压配电盘</t>
  </si>
  <si>
    <t>160200026566</t>
  </si>
  <si>
    <t>10kV沿中线永胜村三组公变</t>
  </si>
  <si>
    <t>160200026567</t>
  </si>
  <si>
    <t>顺通纸厂配电盘</t>
  </si>
  <si>
    <t>160200026568</t>
  </si>
  <si>
    <t>10kV青中路永胜小区公变</t>
  </si>
  <si>
    <t>160200026570</t>
  </si>
  <si>
    <t>10kV蒲驾路歇马五组公变</t>
  </si>
  <si>
    <t>160200026571</t>
  </si>
  <si>
    <t>10kV蒲驾路歇马一组公变</t>
  </si>
  <si>
    <t>160200026572</t>
  </si>
  <si>
    <t>10kV蒲驾路新民1号公变</t>
  </si>
  <si>
    <t>160200026580</t>
  </si>
  <si>
    <t>插旗六组公变</t>
  </si>
  <si>
    <t>160200026582</t>
  </si>
  <si>
    <t>长河村变</t>
  </si>
  <si>
    <t>160200026583</t>
  </si>
  <si>
    <t>10kV沿中线凤鸣社区二号公变</t>
  </si>
  <si>
    <t>160200026584</t>
  </si>
  <si>
    <t>10KV开关柜</t>
  </si>
  <si>
    <t>160200026585</t>
  </si>
  <si>
    <t>160200026586</t>
  </si>
  <si>
    <t>10kV沿中线南华三号公变</t>
  </si>
  <si>
    <t>160200026587</t>
  </si>
  <si>
    <t>蟠龙提灌公变</t>
  </si>
  <si>
    <t>160200026590</t>
  </si>
  <si>
    <t>蟠龙七组</t>
  </si>
  <si>
    <t>160200026591</t>
  </si>
  <si>
    <t>160200026592</t>
  </si>
  <si>
    <t>10kV沿中线上元村茶园公变</t>
  </si>
  <si>
    <t>160200026593</t>
  </si>
  <si>
    <t>160200026594</t>
  </si>
  <si>
    <t>金凤小区配变:</t>
  </si>
  <si>
    <t>160200026595</t>
  </si>
  <si>
    <t>银杏村公变</t>
  </si>
  <si>
    <t>160200026598</t>
  </si>
  <si>
    <t>10kV青中路中兴镇和乐2号公变</t>
  </si>
  <si>
    <t>160200026603</t>
  </si>
  <si>
    <t>160200026611</t>
  </si>
  <si>
    <t>户外真空开关</t>
  </si>
  <si>
    <t>160200026612</t>
  </si>
  <si>
    <t>160200026613</t>
  </si>
  <si>
    <t>地磅房配电变压器低压配电箱</t>
  </si>
  <si>
    <t>160200026615</t>
  </si>
  <si>
    <t>10kV香镇路陈家院子公变</t>
  </si>
  <si>
    <t>160200026617</t>
  </si>
  <si>
    <t>10kV青中路中兴镇梅花8、9、10组公变</t>
  </si>
  <si>
    <t>160200026618</t>
  </si>
  <si>
    <t>10kV青中路中兴镇梅花动力站公变</t>
  </si>
  <si>
    <t>160200026620</t>
  </si>
  <si>
    <t>160200026621</t>
  </si>
  <si>
    <t>三溪一组公变</t>
  </si>
  <si>
    <t>160200026622</t>
  </si>
  <si>
    <t>160200026623</t>
  </si>
  <si>
    <t>160200026624</t>
  </si>
  <si>
    <t>160200026625</t>
  </si>
  <si>
    <t>160200026626</t>
  </si>
  <si>
    <t>160200026627</t>
  </si>
  <si>
    <t>160200026628</t>
  </si>
  <si>
    <t>160200026629</t>
  </si>
  <si>
    <t>10kV沿中线三角村一组公变</t>
  </si>
  <si>
    <t>160200026630</t>
  </si>
  <si>
    <t>10kV青中路中兴镇商业街公变</t>
  </si>
  <si>
    <t>160200026633</t>
  </si>
  <si>
    <t>160200026635</t>
  </si>
  <si>
    <t>160200026637</t>
  </si>
  <si>
    <t>160200026638</t>
  </si>
  <si>
    <t>10kV柳洪路仁和村2号公变</t>
  </si>
  <si>
    <t>160200026639</t>
  </si>
  <si>
    <t>160200026640</t>
  </si>
  <si>
    <t>柳街镇凤安村3组变压器</t>
  </si>
  <si>
    <t>160200026641</t>
  </si>
  <si>
    <t>10kV西柳路柳街镇同乐村2号公变</t>
  </si>
  <si>
    <t>160200026645</t>
  </si>
  <si>
    <t>160200026646</t>
  </si>
  <si>
    <t>160200026647</t>
  </si>
  <si>
    <t>160200026656</t>
  </si>
  <si>
    <t>10kV青中路梓桐五组公变</t>
  </si>
  <si>
    <t>160200026657</t>
  </si>
  <si>
    <t>160200026658</t>
  </si>
  <si>
    <t>160200026659</t>
  </si>
  <si>
    <t>160200026660</t>
  </si>
  <si>
    <t>10kV香隆二路红旗村二组公变</t>
  </si>
  <si>
    <t>160200026661</t>
  </si>
  <si>
    <t>160200026662</t>
  </si>
  <si>
    <t>160200026663</t>
  </si>
  <si>
    <t>10kV香隆二路九九村二组公变</t>
  </si>
  <si>
    <t>160200026664</t>
  </si>
  <si>
    <t>160200026665</t>
  </si>
  <si>
    <t>160200026666</t>
  </si>
  <si>
    <t>160200026668</t>
  </si>
  <si>
    <t>10kV天丰路永丰村三组公变</t>
  </si>
  <si>
    <t>160200026696</t>
  </si>
  <si>
    <t>10kV香隆二路双埝村八组公变</t>
  </si>
  <si>
    <t>160200026702</t>
  </si>
  <si>
    <t>10kV香隆二路西北村六组公变</t>
  </si>
  <si>
    <t>160200026703</t>
  </si>
  <si>
    <t>10kV香隆二路新润村九组公变</t>
  </si>
  <si>
    <t>160200026704</t>
  </si>
  <si>
    <t>160200026705</t>
  </si>
  <si>
    <t>160200026707</t>
  </si>
  <si>
    <t>160200026708</t>
  </si>
  <si>
    <t>160200026709</t>
  </si>
  <si>
    <t>160200026711</t>
  </si>
  <si>
    <t>160200026712</t>
  </si>
  <si>
    <t>160200026713</t>
  </si>
  <si>
    <t>160200026714</t>
  </si>
  <si>
    <t>160200026715</t>
  </si>
  <si>
    <t>160200026716</t>
  </si>
  <si>
    <t>10KV张景支Ⅱ工程支线</t>
  </si>
  <si>
    <t>160200026718</t>
  </si>
  <si>
    <t>北街1#公变</t>
  </si>
  <si>
    <t>160200026720</t>
  </si>
  <si>
    <t>10kV青翠路翠月湖镇东江五组公变</t>
  </si>
  <si>
    <t>160200026722</t>
  </si>
  <si>
    <t>翠月湖镇广利七组配变</t>
  </si>
  <si>
    <t>160200026723</t>
  </si>
  <si>
    <t>10kV青翠路青城山镇清河2号公变</t>
  </si>
  <si>
    <t>160200026725</t>
  </si>
  <si>
    <t>160200026726</t>
  </si>
  <si>
    <t>160200026727</t>
  </si>
  <si>
    <t>户内少油开关</t>
  </si>
  <si>
    <t>160200026734</t>
  </si>
  <si>
    <t>10kV青翠路翠月湖镇三桥2号配变</t>
  </si>
  <si>
    <t>160200026735</t>
  </si>
  <si>
    <t>花溪村变压器</t>
  </si>
  <si>
    <t>160200026739</t>
  </si>
  <si>
    <t>高压开关柜</t>
  </si>
  <si>
    <t>160200026741</t>
  </si>
  <si>
    <t>10kV灌煤路南溪五组公变</t>
  </si>
  <si>
    <t>160200026743</t>
  </si>
  <si>
    <t>10kV灌煤路旗松二组公变</t>
  </si>
  <si>
    <t>160200026744</t>
  </si>
  <si>
    <t>10kV青翠路翠月湖镇新建村三组2号配变</t>
  </si>
  <si>
    <t>160200026745</t>
  </si>
  <si>
    <t>翠月湖镇永益九组(小区)配变</t>
  </si>
  <si>
    <t>160200026749</t>
  </si>
  <si>
    <t>10kV青翠路清江5组公变</t>
  </si>
  <si>
    <t>160200026750</t>
  </si>
  <si>
    <t>160200026751</t>
  </si>
  <si>
    <t>160200026752</t>
  </si>
  <si>
    <t>160200026753</t>
  </si>
  <si>
    <t>160200026754</t>
  </si>
  <si>
    <t>160200026758</t>
  </si>
  <si>
    <t>160200026759</t>
  </si>
  <si>
    <t>160200026760</t>
  </si>
  <si>
    <t>160200026761</t>
  </si>
  <si>
    <t>160200026764</t>
  </si>
  <si>
    <t>160200026765</t>
  </si>
  <si>
    <t>160200026766</t>
  </si>
  <si>
    <t>160200026767</t>
  </si>
  <si>
    <t>160200026770</t>
  </si>
  <si>
    <t>160200026771</t>
  </si>
  <si>
    <t>160200026772</t>
  </si>
  <si>
    <t>160200026776</t>
  </si>
  <si>
    <t>160200026777</t>
  </si>
  <si>
    <t>160200026778</t>
  </si>
  <si>
    <t>160200026779</t>
  </si>
  <si>
    <t>160200026780</t>
  </si>
  <si>
    <t>160200026782</t>
  </si>
  <si>
    <t>十局医院分支箱公变</t>
  </si>
  <si>
    <t>160200026784</t>
  </si>
  <si>
    <t>计度箱</t>
  </si>
  <si>
    <t>160200026785</t>
  </si>
  <si>
    <t>160200026786</t>
  </si>
  <si>
    <t>160200026787</t>
  </si>
  <si>
    <t>清江三组公变</t>
  </si>
  <si>
    <t>160200026788</t>
  </si>
  <si>
    <t>石羊镇广益村2组变压器</t>
  </si>
  <si>
    <t>160200026789</t>
  </si>
  <si>
    <t>160200026790</t>
  </si>
  <si>
    <t>160200026791</t>
  </si>
  <si>
    <t>160200026792</t>
  </si>
  <si>
    <t>160200026793</t>
  </si>
  <si>
    <t>160200026794</t>
  </si>
  <si>
    <t>160200026795</t>
  </si>
  <si>
    <t>160200026796</t>
  </si>
  <si>
    <t>160200026799</t>
  </si>
  <si>
    <t>160200026802</t>
  </si>
  <si>
    <t>160200026803</t>
  </si>
  <si>
    <t>160200026804</t>
  </si>
  <si>
    <t>160200026805</t>
  </si>
  <si>
    <t>160200026806</t>
  </si>
  <si>
    <t>160200026807</t>
  </si>
  <si>
    <t>160200026808</t>
  </si>
  <si>
    <t>五桂村4组2号公变</t>
  </si>
  <si>
    <t>160200026810</t>
  </si>
  <si>
    <t>10kV青翠路五桂二组安置点公变</t>
  </si>
  <si>
    <t>160200026811</t>
  </si>
  <si>
    <t>10kV小济路通济崇德村公变</t>
  </si>
  <si>
    <t>160200026814</t>
  </si>
  <si>
    <t>160200026816</t>
  </si>
  <si>
    <t>160200026819</t>
  </si>
  <si>
    <t>低压配电箱</t>
  </si>
  <si>
    <t>160200026820</t>
  </si>
  <si>
    <t>160200026822</t>
  </si>
  <si>
    <t>160200026823</t>
  </si>
  <si>
    <t>160200026824</t>
  </si>
  <si>
    <t>160200026833</t>
  </si>
  <si>
    <t>160200026834</t>
  </si>
  <si>
    <t>160200026837</t>
  </si>
  <si>
    <t>10kV青翠路永益6组1号公变</t>
  </si>
  <si>
    <t>160200026841</t>
  </si>
  <si>
    <t>160200026842</t>
  </si>
  <si>
    <t>160200026843</t>
  </si>
  <si>
    <t>160200026852</t>
  </si>
  <si>
    <t>160200026859</t>
  </si>
  <si>
    <t>160200026860</t>
  </si>
  <si>
    <t>160200026868</t>
  </si>
  <si>
    <t>160200026869</t>
  </si>
  <si>
    <t>160200026870</t>
  </si>
  <si>
    <t>160200026873</t>
  </si>
  <si>
    <t>10kV青翠路永益9组小区公变</t>
  </si>
  <si>
    <t>160200026874</t>
  </si>
  <si>
    <t>160200026875</t>
  </si>
  <si>
    <t>10kV青翠路渔场公变</t>
  </si>
  <si>
    <t>160200026877</t>
  </si>
  <si>
    <t>配电屏</t>
  </si>
  <si>
    <t>160200026878</t>
  </si>
  <si>
    <t>10kV沿中线白马三组公变</t>
  </si>
  <si>
    <t>160200026879</t>
  </si>
  <si>
    <t>160200026882</t>
  </si>
  <si>
    <t>10kV沿中线宝瓶八组公变</t>
  </si>
  <si>
    <t>160200026884</t>
  </si>
  <si>
    <t>10kV沿中线宝瓶社区一号公变</t>
  </si>
  <si>
    <t>160200026885</t>
  </si>
  <si>
    <t>160200026886</t>
  </si>
  <si>
    <t>10kV小济路通济大坪2号公变</t>
  </si>
  <si>
    <t>160200026887</t>
  </si>
  <si>
    <t>160200026888</t>
  </si>
  <si>
    <t>160200026889</t>
  </si>
  <si>
    <t>160200026890</t>
  </si>
  <si>
    <t>10kV小通路通济黄村大楠公变</t>
  </si>
  <si>
    <t>160200026891</t>
  </si>
  <si>
    <t>160200026892</t>
  </si>
  <si>
    <t>160200026893</t>
  </si>
  <si>
    <t>160200026894</t>
  </si>
  <si>
    <t>10kV香桂路街村5号配变</t>
  </si>
  <si>
    <t>160200026895</t>
  </si>
  <si>
    <t>160200026896</t>
  </si>
  <si>
    <t>160200026897</t>
  </si>
  <si>
    <t>160200026898</t>
  </si>
  <si>
    <t>160200026899</t>
  </si>
  <si>
    <t>160200026900</t>
  </si>
  <si>
    <t>160200026901</t>
  </si>
  <si>
    <t>160200026902</t>
  </si>
  <si>
    <t>160200026903</t>
  </si>
  <si>
    <t>160200026904</t>
  </si>
  <si>
    <t>160200026905</t>
  </si>
  <si>
    <t>160200026906</t>
  </si>
  <si>
    <t>160200026907</t>
  </si>
  <si>
    <t>160200026908</t>
  </si>
  <si>
    <t>160200026909</t>
  </si>
  <si>
    <t>160200026910</t>
  </si>
  <si>
    <t>160200026911</t>
  </si>
  <si>
    <t>160200026912</t>
  </si>
  <si>
    <t>160200026913</t>
  </si>
  <si>
    <t>160200026915</t>
  </si>
  <si>
    <t>二居公变</t>
  </si>
  <si>
    <t>160200026918</t>
  </si>
  <si>
    <t>160200026923</t>
  </si>
  <si>
    <t>160200026924</t>
  </si>
  <si>
    <t>160200026925</t>
  </si>
  <si>
    <t>160200026926</t>
  </si>
  <si>
    <t>160200026927</t>
  </si>
  <si>
    <t>160200026933</t>
  </si>
  <si>
    <t>10kV蒲桂路石花村公变</t>
  </si>
  <si>
    <t>160200026937</t>
  </si>
  <si>
    <t>160200026938</t>
  </si>
  <si>
    <t>160200026940</t>
  </si>
  <si>
    <t>160200026942</t>
  </si>
  <si>
    <t>10kV灌煤路红光五组配变</t>
  </si>
  <si>
    <t>160200026943</t>
  </si>
  <si>
    <t>10kV灌煤路红光七组配变</t>
  </si>
  <si>
    <t>160200026944</t>
  </si>
  <si>
    <t>160200026945</t>
  </si>
  <si>
    <t>160200026951</t>
  </si>
  <si>
    <t>160200026955</t>
  </si>
  <si>
    <t>低压隔离刀闸</t>
  </si>
  <si>
    <t>160200026956</t>
  </si>
  <si>
    <t>160200026957</t>
  </si>
  <si>
    <t>160200026958</t>
  </si>
  <si>
    <t>160200026959</t>
  </si>
  <si>
    <t>160200026960</t>
  </si>
  <si>
    <t>10kV灌煤路回龙机砖厂公变</t>
  </si>
  <si>
    <t>160200026969</t>
  </si>
  <si>
    <t>160200026970</t>
  </si>
  <si>
    <t>10kV青中路玉堂镇凤鸣三号公变</t>
  </si>
  <si>
    <t>160200026972</t>
  </si>
  <si>
    <t>BSL-10型低压配电屏</t>
  </si>
  <si>
    <t>160200026976</t>
  </si>
  <si>
    <t>160200026978</t>
  </si>
  <si>
    <t>160200026980</t>
  </si>
  <si>
    <t>一点计度开关站</t>
  </si>
  <si>
    <t>160200026982</t>
  </si>
  <si>
    <t>160200027000</t>
  </si>
  <si>
    <t>10kV崇双路飞桥七组公变</t>
  </si>
  <si>
    <t>160200027001</t>
  </si>
  <si>
    <t>10kV崇双路飞桥三组公变</t>
  </si>
  <si>
    <t>160200027008</t>
  </si>
  <si>
    <t>10kV青中路玉堂镇平安金矿公变</t>
  </si>
  <si>
    <t>160200027009</t>
  </si>
  <si>
    <t>160200027010</t>
  </si>
  <si>
    <t>160200027011</t>
  </si>
  <si>
    <t>160200027012</t>
  </si>
  <si>
    <t>160200027013</t>
  </si>
  <si>
    <t>160200027014</t>
  </si>
  <si>
    <t>160200027015</t>
  </si>
  <si>
    <t>160200027017</t>
  </si>
  <si>
    <t>160200027018</t>
  </si>
  <si>
    <t>石桥公变</t>
  </si>
  <si>
    <t>160200027025</t>
  </si>
  <si>
    <t>低压熔断器刀闸</t>
  </si>
  <si>
    <t>160200027028</t>
  </si>
  <si>
    <t>160200027031</t>
  </si>
  <si>
    <t>160200027034</t>
  </si>
  <si>
    <t>10KV幸Ⅱ丽水支都电支</t>
  </si>
  <si>
    <t>160200027035</t>
  </si>
  <si>
    <t>10KV张印路川景支线</t>
  </si>
  <si>
    <t>160200027036</t>
  </si>
  <si>
    <t>10KV张景路旋口支线</t>
  </si>
  <si>
    <t>160200027038</t>
  </si>
  <si>
    <t>160200027040</t>
  </si>
  <si>
    <t>160200027044</t>
  </si>
  <si>
    <t>华业公变</t>
  </si>
  <si>
    <t>160200027048</t>
  </si>
  <si>
    <t>10KV张景路晶宇支线</t>
  </si>
  <si>
    <t>160200027049</t>
  </si>
  <si>
    <t>青城路公变</t>
  </si>
  <si>
    <t>160200027050</t>
  </si>
  <si>
    <t>10KV张景支Ⅱ气象局支线</t>
  </si>
  <si>
    <t>160200027051</t>
  </si>
  <si>
    <t>10KV张景支Ⅱ绿化支线</t>
  </si>
  <si>
    <t>160200027053</t>
  </si>
  <si>
    <t>10KV张景支Ⅱ阿成支线</t>
  </si>
  <si>
    <t>160200027054</t>
  </si>
  <si>
    <t>迎宾路公变</t>
  </si>
  <si>
    <t>160200027056</t>
  </si>
  <si>
    <t>10KV张景支Ⅱ花岗支线</t>
  </si>
  <si>
    <t>160200027059</t>
  </si>
  <si>
    <t>10KV张景支Ⅲ建八一支线</t>
  </si>
  <si>
    <t>160200027079</t>
  </si>
  <si>
    <t>张景路磁电支线</t>
  </si>
  <si>
    <t>160200027080</t>
  </si>
  <si>
    <t>张综路磁电二厂支线</t>
  </si>
  <si>
    <t>160200027084</t>
  </si>
  <si>
    <t>160200027085</t>
  </si>
  <si>
    <t>10kV灌煤路望乡台配变</t>
  </si>
  <si>
    <t>160200027086</t>
  </si>
  <si>
    <t>10kV灌煤路月耳村配变</t>
  </si>
  <si>
    <t>160200027087</t>
  </si>
  <si>
    <t>10kV灌煤路月耳新村2号公变</t>
  </si>
  <si>
    <t>160200027093</t>
  </si>
  <si>
    <t>160200027094</t>
  </si>
  <si>
    <t>低压熔断器</t>
  </si>
  <si>
    <t>160200027098</t>
  </si>
  <si>
    <t>160200027099</t>
  </si>
  <si>
    <t>160200027100</t>
  </si>
  <si>
    <t>160200027106</t>
  </si>
  <si>
    <t>160200027107</t>
  </si>
  <si>
    <t>160200027108</t>
  </si>
  <si>
    <t>160200027109</t>
  </si>
  <si>
    <t>160200027114</t>
  </si>
  <si>
    <t>新街高低压线路及变压器</t>
  </si>
  <si>
    <t>160200027116</t>
  </si>
  <si>
    <t>高桥5组变压器</t>
  </si>
  <si>
    <t>160200027118</t>
  </si>
  <si>
    <t>10kV小通路通济甘溪公变</t>
  </si>
  <si>
    <t>160200027119</t>
  </si>
  <si>
    <t>160200027120</t>
  </si>
  <si>
    <t>160200027122</t>
  </si>
  <si>
    <t>160200027124</t>
  </si>
  <si>
    <t>RW3-10/100丝具</t>
  </si>
  <si>
    <t>160200027128</t>
  </si>
  <si>
    <t>160200027129</t>
  </si>
  <si>
    <t>160200027130</t>
  </si>
  <si>
    <t>160200027132</t>
  </si>
  <si>
    <t>160200027134</t>
  </si>
  <si>
    <t>160200027140</t>
  </si>
  <si>
    <t>160200027141</t>
  </si>
  <si>
    <t>160200027143</t>
  </si>
  <si>
    <t>10kV沿中线龙凤村平安三组公变</t>
  </si>
  <si>
    <t>160200027144</t>
  </si>
  <si>
    <t>10kV沿中线岐山村公变</t>
  </si>
  <si>
    <t>160200027145</t>
  </si>
  <si>
    <t>桂林五组公变</t>
  </si>
  <si>
    <t>160200027146</t>
  </si>
  <si>
    <t>10kV沿康路青城桥三组公变</t>
  </si>
  <si>
    <t>160200027148</t>
  </si>
  <si>
    <t>开关站控制、保护设备</t>
  </si>
  <si>
    <t>160200027149</t>
  </si>
  <si>
    <t>160200027150</t>
  </si>
  <si>
    <t>160200027151</t>
  </si>
  <si>
    <t>10kV沿康路三台村公变</t>
  </si>
  <si>
    <t>160200027153</t>
  </si>
  <si>
    <t>中兴镇场镇3台配变</t>
  </si>
  <si>
    <t>160200027155</t>
  </si>
  <si>
    <t>中兴镇革新3号配变</t>
  </si>
  <si>
    <t>160200027157</t>
  </si>
  <si>
    <t>土什村9组变压器</t>
  </si>
  <si>
    <t>160200027158</t>
  </si>
  <si>
    <t>160200027159</t>
  </si>
  <si>
    <t>160200027165</t>
  </si>
  <si>
    <t>160200027176</t>
  </si>
  <si>
    <t>160200027177</t>
  </si>
  <si>
    <t>160200027180</t>
  </si>
  <si>
    <t>10kV白虹路紫坪铺镇白合村三组公变</t>
  </si>
  <si>
    <t>160200027183</t>
  </si>
  <si>
    <t>新店村5组变压器</t>
  </si>
  <si>
    <t>160200027184</t>
  </si>
  <si>
    <t>羊叉村变压器</t>
  </si>
  <si>
    <t>160200027186</t>
  </si>
  <si>
    <t>160200027187</t>
  </si>
  <si>
    <t>160200027188</t>
  </si>
  <si>
    <t>160200027189</t>
  </si>
  <si>
    <t>土什三组公变</t>
  </si>
  <si>
    <t>160200027190</t>
  </si>
  <si>
    <t>160200027191</t>
  </si>
  <si>
    <t>160200027192</t>
  </si>
  <si>
    <t>160200027193</t>
  </si>
  <si>
    <t>160200027194</t>
  </si>
  <si>
    <t>160200027195</t>
  </si>
  <si>
    <t>正林四组公变</t>
  </si>
  <si>
    <t>160200027197</t>
  </si>
  <si>
    <t>160200027198</t>
  </si>
  <si>
    <t>160200027206</t>
  </si>
  <si>
    <t>160200027207</t>
  </si>
  <si>
    <t>160200027208</t>
  </si>
  <si>
    <t>青城六组公变</t>
  </si>
  <si>
    <t>160200027209</t>
  </si>
  <si>
    <t>160200027210</t>
  </si>
  <si>
    <t>160200027212</t>
  </si>
  <si>
    <t>10kV胥灵路灌城三路灵岩山沟环网柜</t>
  </si>
  <si>
    <t>160200027213</t>
  </si>
  <si>
    <t>10KV箱式变压器</t>
  </si>
  <si>
    <t>160200027225</t>
  </si>
  <si>
    <t>10kV城观路中山路2#公变</t>
  </si>
  <si>
    <t>160200027227</t>
  </si>
  <si>
    <t>10KV配电变压器</t>
  </si>
  <si>
    <t>160200027228</t>
  </si>
  <si>
    <t>160200027230</t>
  </si>
  <si>
    <t>160200027232</t>
  </si>
  <si>
    <t>160200027233</t>
  </si>
  <si>
    <t>160200027234</t>
  </si>
  <si>
    <t>160200027235</t>
  </si>
  <si>
    <t>160200027236</t>
  </si>
  <si>
    <t>160200027237</t>
  </si>
  <si>
    <t>160200027238</t>
  </si>
  <si>
    <t>160200027239</t>
  </si>
  <si>
    <t>大坪村3#公变</t>
  </si>
  <si>
    <t>160200027240</t>
  </si>
  <si>
    <t>160200027241</t>
  </si>
  <si>
    <t>160200027242</t>
  </si>
  <si>
    <t>160200027243</t>
  </si>
  <si>
    <t>160200027244</t>
  </si>
  <si>
    <t>160200027245</t>
  </si>
  <si>
    <t>160200027247</t>
  </si>
  <si>
    <t>160200027248</t>
  </si>
  <si>
    <t>160200027250</t>
  </si>
  <si>
    <t>160200027252</t>
  </si>
  <si>
    <t>10kV灌向路红火新村1号公变</t>
  </si>
  <si>
    <t>160200027253</t>
  </si>
  <si>
    <t>160200027261</t>
  </si>
  <si>
    <t>广益2号公变</t>
  </si>
  <si>
    <t>160200027262</t>
  </si>
  <si>
    <t>10kV灌向路黄家院子2号公变</t>
  </si>
  <si>
    <t>160200027263</t>
  </si>
  <si>
    <t>低压配电盘</t>
  </si>
  <si>
    <t>160200027274</t>
  </si>
  <si>
    <t>160200027275</t>
  </si>
  <si>
    <t>160200027276</t>
  </si>
  <si>
    <t>10kV灌向路鹿池新村1号公变</t>
  </si>
  <si>
    <t>160200027277</t>
  </si>
  <si>
    <t>10kV青中路中兴镇和乐新区公变</t>
  </si>
  <si>
    <t>160200027278</t>
  </si>
  <si>
    <t>10kV沿中线横山村一组公变</t>
  </si>
  <si>
    <t>160200027279</t>
  </si>
  <si>
    <t>10kV青上路中兴镇红楼二台公变</t>
  </si>
  <si>
    <t>160200027280</t>
  </si>
  <si>
    <t>160200027281</t>
  </si>
  <si>
    <t>10kV青中路中兴镇九龙村三号公变</t>
  </si>
  <si>
    <t>160200027283</t>
  </si>
  <si>
    <t>10kV灌向路石花新村1号公变</t>
  </si>
  <si>
    <t>160200027284</t>
  </si>
  <si>
    <t>10kV灌向路石花新村2号公变</t>
  </si>
  <si>
    <t>160200027286</t>
  </si>
  <si>
    <t>九红五组公变</t>
  </si>
  <si>
    <t>160200027288</t>
  </si>
  <si>
    <t>10kV沿翠路永安支永安村公变</t>
  </si>
  <si>
    <t>160200027289</t>
  </si>
  <si>
    <t>10kV灌向路虹槐村公变</t>
  </si>
  <si>
    <t>160200027290</t>
  </si>
  <si>
    <t>10kV磁虹路向峨乡麻柳坪一号公变</t>
  </si>
  <si>
    <t>160200027291</t>
  </si>
  <si>
    <t>160200027292</t>
  </si>
  <si>
    <t>10kV白尖路紫坪镇四组公变</t>
  </si>
  <si>
    <t>160200027293</t>
  </si>
  <si>
    <t>金华1号公变</t>
  </si>
  <si>
    <t>160200027294</t>
  </si>
  <si>
    <t>160200101486</t>
  </si>
  <si>
    <t>160200101487</t>
  </si>
  <si>
    <t>160200101488</t>
  </si>
  <si>
    <t>160200101489</t>
  </si>
  <si>
    <t>160200101490</t>
  </si>
  <si>
    <t>160200101491</t>
  </si>
  <si>
    <t>160200101492</t>
  </si>
  <si>
    <t>160200101493</t>
  </si>
  <si>
    <t>160200137869</t>
  </si>
  <si>
    <t>10kV胥观路邮广支路开关</t>
  </si>
  <si>
    <t>160200137875</t>
  </si>
  <si>
    <t>10kV胥灵路开关</t>
  </si>
  <si>
    <t>160200137877</t>
  </si>
  <si>
    <t>10kV胥灵路灵岩山沟支路14#开关</t>
  </si>
  <si>
    <t>160200137901</t>
  </si>
  <si>
    <t>张综路敏敏饭店公变</t>
  </si>
  <si>
    <t>160200137902</t>
  </si>
  <si>
    <t>张综路烟草公司公变</t>
  </si>
  <si>
    <t>160200137903</t>
  </si>
  <si>
    <t>水电局公变</t>
  </si>
  <si>
    <t>160200137904</t>
  </si>
  <si>
    <t>观凤村四组1#公变</t>
  </si>
  <si>
    <t>160200137905</t>
  </si>
  <si>
    <t>10KV胥玉路工农兵街1#公变</t>
  </si>
  <si>
    <t>160200137907</t>
  </si>
  <si>
    <t>10kV幸城一路太平街公变</t>
  </si>
  <si>
    <t>160200137909</t>
  </si>
  <si>
    <t>机关幼儿园公变</t>
  </si>
  <si>
    <t>160200137910</t>
  </si>
  <si>
    <t>10KV胥玉路三方半公变</t>
  </si>
  <si>
    <t>160200137911</t>
  </si>
  <si>
    <t>景中路1号公变</t>
  </si>
  <si>
    <t>160200137912</t>
  </si>
  <si>
    <t>10kV石城路宝瓶巷公变</t>
  </si>
  <si>
    <t>160200137913</t>
  </si>
  <si>
    <t>三方半1#公变</t>
  </si>
  <si>
    <t>160200137916</t>
  </si>
  <si>
    <t>供电局分支箱2号公变</t>
  </si>
  <si>
    <t>160200137917</t>
  </si>
  <si>
    <t>三方半2#公变</t>
  </si>
  <si>
    <t>160200137921</t>
  </si>
  <si>
    <t>新堰坎分支箱1#公变</t>
  </si>
  <si>
    <t>160200137926</t>
  </si>
  <si>
    <t>10kV灌城三路金凤村分支箱一号公变</t>
  </si>
  <si>
    <t>160200137927</t>
  </si>
  <si>
    <t>10KV灌城三路高埂五组公变</t>
  </si>
  <si>
    <t>160200137929</t>
  </si>
  <si>
    <t>木机厂</t>
  </si>
  <si>
    <t>160200137930</t>
  </si>
  <si>
    <t>10KV胥观路木机厂公变2</t>
  </si>
  <si>
    <t>160200137932</t>
  </si>
  <si>
    <t>10KV胥江路解放小区公变1</t>
  </si>
  <si>
    <t>160200137933</t>
  </si>
  <si>
    <t>10KV胥江路茶家巷公变</t>
  </si>
  <si>
    <t>160200137934</t>
  </si>
  <si>
    <t>玉带桥街公变</t>
  </si>
  <si>
    <t>160200137935</t>
  </si>
  <si>
    <t>10kV胥江路玉带桥1号公变</t>
  </si>
  <si>
    <t>160200137937</t>
  </si>
  <si>
    <t>10KV胥江路上东街公变</t>
  </si>
  <si>
    <t>160200137938</t>
  </si>
  <si>
    <t>10KV胥江路三泊洞公变</t>
  </si>
  <si>
    <t>160200137939</t>
  </si>
  <si>
    <t>10KV张景路德庄公变</t>
  </si>
  <si>
    <t>160200137940</t>
  </si>
  <si>
    <t>玉垒山公变</t>
  </si>
  <si>
    <t>160200137941</t>
  </si>
  <si>
    <t>北街2#公变</t>
  </si>
  <si>
    <t>160200137942</t>
  </si>
  <si>
    <t>10kV胥玉路玉屏分支箱一号公变</t>
  </si>
  <si>
    <t>160200137943</t>
  </si>
  <si>
    <t>10kV胥江路华光寺分支箱一号公变</t>
  </si>
  <si>
    <t>160200137947</t>
  </si>
  <si>
    <t>供电局分支箱1号公变</t>
  </si>
  <si>
    <t>160200137948</t>
  </si>
  <si>
    <t>10KV胥江路川剧团公变</t>
  </si>
  <si>
    <t>160200137949</t>
  </si>
  <si>
    <t>10KV胥江路市政府公变</t>
  </si>
  <si>
    <t>160200137950</t>
  </si>
  <si>
    <t>10KV胥江路下东街公变</t>
  </si>
  <si>
    <t>160200137951</t>
  </si>
  <si>
    <t>井福街公变</t>
  </si>
  <si>
    <t>160200137952</t>
  </si>
  <si>
    <t>鲤鱼沱公变</t>
  </si>
  <si>
    <t>160200137953</t>
  </si>
  <si>
    <t>10KV胥江路文庙街1#公变</t>
  </si>
  <si>
    <t>160200137955</t>
  </si>
  <si>
    <t>10KV胥江路电视差转台公变</t>
  </si>
  <si>
    <t>160200137956</t>
  </si>
  <si>
    <t>10KV胥江路白果巷公变</t>
  </si>
  <si>
    <t>160200137957</t>
  </si>
  <si>
    <t>10KV胥江路瑞莲街公变</t>
  </si>
  <si>
    <t>160200137958</t>
  </si>
  <si>
    <t>拦马桥公变</t>
  </si>
  <si>
    <t>160200138036</t>
  </si>
  <si>
    <t>10kV虹天路、10kV虹宾路立交桥北环网柜</t>
  </si>
  <si>
    <t>160200138041</t>
  </si>
  <si>
    <t>10kV胥观路·虹景路人民银行环网柜</t>
  </si>
  <si>
    <t>160200138042</t>
  </si>
  <si>
    <t>10kV虹联路立交桥南环网柜</t>
  </si>
  <si>
    <t>160200138045</t>
  </si>
  <si>
    <t>10kV胥江路胥玉路胥家路口环网柜</t>
  </si>
  <si>
    <t>160200138047</t>
  </si>
  <si>
    <t>10kV胥江路杨柳河环网柜</t>
  </si>
  <si>
    <t>160200138048</t>
  </si>
  <si>
    <t>10kV胥玉路胥灵路中旅环网柜</t>
  </si>
  <si>
    <t>160200138049</t>
  </si>
  <si>
    <t>10kV胥玉路玉屏环网柜</t>
  </si>
  <si>
    <t>160200138050</t>
  </si>
  <si>
    <t>10kV胥玉路建新路口环网柜</t>
  </si>
  <si>
    <t>160200138051</t>
  </si>
  <si>
    <t>10kV灌城三路金凤山环网柜</t>
  </si>
  <si>
    <t>160200138052</t>
  </si>
  <si>
    <t>10kV虹太路、虹新路江安桥环网柜</t>
  </si>
  <si>
    <t>160200138053</t>
  </si>
  <si>
    <t>10kV虹景路千禧广场环网柜</t>
  </si>
  <si>
    <t>160200138055</t>
  </si>
  <si>
    <t>10kV胥灵路蒲阳路口环网柜</t>
  </si>
  <si>
    <t>160200138056</t>
  </si>
  <si>
    <t>160200138059</t>
  </si>
  <si>
    <t>160200138074</t>
  </si>
  <si>
    <t>10kV胥观路康桥环网柜</t>
  </si>
  <si>
    <t>160200138075</t>
  </si>
  <si>
    <t>10kV胥观路国税局环网柜</t>
  </si>
  <si>
    <t>160200138076</t>
  </si>
  <si>
    <t>10kV胥观路、胥都北路都江堰花园环网柜</t>
  </si>
  <si>
    <t>160200138077</t>
  </si>
  <si>
    <t>10kV虹新路李冰广场环网柜</t>
  </si>
  <si>
    <t>160200138078</t>
  </si>
  <si>
    <t>10kV灌城三路玉华环网柜</t>
  </si>
  <si>
    <t>160200138079</t>
  </si>
  <si>
    <t>10kV虹太路广场环网柜</t>
  </si>
  <si>
    <t>160200138080</t>
  </si>
  <si>
    <t>10kV虹太路石城路走马桥环网柜</t>
  </si>
  <si>
    <t>160200138081</t>
  </si>
  <si>
    <t>新华书店公变无功补偿装置</t>
  </si>
  <si>
    <t>160200138082</t>
  </si>
  <si>
    <t>藏羌新村公变无功补偿装置</t>
  </si>
  <si>
    <t>160200138083</t>
  </si>
  <si>
    <t>塔子小区1#公变无功补偿装置</t>
  </si>
  <si>
    <t>160200138084</t>
  </si>
  <si>
    <t>龙池商住城公变无功补偿装置</t>
  </si>
  <si>
    <t>160200138085</t>
  </si>
  <si>
    <t>商业街公变无功补偿装置</t>
  </si>
  <si>
    <t>160200138086</t>
  </si>
  <si>
    <t>幸福供电所公变无功补偿装置</t>
  </si>
  <si>
    <t>160200138087</t>
  </si>
  <si>
    <t>景中路1#公变无功补偿装置</t>
  </si>
  <si>
    <t>160200138088</t>
  </si>
  <si>
    <t>拦马桥公变无功补偿装置</t>
  </si>
  <si>
    <t>160200138089</t>
  </si>
  <si>
    <t>工农兵街2#公变无功补偿装置</t>
  </si>
  <si>
    <t>160200138090</t>
  </si>
  <si>
    <t>工农兵街1#公变无功补偿装置</t>
  </si>
  <si>
    <t>160200138091</t>
  </si>
  <si>
    <t>中山路2#公变无功补偿装置</t>
  </si>
  <si>
    <t>160200138092</t>
  </si>
  <si>
    <t>物资局公变无功补偿装置</t>
  </si>
  <si>
    <t>160200138093</t>
  </si>
  <si>
    <t>西川公司1#公变无功补偿装置</t>
  </si>
  <si>
    <t>160200138094</t>
  </si>
  <si>
    <t>解放小区公变无功补偿装置</t>
  </si>
  <si>
    <t>160200138095</t>
  </si>
  <si>
    <t>解放小区公变1无功补偿装置</t>
  </si>
  <si>
    <t>160200138096</t>
  </si>
  <si>
    <t>茶家巷公变无功补偿装置</t>
  </si>
  <si>
    <t>160200138097</t>
  </si>
  <si>
    <t>玉带桥街公变无功补偿装置</t>
  </si>
  <si>
    <t>160200138098</t>
  </si>
  <si>
    <t>玉带桥桥1#公变无功补偿装置</t>
  </si>
  <si>
    <t>160200138099</t>
  </si>
  <si>
    <t>米市坝公变无功补偿装置</t>
  </si>
  <si>
    <t>160200138100</t>
  </si>
  <si>
    <t>10kV胥玉路彩虹大道Y座开关</t>
  </si>
  <si>
    <t>160200138101</t>
  </si>
  <si>
    <t>10kV胥新路彩虹大道X座开关</t>
  </si>
  <si>
    <t>160200138102</t>
  </si>
  <si>
    <t>10kV胥观路光明街支路光明街D座开关</t>
  </si>
  <si>
    <t>160200138103</t>
  </si>
  <si>
    <t>10kV灌城一路同义路口H座开关</t>
  </si>
  <si>
    <t>160200138104</t>
  </si>
  <si>
    <t>10kV灌城三路万岭支路开关</t>
  </si>
  <si>
    <t>160200138105</t>
  </si>
  <si>
    <t>10kV灌城三路外北支路F座开关</t>
  </si>
  <si>
    <t>160200138106</t>
  </si>
  <si>
    <t>10kV灌城三路古堰春晓支路北中D座开关</t>
  </si>
  <si>
    <t>160200138107</t>
  </si>
  <si>
    <t>10kV张景路幸福大道支路景环路Y座开关</t>
  </si>
  <si>
    <t>160200138108</t>
  </si>
  <si>
    <t>胥玉路宁江市场W座开关</t>
  </si>
  <si>
    <t>160200138110</t>
  </si>
  <si>
    <t>10kV张景路联永支路开关</t>
  </si>
  <si>
    <t>160200138111</t>
  </si>
  <si>
    <t>10kV幸城一路天乙街支路天乙街Z座开关</t>
  </si>
  <si>
    <t>160200138112</t>
  </si>
  <si>
    <t>10kV张景路张综路景环路联络开关</t>
  </si>
  <si>
    <t>160200138113</t>
  </si>
  <si>
    <t>10kV幸城三路观江街Q座开关</t>
  </si>
  <si>
    <t>160200138115</t>
  </si>
  <si>
    <t>10kV灌城三路灵岩支路开关</t>
  </si>
  <si>
    <t>160200138117</t>
  </si>
  <si>
    <t>10kV幸城二路景中支路景中路K座开关</t>
  </si>
  <si>
    <t>160200138118</t>
  </si>
  <si>
    <t>10kV幸城一路走马河Y座开关</t>
  </si>
  <si>
    <t>160200138119</t>
  </si>
  <si>
    <t>10kV幸城二路走马河E座开关</t>
  </si>
  <si>
    <t>160200139130</t>
  </si>
  <si>
    <t>新马路公变氧化锌避雷器</t>
  </si>
  <si>
    <t>160200139131</t>
  </si>
  <si>
    <t>民主A2五号变压器氧化锌避雷器</t>
  </si>
  <si>
    <t>160200139132</t>
  </si>
  <si>
    <t>民主A2一号变压器氧化锌避雷器</t>
  </si>
  <si>
    <t>160200139133</t>
  </si>
  <si>
    <t>民主A3二号变压器氧化锌避雷器</t>
  </si>
  <si>
    <t>160200139134</t>
  </si>
  <si>
    <t>民主A3一号商用变压器氧化锌避雷器</t>
  </si>
  <si>
    <t>160200139135</t>
  </si>
  <si>
    <t>民主A4八号变压器氧化锌避雷器</t>
  </si>
  <si>
    <t>160200139136</t>
  </si>
  <si>
    <t>民主A4二号变压器氧化锌避雷器</t>
  </si>
  <si>
    <t>160200139137</t>
  </si>
  <si>
    <t>民主A4六号变压器氧化锌避雷器</t>
  </si>
  <si>
    <t>160200139138</t>
  </si>
  <si>
    <t>民主A4七号变压器氧化锌避雷器</t>
  </si>
  <si>
    <t>160200139235</t>
  </si>
  <si>
    <t>10kV胥江路大观桥分支箱一号公变</t>
  </si>
  <si>
    <t>160200139237</t>
  </si>
  <si>
    <t>十局公支箱公变</t>
  </si>
  <si>
    <t>160200139238</t>
  </si>
  <si>
    <t>东一街低压配电箱</t>
  </si>
  <si>
    <t>160200139239</t>
  </si>
  <si>
    <t>东二街低压配电箱</t>
  </si>
  <si>
    <t>160200139240</t>
  </si>
  <si>
    <t>红十字医院低压配电箱</t>
  </si>
  <si>
    <t>160200139241</t>
  </si>
  <si>
    <t>奎光市场低压配电箱</t>
  </si>
  <si>
    <t>160200139242</t>
  </si>
  <si>
    <t>市少年宫低压配电箱</t>
  </si>
  <si>
    <t>160200139243</t>
  </si>
  <si>
    <t>建五司低压配电箱</t>
  </si>
  <si>
    <t>160200139244</t>
  </si>
  <si>
    <t>观江街低压配电箱</t>
  </si>
  <si>
    <t>160200139247</t>
  </si>
  <si>
    <t>天乙商座1#配电箱</t>
  </si>
  <si>
    <t>160200139248</t>
  </si>
  <si>
    <t>天乙商座2#配电箱</t>
  </si>
  <si>
    <t>160200139249</t>
  </si>
  <si>
    <t>天乙商座3#配电箱</t>
  </si>
  <si>
    <t>160200139250</t>
  </si>
  <si>
    <t>天乙商座4#配电箱</t>
  </si>
  <si>
    <t>160200139251</t>
  </si>
  <si>
    <t>新堰坎1#配电箱</t>
  </si>
  <si>
    <t>160200139252</t>
  </si>
  <si>
    <t>新堰坎2#配电箱</t>
  </si>
  <si>
    <t>160200139253</t>
  </si>
  <si>
    <t>景中路1#公变配电箱</t>
  </si>
  <si>
    <t>160200139254</t>
  </si>
  <si>
    <t>石油街口配电箱</t>
  </si>
  <si>
    <t>160200139255</t>
  </si>
  <si>
    <t>林业局公变配电箱</t>
  </si>
  <si>
    <t>160200139256</t>
  </si>
  <si>
    <t>凌云门口配电箱</t>
  </si>
  <si>
    <t>160200139271</t>
  </si>
  <si>
    <t>泊条河支路配电箱</t>
  </si>
  <si>
    <t>160200139272</t>
  </si>
  <si>
    <t>城投公司专变配电箱</t>
  </si>
  <si>
    <t>160200139273</t>
  </si>
  <si>
    <t>莲花七组专变配电箱</t>
  </si>
  <si>
    <t>160200139274</t>
  </si>
  <si>
    <t>瑞苑专变配电箱</t>
  </si>
  <si>
    <t>160200150619</t>
  </si>
  <si>
    <t>2011年10KV石城路柱上开关大修</t>
  </si>
  <si>
    <t>160200154996</t>
  </si>
  <si>
    <t>桂花供电所5号公变</t>
  </si>
  <si>
    <t>160200154997</t>
  </si>
  <si>
    <t>场镇仓库公变</t>
  </si>
  <si>
    <t>160200154998</t>
  </si>
  <si>
    <t>正林二组公变</t>
  </si>
  <si>
    <t>160200154999</t>
  </si>
  <si>
    <t>胥家供电所南海4#（南海1#）公变配变</t>
  </si>
  <si>
    <t>160200155000</t>
  </si>
  <si>
    <t>胥家供电所政府公变</t>
  </si>
  <si>
    <t>160200155001</t>
  </si>
  <si>
    <t>羊合五组公变</t>
  </si>
  <si>
    <t>160200155002</t>
  </si>
  <si>
    <t>羊合六组公变</t>
  </si>
  <si>
    <t>160200155004</t>
  </si>
  <si>
    <t>10kV蒲驾路胥家镇胜利村二号公变</t>
  </si>
  <si>
    <t>160200155007</t>
  </si>
  <si>
    <t>10kV崇双路飞桥一组公变</t>
  </si>
  <si>
    <t>160200155008</t>
  </si>
  <si>
    <t>崇义供电所吴塘村12组公变</t>
  </si>
  <si>
    <t>160200155009</t>
  </si>
  <si>
    <t>10kV崇双路吴塘四组公变</t>
  </si>
  <si>
    <t>160200155010</t>
  </si>
  <si>
    <t>10kV崇天路净土1号公变</t>
  </si>
  <si>
    <t>160200155011</t>
  </si>
  <si>
    <t>崇义供电所海云村7组公变</t>
  </si>
  <si>
    <t>160200155012</t>
  </si>
  <si>
    <t>10kV磁虹路虹口六组公变</t>
  </si>
  <si>
    <t>160200155013</t>
  </si>
  <si>
    <t>10kV蒲驾路歇马二组2#公变</t>
  </si>
  <si>
    <t>160200155014</t>
  </si>
  <si>
    <t>10kV蒲向路供电所</t>
  </si>
  <si>
    <t>160200155015</t>
  </si>
  <si>
    <t>丹景山2号配变</t>
  </si>
  <si>
    <t>160200155016</t>
  </si>
  <si>
    <t>黄家磨配变</t>
  </si>
  <si>
    <t>160200155017</t>
  </si>
  <si>
    <t>10kV香镇路唐家河坝公变</t>
  </si>
  <si>
    <t>160200155018</t>
  </si>
  <si>
    <t>10KV翠朝路临江支1#杆真空开关</t>
  </si>
  <si>
    <t>160200155019</t>
  </si>
  <si>
    <t>10KV青翠路东广支2#杆真空开关</t>
  </si>
  <si>
    <t>160200155020</t>
  </si>
  <si>
    <t>10KV青序路28#杆真空开关</t>
  </si>
  <si>
    <t>160200155021</t>
  </si>
  <si>
    <t>10KV中汉路15#杆真空开关</t>
  </si>
  <si>
    <t>160200155022</t>
  </si>
  <si>
    <t>10KV灌城三路百花支3#杆真空开关</t>
  </si>
  <si>
    <t>160200155023</t>
  </si>
  <si>
    <t>10KV灌城三路百六支1#杆真空开关</t>
  </si>
  <si>
    <t>160200155024</t>
  </si>
  <si>
    <t>10KV灌城三路电视台支1#杆真空开关</t>
  </si>
  <si>
    <t>160200155025</t>
  </si>
  <si>
    <t>10KV灌城三路万四支3#杆真空开关</t>
  </si>
  <si>
    <t>160200155026</t>
  </si>
  <si>
    <t>10KV小君路懂坪支路14#杆真空开关</t>
  </si>
  <si>
    <t>160200155027</t>
  </si>
  <si>
    <t>10KV小湾路32#杆真空开关</t>
  </si>
  <si>
    <t>160200155028</t>
  </si>
  <si>
    <t>10KV天金路6#杆真空开关</t>
  </si>
  <si>
    <t>160200155029</t>
  </si>
  <si>
    <t>10KV天金路二郎支路66#杆真空开关</t>
  </si>
  <si>
    <t>160200155030</t>
  </si>
  <si>
    <t>10KV天镇路23#杆真空开关</t>
  </si>
  <si>
    <t>160200155031</t>
  </si>
  <si>
    <t>10KV西红路2#杆真空开关</t>
  </si>
  <si>
    <t>160200155032</t>
  </si>
  <si>
    <t>10KV西红路场镇支路3#杆真空开关</t>
  </si>
  <si>
    <t>160200155033</t>
  </si>
  <si>
    <t>10KV西柳路2#杆真空开关</t>
  </si>
  <si>
    <t>160200155034</t>
  </si>
  <si>
    <t>10KV西太路2#杆真空开关</t>
  </si>
  <si>
    <t>160200155035</t>
  </si>
  <si>
    <t>10KV西徐路徐丰支路丰乐村M座真空开关</t>
  </si>
  <si>
    <t>160200155036</t>
  </si>
  <si>
    <t>10KV白城路珉江5组支1#杆真空开关</t>
  </si>
  <si>
    <t>160200155037</t>
  </si>
  <si>
    <t>10KV白虹路137#杆真空开关</t>
  </si>
  <si>
    <t>160200155038</t>
  </si>
  <si>
    <t>10KV白虹路深溪电站支1#杆真空开关</t>
  </si>
  <si>
    <t>160200155039</t>
  </si>
  <si>
    <t>10KV白尖路丁家坪支1#杆真空开关</t>
  </si>
  <si>
    <t>160200155040</t>
  </si>
  <si>
    <t>10KV白尖路张家山支1#杆真空开关</t>
  </si>
  <si>
    <t>160200155041</t>
  </si>
  <si>
    <t>10KV白青路66#杆真空开关</t>
  </si>
  <si>
    <t>160200155042</t>
  </si>
  <si>
    <t>10KV田紫路1#杆真空开关</t>
  </si>
  <si>
    <t>160200155043</t>
  </si>
  <si>
    <t>10KV田紫路石支1#杆真空开关</t>
  </si>
  <si>
    <t>160200155044</t>
  </si>
  <si>
    <t>10KV崇积路罗桥支1#杆真空开关</t>
  </si>
  <si>
    <t>160200155045</t>
  </si>
  <si>
    <t>10KV金府路民寿支46#杆真空开关</t>
  </si>
  <si>
    <t>160200155046</t>
  </si>
  <si>
    <t>10KV双镇路海云支5#杆真空开关</t>
  </si>
  <si>
    <t>160200155047</t>
  </si>
  <si>
    <t>10KV双镇路镇横支30#杆真空开关</t>
  </si>
  <si>
    <t>160200155048</t>
  </si>
  <si>
    <t>10KV柳江路辛乐支1#杆真空开关</t>
  </si>
  <si>
    <t>160200155049</t>
  </si>
  <si>
    <t>10KV青大路安龙支103#杆真空开关</t>
  </si>
  <si>
    <t>160200155050</t>
  </si>
  <si>
    <t>10KV青石路东义支11#杆真空开关</t>
  </si>
  <si>
    <t>160200155051</t>
  </si>
  <si>
    <t>10KV青石路青莲支4#杆真空开关</t>
  </si>
  <si>
    <t>160200155052</t>
  </si>
  <si>
    <t>10KV青大路麻岩支2#杆真空开关</t>
  </si>
  <si>
    <t>160200155053</t>
  </si>
  <si>
    <t>10KV青泰路坪乐三组支2#杆真空开关</t>
  </si>
  <si>
    <t>160200155054</t>
  </si>
  <si>
    <t>10KV青泰路泰安支48#杆真空开关</t>
  </si>
  <si>
    <t>160200155055</t>
  </si>
  <si>
    <t>柳街镇安装低压无功补偿装置</t>
  </si>
  <si>
    <t>160200155056</t>
  </si>
  <si>
    <t>160200155057</t>
  </si>
  <si>
    <t>160200155058</t>
  </si>
  <si>
    <t>160200155059</t>
  </si>
  <si>
    <t>160200155060</t>
  </si>
  <si>
    <t>160200155061</t>
  </si>
  <si>
    <t>160200155062</t>
  </si>
  <si>
    <t>160200155063</t>
  </si>
  <si>
    <t>160200155064</t>
  </si>
  <si>
    <t>160200155065</t>
  </si>
  <si>
    <t>160200155066</t>
  </si>
  <si>
    <t>160200155067</t>
  </si>
  <si>
    <t>160200155068</t>
  </si>
  <si>
    <t>160200155069</t>
  </si>
  <si>
    <t>160200155070</t>
  </si>
  <si>
    <t>160200155071</t>
  </si>
  <si>
    <t>160200155072</t>
  </si>
  <si>
    <t>160200155073</t>
  </si>
  <si>
    <t>160200155074</t>
  </si>
  <si>
    <t>160200155075</t>
  </si>
  <si>
    <t>160200155076</t>
  </si>
  <si>
    <t>160200155077</t>
  </si>
  <si>
    <t>160200155078</t>
  </si>
  <si>
    <t>160200155079</t>
  </si>
  <si>
    <t>160200155080</t>
  </si>
  <si>
    <t>160200155081</t>
  </si>
  <si>
    <t>160200155082</t>
  </si>
  <si>
    <t>160200155083</t>
  </si>
  <si>
    <t>160200155084</t>
  </si>
  <si>
    <t>160200155085</t>
  </si>
  <si>
    <t>160200155086</t>
  </si>
  <si>
    <t>160200155087</t>
  </si>
  <si>
    <t>160200155088</t>
  </si>
  <si>
    <t>160200155089</t>
  </si>
  <si>
    <t>160200155090</t>
  </si>
  <si>
    <t>160200155091</t>
  </si>
  <si>
    <t>160200155092</t>
  </si>
  <si>
    <t>160200155093</t>
  </si>
  <si>
    <t>160200155094</t>
  </si>
  <si>
    <t>160200155095</t>
  </si>
  <si>
    <t>160200155096</t>
  </si>
  <si>
    <t>胥家镇安装低压无功补偿装置</t>
  </si>
  <si>
    <t>160200155097</t>
  </si>
  <si>
    <t>160200155098</t>
  </si>
  <si>
    <t>160200155099</t>
  </si>
  <si>
    <t>160200155100</t>
  </si>
  <si>
    <t>160200155101</t>
  </si>
  <si>
    <t>160200155102</t>
  </si>
  <si>
    <t>160200155103</t>
  </si>
  <si>
    <t>160200155104</t>
  </si>
  <si>
    <t>160200155105</t>
  </si>
  <si>
    <t>160200155106</t>
  </si>
  <si>
    <t>160200155107</t>
  </si>
  <si>
    <t>160200155108</t>
  </si>
  <si>
    <t>160200155109</t>
  </si>
  <si>
    <t>160200155110</t>
  </si>
  <si>
    <t>160200155111</t>
  </si>
  <si>
    <t>160200155112</t>
  </si>
  <si>
    <t>160200155113</t>
  </si>
  <si>
    <t>160200155114</t>
  </si>
  <si>
    <t>160200155115</t>
  </si>
  <si>
    <t>160200155116</t>
  </si>
  <si>
    <t>160200155117</t>
  </si>
  <si>
    <t>大观镇安装低压无功补偿装置</t>
  </si>
  <si>
    <t>160200155118</t>
  </si>
  <si>
    <t>160200155119</t>
  </si>
  <si>
    <t>160200155120</t>
  </si>
  <si>
    <t>160200155121</t>
  </si>
  <si>
    <t>160200155122</t>
  </si>
  <si>
    <t>160200155123</t>
  </si>
  <si>
    <t>160200155124</t>
  </si>
  <si>
    <t>160200155125</t>
  </si>
  <si>
    <t>160200155126</t>
  </si>
  <si>
    <t>160200155127</t>
  </si>
  <si>
    <t>160200155128</t>
  </si>
  <si>
    <t>160200155129</t>
  </si>
  <si>
    <t>160200155130</t>
  </si>
  <si>
    <t>160200155131</t>
  </si>
  <si>
    <t>160200155132</t>
  </si>
  <si>
    <t>160200155133</t>
  </si>
  <si>
    <t>160200155134</t>
  </si>
  <si>
    <t>10kV金桥二路金江村三组2号配变</t>
  </si>
  <si>
    <t>160200155136</t>
  </si>
  <si>
    <t>10kV蒲桂路龙桥村公变</t>
  </si>
  <si>
    <t>160200155137</t>
  </si>
  <si>
    <t>10kV香桂路桂花镇桂花社区四号公变</t>
  </si>
  <si>
    <t>160200155138</t>
  </si>
  <si>
    <t>10kV蒲桂路插旗村公变</t>
  </si>
  <si>
    <t>160200155140</t>
  </si>
  <si>
    <t>10KV蒲桂支乳品支21+1#桂花镇乌木村公变</t>
  </si>
  <si>
    <t>160200155141</t>
  </si>
  <si>
    <t>10kV小湾路小鱼洞镇大湾村二号公变</t>
  </si>
  <si>
    <t>160200155142</t>
  </si>
  <si>
    <t>10KV小君路小渔洞镇老街公变</t>
  </si>
  <si>
    <t>160200155143</t>
  </si>
  <si>
    <t>10kV蒲驾路新民安置点公变</t>
  </si>
  <si>
    <t>160200155144</t>
  </si>
  <si>
    <t>胥家桂林村5#低压无功补偿箱</t>
  </si>
  <si>
    <t>160200155145</t>
  </si>
  <si>
    <t>胥家红砂村4组低压无功补偿箱</t>
  </si>
  <si>
    <t>160200155146</t>
  </si>
  <si>
    <t>胥家十里村2组低压无功补偿箱</t>
  </si>
  <si>
    <t>160200155147</t>
  </si>
  <si>
    <t>胥家十里村4组低压无功补偿箱</t>
  </si>
  <si>
    <t>160200155148</t>
  </si>
  <si>
    <t>胥家石龙村1组低压无功补偿箱</t>
  </si>
  <si>
    <t>160200155149</t>
  </si>
  <si>
    <t>胥家歇马村2#低压无功补偿箱</t>
  </si>
  <si>
    <t>160200155150</t>
  </si>
  <si>
    <t>胥家歇马村5#低压无功补偿箱</t>
  </si>
  <si>
    <t>160200155151</t>
  </si>
  <si>
    <t>胥家新店村6组低压无功补偿箱</t>
  </si>
  <si>
    <t>160200155152</t>
  </si>
  <si>
    <t>胥家羊合村5组低压无功补偿箱</t>
  </si>
  <si>
    <t>160200155153</t>
  </si>
  <si>
    <t>胥家石龙4组低压无功补偿箱</t>
  </si>
  <si>
    <t>160200155154</t>
  </si>
  <si>
    <t>胥家大林村2#低压无功补偿箱</t>
  </si>
  <si>
    <t>160200155155</t>
  </si>
  <si>
    <t>新兴断山沙厂低压无功补偿箱</t>
  </si>
  <si>
    <t>160200155156</t>
  </si>
  <si>
    <t>新兴断山村6组低压无功补偿箱</t>
  </si>
  <si>
    <t>160200155157</t>
  </si>
  <si>
    <t>新兴岩鹅村1#低压无功补偿箱</t>
  </si>
  <si>
    <t>160200155158</t>
  </si>
  <si>
    <t>新兴指马村低压无功补偿箱</t>
  </si>
  <si>
    <t>160200155159</t>
  </si>
  <si>
    <t>新兴梓桐村低压无功补偿箱</t>
  </si>
  <si>
    <t>160200155160</t>
  </si>
  <si>
    <t>新兴花供村1#低压无功补偿箱</t>
  </si>
  <si>
    <t>160200155161</t>
  </si>
  <si>
    <t>新兴桥楼村1#低压无功补偿箱</t>
  </si>
  <si>
    <t>160200155162</t>
  </si>
  <si>
    <t>新兴桥楼村2#低压无功补偿箱</t>
  </si>
  <si>
    <t>160200155163</t>
  </si>
  <si>
    <t>新兴桥狮山8组低压无功补偿箱</t>
  </si>
  <si>
    <t>160200155164</t>
  </si>
  <si>
    <t>新兴山尖村低压无功补偿箱</t>
  </si>
  <si>
    <t>160200155165</t>
  </si>
  <si>
    <t>新兴上河村低压无功补偿箱</t>
  </si>
  <si>
    <t>160200155166</t>
  </si>
  <si>
    <t>隆丰新润村9组低压无功补偿箱</t>
  </si>
  <si>
    <t>160200155167</t>
  </si>
  <si>
    <t>隆丰文家村5组低压无功补偿箱</t>
  </si>
  <si>
    <t>160200155168</t>
  </si>
  <si>
    <t>隆丰九九村9组低压无功补偿箱</t>
  </si>
  <si>
    <t>160200155169</t>
  </si>
  <si>
    <t>隆丰九九村6组低压无功补偿箱</t>
  </si>
  <si>
    <t>160200155170</t>
  </si>
  <si>
    <t>隆丰九九村2组低压无功补偿箱</t>
  </si>
  <si>
    <t>160200155171</t>
  </si>
  <si>
    <t>隆丰镇红旗村4组低压无功补偿箱</t>
  </si>
  <si>
    <t>160200155172</t>
  </si>
  <si>
    <t>隆丰大宝村2组低压无功补偿箱</t>
  </si>
  <si>
    <t>160200155173</t>
  </si>
  <si>
    <t>隆丰白泥村4组低压无功补偿箱</t>
  </si>
  <si>
    <t>160200155174</t>
  </si>
  <si>
    <t>隆丰文家村4组低压无功补偿箱</t>
  </si>
  <si>
    <t>160200155175</t>
  </si>
  <si>
    <t>镇江6组1号公变</t>
  </si>
  <si>
    <t>160200155176</t>
  </si>
  <si>
    <t>崇义供电所崇义永洪村4组低压无功补偿箱</t>
  </si>
  <si>
    <t>160200155177</t>
  </si>
  <si>
    <t>崇义供电所崇义新华村2组低压无功补偿箱</t>
  </si>
  <si>
    <t>160200155178</t>
  </si>
  <si>
    <t>10kV崇双路崇义镇吴塘二组公变</t>
  </si>
  <si>
    <t>160200155179</t>
  </si>
  <si>
    <t>崇义供电所崇义吴塘12组低压无功补偿箱</t>
  </si>
  <si>
    <t>160200155180</t>
  </si>
  <si>
    <t>崇义供电所崇义吴塘4组低压无功补偿箱</t>
  </si>
  <si>
    <t>160200155181</t>
  </si>
  <si>
    <t>崇义供电所崇义棋员村5组低压无功补偿箱</t>
  </si>
  <si>
    <t>160200155182</t>
  </si>
  <si>
    <t>崇义供电所崇义江安村6组低压无功补偿箱</t>
  </si>
  <si>
    <t>160200155183</t>
  </si>
  <si>
    <t>崇义供电所崇义崇义村4队低压无功补偿箱</t>
  </si>
  <si>
    <t>160200155184</t>
  </si>
  <si>
    <t>积桥七组公变</t>
  </si>
  <si>
    <t>160200155185</t>
  </si>
  <si>
    <t>桂花一龙村3#低压无功补偿箱</t>
  </si>
  <si>
    <t>160200155186</t>
  </si>
  <si>
    <t>桂花一龙村1#低压无功补偿箱</t>
  </si>
  <si>
    <t>160200155187</t>
  </si>
  <si>
    <t>桂花仁和村3#低压无功补偿箱</t>
  </si>
  <si>
    <t>160200155188</t>
  </si>
  <si>
    <t>桂花两河村1#低压无功补偿箱</t>
  </si>
  <si>
    <t>160200155189</t>
  </si>
  <si>
    <t>桂花凉风村2#低压无功补偿箱</t>
  </si>
  <si>
    <t>160200155190</t>
  </si>
  <si>
    <t>桂花分水村2#低压无功补偿箱</t>
  </si>
  <si>
    <t>160200155191</t>
  </si>
  <si>
    <t>桂花豹子村2#低压无功补偿箱</t>
  </si>
  <si>
    <t>160200155192</t>
  </si>
  <si>
    <t>桂花利济村4#低压无功补偿箱</t>
  </si>
  <si>
    <t>160200155193</t>
  </si>
  <si>
    <t>小渔洞鱼洞村1#低压无功补偿箱</t>
  </si>
  <si>
    <t>160200155194</t>
  </si>
  <si>
    <t>小渔洞江桥低压无功补偿箱</t>
  </si>
  <si>
    <t>160200155195</t>
  </si>
  <si>
    <t>小渔洞董坪村低压无功补偿箱</t>
  </si>
  <si>
    <t>160200155197</t>
  </si>
  <si>
    <t>10kV蒲向路河插支路金凤场镇公变</t>
  </si>
  <si>
    <t>160200155198</t>
  </si>
  <si>
    <t>10kV蒲向路河插支路蟠龙5组公变</t>
  </si>
  <si>
    <t>160200155199</t>
  </si>
  <si>
    <t>10kV小湾路小鱼洞镇丙人街公变</t>
  </si>
  <si>
    <t>160200155201</t>
  </si>
  <si>
    <t>10kV天丰路永丰村二组公变</t>
  </si>
  <si>
    <t>160200155202</t>
  </si>
  <si>
    <t>10kV蒲镇路场镇2号公变</t>
  </si>
  <si>
    <t>160200155203</t>
  </si>
  <si>
    <t>蒲阳场镇3#公变配变</t>
  </si>
  <si>
    <t>160200155204</t>
  </si>
  <si>
    <t>10kV蒲向路蟠龙三组公变</t>
  </si>
  <si>
    <t>160200155327</t>
  </si>
  <si>
    <t>10kV蒲向路银杏4安置点公变</t>
  </si>
  <si>
    <t>160200155331</t>
  </si>
  <si>
    <t>新投莲花村二组1#,2#公变配变</t>
  </si>
  <si>
    <t>160200155332</t>
  </si>
  <si>
    <t>幸福镇莲花村3组新投2#公变配变</t>
  </si>
  <si>
    <t>160200155334</t>
  </si>
  <si>
    <t>幸福镇莲花村四组1#,2#公变配变</t>
  </si>
  <si>
    <t>160200155335</t>
  </si>
  <si>
    <t>幸福镇莲花(上)5组新投2#公变配变</t>
  </si>
  <si>
    <t>160200155336</t>
  </si>
  <si>
    <t>幸福镇莲花(下)5组新投2#公变配变</t>
  </si>
  <si>
    <t>160200155338</t>
  </si>
  <si>
    <t>莲花村六组1#.2#公变配变</t>
  </si>
  <si>
    <t>160200155341</t>
  </si>
  <si>
    <t>幸福镇莲花村七组1#,2#,3#公变配变</t>
  </si>
  <si>
    <t>160200155343</t>
  </si>
  <si>
    <t>10kV蒲驾路新民八组公变</t>
  </si>
  <si>
    <t>160200155345</t>
  </si>
  <si>
    <t>蒲阳镇栏厢村九组公变配变</t>
  </si>
  <si>
    <t>160200155347</t>
  </si>
  <si>
    <t>10kV天丰路九九村九组公变</t>
  </si>
  <si>
    <t>160200155350</t>
  </si>
  <si>
    <t>10kV香隆二路红旗村四组公变</t>
  </si>
  <si>
    <t>160200155352</t>
  </si>
  <si>
    <t>10kV天丰路文家村四组公变</t>
  </si>
  <si>
    <t>160200155353</t>
  </si>
  <si>
    <t>白杨坪新投变压器</t>
  </si>
  <si>
    <t>160200155354</t>
  </si>
  <si>
    <t>10kV灌向路场镇3号公变</t>
  </si>
  <si>
    <t>160200155356</t>
  </si>
  <si>
    <t>10kV金铁一路聚源镇迎祥村八组公变</t>
  </si>
  <si>
    <t>160200155357</t>
  </si>
  <si>
    <t>10KV双镇上场公变配变</t>
  </si>
  <si>
    <t>160200155358</t>
  </si>
  <si>
    <t>崇义镇二组公变配变</t>
  </si>
  <si>
    <t>160200155359</t>
  </si>
  <si>
    <t>10kV蒲驾路新民中兴村公变</t>
  </si>
  <si>
    <t>160200155361</t>
  </si>
  <si>
    <t>街子镇石梁七组公变配变</t>
  </si>
  <si>
    <t>160200155362</t>
  </si>
  <si>
    <t>街子镇古石梁一组公变配变</t>
  </si>
  <si>
    <t>160200155363</t>
  </si>
  <si>
    <t>街子镇古寺村公变配变</t>
  </si>
  <si>
    <t>160200155366</t>
  </si>
  <si>
    <t>灵岩七组公变配变</t>
  </si>
  <si>
    <t>160200155367</t>
  </si>
  <si>
    <t>灵岩二组公变配变</t>
  </si>
  <si>
    <t>160200155368</t>
  </si>
  <si>
    <t>160200155369</t>
  </si>
  <si>
    <t>10KV金府路万寿支真空开关</t>
  </si>
  <si>
    <t>160200155370</t>
  </si>
  <si>
    <t>丹景山镇关口社区公变配变</t>
  </si>
  <si>
    <t>160200155371</t>
  </si>
  <si>
    <t>10kV小湾路小鱼洞镇大湾村三号公变</t>
  </si>
  <si>
    <t>160200155372</t>
  </si>
  <si>
    <t>10KV石四路2#杆真空开关</t>
  </si>
  <si>
    <t>160200155373</t>
  </si>
  <si>
    <t>160200155374</t>
  </si>
  <si>
    <t>10KV灌煤路花旗支真空开关</t>
  </si>
  <si>
    <t>160200155375</t>
  </si>
  <si>
    <t>160200155376</t>
  </si>
  <si>
    <t>160200155377</t>
  </si>
  <si>
    <t>街子镇莲经四组公变</t>
  </si>
  <si>
    <t>160200155378</t>
  </si>
  <si>
    <t>10kV崇电路崇义镇大桥村二组2号公变</t>
  </si>
  <si>
    <t>160200155379</t>
  </si>
  <si>
    <t>10KV蒲桂支路线路真空开关</t>
  </si>
  <si>
    <t>160200155380</t>
  </si>
  <si>
    <t>隆丰镇10KV关隆二路真空开关</t>
  </si>
  <si>
    <t>160200155381</t>
  </si>
  <si>
    <t>160200155382</t>
  </si>
  <si>
    <t>160200155383</t>
  </si>
  <si>
    <t>160200155384</t>
  </si>
  <si>
    <t>磁峰供电所街村2#公变配变</t>
  </si>
  <si>
    <t>160200155385</t>
  </si>
  <si>
    <t>10kV西恒路石羊镇广益村三号公变</t>
  </si>
  <si>
    <t>160200155386</t>
  </si>
  <si>
    <t>10kV西恒路同心村3号公变</t>
  </si>
  <si>
    <t>160200155387</t>
  </si>
  <si>
    <t>大观供电所街子政府公变配变</t>
  </si>
  <si>
    <t>160200155388</t>
  </si>
  <si>
    <t>平清6组公变</t>
  </si>
  <si>
    <t>160200155389</t>
  </si>
  <si>
    <t>10kV蒲驾路胥家镇匡家村匡家二号公变</t>
  </si>
  <si>
    <t>160200155390</t>
  </si>
  <si>
    <t>胥家供电所新民八组公变配变</t>
  </si>
  <si>
    <t>160200155391</t>
  </si>
  <si>
    <t>胥家供电所匡家四组公变配变</t>
  </si>
  <si>
    <t>160200155392</t>
  </si>
  <si>
    <t>10kV胥都南路永桂村七组公变</t>
  </si>
  <si>
    <t>160200155393</t>
  </si>
  <si>
    <t>玉堂镇永固集镇3#公变配变</t>
  </si>
  <si>
    <t>160200155394</t>
  </si>
  <si>
    <t>玉堂镇水泉村配变</t>
  </si>
  <si>
    <t>160200155395</t>
  </si>
  <si>
    <t>玉堂镇白马1#公变配变</t>
  </si>
  <si>
    <t>160200155396</t>
  </si>
  <si>
    <t>10kV沿中线宝瓶社区二号公变</t>
  </si>
  <si>
    <t>160200155397</t>
  </si>
  <si>
    <t>白果二组公变</t>
  </si>
  <si>
    <t>160200155398</t>
  </si>
  <si>
    <t>蒲阳供电所场镇4#公变配变</t>
  </si>
  <si>
    <t>160200155399</t>
  </si>
  <si>
    <t>蒲阳南溪村5组公变配变</t>
  </si>
  <si>
    <t>160200155400</t>
  </si>
  <si>
    <t>蒲阳供电所长林2组公变配变</t>
  </si>
  <si>
    <t>160200155401</t>
  </si>
  <si>
    <t>10kV金铁一路聚源镇泉水村三组公变</t>
  </si>
  <si>
    <t>160200155402</t>
  </si>
  <si>
    <t>隆丰镇八角村4组公变配变</t>
  </si>
  <si>
    <t>160200155403</t>
  </si>
  <si>
    <t>隆丰供电所10KV关隆路隆白支真空开关</t>
  </si>
  <si>
    <t>160200155404</t>
  </si>
  <si>
    <t>10kV香隆路隆丰镇太平村五组公变</t>
  </si>
  <si>
    <t>160200155405</t>
  </si>
  <si>
    <t>10kV香隆路隆丰镇太平村一组公变</t>
  </si>
  <si>
    <t>160200155406</t>
  </si>
  <si>
    <t>10kV天丰路永丰村一组公变</t>
  </si>
  <si>
    <t>160200155407</t>
  </si>
  <si>
    <t>10kV崇天路绿凤1号公变</t>
  </si>
  <si>
    <t>160200155408</t>
  </si>
  <si>
    <t>10kV崇双路崇义村四组公变</t>
  </si>
  <si>
    <t>160200155409</t>
  </si>
  <si>
    <t>10kV崇双路崇义镇界牌村十三组公变</t>
  </si>
  <si>
    <t>160200155410</t>
  </si>
  <si>
    <t>崇义供电所土桥场镇新增3#公变配变</t>
  </si>
  <si>
    <t>160200155411</t>
  </si>
  <si>
    <t>10kV金土路场镇3号公变</t>
  </si>
  <si>
    <t>160200155412</t>
  </si>
  <si>
    <t>16大队1队</t>
  </si>
  <si>
    <t>160200155413</t>
  </si>
  <si>
    <t>10kV小通路通济花溪安置点1号配变</t>
  </si>
  <si>
    <t>160200155414</t>
  </si>
  <si>
    <t>茶山1号配变</t>
  </si>
  <si>
    <t>160200155415</t>
  </si>
  <si>
    <t>百花村二组配变</t>
  </si>
  <si>
    <t>160200155416</t>
  </si>
  <si>
    <t>10kV崇双路崇义镇吴塘六组公变</t>
  </si>
  <si>
    <t>160200155417</t>
  </si>
  <si>
    <t>灵岩村1组配变</t>
  </si>
  <si>
    <t>160200155418</t>
  </si>
  <si>
    <t>百花村七组公变配变</t>
  </si>
  <si>
    <t>160200155419</t>
  </si>
  <si>
    <t>百花村六组公变配变</t>
  </si>
  <si>
    <t>160200155420</t>
  </si>
  <si>
    <t>百花村四组公变</t>
  </si>
  <si>
    <t>160200155421</t>
  </si>
  <si>
    <t>10kV崇双路飞桥2组公变</t>
  </si>
  <si>
    <t>160200155422</t>
  </si>
  <si>
    <t>幸福村四组2#公变</t>
  </si>
  <si>
    <t>160200155423</t>
  </si>
  <si>
    <t>幸福供电所新投幸福村四组公变配变</t>
  </si>
  <si>
    <t>160200155424</t>
  </si>
  <si>
    <t>新投幸福村三组公变配变</t>
  </si>
  <si>
    <t>160200155426</t>
  </si>
  <si>
    <t>胥家镇纪家村2#公变配变</t>
  </si>
  <si>
    <t>160200155427</t>
  </si>
  <si>
    <t>10kV胥镇一路桂花村2组公变</t>
  </si>
  <si>
    <t>160200155428</t>
  </si>
  <si>
    <t>胥家镇南海村1#公变配变</t>
  </si>
  <si>
    <t>160200155429</t>
  </si>
  <si>
    <t>胥家镇南海村2#公变配变</t>
  </si>
  <si>
    <t>160200155430</t>
  </si>
  <si>
    <t>胥家镇胜利村2#公变配变</t>
  </si>
  <si>
    <t>160200155431</t>
  </si>
  <si>
    <t>石龙三组安置点公变</t>
  </si>
  <si>
    <t>160200155432</t>
  </si>
  <si>
    <t>胥家镇实践村1#公变配变</t>
  </si>
  <si>
    <t>160200155433</t>
  </si>
  <si>
    <t>10kV胥镇一路胥家镇实新十组公变</t>
  </si>
  <si>
    <t>160200155434</t>
  </si>
  <si>
    <t>胥家镇实践村3#公变配变</t>
  </si>
  <si>
    <t>160200155435</t>
  </si>
  <si>
    <t>10kV胥镇一路胥家镇村民委员会二号公变</t>
  </si>
  <si>
    <t>160200155436</t>
  </si>
  <si>
    <t>10kV蒲驾路歇马村村变</t>
  </si>
  <si>
    <t>160200155437</t>
  </si>
  <si>
    <t>胥家镇新店村1组2#公变配变</t>
  </si>
  <si>
    <t>160200155438</t>
  </si>
  <si>
    <t>10kV胥镇一路胥家镇大林五组公变</t>
  </si>
  <si>
    <t>160200155439</t>
  </si>
  <si>
    <t>胥家镇大林村7组2#公变配变</t>
  </si>
  <si>
    <t>160200155441</t>
  </si>
  <si>
    <t>高桥村2#公变</t>
  </si>
  <si>
    <t>160200155442</t>
  </si>
  <si>
    <t>胥家镇供电所1#公变配变</t>
  </si>
  <si>
    <t>160200155443</t>
  </si>
  <si>
    <t>胥家镇共和村2#公变配变</t>
  </si>
  <si>
    <t>160200155444</t>
  </si>
  <si>
    <t>10kV胥镇一路政府公变</t>
  </si>
  <si>
    <t>160200155445</t>
  </si>
  <si>
    <t>胥家镇桂花3组公变配变</t>
  </si>
  <si>
    <t>160200155446</t>
  </si>
  <si>
    <t>桂林村变</t>
  </si>
  <si>
    <t>160200155447</t>
  </si>
  <si>
    <t>胥家镇新街2#公变配变</t>
  </si>
  <si>
    <t>160200155448</t>
  </si>
  <si>
    <t>老人桥公变</t>
  </si>
  <si>
    <t>160200155449</t>
  </si>
  <si>
    <t>灌口镇白沙1组公变配变</t>
  </si>
  <si>
    <t>160200155450</t>
  </si>
  <si>
    <t>10kV灌城三路灵岩村九组1号配变</t>
  </si>
  <si>
    <t>160200155451</t>
  </si>
  <si>
    <t>10kV灌城三路灵岩村九组2号配变</t>
  </si>
  <si>
    <t>160200155452</t>
  </si>
  <si>
    <t>10kV灌城一路清泉三组公变</t>
  </si>
  <si>
    <t>160200155453</t>
  </si>
  <si>
    <t>10kV灌煤路场镇1#公变</t>
  </si>
  <si>
    <t>160200155454</t>
  </si>
  <si>
    <t>10kV灌煤路石碑二组公变</t>
  </si>
  <si>
    <t>160200155455</t>
  </si>
  <si>
    <t>虹口乡深溪村3#公变配变</t>
  </si>
  <si>
    <t>160200155456</t>
  </si>
  <si>
    <t>10kV金桥二路金江村一组1号配变</t>
  </si>
  <si>
    <t>160200155457</t>
  </si>
  <si>
    <t>10kV金铁一路聚源场镇2号公变</t>
  </si>
  <si>
    <t>160200155458</t>
  </si>
  <si>
    <t>紫坪铺紫坪村一组公变配变</t>
  </si>
  <si>
    <t>160200155459</t>
  </si>
  <si>
    <t>10kV金铁一路聚源镇大合14组公变</t>
  </si>
  <si>
    <t>160200155460</t>
  </si>
  <si>
    <t>10kV金铁一路聚源镇大合村2组公变</t>
  </si>
  <si>
    <t>160200155461</t>
  </si>
  <si>
    <t>紫坪镇白沙场镇公变配变</t>
  </si>
  <si>
    <t>160200155462</t>
  </si>
  <si>
    <t>磁峰镇莲花村1#公变配变</t>
  </si>
  <si>
    <t>160200155463</t>
  </si>
  <si>
    <t>磁峰镇花塔两叉河1#公变配变</t>
  </si>
  <si>
    <t>160200155464</t>
  </si>
  <si>
    <t>磁峰镇五龙世家公变配变</t>
  </si>
  <si>
    <t>160200155465</t>
  </si>
  <si>
    <t>成都市征地事务中心3号配变</t>
  </si>
  <si>
    <t>160200155466</t>
  </si>
  <si>
    <t>磁峰镇皇城村1#公变配变</t>
  </si>
  <si>
    <t>160200155467</t>
  </si>
  <si>
    <t>西一村1号配变</t>
  </si>
  <si>
    <t>160200155468</t>
  </si>
  <si>
    <t>10kV磁虹路成都市征地事务中心2号配变</t>
  </si>
  <si>
    <t>160200155469</t>
  </si>
  <si>
    <t>磁峰镇成都市征地事物中兴1#公变配变</t>
  </si>
  <si>
    <t>160200155470</t>
  </si>
  <si>
    <t>10kV灌煤路花溪五组公变</t>
  </si>
  <si>
    <t>160200155471</t>
  </si>
  <si>
    <t>10kV灌煤路花溪四组公变</t>
  </si>
  <si>
    <t>160200155472</t>
  </si>
  <si>
    <t>10kV灌煤路花溪二组公变</t>
  </si>
  <si>
    <t>160200155473</t>
  </si>
  <si>
    <t>10kV灌向路佛来五组公变</t>
  </si>
  <si>
    <t>160200155474</t>
  </si>
  <si>
    <t>蒲阳镇佛莱1组公变配变</t>
  </si>
  <si>
    <t>160200155475</t>
  </si>
  <si>
    <t>10kV灌向路蒲阳镇长河一组公变</t>
  </si>
  <si>
    <t>160200155476</t>
  </si>
  <si>
    <t>插旗矿山4组公变</t>
  </si>
  <si>
    <t>160200155477</t>
  </si>
  <si>
    <t>蒲阳镇白果场镇公变配变</t>
  </si>
  <si>
    <t>160200155478</t>
  </si>
  <si>
    <t>10kV蒲园二路蟠龙七组公变</t>
  </si>
  <si>
    <t>160200155479</t>
  </si>
  <si>
    <t>10kV灌向路回龙板板桥公变</t>
  </si>
  <si>
    <t>160200155480</t>
  </si>
  <si>
    <t>蒲阳镇栏厢村3组公变配变</t>
  </si>
  <si>
    <t>160200155481</t>
  </si>
  <si>
    <t>10kV蒲向路蒲阳镇齐心5组公变</t>
  </si>
  <si>
    <t>160200155482</t>
  </si>
  <si>
    <t>蒲阳镇青城钢铁厂家属院公变配变</t>
  </si>
  <si>
    <t>160200155483</t>
  </si>
  <si>
    <t>10kV灌城一路清泉七组公变</t>
  </si>
  <si>
    <t>160200155484</t>
  </si>
  <si>
    <t>10kV蒲镇路场镇3号公变</t>
  </si>
  <si>
    <t>160200155485</t>
  </si>
  <si>
    <t>蒲阳镇双槐村1组公变配变</t>
  </si>
  <si>
    <t>160200155486</t>
  </si>
  <si>
    <t>蒲阳镇银杏村2#安置点公变配变</t>
  </si>
  <si>
    <t>160200155487</t>
  </si>
  <si>
    <t>海虹支场镇4号公变</t>
  </si>
  <si>
    <t>160200155488</t>
  </si>
  <si>
    <t>向峨场镇2#公变配变</t>
  </si>
  <si>
    <t>160200155489</t>
  </si>
  <si>
    <t>向峨乡粮站1#公变配变</t>
  </si>
  <si>
    <t>160200155490</t>
  </si>
  <si>
    <t>10kV香济路新兴供电所3号公变</t>
  </si>
  <si>
    <t>160200155491</t>
  </si>
  <si>
    <t>10kV灌煤路粮站3#箱变</t>
  </si>
  <si>
    <t>160200155492</t>
  </si>
  <si>
    <t>桂花镇念佛村2#公变配变</t>
  </si>
  <si>
    <t>160200155493</t>
  </si>
  <si>
    <t>10kV香桂路念佛3号公变</t>
  </si>
  <si>
    <t>160200155494</t>
  </si>
  <si>
    <t>桂花镇三圣村2#公变配变</t>
  </si>
  <si>
    <t>160200155495</t>
  </si>
  <si>
    <t>桂花镇双林村2组公变配变</t>
  </si>
  <si>
    <t>160200155496</t>
  </si>
  <si>
    <t>桂花镇双林村3组公变配变</t>
  </si>
  <si>
    <t>160200155497</t>
  </si>
  <si>
    <t>10kV天丰路金山村七组公变</t>
  </si>
  <si>
    <t>160200155498</t>
  </si>
  <si>
    <t>红纱四组公变</t>
  </si>
  <si>
    <t>160200155499</t>
  </si>
  <si>
    <t>10V胥镇一路老街公变</t>
  </si>
  <si>
    <t>160200155500</t>
  </si>
  <si>
    <t>大林二组公变</t>
  </si>
  <si>
    <t>160200155501</t>
  </si>
  <si>
    <t>马鞍村变</t>
  </si>
  <si>
    <t>160200155502</t>
  </si>
  <si>
    <t>土什二组公变</t>
  </si>
  <si>
    <t>160200155503</t>
  </si>
  <si>
    <t>土什村变</t>
  </si>
  <si>
    <t>160200155504</t>
  </si>
  <si>
    <t>新店一组公变</t>
  </si>
  <si>
    <t>160200155505</t>
  </si>
  <si>
    <t>桂花七组公变</t>
  </si>
  <si>
    <t>160200155923</t>
  </si>
  <si>
    <t>10KV磁虹路真空开关</t>
  </si>
  <si>
    <t>160200156408</t>
  </si>
  <si>
    <t>法华1号公变</t>
  </si>
  <si>
    <t>160200156409</t>
  </si>
  <si>
    <t>天马镇法华2#公变</t>
  </si>
  <si>
    <t>160200156410</t>
  </si>
  <si>
    <t>金马村九组公变</t>
  </si>
  <si>
    <t>160200156411</t>
  </si>
  <si>
    <t>金玉2号公变</t>
  </si>
  <si>
    <t>160200156412</t>
  </si>
  <si>
    <t>崇金2号公变</t>
  </si>
  <si>
    <t>160200156413</t>
  </si>
  <si>
    <t>童山1号公变</t>
  </si>
  <si>
    <t>160200156414</t>
  </si>
  <si>
    <t>天马镇童山2#公变</t>
  </si>
  <si>
    <t>160200156415</t>
  </si>
  <si>
    <t>童山村3组公变</t>
  </si>
  <si>
    <t>160200156416</t>
  </si>
  <si>
    <t>10kV崇天路天马镇乐民一号公变</t>
  </si>
  <si>
    <t>160200156417</t>
  </si>
  <si>
    <t>10kV天金路二郎支路涌山1号</t>
  </si>
  <si>
    <t>160200156418</t>
  </si>
  <si>
    <t>白果三组公变</t>
  </si>
  <si>
    <t>160200156419</t>
  </si>
  <si>
    <t>白鹤二组公变</t>
  </si>
  <si>
    <t>160200156420</t>
  </si>
  <si>
    <t>白鹤一组公变</t>
  </si>
  <si>
    <t>160200156421</t>
  </si>
  <si>
    <t>定红1号公变</t>
  </si>
  <si>
    <t>160200156422</t>
  </si>
  <si>
    <t>10kV青大路定红2号公变</t>
  </si>
  <si>
    <t>160200156423</t>
  </si>
  <si>
    <t>接龙2号公变</t>
  </si>
  <si>
    <t>160200156424</t>
  </si>
  <si>
    <t>10kV青大路接龙八组公变</t>
  </si>
  <si>
    <t>160200156425</t>
  </si>
  <si>
    <t>查关安置点公变</t>
  </si>
  <si>
    <t>160200156426</t>
  </si>
  <si>
    <t>10kV白虹路紫坪铺镇场镇1号公变</t>
  </si>
  <si>
    <t>160200156427</t>
  </si>
  <si>
    <t>石羊卫星2号公变</t>
  </si>
  <si>
    <t>160200156428</t>
  </si>
  <si>
    <t>卫星3号公变</t>
  </si>
  <si>
    <t>160200156429</t>
  </si>
  <si>
    <t>谷王1号公变</t>
  </si>
  <si>
    <t>160200156430</t>
  </si>
  <si>
    <t>义和1号公变</t>
  </si>
  <si>
    <t>160200156431</t>
  </si>
  <si>
    <t>义和村6组公变</t>
  </si>
  <si>
    <t>160200156432</t>
  </si>
  <si>
    <t>10kV西红路马祖村3组公变</t>
  </si>
  <si>
    <t>160200156433</t>
  </si>
  <si>
    <t>10kV西徐路青羊村2号公变</t>
  </si>
  <si>
    <t>160200156434</t>
  </si>
  <si>
    <t>10kV西徐路青羊村3号公变</t>
  </si>
  <si>
    <t>160200156435</t>
  </si>
  <si>
    <t>丰乐村5组</t>
  </si>
  <si>
    <t>160200156436</t>
  </si>
  <si>
    <t>10kV青泰路白云村公变</t>
  </si>
  <si>
    <t>160200156437</t>
  </si>
  <si>
    <t>坪乐一组公变</t>
  </si>
  <si>
    <t>160200156438</t>
  </si>
  <si>
    <t>坪乐四组公变</t>
  </si>
  <si>
    <t>160200156439</t>
  </si>
  <si>
    <t>沙坪一组公变</t>
  </si>
  <si>
    <t>160200156440</t>
  </si>
  <si>
    <t>10kV青泰路沙坪一组二变</t>
  </si>
  <si>
    <t>160200156441</t>
  </si>
  <si>
    <t>沙坪四组公变（乡政府）</t>
  </si>
  <si>
    <t>160200156442</t>
  </si>
  <si>
    <t>10kV青泰路青龙2号公变</t>
  </si>
  <si>
    <t>160200156443</t>
  </si>
  <si>
    <t>10kV青泰路青龙3号公变</t>
  </si>
  <si>
    <t>160200156444</t>
  </si>
  <si>
    <t>10kV青泰路味江1号公变</t>
  </si>
  <si>
    <t>160200156445</t>
  </si>
  <si>
    <t>10kV青泰路味江村白石二组2号公变</t>
  </si>
  <si>
    <t>160200156446</t>
  </si>
  <si>
    <t>10kV青泰路白石三组公变</t>
  </si>
  <si>
    <t>160200156447</t>
  </si>
  <si>
    <t>白石2组公变</t>
  </si>
  <si>
    <t>160200156448</t>
  </si>
  <si>
    <t>青城七组公变</t>
  </si>
  <si>
    <t>160200156449</t>
  </si>
  <si>
    <t>五里七组公变</t>
  </si>
  <si>
    <t>160200156450</t>
  </si>
  <si>
    <t>南岳村公变</t>
  </si>
  <si>
    <t>160200156451</t>
  </si>
  <si>
    <t>丁家坪二期安置点公变</t>
  </si>
  <si>
    <t>160200156452</t>
  </si>
  <si>
    <t>云华村1号公变</t>
  </si>
  <si>
    <t>160200156465</t>
  </si>
  <si>
    <t>玉堂都江三组公变</t>
  </si>
  <si>
    <t>160200156466</t>
  </si>
  <si>
    <t>玉堂镇南华2号公变</t>
  </si>
  <si>
    <t>160200156467</t>
  </si>
  <si>
    <t>都江二组公变</t>
  </si>
  <si>
    <t>160200156468</t>
  </si>
  <si>
    <t>都江六组公变</t>
  </si>
  <si>
    <t>160200156469</t>
  </si>
  <si>
    <t>都江七组公变</t>
  </si>
  <si>
    <t>160200156470</t>
  </si>
  <si>
    <t>胥家镇大林村公变</t>
  </si>
  <si>
    <t>160200156471</t>
  </si>
  <si>
    <t>石龙五组公变</t>
  </si>
  <si>
    <t>160200156472</t>
  </si>
  <si>
    <t>160200156473</t>
  </si>
  <si>
    <t>十里一组公变</t>
  </si>
  <si>
    <t>160200156474</t>
  </si>
  <si>
    <t>10kV胥镇一路胥家镇大林四组公变</t>
  </si>
  <si>
    <t>160200156475</t>
  </si>
  <si>
    <t>大林一组公变</t>
  </si>
  <si>
    <t>160200156476</t>
  </si>
  <si>
    <t>桂花六组公变</t>
  </si>
  <si>
    <t>160200156477</t>
  </si>
  <si>
    <t>新民1#</t>
  </si>
  <si>
    <t>160200156478</t>
  </si>
  <si>
    <t>新民2#</t>
  </si>
  <si>
    <t>160200156479</t>
  </si>
  <si>
    <t>10kV小通路通济桥楼3号公变</t>
  </si>
  <si>
    <t>160200156480</t>
  </si>
  <si>
    <t>灌煤路2#公变</t>
  </si>
  <si>
    <t>160200156481</t>
  </si>
  <si>
    <t>10kV灌煤路东林村配变</t>
  </si>
  <si>
    <t>160200156482</t>
  </si>
  <si>
    <t>东林村2#公变</t>
  </si>
  <si>
    <t>160200156483</t>
  </si>
  <si>
    <t>10kV灌煤路莲月新村1号公变</t>
  </si>
  <si>
    <t>160200156484</t>
  </si>
  <si>
    <t>10kV小通路通济花拱1号公变</t>
  </si>
  <si>
    <t>160200156485</t>
  </si>
  <si>
    <t>10kV小通路通济花拱2号公变</t>
  </si>
  <si>
    <t>160200156486</t>
  </si>
  <si>
    <t>10kV小通路通济花溪安置点2号配变</t>
  </si>
  <si>
    <t>160200156487</t>
  </si>
  <si>
    <t>10kV小通路通济黄村1号公变</t>
  </si>
  <si>
    <t>160200156488</t>
  </si>
  <si>
    <t>10kV小通路通济景甘公变</t>
  </si>
  <si>
    <t>160200156489</t>
  </si>
  <si>
    <t>安阜3号公变</t>
  </si>
  <si>
    <t>160200156490</t>
  </si>
  <si>
    <t>天马镇金马村公变</t>
  </si>
  <si>
    <t>160200156491</t>
  </si>
  <si>
    <t>碧鸡街公变</t>
  </si>
  <si>
    <t>160200156492</t>
  </si>
  <si>
    <t>长虹2号公变</t>
  </si>
  <si>
    <t>160200156493</t>
  </si>
  <si>
    <t>长虹村3号公变</t>
  </si>
  <si>
    <t>160200156494</t>
  </si>
  <si>
    <t>10kV天马路天马镇场镇1号公变</t>
  </si>
  <si>
    <t>160200156495</t>
  </si>
  <si>
    <t>场镇2号配变</t>
  </si>
  <si>
    <t>160200156496</t>
  </si>
  <si>
    <t>场镇3号配变</t>
  </si>
  <si>
    <t>160200156497</t>
  </si>
  <si>
    <t>10kV天马路天马镇场镇4号公变</t>
  </si>
  <si>
    <t>160200156498</t>
  </si>
  <si>
    <t>10KV天金路真空开关</t>
  </si>
  <si>
    <t>160200156499</t>
  </si>
  <si>
    <t>10KV崇天路绿凤1#真空开关</t>
  </si>
  <si>
    <t>160200156500</t>
  </si>
  <si>
    <t>10KV天镇路15#真空开关</t>
  </si>
  <si>
    <t>160200156501</t>
  </si>
  <si>
    <t>10KV天镇路驾支8#真空开关</t>
  </si>
  <si>
    <t>160200156502</t>
  </si>
  <si>
    <t>10KV天镇路驾支27#真空开关</t>
  </si>
  <si>
    <t>160200156503</t>
  </si>
  <si>
    <t>10KV天马路童山支1#真空开关</t>
  </si>
  <si>
    <t>160200156504</t>
  </si>
  <si>
    <t>10KV天马路3#真空开关</t>
  </si>
  <si>
    <t>160200156505</t>
  </si>
  <si>
    <t>金花村金花2#公变</t>
  </si>
  <si>
    <t>160200156506</t>
  </si>
  <si>
    <t>马祖村马祖1#公变</t>
  </si>
  <si>
    <t>160200156507</t>
  </si>
  <si>
    <t>10kV西红路大乐1号公变</t>
  </si>
  <si>
    <t>160200156508</t>
  </si>
  <si>
    <t>10kV西红路马祖2号公变</t>
  </si>
  <si>
    <t>160200156509</t>
  </si>
  <si>
    <t>安龙支2#真空开关</t>
  </si>
  <si>
    <t>160200156510</t>
  </si>
  <si>
    <t>10KV青石路11#杆真空开关</t>
  </si>
  <si>
    <t>160200156511</t>
  </si>
  <si>
    <t>永洪村配变</t>
  </si>
  <si>
    <t>160200156512</t>
  </si>
  <si>
    <t>双土村配变</t>
  </si>
  <si>
    <t>160200156513</t>
  </si>
  <si>
    <t>独柏村配变</t>
  </si>
  <si>
    <t>160200156514</t>
  </si>
  <si>
    <t>飞桥村配变</t>
  </si>
  <si>
    <t>160200156515</t>
  </si>
  <si>
    <t>崇义3组公变</t>
  </si>
  <si>
    <t>160200156516</t>
  </si>
  <si>
    <t>罗桥村配变</t>
  </si>
  <si>
    <t>160200156517</t>
  </si>
  <si>
    <t>崇义电管所</t>
  </si>
  <si>
    <t>160200156518</t>
  </si>
  <si>
    <t>公平村配变</t>
  </si>
  <si>
    <t>160200156519</t>
  </si>
  <si>
    <t>梳妆村配变</t>
  </si>
  <si>
    <t>160200156520</t>
  </si>
  <si>
    <t>大桥村真空开关</t>
  </si>
  <si>
    <t>160200156521</t>
  </si>
  <si>
    <t>10KV镇横路支路真空开关</t>
  </si>
  <si>
    <t>160200156522</t>
  </si>
  <si>
    <t>10KV崇电路支路真空开关</t>
  </si>
  <si>
    <t>160200156523</t>
  </si>
  <si>
    <t>10KV张陈路支路真空开关</t>
  </si>
  <si>
    <t>160200156524</t>
  </si>
  <si>
    <t>下场公变</t>
  </si>
  <si>
    <t>160200156525</t>
  </si>
  <si>
    <t>10KV磁滴路鹿坪二支真空开关</t>
  </si>
  <si>
    <t>160200156526</t>
  </si>
  <si>
    <t>国良村配变</t>
  </si>
  <si>
    <t>160200156527</t>
  </si>
  <si>
    <t>朝阳四组配变</t>
  </si>
  <si>
    <t>160200156528</t>
  </si>
  <si>
    <t>10KV青大路15#杆真空开关</t>
  </si>
  <si>
    <t>160200156529</t>
  </si>
  <si>
    <t>10KV青大路飞瓦支1#杆真空开关</t>
  </si>
  <si>
    <t>160200156530</t>
  </si>
  <si>
    <t>10KV青大路石佛两河支27#杆真空开关</t>
  </si>
  <si>
    <t>160200156531</t>
  </si>
  <si>
    <t>10KV唐古路朝阳支2#杆真空开关</t>
  </si>
  <si>
    <t>160200156532</t>
  </si>
  <si>
    <t>10kV金铁一路聚源镇五龙村三组公变</t>
  </si>
  <si>
    <t>160200156533</t>
  </si>
  <si>
    <t>解放小区1号公变配变</t>
  </si>
  <si>
    <t>160200156534</t>
  </si>
  <si>
    <t>10kV蒲桂路灯塔村统建点1号</t>
  </si>
  <si>
    <t>160200156535</t>
  </si>
  <si>
    <t>高埂村六组配变</t>
  </si>
  <si>
    <t>160200156536</t>
  </si>
  <si>
    <t>10kV蒲桂路灯塔统归统建2号公变</t>
  </si>
  <si>
    <t>160200156537</t>
  </si>
  <si>
    <t>10kV蒲桂路共和村2号公变</t>
  </si>
  <si>
    <t>160200156538</t>
  </si>
  <si>
    <t>10KV灌城二路蒲桂支路乳品支1#杆真空开关</t>
  </si>
  <si>
    <t>160200156539</t>
  </si>
  <si>
    <t>10KV关桂路利济支1#杆真空开关</t>
  </si>
  <si>
    <t>160200156540</t>
  </si>
  <si>
    <t>10KV关桂路高峰支3#杆真空开关</t>
  </si>
  <si>
    <t>160200156541</t>
  </si>
  <si>
    <t>10kV香镇二路白塔桥公变</t>
  </si>
  <si>
    <t>160200156542</t>
  </si>
  <si>
    <t>10KV关镇路东方厂真空开关</t>
  </si>
  <si>
    <t>160200156543</t>
  </si>
  <si>
    <t>10KV关镇路大元支真空开关</t>
  </si>
  <si>
    <t>160200156544</t>
  </si>
  <si>
    <t>10KV灌向路金河支路真空开关</t>
  </si>
  <si>
    <t>160200156545</t>
  </si>
  <si>
    <t>10KV灌向路金紫支路真空开关</t>
  </si>
  <si>
    <t>160200156546</t>
  </si>
  <si>
    <t>10KV灌城一路蒲镇支路真空开关</t>
  </si>
  <si>
    <t>160200156547</t>
  </si>
  <si>
    <t>10KV灌城二路蒲桂支栏厢村真空开关</t>
  </si>
  <si>
    <t>160200156548</t>
  </si>
  <si>
    <t>茶山2号配变</t>
  </si>
  <si>
    <t>160200156549</t>
  </si>
  <si>
    <t>蒲阳镇长河村改造配变</t>
  </si>
  <si>
    <t>160200156550</t>
  </si>
  <si>
    <t>栏厢9组公变改造配变</t>
  </si>
  <si>
    <t>160200156551</t>
  </si>
  <si>
    <t>崇义二组公变</t>
  </si>
  <si>
    <t>160200156552</t>
  </si>
  <si>
    <t>金鸡三组公变</t>
  </si>
  <si>
    <t>160200156553</t>
  </si>
  <si>
    <t>10KV金黄路聚支一路真空开关</t>
  </si>
  <si>
    <t>160200156554</t>
  </si>
  <si>
    <t>10KV金黄路双合支路真空开关</t>
  </si>
  <si>
    <t>160200156555</t>
  </si>
  <si>
    <t>10KV金黄路檬梓支路真空开关</t>
  </si>
  <si>
    <t>160200156556</t>
  </si>
  <si>
    <t>10KV金黄路镇云支路真空开关</t>
  </si>
  <si>
    <t>160200156557</t>
  </si>
  <si>
    <t>都江三组公变</t>
  </si>
  <si>
    <t>160200156558</t>
  </si>
  <si>
    <t>都江十一组公变</t>
  </si>
  <si>
    <t>160200156559</t>
  </si>
  <si>
    <t>都江四组公变</t>
  </si>
  <si>
    <t>160200156560</t>
  </si>
  <si>
    <t>都江五组（安置点）公变</t>
  </si>
  <si>
    <t>160200156561</t>
  </si>
  <si>
    <t>都江五组公变</t>
  </si>
  <si>
    <t>160200156562</t>
  </si>
  <si>
    <t>义虎村1#配变</t>
  </si>
  <si>
    <t>160200156563</t>
  </si>
  <si>
    <t>义虎2号公变</t>
  </si>
  <si>
    <t>160200156564</t>
  </si>
  <si>
    <t>10kV香隆路隆丰镇太平村三组公变</t>
  </si>
  <si>
    <t>160200156566</t>
  </si>
  <si>
    <t>10KV隆白支3#杆真空开关</t>
  </si>
  <si>
    <t>160200156567</t>
  </si>
  <si>
    <t>10KV隆文支1#杆真空开关</t>
  </si>
  <si>
    <t>160200156569</t>
  </si>
  <si>
    <t>10KV平桃路清智支安装真空开关一台</t>
  </si>
  <si>
    <t>160200156570</t>
  </si>
  <si>
    <t>10KV平桃路芒城支安装真空开关一台</t>
  </si>
  <si>
    <t>160200156571</t>
  </si>
  <si>
    <t>沙坪村(临时安置点)1#公变</t>
  </si>
  <si>
    <t>160200156572</t>
  </si>
  <si>
    <t>沙坪村(临时安置点)2#公变</t>
  </si>
  <si>
    <t>160200156573</t>
  </si>
  <si>
    <t>10kV青上路中兴镇红旗社区红旗二台公变</t>
  </si>
  <si>
    <t>160200156574</t>
  </si>
  <si>
    <t>桃花社区(安置点)公变</t>
  </si>
  <si>
    <t>160200156575</t>
  </si>
  <si>
    <t>上游6组公变改造配变</t>
  </si>
  <si>
    <t>160200156576</t>
  </si>
  <si>
    <t>光荣一组公变(香谢)</t>
  </si>
  <si>
    <t>160200156577</t>
  </si>
  <si>
    <t>柱上断路器</t>
  </si>
  <si>
    <t>160200156578</t>
  </si>
  <si>
    <t>交流避雷器</t>
  </si>
  <si>
    <t>160200156579</t>
  </si>
  <si>
    <t>10kV单相隔离开关</t>
  </si>
  <si>
    <t>160200156580</t>
  </si>
  <si>
    <t>10kV青丰一路单相隔离开关</t>
  </si>
  <si>
    <t>160200156581</t>
  </si>
  <si>
    <t>160200156582</t>
  </si>
  <si>
    <t>10kV青丰二路柱上断路器</t>
  </si>
  <si>
    <t>160200156584</t>
  </si>
  <si>
    <t>10kV青丰二路交流避雷器</t>
  </si>
  <si>
    <t>160200156585</t>
  </si>
  <si>
    <t>160200156586</t>
  </si>
  <si>
    <t>160200156587</t>
  </si>
  <si>
    <t>160200156589</t>
  </si>
  <si>
    <t>160200156590</t>
  </si>
  <si>
    <t>160200156593</t>
  </si>
  <si>
    <t>民主村十组低压刀熔开关</t>
  </si>
  <si>
    <t>160200156596</t>
  </si>
  <si>
    <t>万岭村村变低压刀熔开关</t>
  </si>
  <si>
    <t>160200156599</t>
  </si>
  <si>
    <t>磁峰镇西一村1#配变低压刀熔开关</t>
  </si>
  <si>
    <t>160200156600</t>
  </si>
  <si>
    <t>崇土路公变</t>
  </si>
  <si>
    <t>160200156601</t>
  </si>
  <si>
    <t>崇义镇古桥村四组低压刀熔开关</t>
  </si>
  <si>
    <t>160200156602</t>
  </si>
  <si>
    <t>崇义村三组低压刀熔开关</t>
  </si>
  <si>
    <t>160200156614</t>
  </si>
  <si>
    <t>10kV香坦路1#单相隔离开关</t>
  </si>
  <si>
    <t>160200156616</t>
  </si>
  <si>
    <t>10kV香坦路1#10kvSOG功能接地保护柱上开关</t>
  </si>
  <si>
    <t>160200156618</t>
  </si>
  <si>
    <t>10kV香水路1#单相隔离开关</t>
  </si>
  <si>
    <t>160200156620</t>
  </si>
  <si>
    <t>10kV香水路1#10kvSOG功能接地保护柱上开关</t>
  </si>
  <si>
    <t>160200156622</t>
  </si>
  <si>
    <t>10kV香九路1#单相隔离开关</t>
  </si>
  <si>
    <t>160200156624</t>
  </si>
  <si>
    <t>10kV香九路1#10kvSOG功能接地保护柱上开关</t>
  </si>
  <si>
    <t>160200156626</t>
  </si>
  <si>
    <t>10kV城胥路78#10kV单相隔离开关</t>
  </si>
  <si>
    <t>160200156628</t>
  </si>
  <si>
    <t>10kV城胥路78#10kvSOG功能接地保护柱上开关</t>
  </si>
  <si>
    <t>160200156630</t>
  </si>
  <si>
    <t>10kV灌煤路花龙支路单相隔离开关</t>
  </si>
  <si>
    <t>160200156632</t>
  </si>
  <si>
    <t>10kV灌煤路花龙支路4#10kvSOG功能接地保护柱上开关</t>
  </si>
  <si>
    <t>160200156634</t>
  </si>
  <si>
    <t>10kV灌煤路赵家沟支路单相隔离开关</t>
  </si>
  <si>
    <t>160200156636</t>
  </si>
  <si>
    <t>10kV灌煤路赵家沟支路10kvSOG功能接地保护柱上开关</t>
  </si>
  <si>
    <t>160200156638</t>
  </si>
  <si>
    <t>10kV灌煤路月耳支路单相隔离开关</t>
  </si>
  <si>
    <t>160200156640</t>
  </si>
  <si>
    <t>10kV灌煤路月耳支路10kvSOG功能接地保护柱上开关</t>
  </si>
  <si>
    <t>160200156642</t>
  </si>
  <si>
    <t>10kV灌向路海虹支路单相隔离开关</t>
  </si>
  <si>
    <t>160200156644</t>
  </si>
  <si>
    <t>10kV灌向路海虹支路10kvSOG功能接地保护柱上开关</t>
  </si>
  <si>
    <t>160200156646</t>
  </si>
  <si>
    <t>10kV小君路董坪支路单相隔离开关</t>
  </si>
  <si>
    <t>160200156648</t>
  </si>
  <si>
    <t>10kV小君路董坪支路10kvSOG功能接地保护柱上开关</t>
  </si>
  <si>
    <t>160200156650</t>
  </si>
  <si>
    <t>10kV小湾路59#杆单相隔离开关</t>
  </si>
  <si>
    <t>160200156652</t>
  </si>
  <si>
    <t>10kV小湾路59#杆10kvSOG功能接地保护柱上开关</t>
  </si>
  <si>
    <t>160200156654</t>
  </si>
  <si>
    <t>10kV香桂路高峰支路3#单相隔离开关</t>
  </si>
  <si>
    <t>160200156656</t>
  </si>
  <si>
    <t>10kV香桂路高峰支路3#10kvSOG功能接地保护柱上开关</t>
  </si>
  <si>
    <t>160200156658</t>
  </si>
  <si>
    <t>10kV香桂路一龙支路单相隔离开关</t>
  </si>
  <si>
    <t>160200156660</t>
  </si>
  <si>
    <t>10kV香桂路一龙支路10kvSOG功能接地保护柱上开关</t>
  </si>
  <si>
    <t>160200156662</t>
  </si>
  <si>
    <t>10kV香济路新花支路单相隔离开关</t>
  </si>
  <si>
    <t>160200156664</t>
  </si>
  <si>
    <t>10kV香济路新花支路10kvSOG功能接地保护柱上开关</t>
  </si>
  <si>
    <t>160200156666</t>
  </si>
  <si>
    <t>10kV香济路山尖支路单相隔离开关</t>
  </si>
  <si>
    <t>160200156668</t>
  </si>
  <si>
    <t>10kV香济路山尖支路10kvSOG功能接地保护柱上开关</t>
  </si>
  <si>
    <t>160200156669</t>
  </si>
  <si>
    <t>原栏厢村三组公变</t>
  </si>
  <si>
    <t>160200156671</t>
  </si>
  <si>
    <t>插旗2组公变</t>
  </si>
  <si>
    <t>160200156673</t>
  </si>
  <si>
    <t>10kV灌向路鹿池新村2号公变</t>
  </si>
  <si>
    <t>160200156753</t>
  </si>
  <si>
    <t>蒲阳场镇3#公变低压计量装置</t>
  </si>
  <si>
    <t>160200156754</t>
  </si>
  <si>
    <t>蒲阳金凤场镇公变低压计量装置</t>
  </si>
  <si>
    <t>160200156755</t>
  </si>
  <si>
    <t>蒲阳灌县站公变低压计量装置</t>
  </si>
  <si>
    <t>160200156756</t>
  </si>
  <si>
    <t>普贤七组公变低压计量装置</t>
  </si>
  <si>
    <t>160200156757</t>
  </si>
  <si>
    <t>大夫6组公变低压计量装置</t>
  </si>
  <si>
    <t>160200156758</t>
  </si>
  <si>
    <t>高梗三组公变低压计量装置</t>
  </si>
  <si>
    <t>160200156759</t>
  </si>
  <si>
    <t>解放小区1#公变低压计量装置</t>
  </si>
  <si>
    <t>160200156760</t>
  </si>
  <si>
    <t>莲水村1号配变</t>
  </si>
  <si>
    <t>160200156761</t>
  </si>
  <si>
    <t>石门村公变低压计量装置</t>
  </si>
  <si>
    <t>160200156762</t>
  </si>
  <si>
    <t>永丰村五组公变低压计量装置</t>
  </si>
  <si>
    <t>160200156763</t>
  </si>
  <si>
    <t>万寿村6组公变低压计量装置</t>
  </si>
  <si>
    <t>160200156764</t>
  </si>
  <si>
    <t>民主村2组公变低压计量装置</t>
  </si>
  <si>
    <t>160200156765</t>
  </si>
  <si>
    <t>民主村8组公变低压计量装置</t>
  </si>
  <si>
    <t>160200156766</t>
  </si>
  <si>
    <t>联盟村二组公变低压计量装置</t>
  </si>
  <si>
    <t>160200156767</t>
  </si>
  <si>
    <t>安顺村五组公变低压计量装置</t>
  </si>
  <si>
    <t>160200156768</t>
  </si>
  <si>
    <t>桂花1组公变低压计量装置</t>
  </si>
  <si>
    <t>160200156769</t>
  </si>
  <si>
    <t>红砂村公变低压计量装置</t>
  </si>
  <si>
    <t>160200156770</t>
  </si>
  <si>
    <t>红砂五组公变低压计量装置</t>
  </si>
  <si>
    <t>160200156771</t>
  </si>
  <si>
    <t>匡家1#公变低压计量装置</t>
  </si>
  <si>
    <t>160200156772</t>
  </si>
  <si>
    <t>匡家村2#公变低压计量装置</t>
  </si>
  <si>
    <t>160200156773</t>
  </si>
  <si>
    <t>老人桥公变低压计量装置</t>
  </si>
  <si>
    <t>160200156774</t>
  </si>
  <si>
    <t>南海村1#公变低压计量装置</t>
  </si>
  <si>
    <t>160200156775</t>
  </si>
  <si>
    <t>胜利村1#公变低压计量装置</t>
  </si>
  <si>
    <t>160200156776</t>
  </si>
  <si>
    <t>胜利村2#公变低压计量装置</t>
  </si>
  <si>
    <t>160200156777</t>
  </si>
  <si>
    <t>十里村一组公变低压计量装置</t>
  </si>
  <si>
    <t>160200156778</t>
  </si>
  <si>
    <t>实践村3#公变低压计量装置</t>
  </si>
  <si>
    <t>160200156779</t>
  </si>
  <si>
    <t>新店五组公变低压计量装置</t>
  </si>
  <si>
    <t>160200156780</t>
  </si>
  <si>
    <t>新街公变低压计量装置</t>
  </si>
  <si>
    <t>160200156781</t>
  </si>
  <si>
    <t>新民村1#公变低压计量装置</t>
  </si>
  <si>
    <t>160200156782</t>
  </si>
  <si>
    <t>新民村2#公变低压计量装置</t>
  </si>
  <si>
    <t>160200156783</t>
  </si>
  <si>
    <t>新民中心村公变低压计量装置</t>
  </si>
  <si>
    <t>160200156784</t>
  </si>
  <si>
    <t>羊叉五组公变低压计量装置</t>
  </si>
  <si>
    <t>160200156785</t>
  </si>
  <si>
    <t>羊合六组公变低压计量装置</t>
  </si>
  <si>
    <t>160200156786</t>
  </si>
  <si>
    <t>正林四组公变低压计量装置</t>
  </si>
  <si>
    <t>160200156787</t>
  </si>
  <si>
    <t>政府公变低压计量装置</t>
  </si>
  <si>
    <t>160200156788</t>
  </si>
  <si>
    <t>仓库公变低压计量装置</t>
  </si>
  <si>
    <t>160200156789</t>
  </si>
  <si>
    <t>大林七组公变低压计量装置</t>
  </si>
  <si>
    <t>160200156790</t>
  </si>
  <si>
    <t>高桥七组公变低压计量装置</t>
  </si>
  <si>
    <t>160200156791</t>
  </si>
  <si>
    <t>共和村1#公变低压计量装置</t>
  </si>
  <si>
    <t>160200156792</t>
  </si>
  <si>
    <t>桂花村八组公变低压计量装置</t>
  </si>
  <si>
    <t>160200156793</t>
  </si>
  <si>
    <t>桂花村公变低压计量装置</t>
  </si>
  <si>
    <t>160200156794</t>
  </si>
  <si>
    <t>桂花村三组公变低压计量装置</t>
  </si>
  <si>
    <t>160200156796</t>
  </si>
  <si>
    <t>中兴镇场镇5台配变</t>
  </si>
  <si>
    <t>160200156797</t>
  </si>
  <si>
    <t>土桥场镇配变</t>
  </si>
  <si>
    <t>160200156798</t>
  </si>
  <si>
    <t>天马镇长虹4组公变</t>
  </si>
  <si>
    <t>160200156799</t>
  </si>
  <si>
    <t>天马镇长虹村配变</t>
  </si>
  <si>
    <t>160200156800</t>
  </si>
  <si>
    <t>10kV天金路金陵5组配变</t>
  </si>
  <si>
    <t>160200156801</t>
  </si>
  <si>
    <t>10kV天金路金陵7组8号</t>
  </si>
  <si>
    <t>160200156802</t>
  </si>
  <si>
    <t>10kV天金路金玉4组配变</t>
  </si>
  <si>
    <t>160200156803</t>
  </si>
  <si>
    <t>10kV天马路滨河小区公变</t>
  </si>
  <si>
    <t>160200156804</t>
  </si>
  <si>
    <t>10kV天镇路安阜2号公变</t>
  </si>
  <si>
    <t>160200156805</t>
  </si>
  <si>
    <t>10kV天金路建华中心村公变</t>
  </si>
  <si>
    <t>160200156806</t>
  </si>
  <si>
    <t>天马镇建华村配变</t>
  </si>
  <si>
    <t>160200156807</t>
  </si>
  <si>
    <t>10kV天镇路童山2号公变</t>
  </si>
  <si>
    <t>160200156808</t>
  </si>
  <si>
    <t>10kV天镇路禹王3号公变</t>
  </si>
  <si>
    <t>160200156809</t>
  </si>
  <si>
    <t>天马镇场镇配变</t>
  </si>
  <si>
    <t>160200156810</t>
  </si>
  <si>
    <t>安阜1号公变</t>
  </si>
  <si>
    <t>160200156811</t>
  </si>
  <si>
    <t>竹瓦村9组公变</t>
  </si>
  <si>
    <t>160200156812</t>
  </si>
  <si>
    <t>西太路竹瓦1号公变</t>
  </si>
  <si>
    <t>160200156813</t>
  </si>
  <si>
    <t>10kV西红路徐渡村2号公变</t>
  </si>
  <si>
    <t>160200156814</t>
  </si>
  <si>
    <t>10kV西红路徐渡村1号公变</t>
  </si>
  <si>
    <t>160200156815</t>
  </si>
  <si>
    <t>书院11组公变</t>
  </si>
  <si>
    <t>160200156816</t>
  </si>
  <si>
    <t>10kV西红路八角2号公变</t>
  </si>
  <si>
    <t>160200156817</t>
  </si>
  <si>
    <t>10kV西徐路清水村4号公变</t>
  </si>
  <si>
    <t>160200156818</t>
  </si>
  <si>
    <t>10kV西徐路清水村3号公变</t>
  </si>
  <si>
    <t>160200156819</t>
  </si>
  <si>
    <t>10kV西徐路清水村2号公变</t>
  </si>
  <si>
    <t>160200156820</t>
  </si>
  <si>
    <t>10kV西徐路清水村1号公变</t>
  </si>
  <si>
    <t>160200156821</t>
  </si>
  <si>
    <t>10kV西徐路金花村3号公变</t>
  </si>
  <si>
    <t>160200156822</t>
  </si>
  <si>
    <t>10kV西徐路金花村2号公变</t>
  </si>
  <si>
    <t>160200156823</t>
  </si>
  <si>
    <t>10kV西徐路金花村1号公变</t>
  </si>
  <si>
    <t>160200156824</t>
  </si>
  <si>
    <t>石羊镇金花村配变</t>
  </si>
  <si>
    <t>160200156825</t>
  </si>
  <si>
    <t>10kV西镇路石羊镇红花2号公变</t>
  </si>
  <si>
    <t>160200156826</t>
  </si>
  <si>
    <t>红花1号公变</t>
  </si>
  <si>
    <t>160200156827</t>
  </si>
  <si>
    <t>10kV西红路古城1号公变</t>
  </si>
  <si>
    <t>160200156828</t>
  </si>
  <si>
    <t>10kV西红路古城2号公变</t>
  </si>
  <si>
    <t>160200156829</t>
  </si>
  <si>
    <t>10kV西红路古城3号公变</t>
  </si>
  <si>
    <t>160200156830</t>
  </si>
  <si>
    <t>东岳4号公变</t>
  </si>
  <si>
    <t>160200156831</t>
  </si>
  <si>
    <t>大观镇滨江村1#公变</t>
  </si>
  <si>
    <t>160200156832</t>
  </si>
  <si>
    <t>大观镇滨江村2#公变</t>
  </si>
  <si>
    <t>160200156833</t>
  </si>
  <si>
    <t>大观镇滨江村3#公变</t>
  </si>
  <si>
    <t>160200156834</t>
  </si>
  <si>
    <t>大观镇场镇公变</t>
  </si>
  <si>
    <t>160200156835</t>
  </si>
  <si>
    <t>10kV青大路大观镇盐井二号公变</t>
  </si>
  <si>
    <t>160200156836</t>
  </si>
  <si>
    <t>大观镇大通村1#公变</t>
  </si>
  <si>
    <t>160200156837</t>
  </si>
  <si>
    <t>大观镇大通村2#公变</t>
  </si>
  <si>
    <t>160200156838</t>
  </si>
  <si>
    <t>大观镇大通村3#公变</t>
  </si>
  <si>
    <t>160200156841</t>
  </si>
  <si>
    <t>10kV青大路桃源2组公变</t>
  </si>
  <si>
    <t>160200156842</t>
  </si>
  <si>
    <t>大观镇宿仙村1#公变</t>
  </si>
  <si>
    <t>160200156843</t>
  </si>
  <si>
    <t>10kV青平路大观支60#杆跃进五组公变</t>
  </si>
  <si>
    <t>160200156844</t>
  </si>
  <si>
    <t>大观镇艳景村公变</t>
  </si>
  <si>
    <t>160200156845</t>
  </si>
  <si>
    <t>聚源镇场镇1#公变</t>
  </si>
  <si>
    <t>160200156846</t>
  </si>
  <si>
    <t>聚源镇场镇2#公变</t>
  </si>
  <si>
    <t>160200156847</t>
  </si>
  <si>
    <t>聚源镇普星村1#公变</t>
  </si>
  <si>
    <t>160200156848</t>
  </si>
  <si>
    <t>聚源镇普星村2#公变</t>
  </si>
  <si>
    <t>160200156849</t>
  </si>
  <si>
    <t>聚源镇普星村3#公变</t>
  </si>
  <si>
    <t>160200156850</t>
  </si>
  <si>
    <t>笆桥4组公变</t>
  </si>
  <si>
    <t>160200156851</t>
  </si>
  <si>
    <t>聚源镇普星村5#公变</t>
  </si>
  <si>
    <t>160200156852</t>
  </si>
  <si>
    <t>东岳二台公变</t>
  </si>
  <si>
    <t>160200156853</t>
  </si>
  <si>
    <t>柳街场镇2号公变</t>
  </si>
  <si>
    <t>160200156854</t>
  </si>
  <si>
    <t>东岳二组公变</t>
  </si>
  <si>
    <t>160200156855</t>
  </si>
  <si>
    <t>10kV青中路永安六组公变</t>
  </si>
  <si>
    <t>160200156856</t>
  </si>
  <si>
    <t>中兴供电所三角二台</t>
  </si>
  <si>
    <t>160200156857</t>
  </si>
  <si>
    <t>10kV青中路梓桐六组公变</t>
  </si>
  <si>
    <t>160200156859</t>
  </si>
  <si>
    <t>中兴供电所红楼三台</t>
  </si>
  <si>
    <t>160200156861</t>
  </si>
  <si>
    <t>10kV蒲桂路普安村公变</t>
  </si>
  <si>
    <t>160200156862</t>
  </si>
  <si>
    <t>桂花供电所高峰村1#公变配变</t>
  </si>
  <si>
    <t>160200156863</t>
  </si>
  <si>
    <t>新兴石梯2#公变(6组)</t>
  </si>
  <si>
    <t>160200156864</t>
  </si>
  <si>
    <t>东岳三台公变</t>
  </si>
  <si>
    <t>160200156865</t>
  </si>
  <si>
    <t>都江八组公变</t>
  </si>
  <si>
    <t>160200156868</t>
  </si>
  <si>
    <t>聚源场镇三号公变</t>
  </si>
  <si>
    <t>160200156869</t>
  </si>
  <si>
    <t>10kV金黄路聚源镇场镇4号公变</t>
  </si>
  <si>
    <t>160200156870</t>
  </si>
  <si>
    <t>10kV胥镇一路聚源普星8组公变</t>
  </si>
  <si>
    <t>160200156873</t>
  </si>
  <si>
    <t>10kV金铁一路聚源镇泉水村十五组2号公变</t>
  </si>
  <si>
    <t>160200156874</t>
  </si>
  <si>
    <t>幸福供电所永桂八组配变</t>
  </si>
  <si>
    <t>160200156875</t>
  </si>
  <si>
    <t>万寿村六组公变</t>
  </si>
  <si>
    <t>160200156876</t>
  </si>
  <si>
    <t>10kV灌煤路齐心三组公变</t>
  </si>
  <si>
    <t>160200156877</t>
  </si>
  <si>
    <t>蒲阳供电所福来村配变</t>
  </si>
  <si>
    <t>160200156879</t>
  </si>
  <si>
    <t>10kV西红路金羊1号公变</t>
  </si>
  <si>
    <t>160200156880</t>
  </si>
  <si>
    <t>石羊供电所广益村3组公变配变</t>
  </si>
  <si>
    <t>160200156881</t>
  </si>
  <si>
    <t>10kV西红路均义1号公变</t>
  </si>
  <si>
    <t>160200156882</t>
  </si>
  <si>
    <t>10kV西红路均义2号公变</t>
  </si>
  <si>
    <t>160200156883</t>
  </si>
  <si>
    <t>10kV西红路均义4号公变</t>
  </si>
  <si>
    <t>160200156884</t>
  </si>
  <si>
    <t>10kV西红路马祖1号公变</t>
  </si>
  <si>
    <t>零购项目</t>
  </si>
  <si>
    <t>160200156886</t>
  </si>
  <si>
    <t>古桥四组</t>
  </si>
  <si>
    <t>160200156887</t>
  </si>
  <si>
    <t>红源一组公变</t>
  </si>
  <si>
    <t>160200156889</t>
  </si>
  <si>
    <t>崇义供电所双土村4组公变配变</t>
  </si>
  <si>
    <t>160200156890</t>
  </si>
  <si>
    <t>笆桥1组公变</t>
  </si>
  <si>
    <t>160200156892</t>
  </si>
  <si>
    <t>崇义供电所笆桥村4组公变配变</t>
  </si>
  <si>
    <t>160200156893</t>
  </si>
  <si>
    <t>160200156894</t>
  </si>
  <si>
    <t>10kV金黄路聚源镇场镇5号公变</t>
  </si>
  <si>
    <t>160200156896</t>
  </si>
  <si>
    <t>10kV天丰路九九村六组公变</t>
  </si>
  <si>
    <t>160200156899</t>
  </si>
  <si>
    <t>蟠龙安置点2号公变</t>
  </si>
  <si>
    <t>160200156900</t>
  </si>
  <si>
    <t>10kV天丰路金山村二组公变</t>
  </si>
  <si>
    <t>160200156901</t>
  </si>
  <si>
    <t>10kV天丰路金山村五组公变</t>
  </si>
  <si>
    <t>160200156902</t>
  </si>
  <si>
    <t>10kV天丰路同德村九组公变</t>
  </si>
  <si>
    <t>160200156903</t>
  </si>
  <si>
    <t>10kV香隆路隆丰镇幸福村五组公变</t>
  </si>
  <si>
    <t>160200156904</t>
  </si>
  <si>
    <t>隆丰镇双埝村二组公变</t>
  </si>
  <si>
    <t>160200156906</t>
  </si>
  <si>
    <t>10kV香隆二路新润村四组公变</t>
  </si>
  <si>
    <t>160200156907</t>
  </si>
  <si>
    <t>10kV香隆路隆丰镇幸福村一组公变</t>
  </si>
  <si>
    <t>160200156908</t>
  </si>
  <si>
    <t>10kV天丰路金山村四组公变</t>
  </si>
  <si>
    <t>160200156909</t>
  </si>
  <si>
    <t>崇义村5组公变</t>
  </si>
  <si>
    <t>160200156911</t>
  </si>
  <si>
    <t>崇义镇桂桥村一组公变</t>
  </si>
  <si>
    <t>160200156912</t>
  </si>
  <si>
    <t>凉水1#公变改造</t>
  </si>
  <si>
    <t>160200156913</t>
  </si>
  <si>
    <t>丰乐街村1#公变改造</t>
  </si>
  <si>
    <t>160200156914</t>
  </si>
  <si>
    <t>庙坪村2#公变改造</t>
  </si>
  <si>
    <t>160200156915</t>
  </si>
  <si>
    <t>定山村1#公变改造</t>
  </si>
  <si>
    <t>160200156917</t>
  </si>
  <si>
    <t>江安村二组</t>
  </si>
  <si>
    <t>160200156918</t>
  </si>
  <si>
    <t>新华村二组公变</t>
  </si>
  <si>
    <t>160200156919</t>
  </si>
  <si>
    <t>江安村六组</t>
  </si>
  <si>
    <t>160200156920</t>
  </si>
  <si>
    <t>海云7组公变改造</t>
  </si>
  <si>
    <t>160200156921</t>
  </si>
  <si>
    <t>横山二组2号公变</t>
  </si>
  <si>
    <t>160200156922</t>
  </si>
  <si>
    <t>界牌村八组公变改造</t>
  </si>
  <si>
    <t>160200156923</t>
  </si>
  <si>
    <t>镇江二组公变</t>
  </si>
  <si>
    <t>160200156925</t>
  </si>
  <si>
    <t>场镇2号</t>
  </si>
  <si>
    <t>160200156926</t>
  </si>
  <si>
    <t>桂桥3组公变</t>
  </si>
  <si>
    <t>160200156927</t>
  </si>
  <si>
    <t>160200156928</t>
  </si>
  <si>
    <t>160200156930</t>
  </si>
  <si>
    <t>160200156931</t>
  </si>
  <si>
    <t>160200156935</t>
  </si>
  <si>
    <t>160200156940</t>
  </si>
  <si>
    <t>160200158599</t>
  </si>
  <si>
    <t>石羊镇书院村1#公变低压刀熔开关</t>
  </si>
  <si>
    <t>160200158602</t>
  </si>
  <si>
    <t>石羊镇书院村2#公变低压刀熔开关</t>
  </si>
  <si>
    <t>160200158603</t>
  </si>
  <si>
    <t>石羊镇三羊社区公变低压刀熔开关</t>
  </si>
  <si>
    <t>160200158606</t>
  </si>
  <si>
    <t>街子镇唐公社区公变单相隔离开关</t>
  </si>
  <si>
    <t>160200158607</t>
  </si>
  <si>
    <t>街子镇唐公社区公变高压真空断路器</t>
  </si>
  <si>
    <t>160200165724</t>
  </si>
  <si>
    <t>10KV关隆路场镇支新装开关</t>
  </si>
  <si>
    <t>160200165726</t>
  </si>
  <si>
    <t>幺店子配变</t>
  </si>
  <si>
    <t>160200165769</t>
  </si>
  <si>
    <t>10kV金桥二路金江村三组一号配变</t>
  </si>
  <si>
    <t>160200165770</t>
  </si>
  <si>
    <t>10kV金桥二路益华支路开关</t>
  </si>
  <si>
    <t>160200165771</t>
  </si>
  <si>
    <t>10kV金桥一路金江小区开关</t>
  </si>
  <si>
    <t>160200165772</t>
  </si>
  <si>
    <t>10kV金桥一路金江村E座开关</t>
  </si>
  <si>
    <t>160200165773</t>
  </si>
  <si>
    <t>10kV虹西路丽水印象环网柜</t>
  </si>
  <si>
    <t>160200165774</t>
  </si>
  <si>
    <t>10KV玉一路青城桥东侧开关站</t>
  </si>
  <si>
    <t>160200165775</t>
  </si>
  <si>
    <t>10KV玉二路三台小区开关站</t>
  </si>
  <si>
    <t>160200165777</t>
  </si>
  <si>
    <t>10KV虹玉路天府大道支路开关</t>
  </si>
  <si>
    <t>160200166355</t>
  </si>
  <si>
    <t>160200166356</t>
  </si>
  <si>
    <t>160200166357</t>
  </si>
  <si>
    <t>10KV青大路</t>
  </si>
  <si>
    <t>160200166358</t>
  </si>
  <si>
    <t>10KV青石安龙支路</t>
  </si>
  <si>
    <t>160200166359</t>
  </si>
  <si>
    <t>10KV黄金路</t>
  </si>
  <si>
    <t>160200166360</t>
  </si>
  <si>
    <t>场镇B区4#</t>
  </si>
  <si>
    <t>160200166361</t>
  </si>
  <si>
    <t>场镇4#公变</t>
  </si>
  <si>
    <t>160200166362</t>
  </si>
  <si>
    <t>红色1号公变</t>
  </si>
  <si>
    <t>160200166363</t>
  </si>
  <si>
    <t>红色3号公变</t>
  </si>
  <si>
    <t>160200166364</t>
  </si>
  <si>
    <t>10kV小通路通济景山2号公变</t>
  </si>
  <si>
    <t>160200166365</t>
  </si>
  <si>
    <t>10kV小济路通济街村2号公变</t>
  </si>
  <si>
    <t>160200166366</t>
  </si>
  <si>
    <t>10kV小济路通济街村3号公变</t>
  </si>
  <si>
    <t>160200166367</t>
  </si>
  <si>
    <t>金羊村1#公变</t>
  </si>
  <si>
    <t>160200166368</t>
  </si>
  <si>
    <t>10kV西镇路场镇6号公变</t>
  </si>
  <si>
    <t>160200166369</t>
  </si>
  <si>
    <t>卫星1号公变</t>
  </si>
  <si>
    <t>160200166370</t>
  </si>
  <si>
    <t>石羊场镇4号公变</t>
  </si>
  <si>
    <t>160200166371</t>
  </si>
  <si>
    <t>10kV西红路马祖3号公变</t>
  </si>
  <si>
    <t>160200166372</t>
  </si>
  <si>
    <t>10KV金桥二路土支</t>
  </si>
  <si>
    <t>160200166373</t>
  </si>
  <si>
    <t>10KV金铁一路</t>
  </si>
  <si>
    <t>160200166374</t>
  </si>
  <si>
    <t>10KV崇天路开关</t>
  </si>
  <si>
    <t>160200166375</t>
  </si>
  <si>
    <t>久红三组公变</t>
  </si>
  <si>
    <t>160200166376</t>
  </si>
  <si>
    <t>都江社区十一组公变</t>
  </si>
  <si>
    <t>160200166377</t>
  </si>
  <si>
    <t>都江社区四组公变</t>
  </si>
  <si>
    <t>160200166378</t>
  </si>
  <si>
    <t>沙湾四组公变</t>
  </si>
  <si>
    <t>160200166379</t>
  </si>
  <si>
    <t>高原二组公变</t>
  </si>
  <si>
    <t>160200166380</t>
  </si>
  <si>
    <t>大观园4号公变</t>
  </si>
  <si>
    <t>160200166381</t>
  </si>
  <si>
    <t>飞龙七组公变</t>
  </si>
  <si>
    <t>160200166382</t>
  </si>
  <si>
    <t>10KV西恒路沿江支开关</t>
  </si>
  <si>
    <t>160200166383</t>
  </si>
  <si>
    <t>10KV西柳路</t>
  </si>
  <si>
    <t>160200166384</t>
  </si>
  <si>
    <t>160200166385</t>
  </si>
  <si>
    <t>10kV青泰路太平场镇5号公变</t>
  </si>
  <si>
    <t>160200166386</t>
  </si>
  <si>
    <t>柳顺村1号公变</t>
  </si>
  <si>
    <t>160200166387</t>
  </si>
  <si>
    <t>10KV青大路两河支开关</t>
  </si>
  <si>
    <t>160200166388</t>
  </si>
  <si>
    <t>茶坪1号公变</t>
  </si>
  <si>
    <t>160200166389</t>
  </si>
  <si>
    <t>场镇2#公变</t>
  </si>
  <si>
    <t>160200166390</t>
  </si>
  <si>
    <t>10kV青泰路沙坪一组公变</t>
  </si>
  <si>
    <t>160200166391</t>
  </si>
  <si>
    <t>石佛4组公变</t>
  </si>
  <si>
    <t>160200166392</t>
  </si>
  <si>
    <t>10kV青石路大观镇双胜村四组公变</t>
  </si>
  <si>
    <t>160200166393</t>
  </si>
  <si>
    <t>新农2组公变</t>
  </si>
  <si>
    <t>160200166394</t>
  </si>
  <si>
    <t>东风2#公变</t>
  </si>
  <si>
    <t>160200166395</t>
  </si>
  <si>
    <t>10kV青大路接龙支接龙1号公变</t>
  </si>
  <si>
    <t>160200166396</t>
  </si>
  <si>
    <t>泰安1号公变</t>
  </si>
  <si>
    <t>160200166397</t>
  </si>
  <si>
    <t>元定1号公变</t>
  </si>
  <si>
    <t>160200166398</t>
  </si>
  <si>
    <t>10KV青大路东风支路开关</t>
  </si>
  <si>
    <t>160200166399</t>
  </si>
  <si>
    <t>高原五组公变</t>
  </si>
  <si>
    <t>160200166400</t>
  </si>
  <si>
    <t>10kV翠朝路青城山镇清江社区临江一台公变</t>
  </si>
  <si>
    <t>160200166416</t>
  </si>
  <si>
    <t>龙安2#公变</t>
  </si>
  <si>
    <t>160200166417</t>
  </si>
  <si>
    <t>光荣四组公变</t>
  </si>
  <si>
    <t>160200166418</t>
  </si>
  <si>
    <t>光荣五组公变</t>
  </si>
  <si>
    <t>160200166419</t>
  </si>
  <si>
    <t>光荣一组(基站)公变</t>
  </si>
  <si>
    <t>160200166420</t>
  </si>
  <si>
    <t>光荣一组公变</t>
  </si>
  <si>
    <t>160200166421</t>
  </si>
  <si>
    <t>嘉乐村1号公变</t>
  </si>
  <si>
    <t>160200166422</t>
  </si>
  <si>
    <t>清凉村1号公变</t>
  </si>
  <si>
    <t>160200166423</t>
  </si>
  <si>
    <t>东岳4#公变</t>
  </si>
  <si>
    <t>160200166424</t>
  </si>
  <si>
    <t>160200170624</t>
  </si>
  <si>
    <t>奎光路公变</t>
  </si>
  <si>
    <t>160200170625</t>
  </si>
  <si>
    <t>矿贸公司公变</t>
  </si>
  <si>
    <t>160200170626</t>
  </si>
  <si>
    <t>10kV虹奎路三羊公司(非晶合金)</t>
  </si>
  <si>
    <t>160200170627</t>
  </si>
  <si>
    <t>10kV虹西路塔子小区1#公变(非晶合金)</t>
  </si>
  <si>
    <t>160200170628</t>
  </si>
  <si>
    <t>观凤村6组1#公变</t>
  </si>
  <si>
    <t>160200170629</t>
  </si>
  <si>
    <t>10kV虹西路西川1#公变(非晶合金)</t>
  </si>
  <si>
    <t>160200170630</t>
  </si>
  <si>
    <t>10kV虹西路西川2#公变(非晶合金)</t>
  </si>
  <si>
    <t>160200170631</t>
  </si>
  <si>
    <t>水利公司公变</t>
  </si>
  <si>
    <t>160200170632</t>
  </si>
  <si>
    <t>10kV虹永路永丰开关站</t>
  </si>
  <si>
    <t>160200170633</t>
  </si>
  <si>
    <t>10kV虹民路民主开关站</t>
  </si>
  <si>
    <t>160200170634</t>
  </si>
  <si>
    <t>10kV胥桥路桂花开关站</t>
  </si>
  <si>
    <t>160200170635</t>
  </si>
  <si>
    <t>10kV虹勤路勤俭开关站</t>
  </si>
  <si>
    <t>160200170636</t>
  </si>
  <si>
    <t>10kV胥游路上游开关站</t>
  </si>
  <si>
    <t>160200170637</t>
  </si>
  <si>
    <t>10kV青田路绕镇路环网柜</t>
  </si>
  <si>
    <t>160200170638</t>
  </si>
  <si>
    <t>10kV青镇路置信路环网柜</t>
  </si>
  <si>
    <t>160200170639</t>
  </si>
  <si>
    <t>10kV青院路.青软路芙蓉路联络开关</t>
  </si>
  <si>
    <t>160200170640</t>
  </si>
  <si>
    <t>10kV胥联路联盟开关站</t>
  </si>
  <si>
    <t>160200170651</t>
  </si>
  <si>
    <t>10kV胥桥路高桥开关站</t>
  </si>
  <si>
    <t>160200170652</t>
  </si>
  <si>
    <t>10kV青泰路芙蓉青城环网柜</t>
  </si>
  <si>
    <t>160200170654</t>
  </si>
  <si>
    <t>10kV胥江路解放小区公变</t>
  </si>
  <si>
    <t>160200170655</t>
  </si>
  <si>
    <t>10kV胥观路解放小区1#公变</t>
  </si>
  <si>
    <t>160200170656</t>
  </si>
  <si>
    <t>解放小区2号公变</t>
  </si>
  <si>
    <t>160200170657</t>
  </si>
  <si>
    <t>10kV青田路芒城分支箱</t>
  </si>
  <si>
    <t>160200170658</t>
  </si>
  <si>
    <t>10kV青镇路芙蓉路口分支箱</t>
  </si>
  <si>
    <t>160200170659</t>
  </si>
  <si>
    <t>10kV青泰路上善栖分支箱</t>
  </si>
  <si>
    <t>160200170660</t>
  </si>
  <si>
    <t>10kV青泰路芙蓉路南分支箱</t>
  </si>
  <si>
    <t>160200170667</t>
  </si>
  <si>
    <t>10kV白枢路田坝支路田坝支路开关</t>
  </si>
  <si>
    <t>160200170668</t>
  </si>
  <si>
    <t>10kV白枢路田坝支路田紫支路开关</t>
  </si>
  <si>
    <t>160200170669</t>
  </si>
  <si>
    <t>10kV崇双路双镇支路开关</t>
  </si>
  <si>
    <t>160200170670</t>
  </si>
  <si>
    <t>10kV崇双路双合支路开关</t>
  </si>
  <si>
    <t>160200170671</t>
  </si>
  <si>
    <t>10kV崇双路双农支路开关</t>
  </si>
  <si>
    <t>160200170672</t>
  </si>
  <si>
    <t>10kV虹联路德芳苑支路开关</t>
  </si>
  <si>
    <t>160200170673</t>
  </si>
  <si>
    <t>10kV胥都南路联永支路开关</t>
  </si>
  <si>
    <t>160200170674</t>
  </si>
  <si>
    <t>10kV虹太路水街环网柜</t>
  </si>
  <si>
    <t>160200176134</t>
  </si>
  <si>
    <t>10kV香隆路隆丰镇五一村二组公变</t>
  </si>
  <si>
    <t>160200176135</t>
  </si>
  <si>
    <t>10kV天丰路文家村五组公变</t>
  </si>
  <si>
    <t>160200177460</t>
  </si>
  <si>
    <t>10kV天丰路大泉村三组公变</t>
  </si>
  <si>
    <t>160200177461</t>
  </si>
  <si>
    <t>10kV天丰路同德村四组公变</t>
  </si>
  <si>
    <t>160200178030</t>
  </si>
  <si>
    <t>高埂八组公变</t>
  </si>
  <si>
    <t>160200178031</t>
  </si>
  <si>
    <t>平义七组公变</t>
  </si>
  <si>
    <t>160200178032</t>
  </si>
  <si>
    <t>10kV胥观路胥羊支路宝瓶花园公变</t>
  </si>
  <si>
    <t>160200178033</t>
  </si>
  <si>
    <t>林机厂2号公变</t>
  </si>
  <si>
    <t>160200178034</t>
  </si>
  <si>
    <t>新城投资公司公变</t>
  </si>
  <si>
    <t>160200178035</t>
  </si>
  <si>
    <t>10kV虹联路漩口林机厂宿舍公变</t>
  </si>
  <si>
    <t>160200178036</t>
  </si>
  <si>
    <t>佳美2号公变</t>
  </si>
  <si>
    <t>160200178037</t>
  </si>
  <si>
    <t>胥家供电所公变</t>
  </si>
  <si>
    <t>160200178038</t>
  </si>
  <si>
    <t>观凤村三组公变</t>
  </si>
  <si>
    <t>160200178039</t>
  </si>
  <si>
    <t>三羊公司（新乐苑）公变</t>
  </si>
  <si>
    <t>160200178040</t>
  </si>
  <si>
    <t>塔子村十一组公变</t>
  </si>
  <si>
    <t>160200178041</t>
  </si>
  <si>
    <t>南桥房产公变</t>
  </si>
  <si>
    <t>160200178042</t>
  </si>
  <si>
    <t>桂花一组2号公变</t>
  </si>
  <si>
    <t>160200178043</t>
  </si>
  <si>
    <t>幸福家属区公变</t>
  </si>
  <si>
    <t>160200178044</t>
  </si>
  <si>
    <t>大修厂公变</t>
  </si>
  <si>
    <t>160200178045</t>
  </si>
  <si>
    <t>岷江公司#1公用台变</t>
  </si>
  <si>
    <t>160200178047</t>
  </si>
  <si>
    <t>10kV虹奎路物资局家属区公变</t>
  </si>
  <si>
    <t>160200178233</t>
  </si>
  <si>
    <t>万岭村提灌公变</t>
  </si>
  <si>
    <t>160200178237</t>
  </si>
  <si>
    <t>崇义镇清流村4组公变</t>
  </si>
  <si>
    <t>160200178238</t>
  </si>
  <si>
    <t>胥家镇大林1#公变</t>
  </si>
  <si>
    <t>160200178239</t>
  </si>
  <si>
    <t>十里二组公变</t>
  </si>
  <si>
    <t>160200178241</t>
  </si>
  <si>
    <t>正林七组公变</t>
  </si>
  <si>
    <t>160200178242</t>
  </si>
  <si>
    <t>10kV灌煤路花溪七组公变</t>
  </si>
  <si>
    <t>160200178243</t>
  </si>
  <si>
    <t>红砂六组公变</t>
  </si>
  <si>
    <t>160200178244</t>
  </si>
  <si>
    <t>高桥五组公变</t>
  </si>
  <si>
    <t>160200178245</t>
  </si>
  <si>
    <t>匡家1#公变</t>
  </si>
  <si>
    <t>160200178246</t>
  </si>
  <si>
    <t>新店六组公变</t>
  </si>
  <si>
    <t>160200200302</t>
  </si>
  <si>
    <t>解放小区5号公变</t>
  </si>
  <si>
    <t>160200200360</t>
  </si>
  <si>
    <t>10kV蒲园二路泰兴路环网柜</t>
  </si>
  <si>
    <t>160200200361</t>
  </si>
  <si>
    <t>10kV蒲园二路同心路南环网柜</t>
  </si>
  <si>
    <t>160200200362</t>
  </si>
  <si>
    <t>10kV蒲园四路泰兴大道环网柜</t>
  </si>
  <si>
    <t>160200200363</t>
  </si>
  <si>
    <t>10kV蒲园四路同心路北环网柜</t>
  </si>
  <si>
    <t>160200200366</t>
  </si>
  <si>
    <t>幸福村三组1号公变</t>
  </si>
  <si>
    <t>160200200368</t>
  </si>
  <si>
    <t>联盟五组公变</t>
  </si>
  <si>
    <t>160200200369</t>
  </si>
  <si>
    <t>景中路3#公变</t>
  </si>
  <si>
    <t>160200200371</t>
  </si>
  <si>
    <t>景中路2号公变</t>
  </si>
  <si>
    <t>160200200374</t>
  </si>
  <si>
    <t>国家林业局卧龙自然保护区管理局</t>
  </si>
  <si>
    <t>160200200378</t>
  </si>
  <si>
    <t>龙池商住城公变</t>
  </si>
  <si>
    <t>160200200383</t>
  </si>
  <si>
    <t>蒲阳路3#公变</t>
  </si>
  <si>
    <t>160200200388</t>
  </si>
  <si>
    <t>攀枝花西区干休公变</t>
  </si>
  <si>
    <t>160200200391</t>
  </si>
  <si>
    <t>银杏公寓1号公变|011102GX01086</t>
  </si>
  <si>
    <t>160200200395</t>
  </si>
  <si>
    <t>肉联厂公变</t>
  </si>
  <si>
    <t>160200200396</t>
  </si>
  <si>
    <t>10kV胥观路木机厂公变</t>
  </si>
  <si>
    <t>160200200397</t>
  </si>
  <si>
    <t>10kV胥观路幸福公寓1号公变</t>
  </si>
  <si>
    <t>160200200398</t>
  </si>
  <si>
    <t>10kV胥观路幸福公寓2号公变</t>
  </si>
  <si>
    <t>160200200400</t>
  </si>
  <si>
    <t>景中路4号公变</t>
  </si>
  <si>
    <t>160200200404</t>
  </si>
  <si>
    <t>富民路1#公变</t>
  </si>
  <si>
    <t>160200200407</t>
  </si>
  <si>
    <t>银杏公寓2号公变|011102GX01093</t>
  </si>
  <si>
    <t>160200200409</t>
  </si>
  <si>
    <t>红庙巷公变</t>
  </si>
  <si>
    <t>160200200411</t>
  </si>
  <si>
    <t>牛奶场公变</t>
  </si>
  <si>
    <t>160200200413</t>
  </si>
  <si>
    <t>蒲阳办事处公变</t>
  </si>
  <si>
    <t>160200200414</t>
  </si>
  <si>
    <t>环保局公变</t>
  </si>
  <si>
    <t>160200200415</t>
  </si>
  <si>
    <t>160200200418</t>
  </si>
  <si>
    <t>蒲阳路2#公变</t>
  </si>
  <si>
    <t>160200200419</t>
  </si>
  <si>
    <t>蒲阳路1#公变</t>
  </si>
  <si>
    <t>160200200422</t>
  </si>
  <si>
    <t>都江堰映电花园3#公变</t>
  </si>
  <si>
    <t>160200200423</t>
  </si>
  <si>
    <t>阿粮车队公变</t>
  </si>
  <si>
    <t>160200200424</t>
  </si>
  <si>
    <t>办公室公变</t>
  </si>
  <si>
    <t>160200200437</t>
  </si>
  <si>
    <t>10kV虹奎路中城网络分支箱1#公变</t>
  </si>
  <si>
    <t>160200200439</t>
  </si>
  <si>
    <t>10kV虹奎路工商学院分支箱一号公变</t>
  </si>
  <si>
    <t>160200200443</t>
  </si>
  <si>
    <t>10kV虹景路客运中心分支箱一号公变</t>
  </si>
  <si>
    <t>160200200477</t>
  </si>
  <si>
    <t>10kV胥灵路国堰环网柜</t>
  </si>
  <si>
    <t>160200200479</t>
  </si>
  <si>
    <t>10kV虹太路.虹观线银侨环网柜</t>
  </si>
  <si>
    <t>160200200480</t>
  </si>
  <si>
    <t>160200200511</t>
  </si>
  <si>
    <t>10kV灌城三路拥军路环网柜</t>
  </si>
  <si>
    <t>160200200661</t>
  </si>
  <si>
    <t>10kV胥江路宣化门环网柜</t>
  </si>
  <si>
    <t>160200200664</t>
  </si>
  <si>
    <t>10kV胥江路瑞莲街环网柜</t>
  </si>
  <si>
    <t>160200200665</t>
  </si>
  <si>
    <t>10kV胥江路胥玉路井福街环网柜</t>
  </si>
  <si>
    <t>160200200666</t>
  </si>
  <si>
    <t>10kV胥江路万利环网柜</t>
  </si>
  <si>
    <t>160200200667</t>
  </si>
  <si>
    <t>10kV胥江路玉垒广场环网柜</t>
  </si>
  <si>
    <t>160200200671</t>
  </si>
  <si>
    <t>10kV胥玉路火车站路口环网柜</t>
  </si>
  <si>
    <t>160200200677</t>
  </si>
  <si>
    <t>胥高路高埂一组公变</t>
  </si>
  <si>
    <t>160200200678</t>
  </si>
  <si>
    <t>胥家镇康桥水乡A区2#公变|011105XJ05008</t>
  </si>
  <si>
    <t>160200200679</t>
  </si>
  <si>
    <t>10kV胥观路羊叉支康桥水乡A区1号公变</t>
  </si>
  <si>
    <t>160200200680</t>
  </si>
  <si>
    <t>羊叉村公变</t>
  </si>
  <si>
    <t>160200200682</t>
  </si>
  <si>
    <t>10kV胥观路康桥水乡C区公变</t>
  </si>
  <si>
    <t>160200200683</t>
  </si>
  <si>
    <t>解放小区6号公变</t>
  </si>
  <si>
    <t>160200200686</t>
  </si>
  <si>
    <t>10kV胥观路莲花堰路3号配变</t>
  </si>
  <si>
    <t>160200200687</t>
  </si>
  <si>
    <t>10kV蒲堰路高埂环网柜</t>
  </si>
  <si>
    <t>160200200688</t>
  </si>
  <si>
    <t>10kV蒲堰路建设环网柜</t>
  </si>
  <si>
    <t>160200200691</t>
  </si>
  <si>
    <t>10kV胥灵路城北馨园环网柜</t>
  </si>
  <si>
    <t>160200200697</t>
  </si>
  <si>
    <t>局外北街公变</t>
  </si>
  <si>
    <t>160200200699</t>
  </si>
  <si>
    <t>联盟村四组2号公变</t>
  </si>
  <si>
    <t>160200200701</t>
  </si>
  <si>
    <t>联盟村四组1号公变</t>
  </si>
  <si>
    <t>160200200704</t>
  </si>
  <si>
    <t>荷花池1号公变</t>
  </si>
  <si>
    <t>160200200708</t>
  </si>
  <si>
    <t>幸福村四组1#公变</t>
  </si>
  <si>
    <t>160200200712</t>
  </si>
  <si>
    <t>10kV虹联路民主八组公变</t>
  </si>
  <si>
    <t>160200200715</t>
  </si>
  <si>
    <t>联盟社区公变</t>
  </si>
  <si>
    <t>160200200717</t>
  </si>
  <si>
    <t>石油公司</t>
  </si>
  <si>
    <t>160200200718</t>
  </si>
  <si>
    <t>10kV灌城一路拉法基路口环网柜</t>
  </si>
  <si>
    <t>160200200719</t>
  </si>
  <si>
    <t>东二街公变</t>
  </si>
  <si>
    <t>160200200721</t>
  </si>
  <si>
    <t>10kV虹康路映电花园01环网柜</t>
  </si>
  <si>
    <t>160200200722</t>
  </si>
  <si>
    <t>10kV虹康路映电花园02环网柜</t>
  </si>
  <si>
    <t>160200200723</t>
  </si>
  <si>
    <t>10kV虹康路映电花园03环网柜</t>
  </si>
  <si>
    <t>160200200725</t>
  </si>
  <si>
    <t>轻机厂宿舍公变</t>
  </si>
  <si>
    <t>160200200727</t>
  </si>
  <si>
    <t>华夏商业城2#专变</t>
  </si>
  <si>
    <t>160200200735</t>
  </si>
  <si>
    <t>新马路公变</t>
  </si>
  <si>
    <t>160200200736</t>
  </si>
  <si>
    <t>观凤小区1号公变</t>
  </si>
  <si>
    <t>160200200737</t>
  </si>
  <si>
    <t>观凤小区3号公变</t>
  </si>
  <si>
    <t>160200200739</t>
  </si>
  <si>
    <t>幸福小区公变</t>
  </si>
  <si>
    <t>160200200745</t>
  </si>
  <si>
    <t>10kV灌城一路蒲阳镇金凤小区公变</t>
  </si>
  <si>
    <t>160200200748</t>
  </si>
  <si>
    <t>胥家镇桂花一组1号公变</t>
  </si>
  <si>
    <t>160200200749</t>
  </si>
  <si>
    <t>10kV灌城一路同义路口西环网柜</t>
  </si>
  <si>
    <t>160200200750</t>
  </si>
  <si>
    <t>10kV灌城一路九鼎路口环网柜</t>
  </si>
  <si>
    <t>160200200751</t>
  </si>
  <si>
    <t>10kV灌城一路普什宁江环网柜</t>
  </si>
  <si>
    <t>160200200752</t>
  </si>
  <si>
    <t>10kV灌城一路都市美好家园环网柜</t>
  </si>
  <si>
    <t>160200200753</t>
  </si>
  <si>
    <t>10kV灌城一路同义村环网柜</t>
  </si>
  <si>
    <t>160200200754</t>
  </si>
  <si>
    <t>10kV灌城一路晨明环网柜</t>
  </si>
  <si>
    <t>160200200761</t>
  </si>
  <si>
    <t>10kV灌城二路金秋路环网柜</t>
  </si>
  <si>
    <t>160200200762</t>
  </si>
  <si>
    <t>10kV灌城二路同义路口东环网柜</t>
  </si>
  <si>
    <t>160200200763</t>
  </si>
  <si>
    <t>10kV灌城二路泰兴路口东环网柜</t>
  </si>
  <si>
    <t>160200200764</t>
  </si>
  <si>
    <t>10kV灌城二路太阳岛环网柜</t>
  </si>
  <si>
    <t>160200200765</t>
  </si>
  <si>
    <t>10kV灌城三路同义路环网柜</t>
  </si>
  <si>
    <t>160200200766</t>
  </si>
  <si>
    <t>10kV灌城三路万丈沟环网柜</t>
  </si>
  <si>
    <t>160200200775</t>
  </si>
  <si>
    <t>10kV灌城三路爱心家园环网柜</t>
  </si>
  <si>
    <t>160200200780</t>
  </si>
  <si>
    <t>幸福村三组2号公变</t>
  </si>
  <si>
    <t>160200200791</t>
  </si>
  <si>
    <t>10kV虹景路岷江路环网柜</t>
  </si>
  <si>
    <t>160200200794</t>
  </si>
  <si>
    <t>10kV虹宾路九寨花园环网柜</t>
  </si>
  <si>
    <t>160200200797</t>
  </si>
  <si>
    <t>10kV虹联路鹤舞青城环网柜</t>
  </si>
  <si>
    <t>160200200798</t>
  </si>
  <si>
    <t>10kV虹联路安澜骏景环网柜</t>
  </si>
  <si>
    <t>160200200803</t>
  </si>
  <si>
    <t>解放社区公变</t>
  </si>
  <si>
    <t>160200200804</t>
  </si>
  <si>
    <t>10kV胥灵路灌城三路古堰春晓环网柜（备自投）</t>
  </si>
  <si>
    <t>160200200806</t>
  </si>
  <si>
    <t>10kV胥都北路莲花堰路5号配变</t>
  </si>
  <si>
    <t>160200200808</t>
  </si>
  <si>
    <t>10kV胥都北路莲花堰路4号配变</t>
  </si>
  <si>
    <t>160200200826</t>
  </si>
  <si>
    <t>岷江建材2号公变</t>
  </si>
  <si>
    <t>160200200827</t>
  </si>
  <si>
    <t>10kV虹新路十九冶环网柜</t>
  </si>
  <si>
    <t>160200200828</t>
  </si>
  <si>
    <t>10kV虹康路天府路口环网柜</t>
  </si>
  <si>
    <t>160200200829</t>
  </si>
  <si>
    <t>10kV虹康路滨江路环网柜</t>
  </si>
  <si>
    <t>160200200845</t>
  </si>
  <si>
    <t>灌口高埂村三组公变|011102GX01098</t>
  </si>
  <si>
    <t>160200200854</t>
  </si>
  <si>
    <t>10kV虹奎路美丽洲分支箱一号公变</t>
  </si>
  <si>
    <t>160200200876</t>
  </si>
  <si>
    <t>纺织厂公变</t>
  </si>
  <si>
    <t>160200200881</t>
  </si>
  <si>
    <t>水乡人家分支箱一号公变</t>
  </si>
  <si>
    <t>160200200892</t>
  </si>
  <si>
    <t>10kV胥都北路莲花堰路2号配变</t>
  </si>
  <si>
    <t>160200200917</t>
  </si>
  <si>
    <t>10kV胥观路光明街口环网柜</t>
  </si>
  <si>
    <t>160200200918</t>
  </si>
  <si>
    <t>10kV胥观路莲花北路环网柜</t>
  </si>
  <si>
    <t>160200200919</t>
  </si>
  <si>
    <t>10kV胥观路丽水青城环网柜</t>
  </si>
  <si>
    <t>160200200925</t>
  </si>
  <si>
    <t>160200200926</t>
  </si>
  <si>
    <t>10kV胥江路三泊洞环网柜</t>
  </si>
  <si>
    <t>160200200932</t>
  </si>
  <si>
    <t>林机厂1号公变</t>
  </si>
  <si>
    <t>160200200934</t>
  </si>
  <si>
    <t>羊叉村五组公变</t>
  </si>
  <si>
    <t>160200200936</t>
  </si>
  <si>
    <t>10kV胥观路安康北路东一巷配变</t>
  </si>
  <si>
    <t>160200200937</t>
  </si>
  <si>
    <t>康桥水乡B区5#楼配变</t>
  </si>
  <si>
    <t>160200200940</t>
  </si>
  <si>
    <t>10kV胥观路安康北路1号配变</t>
  </si>
  <si>
    <t>160200200945</t>
  </si>
  <si>
    <t>10kV胥观路安康北路2号配变</t>
  </si>
  <si>
    <t>160200200946</t>
  </si>
  <si>
    <t>10kV胥观路莲花堰路1号配变</t>
  </si>
  <si>
    <t>160200200947</t>
  </si>
  <si>
    <t>10kV胥观路莲花一苑配变</t>
  </si>
  <si>
    <t>160200200954</t>
  </si>
  <si>
    <t>汶川水泥厂公变</t>
  </si>
  <si>
    <t>160200200957</t>
  </si>
  <si>
    <t>国土局公变</t>
  </si>
  <si>
    <t>160200200959</t>
  </si>
  <si>
    <t>统计局#1公用台变</t>
  </si>
  <si>
    <t>160200200961</t>
  </si>
  <si>
    <t>解放小区3号公变</t>
  </si>
  <si>
    <t>160200200965</t>
  </si>
  <si>
    <t>佳美景园公变</t>
  </si>
  <si>
    <t>160200200967</t>
  </si>
  <si>
    <t>10kV胥江路米市坝公变</t>
  </si>
  <si>
    <t>160200200969</t>
  </si>
  <si>
    <t>10kV胥江路茶厂巷公变</t>
  </si>
  <si>
    <t>160200200970</t>
  </si>
  <si>
    <t>10kV虹永路廖家桥环网柜</t>
  </si>
  <si>
    <t>160200200993</t>
  </si>
  <si>
    <t>彩印厂公变</t>
  </si>
  <si>
    <t>160200200996</t>
  </si>
  <si>
    <t>三官桥公变</t>
  </si>
  <si>
    <t>160200200998</t>
  </si>
  <si>
    <t>灌中门口公变</t>
  </si>
  <si>
    <t>160200200999</t>
  </si>
  <si>
    <t>文庙街2号公变</t>
  </si>
  <si>
    <t>160200201000</t>
  </si>
  <si>
    <t>胡家巷公变</t>
  </si>
  <si>
    <t>160200201018</t>
  </si>
  <si>
    <t>华光商场公变</t>
  </si>
  <si>
    <t>160200201019</t>
  </si>
  <si>
    <t>10kV胥观路宝瓶花园公变</t>
  </si>
  <si>
    <t>160200259960</t>
  </si>
  <si>
    <t>10kV天丰路大泉村一组公变</t>
  </si>
  <si>
    <t>160200259961</t>
  </si>
  <si>
    <t>实新村七组公变</t>
  </si>
  <si>
    <t>160200259962</t>
  </si>
  <si>
    <t>桂林七组公变</t>
  </si>
  <si>
    <t>160200259963</t>
  </si>
  <si>
    <t>场镇新下街1#公变</t>
  </si>
  <si>
    <t>160200259964</t>
  </si>
  <si>
    <t>土什七组公变</t>
  </si>
  <si>
    <t>160200259965</t>
  </si>
  <si>
    <t>土什四组公变</t>
  </si>
  <si>
    <t>160200259966</t>
  </si>
  <si>
    <t>祁园村2组公变</t>
  </si>
  <si>
    <t>160200259967</t>
  </si>
  <si>
    <t>笆桥6组公变</t>
  </si>
  <si>
    <t>160200259968</t>
  </si>
  <si>
    <t>界牌四组公变</t>
  </si>
  <si>
    <t>160200259969</t>
  </si>
  <si>
    <t>界牌1组公变</t>
  </si>
  <si>
    <t>160200259970</t>
  </si>
  <si>
    <t>横山七组公变</t>
  </si>
  <si>
    <t>160200259971</t>
  </si>
  <si>
    <t>吴塘聚居点2号公变</t>
  </si>
  <si>
    <t>160200259972</t>
  </si>
  <si>
    <t>160200259973</t>
  </si>
  <si>
    <t>10kV灌煤路旗松5组公变</t>
  </si>
  <si>
    <t>160200260198</t>
  </si>
  <si>
    <t>交通局宿舍分支箱一号公变</t>
  </si>
  <si>
    <t>160200260199</t>
  </si>
  <si>
    <t>10kV灌城三路玉华西分支箱一号公变</t>
  </si>
  <si>
    <t>160200260200</t>
  </si>
  <si>
    <t>10kV胥玉路岷江华庭分支箱一号公变</t>
  </si>
  <si>
    <t>160200260201</t>
  </si>
  <si>
    <t>10kV灌城三路青城雅居分支箱一号公变</t>
  </si>
  <si>
    <t>160200260202</t>
  </si>
  <si>
    <t>10kV灌城三路天府消防分支箱一号公变</t>
  </si>
  <si>
    <t>160200260203</t>
  </si>
  <si>
    <t>10kV虹景路景中路分支箱一号公变</t>
  </si>
  <si>
    <t>160200260204</t>
  </si>
  <si>
    <t>建安房产分支箱1号公变</t>
  </si>
  <si>
    <t>160200260205</t>
  </si>
  <si>
    <t>10kV胥观路建设大厦分支箱二号公变</t>
  </si>
  <si>
    <t>160200260206</t>
  </si>
  <si>
    <t>10kV胥观路建设大厦分支箱一号公变</t>
  </si>
  <si>
    <t>160200260207</t>
  </si>
  <si>
    <t>水印长滩分支箱1号公变</t>
  </si>
  <si>
    <t>160200260208</t>
  </si>
  <si>
    <t>木机厂分支箱1号公变</t>
  </si>
  <si>
    <t>160200260209</t>
  </si>
  <si>
    <t>梧桐苑分支箱一号公变</t>
  </si>
  <si>
    <t>160200260210</t>
  </si>
  <si>
    <t>10kV胥灵路攀煤分支箱一号公变</t>
  </si>
  <si>
    <t>160200260211</t>
  </si>
  <si>
    <t>10kV胥灵路劳动局分支箱一号公变</t>
  </si>
  <si>
    <t>160200260212</t>
  </si>
  <si>
    <t>10kV胥灵路劳动局分支箱二号公变</t>
  </si>
  <si>
    <t>160200261244</t>
  </si>
  <si>
    <t>10kV胥观路光明支解放小区2号公变</t>
  </si>
  <si>
    <t>160200261245</t>
  </si>
  <si>
    <t>10kV胥观路光明支解放小区1号公变</t>
  </si>
  <si>
    <t>160200261246</t>
  </si>
  <si>
    <t>工农兵街3号公变</t>
  </si>
  <si>
    <t>160200261247</t>
  </si>
  <si>
    <t>工农兵街2号公变</t>
  </si>
  <si>
    <t>160200261257</t>
  </si>
  <si>
    <t>古堰春晓二号公变</t>
  </si>
  <si>
    <t>160200261258</t>
  </si>
  <si>
    <t>古堰春晓三号公变</t>
  </si>
  <si>
    <t>160200261260</t>
  </si>
  <si>
    <t>古堰春晓一号公变</t>
  </si>
  <si>
    <t>160200261312</t>
  </si>
  <si>
    <t>桥头分支箱1#公变</t>
  </si>
  <si>
    <t>160200261320</t>
  </si>
  <si>
    <t>10kV虹康路安顺小区1#公变</t>
  </si>
  <si>
    <t>160200261326</t>
  </si>
  <si>
    <t>10kV虹太路江安广场分支箱1#箱变</t>
  </si>
  <si>
    <t>160200261327</t>
  </si>
  <si>
    <t>虹太路林业局分支箱一号公变</t>
  </si>
  <si>
    <t>160200261328</t>
  </si>
  <si>
    <t>10kV蒲堰路王家桥分支箱一号公变</t>
  </si>
  <si>
    <t>160200261329</t>
  </si>
  <si>
    <t>供电局2#公变</t>
  </si>
  <si>
    <t>160200261330</t>
  </si>
  <si>
    <t>供电局1#公变</t>
  </si>
  <si>
    <t>160200261331</t>
  </si>
  <si>
    <t>10kV胥江路古城区一号公变</t>
  </si>
  <si>
    <t>160200261332</t>
  </si>
  <si>
    <t>10kV胥江路古城区二号公变</t>
  </si>
  <si>
    <t>160200261336</t>
  </si>
  <si>
    <t>10kV胥江路古城区五号公变</t>
  </si>
  <si>
    <t>160200261338</t>
  </si>
  <si>
    <t>10kV胥江路古城区四号公变</t>
  </si>
  <si>
    <t>160200261339</t>
  </si>
  <si>
    <t>10kV胥江路古城区三号公变</t>
  </si>
  <si>
    <t>160200261346</t>
  </si>
  <si>
    <t>10kV胥灵路爱家家园二号公变</t>
  </si>
  <si>
    <t>160200261348</t>
  </si>
  <si>
    <t>10kV胥灵路通灵路口分支箱3#公变</t>
  </si>
  <si>
    <t>160200261391</t>
  </si>
  <si>
    <t>10kV翠朝路三桥二组公变</t>
  </si>
  <si>
    <t>160200261392</t>
  </si>
  <si>
    <t>集埝村配变</t>
  </si>
  <si>
    <t>160200261393</t>
  </si>
  <si>
    <t>集埝村2号配变</t>
  </si>
  <si>
    <t>160200261394</t>
  </si>
  <si>
    <t>10kV香桂路龙头3#公变</t>
  </si>
  <si>
    <t>160200261395</t>
  </si>
  <si>
    <t>10kV蒲桂路双林3#公变</t>
  </si>
  <si>
    <t>160200261396</t>
  </si>
  <si>
    <t>10kV蒲桂路双林1#自建点公变</t>
  </si>
  <si>
    <t>160200261397</t>
  </si>
  <si>
    <t>10kV蒲桂路双林6社公变</t>
  </si>
  <si>
    <t>160200261398</t>
  </si>
  <si>
    <t>10kV蒲桂路双林统归统建公变</t>
  </si>
  <si>
    <t>160200261399</t>
  </si>
  <si>
    <t>10kV蒲桂路灯塔村2#公变</t>
  </si>
  <si>
    <t>160200261400</t>
  </si>
  <si>
    <t>10kV蒲桂路三圣村公变</t>
  </si>
  <si>
    <t>160200261401</t>
  </si>
  <si>
    <t>10kV香桂路龙头2号公变</t>
  </si>
  <si>
    <t>160200261402</t>
  </si>
  <si>
    <t>10kV蒲桂路三圣村3#公变</t>
  </si>
  <si>
    <t>160200261403</t>
  </si>
  <si>
    <t>10kV香桂路仁和村6号公变</t>
  </si>
  <si>
    <t>160200261404</t>
  </si>
  <si>
    <t>10kV香桂路仁和7#公变</t>
  </si>
  <si>
    <t>160200261405</t>
  </si>
  <si>
    <t>10kV香桂路仁和2号公变</t>
  </si>
  <si>
    <t>160200261406</t>
  </si>
  <si>
    <t>10kV香桂路贤仁村公变</t>
  </si>
  <si>
    <t>160200261407</t>
  </si>
  <si>
    <t>10kV香桂路高峰统归统建公变</t>
  </si>
  <si>
    <t>160200261408</t>
  </si>
  <si>
    <t>10kV蒲桂路灯塔村自建点2#公变</t>
  </si>
  <si>
    <t>160200261410</t>
  </si>
  <si>
    <t>10kV香桂路高峰李家沟1号公变</t>
  </si>
  <si>
    <t>160200261411</t>
  </si>
  <si>
    <t>10kV香桂路周家大院公变</t>
  </si>
  <si>
    <t>160200261412</t>
  </si>
  <si>
    <t>10kV蒲桂路盘龙西街公变</t>
  </si>
  <si>
    <t>160200261413</t>
  </si>
  <si>
    <t>10kV香桂路仁和4号公变</t>
  </si>
  <si>
    <t>160200261414</t>
  </si>
  <si>
    <t>10kV香桂路利济2号公变</t>
  </si>
  <si>
    <t>160200261415</t>
  </si>
  <si>
    <t>10kV香桂路豹子2号公变</t>
  </si>
  <si>
    <t>160200261416</t>
  </si>
  <si>
    <t>10kV香桂路豹子3号公变</t>
  </si>
  <si>
    <t>160200261417</t>
  </si>
  <si>
    <t>10kV蒲桂路石花村1#自建点公变</t>
  </si>
  <si>
    <t>160200261418</t>
  </si>
  <si>
    <t>10kV蒲桂路石花村2#安置点公变</t>
  </si>
  <si>
    <t>160200261419</t>
  </si>
  <si>
    <t>10kV香桂路利济1#公变</t>
  </si>
  <si>
    <t>160200261420</t>
  </si>
  <si>
    <t>10kV蒲桂路石花村3#自建点公变</t>
  </si>
  <si>
    <t>160200261421</t>
  </si>
  <si>
    <t>10kV蒲桂路双红村5-6组公变</t>
  </si>
  <si>
    <t>160200261422</t>
  </si>
  <si>
    <t>10kV香隆二路新润村七组公变</t>
  </si>
  <si>
    <t>160200261423</t>
  </si>
  <si>
    <t>10kV蒲桂路灯塔1#安置点</t>
  </si>
  <si>
    <t>160200261424</t>
  </si>
  <si>
    <t>10kV蒲桂路灯塔村聚居点公变</t>
  </si>
  <si>
    <t>160200261425</t>
  </si>
  <si>
    <t>10kV香隆路隆丰镇幸福村三组公变</t>
  </si>
  <si>
    <t>160200261426</t>
  </si>
  <si>
    <t>10kV蒲镇路同义小区公变</t>
  </si>
  <si>
    <t>160200261427</t>
  </si>
  <si>
    <t>10kV香隆路隆丰镇幸福村九组公变</t>
  </si>
  <si>
    <t>160200261428</t>
  </si>
  <si>
    <t>10kV香隆路隆丰镇八角村二组公变</t>
  </si>
  <si>
    <t>160200261429</t>
  </si>
  <si>
    <t>10kV香隆路隆丰镇白泥村五组公变</t>
  </si>
  <si>
    <t>160200261431</t>
  </si>
  <si>
    <t>10kV香桂路利济6号公变</t>
  </si>
  <si>
    <t>160200261432</t>
  </si>
  <si>
    <t>南安1#配变</t>
  </si>
  <si>
    <t>160200261433</t>
  </si>
  <si>
    <t>10kV灌煤路花龙支大石包公变</t>
  </si>
  <si>
    <t>160200261434</t>
  </si>
  <si>
    <t>10kV香桂路土陶公变</t>
  </si>
  <si>
    <t>160200261437</t>
  </si>
  <si>
    <t>10kV磁虹路宁寿寺安置点公变</t>
  </si>
  <si>
    <t>160200261439</t>
  </si>
  <si>
    <t>金鹭4#配变</t>
  </si>
  <si>
    <t>160200261441</t>
  </si>
  <si>
    <t>10kV磁虹路木皮房配变</t>
  </si>
  <si>
    <t>160200261442</t>
  </si>
  <si>
    <t>10kV磁虹路七大队村公变</t>
  </si>
  <si>
    <t>160200261443</t>
  </si>
  <si>
    <t>南安6#配变</t>
  </si>
  <si>
    <t>160200261444</t>
  </si>
  <si>
    <t>10kV香桂路利济3号公变</t>
  </si>
  <si>
    <t>160200261446</t>
  </si>
  <si>
    <t>10kV小通路通济桥楼2号公变</t>
  </si>
  <si>
    <t>160200261447</t>
  </si>
  <si>
    <t>麻柳坪1#公变</t>
  </si>
  <si>
    <t>160200261448</t>
  </si>
  <si>
    <t>麻柳坪2号公变</t>
  </si>
  <si>
    <t>160200261449</t>
  </si>
  <si>
    <t>10kV天丰路同德村五组公变</t>
  </si>
  <si>
    <t>160200261450</t>
  </si>
  <si>
    <t>10kV天丰路同德村八组公变</t>
  </si>
  <si>
    <t>160200261451</t>
  </si>
  <si>
    <t>10kV天丰路九九村四组公变</t>
  </si>
  <si>
    <t>160200261452</t>
  </si>
  <si>
    <t>10kV香隆二路西北村二组公变</t>
  </si>
  <si>
    <t>160200261453</t>
  </si>
  <si>
    <t>10kV天隆路西北村十组公变</t>
  </si>
  <si>
    <t>160200261454</t>
  </si>
  <si>
    <t>10kV蒲镇路互助十四组公变</t>
  </si>
  <si>
    <t>160200261455</t>
  </si>
  <si>
    <t>10kV香桂路利济9号公变</t>
  </si>
  <si>
    <t>160200261456</t>
  </si>
  <si>
    <t>10kV香桂路一龙统归统建公变</t>
  </si>
  <si>
    <t>160200261457</t>
  </si>
  <si>
    <t>万岭村庙子坪安置点配变</t>
  </si>
  <si>
    <t>160200261458</t>
  </si>
  <si>
    <t>10kV香桂路一龙3#公变</t>
  </si>
  <si>
    <t>160200261459</t>
  </si>
  <si>
    <t>万岭村红烟煤安置点配变</t>
  </si>
  <si>
    <t>160200261460</t>
  </si>
  <si>
    <t>10kV香桂路一龙5号公变</t>
  </si>
  <si>
    <t>160200261461</t>
  </si>
  <si>
    <t>10kV香桂路一龙7号公变</t>
  </si>
  <si>
    <t>160200261462</t>
  </si>
  <si>
    <t>10kV香桂路一龙6#公变</t>
  </si>
  <si>
    <t>160200261463</t>
  </si>
  <si>
    <t>南安4#配变</t>
  </si>
  <si>
    <t>160200261464</t>
  </si>
  <si>
    <t>石牛5号配变</t>
  </si>
  <si>
    <t>160200261465</t>
  </si>
  <si>
    <t>政府街配变</t>
  </si>
  <si>
    <t>160200261466</t>
  </si>
  <si>
    <t>石牛4#配变</t>
  </si>
  <si>
    <t>160200261467</t>
  </si>
  <si>
    <t>君山村小学安置点配变</t>
  </si>
  <si>
    <t>160200261468</t>
  </si>
  <si>
    <t>10kV香桂路一龙2号公变</t>
  </si>
  <si>
    <t>160200261469</t>
  </si>
  <si>
    <t>10kV香桂路衡州1号公变</t>
  </si>
  <si>
    <t>160200261470</t>
  </si>
  <si>
    <t>花塔村3号配变</t>
  </si>
  <si>
    <t>160200261471</t>
  </si>
  <si>
    <t>花塔两叉河2#配变</t>
  </si>
  <si>
    <t>160200261472</t>
  </si>
  <si>
    <t>花塔村4#配变</t>
  </si>
  <si>
    <t>160200261473</t>
  </si>
  <si>
    <t>岳家大院安置点配变</t>
  </si>
  <si>
    <t>160200261474</t>
  </si>
  <si>
    <t>小石村3号配变</t>
  </si>
  <si>
    <t>160200261475</t>
  </si>
  <si>
    <t>彭州市磁峰镇人民政府（垮河B区）</t>
  </si>
  <si>
    <t>160200261476</t>
  </si>
  <si>
    <t>庙坪1#配变</t>
  </si>
  <si>
    <t>160200261477</t>
  </si>
  <si>
    <t>梧桐新月（福建八建）配变</t>
  </si>
  <si>
    <t>160200261478</t>
  </si>
  <si>
    <t>涌华村1号配变</t>
  </si>
  <si>
    <t>160200261479</t>
  </si>
  <si>
    <t>君山村毛家湾配变</t>
  </si>
  <si>
    <t>160200261480</t>
  </si>
  <si>
    <t>鹿坪村2号配变</t>
  </si>
  <si>
    <t>160200261481</t>
  </si>
  <si>
    <t>鹿鸣河畔2期安置点（帅家湾4#）配变</t>
  </si>
  <si>
    <t>160200261482</t>
  </si>
  <si>
    <t>闽西人家1号安置点配变</t>
  </si>
  <si>
    <t>160200261483</t>
  </si>
  <si>
    <t>闽西人家3号安置点配变</t>
  </si>
  <si>
    <t>160200261484</t>
  </si>
  <si>
    <t>街村1号配变</t>
  </si>
  <si>
    <t>160200261485</t>
  </si>
  <si>
    <t>10kV小君路小鱼洞镇董坪村二号公变</t>
  </si>
  <si>
    <t>160200261486</t>
  </si>
  <si>
    <t>董坪村3#公变</t>
  </si>
  <si>
    <t>160200261487</t>
  </si>
  <si>
    <t>鱼洞2#公变</t>
  </si>
  <si>
    <t>160200261488</t>
  </si>
  <si>
    <t>供电所1#公变</t>
  </si>
  <si>
    <t>160200261489</t>
  </si>
  <si>
    <t>彭州市小城镇投资有限公司(廉租房）</t>
  </si>
  <si>
    <t>160200261490</t>
  </si>
  <si>
    <t>黎家大院安置点2号配变</t>
  </si>
  <si>
    <t>160200261491</t>
  </si>
  <si>
    <t>黎家大院安置点1#配变</t>
  </si>
  <si>
    <t>160200261493</t>
  </si>
  <si>
    <t>莲水11组安置点（统建1号）配变</t>
  </si>
  <si>
    <t>160200261494</t>
  </si>
  <si>
    <t>香花村公变</t>
  </si>
  <si>
    <t>160200261495</t>
  </si>
  <si>
    <t>10kV蒲桂路南海十一组公变</t>
  </si>
  <si>
    <t>160200261496</t>
  </si>
  <si>
    <t>莲水8组安置点（统建2号）配变</t>
  </si>
  <si>
    <t>160200261498</t>
  </si>
  <si>
    <t>10kV小君路小鱼洞镇鱼洞村一号公变</t>
  </si>
  <si>
    <t>160200261499</t>
  </si>
  <si>
    <t>10kV小湾路小鱼洞镇罗阳村一号公变</t>
  </si>
  <si>
    <t>160200261500</t>
  </si>
  <si>
    <t>江桥村公变</t>
  </si>
  <si>
    <t>160200261501</t>
  </si>
  <si>
    <t>10kV小君路小鱼洞镇江桥人家公变</t>
  </si>
  <si>
    <t>160200261502</t>
  </si>
  <si>
    <t>10kV小君路小鱼洞镇大楠村公变</t>
  </si>
  <si>
    <t>160200261503</t>
  </si>
  <si>
    <t>10kV小湾路小鱼洞镇太子村社福园公变</t>
  </si>
  <si>
    <t>160200261504</t>
  </si>
  <si>
    <t>鹿鸣河畔1号配变</t>
  </si>
  <si>
    <t>160200261505</t>
  </si>
  <si>
    <t>土产棉麻配变</t>
  </si>
  <si>
    <t>160200261506</t>
  </si>
  <si>
    <t>10kV小湾路小鱼洞镇大湾村百香园二号公变</t>
  </si>
  <si>
    <t>160200261507</t>
  </si>
  <si>
    <t>皇家风范1号配变</t>
  </si>
  <si>
    <t>160200261508</t>
  </si>
  <si>
    <t>皇家风范2号配变</t>
  </si>
  <si>
    <t>160200261509</t>
  </si>
  <si>
    <t>草坝村金福园配变</t>
  </si>
  <si>
    <t>160200261510</t>
  </si>
  <si>
    <t>10kV小君路小鱼洞镇草坝村二号公变</t>
  </si>
  <si>
    <t>160200261511</t>
  </si>
  <si>
    <t>花塔打米厂1号配变</t>
  </si>
  <si>
    <t>160200261512</t>
  </si>
  <si>
    <t>10kV小君路小鱼洞镇草坝村玉福缘一号公变</t>
  </si>
  <si>
    <t>160200261513</t>
  </si>
  <si>
    <t>草坝村玉福缘2#配变</t>
  </si>
  <si>
    <t>160200261514</t>
  </si>
  <si>
    <t>花塔打米厂2号配变</t>
  </si>
  <si>
    <t>160200261515</t>
  </si>
  <si>
    <t>灵岩村八组配变</t>
  </si>
  <si>
    <t>160200261516</t>
  </si>
  <si>
    <t>滴水村3#配变</t>
  </si>
  <si>
    <t>160200261517</t>
  </si>
  <si>
    <t>10kV磁虹路磁峰镇滴水村二组一号公变</t>
  </si>
  <si>
    <t>160200261518</t>
  </si>
  <si>
    <t>灵岩村九组1#配变</t>
  </si>
  <si>
    <t>160200261519</t>
  </si>
  <si>
    <t>中和九组公变</t>
  </si>
  <si>
    <t>160200261520</t>
  </si>
  <si>
    <t>唐公三组公变</t>
  </si>
  <si>
    <t>160200261521</t>
  </si>
  <si>
    <t>10kV香桂路衡州4号公变</t>
  </si>
  <si>
    <t>160200261522</t>
  </si>
  <si>
    <t>10kV香桂路衡州3号公变</t>
  </si>
  <si>
    <t>160200261523</t>
  </si>
  <si>
    <t>10kV香桂路一龙8#公变</t>
  </si>
  <si>
    <t>160200261524</t>
  </si>
  <si>
    <t>10kV蒲园二路银杏一安置点配变</t>
  </si>
  <si>
    <t>160200261525</t>
  </si>
  <si>
    <t>10kV香桂路白羊1号公变</t>
  </si>
  <si>
    <t>160200261526</t>
  </si>
  <si>
    <t>10kV石四路大坪水泉村村委会公变</t>
  </si>
  <si>
    <t>160200261527</t>
  </si>
  <si>
    <t>银杏五安置点公变</t>
  </si>
  <si>
    <t>160200261528</t>
  </si>
  <si>
    <t>10kV蒲桂路插旗统归统建公变</t>
  </si>
  <si>
    <t>160200261529</t>
  </si>
  <si>
    <t>10kV蒲园二路银杏三安置点公变</t>
  </si>
  <si>
    <t>160200261530</t>
  </si>
  <si>
    <t>彭州市磁峰镇人民政府（垮河边）配变</t>
  </si>
  <si>
    <t>160200261531</t>
  </si>
  <si>
    <t>10kV蒲桂路丰乐社区龙桥点公变</t>
  </si>
  <si>
    <t>160200261532</t>
  </si>
  <si>
    <t>10kV蒲桂路丰乐社区统建公变</t>
  </si>
  <si>
    <t>160200261533</t>
  </si>
  <si>
    <t>闽西人家2号安置点配变</t>
  </si>
  <si>
    <t>160200261534</t>
  </si>
  <si>
    <t>水泉村7组安置点</t>
  </si>
  <si>
    <t>160200261535</t>
  </si>
  <si>
    <t>政府3号公变</t>
  </si>
  <si>
    <t>160200261537</t>
  </si>
  <si>
    <t>10kV香桂路分水2号公变</t>
  </si>
  <si>
    <t>160200261538</t>
  </si>
  <si>
    <t>10kV香桂路雪岩统归统建公变</t>
  </si>
  <si>
    <t>160200261539</t>
  </si>
  <si>
    <t>10kV蒲桂路双红村10社安置点公变</t>
  </si>
  <si>
    <t>160200261540</t>
  </si>
  <si>
    <t>石梁村公变</t>
  </si>
  <si>
    <t>160200261541</t>
  </si>
  <si>
    <t>10kV香桂路积善公变</t>
  </si>
  <si>
    <t>160200261542</t>
  </si>
  <si>
    <t>10kV香桂路三圣统归统建公变</t>
  </si>
  <si>
    <t>160200261543</t>
  </si>
  <si>
    <t>10kV香桂路罗家院子公变</t>
  </si>
  <si>
    <t>160200261544</t>
  </si>
  <si>
    <t>10kV青上路中兴镇九龙二号公变</t>
  </si>
  <si>
    <t>160200261545</t>
  </si>
  <si>
    <t>10kV香桂路四砖厂公变</t>
  </si>
  <si>
    <t>160200261546</t>
  </si>
  <si>
    <t>10kV香桂路瓦子村公变</t>
  </si>
  <si>
    <t>160200261547</t>
  </si>
  <si>
    <t>上元6组.7组公变</t>
  </si>
  <si>
    <t>160200261548</t>
  </si>
  <si>
    <t>10kV香桂路念佛4号公变</t>
  </si>
  <si>
    <t>160200261549</t>
  </si>
  <si>
    <t>10kV香桂路红石桥安置点公变</t>
  </si>
  <si>
    <t>160200261550</t>
  </si>
  <si>
    <t>胥家新学校公变</t>
  </si>
  <si>
    <t>160200261551</t>
  </si>
  <si>
    <t>实新四组安置点1#</t>
  </si>
  <si>
    <t>160200261552</t>
  </si>
  <si>
    <t>实新四组安置点2#</t>
  </si>
  <si>
    <t>160200261553</t>
  </si>
  <si>
    <t>10kV蒲桂路拦厢三组公变</t>
  </si>
  <si>
    <t>160200261554</t>
  </si>
  <si>
    <t>10kV蒲桂路旗松八组公变</t>
  </si>
  <si>
    <t>160200261556</t>
  </si>
  <si>
    <t>东义4#配变</t>
  </si>
  <si>
    <t>160200261558</t>
  </si>
  <si>
    <t>10kV灌煤路檬梓树1号配变</t>
  </si>
  <si>
    <t>160200261560</t>
  </si>
  <si>
    <t>10kV灌煤路檬梓树2号配变</t>
  </si>
  <si>
    <t>160200261561</t>
  </si>
  <si>
    <t>实新10组安置点3#</t>
  </si>
  <si>
    <t>160200261562</t>
  </si>
  <si>
    <t>10kV灌煤路茶房新村1号公变</t>
  </si>
  <si>
    <t>160200261563</t>
  </si>
  <si>
    <t>10kV灌城一路清泉六组公变</t>
  </si>
  <si>
    <t>160200261564</t>
  </si>
  <si>
    <t>10kV灌煤路茶房村2号公变</t>
  </si>
  <si>
    <t>160200261565</t>
  </si>
  <si>
    <t>实新10组安置点2#</t>
  </si>
  <si>
    <t>160200261566</t>
  </si>
  <si>
    <t>实新10组安置点1#</t>
  </si>
  <si>
    <t>160200261567</t>
  </si>
  <si>
    <t>新店村变</t>
  </si>
  <si>
    <t>160200261568</t>
  </si>
  <si>
    <t>10kV胥镇一路新店五组公变</t>
  </si>
  <si>
    <t>160200261569</t>
  </si>
  <si>
    <t>10kV青上路两河4组公变</t>
  </si>
  <si>
    <t>160200261570</t>
  </si>
  <si>
    <t>10kV青上路两河安置点公变</t>
  </si>
  <si>
    <t>160200261571</t>
  </si>
  <si>
    <t>10kV青上路三溪安置点公变</t>
  </si>
  <si>
    <t>160200261572</t>
  </si>
  <si>
    <t>10kV青上路三溪6组公变</t>
  </si>
  <si>
    <t>160200261573</t>
  </si>
  <si>
    <t>10kV青上路三溪村公变</t>
  </si>
  <si>
    <t>160200261574</t>
  </si>
  <si>
    <t>10kV灌向路苏麻地公变</t>
  </si>
  <si>
    <t>160200261575</t>
  </si>
  <si>
    <t>镇江五组公变</t>
  </si>
  <si>
    <t>160200261576</t>
  </si>
  <si>
    <t>160200261577</t>
  </si>
  <si>
    <t>10kV灌煤路石观音公变</t>
  </si>
  <si>
    <t>160200261578</t>
  </si>
  <si>
    <t>大林七组1#</t>
  </si>
  <si>
    <t>160200261579</t>
  </si>
  <si>
    <t>10kV灌煤路莲池村配变</t>
  </si>
  <si>
    <t>160200261580</t>
  </si>
  <si>
    <t>10kV灌向路鹿池新村1#公变</t>
  </si>
  <si>
    <t>160200261581</t>
  </si>
  <si>
    <t>石梁6组公变</t>
  </si>
  <si>
    <t>160200261582</t>
  </si>
  <si>
    <t>10kV灌向路董家湾公变</t>
  </si>
  <si>
    <t>160200261583</t>
  </si>
  <si>
    <t>10kV灌煤路莲花湖配变</t>
  </si>
  <si>
    <t>160200261584</t>
  </si>
  <si>
    <t>羊合村变</t>
  </si>
  <si>
    <t>160200261585</t>
  </si>
  <si>
    <t>莲经1组公变</t>
  </si>
  <si>
    <t>160200261586</t>
  </si>
  <si>
    <t>莲经村公变</t>
  </si>
  <si>
    <t>160200261590</t>
  </si>
  <si>
    <t>10kV灌煤路月耳新村4号公变</t>
  </si>
  <si>
    <t>160200261591</t>
  </si>
  <si>
    <t>红旗2公变</t>
  </si>
  <si>
    <t>160200261592</t>
  </si>
  <si>
    <t>10kV灌煤路莲月新村3号公变</t>
  </si>
  <si>
    <t>160200261593</t>
  </si>
  <si>
    <t>红旗1台公变</t>
  </si>
  <si>
    <t>160200261595</t>
  </si>
  <si>
    <t>10kV灌煤路棋盘村配变</t>
  </si>
  <si>
    <t>160200261596</t>
  </si>
  <si>
    <t>10kV灌向路柏杨坪公变</t>
  </si>
  <si>
    <t>160200261598</t>
  </si>
  <si>
    <t>10kV灌煤路南溪三组公变</t>
  </si>
  <si>
    <t>160200261602</t>
  </si>
  <si>
    <t>10kV灌煤路花溪六组公变</t>
  </si>
  <si>
    <t>160200261603</t>
  </si>
  <si>
    <t>10kV灌向路海虹火石村公变</t>
  </si>
  <si>
    <t>160200261604</t>
  </si>
  <si>
    <t>10kV灌向路李家山公变</t>
  </si>
  <si>
    <t>160200261605</t>
  </si>
  <si>
    <t>青智3号公变</t>
  </si>
  <si>
    <t>160200261606</t>
  </si>
  <si>
    <t>10kV灌向路棋盘村2号公变</t>
  </si>
  <si>
    <t>160200261607</t>
  </si>
  <si>
    <t>10kV灌向路棋盘村3号公变</t>
  </si>
  <si>
    <t>160200261608</t>
  </si>
  <si>
    <t>10kV灌煤路海虹村配变</t>
  </si>
  <si>
    <t>160200261609</t>
  </si>
  <si>
    <t>大坪村公变</t>
  </si>
  <si>
    <t>160200261610</t>
  </si>
  <si>
    <t>160200261612</t>
  </si>
  <si>
    <t>永兴四组安置点公变</t>
  </si>
  <si>
    <t>160200261614</t>
  </si>
  <si>
    <t>大坪2#公变</t>
  </si>
  <si>
    <t>160200261615</t>
  </si>
  <si>
    <t>青田四组安置点</t>
  </si>
  <si>
    <t>160200261619</t>
  </si>
  <si>
    <t>清智村公变</t>
  </si>
  <si>
    <t>160200261620</t>
  </si>
  <si>
    <t>10kV胥镇一路石龙二组安置点公变</t>
  </si>
  <si>
    <t>160200261621</t>
  </si>
  <si>
    <t>10kV灌煤路棋盘煤矿公变</t>
  </si>
  <si>
    <t>160200261622</t>
  </si>
  <si>
    <t>10kV胥镇一路桂林八组公变</t>
  </si>
  <si>
    <t>160200261623</t>
  </si>
  <si>
    <t>青城流水音公变</t>
  </si>
  <si>
    <t>160200261624</t>
  </si>
  <si>
    <t>10kV灌向路黄家院子4号公变</t>
  </si>
  <si>
    <t>160200261625</t>
  </si>
  <si>
    <t>石龙村变</t>
  </si>
  <si>
    <t>160200261626</t>
  </si>
  <si>
    <t>10kV灌向路黄家院子3号公变</t>
  </si>
  <si>
    <t>160200261627</t>
  </si>
  <si>
    <t>10kV灌向路黄家院子2#公变</t>
  </si>
  <si>
    <t>160200261628</t>
  </si>
  <si>
    <t>10kV灌向路黄家院子1号公变</t>
  </si>
  <si>
    <t>160200261630</t>
  </si>
  <si>
    <t>红纱二组公变</t>
  </si>
  <si>
    <t>160200261631</t>
  </si>
  <si>
    <t>红纱五组公变</t>
  </si>
  <si>
    <t>160200261632</t>
  </si>
  <si>
    <t>红纱六组公变</t>
  </si>
  <si>
    <t>160200261633</t>
  </si>
  <si>
    <t>10kV灌煤路南溪四组公变</t>
  </si>
  <si>
    <t>160200261634</t>
  </si>
  <si>
    <t>160200261635</t>
  </si>
  <si>
    <t>马鞍四组公变</t>
  </si>
  <si>
    <t>160200261636</t>
  </si>
  <si>
    <t>马鞍七组公变</t>
  </si>
  <si>
    <t>160200261637</t>
  </si>
  <si>
    <t>土什九组公变</t>
  </si>
  <si>
    <t>160200261638</t>
  </si>
  <si>
    <t>白沙一组公变</t>
  </si>
  <si>
    <t>160200261639</t>
  </si>
  <si>
    <t>岷江四组公变</t>
  </si>
  <si>
    <t>160200261640</t>
  </si>
  <si>
    <t>岷江二三组公变</t>
  </si>
  <si>
    <t>160200261643</t>
  </si>
  <si>
    <t>10kV灌向路楠坪五组公变</t>
  </si>
  <si>
    <t>160200261644</t>
  </si>
  <si>
    <t>10kV灌向路团结2#安置点公变</t>
  </si>
  <si>
    <t>160200261645</t>
  </si>
  <si>
    <t>10kV灌向路楠坪3组公变</t>
  </si>
  <si>
    <t>160200261646</t>
  </si>
  <si>
    <t>10kV灌向路团结1号安置点1号公变</t>
  </si>
  <si>
    <t>160200261647</t>
  </si>
  <si>
    <t>10kV灌向路团结1号安置点2号公变</t>
  </si>
  <si>
    <t>160200261648</t>
  </si>
  <si>
    <t>飞龙村公变</t>
  </si>
  <si>
    <t>160200261649</t>
  </si>
  <si>
    <t>大桥二组公变</t>
  </si>
  <si>
    <t>160200261650</t>
  </si>
  <si>
    <t>双土三组公变</t>
  </si>
  <si>
    <t>160200261651</t>
  </si>
  <si>
    <t>大桥一组公变</t>
  </si>
  <si>
    <t>160200261652</t>
  </si>
  <si>
    <t>祁园村5组公变</t>
  </si>
  <si>
    <t>160200261653</t>
  </si>
  <si>
    <t>10kV灌向路楠坪2组2号公变</t>
  </si>
  <si>
    <t>160200261654</t>
  </si>
  <si>
    <t>10kV灌向路长河六组公变</t>
  </si>
  <si>
    <t>160200261655</t>
  </si>
  <si>
    <t>市场公变3</t>
  </si>
  <si>
    <t>160200261656</t>
  </si>
  <si>
    <t>界牌6组公变</t>
  </si>
  <si>
    <t>160200261657</t>
  </si>
  <si>
    <t>10kV崇双路崇义镇笆桥二组公变</t>
  </si>
  <si>
    <t>160200261658</t>
  </si>
  <si>
    <t>桂桥六组公变</t>
  </si>
  <si>
    <t>160200261659</t>
  </si>
  <si>
    <t>横山二组公变</t>
  </si>
  <si>
    <t>160200261660</t>
  </si>
  <si>
    <t>横山4组公变</t>
  </si>
  <si>
    <t>160200261661</t>
  </si>
  <si>
    <t>横山五组公变</t>
  </si>
  <si>
    <t>160200261662</t>
  </si>
  <si>
    <t>界牌8组公变</t>
  </si>
  <si>
    <t>160200261663</t>
  </si>
  <si>
    <t>海云中心村1号公变</t>
  </si>
  <si>
    <t>160200261664</t>
  </si>
  <si>
    <t>海云二组公变</t>
  </si>
  <si>
    <t>160200261665</t>
  </si>
  <si>
    <t>海云中心村二号公变</t>
  </si>
  <si>
    <t>160200261666</t>
  </si>
  <si>
    <t>海云6组聚居点公变</t>
  </si>
  <si>
    <t>160200261667</t>
  </si>
  <si>
    <t>吴塘聚居点1号公变</t>
  </si>
  <si>
    <t>160200261668</t>
  </si>
  <si>
    <t>管家名苑1#</t>
  </si>
  <si>
    <t>160200261669</t>
  </si>
  <si>
    <t>官家名苑3#</t>
  </si>
  <si>
    <t>160200261670</t>
  </si>
  <si>
    <t>10kV蒲桂路纪家三组支圣寿三组公变</t>
  </si>
  <si>
    <t>160200261671</t>
  </si>
  <si>
    <t>十里四组公变</t>
  </si>
  <si>
    <t>160200261672</t>
  </si>
  <si>
    <t>10kV蒲桂路两河2#公变</t>
  </si>
  <si>
    <t>160200261673</t>
  </si>
  <si>
    <t>大田四组公变</t>
  </si>
  <si>
    <t>160200261674</t>
  </si>
  <si>
    <t>10kV香隆二路街村5号公变</t>
  </si>
  <si>
    <t>160200261676</t>
  </si>
  <si>
    <t>10kV香桂路所2号公变</t>
  </si>
  <si>
    <t>160200261677</t>
  </si>
  <si>
    <t>10kV香桂路瓦子中心村公变</t>
  </si>
  <si>
    <t>160200261678</t>
  </si>
  <si>
    <t>10kV蒲桂路插旗十组公变</t>
  </si>
  <si>
    <t>160200261679</t>
  </si>
  <si>
    <t>同义五组配变</t>
  </si>
  <si>
    <t>160200261689</t>
  </si>
  <si>
    <t>唐公五组公变</t>
  </si>
  <si>
    <t>160200261703</t>
  </si>
  <si>
    <t>10kV青中路永兴五组公变</t>
  </si>
  <si>
    <t>160200261704</t>
  </si>
  <si>
    <t>10kV青中路玉支玉堂提灌站公变</t>
  </si>
  <si>
    <t>160200261705</t>
  </si>
  <si>
    <t>10kV白坪路黎明四组公变</t>
  </si>
  <si>
    <t>160200261706</t>
  </si>
  <si>
    <t>小石村1号配变</t>
  </si>
  <si>
    <t>160200261707</t>
  </si>
  <si>
    <t>10kV蒲桂路灯塔统建点1#</t>
  </si>
  <si>
    <t>160200261708</t>
  </si>
  <si>
    <t>10kV蒲桂路灯塔统归统建2#公变</t>
  </si>
  <si>
    <t>160200261709</t>
  </si>
  <si>
    <t>10kV蒲镇路青钢厂家属区公变</t>
  </si>
  <si>
    <t>160200261710</t>
  </si>
  <si>
    <t>梳妆村四组公变</t>
  </si>
  <si>
    <t>160200261711</t>
  </si>
  <si>
    <t>吴塘中心村配变</t>
  </si>
  <si>
    <t>160200261712</t>
  </si>
  <si>
    <t>金属制品厂公变</t>
  </si>
  <si>
    <t>160200261714</t>
  </si>
  <si>
    <t>10kV香桂路利济10#公变</t>
  </si>
  <si>
    <t>160200261715</t>
  </si>
  <si>
    <t>10kV香桂路桂花街村6#公变</t>
  </si>
  <si>
    <t>160200261716</t>
  </si>
  <si>
    <t>10kV青石路柳街镇升平村二号公变</t>
  </si>
  <si>
    <t>160200261717</t>
  </si>
  <si>
    <t>10kV青石路东风5号公变</t>
  </si>
  <si>
    <t>160200261718</t>
  </si>
  <si>
    <t>青莲3号公变</t>
  </si>
  <si>
    <t>160200261719</t>
  </si>
  <si>
    <t>10kV青石路东风7组公变</t>
  </si>
  <si>
    <t>160200261720</t>
  </si>
  <si>
    <t>东风4号公变</t>
  </si>
  <si>
    <t>160200261721</t>
  </si>
  <si>
    <t>大乐3#公变</t>
  </si>
  <si>
    <t>160200261722</t>
  </si>
  <si>
    <t>10kV灌煤路花龙支花龙村公变</t>
  </si>
  <si>
    <t>160200261723</t>
  </si>
  <si>
    <t>桃花三组公变</t>
  </si>
  <si>
    <t>160200261724</t>
  </si>
  <si>
    <t>青城8组公变</t>
  </si>
  <si>
    <t>160200261725</t>
  </si>
  <si>
    <t>红岩3#公变</t>
  </si>
  <si>
    <t>160200261726</t>
  </si>
  <si>
    <t>白石四组公变</t>
  </si>
  <si>
    <t>160200261728</t>
  </si>
  <si>
    <t>10kV香桂路仁和村5号公变</t>
  </si>
  <si>
    <t>160200261729</t>
  </si>
  <si>
    <t>双磨1#公变</t>
  </si>
  <si>
    <t>160200261730</t>
  </si>
  <si>
    <t>双磨二组公变</t>
  </si>
  <si>
    <t>160200261732</t>
  </si>
  <si>
    <t>10kV青西路青城山镇青智2组公变</t>
  </si>
  <si>
    <t>160200261733</t>
  </si>
  <si>
    <t>10kV灌煤支路鹿池村公变</t>
  </si>
  <si>
    <t>160200261734</t>
  </si>
  <si>
    <t>10kV灌煤支路东林五组公变</t>
  </si>
  <si>
    <t>160200261735</t>
  </si>
  <si>
    <t>10kV灌煤路花龙支白泥岗公变</t>
  </si>
  <si>
    <t>160200261736</t>
  </si>
  <si>
    <t>10kV小湾路小鱼洞镇罗阳村二号公变</t>
  </si>
  <si>
    <t>160200261737</t>
  </si>
  <si>
    <t>10kV小君路小鱼洞镇董坪村一号公变</t>
  </si>
  <si>
    <t>160200261738</t>
  </si>
  <si>
    <t>10kV灌煤路齐心二组公变</t>
  </si>
  <si>
    <t>160200261740</t>
  </si>
  <si>
    <t>红旗3组公变</t>
  </si>
  <si>
    <t>160200261741</t>
  </si>
  <si>
    <t>10kV青上路红楼大队配变</t>
  </si>
  <si>
    <t>160200261742</t>
  </si>
  <si>
    <t>上元二组公变</t>
  </si>
  <si>
    <t>160200261743</t>
  </si>
  <si>
    <t>永兴3组公变</t>
  </si>
  <si>
    <t>160200261744</t>
  </si>
  <si>
    <t>红岩村1#公变</t>
  </si>
  <si>
    <t>160200261749</t>
  </si>
  <si>
    <t>桂花三组公变</t>
  </si>
  <si>
    <t>160200261750</t>
  </si>
  <si>
    <t>10kV香桂路一龙4号公变</t>
  </si>
  <si>
    <t>160200261751</t>
  </si>
  <si>
    <t>10kV小君路小鱼洞镇太子村一号公变</t>
  </si>
  <si>
    <t>160200261759</t>
  </si>
  <si>
    <t>龙竹二组公变</t>
  </si>
  <si>
    <t>160200261760</t>
  </si>
  <si>
    <t>10kV蒲园二路银杏二安置点公变</t>
  </si>
  <si>
    <t>160200261778</t>
  </si>
  <si>
    <t>10kV虹奎路奎光社区1#公变</t>
  </si>
  <si>
    <t>160200261783</t>
  </si>
  <si>
    <t>10kV虹太路红砖街公变</t>
  </si>
  <si>
    <t>160200261816</t>
  </si>
  <si>
    <t>10kV虹西路馨洲苑分支箱1#公变</t>
  </si>
  <si>
    <t>160200261835</t>
  </si>
  <si>
    <t>10kV虹观线观凤村6组三号公变</t>
  </si>
  <si>
    <t>160200261836</t>
  </si>
  <si>
    <t>10kV虹西路金桥路口分支箱一号公变</t>
  </si>
  <si>
    <t>160200261837</t>
  </si>
  <si>
    <t>160200261917</t>
  </si>
  <si>
    <t>青城纸厂宿舍1#公变</t>
  </si>
  <si>
    <t>160200269998</t>
  </si>
  <si>
    <t>岷江建材1号公变</t>
  </si>
  <si>
    <t>160200269999</t>
  </si>
  <si>
    <t>藏羌新村公变</t>
  </si>
  <si>
    <t>160200270000</t>
  </si>
  <si>
    <t>新华书店公变</t>
  </si>
  <si>
    <t>160200270001</t>
  </si>
  <si>
    <t>西川公司1#公变</t>
  </si>
  <si>
    <t>160200270002</t>
  </si>
  <si>
    <t>10KV虹宾路团结小学分支箱1#公变</t>
  </si>
  <si>
    <t>160200270003</t>
  </si>
  <si>
    <t>塔子小区2#公变</t>
  </si>
  <si>
    <t>160200270004</t>
  </si>
  <si>
    <t>塔子小区1#公变</t>
  </si>
  <si>
    <t>160200270005</t>
  </si>
  <si>
    <t>华侨商业城1号公变</t>
  </si>
  <si>
    <t>160200270006</t>
  </si>
  <si>
    <t>三羊公司</t>
  </si>
  <si>
    <t>160200270007</t>
  </si>
  <si>
    <t>物价局公变</t>
  </si>
  <si>
    <t>160200270008</t>
  </si>
  <si>
    <t>塔子村三组公变</t>
  </si>
  <si>
    <t>160200270009</t>
  </si>
  <si>
    <t>观凤小区2号公变</t>
  </si>
  <si>
    <t>160200270011</t>
  </si>
  <si>
    <t>西川公司2#公变</t>
  </si>
  <si>
    <t>160200270012</t>
  </si>
  <si>
    <t>木机厂家属区公变</t>
  </si>
  <si>
    <t>160200270013</t>
  </si>
  <si>
    <t>安康南路公变</t>
  </si>
  <si>
    <t>160200270014</t>
  </si>
  <si>
    <t>10kV胥都北路莲花北路配变</t>
  </si>
  <si>
    <t>160200270015</t>
  </si>
  <si>
    <t>观凤村四组4#公变</t>
  </si>
  <si>
    <t>160200270016</t>
  </si>
  <si>
    <t>文庙街1号公变</t>
  </si>
  <si>
    <t>160200270017</t>
  </si>
  <si>
    <t>平义二巷公变</t>
  </si>
  <si>
    <t>160200270018</t>
  </si>
  <si>
    <t>交通局公变</t>
  </si>
  <si>
    <t>160200270019</t>
  </si>
  <si>
    <t>10kV青大路大乐场镇2号配变</t>
  </si>
  <si>
    <t>160200270020</t>
  </si>
  <si>
    <t>10kV青大路蒲津1#配变</t>
  </si>
  <si>
    <t>160200270022</t>
  </si>
  <si>
    <t>双胜六组公变</t>
  </si>
  <si>
    <t>160200270023</t>
  </si>
  <si>
    <t>石佛6组公变</t>
  </si>
  <si>
    <t>160200270024</t>
  </si>
  <si>
    <t>瓦窑4组公变</t>
  </si>
  <si>
    <t>160200270026</t>
  </si>
  <si>
    <t>10kV青石路大观镇欣禾村十一组公变</t>
  </si>
  <si>
    <t>160200270027</t>
  </si>
  <si>
    <t>飞鹅2号公变</t>
  </si>
  <si>
    <t>160200270028</t>
  </si>
  <si>
    <t>农科站公变</t>
  </si>
  <si>
    <t>160200270029</t>
  </si>
  <si>
    <t>10kV青石路安龙镇东义村一组一号公变</t>
  </si>
  <si>
    <t>160200270030</t>
  </si>
  <si>
    <t>10kV青石路大乐1号公变</t>
  </si>
  <si>
    <t>160200270031</t>
  </si>
  <si>
    <t>何家3号公变</t>
  </si>
  <si>
    <t>160200270032</t>
  </si>
  <si>
    <t>跃进5组公变</t>
  </si>
  <si>
    <t>160200270033</t>
  </si>
  <si>
    <t>10kV灌煤路场镇1#配变</t>
  </si>
  <si>
    <t>160200270034</t>
  </si>
  <si>
    <t>东义15组安置点公变</t>
  </si>
  <si>
    <t>160200270035</t>
  </si>
  <si>
    <t>友爱6组公变</t>
  </si>
  <si>
    <t>160200270036</t>
  </si>
  <si>
    <t>何家2号公变</t>
  </si>
  <si>
    <t>160200270037</t>
  </si>
  <si>
    <t>何家1组安置点公变</t>
  </si>
  <si>
    <t>160200270038</t>
  </si>
  <si>
    <t>团结1#公变</t>
  </si>
  <si>
    <t>160200270039</t>
  </si>
  <si>
    <t>梅花11组公变</t>
  </si>
  <si>
    <t>160200270040</t>
  </si>
  <si>
    <t>10kV青石路安龙场镇3#公变</t>
  </si>
  <si>
    <t>160200270041</t>
  </si>
  <si>
    <t>10kV崇天路绿风1#公变</t>
  </si>
  <si>
    <t>160200270042</t>
  </si>
  <si>
    <t>太平2号公变</t>
  </si>
  <si>
    <t>160200270043</t>
  </si>
  <si>
    <t>青莲1号公变</t>
  </si>
  <si>
    <t>160200270044</t>
  </si>
  <si>
    <t>10kV金府路崇义镇大桥村八组公变</t>
  </si>
  <si>
    <t>160200270045</t>
  </si>
  <si>
    <t>10kV金府路崇义镇大桥村十一组公变</t>
  </si>
  <si>
    <t>160200270046</t>
  </si>
  <si>
    <t>新建2组公变</t>
  </si>
  <si>
    <t>160200270047</t>
  </si>
  <si>
    <t>场水公变</t>
  </si>
  <si>
    <t>160200270048</t>
  </si>
  <si>
    <t>青莲2号公变</t>
  </si>
  <si>
    <t>160200270049</t>
  </si>
  <si>
    <t>东风2号公变</t>
  </si>
  <si>
    <t>160200270050</t>
  </si>
  <si>
    <t>东风1号公变</t>
  </si>
  <si>
    <t>160200270052</t>
  </si>
  <si>
    <t>东风3号公变</t>
  </si>
  <si>
    <t>160200270053</t>
  </si>
  <si>
    <t>三圣2号公变</t>
  </si>
  <si>
    <t>160200270054</t>
  </si>
  <si>
    <t>三圣1号公变</t>
  </si>
  <si>
    <t>160200270055</t>
  </si>
  <si>
    <t>铜池1号公变</t>
  </si>
  <si>
    <t>160200270056</t>
  </si>
  <si>
    <t>大观场镇1号公变</t>
  </si>
  <si>
    <t>160200270057</t>
  </si>
  <si>
    <t>10kV青大路场镇电管站配变</t>
  </si>
  <si>
    <t>160200270058</t>
  </si>
  <si>
    <t>铜池2号公变</t>
  </si>
  <si>
    <t>160200270059</t>
  </si>
  <si>
    <t>10kV青大路大观镇园林村园林四组公变</t>
  </si>
  <si>
    <t>160200270060</t>
  </si>
  <si>
    <t>大观场镇3号公变</t>
  </si>
  <si>
    <t>160200270061</t>
  </si>
  <si>
    <t>大安村公变</t>
  </si>
  <si>
    <t>160200270062</t>
  </si>
  <si>
    <t>河口1号公变</t>
  </si>
  <si>
    <t>160200270063</t>
  </si>
  <si>
    <t>河口2号公变</t>
  </si>
  <si>
    <t>160200270064</t>
  </si>
  <si>
    <t>10kV青大路河口支新河口三号公变</t>
  </si>
  <si>
    <t>160200270065</t>
  </si>
  <si>
    <t>10kV青大路烂泥村公变</t>
  </si>
  <si>
    <t>160200270066</t>
  </si>
  <si>
    <t>青峰书院公变</t>
  </si>
  <si>
    <t>160200270067</t>
  </si>
  <si>
    <t>10kV青大路青城外山公变</t>
  </si>
  <si>
    <t>160200270068</t>
  </si>
  <si>
    <t>崇义镇金属厂公变</t>
  </si>
  <si>
    <t>160200270069</t>
  </si>
  <si>
    <t>瓦窑1组公变</t>
  </si>
  <si>
    <t>160200270070</t>
  </si>
  <si>
    <t>红梅3号公变</t>
  </si>
  <si>
    <t>160200270071</t>
  </si>
  <si>
    <t>10kV青大路红梅1号公变</t>
  </si>
  <si>
    <t>160200270072</t>
  </si>
  <si>
    <t>盐井2号公变</t>
  </si>
  <si>
    <t>160200270073</t>
  </si>
  <si>
    <t>麻岩1号公变</t>
  </si>
  <si>
    <t>160200270074</t>
  </si>
  <si>
    <t>10kV青大路麻岩2号公变</t>
  </si>
  <si>
    <t>160200270075</t>
  </si>
  <si>
    <t>麻岩3号公变</t>
  </si>
  <si>
    <t>160200270076</t>
  </si>
  <si>
    <t>红梅2号公变</t>
  </si>
  <si>
    <t>160200270077</t>
  </si>
  <si>
    <t>10kV青大路茶坪3.4安置点公变</t>
  </si>
  <si>
    <t>160200270078</t>
  </si>
  <si>
    <t>160200270079</t>
  </si>
  <si>
    <t>茶坪2号公变</t>
  </si>
  <si>
    <t>160200270080</t>
  </si>
  <si>
    <t>河坪1号公变</t>
  </si>
  <si>
    <t>160200270081</t>
  </si>
  <si>
    <t>河坪2号公变</t>
  </si>
  <si>
    <t>160200270082</t>
  </si>
  <si>
    <t>泊江4号公变</t>
  </si>
  <si>
    <t>160200270083</t>
  </si>
  <si>
    <t>泊江1#公变</t>
  </si>
  <si>
    <t>160200270084</t>
  </si>
  <si>
    <t>泊江3#公变</t>
  </si>
  <si>
    <t>160200270085</t>
  </si>
  <si>
    <t>新农村公变</t>
  </si>
  <si>
    <t>160200270087</t>
  </si>
  <si>
    <t>飞鹅五组公变</t>
  </si>
  <si>
    <t>160200270088</t>
  </si>
  <si>
    <t>10kV青大路保全3组公变</t>
  </si>
  <si>
    <t>160200270092</t>
  </si>
  <si>
    <t>青溪村1#公变</t>
  </si>
  <si>
    <t>160200270093</t>
  </si>
  <si>
    <t>青溪3号公变</t>
  </si>
  <si>
    <t>160200270094</t>
  </si>
  <si>
    <t>青溪2号公变</t>
  </si>
  <si>
    <t>160200270095</t>
  </si>
  <si>
    <t>青溪4号公变</t>
  </si>
  <si>
    <t>160200270097</t>
  </si>
  <si>
    <t>崇义村四组公变</t>
  </si>
  <si>
    <t>160200270098</t>
  </si>
  <si>
    <t>10kV石四路水泉三组支12#公变</t>
  </si>
  <si>
    <t>160200270099</t>
  </si>
  <si>
    <t>10kV青大路大乐场镇3号公变</t>
  </si>
  <si>
    <t>160200270100</t>
  </si>
  <si>
    <t>东义村2号公变</t>
  </si>
  <si>
    <t>160200270101</t>
  </si>
  <si>
    <t>10kV青石路柳街镇三圣村三号公变</t>
  </si>
  <si>
    <t>160200270102</t>
  </si>
  <si>
    <t>10kV灌向路红火新村2#配变</t>
  </si>
  <si>
    <t>160200270103</t>
  </si>
  <si>
    <t>10kV灌向路红火新村1#配变</t>
  </si>
  <si>
    <t>160200270106</t>
  </si>
  <si>
    <t>大桥村13组公变</t>
  </si>
  <si>
    <t>160200270107</t>
  </si>
  <si>
    <t>10kV青大路太平1号公变</t>
  </si>
  <si>
    <t>160200270109</t>
  </si>
  <si>
    <t>10kV香桂路高峰村1号公变</t>
  </si>
  <si>
    <t>160200270240</t>
  </si>
  <si>
    <t>10kV青石路东义6组安置点公变</t>
  </si>
  <si>
    <t>160200271401</t>
  </si>
  <si>
    <t>10kV虹西路翔凤路口北环网柜</t>
  </si>
  <si>
    <t>160200271402</t>
  </si>
  <si>
    <t>安顺小区公变</t>
  </si>
  <si>
    <t>160200271403</t>
  </si>
  <si>
    <t>10kV虹玉路滨河路公变</t>
  </si>
  <si>
    <t>160200271457</t>
  </si>
  <si>
    <t>安顺五组2号公变</t>
  </si>
  <si>
    <t>160200271458</t>
  </si>
  <si>
    <t>10kV虹玉路安顺五组3号公变</t>
  </si>
  <si>
    <t>160200271459</t>
  </si>
  <si>
    <t>安顺五组1号公变</t>
  </si>
  <si>
    <t>160200271471</t>
  </si>
  <si>
    <t>10kV蒲镇路场镇1#公变</t>
  </si>
  <si>
    <t>160200271473</t>
  </si>
  <si>
    <t>唐古路场镇公变</t>
  </si>
  <si>
    <t>160200271474</t>
  </si>
  <si>
    <t>唐公新村公变</t>
  </si>
  <si>
    <t>160200271475</t>
  </si>
  <si>
    <t>场镇2期A区专变2#</t>
  </si>
  <si>
    <t>160200271476</t>
  </si>
  <si>
    <t>场镇2期A区商业专变</t>
  </si>
  <si>
    <t>160200271477</t>
  </si>
  <si>
    <t>场镇2期B区商业公变</t>
  </si>
  <si>
    <t>160200271478</t>
  </si>
  <si>
    <t>红睿置业公变</t>
  </si>
  <si>
    <t>160200271479</t>
  </si>
  <si>
    <t>10kV石四路赵公驿公变</t>
  </si>
  <si>
    <t>160200271481</t>
  </si>
  <si>
    <t>飞桥村2组公变</t>
  </si>
  <si>
    <t>160200271483</t>
  </si>
  <si>
    <t>10kV胥都北路中山北路环网柜</t>
  </si>
  <si>
    <t>160200271484</t>
  </si>
  <si>
    <t>10kV胥都北路新发北路环网柜</t>
  </si>
  <si>
    <t>160200271485</t>
  </si>
  <si>
    <t>都江堰映电花园1#公变</t>
  </si>
  <si>
    <t>160200271486</t>
  </si>
  <si>
    <t>都江堰映电花园6#公变</t>
  </si>
  <si>
    <t>160200271487</t>
  </si>
  <si>
    <t>都江堰映电花园7#公变</t>
  </si>
  <si>
    <t>160200271488</t>
  </si>
  <si>
    <t>都江堰映电花园2#公变</t>
  </si>
  <si>
    <t>160200271489</t>
  </si>
  <si>
    <t>都江堰映电花园4#公变</t>
  </si>
  <si>
    <t>160200271490</t>
  </si>
  <si>
    <t>都江堰映电花园5#公变</t>
  </si>
  <si>
    <t>160200271500</t>
  </si>
  <si>
    <t>10kV金府路崇义镇大桥村十三组公变</t>
  </si>
  <si>
    <t>160200271501</t>
  </si>
  <si>
    <t>10kV金府路聚源镇三坝村七组公变</t>
  </si>
  <si>
    <t>160200271813</t>
  </si>
  <si>
    <t>10kV胥观路胥都北路高压配电柜</t>
  </si>
  <si>
    <t>160200272250</t>
  </si>
  <si>
    <t>10kV蒲桂路双林2#自建点公变</t>
  </si>
  <si>
    <t>160200272251</t>
  </si>
  <si>
    <t>10kV香隆二路双埝村二组公变</t>
  </si>
  <si>
    <t>160200272252</t>
  </si>
  <si>
    <t>10kV小湾路小鱼洞镇大湾村一号公变</t>
  </si>
  <si>
    <t>160200272253</t>
  </si>
  <si>
    <t>水泉村8组安置点公变</t>
  </si>
  <si>
    <t>160200272254</t>
  </si>
  <si>
    <t>正林五组公变</t>
  </si>
  <si>
    <t>160200272255</t>
  </si>
  <si>
    <t>红楼2#配变</t>
  </si>
  <si>
    <t>160200272256</t>
  </si>
  <si>
    <t>石龙一组公变</t>
  </si>
  <si>
    <t>160200272257</t>
  </si>
  <si>
    <t>10kV胥镇一路木材市场公变</t>
  </si>
  <si>
    <t>160200272258</t>
  </si>
  <si>
    <t>双土2组公变</t>
  </si>
  <si>
    <t>160200272259</t>
  </si>
  <si>
    <t>笆桥3组公变</t>
  </si>
  <si>
    <t>160200272260</t>
  </si>
  <si>
    <t>160200272261</t>
  </si>
  <si>
    <t>梳妆三组公变</t>
  </si>
  <si>
    <t>160200272262</t>
  </si>
  <si>
    <t>吴塘9组公变</t>
  </si>
  <si>
    <t>160200272263</t>
  </si>
  <si>
    <t>花塔两叉河3#配变</t>
  </si>
  <si>
    <t>160200272264</t>
  </si>
  <si>
    <t>10kV青石路柳街镇三圣村二号公变</t>
  </si>
  <si>
    <t>160200272265</t>
  </si>
  <si>
    <t>10kV灌煤路东林二组公变</t>
  </si>
  <si>
    <t>160200272266</t>
  </si>
  <si>
    <t>坪乐1组公变</t>
  </si>
  <si>
    <t>160200272267</t>
  </si>
  <si>
    <t>坪乐四组1#公变</t>
  </si>
  <si>
    <t>160200272268</t>
  </si>
  <si>
    <t>坪乐1组2#配变</t>
  </si>
  <si>
    <t>160200272269</t>
  </si>
  <si>
    <t>沙坪3#(泰安乡政府)公变</t>
  </si>
  <si>
    <t>160200272270</t>
  </si>
  <si>
    <t>坪乐7组公变</t>
  </si>
  <si>
    <t>160200272271</t>
  </si>
  <si>
    <t>10kV天丰路同德村六组公变</t>
  </si>
  <si>
    <t>160200272676</t>
  </si>
  <si>
    <t>罗阳三标公变</t>
  </si>
  <si>
    <t>160200272678</t>
  </si>
  <si>
    <t>玉带桥2号公变</t>
  </si>
  <si>
    <t>160200272680</t>
  </si>
  <si>
    <t>10kV胥镇一路马鞍六组2号公变</t>
  </si>
  <si>
    <t>160200272681</t>
  </si>
  <si>
    <t>10kV蒲园二路银杏一组公变</t>
  </si>
  <si>
    <t>160200272682</t>
  </si>
  <si>
    <t>莲花村三组公变</t>
  </si>
  <si>
    <t>160200274978</t>
  </si>
  <si>
    <t>马鞍六组公变</t>
  </si>
  <si>
    <t>160200275382</t>
  </si>
  <si>
    <t>160200277017</t>
  </si>
  <si>
    <t>10kV香隆路大宝村二组1#公变</t>
  </si>
  <si>
    <t>160200278581</t>
  </si>
  <si>
    <t>主变场地交流配电箱</t>
  </si>
  <si>
    <t>160200278582</t>
  </si>
  <si>
    <t>主变场地检修箱</t>
  </si>
  <si>
    <t>160200278583</t>
  </si>
  <si>
    <t>电容器组场地检修箱</t>
  </si>
  <si>
    <t>160200278584</t>
  </si>
  <si>
    <t>10kV检修配电箱</t>
  </si>
  <si>
    <t>160200278585</t>
  </si>
  <si>
    <t>空调配电箱</t>
  </si>
  <si>
    <t>160200278586</t>
  </si>
  <si>
    <t>消防配电箱</t>
  </si>
  <si>
    <t>160200278587</t>
  </si>
  <si>
    <t>220V/110V场地检修配电箱</t>
  </si>
  <si>
    <t>160200278588</t>
  </si>
  <si>
    <t>160200278589</t>
  </si>
  <si>
    <t>10kV配电装置室配电箱</t>
  </si>
  <si>
    <t>160200278590</t>
  </si>
  <si>
    <t>160200278591</t>
  </si>
  <si>
    <t>继电室配电箱</t>
  </si>
  <si>
    <t>160200278592</t>
  </si>
  <si>
    <t>继电器室配电箱</t>
  </si>
  <si>
    <t>160200278593</t>
  </si>
  <si>
    <t>事故照明配电箱</t>
  </si>
  <si>
    <t>160200278986</t>
  </si>
  <si>
    <t>10kV香隆路隆丰镇八角村四组公变</t>
  </si>
  <si>
    <t>160200278987</t>
  </si>
  <si>
    <t>10kV香隆路隆丰镇白泥村四组公变</t>
  </si>
  <si>
    <t>160200278988</t>
  </si>
  <si>
    <t>鹿坪村1号配变</t>
  </si>
  <si>
    <t>160200278989</t>
  </si>
  <si>
    <t>莲水村3号配变</t>
  </si>
  <si>
    <t>160200278990</t>
  </si>
  <si>
    <t>10kV香桂路念佛1号公变</t>
  </si>
  <si>
    <t>160200278991</t>
  </si>
  <si>
    <t>丹景山镇白塔村公变</t>
  </si>
  <si>
    <t>160200278992</t>
  </si>
  <si>
    <t>罗桥三组公变</t>
  </si>
  <si>
    <t>160200278993</t>
  </si>
  <si>
    <t>160200278994</t>
  </si>
  <si>
    <t>吴塘12组公变</t>
  </si>
  <si>
    <t>160200278995</t>
  </si>
  <si>
    <t>吴塘七组公变</t>
  </si>
  <si>
    <t>160200278996</t>
  </si>
  <si>
    <t>导江二组公变</t>
  </si>
  <si>
    <t>160200278997</t>
  </si>
  <si>
    <t>吴塘三组公变</t>
  </si>
  <si>
    <t>160200280428</t>
  </si>
  <si>
    <t>10kV灌城三路蒲堰路塔中联中#1环网柜</t>
  </si>
  <si>
    <t>160200280620</t>
  </si>
  <si>
    <t>10kV虹康路华侨商业城1号公变</t>
  </si>
  <si>
    <t>160200280621</t>
  </si>
  <si>
    <t>10kV虹康路华侨商业城2号公变</t>
  </si>
  <si>
    <t>160200280622</t>
  </si>
  <si>
    <t>10KV虹康路华侨商业城环网柜</t>
  </si>
  <si>
    <t>160200280623</t>
  </si>
  <si>
    <t>10kV虹西路都江纸厂家属区#1箱变</t>
  </si>
  <si>
    <t>160200280624</t>
  </si>
  <si>
    <t>10kV虹太路通锦路观凤村四组8号公变</t>
  </si>
  <si>
    <t>160200280651</t>
  </si>
  <si>
    <t>公园公变</t>
  </si>
  <si>
    <t>160200280652</t>
  </si>
  <si>
    <t>160200280653</t>
  </si>
  <si>
    <t>10kV石城路胥江路公园环网柜</t>
  </si>
  <si>
    <t>160200287992</t>
  </si>
  <si>
    <t>10kV香桂路念佛2号公变</t>
  </si>
  <si>
    <t>160200288015</t>
  </si>
  <si>
    <t>海云村十组公变</t>
  </si>
  <si>
    <t>160200288027</t>
  </si>
  <si>
    <t>10kV虹宾路都江堰市金桥房地产开发有限公司</t>
  </si>
  <si>
    <t>160200288037</t>
  </si>
  <si>
    <t>10kV虹新路电力疗养院家属区#2公用台变</t>
  </si>
  <si>
    <t>160200288102</t>
  </si>
  <si>
    <t>10kV胥桥路高桥B2#1环网柜</t>
  </si>
  <si>
    <t>160200288104</t>
  </si>
  <si>
    <t>10kV胥桥路灌金路环网柜</t>
  </si>
  <si>
    <t>160200288111</t>
  </si>
  <si>
    <t>10kV蒲街路一街区公建101分支箱</t>
  </si>
  <si>
    <t>160200288112</t>
  </si>
  <si>
    <t>10kV蒲街路一街区公用201环网柜</t>
  </si>
  <si>
    <t>160200288113</t>
  </si>
  <si>
    <t>10kV蒲街路一街区公用202环网柜</t>
  </si>
  <si>
    <t>160200288126</t>
  </si>
  <si>
    <t>10kV胥游路上游北区B01环网柜</t>
  </si>
  <si>
    <t>160200288133</t>
  </si>
  <si>
    <t>10kV虹民路民主A202环网柜1#变压器</t>
  </si>
  <si>
    <t>160200288134</t>
  </si>
  <si>
    <t>10kV虹民路民主A202环网柜6#变压器</t>
  </si>
  <si>
    <t>160200288135</t>
  </si>
  <si>
    <t>10kV虹民路民主A202环网柜7#变压器</t>
  </si>
  <si>
    <t>160200288142</t>
  </si>
  <si>
    <t>10kV胥游路上游北区B03环网柜</t>
  </si>
  <si>
    <t>160200288143</t>
  </si>
  <si>
    <t>10kV胥游路上游北区B02环网柜</t>
  </si>
  <si>
    <t>160200288163</t>
  </si>
  <si>
    <t>10kV虹民路民主A602环网柜5#变压器</t>
  </si>
  <si>
    <t>160200288182</t>
  </si>
  <si>
    <t>10kV虹永路兴堰丽景A01环网柜1#变压器</t>
  </si>
  <si>
    <t>160200288183</t>
  </si>
  <si>
    <t>10kV虹永路兴堰丽景A01环网柜2#变压器</t>
  </si>
  <si>
    <t>160200288184</t>
  </si>
  <si>
    <t>10kV虹永路兴堰丽景A01环网柜3#变压器</t>
  </si>
  <si>
    <t>160200288185</t>
  </si>
  <si>
    <t>10kV虹永路兴堰丽景A01环网柜4#变压器</t>
  </si>
  <si>
    <t>160200288186</t>
  </si>
  <si>
    <t>10kV虹永路兴堰丽景A02环网柜6#变压器</t>
  </si>
  <si>
    <t>160200288187</t>
  </si>
  <si>
    <t>10kV虹永路兴堰丽景A02环网柜5#变压器</t>
  </si>
  <si>
    <t>160200288225</t>
  </si>
  <si>
    <t>10kV蒲街路一街区公用#2环网柜#2箱变</t>
  </si>
  <si>
    <t>160200288241</t>
  </si>
  <si>
    <t>10kV胥游路高桥B502环网柜</t>
  </si>
  <si>
    <t>160200288254</t>
  </si>
  <si>
    <t>10kV胥游路上游南区N05环网柜</t>
  </si>
  <si>
    <t>160200288283</t>
  </si>
  <si>
    <t>莲花南路公变</t>
  </si>
  <si>
    <t>160200288291</t>
  </si>
  <si>
    <t>10kV虹新路电力疗养院家属区#1公用台变</t>
  </si>
  <si>
    <t>160200288295</t>
  </si>
  <si>
    <t>幸福村一组公变</t>
  </si>
  <si>
    <t>160200288305</t>
  </si>
  <si>
    <t>10kV胥尚路一街区306分支箱十四号变压器</t>
  </si>
  <si>
    <t>160200288400</t>
  </si>
  <si>
    <t>10kV香济路新兴龙怀十二组公变</t>
  </si>
  <si>
    <t>160200288402</t>
  </si>
  <si>
    <t>10kV香济路丹景山镇金华寺公变</t>
  </si>
  <si>
    <t>160200288418</t>
  </si>
  <si>
    <t>10kV香隆路隆丰镇大宝村二组一号公变</t>
  </si>
  <si>
    <t>160200288433</t>
  </si>
  <si>
    <t>10kV小君路新兴镇君山村公变</t>
  </si>
  <si>
    <t>160200288442</t>
  </si>
  <si>
    <t>10kV青大路安龙镇蒲津社区3组蒲津1#公变</t>
  </si>
  <si>
    <t>160200288501</t>
  </si>
  <si>
    <t>茶坪5组安置点公变</t>
  </si>
  <si>
    <t>160200288524</t>
  </si>
  <si>
    <t>10kV胥天路上游二期环网柜2#公变</t>
  </si>
  <si>
    <t>160200288525</t>
  </si>
  <si>
    <t>10kV胥天路上游二期环网柜3#公变</t>
  </si>
  <si>
    <t>160200288526</t>
  </si>
  <si>
    <t>10kV胥天路上游二期环网柜1#公变</t>
  </si>
  <si>
    <t>160200288544</t>
  </si>
  <si>
    <t>10kV灌煤路海虹新村3号配变</t>
  </si>
  <si>
    <t>160200288584</t>
  </si>
  <si>
    <t>安龙镇成青社区三组金沙一号公变</t>
  </si>
  <si>
    <t>160200288587</t>
  </si>
  <si>
    <t>接龙1号公变</t>
  </si>
  <si>
    <t>160200288593</t>
  </si>
  <si>
    <t>10kV胥镇一路胥家镇正林村正林三组公变</t>
  </si>
  <si>
    <t>160200288594</t>
  </si>
  <si>
    <t>10kV蒲驾路驾虹乡实践村六组公变</t>
  </si>
  <si>
    <t>160200288616</t>
  </si>
  <si>
    <t>10kV蒲桂路桂花镇双红村二号公变</t>
  </si>
  <si>
    <t>160200288643</t>
  </si>
  <si>
    <t>新鑫粮贸公变</t>
  </si>
  <si>
    <t>160200288653</t>
  </si>
  <si>
    <t>黄鹤村三组配变</t>
  </si>
  <si>
    <t>160200288694</t>
  </si>
  <si>
    <t>10kV崇双路崇义镇崇义村一组公变</t>
  </si>
  <si>
    <t>160200288708</t>
  </si>
  <si>
    <t>10kV胥镇一路胥家镇大林村七组一号公变</t>
  </si>
  <si>
    <t>160200288709</t>
  </si>
  <si>
    <t>10kV胥镇一路胥家镇大林村大林七组二号公变</t>
  </si>
  <si>
    <t>160200288717</t>
  </si>
  <si>
    <t>10kV唐大路石佛一组公变</t>
  </si>
  <si>
    <t>160200288741</t>
  </si>
  <si>
    <t>10kV青泰路青城山镇桃花村公变</t>
  </si>
  <si>
    <t>160200288777</t>
  </si>
  <si>
    <t>10kV青泰路青城山镇青城村公变</t>
  </si>
  <si>
    <t>160200288781</t>
  </si>
  <si>
    <t>10kV崇双路崇义镇飞桥村6组公变</t>
  </si>
  <si>
    <t>160200293481</t>
  </si>
  <si>
    <t>10kV胥灵路蒲阳路交行都江堰支行配变</t>
  </si>
  <si>
    <t>160200294494</t>
  </si>
  <si>
    <t>组合互感器（9台）</t>
  </si>
  <si>
    <t>160200294495</t>
  </si>
  <si>
    <t>隔离开关（60只）</t>
  </si>
  <si>
    <t>160200294496</t>
  </si>
  <si>
    <t>避雷器（60只）</t>
  </si>
  <si>
    <t>160200296819</t>
  </si>
  <si>
    <t>避雷器（150台）</t>
  </si>
  <si>
    <t>160200296820</t>
  </si>
  <si>
    <t>隔离开关（50台）</t>
  </si>
  <si>
    <t>160200299982</t>
  </si>
  <si>
    <t>荟文苑</t>
  </si>
  <si>
    <t>160200300004</t>
  </si>
  <si>
    <t>10kV灌向路石碑岗安置点2号</t>
  </si>
  <si>
    <t>160200302968</t>
  </si>
  <si>
    <t>10kV青上路中兴镇三溪村五组公变</t>
  </si>
  <si>
    <t>160200303414</t>
  </si>
  <si>
    <t>10kV青石路大乐3号公变</t>
  </si>
  <si>
    <t>160200303415</t>
  </si>
  <si>
    <t>160200303420</t>
  </si>
  <si>
    <t>10kV青大路红梅3组公变</t>
  </si>
  <si>
    <t>160200308617</t>
  </si>
  <si>
    <t>10kV磁新路磁峰镇庙坪村七组三号公变</t>
  </si>
  <si>
    <t>160200308795</t>
  </si>
  <si>
    <t>石羊镇宁静村10组公变(15农升级)</t>
  </si>
  <si>
    <t>160200308796</t>
  </si>
  <si>
    <t>翠月湖镇新建三组公变(15农升级)</t>
  </si>
  <si>
    <t>160200308797</t>
  </si>
  <si>
    <t>翠月湖镇新桥村15组公变(15农升级)</t>
  </si>
  <si>
    <t>160200308798</t>
  </si>
  <si>
    <t>青城山镇香花四号公变(15农升级)</t>
  </si>
  <si>
    <t>160200308799</t>
  </si>
  <si>
    <t>柳街镇凤安村一组公变(15农升级)</t>
  </si>
  <si>
    <t>160200308800</t>
  </si>
  <si>
    <t>大观镇双胜4组公变(15农升级)</t>
  </si>
  <si>
    <t>160200308801</t>
  </si>
  <si>
    <t>街子镇新区五号公变(15农升级)</t>
  </si>
  <si>
    <t>160200308802</t>
  </si>
  <si>
    <t>街子镇新区六号公变(15农升级)</t>
  </si>
  <si>
    <t>160200308803</t>
  </si>
  <si>
    <t>大观镇园林4组公变(15农升级)</t>
  </si>
  <si>
    <t>160200308804</t>
  </si>
  <si>
    <t>青城山镇双磨一号公变(15农升级)</t>
  </si>
  <si>
    <t>160200308805</t>
  </si>
  <si>
    <t>青城山镇尖峰3组公变(15农升级)</t>
  </si>
  <si>
    <t>160200308806</t>
  </si>
  <si>
    <t>新兴镇龙怀村九组公变(15农升级)</t>
  </si>
  <si>
    <t>160200308807</t>
  </si>
  <si>
    <t>大观镇盐井2号公变(15农升级)</t>
  </si>
  <si>
    <t>160200308808</t>
  </si>
  <si>
    <t>中兴镇梓桐五六组公变(15农升级)</t>
  </si>
  <si>
    <t>160200308809</t>
  </si>
  <si>
    <t>中兴镇三溪五组公变(15农升级)</t>
  </si>
  <si>
    <t>160200308810</t>
  </si>
  <si>
    <t>大观镇宿仙村一号公变(15农升级)</t>
  </si>
  <si>
    <t>160200308811</t>
  </si>
  <si>
    <t>安龙镇柳顺村八组公变(15农升级)</t>
  </si>
  <si>
    <t>160200308812</t>
  </si>
  <si>
    <t>柳街镇接龙四组公变(15农升级)</t>
  </si>
  <si>
    <t>160200308813</t>
  </si>
  <si>
    <t>大观镇麻岩2#公变麻岩四号公变(15农升级)</t>
  </si>
  <si>
    <t>160200308814</t>
  </si>
  <si>
    <t>紫坪铺镇白鹤三组公变(15农升级)</t>
  </si>
  <si>
    <t>160200308815</t>
  </si>
  <si>
    <t>青城山镇尖峰4组公变(15农升级)</t>
  </si>
  <si>
    <t>160200308816</t>
  </si>
  <si>
    <t>10kV青泰路青城山镇尖峰二号公变(15农升级)</t>
  </si>
  <si>
    <t>160200308817</t>
  </si>
  <si>
    <t>10kV青泰路青城山镇尖峰一号公变(15农升级)</t>
  </si>
  <si>
    <t>160200308818</t>
  </si>
  <si>
    <t>大观镇新农2组公变(15农升级)</t>
  </si>
  <si>
    <t>160200308819</t>
  </si>
  <si>
    <t>10kV唐大路街子镇中和九组公变(15农升级)</t>
  </si>
  <si>
    <t>160200312533</t>
  </si>
  <si>
    <t>10kV城奎路工商学院环网柜</t>
  </si>
  <si>
    <t>160200312534</t>
  </si>
  <si>
    <t>抢修备用配电变压器</t>
  </si>
  <si>
    <t>160200312535</t>
  </si>
  <si>
    <t>160200312536</t>
  </si>
  <si>
    <t>160200312537</t>
  </si>
  <si>
    <t>160200312538</t>
  </si>
  <si>
    <t>160200312539</t>
  </si>
  <si>
    <t>160200312540</t>
  </si>
  <si>
    <t>160200312541</t>
  </si>
  <si>
    <t>160200312542</t>
  </si>
  <si>
    <t>160200312543</t>
  </si>
  <si>
    <t>160200312544</t>
  </si>
  <si>
    <t>160200312545</t>
  </si>
  <si>
    <t>160200312546</t>
  </si>
  <si>
    <t>160200312547</t>
  </si>
  <si>
    <t>160200312548</t>
  </si>
  <si>
    <t>160200312549</t>
  </si>
  <si>
    <t>160200312550</t>
  </si>
  <si>
    <t>160200312551</t>
  </si>
  <si>
    <t>160200312552</t>
  </si>
  <si>
    <t>160200312553</t>
  </si>
  <si>
    <t>160200312554</t>
  </si>
  <si>
    <t>6KV母线PT柜</t>
  </si>
  <si>
    <t>160200312555</t>
  </si>
  <si>
    <t>主变6KV侧601开关柜</t>
  </si>
  <si>
    <t>160200312556</t>
  </si>
  <si>
    <t>主变10KV侧902开关柜</t>
  </si>
  <si>
    <t>160200312557</t>
  </si>
  <si>
    <t>10KV母线PT柜</t>
  </si>
  <si>
    <t>160200312558</t>
  </si>
  <si>
    <t>6KV厂变柜</t>
  </si>
  <si>
    <t>160200312559</t>
  </si>
  <si>
    <t>发电机开关柜1</t>
  </si>
  <si>
    <t>160200312560</t>
  </si>
  <si>
    <t>发电机开关柜2</t>
  </si>
  <si>
    <t>160200312561</t>
  </si>
  <si>
    <t>发电机开关柜3</t>
  </si>
  <si>
    <t>160200312562</t>
  </si>
  <si>
    <t>160200312563</t>
  </si>
  <si>
    <t>160200312564</t>
  </si>
  <si>
    <t>160200312565</t>
  </si>
  <si>
    <t>160200312566</t>
  </si>
  <si>
    <t>160200312567</t>
  </si>
  <si>
    <t>160200312568</t>
  </si>
  <si>
    <t>160200312569</t>
  </si>
  <si>
    <t>160200312570</t>
  </si>
  <si>
    <t>611高压开关柜</t>
  </si>
  <si>
    <t>160200312571</t>
  </si>
  <si>
    <t>612高压开关柜</t>
  </si>
  <si>
    <t>160200312572</t>
  </si>
  <si>
    <t>613高压开关柜</t>
  </si>
  <si>
    <t>160200312573</t>
  </si>
  <si>
    <t>601高压开关柜</t>
  </si>
  <si>
    <t>160200312574</t>
  </si>
  <si>
    <t>902高压开关柜</t>
  </si>
  <si>
    <t>160200312575</t>
  </si>
  <si>
    <t>6KVPT高压开关柜</t>
  </si>
  <si>
    <t>160200312576</t>
  </si>
  <si>
    <t>10KVPT高压开关柜</t>
  </si>
  <si>
    <t>160200312577</t>
  </si>
  <si>
    <t>6016高压开关柜</t>
  </si>
  <si>
    <t>160200312578</t>
  </si>
  <si>
    <t>9022高压开关柜</t>
  </si>
  <si>
    <t>160200312579</t>
  </si>
  <si>
    <t>直流系统模块</t>
  </si>
  <si>
    <t>160200312580</t>
  </si>
  <si>
    <t>蓄电池</t>
  </si>
  <si>
    <t>160200312581</t>
  </si>
  <si>
    <t>10kV城胥路翔凤路环网柜</t>
  </si>
  <si>
    <t>160200312582</t>
  </si>
  <si>
    <t>10kV城胥路城胥路.金铁一路勤俭人家环网柜</t>
  </si>
  <si>
    <t>160200312583</t>
  </si>
  <si>
    <t>10kV城奎路.城西路堰南环网柜</t>
  </si>
  <si>
    <t>160200312584</t>
  </si>
  <si>
    <t>10kV城西路翔凤路口北环网</t>
  </si>
  <si>
    <t>160200312585</t>
  </si>
  <si>
    <t>10kV城西路翔凤路口南环网柜</t>
  </si>
  <si>
    <t>160200312586</t>
  </si>
  <si>
    <t>10kV城观路和谐家园一号分支箱</t>
  </si>
  <si>
    <t>160200312587</t>
  </si>
  <si>
    <t>10kV城奎路水乡人家分支箱</t>
  </si>
  <si>
    <t>160200312588</t>
  </si>
  <si>
    <t>10kV城西路美丽州分支箱</t>
  </si>
  <si>
    <t>160200312589</t>
  </si>
  <si>
    <t>10kV城西路中城网络分支箱</t>
  </si>
  <si>
    <t>160200312590</t>
  </si>
  <si>
    <t>10kV城西路金桥路口分支箱</t>
  </si>
  <si>
    <t>160200312591</t>
  </si>
  <si>
    <t>10kV城西路馨洲苑分支箱</t>
  </si>
  <si>
    <t>160200312592</t>
  </si>
  <si>
    <t>10kV城西路阳光新华分支箱</t>
  </si>
  <si>
    <t>160200312593</t>
  </si>
  <si>
    <t>10kV城中路康欣园分支箱</t>
  </si>
  <si>
    <t>160200312594</t>
  </si>
  <si>
    <t>10kV城观路和谐家园二号分支箱</t>
  </si>
  <si>
    <t>160200312595</t>
  </si>
  <si>
    <t>160200312596</t>
  </si>
  <si>
    <t>160200312597</t>
  </si>
  <si>
    <t>160200312598</t>
  </si>
  <si>
    <t>160200312599</t>
  </si>
  <si>
    <t>160200312600</t>
  </si>
  <si>
    <t>160200312601</t>
  </si>
  <si>
    <t>160200312602</t>
  </si>
  <si>
    <t>160200312603</t>
  </si>
  <si>
    <t>160200312604</t>
  </si>
  <si>
    <t>160200312605</t>
  </si>
  <si>
    <t>160200312606</t>
  </si>
  <si>
    <t>160200312607</t>
  </si>
  <si>
    <t>160200312608</t>
  </si>
  <si>
    <t>160200312609</t>
  </si>
  <si>
    <t>160200312610</t>
  </si>
  <si>
    <t>160200312611</t>
  </si>
  <si>
    <t>160200312612</t>
  </si>
  <si>
    <t>160200312613</t>
  </si>
  <si>
    <t>160200312614</t>
  </si>
  <si>
    <t>160200312615</t>
  </si>
  <si>
    <t>10KV柳江路柳街支路3#开关</t>
  </si>
  <si>
    <t>160200312616</t>
  </si>
  <si>
    <t>10KV青石路东义支路1#杆开关</t>
  </si>
  <si>
    <t>160200312617</t>
  </si>
  <si>
    <t>10KV青大路安龙支路103#杆开关</t>
  </si>
  <si>
    <t>160200312618</t>
  </si>
  <si>
    <t>10KV青泰路132#杆速达支路开关</t>
  </si>
  <si>
    <t>160200312619</t>
  </si>
  <si>
    <t>10KV青西路金色阳光2#杆开关</t>
  </si>
  <si>
    <t>160200312620</t>
  </si>
  <si>
    <t>10KV西红路53#马祖支路开关</t>
  </si>
  <si>
    <t>160200312621</t>
  </si>
  <si>
    <t>10KV西恒路70#徐电支路开关</t>
  </si>
  <si>
    <t>160200312622</t>
  </si>
  <si>
    <t>10KV金府路民寿支路3#杆开关</t>
  </si>
  <si>
    <t>160200312623</t>
  </si>
  <si>
    <t>10KV青王路两河支路开关</t>
  </si>
  <si>
    <t>160200312624</t>
  </si>
  <si>
    <t>10KV青中路东兴支路开关</t>
  </si>
  <si>
    <t>160200312625</t>
  </si>
  <si>
    <t>10kV灌煤路花龙支路4#开关</t>
  </si>
  <si>
    <t>160200312626</t>
  </si>
  <si>
    <t>10kV灌煤路赵家沟支路6#开关</t>
  </si>
  <si>
    <t>160200312627</t>
  </si>
  <si>
    <t>10kV灌煤路月耳支路54#杆开关</t>
  </si>
  <si>
    <t>160200312628</t>
  </si>
  <si>
    <t>10kV灌向路海虹支路10#杆开关</t>
  </si>
  <si>
    <t>160200312629</t>
  </si>
  <si>
    <t>10kV小君路董坪支路1#杆开关</t>
  </si>
  <si>
    <t>160200312630</t>
  </si>
  <si>
    <t>10kV小湾路59#杆（滴水岩支路）开关</t>
  </si>
  <si>
    <t>160200312631</t>
  </si>
  <si>
    <t>10kV香桂路高峰支路3#杆开关</t>
  </si>
  <si>
    <t>160200312632</t>
  </si>
  <si>
    <t>10kV香桂路一龙支路开关</t>
  </si>
  <si>
    <t>160200312633</t>
  </si>
  <si>
    <t>10kV香济路新花支路33#杆开关</t>
  </si>
  <si>
    <t>160200312634</t>
  </si>
  <si>
    <t>10kV香济路山尖支路开关</t>
  </si>
  <si>
    <t>160200312635</t>
  </si>
  <si>
    <t>向荣村四组曾家院子公变</t>
  </si>
  <si>
    <t>160200312636</t>
  </si>
  <si>
    <t>向荣村六组肖家院子公变</t>
  </si>
  <si>
    <t>160200312637</t>
  </si>
  <si>
    <t>二郎村四组安置点公变</t>
  </si>
  <si>
    <t>160200312638</t>
  </si>
  <si>
    <t>金陵村五组安置点公变</t>
  </si>
  <si>
    <t>160200312639</t>
  </si>
  <si>
    <t>金陵村七组安置点二公变</t>
  </si>
  <si>
    <t>160200312640</t>
  </si>
  <si>
    <t>金陵村八组安置点三公变</t>
  </si>
  <si>
    <t>160200312641</t>
  </si>
  <si>
    <t>10kV崇天路金陵十组公变</t>
  </si>
  <si>
    <t>160200312642</t>
  </si>
  <si>
    <t>金陵村十一组小筑区公变</t>
  </si>
  <si>
    <t>160200312643</t>
  </si>
  <si>
    <t>金陵村十二组金盆花园公变</t>
  </si>
  <si>
    <t>160200312644</t>
  </si>
  <si>
    <t>金华村二组夏家大园公变</t>
  </si>
  <si>
    <t>160200312645</t>
  </si>
  <si>
    <t>金华村三组安置点一公变</t>
  </si>
  <si>
    <t>160200312646</t>
  </si>
  <si>
    <t>金华村四组安置点二公变</t>
  </si>
  <si>
    <t>160200312647</t>
  </si>
  <si>
    <t>金华村五.六组安置点三公变</t>
  </si>
  <si>
    <t>160200312648</t>
  </si>
  <si>
    <t>金华村七.八组安置点四公变</t>
  </si>
  <si>
    <t>160200312649</t>
  </si>
  <si>
    <t>金华村九.十组安置点五公变</t>
  </si>
  <si>
    <t>160200312650</t>
  </si>
  <si>
    <t>金华村十三组张家院子公变</t>
  </si>
  <si>
    <t>160200312651</t>
  </si>
  <si>
    <t>禹王村一组砖厂公变</t>
  </si>
  <si>
    <t>160200312652</t>
  </si>
  <si>
    <t>禹王村七组伍家公变</t>
  </si>
  <si>
    <t>160200312653</t>
  </si>
  <si>
    <t>禹王村九.十组鱼塘公变</t>
  </si>
  <si>
    <t>160200312654</t>
  </si>
  <si>
    <t>建华村八组高基聚居点公变</t>
  </si>
  <si>
    <t>160200312655</t>
  </si>
  <si>
    <t>建华村十组高基中心村公变</t>
  </si>
  <si>
    <t>160200312656</t>
  </si>
  <si>
    <t>金玉村九组焦家大院公变</t>
  </si>
  <si>
    <t>160200312657</t>
  </si>
  <si>
    <t>金玉村五.六组岳家大院公变</t>
  </si>
  <si>
    <t>160200312658</t>
  </si>
  <si>
    <t>绿凤村一组安置点一公变</t>
  </si>
  <si>
    <t>160200312659</t>
  </si>
  <si>
    <t>泰安9组李家坪公变</t>
  </si>
  <si>
    <t>160200312660</t>
  </si>
  <si>
    <t>沙坪村2组锅底沱公变</t>
  </si>
  <si>
    <t>160200312661</t>
  </si>
  <si>
    <t>味江村12、13组圣母洞1#公变</t>
  </si>
  <si>
    <t>160200312662</t>
  </si>
  <si>
    <t>味江村12、13组圣母洞2#公变</t>
  </si>
  <si>
    <t>160200312663</t>
  </si>
  <si>
    <t>五里村七组黄包沟公变</t>
  </si>
  <si>
    <t>160200312664</t>
  </si>
  <si>
    <t>泰安6组银杏坪公变</t>
  </si>
  <si>
    <t>160200312665</t>
  </si>
  <si>
    <t>泰安村2组公变</t>
  </si>
  <si>
    <t>160200312666</t>
  </si>
  <si>
    <t>泰安村3组1#公变</t>
  </si>
  <si>
    <t>160200312667</t>
  </si>
  <si>
    <t>泰安村3组2#公变</t>
  </si>
  <si>
    <t>160200312668</t>
  </si>
  <si>
    <t>尖峰村马家沟公变</t>
  </si>
  <si>
    <t>160200312669</t>
  </si>
  <si>
    <t>沙坪村4组簸箕凼公变</t>
  </si>
  <si>
    <t>160200312670</t>
  </si>
  <si>
    <t>沙坪村七组大水井公变</t>
  </si>
  <si>
    <t>160200312671</t>
  </si>
  <si>
    <t>五里村五组段家坝公变</t>
  </si>
  <si>
    <t>160200312672</t>
  </si>
  <si>
    <t>清田村1组公变</t>
  </si>
  <si>
    <t>160200312673</t>
  </si>
  <si>
    <t>清田村2组公变</t>
  </si>
  <si>
    <t>160200312674</t>
  </si>
  <si>
    <t>清田村6组公变</t>
  </si>
  <si>
    <t>160200312675</t>
  </si>
  <si>
    <t>清田村7组公变</t>
  </si>
  <si>
    <t>160200312676</t>
  </si>
  <si>
    <t>杨柳坪安置点公变</t>
  </si>
  <si>
    <t>160200312677</t>
  </si>
  <si>
    <t>望江村11组安置点公变</t>
  </si>
  <si>
    <t>160200312678</t>
  </si>
  <si>
    <t>沙湾村2、7、8组安置点公变</t>
  </si>
  <si>
    <t>160200312679</t>
  </si>
  <si>
    <t>都江社区1组公变</t>
  </si>
  <si>
    <t>160200312680</t>
  </si>
  <si>
    <t>都江社区5组公变</t>
  </si>
  <si>
    <t>160200312681</t>
  </si>
  <si>
    <t>都江社区7组公变</t>
  </si>
  <si>
    <t>160200312682</t>
  </si>
  <si>
    <t>望江村10组安置点公变</t>
  </si>
  <si>
    <t>160200312683</t>
  </si>
  <si>
    <t>南岳2组安置点公变</t>
  </si>
  <si>
    <t>160200312684</t>
  </si>
  <si>
    <t>南岳4组安置点公变</t>
  </si>
  <si>
    <t>160200312685</t>
  </si>
  <si>
    <t>茶坪村安置点公变</t>
  </si>
  <si>
    <t>160200312686</t>
  </si>
  <si>
    <t>五桂五组公变</t>
  </si>
  <si>
    <t>160200312687</t>
  </si>
  <si>
    <t>五桂六组公变</t>
  </si>
  <si>
    <t>160200312688</t>
  </si>
  <si>
    <t>清江村五组公变</t>
  </si>
  <si>
    <t>160200312689</t>
  </si>
  <si>
    <t>清江村八组公变</t>
  </si>
  <si>
    <t>160200312690</t>
  </si>
  <si>
    <t>永益八组公变</t>
  </si>
  <si>
    <t>160200312691</t>
  </si>
  <si>
    <t>永益四组公变</t>
  </si>
  <si>
    <t>160200312692</t>
  </si>
  <si>
    <t>民兴宋家巷子公变</t>
  </si>
  <si>
    <t>160200312693</t>
  </si>
  <si>
    <t>民兴村8组公变</t>
  </si>
  <si>
    <t>160200312694</t>
  </si>
  <si>
    <t>金羊3组公变</t>
  </si>
  <si>
    <t>160200312695</t>
  </si>
  <si>
    <t>金羊5组公变</t>
  </si>
  <si>
    <t>160200312696</t>
  </si>
  <si>
    <t>金羊13组公变</t>
  </si>
  <si>
    <t>160200312697</t>
  </si>
  <si>
    <t>丰乐13组公变</t>
  </si>
  <si>
    <t>160200312698</t>
  </si>
  <si>
    <t>丰乐7组公变</t>
  </si>
  <si>
    <t>160200312699</t>
  </si>
  <si>
    <t>丰乐15组公变</t>
  </si>
  <si>
    <t>160200312700</t>
  </si>
  <si>
    <t>丰乐17组公变</t>
  </si>
  <si>
    <t>160200312701</t>
  </si>
  <si>
    <t>徐渡1组公变</t>
  </si>
  <si>
    <t>160200312702</t>
  </si>
  <si>
    <t>徐渡2组公变</t>
  </si>
  <si>
    <t>160200312703</t>
  </si>
  <si>
    <t>徐渡11、13组公变</t>
  </si>
  <si>
    <t>160200312704</t>
  </si>
  <si>
    <t>天平7组公变</t>
  </si>
  <si>
    <t>160200312705</t>
  </si>
  <si>
    <t>风堆村安置点公变</t>
  </si>
  <si>
    <t>160200312706</t>
  </si>
  <si>
    <t>卫星村公变</t>
  </si>
  <si>
    <t>160200312707</t>
  </si>
  <si>
    <t>银杏4#安置点公变</t>
  </si>
  <si>
    <t>160200312708</t>
  </si>
  <si>
    <t>双凤、鹤鸣村公变</t>
  </si>
  <si>
    <t>160200312709</t>
  </si>
  <si>
    <t>泉水土地整理1#公变</t>
  </si>
  <si>
    <t>160200312710</t>
  </si>
  <si>
    <t>泉水土地整理配2#公变</t>
  </si>
  <si>
    <t>160200312711</t>
  </si>
  <si>
    <t>五龙土地整理公变（一）</t>
  </si>
  <si>
    <t>160200312712</t>
  </si>
  <si>
    <t>五龙土地整理公变（二）</t>
  </si>
  <si>
    <t>160200312713</t>
  </si>
  <si>
    <t>160200312714</t>
  </si>
  <si>
    <t>何家6、7组安置点公变</t>
  </si>
  <si>
    <t>160200312715</t>
  </si>
  <si>
    <t>东义1组安置点配变</t>
  </si>
  <si>
    <t>160200312716</t>
  </si>
  <si>
    <t>东义6组安置点配变</t>
  </si>
  <si>
    <t>160200312717</t>
  </si>
  <si>
    <t>东义15组安置点配变</t>
  </si>
  <si>
    <t>160200312718</t>
  </si>
  <si>
    <t>成青社区12组安置点配变</t>
  </si>
  <si>
    <t>160200312719</t>
  </si>
  <si>
    <t>成青社区15组安置点配变</t>
  </si>
  <si>
    <t>160200312720</t>
  </si>
  <si>
    <t>龙凤村财神古镇配变</t>
  </si>
  <si>
    <t>160200312721</t>
  </si>
  <si>
    <t>虹口村8组瓦子坪安置点配变</t>
  </si>
  <si>
    <t>160200312722</t>
  </si>
  <si>
    <t>联合村4组香樟坪安置点配变</t>
  </si>
  <si>
    <t>160200312723</t>
  </si>
  <si>
    <t>永兴四组配变</t>
  </si>
  <si>
    <t>160200312724</t>
  </si>
  <si>
    <t>银杏3#安置点配变</t>
  </si>
  <si>
    <t>160200312725</t>
  </si>
  <si>
    <t>银杏5#安置点配变</t>
  </si>
  <si>
    <t>160200312726</t>
  </si>
  <si>
    <t>灵岩九组安置点配变</t>
  </si>
  <si>
    <t>160200312727</t>
  </si>
  <si>
    <t>万岭五组红烟煤配变</t>
  </si>
  <si>
    <t>160200312728</t>
  </si>
  <si>
    <t>万岭五组庙子坪配变</t>
  </si>
  <si>
    <t>160200312729</t>
  </si>
  <si>
    <t>水泉7组中华财神第一村公变</t>
  </si>
  <si>
    <t>160200312730</t>
  </si>
  <si>
    <t>实新村10组1#公变</t>
  </si>
  <si>
    <t>160200312731</t>
  </si>
  <si>
    <t>实新村10组2#公变</t>
  </si>
  <si>
    <t>160200312732</t>
  </si>
  <si>
    <t>实新村4组公变</t>
  </si>
  <si>
    <t>160200312733</t>
  </si>
  <si>
    <t>水泉8组公变</t>
  </si>
  <si>
    <t>160200312734</t>
  </si>
  <si>
    <t>崇义镇江村公变</t>
  </si>
  <si>
    <t>160200312735</t>
  </si>
  <si>
    <t>柳街镇辛乐二组公变</t>
  </si>
  <si>
    <t>160200312736</t>
  </si>
  <si>
    <t>岷江村四组2#公变</t>
  </si>
  <si>
    <t>160200312737</t>
  </si>
  <si>
    <t>新兴镇石梯村2#公变</t>
  </si>
  <si>
    <t>160200312738</t>
  </si>
  <si>
    <t>大观园8号公变</t>
  </si>
  <si>
    <t>160200312739</t>
  </si>
  <si>
    <t>五里6组公变</t>
  </si>
  <si>
    <t>160200312740</t>
  </si>
  <si>
    <t>青城山镇太平场镇7#公变</t>
  </si>
  <si>
    <t>160200312741</t>
  </si>
  <si>
    <t>青城山镇太平场镇8#公变</t>
  </si>
  <si>
    <t>160200312742</t>
  </si>
  <si>
    <t>青城山镇五里七组公变</t>
  </si>
  <si>
    <t>160200312743</t>
  </si>
  <si>
    <t>崇义镇红源村公变</t>
  </si>
  <si>
    <t>160200312744</t>
  </si>
  <si>
    <t>聚源镇龙泉村公变</t>
  </si>
  <si>
    <t>160200312745</t>
  </si>
  <si>
    <t>崇义镇祁原村公变</t>
  </si>
  <si>
    <t>160200312746</t>
  </si>
  <si>
    <t>紫坪铺新增友谊6组公变</t>
  </si>
  <si>
    <t>160200312747</t>
  </si>
  <si>
    <t>紫坪铺白沙场镇公变</t>
  </si>
  <si>
    <t>160200312748</t>
  </si>
  <si>
    <t>深溪1号公变</t>
  </si>
  <si>
    <t>160200312749</t>
  </si>
  <si>
    <t>10kV白虹路光荣村六七组公变</t>
  </si>
  <si>
    <t>160200312750</t>
  </si>
  <si>
    <t>紫坪铺虹口7组公变</t>
  </si>
  <si>
    <t>160200312751</t>
  </si>
  <si>
    <t>紫坪铺白鹤1组公变</t>
  </si>
  <si>
    <t>160200312752</t>
  </si>
  <si>
    <t>紫坪铺白鹤2组公变</t>
  </si>
  <si>
    <t>160200312753</t>
  </si>
  <si>
    <t>久红2号公变</t>
  </si>
  <si>
    <t>160200312754</t>
  </si>
  <si>
    <t>红色2号公变</t>
  </si>
  <si>
    <t>160200312755</t>
  </si>
  <si>
    <t>安龙镇大乐3#公变</t>
  </si>
  <si>
    <t>160200312756</t>
  </si>
  <si>
    <t>安龙镇东义村新增公变</t>
  </si>
  <si>
    <t>160200312757</t>
  </si>
  <si>
    <t>安龙镇东义村2#公变</t>
  </si>
  <si>
    <t>160200312758</t>
  </si>
  <si>
    <t>10kV西红路八角1号公变</t>
  </si>
  <si>
    <t>160200312759</t>
  </si>
  <si>
    <t>10kV西红路马祖4号公变</t>
  </si>
  <si>
    <t>160200312760</t>
  </si>
  <si>
    <t>石羊镇楠木村1#公变</t>
  </si>
  <si>
    <t>160200312761</t>
  </si>
  <si>
    <t>石羊镇广益村1#公变</t>
  </si>
  <si>
    <t>160200312762</t>
  </si>
  <si>
    <t>10kV西红路徐渡2组安置点公变</t>
  </si>
  <si>
    <t>160200312763</t>
  </si>
  <si>
    <t>10kV西红路徐渡村1号安置点公变</t>
  </si>
  <si>
    <t>160200312764</t>
  </si>
  <si>
    <t>10kV西太路石羊镇皂角村八组公变</t>
  </si>
  <si>
    <t>160200312765</t>
  </si>
  <si>
    <t>10kV西徐路皂角村1号公变</t>
  </si>
  <si>
    <t>160200312766</t>
  </si>
  <si>
    <t>10kV柳洪路红雄安置点公变</t>
  </si>
  <si>
    <t>160200312767</t>
  </si>
  <si>
    <t>柳街镇四角1#公变</t>
  </si>
  <si>
    <t>160200312768</t>
  </si>
  <si>
    <t>柳街镇东风1#公变</t>
  </si>
  <si>
    <t>160200312769</t>
  </si>
  <si>
    <t>柳街镇东风2#公变</t>
  </si>
  <si>
    <t>160200312770</t>
  </si>
  <si>
    <t>柳街镇铜池1#公变</t>
  </si>
  <si>
    <t>160200312771</t>
  </si>
  <si>
    <t>安龙场镇西大街公变</t>
  </si>
  <si>
    <t>160200312772</t>
  </si>
  <si>
    <t>柳街镇吉乐1#公变</t>
  </si>
  <si>
    <t>160200312773</t>
  </si>
  <si>
    <t>柳街场镇2#公变</t>
  </si>
  <si>
    <t>160200312774</t>
  </si>
  <si>
    <t>七里村1号公变</t>
  </si>
  <si>
    <t>160200312775</t>
  </si>
  <si>
    <t>七里村2号公变</t>
  </si>
  <si>
    <t>160200312776</t>
  </si>
  <si>
    <t>柳街镇双凤5组公变</t>
  </si>
  <si>
    <t>160200312777</t>
  </si>
  <si>
    <t>柳街镇泰安2#公变</t>
  </si>
  <si>
    <t>160200312778</t>
  </si>
  <si>
    <t>柳街镇铜池2#公变</t>
  </si>
  <si>
    <t>160200312779</t>
  </si>
  <si>
    <t>10kV柳洪路红雄村2号公变</t>
  </si>
  <si>
    <t>160200312780</t>
  </si>
  <si>
    <t>10kV柳洪路集祥村1号公变</t>
  </si>
  <si>
    <t>160200312781</t>
  </si>
  <si>
    <t>10kV柳洪路集祥村2号公变</t>
  </si>
  <si>
    <t>160200312782</t>
  </si>
  <si>
    <t>柳街镇金龙村2#公变</t>
  </si>
  <si>
    <t>160200312783</t>
  </si>
  <si>
    <t>柳街镇辛乐村公变</t>
  </si>
  <si>
    <t>160200312784</t>
  </si>
  <si>
    <t>柳街镇三圣1#公变</t>
  </si>
  <si>
    <t>160200312785</t>
  </si>
  <si>
    <t>柳街镇团结村1#公变</t>
  </si>
  <si>
    <t>160200312786</t>
  </si>
  <si>
    <t>导江3组公变</t>
  </si>
  <si>
    <t>160200312787</t>
  </si>
  <si>
    <t>中兴镇永安6组公变</t>
  </si>
  <si>
    <t>160200312788</t>
  </si>
  <si>
    <t>中兴镇永安6组新增公变</t>
  </si>
  <si>
    <t>160200312789</t>
  </si>
  <si>
    <t>何家1号公变</t>
  </si>
  <si>
    <t>160200312790</t>
  </si>
  <si>
    <t>柳街镇三圣2#公变</t>
  </si>
  <si>
    <t>160200312791</t>
  </si>
  <si>
    <t>160200312792</t>
  </si>
  <si>
    <t>柳街镇清义2#公变</t>
  </si>
  <si>
    <t>160200312793</t>
  </si>
  <si>
    <t>10kV柳洪路集祥七组安置点公变</t>
  </si>
  <si>
    <t>160200312794</t>
  </si>
  <si>
    <t>崇义镇吴塘4组公变</t>
  </si>
  <si>
    <t>160200312795</t>
  </si>
  <si>
    <t>10kV城奎路离堆小区1#公变</t>
  </si>
  <si>
    <t>160200312796</t>
  </si>
  <si>
    <t>10kV城中路滨河路公变</t>
  </si>
  <si>
    <t>160200312797</t>
  </si>
  <si>
    <t>西川化肥厂公变</t>
  </si>
  <si>
    <t>160200312798</t>
  </si>
  <si>
    <t>10kV城奎路建五司公变</t>
  </si>
  <si>
    <t>160200312799</t>
  </si>
  <si>
    <t>10kV城奎路天乙街公变</t>
  </si>
  <si>
    <t>160200312800</t>
  </si>
  <si>
    <t>10kV城奎路江安路公变</t>
  </si>
  <si>
    <t>160200312801</t>
  </si>
  <si>
    <t>10kV城西路新华分支箱一号公变</t>
  </si>
  <si>
    <t>160200312802</t>
  </si>
  <si>
    <t>10kV城西路中城网络分支箱一号公变</t>
  </si>
  <si>
    <t>160200312803</t>
  </si>
  <si>
    <t>10kV城西路馨州苑分支箱一号公变</t>
  </si>
  <si>
    <t>160200312804</t>
  </si>
  <si>
    <t>控制箱2</t>
  </si>
  <si>
    <t>160200312805</t>
  </si>
  <si>
    <t>160200312806</t>
  </si>
  <si>
    <t>10kV城奎路水乡人家分支箱一号公变</t>
  </si>
  <si>
    <t>160200312807</t>
  </si>
  <si>
    <t>10kV城奎路405公变</t>
  </si>
  <si>
    <t>160200312808</t>
  </si>
  <si>
    <t>离堆小区2#公变</t>
  </si>
  <si>
    <t>160200312809</t>
  </si>
  <si>
    <t>10kV城西路藏羌新村公变</t>
  </si>
  <si>
    <t>160200312810</t>
  </si>
  <si>
    <t>10kV城西路新华书店公变</t>
  </si>
  <si>
    <t>160200312811</t>
  </si>
  <si>
    <t>10kV城观路中山路1#公变</t>
  </si>
  <si>
    <t>160200312812</t>
  </si>
  <si>
    <t>10kV城奎路江西街公变</t>
  </si>
  <si>
    <t>160200312813</t>
  </si>
  <si>
    <t>10kV城奎路工商学院分支箱一号公变</t>
  </si>
  <si>
    <t>160200312814</t>
  </si>
  <si>
    <t>10kV城奎路塔子坝小区3#公变</t>
  </si>
  <si>
    <t>160200312815</t>
  </si>
  <si>
    <t>10kV城西路美丽洲分支箱一号公变</t>
  </si>
  <si>
    <t>160200312816</t>
  </si>
  <si>
    <t>控制箱1</t>
  </si>
  <si>
    <t>160200312817</t>
  </si>
  <si>
    <t>10kV城奎路三羊公司公变</t>
  </si>
  <si>
    <t>160200312818</t>
  </si>
  <si>
    <t>10kV城西路塔子小区2#公变</t>
  </si>
  <si>
    <t>160200312819</t>
  </si>
  <si>
    <t>10kV城西路金桥路口分支箱一号公变</t>
  </si>
  <si>
    <t>160200312820</t>
  </si>
  <si>
    <t>09生技技改加装真空开关</t>
  </si>
  <si>
    <t>160200374435</t>
  </si>
  <si>
    <t>160200374436</t>
  </si>
  <si>
    <t>避雷器7</t>
  </si>
  <si>
    <t>160200374437</t>
  </si>
  <si>
    <t>避雷器8</t>
  </si>
  <si>
    <t>160200374438</t>
  </si>
  <si>
    <t>避雷器9</t>
  </si>
  <si>
    <t>160200374439</t>
  </si>
  <si>
    <t>避雷器10</t>
  </si>
  <si>
    <t>160200374440</t>
  </si>
  <si>
    <t>避雷器11</t>
  </si>
  <si>
    <t>160200374441</t>
  </si>
  <si>
    <t>避雷器12</t>
  </si>
  <si>
    <t>160200374442</t>
  </si>
  <si>
    <t>避雷器13</t>
  </si>
  <si>
    <t>160200374443</t>
  </si>
  <si>
    <t>避雷器14</t>
  </si>
  <si>
    <t>160200374444</t>
  </si>
  <si>
    <t>避雷器15</t>
  </si>
  <si>
    <t>160200374445</t>
  </si>
  <si>
    <t>避雷器16</t>
  </si>
  <si>
    <t>160200374446</t>
  </si>
  <si>
    <t>避雷器17</t>
  </si>
  <si>
    <t>160200374447</t>
  </si>
  <si>
    <t>避雷器18</t>
  </si>
  <si>
    <t>160200374448</t>
  </si>
  <si>
    <t>避雷器19</t>
  </si>
  <si>
    <t>160200374449</t>
  </si>
  <si>
    <t>避雷器20</t>
  </si>
  <si>
    <t>160200374450</t>
  </si>
  <si>
    <t>避雷器21</t>
  </si>
  <si>
    <t>160200374451</t>
  </si>
  <si>
    <t>避雷器22</t>
  </si>
  <si>
    <t>160200374452</t>
  </si>
  <si>
    <t>避雷器23</t>
  </si>
  <si>
    <t>160200374453</t>
  </si>
  <si>
    <t>避雷器24</t>
  </si>
  <si>
    <t>160200374454</t>
  </si>
  <si>
    <t>避雷器25</t>
  </si>
  <si>
    <t>160200374455</t>
  </si>
  <si>
    <t>避雷器26</t>
  </si>
  <si>
    <t>160200374456</t>
  </si>
  <si>
    <t>避雷器27</t>
  </si>
  <si>
    <t>160200374457</t>
  </si>
  <si>
    <t>160200374458</t>
  </si>
  <si>
    <t>160200374459</t>
  </si>
  <si>
    <t>160200374460</t>
  </si>
  <si>
    <t>160200374461</t>
  </si>
  <si>
    <t>160200374462</t>
  </si>
  <si>
    <t>160200374463</t>
  </si>
  <si>
    <t>160200374464</t>
  </si>
  <si>
    <t>160200374465</t>
  </si>
  <si>
    <t>160200374466</t>
  </si>
  <si>
    <t>160200374467</t>
  </si>
  <si>
    <t>160200374468</t>
  </si>
  <si>
    <t>160200374469</t>
  </si>
  <si>
    <t>160200374470</t>
  </si>
  <si>
    <t>160200374471</t>
  </si>
  <si>
    <t>160200374472</t>
  </si>
  <si>
    <t>160200374473</t>
  </si>
  <si>
    <t>160200374511</t>
  </si>
  <si>
    <t>中国水电顾问集团成都勘测设计研究院</t>
  </si>
  <si>
    <t>160200375780</t>
  </si>
  <si>
    <t>10kV虹民路柏木河桥环网柜</t>
  </si>
  <si>
    <t>160200375784</t>
  </si>
  <si>
    <t>10kV虹民路民主A201环网柜</t>
  </si>
  <si>
    <t>160200375786</t>
  </si>
  <si>
    <t>10kV虹民路民主A202环网柜</t>
  </si>
  <si>
    <t>160200375787</t>
  </si>
  <si>
    <t>10kV虹民路民主A203环网柜</t>
  </si>
  <si>
    <t>160200416924</t>
  </si>
  <si>
    <t>160200416925</t>
  </si>
  <si>
    <t>10kV胥尚路一街区公建102环网柜</t>
  </si>
  <si>
    <t>160200416926</t>
  </si>
  <si>
    <t>10kV胥游路高桥B501环网柜</t>
  </si>
  <si>
    <t>160200416927</t>
  </si>
  <si>
    <t>10kV胥尚路一街区公建103环网柜</t>
  </si>
  <si>
    <t>160200416928</t>
  </si>
  <si>
    <t>10kV胥尚路一街区公用204环网柜</t>
  </si>
  <si>
    <t>160200416930</t>
  </si>
  <si>
    <t>10kV蒲街路重庆路口环网柜</t>
  </si>
  <si>
    <t>160200416931</t>
  </si>
  <si>
    <t>10kV金桥一路金江小区2号环网柜</t>
  </si>
  <si>
    <t>160200416932</t>
  </si>
  <si>
    <t>10kV金桥一路金江小区1号环网柜</t>
  </si>
  <si>
    <t>160200416933</t>
  </si>
  <si>
    <t>10kV胥游路上游南区N02环网柜</t>
  </si>
  <si>
    <t>160200416934</t>
  </si>
  <si>
    <t>10kV胥游路上游南区N04环网柜</t>
  </si>
  <si>
    <t>160200416935</t>
  </si>
  <si>
    <t>10kV胥游路上游南区N01环网柜</t>
  </si>
  <si>
    <t>160200416936</t>
  </si>
  <si>
    <t>10kV胥游路高桥B701环网柜</t>
  </si>
  <si>
    <t>160200416937</t>
  </si>
  <si>
    <t>10kV胥游路上游南区N03环网柜</t>
  </si>
  <si>
    <t>160200416938</t>
  </si>
  <si>
    <t>10kV胥游路高桥B702环网柜</t>
  </si>
  <si>
    <t>160200416939</t>
  </si>
  <si>
    <t>10kV胥游路高桥环网柜</t>
  </si>
  <si>
    <t>160200416940</t>
  </si>
  <si>
    <t>10kV灌城一路城北山水一号环网柜</t>
  </si>
  <si>
    <t>160200416941</t>
  </si>
  <si>
    <t>10kV胥游路上游北区B02环网柜2#变压器</t>
  </si>
  <si>
    <t>160200416942</t>
  </si>
  <si>
    <t>10kV灌城一路城北山水二号环网柜</t>
  </si>
  <si>
    <t>160200416943</t>
  </si>
  <si>
    <t>10kV胥联路兴堰逸苑六号箱变</t>
  </si>
  <si>
    <t>160200416944</t>
  </si>
  <si>
    <t>10kV胥尚路一街区306分支箱十五号变压器</t>
  </si>
  <si>
    <t>160200416945</t>
  </si>
  <si>
    <t>10kV胥尚路一街区307分支箱十七号变压器</t>
  </si>
  <si>
    <t>160200416946</t>
  </si>
  <si>
    <t>10kV胥高路慧民雅居1#环网柜</t>
  </si>
  <si>
    <t>160200416947</t>
  </si>
  <si>
    <t>慧民雅居5#箱变</t>
  </si>
  <si>
    <t>160200416948</t>
  </si>
  <si>
    <t>慧民雅居3#箱变</t>
  </si>
  <si>
    <t>160200416949</t>
  </si>
  <si>
    <t>慧民雅居10#箱变</t>
  </si>
  <si>
    <t>160200416950</t>
  </si>
  <si>
    <t>慧民雅居6#箱变</t>
  </si>
  <si>
    <t>160200416951</t>
  </si>
  <si>
    <t>慧民雅居7#箱变</t>
  </si>
  <si>
    <t>160200416952</t>
  </si>
  <si>
    <t>慧民雅居9#箱变</t>
  </si>
  <si>
    <t>160200416953</t>
  </si>
  <si>
    <t>10kV胥桥路高桥安置点一号变压器</t>
  </si>
  <si>
    <t>160200416954</t>
  </si>
  <si>
    <t>10kV胥联路兴堰逸苑一号箱变</t>
  </si>
  <si>
    <t>160200416955</t>
  </si>
  <si>
    <t>10kV胥桥路高桥B103环网柜九号变压器</t>
  </si>
  <si>
    <t>160200416956</t>
  </si>
  <si>
    <t>160200416957</t>
  </si>
  <si>
    <t>160200416958</t>
  </si>
  <si>
    <t>10kV胥尚路一街区公用203环网柜</t>
  </si>
  <si>
    <t>160200423505</t>
  </si>
  <si>
    <t>10kV胥游路上游商业楼环网柜商业三号配变</t>
  </si>
  <si>
    <t>160200423506</t>
  </si>
  <si>
    <t>10kV胥游路上游商业楼环网柜商业二号配变</t>
  </si>
  <si>
    <t>160200423507</t>
  </si>
  <si>
    <t>10kV胥桥路高桥安置点五号变压器</t>
  </si>
  <si>
    <t>160200432626</t>
  </si>
  <si>
    <t>160200438331</t>
  </si>
  <si>
    <t>市建行宿舍</t>
  </si>
  <si>
    <t>160200439430</t>
  </si>
  <si>
    <t>160200450961</t>
  </si>
  <si>
    <t>10kV西徐路楠木村1号公变</t>
  </si>
  <si>
    <t>160200450962</t>
  </si>
  <si>
    <t>10kV青中路中兴镇梓桐七组公变</t>
  </si>
  <si>
    <t>160200450963</t>
  </si>
  <si>
    <t>10kV沿中线平安三号公变</t>
  </si>
  <si>
    <t>160200450964</t>
  </si>
  <si>
    <t>10kV蒲桂路胥家镇南店村十组公变</t>
  </si>
  <si>
    <t>160200450965</t>
  </si>
  <si>
    <t>10kV蒲桂路胥家镇南店村南海三号公变</t>
  </si>
  <si>
    <t>160200450966</t>
  </si>
  <si>
    <t>10kV沿中线龙凤村平安金矿公变</t>
  </si>
  <si>
    <t>160200450967</t>
  </si>
  <si>
    <t>10kV沿中线凤鸣社区三号公变</t>
  </si>
  <si>
    <t>160200450968</t>
  </si>
  <si>
    <t>160200450969</t>
  </si>
  <si>
    <t>160200450970</t>
  </si>
  <si>
    <t>160200450971</t>
  </si>
  <si>
    <t>10kV金铁一路聚源镇迎祥村十组公变</t>
  </si>
  <si>
    <t>160200450972</t>
  </si>
  <si>
    <t>10kV金铁一路聚源镇泉水村八组公变</t>
  </si>
  <si>
    <t>160200450973</t>
  </si>
  <si>
    <t>160200450974</t>
  </si>
  <si>
    <t>10kV沿中线金井一号公变</t>
  </si>
  <si>
    <t>160200450975</t>
  </si>
  <si>
    <t>10kV崇双路崇义桂桥村十组公变</t>
  </si>
  <si>
    <t>160200450976</t>
  </si>
  <si>
    <t>10kV青中路中兴镇革新村四号公变</t>
  </si>
  <si>
    <t>160200450977</t>
  </si>
  <si>
    <t>10kV青上路中兴镇九龙村四号公变</t>
  </si>
  <si>
    <t>160200450978</t>
  </si>
  <si>
    <t>10kV青翠路青城山镇临江村三号公变</t>
  </si>
  <si>
    <t>160200450979</t>
  </si>
  <si>
    <t>10kV青上路中兴镇红旗村五号公变</t>
  </si>
  <si>
    <t>160200450980</t>
  </si>
  <si>
    <t>10kV蒲桂路胥家镇共和三号公变</t>
  </si>
  <si>
    <t>160200450981</t>
  </si>
  <si>
    <t>10kV西徐路石羊镇皂角十一组公变</t>
  </si>
  <si>
    <t>160200450982</t>
  </si>
  <si>
    <t>10kV金府路聚源镇三坝三组公变</t>
  </si>
  <si>
    <t>160200450983</t>
  </si>
  <si>
    <t>10kV青上路中兴镇梅花村四号公变</t>
  </si>
  <si>
    <t>160200453028</t>
  </si>
  <si>
    <t>10kV青软路青城山镇万安村五号公变</t>
  </si>
  <si>
    <t>160200467992</t>
  </si>
  <si>
    <t>事故应急备用变压器</t>
  </si>
  <si>
    <t>160200467993</t>
  </si>
  <si>
    <t>中兴供电所应急变压器S11-50KVA/0.4</t>
  </si>
  <si>
    <t>160200467994</t>
  </si>
  <si>
    <t>新兴供电所应急变压器S11-80KVA/0.4</t>
  </si>
  <si>
    <t>160200467995</t>
  </si>
  <si>
    <t>青城山供电所应急变压器S11-80KVA/0.4</t>
  </si>
  <si>
    <t>160200467996</t>
  </si>
  <si>
    <t>大观供电所应急变压器S11-80KVA/0.4</t>
  </si>
  <si>
    <t>160200467997</t>
  </si>
  <si>
    <t>柳街供电所应急变压器S11-80KVA/0.4</t>
  </si>
  <si>
    <t>160200477500</t>
  </si>
  <si>
    <t>10kV香济路新兴光辉渔场配变</t>
  </si>
  <si>
    <t>160200477517</t>
  </si>
  <si>
    <t>10kV青平路青城山镇石桥10组公变</t>
  </si>
  <si>
    <t>160200477522</t>
  </si>
  <si>
    <t>禹王1号公变</t>
  </si>
  <si>
    <t>160200477524</t>
  </si>
  <si>
    <t>金马村8组公变</t>
  </si>
  <si>
    <t>160200477531</t>
  </si>
  <si>
    <t>向荣1号公变</t>
  </si>
  <si>
    <t>160200477557</t>
  </si>
  <si>
    <t>10kV金府路石马村四组2号公变</t>
  </si>
  <si>
    <t>160200477564</t>
  </si>
  <si>
    <t>10kV金府路永桂村九组公变</t>
  </si>
  <si>
    <t>160200477568</t>
  </si>
  <si>
    <t>10kV金府路万寿村三组公变</t>
  </si>
  <si>
    <t>160200477577</t>
  </si>
  <si>
    <t>10kV青元路安龙镇官田村五组一号公变</t>
  </si>
  <si>
    <t>160200477613</t>
  </si>
  <si>
    <t>金玉1号公变</t>
  </si>
  <si>
    <t>160200477632</t>
  </si>
  <si>
    <t>金鸡五组公变</t>
  </si>
  <si>
    <t>160200477648</t>
  </si>
  <si>
    <t>永定街公变</t>
  </si>
  <si>
    <t>160200477723</t>
  </si>
  <si>
    <t>永桂村四组配变</t>
  </si>
  <si>
    <t>160200478212</t>
  </si>
  <si>
    <t>10kV胥镇一路高桥村公变</t>
  </si>
  <si>
    <t>160200478213</t>
  </si>
  <si>
    <t>10kV香济路白塔村配变</t>
  </si>
  <si>
    <t>160200478214</t>
  </si>
  <si>
    <t>10kV香镇路苗圃公变</t>
  </si>
  <si>
    <t>160200478215</t>
  </si>
  <si>
    <t>万岭村配变</t>
  </si>
  <si>
    <t>160200478216</t>
  </si>
  <si>
    <t>10kV小君路小鱼洞镇江桥村公变</t>
  </si>
  <si>
    <t>160200478217</t>
  </si>
  <si>
    <t>灵岩村二组配变</t>
  </si>
  <si>
    <t>160200478218</t>
  </si>
  <si>
    <t>10kV蒲驾路蒲阳镇栏厢九组公变</t>
  </si>
  <si>
    <t>160200478219</t>
  </si>
  <si>
    <t>10kV蒲驾路双柏十二组公变</t>
  </si>
  <si>
    <t>160200478220</t>
  </si>
  <si>
    <t>10kV蒲驾路双柏十四组公变</t>
  </si>
  <si>
    <t>160200478221</t>
  </si>
  <si>
    <t>10kV虹玉路集镇2号公变</t>
  </si>
  <si>
    <t>160200478222</t>
  </si>
  <si>
    <t>10kV虹玉路集镇公变</t>
  </si>
  <si>
    <t>160200478223</t>
  </si>
  <si>
    <t>160200478224</t>
  </si>
  <si>
    <t>10kV胥镇一路胥家镇正林村公变</t>
  </si>
  <si>
    <t>160200478225</t>
  </si>
  <si>
    <t>十里村变</t>
  </si>
  <si>
    <t>160200478226</t>
  </si>
  <si>
    <t>10kV虹玉路玉堂镇三台社区三台六组公变</t>
  </si>
  <si>
    <t>160200478227</t>
  </si>
  <si>
    <t>10kV胥镇一路胥家镇石龙村二组公变</t>
  </si>
  <si>
    <t>160200478228</t>
  </si>
  <si>
    <t>10kV香隆二路街村1号公变</t>
  </si>
  <si>
    <t>160200478229</t>
  </si>
  <si>
    <t>10kV香镇二路南安四号配变</t>
  </si>
  <si>
    <t>160200478230</t>
  </si>
  <si>
    <t>10kV香镇二路南安五号配变</t>
  </si>
  <si>
    <t>160200478231</t>
  </si>
  <si>
    <t>10kV崇积路崇义镇双土村十二组公变</t>
  </si>
  <si>
    <t>160200478232</t>
  </si>
  <si>
    <t>10kV崇双路崇义镇桂桥村1组公变</t>
  </si>
  <si>
    <t>160200478233</t>
  </si>
  <si>
    <t>10kV崇积路崇义镇大桥村十三组公变</t>
  </si>
  <si>
    <t>160200478234</t>
  </si>
  <si>
    <t>10kV崇双路崇义镇桂桥村六组公变.</t>
  </si>
  <si>
    <t>160200478235</t>
  </si>
  <si>
    <t>10kV白虹路都江八、九组公变</t>
  </si>
  <si>
    <t>160200478236</t>
  </si>
  <si>
    <t>10kV蒲桂路桂花镇丰乐社区2号公变</t>
  </si>
  <si>
    <t>160200478237</t>
  </si>
  <si>
    <t>10kV沿康路石牛2号公变</t>
  </si>
  <si>
    <t>160200478238</t>
  </si>
  <si>
    <t>10kV沿康路集镇三号公变</t>
  </si>
  <si>
    <t>160200478239</t>
  </si>
  <si>
    <t>10kV蒲桂路实践三号公变</t>
  </si>
  <si>
    <t>160200478240</t>
  </si>
  <si>
    <t>10kV蒲桂路双林村3号自建点公变</t>
  </si>
  <si>
    <t>160200478241</t>
  </si>
  <si>
    <t>10kV灌向路团结2号安置点公变</t>
  </si>
  <si>
    <t>160200478242</t>
  </si>
  <si>
    <t>10kV灌向路楠坪2组公变</t>
  </si>
  <si>
    <t>160200478243</t>
  </si>
  <si>
    <t>10kV灌向路柳林四组公变</t>
  </si>
  <si>
    <t>160200478244</t>
  </si>
  <si>
    <t>10kV灌煤路海虹新村1号配变</t>
  </si>
  <si>
    <t>160200493394</t>
  </si>
  <si>
    <t>10kV西太路青城山镇万安六号公变</t>
  </si>
  <si>
    <t>160200493395</t>
  </si>
  <si>
    <t>10kV青西路青城山镇青田十二组公变</t>
  </si>
  <si>
    <t>160200493396</t>
  </si>
  <si>
    <t>10kV天镇路天马镇向荣村老鸭林公变</t>
  </si>
  <si>
    <t>160200493397</t>
  </si>
  <si>
    <t>10kV青泰路青城山镇白石三组二号公变</t>
  </si>
  <si>
    <t>160200493398</t>
  </si>
  <si>
    <t>10kV青西路青城山镇青田五组公变</t>
  </si>
  <si>
    <t>160200493399</t>
  </si>
  <si>
    <t>10kV安镇路安龙镇卉景社区四组吉乐3#公变</t>
  </si>
  <si>
    <t>160200493416</t>
  </si>
  <si>
    <t>10kV小君路小鱼洞镇草坝村三号公变</t>
  </si>
  <si>
    <t>160200497577</t>
  </si>
  <si>
    <t>10kV香桂路利济村#11公变</t>
  </si>
  <si>
    <t>160200498147</t>
  </si>
  <si>
    <t>10kV胥桥路高桥B101环网柜#1箱变</t>
  </si>
  <si>
    <t>160200498148</t>
  </si>
  <si>
    <t>10kV胥桥路高桥B102环网柜#3箱变</t>
  </si>
  <si>
    <t>160200498149</t>
  </si>
  <si>
    <t>10kV胥桥路高桥B102环网柜#5箱变</t>
  </si>
  <si>
    <t>160200498150</t>
  </si>
  <si>
    <t>10kV胥桥路高桥B102环网柜#4箱变</t>
  </si>
  <si>
    <t>160200498151</t>
  </si>
  <si>
    <t>10kV胥桥路高桥B103环网柜#6箱变</t>
  </si>
  <si>
    <t>160200498152</t>
  </si>
  <si>
    <t>10kV蒲街路一街区301分支箱#4箱变</t>
  </si>
  <si>
    <t>160200498153</t>
  </si>
  <si>
    <t>10kV胥联路兴堰逸苑三号箱变</t>
  </si>
  <si>
    <t>160200498154</t>
  </si>
  <si>
    <t>10kV胥联路兴堰逸苑#4箱变</t>
  </si>
  <si>
    <t>160200498155</t>
  </si>
  <si>
    <t>10KV灌城一路城北山水1#环网柜1#变压器</t>
  </si>
  <si>
    <t>160200498156</t>
  </si>
  <si>
    <t>10kV灌城一路城北山水一号环网柜#2箱变</t>
  </si>
  <si>
    <t>160200498157</t>
  </si>
  <si>
    <t>10kV灌城一路城北山水一号环网柜#3箱变</t>
  </si>
  <si>
    <t>160200498158</t>
  </si>
  <si>
    <t>10kV灌城一路城北山水二号环网柜#4箱变</t>
  </si>
  <si>
    <t>160200498159</t>
  </si>
  <si>
    <t>10kV灌城一路城北山水二号环网柜#5箱变</t>
  </si>
  <si>
    <t>160200498160</t>
  </si>
  <si>
    <t>10kV灌城一路城北山水二号环网柜#6箱变</t>
  </si>
  <si>
    <t>160200498161</t>
  </si>
  <si>
    <t>慧民雅居4#箱变</t>
  </si>
  <si>
    <t>160200498162</t>
  </si>
  <si>
    <t>10kV胥灵路城北阳光#1箱变</t>
  </si>
  <si>
    <t>160200498895</t>
  </si>
  <si>
    <t>10kV安镇路安龙镇卉景社区三组吉乐2#公变</t>
  </si>
  <si>
    <t>160200502618</t>
  </si>
  <si>
    <t>10kV西徐路石羊镇宁静二组公变</t>
  </si>
  <si>
    <t>160200502619</t>
  </si>
  <si>
    <t>10kV西徐路石羊镇宁静三组公变</t>
  </si>
  <si>
    <t>160200502620</t>
  </si>
  <si>
    <t>10kV西徐路石羊镇宁静四组公变</t>
  </si>
  <si>
    <t>160200502627</t>
  </si>
  <si>
    <t>10kV香镇路集埝村3号公变</t>
  </si>
  <si>
    <t>160200502628</t>
  </si>
  <si>
    <t>10kV西徐路石羊镇皂角村二组公变</t>
  </si>
  <si>
    <t>160200502629</t>
  </si>
  <si>
    <t>10kV青翠路青城山镇永益三号公变</t>
  </si>
  <si>
    <t>160200502631</t>
  </si>
  <si>
    <t>10kV青镇路青城山镇大观园#十二公变</t>
  </si>
  <si>
    <t>160200502632</t>
  </si>
  <si>
    <t>10kV青镇路青城山镇青城山场镇#五公变</t>
  </si>
  <si>
    <t>160200502633</t>
  </si>
  <si>
    <t>10kV青镇路青城山镇大观园#十一公变</t>
  </si>
  <si>
    <t>160200502634</t>
  </si>
  <si>
    <t>10kV青镇路青城山镇大观园#十公变</t>
  </si>
  <si>
    <t>160200503076</t>
  </si>
  <si>
    <t>10kV天马路天马镇仙鹤村七组公变</t>
  </si>
  <si>
    <t>160200508550</t>
  </si>
  <si>
    <t>金江村四组配变</t>
  </si>
  <si>
    <t>160200508551</t>
  </si>
  <si>
    <t>10kV青元路安龙镇官田村五组二号公变</t>
  </si>
  <si>
    <t>160200508583</t>
  </si>
  <si>
    <t>10kV虹西路阳光新华分支箱1#公变</t>
  </si>
  <si>
    <t>160200516113</t>
  </si>
  <si>
    <t>10kV青田路青城山镇青城7组#2公变</t>
  </si>
  <si>
    <t>160200516906</t>
  </si>
  <si>
    <t>10kV胥玉路佳美公寓#2台变</t>
  </si>
  <si>
    <t>160200517095</t>
  </si>
  <si>
    <t>10kV西镇路石羊镇书院村十三组#1公变</t>
  </si>
  <si>
    <t>160200517588</t>
  </si>
  <si>
    <t>10kV青田路青城山镇味江一组公变</t>
  </si>
  <si>
    <t>160200517589</t>
  </si>
  <si>
    <t>10kV青上路山溪社区五号公变</t>
  </si>
  <si>
    <t>160200519136</t>
  </si>
  <si>
    <t>10kV蒲桂路拦厢6组公变</t>
  </si>
  <si>
    <t>160200519137</t>
  </si>
  <si>
    <t>10kV青泰路青城山镇泰安村5组4#公变</t>
  </si>
  <si>
    <t>160200519138</t>
  </si>
  <si>
    <t>都江一组公变</t>
  </si>
  <si>
    <t>160200519139</t>
  </si>
  <si>
    <t>都江村一组安置点公变</t>
  </si>
  <si>
    <t>160200519140</t>
  </si>
  <si>
    <t>岷江村二组2号公变</t>
  </si>
  <si>
    <t>160200519141</t>
  </si>
  <si>
    <t>都江村六组1号公变</t>
  </si>
  <si>
    <t>160200519142</t>
  </si>
  <si>
    <t>都江村七组2号公变</t>
  </si>
  <si>
    <t>160200519143</t>
  </si>
  <si>
    <t>都江村七组公变</t>
  </si>
  <si>
    <t>160200519144</t>
  </si>
  <si>
    <t>10kV蒲桂路拦厢2组公变</t>
  </si>
  <si>
    <t>160200519403</t>
  </si>
  <si>
    <t>10kV胥联路阿坝州地税干休所#1公用台变</t>
  </si>
  <si>
    <t>160200521345</t>
  </si>
  <si>
    <t>10kV胥玉路玉屏#1环网柜</t>
  </si>
  <si>
    <t>160200544985</t>
  </si>
  <si>
    <t>10kV金铁一路聚源镇迎祥村十六组公变</t>
  </si>
  <si>
    <t>160200545072</t>
  </si>
  <si>
    <t>10kV金铁一路聚源镇迎祥村三组公变</t>
  </si>
  <si>
    <t>160200545382</t>
  </si>
  <si>
    <t>10kV胥灵路城北阳光环网柜</t>
  </si>
  <si>
    <t>160200546142</t>
  </si>
  <si>
    <t>10kV虹观线卧龙保护区管理局家属区#1公用箱变</t>
  </si>
  <si>
    <t>160200546293</t>
  </si>
  <si>
    <t>10kV金村路金江村#1环网柜</t>
  </si>
  <si>
    <t>160200550399</t>
  </si>
  <si>
    <t>10kV蒲街路一街区公用#2环网柜#3箱变</t>
  </si>
  <si>
    <t>160200550400</t>
  </si>
  <si>
    <t>10kV虹民路民主A3#2环网柜#1箱变</t>
  </si>
  <si>
    <t>160200550401</t>
  </si>
  <si>
    <t>10kV虹民路民主A3#2环网柜#2箱变</t>
  </si>
  <si>
    <t>160200550402</t>
  </si>
  <si>
    <t>10kV虹民路民主A3#2环网柜#3箱变</t>
  </si>
  <si>
    <t>160200550537</t>
  </si>
  <si>
    <t>10kV虹观线交通局交管所#1专用台变</t>
  </si>
  <si>
    <t>160200550538</t>
  </si>
  <si>
    <t>10kV胥观路荟文苑#1箱变</t>
  </si>
  <si>
    <t>160200550554</t>
  </si>
  <si>
    <t>10kV胥江路汶川水泥厂彩棚苑#1台变</t>
  </si>
  <si>
    <t>160200550712</t>
  </si>
  <si>
    <t>10kV胥高路槐园#1环网柜</t>
  </si>
  <si>
    <t>160200550713</t>
  </si>
  <si>
    <t>10kV胥桥路高桥B4#1环网柜</t>
  </si>
  <si>
    <t>160200550726</t>
  </si>
  <si>
    <t>10kV胥联路荷花池#1公用台变</t>
  </si>
  <si>
    <t>160200550740</t>
  </si>
  <si>
    <t>10kV虹景路安康南路#1公用台变</t>
  </si>
  <si>
    <t>160200551486</t>
  </si>
  <si>
    <t>10kV香镇路东方瓷厂公变</t>
  </si>
  <si>
    <t>160200553842</t>
  </si>
  <si>
    <t>10kV虹新路观凤小区#1公用台变</t>
  </si>
  <si>
    <t>160200553917</t>
  </si>
  <si>
    <t>10kV胥游路上游北区#3环网柜#9箱变</t>
  </si>
  <si>
    <t>160200553918</t>
  </si>
  <si>
    <t>10kV胥游路上游北区#3环网柜#4箱变</t>
  </si>
  <si>
    <t>160200553919</t>
  </si>
  <si>
    <t>10kV胥桥路高桥B1#3环网柜#8箱变</t>
  </si>
  <si>
    <t>160200554283</t>
  </si>
  <si>
    <t>中国水电顾问集团成都勘测设计研究院（上基地）</t>
  </si>
  <si>
    <t>160200554284</t>
  </si>
  <si>
    <t>10kV胥观路水印长滩园中园#1台变</t>
  </si>
  <si>
    <t>160200554285</t>
  </si>
  <si>
    <t>10kV胥玉路水电十局家属区#1箱变</t>
  </si>
  <si>
    <t>160200554286</t>
  </si>
  <si>
    <t>10kV胥玉路水电十局家属区#2箱变</t>
  </si>
  <si>
    <t>160200554287</t>
  </si>
  <si>
    <t>10kV胥玉路水电十局家属区#3箱变</t>
  </si>
  <si>
    <t>160200554288</t>
  </si>
  <si>
    <t>10kV胥玉路水电十局家属区#1环网柜</t>
  </si>
  <si>
    <t>160200554501</t>
  </si>
  <si>
    <t>10kV胥观路光明街阿坝人行宿舍#1公用箱变</t>
  </si>
  <si>
    <t>160200554502</t>
  </si>
  <si>
    <t>10kV虹奎路江东街6914家属区#1公用台变</t>
  </si>
  <si>
    <t>160200554503</t>
  </si>
  <si>
    <t>10kV胥联路水电花园住宅#1箱变</t>
  </si>
  <si>
    <t>160200554504</t>
  </si>
  <si>
    <t>10kV虹联路华宇小区#1箱变</t>
  </si>
  <si>
    <t>160200554505</t>
  </si>
  <si>
    <t>10kV灌城三路都电平义苑小区#1箱变</t>
  </si>
  <si>
    <t>160200554506</t>
  </si>
  <si>
    <t>10kV胥江路省建六公司#1箱变</t>
  </si>
  <si>
    <t>160200555437</t>
  </si>
  <si>
    <t>10kV灌城三路岷江公司#1公用台变</t>
  </si>
  <si>
    <t>160200555438</t>
  </si>
  <si>
    <t>10kV胥江路统计局#1公用台变</t>
  </si>
  <si>
    <t>160200555439</t>
  </si>
  <si>
    <t>10kV虹玉路安顺五组公用#2台变</t>
  </si>
  <si>
    <t>160200555440</t>
  </si>
  <si>
    <t>10kV虹玉路安顺五组公用#3台变</t>
  </si>
  <si>
    <t>160200556017</t>
  </si>
  <si>
    <t>10kV胥灵路平义路#1公用台变</t>
  </si>
  <si>
    <t>160200556289</t>
  </si>
  <si>
    <t>10kV胥天路蒲阳路#1环网柜</t>
  </si>
  <si>
    <t>160200556298</t>
  </si>
  <si>
    <t>10kV胥观路安康北路#2公用台变</t>
  </si>
  <si>
    <t>160200556299</t>
  </si>
  <si>
    <t>10kV胥观路幸福公寓#2公用台变</t>
  </si>
  <si>
    <t>160200556341</t>
  </si>
  <si>
    <t>10kV胥玉路火车站路口#1环网柜</t>
  </si>
  <si>
    <t>160200561300</t>
  </si>
  <si>
    <t>10kV青大路蒲津11组公变</t>
  </si>
  <si>
    <t>160200561301</t>
  </si>
  <si>
    <t>10kV柳江路红雄村1号公变</t>
  </si>
  <si>
    <t>160200561302</t>
  </si>
  <si>
    <t>10kV柳洪路红雄村2#公变</t>
  </si>
  <si>
    <t>160200561303</t>
  </si>
  <si>
    <t>10kV柳江路红雄村3号公变</t>
  </si>
  <si>
    <t>160200561304</t>
  </si>
  <si>
    <t>10kV柳洪路仁和村1#公变</t>
  </si>
  <si>
    <t>160200561305</t>
  </si>
  <si>
    <t>10kV柳洪路仁和村3#公变</t>
  </si>
  <si>
    <t>160200562913</t>
  </si>
  <si>
    <t>10kV灌城四线蒲阳大道田林路口#1环网柜</t>
  </si>
  <si>
    <t>160200568734</t>
  </si>
  <si>
    <t>10kV虹民路民主A3#2环网柜</t>
  </si>
  <si>
    <t>160200568735</t>
  </si>
  <si>
    <t>10kV蒲街路一街区#3环网柜</t>
  </si>
  <si>
    <t>160200568736</t>
  </si>
  <si>
    <t>10kV胥灵路蒲阳路口#1环网柜</t>
  </si>
  <si>
    <t>160200568737</t>
  </si>
  <si>
    <t>160200568738</t>
  </si>
  <si>
    <t>160300002323</t>
  </si>
  <si>
    <t>配电设备-电动汽车充换电设备</t>
  </si>
  <si>
    <t>整车充电设备</t>
  </si>
  <si>
    <t>160300002324</t>
  </si>
  <si>
    <t>160300002325</t>
  </si>
  <si>
    <t>160300002326</t>
  </si>
  <si>
    <t>160300002327</t>
  </si>
  <si>
    <t>160300002328</t>
  </si>
  <si>
    <t>160300002329</t>
  </si>
  <si>
    <t>160300002330</t>
  </si>
  <si>
    <t>160300002331</t>
  </si>
  <si>
    <t>160300002332</t>
  </si>
  <si>
    <t>170000001671</t>
  </si>
  <si>
    <t>用电计量设备</t>
  </si>
  <si>
    <t>互感器</t>
  </si>
  <si>
    <t>其他</t>
  </si>
  <si>
    <t>170000001672</t>
  </si>
  <si>
    <t>电能表</t>
  </si>
  <si>
    <t>170000001673</t>
  </si>
  <si>
    <t>高压表箱</t>
  </si>
  <si>
    <t>170000001674</t>
  </si>
  <si>
    <t>多功能电表</t>
  </si>
  <si>
    <t>170000001675</t>
  </si>
  <si>
    <t>低压表箱</t>
  </si>
  <si>
    <t>170000001676</t>
  </si>
  <si>
    <t>挂式双向计量装置</t>
  </si>
  <si>
    <t>170000001677</t>
  </si>
  <si>
    <t>170000001697</t>
  </si>
  <si>
    <t>电压失压计时器</t>
  </si>
  <si>
    <t>170000001699</t>
  </si>
  <si>
    <t>外移计量装置</t>
  </si>
  <si>
    <t>170000001700</t>
  </si>
  <si>
    <t>电度表屏</t>
  </si>
  <si>
    <t>170000001701</t>
  </si>
  <si>
    <t>三相四线多功能电能表(红相)</t>
  </si>
  <si>
    <t>0.4kV以下</t>
  </si>
  <si>
    <t>170000001702</t>
  </si>
  <si>
    <t>三相三线电子式多功能电能表</t>
  </si>
  <si>
    <t>170000001703</t>
  </si>
  <si>
    <t>三相四线全电子多功能表</t>
  </si>
  <si>
    <t>170000001710</t>
  </si>
  <si>
    <t>三相全电子多功能表</t>
  </si>
  <si>
    <t>170000001711</t>
  </si>
  <si>
    <t>三相全电子多功能表1.5(6)A</t>
  </si>
  <si>
    <t>170000015402</t>
  </si>
  <si>
    <t>计量箱</t>
  </si>
  <si>
    <t>170000015403</t>
  </si>
  <si>
    <t>组合互感器(含表箱)</t>
  </si>
  <si>
    <t>170000024208</t>
  </si>
  <si>
    <t>用电管理终端_IC预付费系统装置_抗震救灾营销资本金</t>
  </si>
  <si>
    <t>170000027515</t>
  </si>
  <si>
    <t>电能量远方终端1</t>
  </si>
  <si>
    <t>170000027516</t>
  </si>
  <si>
    <t>电能量远方终端2</t>
  </si>
  <si>
    <t>170000027517</t>
  </si>
  <si>
    <t>电能量远方终端3</t>
  </si>
  <si>
    <t>170000027518</t>
  </si>
  <si>
    <t>电能量远方终端4</t>
  </si>
  <si>
    <t>170000027519</t>
  </si>
  <si>
    <t>电能量远方终端5</t>
  </si>
  <si>
    <t>170000027520</t>
  </si>
  <si>
    <t>电能量远方终端6</t>
  </si>
  <si>
    <t>170000027521</t>
  </si>
  <si>
    <t>电能量远方终端7</t>
  </si>
  <si>
    <t>170000027522</t>
  </si>
  <si>
    <t>电能量远方终端8</t>
  </si>
  <si>
    <t>170000027523</t>
  </si>
  <si>
    <t>电能量远方终端9</t>
  </si>
  <si>
    <t>170000027524</t>
  </si>
  <si>
    <t>电能量远方终端10</t>
  </si>
  <si>
    <t>170000027525</t>
  </si>
  <si>
    <t>用电管理终端</t>
  </si>
  <si>
    <t>170000027526</t>
  </si>
  <si>
    <t>电能量远方终端12</t>
  </si>
  <si>
    <t>170000027527</t>
  </si>
  <si>
    <t>电能量远方终端13</t>
  </si>
  <si>
    <t>170000027528</t>
  </si>
  <si>
    <t>电能量远方终端14</t>
  </si>
  <si>
    <t>170000027529</t>
  </si>
  <si>
    <t>电能量远方终端15</t>
  </si>
  <si>
    <t>170000027530</t>
  </si>
  <si>
    <t>电能量远方终端16</t>
  </si>
  <si>
    <t>170000027531</t>
  </si>
  <si>
    <t>电能量远方终端17</t>
  </si>
  <si>
    <t>170000027532</t>
  </si>
  <si>
    <t>电能量远方终端18</t>
  </si>
  <si>
    <t>170000027533</t>
  </si>
  <si>
    <t>电能量远方终端19</t>
  </si>
  <si>
    <t>170000027534</t>
  </si>
  <si>
    <t>电能量远方终端20</t>
  </si>
  <si>
    <t>170000027560</t>
  </si>
  <si>
    <t>三相四线机电式复费率电能表</t>
  </si>
  <si>
    <t>170000033564</t>
  </si>
  <si>
    <t>抄表器</t>
  </si>
  <si>
    <t>170000033565</t>
  </si>
  <si>
    <t>170000033566</t>
  </si>
  <si>
    <t>170000033567</t>
  </si>
  <si>
    <t>170000033568</t>
  </si>
  <si>
    <t>170000033569</t>
  </si>
  <si>
    <t>170000033570</t>
  </si>
  <si>
    <t>170000033571</t>
  </si>
  <si>
    <t>170000033572</t>
  </si>
  <si>
    <t>170000033573</t>
  </si>
  <si>
    <t>170000033574</t>
  </si>
  <si>
    <t>170000033575</t>
  </si>
  <si>
    <t>170000033576</t>
  </si>
  <si>
    <t>170000033577</t>
  </si>
  <si>
    <t>170000033578</t>
  </si>
  <si>
    <t>170000033579</t>
  </si>
  <si>
    <t>170000033580</t>
  </si>
  <si>
    <t>170000033581</t>
  </si>
  <si>
    <t>170000033582</t>
  </si>
  <si>
    <t>170000033583</t>
  </si>
  <si>
    <t>170000033584</t>
  </si>
  <si>
    <t>170000033585</t>
  </si>
  <si>
    <t>170000033586</t>
  </si>
  <si>
    <t>170000033587</t>
  </si>
  <si>
    <t>170000033588</t>
  </si>
  <si>
    <t>170000033589</t>
  </si>
  <si>
    <t>170000033590</t>
  </si>
  <si>
    <t>170000033591</t>
  </si>
  <si>
    <t>170000033592</t>
  </si>
  <si>
    <t>170000033593</t>
  </si>
  <si>
    <t>170000033594</t>
  </si>
  <si>
    <t>170000033595</t>
  </si>
  <si>
    <t>170000033596</t>
  </si>
  <si>
    <t>170000033597</t>
  </si>
  <si>
    <t>170000033598</t>
  </si>
  <si>
    <t>170000034085</t>
  </si>
  <si>
    <t>170000034086</t>
  </si>
  <si>
    <t>170000034087</t>
  </si>
  <si>
    <t>170000034088</t>
  </si>
  <si>
    <t>170000034089</t>
  </si>
  <si>
    <t>170000034090</t>
  </si>
  <si>
    <t>170000034091</t>
  </si>
  <si>
    <t>170000034104</t>
  </si>
  <si>
    <t>电能计量箱</t>
  </si>
  <si>
    <t>170000034105</t>
  </si>
  <si>
    <t>170000034106</t>
  </si>
  <si>
    <t>170000034107</t>
  </si>
  <si>
    <t>民主村十组低压电能计量箱</t>
  </si>
  <si>
    <t>170000034108</t>
  </si>
  <si>
    <t>万岭村村变低压电能计量箱</t>
  </si>
  <si>
    <t>170000034109</t>
  </si>
  <si>
    <t>磁峰镇西一村1#配变低压电能计量箱</t>
  </si>
  <si>
    <t>170000034110</t>
  </si>
  <si>
    <t>崇土路公变低压电能计量箱</t>
  </si>
  <si>
    <t>170000034111</t>
  </si>
  <si>
    <t>崇义镇古桥村四组低压电能计量箱</t>
  </si>
  <si>
    <t>170000034112</t>
  </si>
  <si>
    <t>崇义村三组低压电能计量箱</t>
  </si>
  <si>
    <t>170000034113</t>
  </si>
  <si>
    <t>原栏厢村三组电能计量箱</t>
  </si>
  <si>
    <t>170000034114</t>
  </si>
  <si>
    <t>团结新村1#电能计量箱</t>
  </si>
  <si>
    <t>170000034115</t>
  </si>
  <si>
    <t>团结新村2#电能计量箱</t>
  </si>
  <si>
    <t>170000034116</t>
  </si>
  <si>
    <t>鹿池新村1#电能计量箱</t>
  </si>
  <si>
    <t>170000034117</t>
  </si>
  <si>
    <t>鹿池新村2#电能计量箱</t>
  </si>
  <si>
    <t>170000034118</t>
  </si>
  <si>
    <t>电压监测仪40台</t>
  </si>
  <si>
    <t>170000034119</t>
  </si>
  <si>
    <t>电压监测仪10台</t>
  </si>
  <si>
    <t>170000034120</t>
  </si>
  <si>
    <t>单相智能电表(671)</t>
  </si>
  <si>
    <t>170000034121</t>
  </si>
  <si>
    <t>单相智能电表(1293)</t>
  </si>
  <si>
    <t>170000034122</t>
  </si>
  <si>
    <t>单相智能电表(100)</t>
  </si>
  <si>
    <t>170000034123</t>
  </si>
  <si>
    <t>单相智能电表(260)</t>
  </si>
  <si>
    <t>170000034124</t>
  </si>
  <si>
    <t>单相智能电表(479)</t>
  </si>
  <si>
    <t>170000034125</t>
  </si>
  <si>
    <t>单相智能电表(414)</t>
  </si>
  <si>
    <t>170000034126</t>
  </si>
  <si>
    <t>单相智能电表(91)</t>
  </si>
  <si>
    <t>170000034127</t>
  </si>
  <si>
    <t>单相智能电表(697)</t>
  </si>
  <si>
    <t>170000034128</t>
  </si>
  <si>
    <t>单相智能电表(347)</t>
  </si>
  <si>
    <t>170000034129</t>
  </si>
  <si>
    <t>单相智能电表(110)</t>
  </si>
  <si>
    <t>170000034130</t>
  </si>
  <si>
    <t>单相智能电表(73)</t>
  </si>
  <si>
    <t>170000034131</t>
  </si>
  <si>
    <t>单相智能电表(220)</t>
  </si>
  <si>
    <t>170000034132</t>
  </si>
  <si>
    <t>单相智能电表(1640)</t>
  </si>
  <si>
    <t>170000034133</t>
  </si>
  <si>
    <t>单相智能电表(783)</t>
  </si>
  <si>
    <t>170000034134</t>
  </si>
  <si>
    <t>单相智能电表(374)</t>
  </si>
  <si>
    <t>170000034135</t>
  </si>
  <si>
    <t>单相智能电表(155)</t>
  </si>
  <si>
    <t>170000034136</t>
  </si>
  <si>
    <t>单相智能电表(116)</t>
  </si>
  <si>
    <t>170000034137</t>
  </si>
  <si>
    <t>单相智能电表(404)</t>
  </si>
  <si>
    <t>170000034138</t>
  </si>
  <si>
    <t>单相智能电表(408)</t>
  </si>
  <si>
    <t>170000034139</t>
  </si>
  <si>
    <t>单相智能电表(18)</t>
  </si>
  <si>
    <t>170000034140</t>
  </si>
  <si>
    <t>单相智能电表(1477)</t>
  </si>
  <si>
    <t>170000034141</t>
  </si>
  <si>
    <t>单相智能电表(462)</t>
  </si>
  <si>
    <t>170000034142</t>
  </si>
  <si>
    <t>单相智能电表(838)</t>
  </si>
  <si>
    <t>170000034143</t>
  </si>
  <si>
    <t>单相智能电表(119)</t>
  </si>
  <si>
    <t>170000034144</t>
  </si>
  <si>
    <t>单相智能电表(168)</t>
  </si>
  <si>
    <t>170000034145</t>
  </si>
  <si>
    <t>单相智能电表(394)</t>
  </si>
  <si>
    <t>170000034146</t>
  </si>
  <si>
    <t>单相智能电表(199)</t>
  </si>
  <si>
    <t>170000034147</t>
  </si>
  <si>
    <t>单相智能电表(86)</t>
  </si>
  <si>
    <t>170000034148</t>
  </si>
  <si>
    <t>170000034149</t>
  </si>
  <si>
    <t>单相智能电表(56)</t>
  </si>
  <si>
    <t>170000034150</t>
  </si>
  <si>
    <t>单相智能电表(70)</t>
  </si>
  <si>
    <t>170000034151</t>
  </si>
  <si>
    <t>单相智能电表(52)</t>
  </si>
  <si>
    <t>170000034152</t>
  </si>
  <si>
    <t>单相智能电表(92)</t>
  </si>
  <si>
    <t>170000034153</t>
  </si>
  <si>
    <t>单相智能电表(60)</t>
  </si>
  <si>
    <t>170000034154</t>
  </si>
  <si>
    <t>单相智能电表(967)</t>
  </si>
  <si>
    <t>170000034155</t>
  </si>
  <si>
    <t>单相智能电表(203)</t>
  </si>
  <si>
    <t>170000034156</t>
  </si>
  <si>
    <t>单相智能电表(321)</t>
  </si>
  <si>
    <t>170000034157</t>
  </si>
  <si>
    <t>单相智能电表(144)</t>
  </si>
  <si>
    <t>170000034158</t>
  </si>
  <si>
    <t>单相智能电表(737)</t>
  </si>
  <si>
    <t>170000034159</t>
  </si>
  <si>
    <t>170000034160</t>
  </si>
  <si>
    <t>单相智能电表(161)</t>
  </si>
  <si>
    <t>170000034161</t>
  </si>
  <si>
    <t>单相智能电表(68)</t>
  </si>
  <si>
    <t>170000034162</t>
  </si>
  <si>
    <t>单相智能电表(619)</t>
  </si>
  <si>
    <t>170000034163</t>
  </si>
  <si>
    <t>单相智能电表(102)</t>
  </si>
  <si>
    <t>170000034164</t>
  </si>
  <si>
    <t>170000034165</t>
  </si>
  <si>
    <t>170000034166</t>
  </si>
  <si>
    <t>单相智能电表(197)</t>
  </si>
  <si>
    <t>170000034167</t>
  </si>
  <si>
    <t>单相智能电表(455)</t>
  </si>
  <si>
    <t>170000034589</t>
  </si>
  <si>
    <t>新兴镇花坪村公变低压电能计量箱</t>
  </si>
  <si>
    <t>170000034590</t>
  </si>
  <si>
    <t>石羊镇三羊社区公变低压电能计量箱</t>
  </si>
  <si>
    <t>170000034591</t>
  </si>
  <si>
    <t>石羊镇竹瓦九组变低压电能计量箱</t>
  </si>
  <si>
    <t>170000037127</t>
  </si>
  <si>
    <t>金桥一路、张华路组合式互感器</t>
  </si>
  <si>
    <t>170000037128</t>
  </si>
  <si>
    <t>青上路组合式互感器</t>
  </si>
  <si>
    <t>170000037129</t>
  </si>
  <si>
    <t>虹天路、虹宾路组合式互感器</t>
  </si>
  <si>
    <t>170000037130</t>
  </si>
  <si>
    <t>青翠路、西徐路组合式互感器</t>
  </si>
  <si>
    <t>170000037131</t>
  </si>
  <si>
    <t>青翠路、青中路组合式互感器</t>
  </si>
  <si>
    <t>170000037132</t>
  </si>
  <si>
    <t>西恒路、柳江路组合式互感器</t>
  </si>
  <si>
    <t>170000037133</t>
  </si>
  <si>
    <t>西柳路、安镇路组合式互感器</t>
  </si>
  <si>
    <t>170000037134</t>
  </si>
  <si>
    <t>小通二路1号杆高压计量箱</t>
  </si>
  <si>
    <t>170000037135</t>
  </si>
  <si>
    <t>唐大、青大路高压计量箱</t>
  </si>
  <si>
    <t>170000037136</t>
  </si>
  <si>
    <t>唐古、青石路高压计量箱</t>
  </si>
  <si>
    <t>170000037137</t>
  </si>
  <si>
    <t>张陈、金府路高压计量箱</t>
  </si>
  <si>
    <t>170000037138</t>
  </si>
  <si>
    <t>金桥一路、张华路高压计量箱</t>
  </si>
  <si>
    <t>170000037139</t>
  </si>
  <si>
    <t>青上路高压计量箱</t>
  </si>
  <si>
    <t>170000037140</t>
  </si>
  <si>
    <t>虹天路、虹宾路高压计量箱</t>
  </si>
  <si>
    <t>170000037141</t>
  </si>
  <si>
    <t>青翠路、西徐路高压计量箱</t>
  </si>
  <si>
    <t>170000037142</t>
  </si>
  <si>
    <t>青翠路、青中路高压计量箱</t>
  </si>
  <si>
    <t>170000037143</t>
  </si>
  <si>
    <t>西恒路、柳江路高压计量箱</t>
  </si>
  <si>
    <t>170000037144</t>
  </si>
  <si>
    <t>西柳路、安镇路高压计量箱</t>
  </si>
  <si>
    <t>170000037145</t>
  </si>
  <si>
    <t>小通二路1号杆采集终端箱</t>
  </si>
  <si>
    <t>170000037146</t>
  </si>
  <si>
    <t>唐大、青大路采集终端箱</t>
  </si>
  <si>
    <t>170000037147</t>
  </si>
  <si>
    <t>唐古、青石路采集终端箱</t>
  </si>
  <si>
    <t>170000037148</t>
  </si>
  <si>
    <t>张陈、金府路采集终端箱</t>
  </si>
  <si>
    <t>170000037149</t>
  </si>
  <si>
    <t>金桥一路、张华路采集终端箱</t>
  </si>
  <si>
    <t>170000037150</t>
  </si>
  <si>
    <t>青上路采集终端箱</t>
  </si>
  <si>
    <t>170000037151</t>
  </si>
  <si>
    <t>虹天路、虹宾路采集终端箱</t>
  </si>
  <si>
    <t>170000037152</t>
  </si>
  <si>
    <t>青翠路、西徐路采集终端箱</t>
  </si>
  <si>
    <t>170000037153</t>
  </si>
  <si>
    <t>青翠路、青中路采集终端箱</t>
  </si>
  <si>
    <t>170000037154</t>
  </si>
  <si>
    <t>西恒路、柳江路采集终端箱</t>
  </si>
  <si>
    <t>170000037155</t>
  </si>
  <si>
    <t>西柳路、安镇路采集终端箱</t>
  </si>
  <si>
    <t>170000037295</t>
  </si>
  <si>
    <t>170000037296</t>
  </si>
  <si>
    <t>170000038607</t>
  </si>
  <si>
    <t>单相电能表</t>
  </si>
  <si>
    <t>170000038608</t>
  </si>
  <si>
    <t>采集器</t>
  </si>
  <si>
    <t>170000038609</t>
  </si>
  <si>
    <t>集中器</t>
  </si>
  <si>
    <t>170000038610</t>
  </si>
  <si>
    <t>集中表箱（12表位-金属）</t>
  </si>
  <si>
    <t>170000038611</t>
  </si>
  <si>
    <t>集中表箱（16表位-金属）</t>
  </si>
  <si>
    <t>170000038612</t>
  </si>
  <si>
    <t>170000038613</t>
  </si>
  <si>
    <t>170000038614</t>
  </si>
  <si>
    <t>170000038615</t>
  </si>
  <si>
    <t>集中表箱（2表位-金属）</t>
  </si>
  <si>
    <t>170000038616</t>
  </si>
  <si>
    <t>170000038617</t>
  </si>
  <si>
    <t>三相电能表</t>
  </si>
  <si>
    <t>170000038618</t>
  </si>
  <si>
    <t>170000038619</t>
  </si>
  <si>
    <t>170000038620</t>
  </si>
  <si>
    <t>170000038621</t>
  </si>
  <si>
    <t>170000038622</t>
  </si>
  <si>
    <t>170000038623</t>
  </si>
  <si>
    <t>170000038624</t>
  </si>
  <si>
    <t>170000038625</t>
  </si>
  <si>
    <t>170000038626</t>
  </si>
  <si>
    <t>170000038627</t>
  </si>
  <si>
    <t>170000038628</t>
  </si>
  <si>
    <t>集中表箱（4表位-金属）</t>
  </si>
  <si>
    <t>170000038629</t>
  </si>
  <si>
    <t>170000038630</t>
  </si>
  <si>
    <t>170000038631</t>
  </si>
  <si>
    <t>170000038632</t>
  </si>
  <si>
    <t>170000038633</t>
  </si>
  <si>
    <t>170000038634</t>
  </si>
  <si>
    <t>170000038635</t>
  </si>
  <si>
    <t>170000038636</t>
  </si>
  <si>
    <t>170000038637</t>
  </si>
  <si>
    <t>170000038638</t>
  </si>
  <si>
    <t>170000038639</t>
  </si>
  <si>
    <t>170000038640</t>
  </si>
  <si>
    <t>170000038641</t>
  </si>
  <si>
    <t>170000038642</t>
  </si>
  <si>
    <t>170000038643</t>
  </si>
  <si>
    <t>170000038644</t>
  </si>
  <si>
    <t>170000038645</t>
  </si>
  <si>
    <t>170000038646</t>
  </si>
  <si>
    <t>170000038647</t>
  </si>
  <si>
    <t>170000038648</t>
  </si>
  <si>
    <t>170000038649</t>
  </si>
  <si>
    <t>170000038650</t>
  </si>
  <si>
    <t>170000038651</t>
  </si>
  <si>
    <t>170000038652</t>
  </si>
  <si>
    <t>170000038653</t>
  </si>
  <si>
    <t>170000038654</t>
  </si>
  <si>
    <t>170000038655</t>
  </si>
  <si>
    <t>170000038656</t>
  </si>
  <si>
    <t>170000038657</t>
  </si>
  <si>
    <t>集中表箱（6表位-金属）</t>
  </si>
  <si>
    <t>170000038658</t>
  </si>
  <si>
    <t>集中表箱（8表位-金属）</t>
  </si>
  <si>
    <t>170000038659</t>
  </si>
  <si>
    <t>170000038660</t>
  </si>
  <si>
    <t>170000038661</t>
  </si>
  <si>
    <t>170000038662</t>
  </si>
  <si>
    <t>170000038663</t>
  </si>
  <si>
    <t>170000038664</t>
  </si>
  <si>
    <t>170000038665</t>
  </si>
  <si>
    <t>170000038666</t>
  </si>
  <si>
    <t>170000038667</t>
  </si>
  <si>
    <t>170000038668</t>
  </si>
  <si>
    <t>170000038669</t>
  </si>
  <si>
    <t>170000038670</t>
  </si>
  <si>
    <t>170000038671</t>
  </si>
  <si>
    <t>170000038672</t>
  </si>
  <si>
    <t>170000038673</t>
  </si>
  <si>
    <t>170000038674</t>
  </si>
  <si>
    <t>170000038675</t>
  </si>
  <si>
    <t>170000038676</t>
  </si>
  <si>
    <t>170000038677</t>
  </si>
  <si>
    <t>170000038678</t>
  </si>
  <si>
    <t>170000038679</t>
  </si>
  <si>
    <t>170000038680</t>
  </si>
  <si>
    <t>170000038681</t>
  </si>
  <si>
    <t>170000038682</t>
  </si>
  <si>
    <t>170000038683</t>
  </si>
  <si>
    <t>170000038684</t>
  </si>
  <si>
    <t>170000038685</t>
  </si>
  <si>
    <t>170000038686</t>
  </si>
  <si>
    <t>170000038687</t>
  </si>
  <si>
    <t>170000038688</t>
  </si>
  <si>
    <t>170000038689</t>
  </si>
  <si>
    <t>170000038690</t>
  </si>
  <si>
    <t>170000038691</t>
  </si>
  <si>
    <t>170000038692</t>
  </si>
  <si>
    <t>170000038693</t>
  </si>
  <si>
    <t>170000038694</t>
  </si>
  <si>
    <t>170000038695</t>
  </si>
  <si>
    <t>170000038696</t>
  </si>
  <si>
    <t>170000038697</t>
  </si>
  <si>
    <t>170000038698</t>
  </si>
  <si>
    <t>170000038699</t>
  </si>
  <si>
    <t>170000038700</t>
  </si>
  <si>
    <t>170000038701</t>
  </si>
  <si>
    <t>170000038702</t>
  </si>
  <si>
    <t>170000038703</t>
  </si>
  <si>
    <t>170000038704</t>
  </si>
  <si>
    <t>170000038705</t>
  </si>
  <si>
    <t>170000038706</t>
  </si>
  <si>
    <t>170000038707</t>
  </si>
  <si>
    <t>170000038708</t>
  </si>
  <si>
    <t>170000038709</t>
  </si>
  <si>
    <t>170000038710</t>
  </si>
  <si>
    <t>170000038711</t>
  </si>
  <si>
    <t>170000038712</t>
  </si>
  <si>
    <t>170000038713</t>
  </si>
  <si>
    <t>170000038714</t>
  </si>
  <si>
    <t>170000038715</t>
  </si>
  <si>
    <t>170000038716</t>
  </si>
  <si>
    <t>170000038717</t>
  </si>
  <si>
    <t>170000038718</t>
  </si>
  <si>
    <t>170000038719</t>
  </si>
  <si>
    <t>170000038720</t>
  </si>
  <si>
    <t>170000038721</t>
  </si>
  <si>
    <t>170000038722</t>
  </si>
  <si>
    <t>170000038723</t>
  </si>
  <si>
    <t>170000038724</t>
  </si>
  <si>
    <t>170000038725</t>
  </si>
  <si>
    <t>170000038726</t>
  </si>
  <si>
    <t>170000038727</t>
  </si>
  <si>
    <t>170000038728</t>
  </si>
  <si>
    <t>170000038729</t>
  </si>
  <si>
    <t>170000038730</t>
  </si>
  <si>
    <t>170000038731</t>
  </si>
  <si>
    <t>170000038732</t>
  </si>
  <si>
    <t>170000038733</t>
  </si>
  <si>
    <t>170000038734</t>
  </si>
  <si>
    <t>170000038735</t>
  </si>
  <si>
    <t>170000038736</t>
  </si>
  <si>
    <t>170000038737</t>
  </si>
  <si>
    <t>170000038738</t>
  </si>
  <si>
    <t>170000038739</t>
  </si>
  <si>
    <t>170000038740</t>
  </si>
  <si>
    <t>170000038741</t>
  </si>
  <si>
    <t>170000038742</t>
  </si>
  <si>
    <t>170000038743</t>
  </si>
  <si>
    <t>170000038744</t>
  </si>
  <si>
    <t>170000038745</t>
  </si>
  <si>
    <t>170000038746</t>
  </si>
  <si>
    <t>170000038747</t>
  </si>
  <si>
    <t>170000038748</t>
  </si>
  <si>
    <t>170000038749</t>
  </si>
  <si>
    <t>170000038750</t>
  </si>
  <si>
    <t>170000038751</t>
  </si>
  <si>
    <t>170000038752</t>
  </si>
  <si>
    <t>170000038753</t>
  </si>
  <si>
    <t>170000038754</t>
  </si>
  <si>
    <t>170000038755</t>
  </si>
  <si>
    <t>170000038756</t>
  </si>
  <si>
    <t>170000038757</t>
  </si>
  <si>
    <t>170000038758</t>
  </si>
  <si>
    <t>170000038759</t>
  </si>
  <si>
    <t>170000038760</t>
  </si>
  <si>
    <t>170000038761</t>
  </si>
  <si>
    <t>170000038762</t>
  </si>
  <si>
    <t>170000038763</t>
  </si>
  <si>
    <t>170000038764</t>
  </si>
  <si>
    <t>170000038765</t>
  </si>
  <si>
    <t>170000038766</t>
  </si>
  <si>
    <t>170000038767</t>
  </si>
  <si>
    <t>170000038768</t>
  </si>
  <si>
    <t>170000038769</t>
  </si>
  <si>
    <t>170000038770</t>
  </si>
  <si>
    <t>170000038771</t>
  </si>
  <si>
    <t>170000038772</t>
  </si>
  <si>
    <t>170000038773</t>
  </si>
  <si>
    <t>170000038774</t>
  </si>
  <si>
    <t>170000038775</t>
  </si>
  <si>
    <t>170000038776</t>
  </si>
  <si>
    <t>170000038777</t>
  </si>
  <si>
    <t>170000038778</t>
  </si>
  <si>
    <t>170000038779</t>
  </si>
  <si>
    <t>170000038780</t>
  </si>
  <si>
    <t>170000038781</t>
  </si>
  <si>
    <t>170000038782</t>
  </si>
  <si>
    <t>170000038783</t>
  </si>
  <si>
    <t>170000038784</t>
  </si>
  <si>
    <t>170000038785</t>
  </si>
  <si>
    <t>170000038786</t>
  </si>
  <si>
    <t>170000038787</t>
  </si>
  <si>
    <t>170000038788</t>
  </si>
  <si>
    <t>170000038789</t>
  </si>
  <si>
    <t>170000038790</t>
  </si>
  <si>
    <t>170000038791</t>
  </si>
  <si>
    <t>170000038792</t>
  </si>
  <si>
    <t>170000038793</t>
  </si>
  <si>
    <t>170000038794</t>
  </si>
  <si>
    <t>170000038795</t>
  </si>
  <si>
    <t>170000038796</t>
  </si>
  <si>
    <t>170000038797</t>
  </si>
  <si>
    <t>170000038798</t>
  </si>
  <si>
    <t>170000038799</t>
  </si>
  <si>
    <t>170000038800</t>
  </si>
  <si>
    <t>170000038801</t>
  </si>
  <si>
    <t>170000038802</t>
  </si>
  <si>
    <t>170000038803</t>
  </si>
  <si>
    <t>170000038804</t>
  </si>
  <si>
    <t>170000038805</t>
  </si>
  <si>
    <t>170000038806</t>
  </si>
  <si>
    <t>170000038807</t>
  </si>
  <si>
    <t>170000038808</t>
  </si>
  <si>
    <t>170000038809</t>
  </si>
  <si>
    <t>170000038810</t>
  </si>
  <si>
    <t>170000038811</t>
  </si>
  <si>
    <t>170000038812</t>
  </si>
  <si>
    <t>170000038813</t>
  </si>
  <si>
    <t>170000038814</t>
  </si>
  <si>
    <t>170000038815</t>
  </si>
  <si>
    <t>170000038816</t>
  </si>
  <si>
    <t>170000038817</t>
  </si>
  <si>
    <t>170000038818</t>
  </si>
  <si>
    <t>170000038819</t>
  </si>
  <si>
    <t>170000038820</t>
  </si>
  <si>
    <t>采集器1</t>
  </si>
  <si>
    <t>170000038821</t>
  </si>
  <si>
    <t>170000038822</t>
  </si>
  <si>
    <t>170000038823</t>
  </si>
  <si>
    <t>170000038824</t>
  </si>
  <si>
    <t>170000038825</t>
  </si>
  <si>
    <t>170000038826</t>
  </si>
  <si>
    <t>170000038827</t>
  </si>
  <si>
    <t>170000038828</t>
  </si>
  <si>
    <t>170000038829</t>
  </si>
  <si>
    <t>170000038830</t>
  </si>
  <si>
    <t>170000038831</t>
  </si>
  <si>
    <t>170000038832</t>
  </si>
  <si>
    <t>170000038833</t>
  </si>
  <si>
    <t>集中器1</t>
  </si>
  <si>
    <t>170000038834</t>
  </si>
  <si>
    <t>170000038835</t>
  </si>
  <si>
    <t>170000038836</t>
  </si>
  <si>
    <t>170000038837</t>
  </si>
  <si>
    <t>170000038838</t>
  </si>
  <si>
    <t>170000038839</t>
  </si>
  <si>
    <t>170000038840</t>
  </si>
  <si>
    <t>170000038841</t>
  </si>
  <si>
    <t>170000038842</t>
  </si>
  <si>
    <t>170000038843</t>
  </si>
  <si>
    <t>170000038844</t>
  </si>
  <si>
    <t>170000038845</t>
  </si>
  <si>
    <t>170000038846</t>
  </si>
  <si>
    <t>170000038847</t>
  </si>
  <si>
    <t>170000038848</t>
  </si>
  <si>
    <t>170000038849</t>
  </si>
  <si>
    <t>170000038850</t>
  </si>
  <si>
    <t>170000038851</t>
  </si>
  <si>
    <t>170000038852</t>
  </si>
  <si>
    <t>170000038853</t>
  </si>
  <si>
    <t>170000038854</t>
  </si>
  <si>
    <t>170000038855</t>
  </si>
  <si>
    <t>170000038856</t>
  </si>
  <si>
    <t>170000038857</t>
  </si>
  <si>
    <t>170000038858</t>
  </si>
  <si>
    <t>170000038859</t>
  </si>
  <si>
    <t>170000038860</t>
  </si>
  <si>
    <t>170000038861</t>
  </si>
  <si>
    <t>170000038862</t>
  </si>
  <si>
    <t>170000038863</t>
  </si>
  <si>
    <t>170000038864</t>
  </si>
  <si>
    <t>170000038865</t>
  </si>
  <si>
    <t>170000038866</t>
  </si>
  <si>
    <t>170000038867</t>
  </si>
  <si>
    <t>170000038868</t>
  </si>
  <si>
    <t>170000038869</t>
  </si>
  <si>
    <t>170000038870</t>
  </si>
  <si>
    <t>170000038871</t>
  </si>
  <si>
    <t>170000038872</t>
  </si>
  <si>
    <t>170000038873</t>
  </si>
  <si>
    <t>170000038874</t>
  </si>
  <si>
    <t>170000038875</t>
  </si>
  <si>
    <t>170000038876</t>
  </si>
  <si>
    <t>170000038877</t>
  </si>
  <si>
    <t>集中表箱（9表位-金属）</t>
  </si>
  <si>
    <t>170000038878</t>
  </si>
  <si>
    <t>170000038879</t>
  </si>
  <si>
    <t>170000038880</t>
  </si>
  <si>
    <t>170000038881</t>
  </si>
  <si>
    <t>170000038882</t>
  </si>
  <si>
    <t>170000038883</t>
  </si>
  <si>
    <t>170000038884</t>
  </si>
  <si>
    <t>170000038885</t>
  </si>
  <si>
    <t>170000038886</t>
  </si>
  <si>
    <t>170000038887</t>
  </si>
  <si>
    <t>170000038888</t>
  </si>
  <si>
    <t>170000038889</t>
  </si>
  <si>
    <t>170000038890</t>
  </si>
  <si>
    <t>170000038891</t>
  </si>
  <si>
    <t>170000038892</t>
  </si>
  <si>
    <t>170000038893</t>
  </si>
  <si>
    <t>170000038894</t>
  </si>
  <si>
    <t>170000038895</t>
  </si>
  <si>
    <t>170000038896</t>
  </si>
  <si>
    <t>170000038897</t>
  </si>
  <si>
    <t>170000038898</t>
  </si>
  <si>
    <t>170000038899</t>
  </si>
  <si>
    <t>170000038900</t>
  </si>
  <si>
    <t>170000038901</t>
  </si>
  <si>
    <t>170000038902</t>
  </si>
  <si>
    <t>170000038903</t>
  </si>
  <si>
    <t>170000038904</t>
  </si>
  <si>
    <t>170000038905</t>
  </si>
  <si>
    <t>170000038906</t>
  </si>
  <si>
    <t>170000038907</t>
  </si>
  <si>
    <t>170000038908</t>
  </si>
  <si>
    <t>170000038909</t>
  </si>
  <si>
    <t>170000038910</t>
  </si>
  <si>
    <t>170000038911</t>
  </si>
  <si>
    <t>170000038912</t>
  </si>
  <si>
    <t>170000038913</t>
  </si>
  <si>
    <t>170000038914</t>
  </si>
  <si>
    <t>170000038915</t>
  </si>
  <si>
    <t>170000038916</t>
  </si>
  <si>
    <t>170000038917</t>
  </si>
  <si>
    <t>170000038918</t>
  </si>
  <si>
    <t>170000038919</t>
  </si>
  <si>
    <t>170000038920</t>
  </si>
  <si>
    <t>170000038921</t>
  </si>
  <si>
    <t>170000038922</t>
  </si>
  <si>
    <t>170000038923</t>
  </si>
  <si>
    <t>170000038924</t>
  </si>
  <si>
    <t>170000038925</t>
  </si>
  <si>
    <t>170000038926</t>
  </si>
  <si>
    <t>170000038927</t>
  </si>
  <si>
    <t>170000038928</t>
  </si>
  <si>
    <t>170000038929</t>
  </si>
  <si>
    <t>170000038930</t>
  </si>
  <si>
    <t>170000038931</t>
  </si>
  <si>
    <t>170000038932</t>
  </si>
  <si>
    <t>170000038933</t>
  </si>
  <si>
    <t>170000038934</t>
  </si>
  <si>
    <t>170000038935</t>
  </si>
  <si>
    <t>170000039026</t>
  </si>
  <si>
    <t>170000039027</t>
  </si>
  <si>
    <t>170000039028</t>
  </si>
  <si>
    <t>170000039029</t>
  </si>
  <si>
    <t>170000044388</t>
  </si>
  <si>
    <t>2010第一期灾后重建户表</t>
  </si>
  <si>
    <t>170000044389</t>
  </si>
  <si>
    <t>2011成都局灾后重建户表</t>
  </si>
  <si>
    <t>170000044666</t>
  </si>
  <si>
    <t>公变计量箱</t>
  </si>
  <si>
    <t>170000044667</t>
  </si>
  <si>
    <t>170000044668</t>
  </si>
  <si>
    <t>天乙商座低压计量箱</t>
  </si>
  <si>
    <t>170000044669</t>
  </si>
  <si>
    <t>三泊洞公变配电箱</t>
  </si>
  <si>
    <t>170000044670</t>
  </si>
  <si>
    <t>水电局公变配电箱</t>
  </si>
  <si>
    <t>170000055807</t>
  </si>
  <si>
    <t>1号主变低压侧多功能电表</t>
  </si>
  <si>
    <t>170000055808</t>
  </si>
  <si>
    <t>110kV驾城线170多功能电表</t>
  </si>
  <si>
    <t>170000055809</t>
  </si>
  <si>
    <t>2号主变中压侧多功能电表</t>
  </si>
  <si>
    <t>170000055810</t>
  </si>
  <si>
    <t>110kV驾金线168多功能电表</t>
  </si>
  <si>
    <t>170000055811</t>
  </si>
  <si>
    <t>1号主变高压侧多功能电表</t>
  </si>
  <si>
    <t>170000055812</t>
  </si>
  <si>
    <t>2号主变高压侧多功能电表</t>
  </si>
  <si>
    <t>170000055813</t>
  </si>
  <si>
    <t>220kV蜀驾一线266多功能电表</t>
  </si>
  <si>
    <t>170000055814</t>
  </si>
  <si>
    <t>220kV蜀驾二线265多功能电表</t>
  </si>
  <si>
    <t>170000055815</t>
  </si>
  <si>
    <t>110kV驾沿一线166多功能电表</t>
  </si>
  <si>
    <t>170000055816</t>
  </si>
  <si>
    <t>110kV驾沿二线167多功能电表</t>
  </si>
  <si>
    <t>170000055817</t>
  </si>
  <si>
    <t>1号主变中压侧多功能电表</t>
  </si>
  <si>
    <t>170000055818</t>
  </si>
  <si>
    <t>2号主变低压侧多功能电表</t>
  </si>
  <si>
    <t>170000055819</t>
  </si>
  <si>
    <t>110kV驾济线171多功能电表</t>
  </si>
  <si>
    <t>170000055828</t>
  </si>
  <si>
    <t>110kV线路1号、2号主变电度表屏</t>
  </si>
  <si>
    <t>170000055947</t>
  </si>
  <si>
    <t>集中器I型（无线公网GPRS/窄带载波）214台</t>
  </si>
  <si>
    <t>170000055948</t>
  </si>
  <si>
    <t>安装式三相三线电能表配件,载波模块1754个</t>
  </si>
  <si>
    <t>170000055949</t>
  </si>
  <si>
    <t>安装式单相电能表配件,载波模块23905个</t>
  </si>
  <si>
    <t>170000067768</t>
  </si>
  <si>
    <t>周转柜（1套）</t>
  </si>
  <si>
    <t>170000067769</t>
  </si>
  <si>
    <t>170000067770</t>
  </si>
  <si>
    <t>170000067771</t>
  </si>
  <si>
    <t>170000067796</t>
  </si>
  <si>
    <t>组合互感器(3台）</t>
  </si>
  <si>
    <t>170000067797</t>
  </si>
  <si>
    <t>组合互感器(27台）</t>
  </si>
  <si>
    <t>170000067798</t>
  </si>
  <si>
    <t>组合互感器（18台）</t>
  </si>
  <si>
    <t>170000067799</t>
  </si>
  <si>
    <t>组合互感器（2台）</t>
  </si>
  <si>
    <t>170000067800</t>
  </si>
  <si>
    <t>组合互感器（3台）</t>
  </si>
  <si>
    <t>170000067801</t>
  </si>
  <si>
    <t>计量柜（箱）（53台）</t>
  </si>
  <si>
    <t>170000067802</t>
  </si>
  <si>
    <t>三相电能表（3台）</t>
  </si>
  <si>
    <t>170000067803</t>
  </si>
  <si>
    <t>三相电能表（50台）</t>
  </si>
  <si>
    <t>170000067804</t>
  </si>
  <si>
    <t>三相电能表（80台）</t>
  </si>
  <si>
    <t>170000067805</t>
  </si>
  <si>
    <t>三相电能表（40台）</t>
  </si>
  <si>
    <t>170000067806</t>
  </si>
  <si>
    <t>计量柜（箱）（233台）</t>
  </si>
  <si>
    <t>170000067807</t>
  </si>
  <si>
    <t>计量柜（箱）（3台）</t>
  </si>
  <si>
    <t>170000067808</t>
  </si>
  <si>
    <t>计量柜（箱）（8台）</t>
  </si>
  <si>
    <t>170000067809</t>
  </si>
  <si>
    <t>计量柜（箱）（58台）</t>
  </si>
  <si>
    <t>170000067810</t>
  </si>
  <si>
    <t>计量柜（箱）（1台）</t>
  </si>
  <si>
    <t>170000067811</t>
  </si>
  <si>
    <t>计量柜（箱）（4台）</t>
  </si>
  <si>
    <t>170000067812</t>
  </si>
  <si>
    <t>计量柜（箱）（6台）</t>
  </si>
  <si>
    <t>170000067813</t>
  </si>
  <si>
    <t>计量柜（箱）（9台）</t>
  </si>
  <si>
    <t>170000067814</t>
  </si>
  <si>
    <t>计量柜（箱）（34台）</t>
  </si>
  <si>
    <t>170000068408</t>
  </si>
  <si>
    <t>入户多媒体箱（686个）</t>
  </si>
  <si>
    <t>170000068620</t>
  </si>
  <si>
    <t>主变压器电能表屏</t>
  </si>
  <si>
    <t>170000068622</t>
  </si>
  <si>
    <t>110kV线路电能表屏</t>
  </si>
  <si>
    <t>170000068623</t>
  </si>
  <si>
    <t>110kV线路1 、 1号主变压器电度表屏</t>
  </si>
  <si>
    <t>170000068625</t>
  </si>
  <si>
    <t>电能表计量屏</t>
  </si>
  <si>
    <t>170000068626</t>
  </si>
  <si>
    <t>170000068627</t>
  </si>
  <si>
    <t>1号主变及35kV线路电能表屏</t>
  </si>
  <si>
    <t>170000068628</t>
  </si>
  <si>
    <t>主变及35kV线路电能表屏</t>
  </si>
  <si>
    <t>170000068629</t>
  </si>
  <si>
    <t>170000068630</t>
  </si>
  <si>
    <t>110kV线路主变电度表屏</t>
  </si>
  <si>
    <t>170000069829</t>
  </si>
  <si>
    <t>趸售关口负控终端QX-IP-E7台(金江.灌县幸福关口谭家堰胥家白</t>
  </si>
  <si>
    <t>170000069830</t>
  </si>
  <si>
    <t>关济路安装高供高计计量箱XLJ-01</t>
  </si>
  <si>
    <t>170000069831</t>
  </si>
  <si>
    <t>三相三线多功能电能表496</t>
  </si>
  <si>
    <t>170000069832</t>
  </si>
  <si>
    <t>170000069833</t>
  </si>
  <si>
    <t>都江堰花木城发展有限公司安装高压计量箱JLSJW-100.2级5/5A</t>
  </si>
  <si>
    <t>170000069834</t>
  </si>
  <si>
    <t>三相三线多功能电能表714</t>
  </si>
  <si>
    <t>170000069835</t>
  </si>
  <si>
    <t>三相三线多功能电能表719</t>
  </si>
  <si>
    <t>170000069836</t>
  </si>
  <si>
    <t>高压计度箱</t>
  </si>
  <si>
    <t>170000069837</t>
  </si>
  <si>
    <t>手拉手用计量箱XLJ-01</t>
  </si>
  <si>
    <t>170000069838</t>
  </si>
  <si>
    <t>170000069839</t>
  </si>
  <si>
    <t>高压计量箱</t>
  </si>
  <si>
    <t>170000069840</t>
  </si>
  <si>
    <t>计量改造用高压计量箱</t>
  </si>
  <si>
    <t>170000069841</t>
  </si>
  <si>
    <t>成都市岷蜀房地产开发有限公司新投计度箱</t>
  </si>
  <si>
    <t>170000069842</t>
  </si>
  <si>
    <t>三相三线多功能电能表329</t>
  </si>
  <si>
    <t>170000069843</t>
  </si>
  <si>
    <t>170000069844</t>
  </si>
  <si>
    <t>计量箱XL-400KVA</t>
  </si>
  <si>
    <t>170000069845</t>
  </si>
  <si>
    <t>计量箱XL-315KVA</t>
  </si>
  <si>
    <t>170000069846</t>
  </si>
  <si>
    <t>计量箱XL-200KVA</t>
  </si>
  <si>
    <t>170000069847</t>
  </si>
  <si>
    <t>计量箱XL-160KVA</t>
  </si>
  <si>
    <t>170000069848</t>
  </si>
  <si>
    <t>计量箱XL-100KVA</t>
  </si>
  <si>
    <t>170000069849</t>
  </si>
  <si>
    <t>计量箱XL-50KVA</t>
  </si>
  <si>
    <t>170000069850</t>
  </si>
  <si>
    <t>三相三线多功能电能表497</t>
  </si>
  <si>
    <t>170000069851</t>
  </si>
  <si>
    <t>三相三线多功能电能表498</t>
  </si>
  <si>
    <t>170000069852</t>
  </si>
  <si>
    <t>三相三线多功能电能表499</t>
  </si>
  <si>
    <t>170000069853</t>
  </si>
  <si>
    <t>三相三线多功能电能表500</t>
  </si>
  <si>
    <t>170000069854</t>
  </si>
  <si>
    <t>三相三线多功能电能表501</t>
  </si>
  <si>
    <t>170000069855</t>
  </si>
  <si>
    <t>三相三线多功能电能表502</t>
  </si>
  <si>
    <t>170000069856</t>
  </si>
  <si>
    <t>三相三线多功能电能表503</t>
  </si>
  <si>
    <t>170000069857</t>
  </si>
  <si>
    <t>三相三线多功能电能表504</t>
  </si>
  <si>
    <t>170000069858</t>
  </si>
  <si>
    <t>三相三线多功能电能表505</t>
  </si>
  <si>
    <t>170000069859</t>
  </si>
  <si>
    <t>三相三线多功能电能表506</t>
  </si>
  <si>
    <t>170000069860</t>
  </si>
  <si>
    <t>三相三线多功能电能表507</t>
  </si>
  <si>
    <t>170000069861</t>
  </si>
  <si>
    <t>三相三线多功能电能表508</t>
  </si>
  <si>
    <t>170000069862</t>
  </si>
  <si>
    <t>三相三线多功能电能表509</t>
  </si>
  <si>
    <t>170000069863</t>
  </si>
  <si>
    <t>三相三线多功能电能表510</t>
  </si>
  <si>
    <t>170000069864</t>
  </si>
  <si>
    <t>三相三线多功能电能表511</t>
  </si>
  <si>
    <t>170000069865</t>
  </si>
  <si>
    <t>三相三线多功能电能表512</t>
  </si>
  <si>
    <t>170000069866</t>
  </si>
  <si>
    <t>三相三线多功能电能表513</t>
  </si>
  <si>
    <t>170000069867</t>
  </si>
  <si>
    <t>三相三线多功能电能表514</t>
  </si>
  <si>
    <t>170000069868</t>
  </si>
  <si>
    <t>三相三线多功能电能表515</t>
  </si>
  <si>
    <t>170000069869</t>
  </si>
  <si>
    <t>三相三线多功能电能表516</t>
  </si>
  <si>
    <t>170000069870</t>
  </si>
  <si>
    <t>三相三线多功能电能表517</t>
  </si>
  <si>
    <t>170000069871</t>
  </si>
  <si>
    <t>三相三线多功能电能表518</t>
  </si>
  <si>
    <t>170000069872</t>
  </si>
  <si>
    <t>三相三线多功能电能表519</t>
  </si>
  <si>
    <t>170000069873</t>
  </si>
  <si>
    <t>三相三线多功能电能表520</t>
  </si>
  <si>
    <t>170000069874</t>
  </si>
  <si>
    <t>三相三线多功能电能表521</t>
  </si>
  <si>
    <t>170000069875</t>
  </si>
  <si>
    <t>三相三线多功能电能表522</t>
  </si>
  <si>
    <t>170000069876</t>
  </si>
  <si>
    <t>三相三线多功能电能表523</t>
  </si>
  <si>
    <t>170000069877</t>
  </si>
  <si>
    <t>三相三线多功能电能表524</t>
  </si>
  <si>
    <t>170000069878</t>
  </si>
  <si>
    <t>三相三线多功能电能表525</t>
  </si>
  <si>
    <t>170000069879</t>
  </si>
  <si>
    <t>三相三线多功能电能表526</t>
  </si>
  <si>
    <t>170000069880</t>
  </si>
  <si>
    <t>三相三线多功能电能表527</t>
  </si>
  <si>
    <t>170000069881</t>
  </si>
  <si>
    <t>三相三线多功能电能表528</t>
  </si>
  <si>
    <t>170000069882</t>
  </si>
  <si>
    <t>三相三线多功能电能表529</t>
  </si>
  <si>
    <t>170000069883</t>
  </si>
  <si>
    <t>三相三线多功能电能表530</t>
  </si>
  <si>
    <t>170000069884</t>
  </si>
  <si>
    <t>三相三线多功能电能表531</t>
  </si>
  <si>
    <t>170000069885</t>
  </si>
  <si>
    <t>三相三线多功能电能表532</t>
  </si>
  <si>
    <t>170000069886</t>
  </si>
  <si>
    <t>三相三线多功能电能表533</t>
  </si>
  <si>
    <t>170000069887</t>
  </si>
  <si>
    <t>三相三线多功能电能表534</t>
  </si>
  <si>
    <t>170000069888</t>
  </si>
  <si>
    <t>三相三线多功能电能表535</t>
  </si>
  <si>
    <t>170000069889</t>
  </si>
  <si>
    <t>三相三线多功能电能表536</t>
  </si>
  <si>
    <t>170000069890</t>
  </si>
  <si>
    <t>三相三线多功能电能表537</t>
  </si>
  <si>
    <t>170000069891</t>
  </si>
  <si>
    <t>三相三线多功能电能表538</t>
  </si>
  <si>
    <t>170000069892</t>
  </si>
  <si>
    <t>三相三线多功能电能表539</t>
  </si>
  <si>
    <t>170000069893</t>
  </si>
  <si>
    <t>三相三线多功能电能表540</t>
  </si>
  <si>
    <t>170000069894</t>
  </si>
  <si>
    <t>三相三线多功能电能表541</t>
  </si>
  <si>
    <t>170000069895</t>
  </si>
  <si>
    <t>三相三线多功能电能表542</t>
  </si>
  <si>
    <t>170000069896</t>
  </si>
  <si>
    <t>三相三线多功能电能表543</t>
  </si>
  <si>
    <t>170000069897</t>
  </si>
  <si>
    <t>三相三线多功能电能表544</t>
  </si>
  <si>
    <t>170000069898</t>
  </si>
  <si>
    <t>三相三线多功能电能表545</t>
  </si>
  <si>
    <t>170000069899</t>
  </si>
  <si>
    <t>三相三线多功能电能表546</t>
  </si>
  <si>
    <t>170000069900</t>
  </si>
  <si>
    <t>三相三线多功能电能表547</t>
  </si>
  <si>
    <t>170000069901</t>
  </si>
  <si>
    <t>三相三线多功能电能表548</t>
  </si>
  <si>
    <t>170000069902</t>
  </si>
  <si>
    <t>三相三线多功能电能表549</t>
  </si>
  <si>
    <t>170000069903</t>
  </si>
  <si>
    <t>三相三线多功能电能表550</t>
  </si>
  <si>
    <t>170000069904</t>
  </si>
  <si>
    <t>三相三线多功能电能表551</t>
  </si>
  <si>
    <t>170000069905</t>
  </si>
  <si>
    <t>三相三线多功能电能表552</t>
  </si>
  <si>
    <t>170000069906</t>
  </si>
  <si>
    <t>三相三线多功能电能表553</t>
  </si>
  <si>
    <t>170000069907</t>
  </si>
  <si>
    <t>三相三线多功能电能表554</t>
  </si>
  <si>
    <t>170000069908</t>
  </si>
  <si>
    <t>三相三线电能表19</t>
  </si>
  <si>
    <t>170000069909</t>
  </si>
  <si>
    <t>三相三线无功电能表19</t>
  </si>
  <si>
    <t>170000069910</t>
  </si>
  <si>
    <t>三相三线多功能电能表555</t>
  </si>
  <si>
    <t>170000069911</t>
  </si>
  <si>
    <t>三相三线多功能电能表556</t>
  </si>
  <si>
    <t>170000069912</t>
  </si>
  <si>
    <t>三相三线多功能电能表557</t>
  </si>
  <si>
    <t>170000069913</t>
  </si>
  <si>
    <t>三相三线多功能电能表558</t>
  </si>
  <si>
    <t>170000069914</t>
  </si>
  <si>
    <t>三相三线多功能电能表559</t>
  </si>
  <si>
    <t>170000069915</t>
  </si>
  <si>
    <t>三相三线电能表20</t>
  </si>
  <si>
    <t>170000069916</t>
  </si>
  <si>
    <t>三相三线无功电能表20</t>
  </si>
  <si>
    <t>170000069917</t>
  </si>
  <si>
    <t>三相三线电能表21</t>
  </si>
  <si>
    <t>170000069918</t>
  </si>
  <si>
    <t>三相三线无功电能表21</t>
  </si>
  <si>
    <t>170000069919</t>
  </si>
  <si>
    <t>三相三线多功能电能表560</t>
  </si>
  <si>
    <t>170000069920</t>
  </si>
  <si>
    <t>三相三线多功能电能表561</t>
  </si>
  <si>
    <t>170000069921</t>
  </si>
  <si>
    <t>三相三线多功能电能表562</t>
  </si>
  <si>
    <t>170000069922</t>
  </si>
  <si>
    <t>三相三线多功能电能表563</t>
  </si>
  <si>
    <t>170000069923</t>
  </si>
  <si>
    <t>三相三线多功能电能表564</t>
  </si>
  <si>
    <t>170000069924</t>
  </si>
  <si>
    <t>三相三线多功能电能表565</t>
  </si>
  <si>
    <t>170000069925</t>
  </si>
  <si>
    <t>三相三线多功能电能表566</t>
  </si>
  <si>
    <t>170000069926</t>
  </si>
  <si>
    <t>三相三线多功能电能表567</t>
  </si>
  <si>
    <t>170000069927</t>
  </si>
  <si>
    <t>三相三线多功能电能表568</t>
  </si>
  <si>
    <t>170000069928</t>
  </si>
  <si>
    <t>三相三线多功能电能表569</t>
  </si>
  <si>
    <t>170000069929</t>
  </si>
  <si>
    <t>三相三线多功能电能表570</t>
  </si>
  <si>
    <t>170000069930</t>
  </si>
  <si>
    <t>三相三线多功能电能表571</t>
  </si>
  <si>
    <t>170000069931</t>
  </si>
  <si>
    <t>三相三线多功能电能表572</t>
  </si>
  <si>
    <t>170000069932</t>
  </si>
  <si>
    <t>三相三线多功能电能表573</t>
  </si>
  <si>
    <t>170000069933</t>
  </si>
  <si>
    <t>三相三线多功能电能表574</t>
  </si>
  <si>
    <t>170000069934</t>
  </si>
  <si>
    <t>三相三线多功能电能表575</t>
  </si>
  <si>
    <t>170000069935</t>
  </si>
  <si>
    <t>三相三线多功能电能表576</t>
  </si>
  <si>
    <t>170000069936</t>
  </si>
  <si>
    <t>三相三线多功能电能表577</t>
  </si>
  <si>
    <t>170000069937</t>
  </si>
  <si>
    <t>三相三线多功能电能表578</t>
  </si>
  <si>
    <t>170000069938</t>
  </si>
  <si>
    <t>三相三线多功能电能表579</t>
  </si>
  <si>
    <t>170000069939</t>
  </si>
  <si>
    <t>三相三线多功能电能表580</t>
  </si>
  <si>
    <t>170000069940</t>
  </si>
  <si>
    <t>三相三线多功能电能表581</t>
  </si>
  <si>
    <t>170000069941</t>
  </si>
  <si>
    <t>三相三线多功能电能表582</t>
  </si>
  <si>
    <t>170000069942</t>
  </si>
  <si>
    <t>三相三线多功能电能表583</t>
  </si>
  <si>
    <t>170000069943</t>
  </si>
  <si>
    <t>三相三线多功能电能表584</t>
  </si>
  <si>
    <t>170000069944</t>
  </si>
  <si>
    <t>三相三线多功能电能表585</t>
  </si>
  <si>
    <t>170000069945</t>
  </si>
  <si>
    <t>三相三线多功能电能表586</t>
  </si>
  <si>
    <t>170000069946</t>
  </si>
  <si>
    <t>三相三线多功能电能表587</t>
  </si>
  <si>
    <t>170000069947</t>
  </si>
  <si>
    <t>三相三线多功能电能表588</t>
  </si>
  <si>
    <t>170000069948</t>
  </si>
  <si>
    <t>三相三线多功能电能表589</t>
  </si>
  <si>
    <t>170000069949</t>
  </si>
  <si>
    <t>三相三线多功能电能表590</t>
  </si>
  <si>
    <t>170000069950</t>
  </si>
  <si>
    <t>三相三线多功能电能表591</t>
  </si>
  <si>
    <t>170000069951</t>
  </si>
  <si>
    <t>三相三线多功能电能表592</t>
  </si>
  <si>
    <t>170000069952</t>
  </si>
  <si>
    <t>三相三线多功能电能表593</t>
  </si>
  <si>
    <t>170000069953</t>
  </si>
  <si>
    <t>三相三线多功能电能表594</t>
  </si>
  <si>
    <t>170000069954</t>
  </si>
  <si>
    <t>三相三线多功能电能表595</t>
  </si>
  <si>
    <t>170000069955</t>
  </si>
  <si>
    <t>三相三线多功能电能表596</t>
  </si>
  <si>
    <t>170000069956</t>
  </si>
  <si>
    <t>三相三线多功能电能表597</t>
  </si>
  <si>
    <t>170000069957</t>
  </si>
  <si>
    <t>三相三线多功能电能表598</t>
  </si>
  <si>
    <t>170000069958</t>
  </si>
  <si>
    <t>三相三线多功能电能表599</t>
  </si>
  <si>
    <t>170000069959</t>
  </si>
  <si>
    <t>三相三线多功能电能表600</t>
  </si>
  <si>
    <t>170000069960</t>
  </si>
  <si>
    <t>三相三线多功能电能表601</t>
  </si>
  <si>
    <t>170000069961</t>
  </si>
  <si>
    <t>三相三线多功能电能表602</t>
  </si>
  <si>
    <t>170000069962</t>
  </si>
  <si>
    <t>三相三线多功能电能表603</t>
  </si>
  <si>
    <t>170000069963</t>
  </si>
  <si>
    <t>三相三线多功能电能表604</t>
  </si>
  <si>
    <t>170000069964</t>
  </si>
  <si>
    <t>三相三线多功能电能表605</t>
  </si>
  <si>
    <t>170000069965</t>
  </si>
  <si>
    <t>三相三线多功能电能表606</t>
  </si>
  <si>
    <t>170000069966</t>
  </si>
  <si>
    <t>三相三线多功能电能表607</t>
  </si>
  <si>
    <t>170000069967</t>
  </si>
  <si>
    <t>三相三线多功能电能表608</t>
  </si>
  <si>
    <t>170000069968</t>
  </si>
  <si>
    <t>三相三线多功能电能表609</t>
  </si>
  <si>
    <t>170000069969</t>
  </si>
  <si>
    <t>三相三线多功能电能表610</t>
  </si>
  <si>
    <t>170000069970</t>
  </si>
  <si>
    <t>三相三线多功能电能表611</t>
  </si>
  <si>
    <t>170000069971</t>
  </si>
  <si>
    <t>三相三线多功能电能表612</t>
  </si>
  <si>
    <t>170000069972</t>
  </si>
  <si>
    <t>三相三线多功能电能表613</t>
  </si>
  <si>
    <t>170000069973</t>
  </si>
  <si>
    <t>三相三线多功能电能表614</t>
  </si>
  <si>
    <t>170000069974</t>
  </si>
  <si>
    <t>三相三线多功能电能表615</t>
  </si>
  <si>
    <t>170000069975</t>
  </si>
  <si>
    <t>三相三线多功能电能表616</t>
  </si>
  <si>
    <t>170000069976</t>
  </si>
  <si>
    <t>三相三线多功能电能表617</t>
  </si>
  <si>
    <t>170000069977</t>
  </si>
  <si>
    <t>三相三线多功能电能表618</t>
  </si>
  <si>
    <t>170000069978</t>
  </si>
  <si>
    <t>三相三线多功能电能表619</t>
  </si>
  <si>
    <t>170000069979</t>
  </si>
  <si>
    <t>三相三线多功能电能表620</t>
  </si>
  <si>
    <t>170000069980</t>
  </si>
  <si>
    <t>三相三线多功能电能表621</t>
  </si>
  <si>
    <t>170000069981</t>
  </si>
  <si>
    <t>三相三线多功能电能表622</t>
  </si>
  <si>
    <t>170000069982</t>
  </si>
  <si>
    <t>三相三线多功能电能表623</t>
  </si>
  <si>
    <t>170000069983</t>
  </si>
  <si>
    <t>三相三线多功能电能表624</t>
  </si>
  <si>
    <t>170000069984</t>
  </si>
  <si>
    <t>三相三线多功能电能表625</t>
  </si>
  <si>
    <t>170000069985</t>
  </si>
  <si>
    <t>三相三线多功能电能表626</t>
  </si>
  <si>
    <t>170000069986</t>
  </si>
  <si>
    <t>三相三线多功能电能表627</t>
  </si>
  <si>
    <t>170000069987</t>
  </si>
  <si>
    <t>三相三线多功能电能表628</t>
  </si>
  <si>
    <t>170000069988</t>
  </si>
  <si>
    <t>三相三线多功能电能表629</t>
  </si>
  <si>
    <t>170000069989</t>
  </si>
  <si>
    <t>三相三线多功能电能表630</t>
  </si>
  <si>
    <t>170000069990</t>
  </si>
  <si>
    <t>三相三线多功能电能表631</t>
  </si>
  <si>
    <t>170000069991</t>
  </si>
  <si>
    <t>三相三线多功能电能表632</t>
  </si>
  <si>
    <t>170000069992</t>
  </si>
  <si>
    <t>三相三线多功能电能表633</t>
  </si>
  <si>
    <t>170000069993</t>
  </si>
  <si>
    <t>三相三线多功能电能表634</t>
  </si>
  <si>
    <t>170000069994</t>
  </si>
  <si>
    <t>三相三线多功能电能表635</t>
  </si>
  <si>
    <t>170000069995</t>
  </si>
  <si>
    <t>三相三线多功能电能表636</t>
  </si>
  <si>
    <t>170000069996</t>
  </si>
  <si>
    <t>三相三线多功能电能表637</t>
  </si>
  <si>
    <t>170000069997</t>
  </si>
  <si>
    <t>三相三线多功能电能表638</t>
  </si>
  <si>
    <t>170000069998</t>
  </si>
  <si>
    <t>三相三线多功能电能表639</t>
  </si>
  <si>
    <t>170000069999</t>
  </si>
  <si>
    <t>三相三线多功能电能表640</t>
  </si>
  <si>
    <t>170000070000</t>
  </si>
  <si>
    <t>三相三线多功能电能表641</t>
  </si>
  <si>
    <t>170000070001</t>
  </si>
  <si>
    <t>三相三线多功能电能表642</t>
  </si>
  <si>
    <t>170000070002</t>
  </si>
  <si>
    <t>三相三线多功能电能表643</t>
  </si>
  <si>
    <t>170000070003</t>
  </si>
  <si>
    <t>三相三线多功能电能表644</t>
  </si>
  <si>
    <t>170000070004</t>
  </si>
  <si>
    <t>三相三线多功能电能表645</t>
  </si>
  <si>
    <t>170000070005</t>
  </si>
  <si>
    <t>三相三线多功能电能表646</t>
  </si>
  <si>
    <t>170000070006</t>
  </si>
  <si>
    <t>三相三线多功能电能表647</t>
  </si>
  <si>
    <t>170000070007</t>
  </si>
  <si>
    <t>三相三线多功能电能表648</t>
  </si>
  <si>
    <t>170000070008</t>
  </si>
  <si>
    <t>三相三线多功能电能表649</t>
  </si>
  <si>
    <t>170000070009</t>
  </si>
  <si>
    <t>三相三线多功能电能表650</t>
  </si>
  <si>
    <t>170000070010</t>
  </si>
  <si>
    <t>三相三线多功能电能表651</t>
  </si>
  <si>
    <t>170000070011</t>
  </si>
  <si>
    <t>三相三线多功能电能表652</t>
  </si>
  <si>
    <t>170000070012</t>
  </si>
  <si>
    <t>三相三线电能表22</t>
  </si>
  <si>
    <t>170000070013</t>
  </si>
  <si>
    <t>三相三线无功电能表22</t>
  </si>
  <si>
    <t>170000070014</t>
  </si>
  <si>
    <t>三相三线多功能电能表653</t>
  </si>
  <si>
    <t>170000070015</t>
  </si>
  <si>
    <t>三相三线多功能电能表654</t>
  </si>
  <si>
    <t>170000070016</t>
  </si>
  <si>
    <t>三相三线多功能电能表655</t>
  </si>
  <si>
    <t>170000070017</t>
  </si>
  <si>
    <t>三相三线多功能电能表656</t>
  </si>
  <si>
    <t>170000070018</t>
  </si>
  <si>
    <t>三相三线多功能电能表657</t>
  </si>
  <si>
    <t>170000070019</t>
  </si>
  <si>
    <t>三相三线多功能电能表658</t>
  </si>
  <si>
    <t>170000070020</t>
  </si>
  <si>
    <t>三相三线多功能电能表659</t>
  </si>
  <si>
    <t>170000070021</t>
  </si>
  <si>
    <t>三相三线多功能电能表660</t>
  </si>
  <si>
    <t>170000070022</t>
  </si>
  <si>
    <t>三相三线多功能电能表661</t>
  </si>
  <si>
    <t>170000070023</t>
  </si>
  <si>
    <t>三相三线多功能电能表662</t>
  </si>
  <si>
    <t>170000070024</t>
  </si>
  <si>
    <t>三相三线多功能电能表663</t>
  </si>
  <si>
    <t>170000070025</t>
  </si>
  <si>
    <t>三相三线多功能电能表664</t>
  </si>
  <si>
    <t>170000070026</t>
  </si>
  <si>
    <t>三相三线多功能电能表665</t>
  </si>
  <si>
    <t>170000070027</t>
  </si>
  <si>
    <t>三相三线多功能电能表666</t>
  </si>
  <si>
    <t>170000070028</t>
  </si>
  <si>
    <t>三相三线多功能电能表667</t>
  </si>
  <si>
    <t>170000070029</t>
  </si>
  <si>
    <t>三相三线多功能电能表668</t>
  </si>
  <si>
    <t>170000070030</t>
  </si>
  <si>
    <t>三相三线多功能电能表669</t>
  </si>
  <si>
    <t>170000070031</t>
  </si>
  <si>
    <t>三相三线多功能电能表670</t>
  </si>
  <si>
    <t>170000070032</t>
  </si>
  <si>
    <t>三相三线多功能电能表671</t>
  </si>
  <si>
    <t>170000070033</t>
  </si>
  <si>
    <t>三相三线多功能电能表672</t>
  </si>
  <si>
    <t>170000070034</t>
  </si>
  <si>
    <t>三相三线多功能电能表673</t>
  </si>
  <si>
    <t>170000070035</t>
  </si>
  <si>
    <t>三相三线多功能电能表674</t>
  </si>
  <si>
    <t>170000070036</t>
  </si>
  <si>
    <t>三相三线多功能电能表675</t>
  </si>
  <si>
    <t>170000070037</t>
  </si>
  <si>
    <t>三相三线多功能电能表676</t>
  </si>
  <si>
    <t>170000070038</t>
  </si>
  <si>
    <t>三相三线多功能电能表677</t>
  </si>
  <si>
    <t>170000070039</t>
  </si>
  <si>
    <t>三相三线电能表23</t>
  </si>
  <si>
    <t>170000070040</t>
  </si>
  <si>
    <t>三相三线多功能电能表23</t>
  </si>
  <si>
    <t>170000070041</t>
  </si>
  <si>
    <t>三相三线电能表24</t>
  </si>
  <si>
    <t>170000070042</t>
  </si>
  <si>
    <t>三相三线电能表25</t>
  </si>
  <si>
    <t>170000070043</t>
  </si>
  <si>
    <t>三相三线电能表26</t>
  </si>
  <si>
    <t>170000070044</t>
  </si>
  <si>
    <t>三相三线多功能电能表678</t>
  </si>
  <si>
    <t>170000070045</t>
  </si>
  <si>
    <t>三相三线多功能电能表679</t>
  </si>
  <si>
    <t>170000070046</t>
  </si>
  <si>
    <t>三相三线多功能电能表680</t>
  </si>
  <si>
    <t>170000070047</t>
  </si>
  <si>
    <t>三相三线多功能电能表681</t>
  </si>
  <si>
    <t>170000070048</t>
  </si>
  <si>
    <t>三相三线多功能电能表682</t>
  </si>
  <si>
    <t>170000070049</t>
  </si>
  <si>
    <t>三相三线电能表27</t>
  </si>
  <si>
    <t>170000070050</t>
  </si>
  <si>
    <t>三相三线电能表28</t>
  </si>
  <si>
    <t>170000070051</t>
  </si>
  <si>
    <t>三相三线多功能电能表683</t>
  </si>
  <si>
    <t>170000070052</t>
  </si>
  <si>
    <t>三相三线多功能电能表684</t>
  </si>
  <si>
    <t>170000070053</t>
  </si>
  <si>
    <t>三相三线多功能电能表685</t>
  </si>
  <si>
    <t>170000070054</t>
  </si>
  <si>
    <t>三相三线多功能电能表686</t>
  </si>
  <si>
    <t>170000070055</t>
  </si>
  <si>
    <t>三相三线多功能电能表687</t>
  </si>
  <si>
    <t>170000070056</t>
  </si>
  <si>
    <t>三相三线多功能电能表688</t>
  </si>
  <si>
    <t>170000070057</t>
  </si>
  <si>
    <t>三相三线多功能电能表689</t>
  </si>
  <si>
    <t>170000070058</t>
  </si>
  <si>
    <t>三相三线多功能电能表690</t>
  </si>
  <si>
    <t>170000070059</t>
  </si>
  <si>
    <t>三相三线多功能电能表691</t>
  </si>
  <si>
    <t>170000070060</t>
  </si>
  <si>
    <t>三相三线多功能电能表692</t>
  </si>
  <si>
    <t>170000070061</t>
  </si>
  <si>
    <t>三相三线多功能电能表693</t>
  </si>
  <si>
    <t>170000070062</t>
  </si>
  <si>
    <t>三相三线多功能电能表694</t>
  </si>
  <si>
    <t>170000070063</t>
  </si>
  <si>
    <t>三相三线多功能电能表695</t>
  </si>
  <si>
    <t>170000070064</t>
  </si>
  <si>
    <t>三相三线多功能电能表696</t>
  </si>
  <si>
    <t>170000070065</t>
  </si>
  <si>
    <t>三相三线多功能电能表697</t>
  </si>
  <si>
    <t>170000070066</t>
  </si>
  <si>
    <t>三相三线多功能电能表698</t>
  </si>
  <si>
    <t>170000070067</t>
  </si>
  <si>
    <t>三相三线多功能电能表699</t>
  </si>
  <si>
    <t>170000070068</t>
  </si>
  <si>
    <t>三相三线多功能电能表700</t>
  </si>
  <si>
    <t>170000070069</t>
  </si>
  <si>
    <t>三相三线多功能电能表701</t>
  </si>
  <si>
    <t>170000070070</t>
  </si>
  <si>
    <t>三相三线多功能电能表702</t>
  </si>
  <si>
    <t>170000070071</t>
  </si>
  <si>
    <t>三相三线多功能电能表703</t>
  </si>
  <si>
    <t>170000070072</t>
  </si>
  <si>
    <t>三相三线多功能电能表704</t>
  </si>
  <si>
    <t>170000070073</t>
  </si>
  <si>
    <t>三相三线多功能电能表705</t>
  </si>
  <si>
    <t>170000070074</t>
  </si>
  <si>
    <t>三相三线多功能电能表706</t>
  </si>
  <si>
    <t>170000070075</t>
  </si>
  <si>
    <t>三相三线多功能电能表707</t>
  </si>
  <si>
    <t>170000070076</t>
  </si>
  <si>
    <t>三相三线多功能电能表708</t>
  </si>
  <si>
    <t>170000070077</t>
  </si>
  <si>
    <t>三相三线多功能电能表709</t>
  </si>
  <si>
    <t>170000070078</t>
  </si>
  <si>
    <t>三相三线多功能电能表710</t>
  </si>
  <si>
    <t>170000070079</t>
  </si>
  <si>
    <t>三相三线多功能电能表711</t>
  </si>
  <si>
    <t>170000070080</t>
  </si>
  <si>
    <t>三相三线多功能电能表712</t>
  </si>
  <si>
    <t>170000070081</t>
  </si>
  <si>
    <t>三相三线多功能电能表713</t>
  </si>
  <si>
    <t>170000070082</t>
  </si>
  <si>
    <t>三相三线多功能电能表720</t>
  </si>
  <si>
    <t>170000070083</t>
  </si>
  <si>
    <t>三相三线多功能电能表721</t>
  </si>
  <si>
    <t>170000070084</t>
  </si>
  <si>
    <t>三相三线多功能电能表722</t>
  </si>
  <si>
    <t>170000070085</t>
  </si>
  <si>
    <t>三相三线多功能电能表723</t>
  </si>
  <si>
    <t>170000070086</t>
  </si>
  <si>
    <t>三相三线多功能电能表724</t>
  </si>
  <si>
    <t>170000070087</t>
  </si>
  <si>
    <t>三相三线多功能电能表725</t>
  </si>
  <si>
    <t>170000070088</t>
  </si>
  <si>
    <t>三相三线多功能电能表727</t>
  </si>
  <si>
    <t>170000070089</t>
  </si>
  <si>
    <t>三相三线多功能电能表728</t>
  </si>
  <si>
    <t>170000070090</t>
  </si>
  <si>
    <t>三相三线多功能电能表729</t>
  </si>
  <si>
    <t>170000070091</t>
  </si>
  <si>
    <t>三相三线多功能电能表730</t>
  </si>
  <si>
    <t>170000070092</t>
  </si>
  <si>
    <t>三相三线多功能电能表731</t>
  </si>
  <si>
    <t>170000070093</t>
  </si>
  <si>
    <t>三相三线多功能电能表732</t>
  </si>
  <si>
    <t>170000070094</t>
  </si>
  <si>
    <t>三相三线多功能电能表733</t>
  </si>
  <si>
    <t>170000070095</t>
  </si>
  <si>
    <t>三相三线多功能电能表734</t>
  </si>
  <si>
    <t>170000070096</t>
  </si>
  <si>
    <t>三相三线多功能电能表715</t>
  </si>
  <si>
    <t>170000070097</t>
  </si>
  <si>
    <t>三相三线多功能电能表716</t>
  </si>
  <si>
    <t>170000070098</t>
  </si>
  <si>
    <t>三相三线多功能电能表717</t>
  </si>
  <si>
    <t>170000070099</t>
  </si>
  <si>
    <t>三相三线多功能电能表718</t>
  </si>
  <si>
    <t>170000070100</t>
  </si>
  <si>
    <t>170000070101</t>
  </si>
  <si>
    <t>170000070102</t>
  </si>
  <si>
    <t>170000070103</t>
  </si>
  <si>
    <t>170000070104</t>
  </si>
  <si>
    <t>170000070105</t>
  </si>
  <si>
    <t>170000070106</t>
  </si>
  <si>
    <t>三相三线多功能电能表330</t>
  </si>
  <si>
    <t>170000070107</t>
  </si>
  <si>
    <t>三相三线多功能电能表331</t>
  </si>
  <si>
    <t>170000070108</t>
  </si>
  <si>
    <t>三相三线多功能电能表332</t>
  </si>
  <si>
    <t>170000070109</t>
  </si>
  <si>
    <t>三相三线多功能电能表333</t>
  </si>
  <si>
    <t>170000070110</t>
  </si>
  <si>
    <t>三相三线多功能电能表334</t>
  </si>
  <si>
    <t>170000070111</t>
  </si>
  <si>
    <t>三相三线多功能电能表335</t>
  </si>
  <si>
    <t>170000070112</t>
  </si>
  <si>
    <t>三相三线电能表14</t>
  </si>
  <si>
    <t>170000070113</t>
  </si>
  <si>
    <t>三相三线无功电能表14</t>
  </si>
  <si>
    <t>170000070114</t>
  </si>
  <si>
    <t>三相三线多功能电能表336</t>
  </si>
  <si>
    <t>170000070115</t>
  </si>
  <si>
    <t>三相三线多功能电能表337</t>
  </si>
  <si>
    <t>170000070116</t>
  </si>
  <si>
    <t>三相三线多功能电能表338</t>
  </si>
  <si>
    <t>170000070117</t>
  </si>
  <si>
    <t>三相三线多功能电能表339</t>
  </si>
  <si>
    <t>170000070118</t>
  </si>
  <si>
    <t>三相三线多功能电能表340</t>
  </si>
  <si>
    <t>170000070119</t>
  </si>
  <si>
    <t>三相三线多功能电能表341</t>
  </si>
  <si>
    <t>170000070120</t>
  </si>
  <si>
    <t>三相三线多功能电能表342</t>
  </si>
  <si>
    <t>170000070121</t>
  </si>
  <si>
    <t>三相三线多功能电能表343</t>
  </si>
  <si>
    <t>170000070122</t>
  </si>
  <si>
    <t>三相三线多功能电能表344</t>
  </si>
  <si>
    <t>170000070123</t>
  </si>
  <si>
    <t>三相三线多功能电能表345</t>
  </si>
  <si>
    <t>170000070124</t>
  </si>
  <si>
    <t>三相三线多功能电能表346</t>
  </si>
  <si>
    <t>170000070125</t>
  </si>
  <si>
    <t>三相三线多功能电能表347</t>
  </si>
  <si>
    <t>170000070126</t>
  </si>
  <si>
    <t>三相三线多功能电能表348</t>
  </si>
  <si>
    <t>170000070127</t>
  </si>
  <si>
    <t>三相三线多功能电能表349</t>
  </si>
  <si>
    <t>170000070128</t>
  </si>
  <si>
    <t>三相三线多功能电能表350</t>
  </si>
  <si>
    <t>170000070129</t>
  </si>
  <si>
    <t>三相三线多功能电能表351</t>
  </si>
  <si>
    <t>170000070130</t>
  </si>
  <si>
    <t>三相三线多功能电能表352</t>
  </si>
  <si>
    <t>170000070131</t>
  </si>
  <si>
    <t>三相三线多功能电能表353</t>
  </si>
  <si>
    <t>170000070132</t>
  </si>
  <si>
    <t>三相三线多功能电能表354</t>
  </si>
  <si>
    <t>170000070133</t>
  </si>
  <si>
    <t>三相三线多功能电能表355</t>
  </si>
  <si>
    <t>170000070134</t>
  </si>
  <si>
    <t>三相三线多功能电能表356</t>
  </si>
  <si>
    <t>170000070135</t>
  </si>
  <si>
    <t>三相三线多功能电能表357</t>
  </si>
  <si>
    <t>170000070136</t>
  </si>
  <si>
    <t>三相三线多功能电能表358</t>
  </si>
  <si>
    <t>170000070137</t>
  </si>
  <si>
    <t>三相三线多功能电能表359</t>
  </si>
  <si>
    <t>170000070138</t>
  </si>
  <si>
    <t>三相三线多功能电能表360</t>
  </si>
  <si>
    <t>170000070139</t>
  </si>
  <si>
    <t>三相三线多功能电能表361</t>
  </si>
  <si>
    <t>170000070140</t>
  </si>
  <si>
    <t>三相三线多功能电能表362</t>
  </si>
  <si>
    <t>170000070141</t>
  </si>
  <si>
    <t>三相三线多功能电能表363</t>
  </si>
  <si>
    <t>170000070142</t>
  </si>
  <si>
    <t>三相三线多功能电能表364</t>
  </si>
  <si>
    <t>170000070143</t>
  </si>
  <si>
    <t>三相三线电能表15</t>
  </si>
  <si>
    <t>170000070144</t>
  </si>
  <si>
    <t>三相三线无功电能表15</t>
  </si>
  <si>
    <t>170000070145</t>
  </si>
  <si>
    <t>三相三线多功能电能表365</t>
  </si>
  <si>
    <t>170000070146</t>
  </si>
  <si>
    <t>三相三线多功能电能表366</t>
  </si>
  <si>
    <t>170000070147</t>
  </si>
  <si>
    <t>三相三线多功能电能表367</t>
  </si>
  <si>
    <t>170000070148</t>
  </si>
  <si>
    <t>三相三线多功能电能表368</t>
  </si>
  <si>
    <t>170000070149</t>
  </si>
  <si>
    <t>三相三线多功能电能表369</t>
  </si>
  <si>
    <t>170000070150</t>
  </si>
  <si>
    <t>三相三线多功能电能表370</t>
  </si>
  <si>
    <t>170000070151</t>
  </si>
  <si>
    <t>三相三线多功能电能表371</t>
  </si>
  <si>
    <t>170000070152</t>
  </si>
  <si>
    <t>三相三线多功能电能表372</t>
  </si>
  <si>
    <t>170000070153</t>
  </si>
  <si>
    <t>三相三线多功能电能表373</t>
  </si>
  <si>
    <t>170000070154</t>
  </si>
  <si>
    <t>三相三线多功能电能表374</t>
  </si>
  <si>
    <t>170000070155</t>
  </si>
  <si>
    <t>三相三线多功能电能表375</t>
  </si>
  <si>
    <t>170000070156</t>
  </si>
  <si>
    <t>三相三线多功能电能表376</t>
  </si>
  <si>
    <t>170000070157</t>
  </si>
  <si>
    <t>三相三线多功能电能表377</t>
  </si>
  <si>
    <t>170000070158</t>
  </si>
  <si>
    <t>三相三线多功能电能表378</t>
  </si>
  <si>
    <t>170000070159</t>
  </si>
  <si>
    <t>三相三线多功能电能表379</t>
  </si>
  <si>
    <t>170000070160</t>
  </si>
  <si>
    <t>三相三线多功能电能表380</t>
  </si>
  <si>
    <t>170000070161</t>
  </si>
  <si>
    <t>三相三线多功能电能表381</t>
  </si>
  <si>
    <t>170000070162</t>
  </si>
  <si>
    <t>三相三线多功能电能表382</t>
  </si>
  <si>
    <t>170000070163</t>
  </si>
  <si>
    <t>三相三线多功能电能表383</t>
  </si>
  <si>
    <t>170000070164</t>
  </si>
  <si>
    <t>三相三线多功能电能表384</t>
  </si>
  <si>
    <t>170000070165</t>
  </si>
  <si>
    <t>三相三线多功能电能表385</t>
  </si>
  <si>
    <t>170000070166</t>
  </si>
  <si>
    <t>三相三线多功能电能表386</t>
  </si>
  <si>
    <t>170000070167</t>
  </si>
  <si>
    <t>三相三线多功能电能表387</t>
  </si>
  <si>
    <t>170000070168</t>
  </si>
  <si>
    <t>三相三线多功能电能表388</t>
  </si>
  <si>
    <t>170000070169</t>
  </si>
  <si>
    <t>三相三线多功能电能表389</t>
  </si>
  <si>
    <t>170000070170</t>
  </si>
  <si>
    <t>三相三线多功能电能表390</t>
  </si>
  <si>
    <t>170000070171</t>
  </si>
  <si>
    <t>三相三线多功能电能表391</t>
  </si>
  <si>
    <t>170000070172</t>
  </si>
  <si>
    <t>三相三线多功能电能表392</t>
  </si>
  <si>
    <t>170000070173</t>
  </si>
  <si>
    <t>三相三线多功能电能表393</t>
  </si>
  <si>
    <t>170000070174</t>
  </si>
  <si>
    <t>三相三线多功能电能表394</t>
  </si>
  <si>
    <t>170000070175</t>
  </si>
  <si>
    <t>三相三线多功能电能表395</t>
  </si>
  <si>
    <t>170000070176</t>
  </si>
  <si>
    <t>三相三线多功能电能表396</t>
  </si>
  <si>
    <t>170000070177</t>
  </si>
  <si>
    <t>三相三线多功能电能表397</t>
  </si>
  <si>
    <t>170000070178</t>
  </si>
  <si>
    <t>三相三线多功能电能表398</t>
  </si>
  <si>
    <t>170000070179</t>
  </si>
  <si>
    <t>三相三线多功能电能表399</t>
  </si>
  <si>
    <t>170000070180</t>
  </si>
  <si>
    <t>三相三线多功能电能表400</t>
  </si>
  <si>
    <t>170000070181</t>
  </si>
  <si>
    <t>三相三线多功能电能表401</t>
  </si>
  <si>
    <t>170000070182</t>
  </si>
  <si>
    <t>三相三线多功能电能表402</t>
  </si>
  <si>
    <t>170000070183</t>
  </si>
  <si>
    <t>三相三线多功能电能表403</t>
  </si>
  <si>
    <t>170000070184</t>
  </si>
  <si>
    <t>三相三线多功能电能表404</t>
  </si>
  <si>
    <t>170000070185</t>
  </si>
  <si>
    <t>三相三线多功能电能表405</t>
  </si>
  <si>
    <t>170000070186</t>
  </si>
  <si>
    <t>三相三线电能表16</t>
  </si>
  <si>
    <t>170000070187</t>
  </si>
  <si>
    <t>三相三线无功电能表16</t>
  </si>
  <si>
    <t>170000070188</t>
  </si>
  <si>
    <t>三相三线多功能电能表406</t>
  </si>
  <si>
    <t>170000070189</t>
  </si>
  <si>
    <t>三相三线多功能电能表407</t>
  </si>
  <si>
    <t>170000070190</t>
  </si>
  <si>
    <t>三相三线多功能电能表408</t>
  </si>
  <si>
    <t>170000070191</t>
  </si>
  <si>
    <t>三相三线多功能电能表409</t>
  </si>
  <si>
    <t>170000070192</t>
  </si>
  <si>
    <t>三相三线多功能电能表410</t>
  </si>
  <si>
    <t>170000070193</t>
  </si>
  <si>
    <t>三相三线多功能电能表411</t>
  </si>
  <si>
    <t>170000070194</t>
  </si>
  <si>
    <t>三相三线多功能电能表412</t>
  </si>
  <si>
    <t>170000070195</t>
  </si>
  <si>
    <t>三相三线多功能电能表413</t>
  </si>
  <si>
    <t>170000070196</t>
  </si>
  <si>
    <t>三相三线多功能电能表414</t>
  </si>
  <si>
    <t>170000070197</t>
  </si>
  <si>
    <t>三相三线多功能电能表415</t>
  </si>
  <si>
    <t>170000070198</t>
  </si>
  <si>
    <t>三相三线多功能电能表416</t>
  </si>
  <si>
    <t>170000070199</t>
  </si>
  <si>
    <t>三相三线多功能电能表417</t>
  </si>
  <si>
    <t>170000070200</t>
  </si>
  <si>
    <t>三相三线多功能电能表418</t>
  </si>
  <si>
    <t>170000070201</t>
  </si>
  <si>
    <t>三相三线多功能电能表419</t>
  </si>
  <si>
    <t>170000070202</t>
  </si>
  <si>
    <t>三相三线多功能电能表420</t>
  </si>
  <si>
    <t>170000070203</t>
  </si>
  <si>
    <t>三相三线多功能电能表421</t>
  </si>
  <si>
    <t>170000070204</t>
  </si>
  <si>
    <t>三相三线多功能电能表422</t>
  </si>
  <si>
    <t>170000070205</t>
  </si>
  <si>
    <t>三相三线多功能电能表423</t>
  </si>
  <si>
    <t>170000070206</t>
  </si>
  <si>
    <t>三相三线多功能电能表424</t>
  </si>
  <si>
    <t>170000070207</t>
  </si>
  <si>
    <t>三相三线多功能电能表425</t>
  </si>
  <si>
    <t>170000070208</t>
  </si>
  <si>
    <t>三相三线多功能电能表426</t>
  </si>
  <si>
    <t>170000070209</t>
  </si>
  <si>
    <t>三相三线多功能电能表427</t>
  </si>
  <si>
    <t>170000070210</t>
  </si>
  <si>
    <t>三相三线多功能电能表428</t>
  </si>
  <si>
    <t>170000070211</t>
  </si>
  <si>
    <t>三相三线多功能电能表429</t>
  </si>
  <si>
    <t>170000070212</t>
  </si>
  <si>
    <t>三相三线多功能电能表430</t>
  </si>
  <si>
    <t>170000070213</t>
  </si>
  <si>
    <t>三相三线多功能电能表431</t>
  </si>
  <si>
    <t>170000070214</t>
  </si>
  <si>
    <t>三相三线多功能电能表432</t>
  </si>
  <si>
    <t>170000070215</t>
  </si>
  <si>
    <t>三相三线多功能电能表433</t>
  </si>
  <si>
    <t>170000070216</t>
  </si>
  <si>
    <t>三相三线多功能电能表434</t>
  </si>
  <si>
    <t>170000070217</t>
  </si>
  <si>
    <t>三相三线多功能电能表435</t>
  </si>
  <si>
    <t>170000070218</t>
  </si>
  <si>
    <t>三相三线多功能电能表436</t>
  </si>
  <si>
    <t>170000070219</t>
  </si>
  <si>
    <t>三相三线电能表17</t>
  </si>
  <si>
    <t>170000070220</t>
  </si>
  <si>
    <t>三相三线无功电能表17</t>
  </si>
  <si>
    <t>170000070221</t>
  </si>
  <si>
    <t>三相三线多功能电能表437</t>
  </si>
  <si>
    <t>170000070222</t>
  </si>
  <si>
    <t>三相三线多功能电能表438</t>
  </si>
  <si>
    <t>170000070223</t>
  </si>
  <si>
    <t>三相三线多功能电能表439</t>
  </si>
  <si>
    <t>170000070224</t>
  </si>
  <si>
    <t>三相三线多功能电能表440</t>
  </si>
  <si>
    <t>170000070225</t>
  </si>
  <si>
    <t>三相三线多功能电能表441</t>
  </si>
  <si>
    <t>170000070226</t>
  </si>
  <si>
    <t>三相三线多功能电能表442</t>
  </si>
  <si>
    <t>170000070227</t>
  </si>
  <si>
    <t>三相三线多功能电能表443</t>
  </si>
  <si>
    <t>170000070228</t>
  </si>
  <si>
    <t>三相三线多功能电能表444</t>
  </si>
  <si>
    <t>170000070229</t>
  </si>
  <si>
    <t>三相三线多功能电能表445</t>
  </si>
  <si>
    <t>170000070230</t>
  </si>
  <si>
    <t>三相三线多功能电能表446</t>
  </si>
  <si>
    <t>170000070231</t>
  </si>
  <si>
    <t>三相三线多功能电能表447</t>
  </si>
  <si>
    <t>170000070232</t>
  </si>
  <si>
    <t>三相三线多功能电能表448</t>
  </si>
  <si>
    <t>170000070233</t>
  </si>
  <si>
    <t>三相三线多功能电能表449</t>
  </si>
  <si>
    <t>170000070234</t>
  </si>
  <si>
    <t>三相三线多功能电能表450</t>
  </si>
  <si>
    <t>170000070235</t>
  </si>
  <si>
    <t>三相三线多功能电能表451</t>
  </si>
  <si>
    <t>170000070236</t>
  </si>
  <si>
    <t>三相三线多功能电能表452</t>
  </si>
  <si>
    <t>170000070237</t>
  </si>
  <si>
    <t>三相三线多功能电能表453</t>
  </si>
  <si>
    <t>170000070238</t>
  </si>
  <si>
    <t>三相三线多功能电能表454</t>
  </si>
  <si>
    <t>170000070239</t>
  </si>
  <si>
    <t>三相三线多功能电能表455</t>
  </si>
  <si>
    <t>170000070240</t>
  </si>
  <si>
    <t>三相三线多功能电能表456</t>
  </si>
  <si>
    <t>170000070241</t>
  </si>
  <si>
    <t>三相三线电能表18</t>
  </si>
  <si>
    <t>170000070242</t>
  </si>
  <si>
    <t>三相三线无功电能表18</t>
  </si>
  <si>
    <t>170000070243</t>
  </si>
  <si>
    <t>三相三线多功能电能表457</t>
  </si>
  <si>
    <t>170000070244</t>
  </si>
  <si>
    <t>三相三线多功能电能表458</t>
  </si>
  <si>
    <t>170000070245</t>
  </si>
  <si>
    <t>三相三线多功能电能表459</t>
  </si>
  <si>
    <t>170000070246</t>
  </si>
  <si>
    <t>三相三线多功能电能表460</t>
  </si>
  <si>
    <t>170000070247</t>
  </si>
  <si>
    <t>三相三线多功能电能表461</t>
  </si>
  <si>
    <t>170000070248</t>
  </si>
  <si>
    <t>三相三线多功能电能表462</t>
  </si>
  <si>
    <t>170000070249</t>
  </si>
  <si>
    <t>三相三线多功能电能表463</t>
  </si>
  <si>
    <t>170000070250</t>
  </si>
  <si>
    <t>三相三线多功能电能表464</t>
  </si>
  <si>
    <t>170000070251</t>
  </si>
  <si>
    <t>三相三线多功能电能表465</t>
  </si>
  <si>
    <t>170000070252</t>
  </si>
  <si>
    <t>三相三线多功能电能表466</t>
  </si>
  <si>
    <t>170000070253</t>
  </si>
  <si>
    <t>三相三线多功能电能表467</t>
  </si>
  <si>
    <t>170000070254</t>
  </si>
  <si>
    <t>三相三线多功能电能表468</t>
  </si>
  <si>
    <t>170000070255</t>
  </si>
  <si>
    <t>三相三线多功能电能表469</t>
  </si>
  <si>
    <t>170000070256</t>
  </si>
  <si>
    <t>三相三线多功能电能表470</t>
  </si>
  <si>
    <t>170000070257</t>
  </si>
  <si>
    <t>三相三线多功能电能表471</t>
  </si>
  <si>
    <t>170000070258</t>
  </si>
  <si>
    <t>三相三线多功能电能表472</t>
  </si>
  <si>
    <t>170000070259</t>
  </si>
  <si>
    <t>抄表仪器2</t>
  </si>
  <si>
    <t>170000070260</t>
  </si>
  <si>
    <t>抄表仪器3</t>
  </si>
  <si>
    <t>170000070261</t>
  </si>
  <si>
    <t>抄表仪器4</t>
  </si>
  <si>
    <t>170000070262</t>
  </si>
  <si>
    <t>抄表仪器5</t>
  </si>
  <si>
    <t>170000070263</t>
  </si>
  <si>
    <t>抄表仪器6</t>
  </si>
  <si>
    <t>170000070264</t>
  </si>
  <si>
    <t>抄表仪器7</t>
  </si>
  <si>
    <t>170000070265</t>
  </si>
  <si>
    <t>抄表仪器8</t>
  </si>
  <si>
    <t>170000070266</t>
  </si>
  <si>
    <t>抄表仪器9</t>
  </si>
  <si>
    <t>170000070267</t>
  </si>
  <si>
    <t>抄表仪器10</t>
  </si>
  <si>
    <t>170000070268</t>
  </si>
  <si>
    <t>抄表仪器11</t>
  </si>
  <si>
    <t>170000070269</t>
  </si>
  <si>
    <t>抄表仪器12</t>
  </si>
  <si>
    <t>170000070270</t>
  </si>
  <si>
    <t>抄表仪器13</t>
  </si>
  <si>
    <t>170000070271</t>
  </si>
  <si>
    <t>抄表仪器14</t>
  </si>
  <si>
    <t>170000070272</t>
  </si>
  <si>
    <t>抄表仪器15</t>
  </si>
  <si>
    <t>170000070273</t>
  </si>
  <si>
    <t>抄表仪器16</t>
  </si>
  <si>
    <t>170000070274</t>
  </si>
  <si>
    <t>抄表仪器17</t>
  </si>
  <si>
    <t>170000070275</t>
  </si>
  <si>
    <t>抄表仪器18</t>
  </si>
  <si>
    <t>170000070276</t>
  </si>
  <si>
    <t>抄表仪器19</t>
  </si>
  <si>
    <t>170000070277</t>
  </si>
  <si>
    <t>抄表仪器20</t>
  </si>
  <si>
    <t>170000070278</t>
  </si>
  <si>
    <t>三相三线多功能电能表726</t>
  </si>
  <si>
    <t>170000070279</t>
  </si>
  <si>
    <t>读卡器</t>
  </si>
  <si>
    <t>170000070280</t>
  </si>
  <si>
    <t>35KV胥钢线装设泵售关口表用电流互感器LZZB7-35G400/50.2S</t>
  </si>
  <si>
    <t>170000070281</t>
  </si>
  <si>
    <t>电流互感器</t>
  </si>
  <si>
    <t>170000070282</t>
  </si>
  <si>
    <t>170000070283</t>
  </si>
  <si>
    <t>中兴流酸厂组合互感器</t>
  </si>
  <si>
    <t>170000070284</t>
  </si>
  <si>
    <t>都江堰热处理组合互感器</t>
  </si>
  <si>
    <t>170000070285</t>
  </si>
  <si>
    <t>170000070288</t>
  </si>
  <si>
    <t>170000070289</t>
  </si>
  <si>
    <t>闽通钢铁厂计量改造用JLSZ-35W400-500-600/5组合互感器</t>
  </si>
  <si>
    <t>170000070290</t>
  </si>
  <si>
    <t>金凤气体厂安装JLSZV-10-20-30/5A高压计量箱</t>
  </si>
  <si>
    <t>170000070291</t>
  </si>
  <si>
    <t>白沙站映张白支线新装35W组合互感器</t>
  </si>
  <si>
    <t>170000070292</t>
  </si>
  <si>
    <t>170000070293</t>
  </si>
  <si>
    <t>干式组合互感器新桥砂石厂更换</t>
  </si>
  <si>
    <t>170000070294</t>
  </si>
  <si>
    <t>电压互感器河西站、千家湾站更换</t>
  </si>
  <si>
    <t>170000070295</t>
  </si>
  <si>
    <t>电压互感器35kV胥钢线泵售关口表用</t>
  </si>
  <si>
    <t>170000070296</t>
  </si>
  <si>
    <t>组合互感器10KV关济路新装</t>
  </si>
  <si>
    <t>170000070297</t>
  </si>
  <si>
    <t>干式组合互感器青青园</t>
  </si>
  <si>
    <t>170000070298</t>
  </si>
  <si>
    <t>环网开关用组合互感器城奎路、白城路、幸城三路</t>
  </si>
  <si>
    <t>170000070299</t>
  </si>
  <si>
    <t>1级三相费控智能电能表(模块-CPU卡-开关内置）,220/380V,5(60)</t>
  </si>
  <si>
    <t>170000070300</t>
  </si>
  <si>
    <t>1级三相费控智能电能表（模块-远程-开关外置）220/380V,1.5(6)A</t>
  </si>
  <si>
    <t>170000070301</t>
  </si>
  <si>
    <t>集中器I型（无线公网GPRS/窄带载波）</t>
  </si>
  <si>
    <t>170000070302</t>
  </si>
  <si>
    <t>集中器通信模块</t>
  </si>
  <si>
    <t>170000070303</t>
  </si>
  <si>
    <t>安装式三相三线电能表配件,载波模块</t>
  </si>
  <si>
    <t>170000070304</t>
  </si>
  <si>
    <t>安装式单相电能表配件,载波模块</t>
  </si>
  <si>
    <t>170000070305</t>
  </si>
  <si>
    <t>集中器箱</t>
  </si>
  <si>
    <t>170000076213</t>
  </si>
  <si>
    <t>三相电能表1</t>
  </si>
  <si>
    <t>170000076214</t>
  </si>
  <si>
    <t>三相电能表2</t>
  </si>
  <si>
    <t>170000076215</t>
  </si>
  <si>
    <t>三相电能表3</t>
  </si>
  <si>
    <t>170000076216</t>
  </si>
  <si>
    <t>三相电能表4</t>
  </si>
  <si>
    <t>170000076217</t>
  </si>
  <si>
    <t>三相电能表5</t>
  </si>
  <si>
    <t>170000076218</t>
  </si>
  <si>
    <t>三相电能表6</t>
  </si>
  <si>
    <t>170000076219</t>
  </si>
  <si>
    <t>三相电能表7</t>
  </si>
  <si>
    <t>170000076220</t>
  </si>
  <si>
    <t>三相电能表8</t>
  </si>
  <si>
    <t>170000076221</t>
  </si>
  <si>
    <t>三相电能表9</t>
  </si>
  <si>
    <t>170000084157</t>
  </si>
  <si>
    <t>电能表屏</t>
  </si>
  <si>
    <t>170000084158</t>
  </si>
  <si>
    <t>170000084256</t>
  </si>
  <si>
    <t>220kV线路、2号主变电度表屏</t>
  </si>
  <si>
    <t>170000084257</t>
  </si>
  <si>
    <t>220kV源双线电度表屏</t>
  </si>
  <si>
    <t>170000097344</t>
  </si>
  <si>
    <t>电能计量箱（1210只）</t>
  </si>
  <si>
    <t>170000097345</t>
  </si>
  <si>
    <t>电能计量箱（2067只）</t>
  </si>
  <si>
    <t>170000097346</t>
  </si>
  <si>
    <t>电能计量箱（72只）</t>
  </si>
  <si>
    <t>170000102017</t>
  </si>
  <si>
    <t>计量周转柜</t>
  </si>
  <si>
    <t>170000102018</t>
  </si>
  <si>
    <t>计量周转箱（18个）</t>
  </si>
  <si>
    <t>170000102019</t>
  </si>
  <si>
    <t>计量周转箱（1个）</t>
  </si>
  <si>
    <t>170000102024</t>
  </si>
  <si>
    <t>170000102025</t>
  </si>
  <si>
    <t>170000102845</t>
  </si>
  <si>
    <t>电能计量箱（93只）</t>
  </si>
  <si>
    <t>170000102846</t>
  </si>
  <si>
    <t>三相智能表（93只）</t>
  </si>
  <si>
    <t>170000102847</t>
  </si>
  <si>
    <t>专变采集终端（93套）</t>
  </si>
  <si>
    <t>170000102848</t>
  </si>
  <si>
    <t>电压互感器（168台）</t>
  </si>
  <si>
    <t>170000103083</t>
  </si>
  <si>
    <t>电能计量箱（74只）</t>
  </si>
  <si>
    <t>170000103084</t>
  </si>
  <si>
    <t>三相智能表（74只）</t>
  </si>
  <si>
    <t>170000103085</t>
  </si>
  <si>
    <t>低压电流互感器（27台）</t>
  </si>
  <si>
    <t>170000103086</t>
  </si>
  <si>
    <t>低压电流互感器（24台）</t>
  </si>
  <si>
    <t>170000103087</t>
  </si>
  <si>
    <t>低压电流互感器（12台）</t>
  </si>
  <si>
    <t>170000103088</t>
  </si>
  <si>
    <t>低压电流互感器（6台）</t>
  </si>
  <si>
    <t>170000103089</t>
  </si>
  <si>
    <t>170000103090</t>
  </si>
  <si>
    <t>低压电流互感器（33台）</t>
  </si>
  <si>
    <t>170000103091</t>
  </si>
  <si>
    <t>低压电流互感器（114台）</t>
  </si>
  <si>
    <t>170101001414</t>
  </si>
  <si>
    <t>2011年变电站计量信息采集系统</t>
  </si>
  <si>
    <t>170101011774</t>
  </si>
  <si>
    <t>采集器（600个）</t>
  </si>
  <si>
    <t>170101011775</t>
  </si>
  <si>
    <t>170101011776</t>
  </si>
  <si>
    <t>采集器（120个）</t>
  </si>
  <si>
    <t>170101011777</t>
  </si>
  <si>
    <t>集中器（35个）</t>
  </si>
  <si>
    <t>170101011778</t>
  </si>
  <si>
    <t>专变采集终端（67台）</t>
  </si>
  <si>
    <t>170101011779</t>
  </si>
  <si>
    <t>集中器(32台）</t>
  </si>
  <si>
    <t>170101011780</t>
  </si>
  <si>
    <t>专变采集终端（106台）</t>
  </si>
  <si>
    <t>170101011781</t>
  </si>
  <si>
    <t>专变采集终端（49台）</t>
  </si>
  <si>
    <t>170101011782</t>
  </si>
  <si>
    <t>集中器（75台）</t>
  </si>
  <si>
    <t>170101011783</t>
  </si>
  <si>
    <t>专变采集终端（52台）</t>
  </si>
  <si>
    <t>170101011784</t>
  </si>
  <si>
    <t>集中器（25台）</t>
  </si>
  <si>
    <t>170101011863</t>
  </si>
  <si>
    <t>集中器（3台）</t>
  </si>
  <si>
    <t>170101011864</t>
  </si>
  <si>
    <t>集中器（214台）</t>
  </si>
  <si>
    <t>170101011865</t>
  </si>
  <si>
    <t>专变终端（120台）</t>
  </si>
  <si>
    <t>170101011866</t>
  </si>
  <si>
    <t>专变终端（113台）</t>
  </si>
  <si>
    <t>170101025768</t>
  </si>
  <si>
    <t>多路电能量采集屏</t>
  </si>
  <si>
    <t>170101025769</t>
  </si>
  <si>
    <t>多路电能量采集柜</t>
  </si>
  <si>
    <t>170101025770</t>
  </si>
  <si>
    <t>电能数据采集装置</t>
  </si>
  <si>
    <t>170101025771</t>
  </si>
  <si>
    <t>电量采集屏</t>
  </si>
  <si>
    <t>170101031255</t>
  </si>
  <si>
    <t>完善专变客户用电信息采集终端远程接控功能决算转资</t>
  </si>
  <si>
    <t>170101031256</t>
  </si>
  <si>
    <t>第一批用电信息采集系17台集中器</t>
  </si>
  <si>
    <t>170101042738</t>
  </si>
  <si>
    <t>集中器（98台）</t>
  </si>
  <si>
    <t>170101042868</t>
  </si>
  <si>
    <t>专变终端（149台）</t>
  </si>
  <si>
    <t>170201001476</t>
  </si>
  <si>
    <t>电费自助缴费终端设备（1台）</t>
  </si>
  <si>
    <t>170201001477</t>
  </si>
  <si>
    <t>170201001478</t>
  </si>
  <si>
    <t>170201001479</t>
  </si>
  <si>
    <t>170201001480</t>
  </si>
  <si>
    <t>170201001481</t>
  </si>
  <si>
    <t>170201001482</t>
  </si>
  <si>
    <t>170201001483</t>
  </si>
  <si>
    <t>170201001484</t>
  </si>
  <si>
    <t>170201001485</t>
  </si>
  <si>
    <t>170201001486</t>
  </si>
  <si>
    <t>170201001487</t>
  </si>
  <si>
    <t>170201001488</t>
  </si>
  <si>
    <t>170201001489</t>
  </si>
  <si>
    <t>170201001490</t>
  </si>
  <si>
    <t>170201001491</t>
  </si>
  <si>
    <t>170201001492</t>
  </si>
  <si>
    <t>170201001493</t>
  </si>
  <si>
    <t>170201001494</t>
  </si>
  <si>
    <t>170201001495</t>
  </si>
  <si>
    <t>170201001496</t>
  </si>
  <si>
    <t>170201001497</t>
  </si>
  <si>
    <t>170201001498</t>
  </si>
  <si>
    <t>170201001499</t>
  </si>
  <si>
    <t>170201001500</t>
  </si>
  <si>
    <t>170201001501</t>
  </si>
  <si>
    <t>170201001502</t>
  </si>
  <si>
    <t>电费自助缴费终端设备(10台）</t>
  </si>
  <si>
    <t>170201001503</t>
  </si>
  <si>
    <t>电费自助缴费终端设备（100台）</t>
  </si>
  <si>
    <t>170201001504</t>
  </si>
  <si>
    <t>电费自助缴费终端设备（80台）</t>
  </si>
  <si>
    <t>170201001505</t>
  </si>
  <si>
    <t>电费自助缴费终端设备（285台）</t>
  </si>
  <si>
    <t>170201001506</t>
  </si>
  <si>
    <t>电费自助缴费终端设备（19台）</t>
  </si>
  <si>
    <t>170201001507</t>
  </si>
  <si>
    <t>170201001508</t>
  </si>
  <si>
    <t>170201001509</t>
  </si>
  <si>
    <t>170201001510</t>
  </si>
  <si>
    <t>170201001511</t>
  </si>
  <si>
    <t>170201001512</t>
  </si>
  <si>
    <t>电费自助缴费终端设备（40台）</t>
  </si>
  <si>
    <t>170201003262</t>
  </si>
  <si>
    <t>自助缴费终端</t>
  </si>
  <si>
    <t>170201003263</t>
  </si>
  <si>
    <t>180100000162</t>
  </si>
  <si>
    <t>通信线路及设备</t>
  </si>
  <si>
    <t>光纤通讯线路</t>
  </si>
  <si>
    <t>180100000163</t>
  </si>
  <si>
    <t>架空光缆</t>
  </si>
  <si>
    <t>180100000909</t>
  </si>
  <si>
    <t>通讯电缆</t>
  </si>
  <si>
    <t>180100001773</t>
  </si>
  <si>
    <t>35河西变电站-35西崇柳支光纤通信线路（ADSS）</t>
  </si>
  <si>
    <t>180100003637</t>
  </si>
  <si>
    <t>10kV都江明珠光纤网络机房</t>
  </si>
  <si>
    <t>180100003638</t>
  </si>
  <si>
    <t>都江明珠光纤网络机房-5#楼2单元光纤分配点36芯</t>
  </si>
  <si>
    <t>180100003639</t>
  </si>
  <si>
    <t>都江明珠光用户接入点01</t>
  </si>
  <si>
    <t>180100003640</t>
  </si>
  <si>
    <t>(胥家变电站机房～都江明珠光纤网络机房)24芯ADSS光缆01</t>
  </si>
  <si>
    <t>180100003664</t>
  </si>
  <si>
    <t>都江明珠4芯普通光缆</t>
  </si>
  <si>
    <t>180100003700</t>
  </si>
  <si>
    <t>河西通讯线路</t>
  </si>
  <si>
    <t>180100003701</t>
  </si>
  <si>
    <t>示波器</t>
  </si>
  <si>
    <t>180100003702</t>
  </si>
  <si>
    <t>建兴—谭家堰电厂</t>
  </si>
  <si>
    <t>180100003703</t>
  </si>
  <si>
    <t>中兴石羊光纤通讯线路</t>
  </si>
  <si>
    <t>180100003704</t>
  </si>
  <si>
    <t>十进盘标准电阻器</t>
  </si>
  <si>
    <t>180100003705</t>
  </si>
  <si>
    <t>中兴—石羊变电站</t>
  </si>
  <si>
    <t>180100003706</t>
  </si>
  <si>
    <t>中兴—青城山变电站</t>
  </si>
  <si>
    <t>180100003707</t>
  </si>
  <si>
    <t>观凤楼翔凤楼</t>
  </si>
  <si>
    <t>180100003708</t>
  </si>
  <si>
    <t>环城通讯线路</t>
  </si>
  <si>
    <t>180100003709</t>
  </si>
  <si>
    <t>沙轮厂—张家湾变电站</t>
  </si>
  <si>
    <t>180100003710</t>
  </si>
  <si>
    <t>程控交换机</t>
  </si>
  <si>
    <t>180100003711</t>
  </si>
  <si>
    <t>通讯线路</t>
  </si>
  <si>
    <t>180100003712</t>
  </si>
  <si>
    <t>180100003713</t>
  </si>
  <si>
    <t>天马通信线路</t>
  </si>
  <si>
    <t>180100003714</t>
  </si>
  <si>
    <t>青山站至中兴站光缆架设及光端设备安装工程</t>
  </si>
  <si>
    <t>180100003715</t>
  </si>
  <si>
    <t>民兴—石羊变电站</t>
  </si>
  <si>
    <t>180100003716</t>
  </si>
  <si>
    <t>观凤楼城关变电站</t>
  </si>
  <si>
    <t>180100003717</t>
  </si>
  <si>
    <t>沿一环路通讯电缆下地</t>
  </si>
  <si>
    <t>180100003718</t>
  </si>
  <si>
    <t>环城路通讯线路</t>
  </si>
  <si>
    <t>180100003719</t>
  </si>
  <si>
    <t>180100003720</t>
  </si>
  <si>
    <t>公司观凤楼</t>
  </si>
  <si>
    <t>180100003721</t>
  </si>
  <si>
    <t>观凤楼五号桥</t>
  </si>
  <si>
    <t>180100003722</t>
  </si>
  <si>
    <t>中兴—民兴电站</t>
  </si>
  <si>
    <t>180100003723</t>
  </si>
  <si>
    <t>标准电压互感器</t>
  </si>
  <si>
    <t>180100003724</t>
  </si>
  <si>
    <t>180100003725</t>
  </si>
  <si>
    <t>外北街机房-工程对雅卓宿舍通讯线路</t>
  </si>
  <si>
    <t>180100003726</t>
  </si>
  <si>
    <t>迎宾大道通讯线路</t>
  </si>
  <si>
    <t>180100003727</t>
  </si>
  <si>
    <t>180100003728</t>
  </si>
  <si>
    <t>河西光缆线路大修</t>
  </si>
  <si>
    <t>180100003729</t>
  </si>
  <si>
    <t>蒲阳硅厂.变电站通讯线路</t>
  </si>
  <si>
    <t>180100003730</t>
  </si>
  <si>
    <t>180100003731</t>
  </si>
  <si>
    <t>青工校教具厂</t>
  </si>
  <si>
    <t>180100003732</t>
  </si>
  <si>
    <t>青城桥—沙轮厂</t>
  </si>
  <si>
    <t>180100003733</t>
  </si>
  <si>
    <t>观凤楼幸福桥</t>
  </si>
  <si>
    <t>180100003734</t>
  </si>
  <si>
    <t>青城桥跨河通讯线路</t>
  </si>
  <si>
    <t>180100003735</t>
  </si>
  <si>
    <t>通讯线路及设备</t>
  </si>
  <si>
    <t>180100003736</t>
  </si>
  <si>
    <t>程控电话</t>
  </si>
  <si>
    <t>180100003737</t>
  </si>
  <si>
    <t>五号桥—中兴</t>
  </si>
  <si>
    <t>180100003738</t>
  </si>
  <si>
    <t>供电所光纤迁移暂估转资</t>
  </si>
  <si>
    <t>180100003739</t>
  </si>
  <si>
    <t>闸首通讯线路</t>
  </si>
  <si>
    <t>180100003740</t>
  </si>
  <si>
    <t>180100003741</t>
  </si>
  <si>
    <t>电缆设备及安装电动控制电缆</t>
  </si>
  <si>
    <t>180100003742</t>
  </si>
  <si>
    <t>35KV、升压站线路</t>
  </si>
  <si>
    <t>180100003743</t>
  </si>
  <si>
    <t>厂区渠首线路400V</t>
  </si>
  <si>
    <t>180100003744</t>
  </si>
  <si>
    <t>厂区至调度通讯线路</t>
  </si>
  <si>
    <t>180100003745</t>
  </si>
  <si>
    <t>市话通讯线路</t>
  </si>
  <si>
    <t>180100003746</t>
  </si>
  <si>
    <t>软梯</t>
  </si>
  <si>
    <t>报废</t>
  </si>
  <si>
    <t>180100003747</t>
  </si>
  <si>
    <t>移动电话</t>
  </si>
  <si>
    <t>180100003748</t>
  </si>
  <si>
    <t>电脑</t>
  </si>
  <si>
    <t>180100003749</t>
  </si>
  <si>
    <t>复印机</t>
  </si>
  <si>
    <t>180100003750</t>
  </si>
  <si>
    <t>180100003751</t>
  </si>
  <si>
    <t>联想笔记本电脑</t>
  </si>
  <si>
    <t>180100003752</t>
  </si>
  <si>
    <t>180100003753</t>
  </si>
  <si>
    <t>闸首厂区视频系统</t>
  </si>
  <si>
    <t>180201000255</t>
  </si>
  <si>
    <t>35kV灌磁线结合滤波器</t>
  </si>
  <si>
    <t>180201000256</t>
  </si>
  <si>
    <t>35kV磁小线结合滤波器</t>
  </si>
  <si>
    <t>180201003618</t>
  </si>
  <si>
    <t>结合滤波器</t>
  </si>
  <si>
    <t>180201003623</t>
  </si>
  <si>
    <t>载波机</t>
  </si>
  <si>
    <t>180201003624</t>
  </si>
  <si>
    <t>180201006189</t>
  </si>
  <si>
    <t>35kV磁小线A相耦合电容器</t>
  </si>
  <si>
    <t>180201006190</t>
  </si>
  <si>
    <t>35kV灌磁线B相耦合电容器</t>
  </si>
  <si>
    <t>180201006662</t>
  </si>
  <si>
    <t>110kV聚灌线139B相耦合电容器</t>
  </si>
  <si>
    <t>180201006663</t>
  </si>
  <si>
    <t>110kV聚灌线139C相耦合电容器</t>
  </si>
  <si>
    <t>180201006664</t>
  </si>
  <si>
    <t>110kV聚灌线139C相阻波器</t>
  </si>
  <si>
    <t>180201006665</t>
  </si>
  <si>
    <t>110kV聚灌线139B相阻波器</t>
  </si>
  <si>
    <t>180201007932</t>
  </si>
  <si>
    <t>220kV源山北线线路B相阻波器</t>
  </si>
  <si>
    <t>180201007934</t>
  </si>
  <si>
    <t>110kV聚胥线136线路B相阻波器</t>
  </si>
  <si>
    <t>180201007935</t>
  </si>
  <si>
    <t>220kV源山南线线路阻波器B相</t>
  </si>
  <si>
    <t>180201007936</t>
  </si>
  <si>
    <t>35kV灌磁线阻波器</t>
  </si>
  <si>
    <t>180201007937</t>
  </si>
  <si>
    <t>110kV聚灌线162线路阻波器</t>
  </si>
  <si>
    <t>180201007938</t>
  </si>
  <si>
    <t>35kV磁小线阻波器</t>
  </si>
  <si>
    <t>180201007940</t>
  </si>
  <si>
    <t>220kV源山南线线路阻波器C相</t>
  </si>
  <si>
    <t>180201007942</t>
  </si>
  <si>
    <t>110kV聚胥线136线路C相阻波器</t>
  </si>
  <si>
    <t>180201007943</t>
  </si>
  <si>
    <t>220kV源山北线线路C相阻波器</t>
  </si>
  <si>
    <t>180201007944</t>
  </si>
  <si>
    <t>35kv太九县支线5033阻波器</t>
  </si>
  <si>
    <t>180201007946</t>
  </si>
  <si>
    <t>110kV聚彩线135线路C相阻波器</t>
  </si>
  <si>
    <t>180201007947</t>
  </si>
  <si>
    <t>220kV源山南线线路阻波器A相</t>
  </si>
  <si>
    <t>180201007949</t>
  </si>
  <si>
    <t>35kV灌九线307线路阻波器</t>
  </si>
  <si>
    <t>180201007950</t>
  </si>
  <si>
    <t>220kV源山北线线路A相阻波器</t>
  </si>
  <si>
    <t>180201007952</t>
  </si>
  <si>
    <t>110kV聚彩线135线路B相阻波器</t>
  </si>
  <si>
    <t>180201007953</t>
  </si>
  <si>
    <t>110kV聚蒲二线138线路C相阻波器</t>
  </si>
  <si>
    <t>180201007954</t>
  </si>
  <si>
    <t>110kV聚蒲二线138线路B相阻波器</t>
  </si>
  <si>
    <t>180201008271</t>
  </si>
  <si>
    <t>220kV源山南线耦合电容器C相</t>
  </si>
  <si>
    <t>180201008272</t>
  </si>
  <si>
    <t>110kV聚彩线135线路C相耦合电容器</t>
  </si>
  <si>
    <t>180201008274</t>
  </si>
  <si>
    <t>110kV聚彩线135线路耦合电容器B相</t>
  </si>
  <si>
    <t>180201008275</t>
  </si>
  <si>
    <t>35kv太九县支线5033耦合电容器</t>
  </si>
  <si>
    <t>180201008276</t>
  </si>
  <si>
    <t>110kV聚灌线162线路C相耦合电容器</t>
  </si>
  <si>
    <t>180201008277</t>
  </si>
  <si>
    <t>35kV灌山线310线路耦合电容器</t>
  </si>
  <si>
    <t>180201008278</t>
  </si>
  <si>
    <t>110kV聚胥线136线路C相耦合电容器</t>
  </si>
  <si>
    <t>180201008279</t>
  </si>
  <si>
    <t>220kV源山北线B相耦合电容器</t>
  </si>
  <si>
    <t>180201008280</t>
  </si>
  <si>
    <t>220kV源山南线耦合电容器B相</t>
  </si>
  <si>
    <t>180201008283</t>
  </si>
  <si>
    <t>110kV聚蒲二线138线路B相耦合电容器</t>
  </si>
  <si>
    <t>180201008284</t>
  </si>
  <si>
    <t>35kV灌九线307线路耦合电容器</t>
  </si>
  <si>
    <t>180201008285</t>
  </si>
  <si>
    <t>110kV灌磷线164线路A相耦合电容器</t>
  </si>
  <si>
    <t>180201008286</t>
  </si>
  <si>
    <t>35kV灌磁线304线路耦合电容器</t>
  </si>
  <si>
    <t>180201008287</t>
  </si>
  <si>
    <t>220kV源山北线C相耦合电容器</t>
  </si>
  <si>
    <t>180201008289</t>
  </si>
  <si>
    <t>110kV聚胥线136线路B相耦合电容器</t>
  </si>
  <si>
    <t>180201008290</t>
  </si>
  <si>
    <t>110kV聚蒲二线138线路C相耦合电容器</t>
  </si>
  <si>
    <t>180201008325</t>
  </si>
  <si>
    <t>35KV金沙线31结合滤波器C相</t>
  </si>
  <si>
    <t>180201008441</t>
  </si>
  <si>
    <t>110kV备用165线路阻波器B相</t>
  </si>
  <si>
    <t>180201008442</t>
  </si>
  <si>
    <t>35kV金沙线线路阻波器B相</t>
  </si>
  <si>
    <t>180201008443</t>
  </si>
  <si>
    <t>35kV金沙线线路阻波器C相</t>
  </si>
  <si>
    <t>180201009636</t>
  </si>
  <si>
    <t>110kV备用165线路耦合电容器B相</t>
  </si>
  <si>
    <t>180201009652</t>
  </si>
  <si>
    <t>35kV磁小线311线路A相阻波器</t>
  </si>
  <si>
    <t>180201009686</t>
  </si>
  <si>
    <t>青公线线路阻波器B相</t>
  </si>
  <si>
    <t>180201009687</t>
  </si>
  <si>
    <t>青公线线路阻波器C相</t>
  </si>
  <si>
    <t>180201009861</t>
  </si>
  <si>
    <t>成都玉堂110千伏变电站系统通信工程（站端通信）通信设备（暂估）</t>
  </si>
  <si>
    <t>180201010739</t>
  </si>
  <si>
    <t>单相电表宽带载波模块12000只</t>
  </si>
  <si>
    <t>180201010740</t>
  </si>
  <si>
    <t>单相电表宽带载波模块5000只</t>
  </si>
  <si>
    <t>180201010741</t>
  </si>
  <si>
    <t>集中器宽带载波模块40只</t>
  </si>
  <si>
    <t>180201010742</t>
  </si>
  <si>
    <t>集中器宽带载波模块17只</t>
  </si>
  <si>
    <t>180203000013</t>
  </si>
  <si>
    <t>光通信及PCM设备</t>
  </si>
  <si>
    <t>180203000014</t>
  </si>
  <si>
    <t>电力数字载波机</t>
  </si>
  <si>
    <t>180203000017</t>
  </si>
  <si>
    <t>结合滤波器(含接地刀闸)</t>
  </si>
  <si>
    <t>180203000019</t>
  </si>
  <si>
    <t>高频引入架</t>
  </si>
  <si>
    <t>180203000020</t>
  </si>
  <si>
    <t>光传输设备</t>
  </si>
  <si>
    <t>180203000021</t>
  </si>
  <si>
    <t>智能高频整流模块</t>
  </si>
  <si>
    <t>180203000022</t>
  </si>
  <si>
    <t>综合配线柜</t>
  </si>
  <si>
    <t>180203000023</t>
  </si>
  <si>
    <t>通信蓄电池柜</t>
  </si>
  <si>
    <t>180203000024</t>
  </si>
  <si>
    <t>通信蓄电池</t>
  </si>
  <si>
    <t>180203000025</t>
  </si>
  <si>
    <t>高频开关电源</t>
  </si>
  <si>
    <t>180203000026</t>
  </si>
  <si>
    <t>免维电池</t>
  </si>
  <si>
    <t>180203000027</t>
  </si>
  <si>
    <t>电力线载波机</t>
  </si>
  <si>
    <t>180203000034</t>
  </si>
  <si>
    <t>180203000035</t>
  </si>
  <si>
    <t>180203000036</t>
  </si>
  <si>
    <t>180203000040</t>
  </si>
  <si>
    <t>程控调度总机</t>
  </si>
  <si>
    <t>180203000041</t>
  </si>
  <si>
    <t>自动电话桌机</t>
  </si>
  <si>
    <t>180203000042</t>
  </si>
  <si>
    <t>电话接线盒</t>
  </si>
  <si>
    <t>180203000043</t>
  </si>
  <si>
    <t>音频配线架</t>
  </si>
  <si>
    <t>180203000044</t>
  </si>
  <si>
    <t>180203000045</t>
  </si>
  <si>
    <t>室外电话分线盒</t>
  </si>
  <si>
    <t>180203000046</t>
  </si>
  <si>
    <t>180203000047</t>
  </si>
  <si>
    <t>180203000048</t>
  </si>
  <si>
    <t>180203000050</t>
  </si>
  <si>
    <t>机柜</t>
  </si>
  <si>
    <t>180203000051</t>
  </si>
  <si>
    <t>传真机</t>
  </si>
  <si>
    <t>180203000052</t>
  </si>
  <si>
    <t>光传输设备(含接入设备)</t>
  </si>
  <si>
    <t>180203000053</t>
  </si>
  <si>
    <t>通信电源</t>
  </si>
  <si>
    <t>180203000054</t>
  </si>
  <si>
    <t>变电所-都江堰市话分机</t>
  </si>
  <si>
    <t>180203000055</t>
  </si>
  <si>
    <t>180203000056</t>
  </si>
  <si>
    <t>免维蓄电池</t>
  </si>
  <si>
    <t>180203000057</t>
  </si>
  <si>
    <t>高频防雷器</t>
  </si>
  <si>
    <t>180203000058</t>
  </si>
  <si>
    <t>调制解调器</t>
  </si>
  <si>
    <t>180203000059</t>
  </si>
  <si>
    <t>180203000060</t>
  </si>
  <si>
    <t>180203000088</t>
  </si>
  <si>
    <t>110kV聚金线135线路结合滤波器B相</t>
  </si>
  <si>
    <t>180203000089</t>
  </si>
  <si>
    <t>110kV聚金线135线路结合滤波器C相</t>
  </si>
  <si>
    <t>180203000090</t>
  </si>
  <si>
    <t>110kV聚蒲二线138线路结合滤波器B相其它</t>
  </si>
  <si>
    <t>180203000091</t>
  </si>
  <si>
    <t>110kV聚蒲二线138线路结合滤波器C相其它</t>
  </si>
  <si>
    <t>180203000092</t>
  </si>
  <si>
    <t>110kV聚胥线136B相结合滤波器</t>
  </si>
  <si>
    <t>180203000093</t>
  </si>
  <si>
    <t>110kV聚胥线136C相结合滤波器</t>
  </si>
  <si>
    <t>180203000094</t>
  </si>
  <si>
    <t>220kV源丹北线C相结合滤波器</t>
  </si>
  <si>
    <t>180203000095</t>
  </si>
  <si>
    <t>220kV源丹南线C相结合滤波器</t>
  </si>
  <si>
    <t>180203000096</t>
  </si>
  <si>
    <t>220kV源山北线A相结合滤波器</t>
  </si>
  <si>
    <t>180203000097</t>
  </si>
  <si>
    <t>220kV源圣线结合滤波器A相</t>
  </si>
  <si>
    <t>180203000098</t>
  </si>
  <si>
    <t>220kV源丹北线A相结合滤波器</t>
  </si>
  <si>
    <t>180203000099</t>
  </si>
  <si>
    <t>220kV源丹北线B相结合滤波器</t>
  </si>
  <si>
    <t>180203000100</t>
  </si>
  <si>
    <t>220kV源丹南线A相结合滤波器</t>
  </si>
  <si>
    <t>180203000101</t>
  </si>
  <si>
    <t>220kV源山北线C相结合滤波器</t>
  </si>
  <si>
    <t>180203000118</t>
  </si>
  <si>
    <t>220kV源丹南线B相结合滤波器</t>
  </si>
  <si>
    <t>180203000119</t>
  </si>
  <si>
    <t>220kV源圣线结合滤波器B相</t>
  </si>
  <si>
    <t>180203000120</t>
  </si>
  <si>
    <t>220kV源山北线B相结合滤波器</t>
  </si>
  <si>
    <t>180203000121</t>
  </si>
  <si>
    <t>220kV源圣线结合滤波器C相</t>
  </si>
  <si>
    <t>180203000795</t>
  </si>
  <si>
    <t>128K控频电台</t>
  </si>
  <si>
    <t>180203001047</t>
  </si>
  <si>
    <t>180203001048</t>
  </si>
  <si>
    <t>接入设备柜</t>
  </si>
  <si>
    <t>180203001049</t>
  </si>
  <si>
    <t>180203001050</t>
  </si>
  <si>
    <t>通讯直流电源柜</t>
  </si>
  <si>
    <t>180203001051</t>
  </si>
  <si>
    <t>1号蓄电池柜</t>
  </si>
  <si>
    <t>180203001052</t>
  </si>
  <si>
    <t>2号蓄电池柜</t>
  </si>
  <si>
    <t>180203001053</t>
  </si>
  <si>
    <t>3号蓄电池柜</t>
  </si>
  <si>
    <t>180203001162</t>
  </si>
  <si>
    <t>通信及自动化配套系统</t>
  </si>
  <si>
    <t>180203001421</t>
  </si>
  <si>
    <t>视频监控系统（1套）</t>
  </si>
  <si>
    <t>180203001429</t>
  </si>
  <si>
    <t>中央集控台</t>
  </si>
  <si>
    <t>180204001122</t>
  </si>
  <si>
    <t>光端机</t>
  </si>
  <si>
    <t>180204001194</t>
  </si>
  <si>
    <t>180204001195</t>
  </si>
  <si>
    <t>蓄电池组</t>
  </si>
  <si>
    <t>180204001196</t>
  </si>
  <si>
    <t>直流-48V通信电源成套设备</t>
  </si>
  <si>
    <t>180204002842</t>
  </si>
  <si>
    <t>光纤到站到所</t>
  </si>
  <si>
    <t>180204002843</t>
  </si>
  <si>
    <t>光纤到站到所完善暂估转资</t>
  </si>
  <si>
    <t>180207000620</t>
  </si>
  <si>
    <t>综合数据网</t>
  </si>
  <si>
    <t>180208000889</t>
  </si>
  <si>
    <t>营销大楼视频会议系统</t>
  </si>
  <si>
    <t>180208000890</t>
  </si>
  <si>
    <t>营销大楼会议系统</t>
  </si>
  <si>
    <t>180208000891</t>
  </si>
  <si>
    <t>新营业办公楼会议系统</t>
  </si>
  <si>
    <t>180209000795</t>
  </si>
  <si>
    <t>0+4数字线路倍增器</t>
  </si>
  <si>
    <t>180209000796</t>
  </si>
  <si>
    <t>安装费、材料费</t>
  </si>
  <si>
    <t>180209000797</t>
  </si>
  <si>
    <t>温度计</t>
  </si>
  <si>
    <t>180209000798</t>
  </si>
  <si>
    <t>电量送变器</t>
  </si>
  <si>
    <t>180209000799</t>
  </si>
  <si>
    <t>电话机</t>
  </si>
  <si>
    <t>180209000800</t>
  </si>
  <si>
    <t>180209000801</t>
  </si>
  <si>
    <t>180209000802</t>
  </si>
  <si>
    <t>光环机(远端电源模块2个,中央处理器1块,光盘1块,模块电源2个</t>
  </si>
  <si>
    <t>180209000803</t>
  </si>
  <si>
    <t>雷电计数器测试仪1</t>
  </si>
  <si>
    <t>180210000926</t>
  </si>
  <si>
    <t>谭家堰库房安防系统完善决算转资</t>
  </si>
  <si>
    <t>180211001584</t>
  </si>
  <si>
    <t>直流通讯屏</t>
  </si>
  <si>
    <t>180211003607</t>
  </si>
  <si>
    <t>UPS、监控主机屏</t>
  </si>
  <si>
    <t>180211003614</t>
  </si>
  <si>
    <t>配电屏1</t>
  </si>
  <si>
    <t>180211003615</t>
  </si>
  <si>
    <t>配电屏2</t>
  </si>
  <si>
    <t>180211003616</t>
  </si>
  <si>
    <t>配电屏3</t>
  </si>
  <si>
    <t>180211003617</t>
  </si>
  <si>
    <t>配电屏4</t>
  </si>
  <si>
    <t>180211003618</t>
  </si>
  <si>
    <t>配电屏5</t>
  </si>
  <si>
    <t>180211003619</t>
  </si>
  <si>
    <t>配电屏6</t>
  </si>
  <si>
    <t>180211003620</t>
  </si>
  <si>
    <t>配电屏7</t>
  </si>
  <si>
    <t>180211003621</t>
  </si>
  <si>
    <t>动力箱1</t>
  </si>
  <si>
    <t>180211003622</t>
  </si>
  <si>
    <t>动力箱2</t>
  </si>
  <si>
    <t>180211003623</t>
  </si>
  <si>
    <t>蓄电池屏1</t>
  </si>
  <si>
    <t>180211003624</t>
  </si>
  <si>
    <t>蓄电池屏2</t>
  </si>
  <si>
    <t>180211003625</t>
  </si>
  <si>
    <t>厂用屏1</t>
  </si>
  <si>
    <t>180211003626</t>
  </si>
  <si>
    <t>厂用屏2</t>
  </si>
  <si>
    <t>180211003627</t>
  </si>
  <si>
    <t>厂用屏3</t>
  </si>
  <si>
    <t>180211003628</t>
  </si>
  <si>
    <t>厂用屏4</t>
  </si>
  <si>
    <t>180211003629</t>
  </si>
  <si>
    <t>低压配电屏1</t>
  </si>
  <si>
    <t>180211003630</t>
  </si>
  <si>
    <t>低压配电屏2</t>
  </si>
  <si>
    <t>180211003631</t>
  </si>
  <si>
    <t>低压配电屏3</t>
  </si>
  <si>
    <t>180211003632</t>
  </si>
  <si>
    <t>低压配电屏4</t>
  </si>
  <si>
    <t>180211003633</t>
  </si>
  <si>
    <t>低压配电屏5</t>
  </si>
  <si>
    <t>180211003634</t>
  </si>
  <si>
    <t>厂用电源屏1</t>
  </si>
  <si>
    <t>180211003635</t>
  </si>
  <si>
    <t>厂用电源屏2</t>
  </si>
  <si>
    <t>180211003636</t>
  </si>
  <si>
    <t>厂用电源屏3</t>
  </si>
  <si>
    <t>180211003637</t>
  </si>
  <si>
    <t>交流电源屏1</t>
  </si>
  <si>
    <t>180211003638</t>
  </si>
  <si>
    <t>交流电源屏2</t>
  </si>
  <si>
    <t>180211003639</t>
  </si>
  <si>
    <t>交流电源屏3</t>
  </si>
  <si>
    <t>180211003640</t>
  </si>
  <si>
    <t>油泵控制箱1</t>
  </si>
  <si>
    <t>180211003641</t>
  </si>
  <si>
    <t>油泵控制箱2</t>
  </si>
  <si>
    <t>180211003642</t>
  </si>
  <si>
    <t>油泵控制箱3</t>
  </si>
  <si>
    <t>180211003643</t>
  </si>
  <si>
    <t>闸门控制箱1</t>
  </si>
  <si>
    <t>180211003644</t>
  </si>
  <si>
    <t>闸门控制箱2</t>
  </si>
  <si>
    <t>180211003645</t>
  </si>
  <si>
    <t>闸门控制箱3</t>
  </si>
  <si>
    <t>180211003646</t>
  </si>
  <si>
    <t>空压机控制箱</t>
  </si>
  <si>
    <t>180211003647</t>
  </si>
  <si>
    <t>安龙电站微机五防专用UPS电源</t>
  </si>
  <si>
    <t>180211003648</t>
  </si>
  <si>
    <t>徐渡二级电站微机五防专用UPS电源</t>
  </si>
  <si>
    <t>180214000200</t>
  </si>
  <si>
    <t>无线接入设备(686个）</t>
  </si>
  <si>
    <t>180214000201</t>
  </si>
  <si>
    <t>无线接入设备(250个）</t>
  </si>
  <si>
    <t>180299004405</t>
  </si>
  <si>
    <t>调度信息系统配置哈里斯IXP2000S/NR256端口调度总机</t>
  </si>
  <si>
    <t>180299004406</t>
  </si>
  <si>
    <t>调度自动化系统</t>
  </si>
  <si>
    <t>180299004407</t>
  </si>
  <si>
    <t>有无线测试设备</t>
  </si>
  <si>
    <t>180299004408</t>
  </si>
  <si>
    <t>通讯塔</t>
  </si>
  <si>
    <t>180299004409</t>
  </si>
  <si>
    <t>手机服务器</t>
  </si>
  <si>
    <t>210899004410</t>
  </si>
  <si>
    <t>发电及供热设备</t>
  </si>
  <si>
    <t>气罐1</t>
  </si>
  <si>
    <t>210899004411</t>
  </si>
  <si>
    <t>气罐2</t>
  </si>
  <si>
    <t>210899004412</t>
  </si>
  <si>
    <t>210899004413</t>
  </si>
  <si>
    <t>发电机保护屏1</t>
  </si>
  <si>
    <t>210899004414</t>
  </si>
  <si>
    <t>发电机保护屏2</t>
  </si>
  <si>
    <t>210899004415</t>
  </si>
  <si>
    <t>发电机保护屏3</t>
  </si>
  <si>
    <t>210899004416</t>
  </si>
  <si>
    <t>变压器线路保护屏</t>
  </si>
  <si>
    <t>210899004417</t>
  </si>
  <si>
    <t>中央音响屏</t>
  </si>
  <si>
    <t>210899004418</t>
  </si>
  <si>
    <t>测温自动屏1</t>
  </si>
  <si>
    <t>210899004419</t>
  </si>
  <si>
    <t>测温自动屏2</t>
  </si>
  <si>
    <t>210899004420</t>
  </si>
  <si>
    <t>测温自动屏3</t>
  </si>
  <si>
    <t>210899004421</t>
  </si>
  <si>
    <t>水轮机保护屏1</t>
  </si>
  <si>
    <t>210899004422</t>
  </si>
  <si>
    <t>水轮机保护屏2</t>
  </si>
  <si>
    <t>210899004423</t>
  </si>
  <si>
    <t>水轮机保护屏3</t>
  </si>
  <si>
    <t>200101000221</t>
  </si>
  <si>
    <t>自动化控制设备、信息设备及仪器仪表</t>
  </si>
  <si>
    <t>微机母线保护装置</t>
  </si>
  <si>
    <t>200101003688</t>
  </si>
  <si>
    <t>变压器保护屏</t>
  </si>
  <si>
    <t>200101003690</t>
  </si>
  <si>
    <t>10kV小罗路913断路器间隔线路保护</t>
  </si>
  <si>
    <t>200101003691</t>
  </si>
  <si>
    <t>10kV备用921断路器间隔线路保护</t>
  </si>
  <si>
    <t>200101003692</t>
  </si>
  <si>
    <t>10kV备用922断路器间隔线路保护</t>
  </si>
  <si>
    <t>200101003693</t>
  </si>
  <si>
    <t>总控屏</t>
  </si>
  <si>
    <t>200101003701</t>
  </si>
  <si>
    <t>10kV电容一路981断路器间隔电容器保护</t>
  </si>
  <si>
    <t>200101003702</t>
  </si>
  <si>
    <t>10kV分段930断路器间隔线路保护</t>
  </si>
  <si>
    <t>200101004727</t>
  </si>
  <si>
    <t>10kV小君一路911断路器间隔线路保护</t>
  </si>
  <si>
    <t>200101004728</t>
  </si>
  <si>
    <t>10kV小通路912断路器间隔线路保护</t>
  </si>
  <si>
    <t>200101007738</t>
  </si>
  <si>
    <t>1号主变及35kV线路保护屏</t>
  </si>
  <si>
    <t>200101007740</t>
  </si>
  <si>
    <t>35kV灌磁线、磁小线保护屏</t>
  </si>
  <si>
    <t>200101008964</t>
  </si>
  <si>
    <t>1号主变保护屏</t>
  </si>
  <si>
    <t>200101013623</t>
  </si>
  <si>
    <t>防误主机</t>
  </si>
  <si>
    <t>200101013624</t>
  </si>
  <si>
    <t>200101013625</t>
  </si>
  <si>
    <t>机械锁</t>
  </si>
  <si>
    <t>200101013626</t>
  </si>
  <si>
    <t>电编码锁</t>
  </si>
  <si>
    <t>200101013869</t>
  </si>
  <si>
    <t>2号主变保护屏</t>
  </si>
  <si>
    <t>200101013904</t>
  </si>
  <si>
    <t>110kV聚城线金通城支线保护屏</t>
  </si>
  <si>
    <t>200101018630</t>
  </si>
  <si>
    <t>10kV1#站用接地变961断路器保护</t>
  </si>
  <si>
    <t>200101018631</t>
  </si>
  <si>
    <t>10kV2#站用接地变962断路器保护</t>
  </si>
  <si>
    <t>200101018632</t>
  </si>
  <si>
    <t>10kV电容一路971断路器保护</t>
  </si>
  <si>
    <t>200101018633</t>
  </si>
  <si>
    <t>10kV电容二路972断路器保护</t>
  </si>
  <si>
    <t>200101018634</t>
  </si>
  <si>
    <t>10kV电容三路973断路器保护</t>
  </si>
  <si>
    <t>200101018635</t>
  </si>
  <si>
    <t>10kV电容四路974间隔断路器保护</t>
  </si>
  <si>
    <t>200101018636</t>
  </si>
  <si>
    <t>10kV备用905间隔断路器保护</t>
  </si>
  <si>
    <t>200101018637</t>
  </si>
  <si>
    <t>10kV备用906间隔断路器保护</t>
  </si>
  <si>
    <t>200101018638</t>
  </si>
  <si>
    <t>10kV备用907间隔断路器保护</t>
  </si>
  <si>
    <t>200101018639</t>
  </si>
  <si>
    <t>10kV备用908间隔断路器保护</t>
  </si>
  <si>
    <t>200101018640</t>
  </si>
  <si>
    <t>10kV备用909间隔断路器保护</t>
  </si>
  <si>
    <t>200101018641</t>
  </si>
  <si>
    <t>10kV备用910间隔断路器保护</t>
  </si>
  <si>
    <t>200101018642</t>
  </si>
  <si>
    <t>10kV备用913间隔断路器保护</t>
  </si>
  <si>
    <t>200101018643</t>
  </si>
  <si>
    <t>10kV备用914间隔断路器保护</t>
  </si>
  <si>
    <t>200101018644</t>
  </si>
  <si>
    <t>10kV备用915间隔断路器保护</t>
  </si>
  <si>
    <t>200101018645</t>
  </si>
  <si>
    <t>10kV备用916间隔断路器保护</t>
  </si>
  <si>
    <t>200101018646</t>
  </si>
  <si>
    <t>10kV备用917间隔断路器保护</t>
  </si>
  <si>
    <t>200101018647</t>
  </si>
  <si>
    <t>10kV备用918间隔断路器保护</t>
  </si>
  <si>
    <t>200101018648</t>
  </si>
  <si>
    <t>10kV备用920间隔断路器保护</t>
  </si>
  <si>
    <t>200101018649</t>
  </si>
  <si>
    <t>10kV备用922间隔断路器保护</t>
  </si>
  <si>
    <t>200101018650</t>
  </si>
  <si>
    <t>10kV备用923间隔断路器保护</t>
  </si>
  <si>
    <t>200101018651</t>
  </si>
  <si>
    <t>10kV备用924间隔断路器保护</t>
  </si>
  <si>
    <t>200101018652</t>
  </si>
  <si>
    <t>10kV备用925间隔断路器保护</t>
  </si>
  <si>
    <t>200101018653</t>
  </si>
  <si>
    <t>10kV备用926间隔断路器保护</t>
  </si>
  <si>
    <t>200101018654</t>
  </si>
  <si>
    <t>10kV备用927间隔断路器保护</t>
  </si>
  <si>
    <t>200101018655</t>
  </si>
  <si>
    <t>10kV备用928间隔断路器保护</t>
  </si>
  <si>
    <t>200101018656</t>
  </si>
  <si>
    <t>10kV备用929间隔断路器保护</t>
  </si>
  <si>
    <t>200101018657</t>
  </si>
  <si>
    <t>10kV备用950间隔断路器保护</t>
  </si>
  <si>
    <t>200101018658</t>
  </si>
  <si>
    <t>10kV备用951间隔断路器保护</t>
  </si>
  <si>
    <t>200101018659</t>
  </si>
  <si>
    <t>10kV备用952间隔断路器保护</t>
  </si>
  <si>
    <t>200101018660</t>
  </si>
  <si>
    <t>110kV驾沿一线151间隔线路保护</t>
  </si>
  <si>
    <t>200101018661</t>
  </si>
  <si>
    <t>110kV驾沿二线152间隔线路保护</t>
  </si>
  <si>
    <t>200101018662</t>
  </si>
  <si>
    <t>110kV内桥112间隔断路器保护</t>
  </si>
  <si>
    <t>200101018663</t>
  </si>
  <si>
    <t>1号主变差动保护</t>
  </si>
  <si>
    <t>200101018664</t>
  </si>
  <si>
    <t>1号主变后备保护</t>
  </si>
  <si>
    <t>200101018665</t>
  </si>
  <si>
    <t>2号主变差动保护</t>
  </si>
  <si>
    <t>200101018666</t>
  </si>
  <si>
    <t>2号主变后备保护</t>
  </si>
  <si>
    <t>200101018667</t>
  </si>
  <si>
    <t>公用单元故障录波器</t>
  </si>
  <si>
    <t>200101018954</t>
  </si>
  <si>
    <t>110kV母差保护</t>
  </si>
  <si>
    <t>200101019819</t>
  </si>
  <si>
    <t>1号主变本体间隔变压器保护2号保护装置</t>
  </si>
  <si>
    <t>200101019820</t>
  </si>
  <si>
    <t>220kV蜀驾一线266断路器1号保护装置</t>
  </si>
  <si>
    <t>200101019821</t>
  </si>
  <si>
    <t>220kV蜀驾一线266断路器2号保护装置</t>
  </si>
  <si>
    <t>200101019822</t>
  </si>
  <si>
    <t>220kV蜀驾二线265断路器1号保护装置</t>
  </si>
  <si>
    <t>200101019823</t>
  </si>
  <si>
    <t>220kV蜀驾二线265断路器2号保护装置</t>
  </si>
  <si>
    <t>200101019824</t>
  </si>
  <si>
    <t>220kV母联212断路器1号保护装置</t>
  </si>
  <si>
    <t>200101019825</t>
  </si>
  <si>
    <t>220kV母联212断路器2号保护装置</t>
  </si>
  <si>
    <t>200101019826</t>
  </si>
  <si>
    <t>1号主变本体间隔变压器保护1号保护装置</t>
  </si>
  <si>
    <t>200101019827</t>
  </si>
  <si>
    <t>2号主变本体间隔变压器保护1号保护装置</t>
  </si>
  <si>
    <t>200101019828</t>
  </si>
  <si>
    <t>2号主变本体间隔变压器保护2号保护装置</t>
  </si>
  <si>
    <t>200101019829</t>
  </si>
  <si>
    <t>110kV母联112断路器间隔断路器保护</t>
  </si>
  <si>
    <t>200101019830</t>
  </si>
  <si>
    <t>110kV驾济线171断路器间隔线路保护</t>
  </si>
  <si>
    <t>200101019831</t>
  </si>
  <si>
    <t>110kV驾城线170断路器间隔线路保护</t>
  </si>
  <si>
    <t>200101019832</t>
  </si>
  <si>
    <t>110kV驾金线168断路器间隔线路保护</t>
  </si>
  <si>
    <t>200101019833</t>
  </si>
  <si>
    <t>110kV驾沿二线167断路器间隔线路保护</t>
  </si>
  <si>
    <t>200101019834</t>
  </si>
  <si>
    <t>110kV驾沿一线166断路器间隔线路保护</t>
  </si>
  <si>
    <t>200101019835</t>
  </si>
  <si>
    <t>110kV备用165断路器间隔线路保护</t>
  </si>
  <si>
    <t>200101019836</t>
  </si>
  <si>
    <t>10kV电容一路971断路器间隔断路器保护</t>
  </si>
  <si>
    <t>200101019837</t>
  </si>
  <si>
    <t>10kV电容二路972断路器间隔断路器保护</t>
  </si>
  <si>
    <t>200101019838</t>
  </si>
  <si>
    <t>10kV电容三路973断路器间隔断路器保护</t>
  </si>
  <si>
    <t>200101019839</t>
  </si>
  <si>
    <t>10kV电容四路974断路器间隔断路器保护</t>
  </si>
  <si>
    <t>200101019840</t>
  </si>
  <si>
    <t>10kV电容五路975断路器间隔断路器保护</t>
  </si>
  <si>
    <t>200101019841</t>
  </si>
  <si>
    <t>10kV电容六路976断路器间隔断路器保护</t>
  </si>
  <si>
    <t>200101019842</t>
  </si>
  <si>
    <t>10kV电容七路977断路器间隔断路器保护</t>
  </si>
  <si>
    <t>200101019843</t>
  </si>
  <si>
    <t>10kV电容八路978断路器间隔断路器保护</t>
  </si>
  <si>
    <t>200101019844</t>
  </si>
  <si>
    <t>10kV电容九路979断路器间隔断路器保护</t>
  </si>
  <si>
    <t>200101019845</t>
  </si>
  <si>
    <t>10kV电容十路970断路器间隔断路器保护</t>
  </si>
  <si>
    <t>200101019846</t>
  </si>
  <si>
    <t>220kV1号母差及失灵保护</t>
  </si>
  <si>
    <t>200101019847</t>
  </si>
  <si>
    <t>220kV2号母差及失灵保护</t>
  </si>
  <si>
    <t>200101019848</t>
  </si>
  <si>
    <t>220kV1号故障录波装置</t>
  </si>
  <si>
    <t>200101019849</t>
  </si>
  <si>
    <t>主变压器1号故障录波装置</t>
  </si>
  <si>
    <t>200101019850</t>
  </si>
  <si>
    <t>主变压器2号故障录波装置</t>
  </si>
  <si>
    <t>200101019851</t>
  </si>
  <si>
    <t>10kV2号站用变962开关保护装置</t>
  </si>
  <si>
    <t>200101019852</t>
  </si>
  <si>
    <t>10kV1号站用变961断路器间隔断路器保护</t>
  </si>
  <si>
    <t>200101025103</t>
  </si>
  <si>
    <t>1号主变1号保护屏</t>
  </si>
  <si>
    <t>200101025105</t>
  </si>
  <si>
    <t>10kV田卫路907断路器保护线路保护</t>
  </si>
  <si>
    <t>200101025570</t>
  </si>
  <si>
    <t>故障录波屏</t>
  </si>
  <si>
    <t>200101026075</t>
  </si>
  <si>
    <t>110kV聚铁线聚城线线路保护屏</t>
  </si>
  <si>
    <t>200101030234</t>
  </si>
  <si>
    <t>220kV母差1号保护屏</t>
  </si>
  <si>
    <t>200101030236</t>
  </si>
  <si>
    <t>220kV源丹北线265断路器间隔测控装置</t>
  </si>
  <si>
    <t>200101030237</t>
  </si>
  <si>
    <t>继电保护信息管理屏</t>
  </si>
  <si>
    <t>200101030238</t>
  </si>
  <si>
    <t>220kV源山南线2号保护屏</t>
  </si>
  <si>
    <t>200101030239</t>
  </si>
  <si>
    <t>220kV源山北线2号保护屏</t>
  </si>
  <si>
    <t>200101030241</t>
  </si>
  <si>
    <t>220kV源山北线1号保护屏</t>
  </si>
  <si>
    <t>200101030242</t>
  </si>
  <si>
    <t>1号主变2号保护屏</t>
  </si>
  <si>
    <t>200101030244</t>
  </si>
  <si>
    <t>220kV源丹南线2号保护屏</t>
  </si>
  <si>
    <t>200101030247</t>
  </si>
  <si>
    <t>220kV源丹北线2号保护屏</t>
  </si>
  <si>
    <t>200101030248</t>
  </si>
  <si>
    <t>220kV源山南线1号保护屏</t>
  </si>
  <si>
    <t>200101030249</t>
  </si>
  <si>
    <t>110kV聚金线、聚胥线保护屏</t>
  </si>
  <si>
    <t>200101030250</t>
  </si>
  <si>
    <t>110kV灌磷线旁路母线保护屏</t>
  </si>
  <si>
    <t>200101030252</t>
  </si>
  <si>
    <t>220kV母差2号保护屏</t>
  </si>
  <si>
    <t>200101030254</t>
  </si>
  <si>
    <t>220kV源丹南线1号保护屏</t>
  </si>
  <si>
    <t>200101030255</t>
  </si>
  <si>
    <t>110kV微机母线差动保护装置屏</t>
  </si>
  <si>
    <t>200101030257</t>
  </si>
  <si>
    <t>220kV电力故障录波测距装置屏2</t>
  </si>
  <si>
    <t>200101030259</t>
  </si>
  <si>
    <t>200101030260</t>
  </si>
  <si>
    <t>35kV分断及线路保护屏</t>
  </si>
  <si>
    <t>200101030261</t>
  </si>
  <si>
    <t>35kV线路保护屏</t>
  </si>
  <si>
    <t>200101030262</t>
  </si>
  <si>
    <t>200101030263</t>
  </si>
  <si>
    <t>35kV小嘉线线路保护屏</t>
  </si>
  <si>
    <t>200101030264</t>
  </si>
  <si>
    <t>200101030265</t>
  </si>
  <si>
    <t>110kV聚城线金通城支线测控屏</t>
  </si>
  <si>
    <t>200101030266</t>
  </si>
  <si>
    <t>110kV线路主变故障录波屏</t>
  </si>
  <si>
    <t>200101031506</t>
  </si>
  <si>
    <t>测距仪</t>
  </si>
  <si>
    <t>200101031507</t>
  </si>
  <si>
    <t>200101031508</t>
  </si>
  <si>
    <t>200101035282</t>
  </si>
  <si>
    <t>1、2号主变保护屏</t>
  </si>
  <si>
    <t>200101050272</t>
  </si>
  <si>
    <t>10kV石庙路903断路器保护线路保护</t>
  </si>
  <si>
    <t>200101050273</t>
  </si>
  <si>
    <t>电容器保护</t>
  </si>
  <si>
    <t>200101050274</t>
  </si>
  <si>
    <t>35kV胥幸线303线路保护</t>
  </si>
  <si>
    <t>200101050275</t>
  </si>
  <si>
    <t>#2所用变保护</t>
  </si>
  <si>
    <t>200101050276</t>
  </si>
  <si>
    <t>10kV1号开关站总路905断路器保护线路保护</t>
  </si>
  <si>
    <t>200101050277</t>
  </si>
  <si>
    <t>10kV翠朝路903线路保护</t>
  </si>
  <si>
    <t>200101050278</t>
  </si>
  <si>
    <t>10kV胥玉路912线路保护</t>
  </si>
  <si>
    <t>200101050279</t>
  </si>
  <si>
    <t>变压器保护</t>
  </si>
  <si>
    <t>200101050280</t>
  </si>
  <si>
    <t>10kV平青路905线路保护</t>
  </si>
  <si>
    <t>200101050281</t>
  </si>
  <si>
    <t>10kV平桃路907线路保护</t>
  </si>
  <si>
    <t>200101050282</t>
  </si>
  <si>
    <t>10kV#1站用变保护所用变保护</t>
  </si>
  <si>
    <t>200101050283</t>
  </si>
  <si>
    <t>1号主变微机保护1</t>
  </si>
  <si>
    <t>200101050284</t>
  </si>
  <si>
    <t>110kV灌磷线164线路保护</t>
  </si>
  <si>
    <t>200101050287</t>
  </si>
  <si>
    <t>10kV金桥二路909线路保护</t>
  </si>
  <si>
    <t>200101050288</t>
  </si>
  <si>
    <t>10kV2号开关站总路906断路器保护线路保护</t>
  </si>
  <si>
    <t>200101050290</t>
  </si>
  <si>
    <t>2#主变非电量保护</t>
  </si>
  <si>
    <t>200101050291</t>
  </si>
  <si>
    <t>1号主变901断路器保护线路保护</t>
  </si>
  <si>
    <t>200101050292</t>
  </si>
  <si>
    <t>10kV石城路905断路器保护线路保护</t>
  </si>
  <si>
    <t>200101050293</t>
  </si>
  <si>
    <t>220kV源山南线261线路保护2</t>
  </si>
  <si>
    <t>200101050294</t>
  </si>
  <si>
    <t>1#主变501变压器保护</t>
  </si>
  <si>
    <t>200101050295</t>
  </si>
  <si>
    <t>10kV石四路907断路器保护线路保护</t>
  </si>
  <si>
    <t>200101050296</t>
  </si>
  <si>
    <t>220kV源丹南线266线路保护1</t>
  </si>
  <si>
    <t>200101050297</t>
  </si>
  <si>
    <t>110kV聚胥线136线路保护</t>
  </si>
  <si>
    <t>200101050298</t>
  </si>
  <si>
    <t>10kV#4电容器保护</t>
  </si>
  <si>
    <t>200101050299</t>
  </si>
  <si>
    <t>10kV#8电容器保护</t>
  </si>
  <si>
    <t>200101050301</t>
  </si>
  <si>
    <t>220kV母线保护2</t>
  </si>
  <si>
    <t>200101050302</t>
  </si>
  <si>
    <t>2号主变高后备保护</t>
  </si>
  <si>
    <t>200101050303</t>
  </si>
  <si>
    <t>10kV金土路916断路器保护线路保护</t>
  </si>
  <si>
    <t>200101050306</t>
  </si>
  <si>
    <t>10kV胥观路910线路保护</t>
  </si>
  <si>
    <t>200101050309</t>
  </si>
  <si>
    <t>1号主变非电量保护</t>
  </si>
  <si>
    <t>200101050311</t>
  </si>
  <si>
    <t>10kV翠五路905线路保护</t>
  </si>
  <si>
    <t>200101050312</t>
  </si>
  <si>
    <t>35kV内桥330开关保护</t>
  </si>
  <si>
    <t>200101050313</t>
  </si>
  <si>
    <t>10kV磁镇路907线路保护</t>
  </si>
  <si>
    <t>200101050314</t>
  </si>
  <si>
    <t>10kV磁新路905线路保护</t>
  </si>
  <si>
    <t>200101050315</t>
  </si>
  <si>
    <t>2号主变低后备保护</t>
  </si>
  <si>
    <t>200101050316</t>
  </si>
  <si>
    <t>35kV金城线303断路器保护线路保护</t>
  </si>
  <si>
    <t>200101050317</t>
  </si>
  <si>
    <t>110kV聚蒲二线138线路保护</t>
  </si>
  <si>
    <t>200101050319</t>
  </si>
  <si>
    <t>10kV#6电容器保护</t>
  </si>
  <si>
    <t>200101050320</t>
  </si>
  <si>
    <t>35kV金中线307断路器保护线路保护</t>
  </si>
  <si>
    <t>200101050321</t>
  </si>
  <si>
    <t>35kV金白线305断路器保护线路保护</t>
  </si>
  <si>
    <t>200101050322</t>
  </si>
  <si>
    <t>10kV金村路903线路保护</t>
  </si>
  <si>
    <t>200101050323</t>
  </si>
  <si>
    <t>10kV金源一路911断路器保护线路保护</t>
  </si>
  <si>
    <t>200101050324</t>
  </si>
  <si>
    <t>1号主变中后备保护</t>
  </si>
  <si>
    <t>200101050325</t>
  </si>
  <si>
    <t>1号主变高后备保护</t>
  </si>
  <si>
    <t>200101050326</t>
  </si>
  <si>
    <t>200101050327</t>
  </si>
  <si>
    <t>10kV电容器918断路器电容器保护</t>
  </si>
  <si>
    <t>200101050328</t>
  </si>
  <si>
    <t>1号主变低后备保护</t>
  </si>
  <si>
    <t>200101050329</t>
  </si>
  <si>
    <t>10kV金桥一路线路保护</t>
  </si>
  <si>
    <t>200101050331</t>
  </si>
  <si>
    <t>110kV金王线142线路保护</t>
  </si>
  <si>
    <t>200101050332</t>
  </si>
  <si>
    <t>35kV胥通线306线路保护</t>
  </si>
  <si>
    <t>200101050333</t>
  </si>
  <si>
    <t>2#主变微机保护1</t>
  </si>
  <si>
    <t>200101050334</t>
  </si>
  <si>
    <t>10kV胥灵路904线路保护</t>
  </si>
  <si>
    <t>200101050335</t>
  </si>
  <si>
    <t>10kV电容四路928线路保护</t>
  </si>
  <si>
    <t>200101050336</t>
  </si>
  <si>
    <t>10kV#2站用变保护所用变保护</t>
  </si>
  <si>
    <t>200101050337</t>
  </si>
  <si>
    <t>200101050338</t>
  </si>
  <si>
    <t>1号主变微机保护2</t>
  </si>
  <si>
    <t>200101050343</t>
  </si>
  <si>
    <t>2#主变微机保护2</t>
  </si>
  <si>
    <t>200101050344</t>
  </si>
  <si>
    <t>10kV唐大路905断路器保护线路保护</t>
  </si>
  <si>
    <t>200101050345</t>
  </si>
  <si>
    <t>200101050346</t>
  </si>
  <si>
    <t>35kV胥花线304线路保护</t>
  </si>
  <si>
    <t>200101050354</t>
  </si>
  <si>
    <t>10kV唐古路907断路器保护线路保护</t>
  </si>
  <si>
    <t>200101050355</t>
  </si>
  <si>
    <t>200101050356</t>
  </si>
  <si>
    <t>10kV磁虹路903线路保护</t>
  </si>
  <si>
    <t>200101050357</t>
  </si>
  <si>
    <t>1#主变901开关保护</t>
  </si>
  <si>
    <t>200101050359</t>
  </si>
  <si>
    <t>10kV#2电容器保护</t>
  </si>
  <si>
    <t>200101050362</t>
  </si>
  <si>
    <t>110kV聚金线135线路保护</t>
  </si>
  <si>
    <t>200101050363</t>
  </si>
  <si>
    <t>2号主变非电量保护</t>
  </si>
  <si>
    <t>200101050364</t>
  </si>
  <si>
    <t>2号主变中后备保护</t>
  </si>
  <si>
    <t>200101050365</t>
  </si>
  <si>
    <t>220kV源丹北线265线路保护2</t>
  </si>
  <si>
    <t>200101050366</t>
  </si>
  <si>
    <t>220kV源山北线262线路保护1</t>
  </si>
  <si>
    <t>200101050367</t>
  </si>
  <si>
    <t>10kV胥镇二路906线路保护</t>
  </si>
  <si>
    <t>200101050368</t>
  </si>
  <si>
    <t>10kV胥高路914线路保护</t>
  </si>
  <si>
    <t>200101050369</t>
  </si>
  <si>
    <t>200101050370</t>
  </si>
  <si>
    <t>35kV金羊线306断路器保护线路保护</t>
  </si>
  <si>
    <t>200101050371</t>
  </si>
  <si>
    <t>35kV金双线312断路器保护线路保护</t>
  </si>
  <si>
    <t>200101050372</t>
  </si>
  <si>
    <t>10kV金玉路913线路保护</t>
  </si>
  <si>
    <t>200101050373</t>
  </si>
  <si>
    <t>10kV平泰路903线路保护</t>
  </si>
  <si>
    <t>200101050374</t>
  </si>
  <si>
    <t>10kV胥江路908线路保护</t>
  </si>
  <si>
    <t>200101050375</t>
  </si>
  <si>
    <t>10kV金铁一路904断路器保护线路保护</t>
  </si>
  <si>
    <t>200101050376</t>
  </si>
  <si>
    <t>10kV金黄路914断路器保护线路保护</t>
  </si>
  <si>
    <t>200101050377</t>
  </si>
  <si>
    <t>10kV电容器907断路器电容器保护</t>
  </si>
  <si>
    <t>200101050378</t>
  </si>
  <si>
    <t>35kV金西线308断路器保护线路保护</t>
  </si>
  <si>
    <t>200101050379</t>
  </si>
  <si>
    <t>10kV金源二路912断路器保护线路保护</t>
  </si>
  <si>
    <t>200101050380</t>
  </si>
  <si>
    <t>220kV源丹北线265线路保护1</t>
  </si>
  <si>
    <t>200101050385</t>
  </si>
  <si>
    <t>10kV金源三路908断路器间隔线路保护</t>
  </si>
  <si>
    <t>200101050386</t>
  </si>
  <si>
    <t>10kV金砂路938断路器间隔线路保护</t>
  </si>
  <si>
    <t>200101050387</t>
  </si>
  <si>
    <t>10kV金聚路945断路器间隔线路保护</t>
  </si>
  <si>
    <t>200101050388</t>
  </si>
  <si>
    <t>10kV金新二路948断路器间隔线路保护</t>
  </si>
  <si>
    <t>200101050389</t>
  </si>
  <si>
    <t>10kV金福路937断路器间隔线路保护</t>
  </si>
  <si>
    <t>200101050390</t>
  </si>
  <si>
    <t>10kV站用变946断路器间隔线路保护</t>
  </si>
  <si>
    <t>200101050391</t>
  </si>
  <si>
    <t>10kV天马路903断路器间隔线路保护</t>
  </si>
  <si>
    <t>200101050392</t>
  </si>
  <si>
    <t>10kVI段PT线路保护</t>
  </si>
  <si>
    <t>200101050393</t>
  </si>
  <si>
    <t>10kV天金路905断路器间隔线路保护</t>
  </si>
  <si>
    <t>200101050394</t>
  </si>
  <si>
    <t>10kV天镇路904断路器间隔线路保护</t>
  </si>
  <si>
    <t>200101050395</t>
  </si>
  <si>
    <t>10kVII段PT9326间隔线路保护</t>
  </si>
  <si>
    <t>200101050396</t>
  </si>
  <si>
    <t>10kV天硅路906断路器间隔线路保护</t>
  </si>
  <si>
    <t>200101050397</t>
  </si>
  <si>
    <t>10kV备用908断路器间隔线路保护</t>
  </si>
  <si>
    <t>200101050398</t>
  </si>
  <si>
    <t>10kVI段母线线路保护</t>
  </si>
  <si>
    <t>200101050399</t>
  </si>
  <si>
    <t>35kV天闽线304断路器间隔线路保护</t>
  </si>
  <si>
    <t>200101050400</t>
  </si>
  <si>
    <t>35kV母线PT间隔线路保护</t>
  </si>
  <si>
    <t>200101050401</t>
  </si>
  <si>
    <t>35kV灌幸天支线断路器间隔线路保护</t>
  </si>
  <si>
    <t>200101050402</t>
  </si>
  <si>
    <t>庆红天支线305断路器间隔线路保护</t>
  </si>
  <si>
    <t>200101050403</t>
  </si>
  <si>
    <t>1号主变本体非电量保护</t>
  </si>
  <si>
    <t>200101050404</t>
  </si>
  <si>
    <t>1号主变本体高后备保护</t>
  </si>
  <si>
    <t>200101050405</t>
  </si>
  <si>
    <t>200101050406</t>
  </si>
  <si>
    <t>200101050407</t>
  </si>
  <si>
    <t>200101050408</t>
  </si>
  <si>
    <t>200101050409</t>
  </si>
  <si>
    <t>200101050410</t>
  </si>
  <si>
    <t>200101050411</t>
  </si>
  <si>
    <t>35kV磁小线304断路器间隔断路器保护</t>
  </si>
  <si>
    <t>200101050412</t>
  </si>
  <si>
    <t>10kV蒲园三路912断路器间隔线路保护</t>
  </si>
  <si>
    <t>200101050413</t>
  </si>
  <si>
    <t>10kV蒲美路915断路器间隔线路保护</t>
  </si>
  <si>
    <t>200101050414</t>
  </si>
  <si>
    <t>10kV备用916断路器间隔线路保护</t>
  </si>
  <si>
    <t>200101050415</t>
  </si>
  <si>
    <t>10kV备用917断路器间隔线路保护</t>
  </si>
  <si>
    <t>200101050416</t>
  </si>
  <si>
    <t>10kV蒲电路918断路器间隔线路保护</t>
  </si>
  <si>
    <t>200101050417</t>
  </si>
  <si>
    <t>200101050418</t>
  </si>
  <si>
    <t>10kV电容二路982断路器间隔电容器保护</t>
  </si>
  <si>
    <t>200101050419</t>
  </si>
  <si>
    <t>10kV蒲园二路921断路器间隔线路保护</t>
  </si>
  <si>
    <t>200101050420</t>
  </si>
  <si>
    <t>10kV蒲园四路922断路器间隔线路保护</t>
  </si>
  <si>
    <t>200101050421</t>
  </si>
  <si>
    <t>10kV蒲钢路923断路器间隔线路保护</t>
  </si>
  <si>
    <t>200101050422</t>
  </si>
  <si>
    <t>10kV蒲街路925断路器间隔线路保护</t>
  </si>
  <si>
    <t>200101050423</t>
  </si>
  <si>
    <t>10kV蒲驾路924断路器间隔线路保护</t>
  </si>
  <si>
    <t>200101050424</t>
  </si>
  <si>
    <t>10kV备用926断路器间隔线路保护</t>
  </si>
  <si>
    <t>200101050425</t>
  </si>
  <si>
    <t>10kV蒲街路927断路器间隔线路保护</t>
  </si>
  <si>
    <t>200101050426</t>
  </si>
  <si>
    <t>10kV备用928断路器间隔线路保护</t>
  </si>
  <si>
    <t>200101050427</t>
  </si>
  <si>
    <t>10kV电容三路983断路器间隔电容器保护</t>
  </si>
  <si>
    <t>200101050428</t>
  </si>
  <si>
    <t>10kV电容四路984断路器间隔电容器保护</t>
  </si>
  <si>
    <t>200101050429</t>
  </si>
  <si>
    <t>35KV蒲光线313断路器间隔线路保护</t>
  </si>
  <si>
    <t>200101050430</t>
  </si>
  <si>
    <t>10kV白尖路915断路器间隔线路保护</t>
  </si>
  <si>
    <t>200101050431</t>
  </si>
  <si>
    <t>10kV白城路913断路器间隔线路保护</t>
  </si>
  <si>
    <t>200101050432</t>
  </si>
  <si>
    <t>10kV白青路914断路器间隔线路保护</t>
  </si>
  <si>
    <t>200101050433</t>
  </si>
  <si>
    <t>10kV白坪路912断路器间隔线路保护</t>
  </si>
  <si>
    <t>200101050434</t>
  </si>
  <si>
    <t>10kV白西路911断路器间隔线路保护</t>
  </si>
  <si>
    <t>200101050435</t>
  </si>
  <si>
    <t>10kV分段930断路器间隔变压器保护</t>
  </si>
  <si>
    <t>200101050436</t>
  </si>
  <si>
    <t>200101050437</t>
  </si>
  <si>
    <t>10k白江路921断路器间隔线路保护</t>
  </si>
  <si>
    <t>200101050438</t>
  </si>
  <si>
    <t>10kV待用922断路器间隔线路保护</t>
  </si>
  <si>
    <t>200101050439</t>
  </si>
  <si>
    <t>10kV白虹路923线路</t>
  </si>
  <si>
    <t>200101050440</t>
  </si>
  <si>
    <t>10kV备用925断路器间隔线路保护</t>
  </si>
  <si>
    <t>200101050441</t>
  </si>
  <si>
    <t>10kV白南路924断路器间隔线路保护</t>
  </si>
  <si>
    <t>200101050442</t>
  </si>
  <si>
    <t>35kV张白线311断路器间隔线路保护</t>
  </si>
  <si>
    <t>200101050443</t>
  </si>
  <si>
    <t>1号主变本体间隔变压器保护</t>
  </si>
  <si>
    <t>200101050444</t>
  </si>
  <si>
    <t>200101050445</t>
  </si>
  <si>
    <t>200101050446</t>
  </si>
  <si>
    <t>35kV金白线312断路器间隔线路保护</t>
  </si>
  <si>
    <t>200101050447</t>
  </si>
  <si>
    <t>35kV白水线313断路器间隔线路保护</t>
  </si>
  <si>
    <t>200101050448</t>
  </si>
  <si>
    <t>10kV胥尚路920断路器间隔线路保护</t>
  </si>
  <si>
    <t>200101050449</t>
  </si>
  <si>
    <t>10kV胥伦路907断路器间隔线路保护</t>
  </si>
  <si>
    <t>200101050450</t>
  </si>
  <si>
    <t>10kV胥都北路909断路器间隔线路保护</t>
  </si>
  <si>
    <t>200101050451</t>
  </si>
  <si>
    <t>10kV胥镇一路911断路器间隔线路保护</t>
  </si>
  <si>
    <t>200101050452</t>
  </si>
  <si>
    <t>10kV胥联路913断路器间隔线路保护</t>
  </si>
  <si>
    <t>200101050453</t>
  </si>
  <si>
    <t>10kV胥铁路915断路器间隔线路保护</t>
  </si>
  <si>
    <t>200101050454</t>
  </si>
  <si>
    <t>35kV小嘉线321断路器间隔线路保护</t>
  </si>
  <si>
    <t>200101050455</t>
  </si>
  <si>
    <t>200101050456</t>
  </si>
  <si>
    <t>200101050457</t>
  </si>
  <si>
    <t>10kV备用935断路器间隔线路保护</t>
  </si>
  <si>
    <t>200101050458</t>
  </si>
  <si>
    <t>10kV金水路947断路器间隔线路保护</t>
  </si>
  <si>
    <t>200101050484</t>
  </si>
  <si>
    <t>110kV灌法线163线路保护</t>
  </si>
  <si>
    <t>200101050489</t>
  </si>
  <si>
    <t>2号主变主保护</t>
  </si>
  <si>
    <t>200101050490</t>
  </si>
  <si>
    <t>10kV胥天路905断路器间隔线路保护</t>
  </si>
  <si>
    <t>200101050491</t>
  </si>
  <si>
    <t>10kV2号站用接地变962断路器保护</t>
  </si>
  <si>
    <t>200101050492</t>
  </si>
  <si>
    <t>35kV蒲玉线322线路保护</t>
  </si>
  <si>
    <t>200101050493</t>
  </si>
  <si>
    <t>35kV蒲峰线321线路保护</t>
  </si>
  <si>
    <t>200101050494</t>
  </si>
  <si>
    <t>200101050495</t>
  </si>
  <si>
    <t>10kV1号站用接地变961断路器间隔线路保护</t>
  </si>
  <si>
    <t>200101050496</t>
  </si>
  <si>
    <t>10kV蒲园一路911线路保护</t>
  </si>
  <si>
    <t>200101050497</t>
  </si>
  <si>
    <t>220kV源山南线261线路保护1</t>
  </si>
  <si>
    <t>200101050498</t>
  </si>
  <si>
    <t>35kV蒲双线312线路保护</t>
  </si>
  <si>
    <t>200101050499</t>
  </si>
  <si>
    <t>10kV胥都南路918线路保护</t>
  </si>
  <si>
    <t>200101050500</t>
  </si>
  <si>
    <t>10kV蒲桂路913线路保护</t>
  </si>
  <si>
    <t>200101050502</t>
  </si>
  <si>
    <t>220kV母线保护1</t>
  </si>
  <si>
    <t>200101050503</t>
  </si>
  <si>
    <t>110kV母线保护</t>
  </si>
  <si>
    <t>200101050504</t>
  </si>
  <si>
    <t>220kV源丹南线266线路保护2</t>
  </si>
  <si>
    <t>200101050505</t>
  </si>
  <si>
    <t>10kV电容二路982电容器间隔电容器保护</t>
  </si>
  <si>
    <t>200101050506</t>
  </si>
  <si>
    <t>10kV电容一路981电容器保护</t>
  </si>
  <si>
    <t>200101050507</t>
  </si>
  <si>
    <t>10kV蒲向路914线路保护</t>
  </si>
  <si>
    <t>200101050508</t>
  </si>
  <si>
    <t>200101050509</t>
  </si>
  <si>
    <t>200101050510</t>
  </si>
  <si>
    <t>10kV电容四路984电容器保护</t>
  </si>
  <si>
    <t>200101050511</t>
  </si>
  <si>
    <t>10kV电容三路983电容器保护</t>
  </si>
  <si>
    <t>200101050512</t>
  </si>
  <si>
    <t>110kV聚蒲一线141线路保护</t>
  </si>
  <si>
    <t>200101050513</t>
  </si>
  <si>
    <t>200101050514</t>
  </si>
  <si>
    <t>110kV蒲新线144线路保护</t>
  </si>
  <si>
    <t>200101050515</t>
  </si>
  <si>
    <t>1号主变主保护</t>
  </si>
  <si>
    <t>200101050516</t>
  </si>
  <si>
    <t>220kV源山北线262线路保护2</t>
  </si>
  <si>
    <t>200101050518</t>
  </si>
  <si>
    <t>35kV蒲花线311线路保护</t>
  </si>
  <si>
    <t>200101050519</t>
  </si>
  <si>
    <t>110kV聚蒲二线142线路保护</t>
  </si>
  <si>
    <t>200101050520</t>
  </si>
  <si>
    <t>200101050521</t>
  </si>
  <si>
    <t>200101050522</t>
  </si>
  <si>
    <t>200101050523</t>
  </si>
  <si>
    <t>110kV聚蒲一线137线路保护</t>
  </si>
  <si>
    <t>200101050524</t>
  </si>
  <si>
    <t>110kV母线差动保护</t>
  </si>
  <si>
    <t>200101050525</t>
  </si>
  <si>
    <t>10kV胥游路903线路保护</t>
  </si>
  <si>
    <t>200101050526</t>
  </si>
  <si>
    <t>10kV唐朝路903断路器保护线路保护</t>
  </si>
  <si>
    <t>200101050527</t>
  </si>
  <si>
    <t>10kV2号站用接地变间隔线路保护</t>
  </si>
  <si>
    <t>200101050528</t>
  </si>
  <si>
    <t>10kV1号站用接地变间隔线路保护</t>
  </si>
  <si>
    <t>200101050529</t>
  </si>
  <si>
    <t>10kV电容路间隔电容器保护</t>
  </si>
  <si>
    <t>200101050530</t>
  </si>
  <si>
    <t>１＃主变低后备保护装置</t>
  </si>
  <si>
    <t>200101050531</t>
  </si>
  <si>
    <t>１＃主变差动保护装置</t>
  </si>
  <si>
    <t>200101050532</t>
  </si>
  <si>
    <t>１＃主变高后备保护装置</t>
  </si>
  <si>
    <t>200101050533</t>
  </si>
  <si>
    <t>35kV磁小线311断路器间隔线路保护</t>
  </si>
  <si>
    <t>200101050534</t>
  </si>
  <si>
    <t>35kV白小线312断路器间隔线路保护</t>
  </si>
  <si>
    <t>200101050535</t>
  </si>
  <si>
    <t>１号主变本体间隔非电量保护</t>
  </si>
  <si>
    <t>200101050536</t>
  </si>
  <si>
    <t>１号主变本体间隔测控装置</t>
  </si>
  <si>
    <t>200101050537</t>
  </si>
  <si>
    <t>１号主变本体间隔高压侧测控装置</t>
  </si>
  <si>
    <t>200101050538</t>
  </si>
  <si>
    <t>１号主变本体间隔低压侧测控装置</t>
  </si>
  <si>
    <t>200101050539</t>
  </si>
  <si>
    <t>１号主变本体间隔操作箱装置</t>
  </si>
  <si>
    <t>200101050540</t>
  </si>
  <si>
    <t>1号主变本体差动保护</t>
  </si>
  <si>
    <t>200101050541</t>
  </si>
  <si>
    <t>10kV电容路909断路器间隔电容器保护</t>
  </si>
  <si>
    <t>200101050542</t>
  </si>
  <si>
    <t>200101050543</t>
  </si>
  <si>
    <t>35kV灌磁线303断路器间隔断路器保护</t>
  </si>
  <si>
    <t>200101050544</t>
  </si>
  <si>
    <t>200101050545</t>
  </si>
  <si>
    <t>10kV翠勤路907线路保护</t>
  </si>
  <si>
    <t>200101050546</t>
  </si>
  <si>
    <t>10kV备用905断路器间隔线路保护</t>
  </si>
  <si>
    <t>200101050547</t>
  </si>
  <si>
    <t>10kV青平路906断路器间隔线路保护</t>
  </si>
  <si>
    <t>200101050548</t>
  </si>
  <si>
    <t>10kV备用907断路器间隔线路保护</t>
  </si>
  <si>
    <t>200101050549</t>
  </si>
  <si>
    <t>110kV聚城线151断路器间隔线路保护</t>
  </si>
  <si>
    <t>200101050550</t>
  </si>
  <si>
    <t>10kV青云路908断路器间隔线路保护</t>
  </si>
  <si>
    <t>200101050551</t>
  </si>
  <si>
    <t>10kV备用909断路器间隔线路保护</t>
  </si>
  <si>
    <t>200101050552</t>
  </si>
  <si>
    <t>110KV金王城支线152断路器间隔线路保护</t>
  </si>
  <si>
    <t>200101050553</t>
  </si>
  <si>
    <t>10kV青镇路913断路器间隔线路保护</t>
  </si>
  <si>
    <t>200101050554</t>
  </si>
  <si>
    <t>10kV备用914断路器间隔线路保护</t>
  </si>
  <si>
    <t>200101050555</t>
  </si>
  <si>
    <t>10kV备用920断路器间隔线路保护</t>
  </si>
  <si>
    <t>200101050556</t>
  </si>
  <si>
    <t>10kV青泰路922断路器间隔线路保护</t>
  </si>
  <si>
    <t>200101050557</t>
  </si>
  <si>
    <t>200101050558</t>
  </si>
  <si>
    <t>10kV青院路923断路器间隔线路保护</t>
  </si>
  <si>
    <t>200101050559</t>
  </si>
  <si>
    <t>2号主变本体差动保护</t>
  </si>
  <si>
    <t>200101050560</t>
  </si>
  <si>
    <t>10kV备用924断路器间隔线路保护</t>
  </si>
  <si>
    <t>200101050561</t>
  </si>
  <si>
    <t>200101050562</t>
  </si>
  <si>
    <t>10kV备用927断路器间隔线路保护</t>
  </si>
  <si>
    <t>200101050563</t>
  </si>
  <si>
    <t>35kV备用311断路器间隔线路保护</t>
  </si>
  <si>
    <t>200101050564</t>
  </si>
  <si>
    <t>200101050565</t>
  </si>
  <si>
    <t>1号主变本体中后备保护</t>
  </si>
  <si>
    <t>200101050566</t>
  </si>
  <si>
    <t>10kV1号站用接地变间隔变压器保护</t>
  </si>
  <si>
    <t>200101050567</t>
  </si>
  <si>
    <t>1号主变本体低后备保护</t>
  </si>
  <si>
    <t>200101050568</t>
  </si>
  <si>
    <t>10kV2号站用接地变间隔变压器保护</t>
  </si>
  <si>
    <t>200101050569</t>
  </si>
  <si>
    <t>10kV电容一路间隔电容器保护</t>
  </si>
  <si>
    <t>200101050570</t>
  </si>
  <si>
    <t>200101050571</t>
  </si>
  <si>
    <t>35kV分段330断路器间隔保护</t>
  </si>
  <si>
    <t>200101050572</t>
  </si>
  <si>
    <t>2号主变本体高后备保护</t>
  </si>
  <si>
    <t>200101050573</t>
  </si>
  <si>
    <t>2号主变本体中后备保护</t>
  </si>
  <si>
    <t>200101050574</t>
  </si>
  <si>
    <t>2号主变本体低后备保护</t>
  </si>
  <si>
    <t>200101050575</t>
  </si>
  <si>
    <t>10kV电容四路间隔电容器保护</t>
  </si>
  <si>
    <t>200101050576</t>
  </si>
  <si>
    <t>10kV电容二路间隔电容器保护</t>
  </si>
  <si>
    <t>200101050577</t>
  </si>
  <si>
    <t>2号主变本体非电量保护</t>
  </si>
  <si>
    <t>200101050578</t>
  </si>
  <si>
    <t>10kV电容三路间隔电容器保护</t>
  </si>
  <si>
    <t>200101050579</t>
  </si>
  <si>
    <t>35kV备用313断路器间隔线路保护</t>
  </si>
  <si>
    <t>200101050580</t>
  </si>
  <si>
    <t>35kV青山线321断路器间隔线路保护</t>
  </si>
  <si>
    <t>200101050581</t>
  </si>
  <si>
    <t>35kV青公线322断路器间隔线路保护</t>
  </si>
  <si>
    <t>200101050582</t>
  </si>
  <si>
    <t>200101050583</t>
  </si>
  <si>
    <t>1号主变901保护</t>
  </si>
  <si>
    <t>200101050584</t>
  </si>
  <si>
    <t>110kV聚城线133断路器间隔线路保护</t>
  </si>
  <si>
    <t>200101050585</t>
  </si>
  <si>
    <t>110kV聚灌线139断路器间隔线路保护</t>
  </si>
  <si>
    <t>200101050586</t>
  </si>
  <si>
    <t>110kV聚清线140断路器间隔线路保护</t>
  </si>
  <si>
    <t>200101050587</t>
  </si>
  <si>
    <t>110kV聚铁线131断路器间隔线路保护</t>
  </si>
  <si>
    <t>200101050588</t>
  </si>
  <si>
    <t>200101050589</t>
  </si>
  <si>
    <t>220kV源丹北线265光纤接口装置</t>
  </si>
  <si>
    <t>200101050590</t>
  </si>
  <si>
    <t>10kV旁路916断路器间隔线路保护</t>
  </si>
  <si>
    <t>200101050591</t>
  </si>
  <si>
    <t>10kV青田路910断路器间隔线路保护</t>
  </si>
  <si>
    <t>200101050592</t>
  </si>
  <si>
    <t>200101050593</t>
  </si>
  <si>
    <t>200101050594</t>
  </si>
  <si>
    <t>200101052208</t>
  </si>
  <si>
    <t>200101052209</t>
  </si>
  <si>
    <t>200101052210</t>
  </si>
  <si>
    <t>200101052211</t>
  </si>
  <si>
    <t>间隔层交换机屏1</t>
  </si>
  <si>
    <t>200101053485</t>
  </si>
  <si>
    <t>220kV源双线263开关1号保护屏</t>
  </si>
  <si>
    <t>200101053486</t>
  </si>
  <si>
    <t>220kV源双线263开关2号保护屏</t>
  </si>
  <si>
    <t>200101056931</t>
  </si>
  <si>
    <t>110kV2号故障录波装置</t>
  </si>
  <si>
    <t>200101056932</t>
  </si>
  <si>
    <t>200101056933</t>
  </si>
  <si>
    <t>200101056934</t>
  </si>
  <si>
    <t>200101056935</t>
  </si>
  <si>
    <t>200101056936</t>
  </si>
  <si>
    <t>200101056937</t>
  </si>
  <si>
    <t>200101056938</t>
  </si>
  <si>
    <t>200101056939</t>
  </si>
  <si>
    <t>200101056940</t>
  </si>
  <si>
    <t>200101056941</t>
  </si>
  <si>
    <t>200101056942</t>
  </si>
  <si>
    <t>110kV分段130开关保护</t>
  </si>
  <si>
    <t>200101056943</t>
  </si>
  <si>
    <t>成都.灌县.110kV连灌线161线路保护</t>
  </si>
  <si>
    <t>200101056944</t>
  </si>
  <si>
    <t>110kV旁路190开关保护装置</t>
  </si>
  <si>
    <t>200101056945</t>
  </si>
  <si>
    <t>110kV聚灌线162开关保护装置</t>
  </si>
  <si>
    <t>200101056946</t>
  </si>
  <si>
    <t>200101059564</t>
  </si>
  <si>
    <t>成都.灌县.110kV胥灌线166线路保护</t>
  </si>
  <si>
    <t>200101059565</t>
  </si>
  <si>
    <t>成都.灌县.10kV1号站用变保护测控装置</t>
  </si>
  <si>
    <t>200101059566</t>
  </si>
  <si>
    <t>成都.灌县.10kV2号站用变保护测控装置</t>
  </si>
  <si>
    <t>200101061233</t>
  </si>
  <si>
    <t>故障录波装置</t>
  </si>
  <si>
    <t>200101061234</t>
  </si>
  <si>
    <t>200101061235</t>
  </si>
  <si>
    <t>110kV故障录波装置</t>
  </si>
  <si>
    <t>200101067078</t>
  </si>
  <si>
    <t>10kV备用915断路器保护线路保护</t>
  </si>
  <si>
    <t>200101067079</t>
  </si>
  <si>
    <t>10kV备用909断路器保护线路保护</t>
  </si>
  <si>
    <t>200101067080</t>
  </si>
  <si>
    <t>10kV备用914断路器保护线路保护</t>
  </si>
  <si>
    <t>200101067081</t>
  </si>
  <si>
    <t>10kV918断路器保护线路保护</t>
  </si>
  <si>
    <t>200101067082</t>
  </si>
  <si>
    <t>10kV旁路916线路保护</t>
  </si>
  <si>
    <t>200101067083</t>
  </si>
  <si>
    <t>成都.灌县.10kV备用909断路器保护装置</t>
  </si>
  <si>
    <t>200101067084</t>
  </si>
  <si>
    <t>成都.灌县.10kV备用914断路器保护装置</t>
  </si>
  <si>
    <t>200101067085</t>
  </si>
  <si>
    <t>成都.灌县.10kV备用915断路器保护装置</t>
  </si>
  <si>
    <t>200101067086</t>
  </si>
  <si>
    <t>成都.灌县.10kV备用918断路器保护装置</t>
  </si>
  <si>
    <t>200101067087</t>
  </si>
  <si>
    <t>成都.灌县.10kV电容二路922电容器保护装置</t>
  </si>
  <si>
    <t>200101067088</t>
  </si>
  <si>
    <t>成都.灌县.10kV电容三路921电容器保护装置</t>
  </si>
  <si>
    <t>200101067089</t>
  </si>
  <si>
    <t>成都.灌县.10kV电容四路924电容器保护装置</t>
  </si>
  <si>
    <t>200101067090</t>
  </si>
  <si>
    <t>成都.灌县.10kV电容一路919电容器保护装置</t>
  </si>
  <si>
    <t>200101067091</t>
  </si>
  <si>
    <t>成都.灌县.10kV分段930充电保护装置</t>
  </si>
  <si>
    <t>200101067092</t>
  </si>
  <si>
    <t>成都.灌县.10kV灌八路903线路保护装置</t>
  </si>
  <si>
    <t>200101067093</t>
  </si>
  <si>
    <t>成都.灌县.10kV灌城二路905线路保护装置</t>
  </si>
  <si>
    <t>200101067094</t>
  </si>
  <si>
    <t>成都.灌县.10kV灌城三路911线路保护装置</t>
  </si>
  <si>
    <t>200101067095</t>
  </si>
  <si>
    <t>成都.灌县.10kV灌城一路910线路保护装置</t>
  </si>
  <si>
    <t>200101067096</t>
  </si>
  <si>
    <t>成都.灌县.10kV灌凤路912线路保护装置</t>
  </si>
  <si>
    <t>200101067097</t>
  </si>
  <si>
    <t>成都.灌县.10kV灌煤路907线路保护装置</t>
  </si>
  <si>
    <t>200101067098</t>
  </si>
  <si>
    <t>成都.灌县.10kV灌宁路913线路保护装置</t>
  </si>
  <si>
    <t>200101067099</t>
  </si>
  <si>
    <t>成都.灌县.10kV灌四路904线路保护装置</t>
  </si>
  <si>
    <t>200101067100</t>
  </si>
  <si>
    <t>成都.灌县.10kV灌向路908线路保护装置</t>
  </si>
  <si>
    <t>200101067101</t>
  </si>
  <si>
    <t>成都.灌县.10kV灌纸路906线路保护装置</t>
  </si>
  <si>
    <t>200101067102</t>
  </si>
  <si>
    <t>成都.灌县.10kV旁路916线路保护装置</t>
  </si>
  <si>
    <t>200101067104</t>
  </si>
  <si>
    <t>成都.灌县.35kV分段312断路器保护装置</t>
  </si>
  <si>
    <t>200101067105</t>
  </si>
  <si>
    <t>成都.灌县.35kV灌磁线304线路保护</t>
  </si>
  <si>
    <t>200101067106</t>
  </si>
  <si>
    <t>成都.灌县.35kV灌果线307线路保护</t>
  </si>
  <si>
    <t>200101067107</t>
  </si>
  <si>
    <t>成都.灌县.35kV灌九线305线路保护</t>
  </si>
  <si>
    <t>200101067108</t>
  </si>
  <si>
    <t>成都.灌县.35kV灌山线308线路保护</t>
  </si>
  <si>
    <t>200101067109</t>
  </si>
  <si>
    <t>成都.灌县.35kV灌天线306线路保护</t>
  </si>
  <si>
    <t>200101068374</t>
  </si>
  <si>
    <t>35kV站用变保护装置</t>
  </si>
  <si>
    <t>200101074094</t>
  </si>
  <si>
    <t>2号主变高后备保护装置</t>
  </si>
  <si>
    <t>200101074095</t>
  </si>
  <si>
    <t>2号主变差动保护装置</t>
  </si>
  <si>
    <t>200101074096</t>
  </si>
  <si>
    <t>2号主变非电量保护装置</t>
  </si>
  <si>
    <t>200101074097</t>
  </si>
  <si>
    <t>2号主变中后备保护装置</t>
  </si>
  <si>
    <t>200101074098</t>
  </si>
  <si>
    <t>2号主变低后备保护装置</t>
  </si>
  <si>
    <t>200101074547</t>
  </si>
  <si>
    <t>四川.聚源.110kV聚灌线139线路保护装置</t>
  </si>
  <si>
    <t>200101074548</t>
  </si>
  <si>
    <t>四川.聚源.110kV聚清线140线路保护装置</t>
  </si>
  <si>
    <t>200101074649</t>
  </si>
  <si>
    <t>主变线路保护装置屏</t>
  </si>
  <si>
    <t>220V</t>
  </si>
  <si>
    <t>200102002655</t>
  </si>
  <si>
    <t>监控机</t>
  </si>
  <si>
    <t>200102002658</t>
  </si>
  <si>
    <t>200102002659</t>
  </si>
  <si>
    <t>电脑钥匙I</t>
  </si>
  <si>
    <t>200102002660</t>
  </si>
  <si>
    <t>防误锁（套）</t>
  </si>
  <si>
    <t>200102002661</t>
  </si>
  <si>
    <t>电脑钥匙II</t>
  </si>
  <si>
    <t>200102005820</t>
  </si>
  <si>
    <t>200102011336</t>
  </si>
  <si>
    <t>通讯电池I</t>
  </si>
  <si>
    <t>200102011337</t>
  </si>
  <si>
    <t>200102011608</t>
  </si>
  <si>
    <t>2号主变压器测控屏</t>
  </si>
  <si>
    <t>200102011609</t>
  </si>
  <si>
    <t>全电子式多功能表_聚源变110KV崇义牵引站出线</t>
  </si>
  <si>
    <t>200102011610</t>
  </si>
  <si>
    <t>故障录波柜_聚源变110KV崇义牵引站出线</t>
  </si>
  <si>
    <t>200102012033</t>
  </si>
  <si>
    <t>200102012034</t>
  </si>
  <si>
    <t>电钥匙</t>
  </si>
  <si>
    <t>200102012035</t>
  </si>
  <si>
    <t>200102012171</t>
  </si>
  <si>
    <t>1号2号主变110kV、35kV、10kV侧测控屏</t>
  </si>
  <si>
    <t>200102012172</t>
  </si>
  <si>
    <t>110kV、35kV、10kVPT并列及电压测控屏</t>
  </si>
  <si>
    <t>200102012173</t>
  </si>
  <si>
    <t>200102013412</t>
  </si>
  <si>
    <t>200102013414</t>
  </si>
  <si>
    <t>200102013415</t>
  </si>
  <si>
    <t>通讯电池II</t>
  </si>
  <si>
    <t>200102013416</t>
  </si>
  <si>
    <t>200102013417</t>
  </si>
  <si>
    <t>200102017622</t>
  </si>
  <si>
    <t>充电模块</t>
  </si>
  <si>
    <t>200102017623</t>
  </si>
  <si>
    <t>电脑主机</t>
  </si>
  <si>
    <t>200102017624</t>
  </si>
  <si>
    <t>电脑钥匙充电座</t>
  </si>
  <si>
    <t>200102017625</t>
  </si>
  <si>
    <t>200102017626</t>
  </si>
  <si>
    <t>200102017627</t>
  </si>
  <si>
    <t>200102017628</t>
  </si>
  <si>
    <t>200102017629</t>
  </si>
  <si>
    <t>蓄电池整流模块</t>
  </si>
  <si>
    <t>200102017630</t>
  </si>
  <si>
    <t>200102017631</t>
  </si>
  <si>
    <t>200102017632</t>
  </si>
  <si>
    <t>通信蓄电池整流模块</t>
  </si>
  <si>
    <t>200102017633</t>
  </si>
  <si>
    <t>通信直流测控装置</t>
  </si>
  <si>
    <t>200102017634</t>
  </si>
  <si>
    <t>微机直流测控装置</t>
  </si>
  <si>
    <t>200102017635</t>
  </si>
  <si>
    <t>200102017636</t>
  </si>
  <si>
    <t>200102017637</t>
  </si>
  <si>
    <t>200102017638</t>
  </si>
  <si>
    <t>200102017639</t>
  </si>
  <si>
    <t>200102017640</t>
  </si>
  <si>
    <t>200102017641</t>
  </si>
  <si>
    <t>200102017642</t>
  </si>
  <si>
    <t>200102017780</t>
  </si>
  <si>
    <t>蓄电池组Ⅰ</t>
  </si>
  <si>
    <t>200102017781</t>
  </si>
  <si>
    <t>蓄电池组Ⅱ</t>
  </si>
  <si>
    <t>200102017782</t>
  </si>
  <si>
    <t>蓄电池组整流模块Ⅰ</t>
  </si>
  <si>
    <t>200102017783</t>
  </si>
  <si>
    <t>蓄电池组整流模块Ⅱ</t>
  </si>
  <si>
    <t>200102017784</t>
  </si>
  <si>
    <t>绝缘监测仪Ⅰ</t>
  </si>
  <si>
    <t>200102017785</t>
  </si>
  <si>
    <t>绝缘监测仪Ⅱ</t>
  </si>
  <si>
    <t>200102017786</t>
  </si>
  <si>
    <t>通讯电源整流模块Ⅰ</t>
  </si>
  <si>
    <t>200102017787</t>
  </si>
  <si>
    <t>通讯电源整流模块Ⅱ</t>
  </si>
  <si>
    <t>200102019925</t>
  </si>
  <si>
    <t>200102019926</t>
  </si>
  <si>
    <t>直流充电模块</t>
  </si>
  <si>
    <t>200102019927</t>
  </si>
  <si>
    <t>110kV沿江变电站I套</t>
  </si>
  <si>
    <t>200102019928</t>
  </si>
  <si>
    <t>200102019929</t>
  </si>
  <si>
    <t>200102019930</t>
  </si>
  <si>
    <t>防误锁</t>
  </si>
  <si>
    <t>200102019931</t>
  </si>
  <si>
    <t>110kV备自投</t>
  </si>
  <si>
    <t>200102020537</t>
  </si>
  <si>
    <t>220KV聚源变电站保护故障管理系统</t>
  </si>
  <si>
    <t>200102020918</t>
  </si>
  <si>
    <t>200102020919</t>
  </si>
  <si>
    <t>200102020920</t>
  </si>
  <si>
    <t>200102025159</t>
  </si>
  <si>
    <t>200102025162</t>
  </si>
  <si>
    <t>200102025163</t>
  </si>
  <si>
    <t>200102025169</t>
  </si>
  <si>
    <t>200102025170</t>
  </si>
  <si>
    <t>200102025172</t>
  </si>
  <si>
    <t>200102025175</t>
  </si>
  <si>
    <t>200102025177</t>
  </si>
  <si>
    <t>五防误锁</t>
  </si>
  <si>
    <t>200102025180</t>
  </si>
  <si>
    <t>200102025181</t>
  </si>
  <si>
    <t>200102025182</t>
  </si>
  <si>
    <t>直流系统绝缘监测仪</t>
  </si>
  <si>
    <t>200102025183</t>
  </si>
  <si>
    <t>200102025184</t>
  </si>
  <si>
    <t>200102025185</t>
  </si>
  <si>
    <t>200102025566</t>
  </si>
  <si>
    <t>200102025567</t>
  </si>
  <si>
    <t>200102025568</t>
  </si>
  <si>
    <t>200102025569</t>
  </si>
  <si>
    <t>直流充电屏</t>
  </si>
  <si>
    <t>200102025570</t>
  </si>
  <si>
    <t>直流馈线屏</t>
  </si>
  <si>
    <t>200102025571</t>
  </si>
  <si>
    <t>10kV消弧线圈控制屏</t>
  </si>
  <si>
    <t>200102025572</t>
  </si>
  <si>
    <t>视频监控屏</t>
  </si>
  <si>
    <t>200102025573</t>
  </si>
  <si>
    <t>通信蓄电池组屏</t>
  </si>
  <si>
    <t>200102025574</t>
  </si>
  <si>
    <t>通信电源屏</t>
  </si>
  <si>
    <t>200102025575</t>
  </si>
  <si>
    <t>通信电源馈线屏</t>
  </si>
  <si>
    <t>200102025576</t>
  </si>
  <si>
    <t>FA-16接入设备屏</t>
  </si>
  <si>
    <t>200102025577</t>
  </si>
  <si>
    <t>光传输设备屏</t>
  </si>
  <si>
    <t>200102025578</t>
  </si>
  <si>
    <t>电压并列及PT测控屏</t>
  </si>
  <si>
    <t>200102025579</t>
  </si>
  <si>
    <t>综合配线屏</t>
  </si>
  <si>
    <t>200102025682</t>
  </si>
  <si>
    <t>电压监测仪（45套）</t>
  </si>
  <si>
    <t>200102025688</t>
  </si>
  <si>
    <t>微机监控高频直流开关1号馈线屏</t>
  </si>
  <si>
    <t>200102027131</t>
  </si>
  <si>
    <t>光传输接入设备屏</t>
  </si>
  <si>
    <t>200102027344</t>
  </si>
  <si>
    <t>光缆终端设备</t>
  </si>
  <si>
    <t>200102027345</t>
  </si>
  <si>
    <t>200102028166</t>
  </si>
  <si>
    <t>1号站用屏</t>
  </si>
  <si>
    <t>200102028167</t>
  </si>
  <si>
    <t>2号站用屏</t>
  </si>
  <si>
    <t>200102028168</t>
  </si>
  <si>
    <t>4号站用屏</t>
  </si>
  <si>
    <t>200102028169</t>
  </si>
  <si>
    <t>1号主变测控屏</t>
  </si>
  <si>
    <t>200102028170</t>
  </si>
  <si>
    <t>200102028171</t>
  </si>
  <si>
    <t>站用屏3</t>
  </si>
  <si>
    <t>200102028172</t>
  </si>
  <si>
    <t>380V站用电进线备自投屏</t>
  </si>
  <si>
    <t>200102028173</t>
  </si>
  <si>
    <t>200102028175</t>
  </si>
  <si>
    <t>站用屏4</t>
  </si>
  <si>
    <t>200102028179</t>
  </si>
  <si>
    <t>站用屏1</t>
  </si>
  <si>
    <t>200102028180</t>
  </si>
  <si>
    <t>电压无功综合控制装置屏</t>
  </si>
  <si>
    <t>200102028181</t>
  </si>
  <si>
    <t>3号站用屏</t>
  </si>
  <si>
    <t>200102028182</t>
  </si>
  <si>
    <t>200102028183</t>
  </si>
  <si>
    <t>接地补偿及送线装置</t>
  </si>
  <si>
    <t>200102028184</t>
  </si>
  <si>
    <t>站用屏2</t>
  </si>
  <si>
    <t>200102028186</t>
  </si>
  <si>
    <t>110kV线路保护测控屏保护屏</t>
  </si>
  <si>
    <t>200102028187</t>
  </si>
  <si>
    <t>200102028189</t>
  </si>
  <si>
    <t>110kV线路测控屏2</t>
  </si>
  <si>
    <t>200102028190</t>
  </si>
  <si>
    <t>200102028191</t>
  </si>
  <si>
    <t>200102028192</t>
  </si>
  <si>
    <t>1号主变器排油注氮灭火控制屏</t>
  </si>
  <si>
    <t>200102028193</t>
  </si>
  <si>
    <t>200102028194</t>
  </si>
  <si>
    <t>二次设备交流屏</t>
  </si>
  <si>
    <t>200102028195</t>
  </si>
  <si>
    <t>1号主变压器测测控屏</t>
  </si>
  <si>
    <t>200102028196</t>
  </si>
  <si>
    <t>200102028197</t>
  </si>
  <si>
    <t>200102028198</t>
  </si>
  <si>
    <t>200102028199</t>
  </si>
  <si>
    <t>2号主变测控屏</t>
  </si>
  <si>
    <t>200102028200</t>
  </si>
  <si>
    <t>分段测控保护屏</t>
  </si>
  <si>
    <t>200102028201</t>
  </si>
  <si>
    <t>总控屏2</t>
  </si>
  <si>
    <t>200102028202</t>
  </si>
  <si>
    <t>总控屏1</t>
  </si>
  <si>
    <t>200102028203</t>
  </si>
  <si>
    <t>通讯蓄电池I</t>
  </si>
  <si>
    <t>200102028204</t>
  </si>
  <si>
    <t>通讯蓄电池II</t>
  </si>
  <si>
    <t>200102028205</t>
  </si>
  <si>
    <t>微机控制高频开关直流充电屏</t>
  </si>
  <si>
    <t>200102028206</t>
  </si>
  <si>
    <t>直流控制盘</t>
  </si>
  <si>
    <t>200102028207</t>
  </si>
  <si>
    <t>微机控制高频开关直流电池屏</t>
  </si>
  <si>
    <t>200102028208</t>
  </si>
  <si>
    <t>站用电屏</t>
  </si>
  <si>
    <t>200102028209</t>
  </si>
  <si>
    <t>200102028210</t>
  </si>
  <si>
    <t>直流电池屏</t>
  </si>
  <si>
    <t>200102028211</t>
  </si>
  <si>
    <t>五防屏</t>
  </si>
  <si>
    <t>200102028212</t>
  </si>
  <si>
    <t>微机控制高频直流开关充电屏</t>
  </si>
  <si>
    <t>200102028213</t>
  </si>
  <si>
    <t>200102028214</t>
  </si>
  <si>
    <t>五防操作屏</t>
  </si>
  <si>
    <t>200102028215</t>
  </si>
  <si>
    <t>测控装置及通信管理屏</t>
  </si>
  <si>
    <t>200102028216</t>
  </si>
  <si>
    <t>200102028217</t>
  </si>
  <si>
    <t>站用屏</t>
  </si>
  <si>
    <t>200102028218</t>
  </si>
  <si>
    <t>直流屏2</t>
  </si>
  <si>
    <t>200102028219</t>
  </si>
  <si>
    <t>直流屏1</t>
  </si>
  <si>
    <t>200102028220</t>
  </si>
  <si>
    <t>测控装置屏</t>
  </si>
  <si>
    <t>200102028223</t>
  </si>
  <si>
    <t>200102028224</t>
  </si>
  <si>
    <t>110kV内桥35kV10kV分段测控屏</t>
  </si>
  <si>
    <t>200102028225</t>
  </si>
  <si>
    <t>200102028226</t>
  </si>
  <si>
    <t>200102028227</t>
  </si>
  <si>
    <t>35kV10kVPT测控屏</t>
  </si>
  <si>
    <t>200102028228</t>
  </si>
  <si>
    <t>110kV35kV10kV分段备自投屏</t>
  </si>
  <si>
    <t>200102028229</t>
  </si>
  <si>
    <t>35kV接地补偿及选线装置控制屏</t>
  </si>
  <si>
    <t>200102028230</t>
  </si>
  <si>
    <t>10kV快速消弧系统控制装置屏</t>
  </si>
  <si>
    <t>200102028231</t>
  </si>
  <si>
    <t>200102028232</t>
  </si>
  <si>
    <t>200102028233</t>
  </si>
  <si>
    <t>200102028234</t>
  </si>
  <si>
    <t>200102028235</t>
  </si>
  <si>
    <t>200102028236</t>
  </si>
  <si>
    <t>整流屏</t>
  </si>
  <si>
    <t>200102028237</t>
  </si>
  <si>
    <t>直流分配屏</t>
  </si>
  <si>
    <t>200102028238</t>
  </si>
  <si>
    <t>200102028239</t>
  </si>
  <si>
    <t>200102028240</t>
  </si>
  <si>
    <t>微机控制高频直流开关电池屏</t>
  </si>
  <si>
    <t>200102029422</t>
  </si>
  <si>
    <t>视频监控系统1</t>
  </si>
  <si>
    <t>200102029423</t>
  </si>
  <si>
    <t>35KV青龙站保护监控无人值班改造决算转资</t>
  </si>
  <si>
    <t>200102029424</t>
  </si>
  <si>
    <t>调度控制台</t>
  </si>
  <si>
    <t>200102029425</t>
  </si>
  <si>
    <t>变压器台区识别仪1</t>
  </si>
  <si>
    <t>200102029426</t>
  </si>
  <si>
    <t>有源变压器容量测试仪</t>
  </si>
  <si>
    <t>200102029427</t>
  </si>
  <si>
    <t>变压器台区识别仪2</t>
  </si>
  <si>
    <t>200102029428</t>
  </si>
  <si>
    <t>变压器台区识别仪3</t>
  </si>
  <si>
    <t>200102029429</t>
  </si>
  <si>
    <t>变压器台区识别仪4</t>
  </si>
  <si>
    <t>200102029430</t>
  </si>
  <si>
    <t>变压器台区识别仪5</t>
  </si>
  <si>
    <t>200102029431</t>
  </si>
  <si>
    <t>变压器台区识别仪6</t>
  </si>
  <si>
    <t>200102029432</t>
  </si>
  <si>
    <t>JOYO防误主机</t>
  </si>
  <si>
    <t>200102029433</t>
  </si>
  <si>
    <t>联想商用计算机</t>
  </si>
  <si>
    <t>200102029434</t>
  </si>
  <si>
    <t>联想显示器</t>
  </si>
  <si>
    <t>200102029435</t>
  </si>
  <si>
    <t>联想激光打印机</t>
  </si>
  <si>
    <t>200102029436</t>
  </si>
  <si>
    <t>200102029437</t>
  </si>
  <si>
    <t>200102029438</t>
  </si>
  <si>
    <t>200102029439</t>
  </si>
  <si>
    <t>200102029440</t>
  </si>
  <si>
    <t>200102029441</t>
  </si>
  <si>
    <t>200102029442</t>
  </si>
  <si>
    <t>200102029443</t>
  </si>
  <si>
    <t>200102029444</t>
  </si>
  <si>
    <t>200102029445</t>
  </si>
  <si>
    <t>200102029446</t>
  </si>
  <si>
    <t>200102029447</t>
  </si>
  <si>
    <t>200102029448</t>
  </si>
  <si>
    <t>200102029449</t>
  </si>
  <si>
    <t>200102029450</t>
  </si>
  <si>
    <t>200102029451</t>
  </si>
  <si>
    <t>200102029452</t>
  </si>
  <si>
    <t>200102029453</t>
  </si>
  <si>
    <t>200102029454</t>
  </si>
  <si>
    <t>200102029455</t>
  </si>
  <si>
    <t>200102029456</t>
  </si>
  <si>
    <t>200102029457</t>
  </si>
  <si>
    <t>200102029458</t>
  </si>
  <si>
    <t>200102029459</t>
  </si>
  <si>
    <t>200102029460</t>
  </si>
  <si>
    <t>200102029461</t>
  </si>
  <si>
    <t>200102029462</t>
  </si>
  <si>
    <t>200102029463</t>
  </si>
  <si>
    <t>200102029464</t>
  </si>
  <si>
    <t>200102029465</t>
  </si>
  <si>
    <t>200102029466</t>
  </si>
  <si>
    <t>200102029467</t>
  </si>
  <si>
    <t>200102029468</t>
  </si>
  <si>
    <t>机架式服务器</t>
  </si>
  <si>
    <t>200102029469</t>
  </si>
  <si>
    <t>机架式17寸液晶显示器</t>
  </si>
  <si>
    <t>200102029470</t>
  </si>
  <si>
    <t>华为交换机</t>
  </si>
  <si>
    <t>200102029471</t>
  </si>
  <si>
    <t>服务器机柜</t>
  </si>
  <si>
    <t>200102029472</t>
  </si>
  <si>
    <t>200102029473</t>
  </si>
  <si>
    <t>200102029474</t>
  </si>
  <si>
    <t>200102029475</t>
  </si>
  <si>
    <t>200102029476</t>
  </si>
  <si>
    <t>新办公楼应急指挥中心决算转资</t>
  </si>
  <si>
    <t>200102029477</t>
  </si>
  <si>
    <t>兆欧表</t>
  </si>
  <si>
    <t>200102029478</t>
  </si>
  <si>
    <t>充电式全能王</t>
  </si>
  <si>
    <t>200102029479</t>
  </si>
  <si>
    <t>热转印标识机</t>
  </si>
  <si>
    <t>200102029480</t>
  </si>
  <si>
    <t>防爆式移动灯</t>
  </si>
  <si>
    <t>200102029481</t>
  </si>
  <si>
    <t>手动式液压切刀</t>
  </si>
  <si>
    <t>200102029482</t>
  </si>
  <si>
    <t>电动扳手</t>
  </si>
  <si>
    <t>200102029483</t>
  </si>
  <si>
    <t>200102029484</t>
  </si>
  <si>
    <t>液压搬运车</t>
  </si>
  <si>
    <t>200102029485</t>
  </si>
  <si>
    <t>吸尘器</t>
  </si>
  <si>
    <t>200102029486</t>
  </si>
  <si>
    <t>200102029487</t>
  </si>
  <si>
    <t>200102029488</t>
  </si>
  <si>
    <t>200102029489</t>
  </si>
  <si>
    <t>200102029490</t>
  </si>
  <si>
    <t>200102029491</t>
  </si>
  <si>
    <t>安龙电站直流一体化电源系统蓄电池组（18只电池）</t>
  </si>
  <si>
    <t>200102029492</t>
  </si>
  <si>
    <t>安龙电站直流一体化电源系统直流配电屏（充电柜）</t>
  </si>
  <si>
    <t>200102029500</t>
  </si>
  <si>
    <t>安龙电站微机五防装置JOYO防误主机</t>
  </si>
  <si>
    <t>200102029501</t>
  </si>
  <si>
    <t>安龙电站微机五防装置电脑钥匙</t>
  </si>
  <si>
    <t>200102029502</t>
  </si>
  <si>
    <t>安龙电站微机五防装置电编码锁</t>
  </si>
  <si>
    <t>200102029503</t>
  </si>
  <si>
    <t>安龙电站微机五防装置机械锁</t>
  </si>
  <si>
    <t>200102029504</t>
  </si>
  <si>
    <t>徐渡二级电站微机五防装置JOYO防误主机</t>
  </si>
  <si>
    <t>200102029505</t>
  </si>
  <si>
    <t>徐渡二级电站微机五防装置电脑钥匙</t>
  </si>
  <si>
    <t>200102029506</t>
  </si>
  <si>
    <t>徐渡二级电站微机五防装置电编码锁</t>
  </si>
  <si>
    <t>200102029507</t>
  </si>
  <si>
    <t>徐渡二级电站微机五防装置机械锁</t>
  </si>
  <si>
    <t>200102033083</t>
  </si>
  <si>
    <t>200102033084</t>
  </si>
  <si>
    <t>200102033085</t>
  </si>
  <si>
    <t>测控屏</t>
  </si>
  <si>
    <t>200102033089</t>
  </si>
  <si>
    <t>测控保护屏</t>
  </si>
  <si>
    <t>200102033090</t>
  </si>
  <si>
    <t>200102045648</t>
  </si>
  <si>
    <t>200102045649</t>
  </si>
  <si>
    <t>200102045650</t>
  </si>
  <si>
    <t>200102045651</t>
  </si>
  <si>
    <t>控制屏</t>
  </si>
  <si>
    <t>200102045652</t>
  </si>
  <si>
    <t>直流屏</t>
  </si>
  <si>
    <t>200102045653</t>
  </si>
  <si>
    <t>蓄电池屏</t>
  </si>
  <si>
    <t>200102045654</t>
  </si>
  <si>
    <t>200102045655</t>
  </si>
  <si>
    <t>10kVPT站用变屏</t>
  </si>
  <si>
    <t>200102046649</t>
  </si>
  <si>
    <t>监控主机屏</t>
  </si>
  <si>
    <t>200102046650</t>
  </si>
  <si>
    <t>110kV线路测控屏1</t>
  </si>
  <si>
    <t>200102046651</t>
  </si>
  <si>
    <t>调度数据专网屏</t>
  </si>
  <si>
    <t>200102046652</t>
  </si>
  <si>
    <t>220kV源双线线路测控屏</t>
  </si>
  <si>
    <t>200102049408</t>
  </si>
  <si>
    <t>110kV灌县变电站I套</t>
  </si>
  <si>
    <t>200102049409</t>
  </si>
  <si>
    <t>操作箱</t>
  </si>
  <si>
    <t>200102049410</t>
  </si>
  <si>
    <t>200102049411</t>
  </si>
  <si>
    <t>200102049412</t>
  </si>
  <si>
    <t>200102051238</t>
  </si>
  <si>
    <t>成都.灌县.10kVII段母线PT测控装置</t>
  </si>
  <si>
    <t>200102051239</t>
  </si>
  <si>
    <t>成都.灌县.10kVI段母线PT测控装置</t>
  </si>
  <si>
    <t>200102051240</t>
  </si>
  <si>
    <t>成都.灌县.10kV备自投装置</t>
  </si>
  <si>
    <t>200102051241</t>
  </si>
  <si>
    <t>35kV备自投装置</t>
  </si>
  <si>
    <t>200102052512</t>
  </si>
  <si>
    <t>成都.金江.站用直流系统</t>
  </si>
  <si>
    <t>200102053907</t>
  </si>
  <si>
    <t>通讯蓄电池</t>
  </si>
  <si>
    <t>200102055539</t>
  </si>
  <si>
    <t>35kV天马变电站站用系统</t>
  </si>
  <si>
    <t>200102055543</t>
  </si>
  <si>
    <t>110KV蒲阳变电站I套</t>
  </si>
  <si>
    <t>200102055655</t>
  </si>
  <si>
    <t>10kV1号站用接地变消弧线圈控制装置</t>
  </si>
  <si>
    <t>200102056848</t>
  </si>
  <si>
    <t>成都.灌县.10kV电压切换装置</t>
  </si>
  <si>
    <t>200102056849</t>
  </si>
  <si>
    <t>成都.灌县.1号主变101测控装置</t>
  </si>
  <si>
    <t>200102056850</t>
  </si>
  <si>
    <t>成都.灌县.1号主变301测控装置</t>
  </si>
  <si>
    <t>200102056851</t>
  </si>
  <si>
    <t>成都.灌县.1号主变901测控装置</t>
  </si>
  <si>
    <t>200102056852</t>
  </si>
  <si>
    <t>成都.灌县.1号主变本体测控装置</t>
  </si>
  <si>
    <t>200102056853</t>
  </si>
  <si>
    <t>成都.灌县.2号主变102测控装置</t>
  </si>
  <si>
    <t>200102056854</t>
  </si>
  <si>
    <t>成都.灌县.2号主变302测控装置</t>
  </si>
  <si>
    <t>200102056855</t>
  </si>
  <si>
    <t>成都.灌县.2号主变902测控装置</t>
  </si>
  <si>
    <t>200102056856</t>
  </si>
  <si>
    <t>成都.灌县.110kV分段130测控装置</t>
  </si>
  <si>
    <t>200102056857</t>
  </si>
  <si>
    <t>成都.灌县.110kVI母测控装置</t>
  </si>
  <si>
    <t>200102056858</t>
  </si>
  <si>
    <t>成都.灌县.110kVII母测控装置</t>
  </si>
  <si>
    <t>200102056859</t>
  </si>
  <si>
    <t>成都.灌县.公用测控装置1</t>
  </si>
  <si>
    <t>200102056860</t>
  </si>
  <si>
    <t>成都.灌县.公用测控装置2</t>
  </si>
  <si>
    <t>200102056861</t>
  </si>
  <si>
    <t>成都.灌县.110kV连灌线161测控装置</t>
  </si>
  <si>
    <t>200102056862</t>
  </si>
  <si>
    <t>成都.灌县.110kV聚灌线162测控装置</t>
  </si>
  <si>
    <t>200102056863</t>
  </si>
  <si>
    <t>成都.灌县.110kV备用163测控装置</t>
  </si>
  <si>
    <t>200102056864</t>
  </si>
  <si>
    <t>成都.灌县.110kV灌磷线164测控装置</t>
  </si>
  <si>
    <t>200102056865</t>
  </si>
  <si>
    <t>成都.灌县.110kV备用165测控装置</t>
  </si>
  <si>
    <t>200102056866</t>
  </si>
  <si>
    <t>成都.灌县.110kV胥灌线166测控装置</t>
  </si>
  <si>
    <t>200102056867</t>
  </si>
  <si>
    <t>成都.灌县.110kV旁路190测控装置</t>
  </si>
  <si>
    <t>200102056868</t>
  </si>
  <si>
    <t>成都.灌县.2号主变本体测控装置</t>
  </si>
  <si>
    <t>200102056869</t>
  </si>
  <si>
    <t>成都.灌县.35kVI母测控装置</t>
  </si>
  <si>
    <t>200102056870</t>
  </si>
  <si>
    <t>成都.灌县.35kVII母测控装置</t>
  </si>
  <si>
    <t>200102058248</t>
  </si>
  <si>
    <t>110kV青城山变电站I套</t>
  </si>
  <si>
    <t>200102060674</t>
  </si>
  <si>
    <t>万安电站一体化电源系统蓄电池组</t>
  </si>
  <si>
    <t>200102060675</t>
  </si>
  <si>
    <t>万安电站一体化电源系统直流充电设备</t>
  </si>
  <si>
    <t>200102060676</t>
  </si>
  <si>
    <t>万安电站一体化电源系统蓄电池巡检设备</t>
  </si>
  <si>
    <t>200102060677</t>
  </si>
  <si>
    <t>万安电站一体化电源系统直流配电屏1</t>
  </si>
  <si>
    <t>200102060678</t>
  </si>
  <si>
    <t>万安电站一体化电源系统直流配电屏2</t>
  </si>
  <si>
    <t>200102060679</t>
  </si>
  <si>
    <t>万安电站一体化电源系统直流配电屏3</t>
  </si>
  <si>
    <t>200102060680</t>
  </si>
  <si>
    <t>万安电站一体化电源系统直流配电屏4</t>
  </si>
  <si>
    <t>200102060681</t>
  </si>
  <si>
    <t>元定桥电站一体化电源系统蓄电池组</t>
  </si>
  <si>
    <t>200102060682</t>
  </si>
  <si>
    <t>元定桥电站一体化电源系统直流充电设备</t>
  </si>
  <si>
    <t>200102060683</t>
  </si>
  <si>
    <t>元定桥电站一体化电源系统蓄电池巡检设备</t>
  </si>
  <si>
    <t>200102060684</t>
  </si>
  <si>
    <t>元定桥电站一体化电源系统直流配电屏1</t>
  </si>
  <si>
    <t>200102060685</t>
  </si>
  <si>
    <t>元定桥电站一体化电源系统直流配电屏2</t>
  </si>
  <si>
    <t>200102060686</t>
  </si>
  <si>
    <t>元定桥电站一体化电源系统直流配电屏3</t>
  </si>
  <si>
    <t>200102060687</t>
  </si>
  <si>
    <t>元定桥电站一体化电源系统直流配电屏4</t>
  </si>
  <si>
    <t>200102060688</t>
  </si>
  <si>
    <t>徐渡二级电站一体化电源系统蓄电池组</t>
  </si>
  <si>
    <t>200102060689</t>
  </si>
  <si>
    <t>徐渡二级电站一体化电源系统直流充电设备</t>
  </si>
  <si>
    <t>200102060690</t>
  </si>
  <si>
    <t>徐渡二级电站一体化电源系统蓄电池巡检设备</t>
  </si>
  <si>
    <t>200102060691</t>
  </si>
  <si>
    <t>徐渡二级电站一体化电源系统直流配电屏1</t>
  </si>
  <si>
    <t>200102060692</t>
  </si>
  <si>
    <t>徐渡二级电站一体化电源系统直流配电屏2</t>
  </si>
  <si>
    <t>200102060693</t>
  </si>
  <si>
    <t>徐渡二级电站一体化电源系统直流配电屏3</t>
  </si>
  <si>
    <t>200102062749</t>
  </si>
  <si>
    <t>1号手持机（PDA）</t>
  </si>
  <si>
    <t>200102062750</t>
  </si>
  <si>
    <t>2号手持机（PDA）</t>
  </si>
  <si>
    <t>200102062751</t>
  </si>
  <si>
    <t>3号手持机（PDA）</t>
  </si>
  <si>
    <t>200102062752</t>
  </si>
  <si>
    <t>4号手持机（PDA）</t>
  </si>
  <si>
    <t>200102062753</t>
  </si>
  <si>
    <t>5号手持机（PDA）</t>
  </si>
  <si>
    <t>200102062754</t>
  </si>
  <si>
    <t>6号手持机（PDA）</t>
  </si>
  <si>
    <t>200102062755</t>
  </si>
  <si>
    <t>7号手持机（PDA）</t>
  </si>
  <si>
    <t>200102062756</t>
  </si>
  <si>
    <t>8号手持机（PDA）</t>
  </si>
  <si>
    <t>200102062757</t>
  </si>
  <si>
    <t>9号手持机（PDA）</t>
  </si>
  <si>
    <t>200102062758</t>
  </si>
  <si>
    <t>10号手持机（PDA）</t>
  </si>
  <si>
    <t>200102064351</t>
  </si>
  <si>
    <t>1号主变排油注氮系统</t>
  </si>
  <si>
    <t>拆分合并重分类</t>
  </si>
  <si>
    <t>200102064352</t>
  </si>
  <si>
    <t>2号主变排油注氮系统</t>
  </si>
  <si>
    <t>200102064353</t>
  </si>
  <si>
    <t>200102064354</t>
  </si>
  <si>
    <t>200102065877</t>
  </si>
  <si>
    <t>机器人智能巡检系统</t>
  </si>
  <si>
    <t>200102066605</t>
  </si>
  <si>
    <t>200102067062</t>
  </si>
  <si>
    <t>220kV聚源变电站站内配置火灾报警系统</t>
  </si>
  <si>
    <t>200102067063</t>
  </si>
  <si>
    <t>110kV金江变电站站内配置火灾报警系统</t>
  </si>
  <si>
    <t>200102067064</t>
  </si>
  <si>
    <t>35kV翠月湖变电站站内配置火灾报警系统</t>
  </si>
  <si>
    <t>200102067065</t>
  </si>
  <si>
    <t>35kV磁峰变电站站内配置火灾报警系统</t>
  </si>
  <si>
    <t>200102067066</t>
  </si>
  <si>
    <t>110kV灌县变电站站内配置火灾报警系统</t>
  </si>
  <si>
    <t>200102067067</t>
  </si>
  <si>
    <t>110kV胥家变电站站内配置火灾报警系统</t>
  </si>
  <si>
    <t>200102067068</t>
  </si>
  <si>
    <t>35kV唐公变电站站内配置火灾报警系统</t>
  </si>
  <si>
    <t>200102067069</t>
  </si>
  <si>
    <t>110kV蒲阳变电站内配置火灾报警系统</t>
  </si>
  <si>
    <t>200102067070</t>
  </si>
  <si>
    <t>35kV白沙变电站站内配置火灾报警系统</t>
  </si>
  <si>
    <t>200102067071</t>
  </si>
  <si>
    <t>35kV崇义变电站站内配置火灾报警系统</t>
  </si>
  <si>
    <t>200102067072</t>
  </si>
  <si>
    <t>35kV河西变电站站内配置火灾报警系统</t>
  </si>
  <si>
    <t>200102067073</t>
  </si>
  <si>
    <t>35kV青龙变电站站内配置火灾报警系统</t>
  </si>
  <si>
    <t>200102067074</t>
  </si>
  <si>
    <t>35kV天马变电站站内配置火灾报警系统</t>
  </si>
  <si>
    <t>200102067075</t>
  </si>
  <si>
    <t>110kV青城山变电站站内配置火灾报警系统</t>
  </si>
  <si>
    <t>200102067076</t>
  </si>
  <si>
    <t>35kV小鱼洞变电站站内配置火灾报警系统</t>
  </si>
  <si>
    <t>200102067077</t>
  </si>
  <si>
    <t>35kV石牛变电站站内配置火灾报警系统</t>
  </si>
  <si>
    <t>200102067078</t>
  </si>
  <si>
    <t>35kV柳街变电站站内配置火灾报警系统</t>
  </si>
  <si>
    <t>200103000601</t>
  </si>
  <si>
    <t>220kV、110kV母联操作及电压切换屏</t>
  </si>
  <si>
    <t>200103000603</t>
  </si>
  <si>
    <t>PT并列屏</t>
  </si>
  <si>
    <t>200103000613</t>
  </si>
  <si>
    <t>台式电脑HP4311S</t>
  </si>
  <si>
    <t>200103000614</t>
  </si>
  <si>
    <t>200103000615</t>
  </si>
  <si>
    <t>200103000616</t>
  </si>
  <si>
    <t>台式电脑HPPR03005</t>
  </si>
  <si>
    <t>200103000617</t>
  </si>
  <si>
    <t>200103000618</t>
  </si>
  <si>
    <t>200201004213</t>
  </si>
  <si>
    <t>变压器参数测试仪</t>
  </si>
  <si>
    <t>200201004725</t>
  </si>
  <si>
    <t>变压器变比测试仪</t>
  </si>
  <si>
    <t>200201004726</t>
  </si>
  <si>
    <t>介质测试仪</t>
  </si>
  <si>
    <t>200201005892</t>
  </si>
  <si>
    <t>用电检查综合测试仪</t>
  </si>
  <si>
    <t>200201006106</t>
  </si>
  <si>
    <t>试验变压器及控制系统改造09-生技变电技改I-4#</t>
  </si>
  <si>
    <t>200201006107</t>
  </si>
  <si>
    <t>PT二次回路压降测试仪</t>
  </si>
  <si>
    <t>200201006108</t>
  </si>
  <si>
    <t>手持式三相用电检查仪</t>
  </si>
  <si>
    <t>200201006109</t>
  </si>
  <si>
    <t>手持式单相用电检查仪</t>
  </si>
  <si>
    <t>200201006110</t>
  </si>
  <si>
    <t>钳式接地电阻测试仪</t>
  </si>
  <si>
    <t>200201006111</t>
  </si>
  <si>
    <t>地阻表</t>
  </si>
  <si>
    <t>200201006112</t>
  </si>
  <si>
    <t>无线核相仪</t>
  </si>
  <si>
    <t>200201006113</t>
  </si>
  <si>
    <t>介损测试仪</t>
  </si>
  <si>
    <t>200201006114</t>
  </si>
  <si>
    <t>接地电阻测试仪</t>
  </si>
  <si>
    <t>200201006115</t>
  </si>
  <si>
    <t>调压器（配控制箱）</t>
  </si>
  <si>
    <t>200201006116</t>
  </si>
  <si>
    <t>钳型电阻测试仪</t>
  </si>
  <si>
    <t>200201006117</t>
  </si>
  <si>
    <t>200201006118</t>
  </si>
  <si>
    <t>200201006119</t>
  </si>
  <si>
    <t>200201006120</t>
  </si>
  <si>
    <t>200201006121</t>
  </si>
  <si>
    <t>200201006122</t>
  </si>
  <si>
    <t>低频信号发生器</t>
  </si>
  <si>
    <t>200201006123</t>
  </si>
  <si>
    <t>单相调压器</t>
  </si>
  <si>
    <t>200201006124</t>
  </si>
  <si>
    <t>三相调压器</t>
  </si>
  <si>
    <t>200201006125</t>
  </si>
  <si>
    <t>直流高压发生器</t>
  </si>
  <si>
    <t>200201006126</t>
  </si>
  <si>
    <t>回路电阻测试仪</t>
  </si>
  <si>
    <t>200201006127</t>
  </si>
  <si>
    <t>直流电阻测试仪</t>
  </si>
  <si>
    <t>200201006128</t>
  </si>
  <si>
    <t>开关机械测试仪</t>
  </si>
  <si>
    <t>200201006129</t>
  </si>
  <si>
    <t>试验变压器</t>
  </si>
  <si>
    <t>200201006130</t>
  </si>
  <si>
    <t>200201006131</t>
  </si>
  <si>
    <t>地阻仪</t>
  </si>
  <si>
    <t>200201006132</t>
  </si>
  <si>
    <t>开关特性测试仪1</t>
  </si>
  <si>
    <t>200201006133</t>
  </si>
  <si>
    <t>开关特性测试仪2</t>
  </si>
  <si>
    <t>200203002305</t>
  </si>
  <si>
    <t>互感器检定台</t>
  </si>
  <si>
    <t>200203002306</t>
  </si>
  <si>
    <t>三相电能表现场校验仪</t>
  </si>
  <si>
    <t>200203002307</t>
  </si>
  <si>
    <t>三相多功能电能表检定装置</t>
  </si>
  <si>
    <t>200203002308</t>
  </si>
  <si>
    <t>电流互感器现场检定装置</t>
  </si>
  <si>
    <t>200203002309</t>
  </si>
  <si>
    <t>带升压器的标准电压互感器</t>
  </si>
  <si>
    <t>200203002310</t>
  </si>
  <si>
    <t>正弦波逆变电源</t>
  </si>
  <si>
    <t>200203002311</t>
  </si>
  <si>
    <t>互感器检定专用钳表</t>
  </si>
  <si>
    <t>200203002312</t>
  </si>
  <si>
    <t>200204000286</t>
  </si>
  <si>
    <t>望远镜</t>
  </si>
  <si>
    <t>200204000287</t>
  </si>
  <si>
    <t>200204000288</t>
  </si>
  <si>
    <t>200204000289</t>
  </si>
  <si>
    <t>200204000290</t>
  </si>
  <si>
    <t>200204000291</t>
  </si>
  <si>
    <t>200204000292</t>
  </si>
  <si>
    <t>200204000293</t>
  </si>
  <si>
    <t>200204000294</t>
  </si>
  <si>
    <t>200204000295</t>
  </si>
  <si>
    <t>200205001776</t>
  </si>
  <si>
    <t>手持式GPS(精度1米)</t>
  </si>
  <si>
    <t>200205001777</t>
  </si>
  <si>
    <t>200205003542</t>
  </si>
  <si>
    <t>经纬仪</t>
  </si>
  <si>
    <t>200205003543</t>
  </si>
  <si>
    <t>200205003559</t>
  </si>
  <si>
    <t>风速仪1</t>
  </si>
  <si>
    <t>200205003560</t>
  </si>
  <si>
    <t>风速仪2</t>
  </si>
  <si>
    <t>200207000850</t>
  </si>
  <si>
    <t>光时域反射测试仪</t>
  </si>
  <si>
    <t>200207000851</t>
  </si>
  <si>
    <t>卫星电话</t>
  </si>
  <si>
    <t>200208000276</t>
  </si>
  <si>
    <t>交直流变压器</t>
  </si>
  <si>
    <t>200208000277</t>
  </si>
  <si>
    <t>指示仪表现场检定仪</t>
  </si>
  <si>
    <t>200208000278</t>
  </si>
  <si>
    <t>真空开关弹跳测定仪</t>
  </si>
  <si>
    <t>200208000279</t>
  </si>
  <si>
    <t>晶体管高压直流发生器</t>
  </si>
  <si>
    <t>200208000280</t>
  </si>
  <si>
    <t>电桥</t>
  </si>
  <si>
    <t>200208000281</t>
  </si>
  <si>
    <t>电动摇表</t>
  </si>
  <si>
    <t>200208000282</t>
  </si>
  <si>
    <t>柱上真空断路器</t>
  </si>
  <si>
    <t>200208000283</t>
  </si>
  <si>
    <t>继电保护测试仪</t>
  </si>
  <si>
    <t>200208000284</t>
  </si>
  <si>
    <t>数字式双钳相位表</t>
  </si>
  <si>
    <t>200208000285</t>
  </si>
  <si>
    <t>200208000286</t>
  </si>
  <si>
    <t>测高仪</t>
  </si>
  <si>
    <t>200208000287</t>
  </si>
  <si>
    <t>交流电桥</t>
  </si>
  <si>
    <t>200208000288</t>
  </si>
  <si>
    <t>电压测试仪</t>
  </si>
  <si>
    <t>200208000289</t>
  </si>
  <si>
    <t>三相校表台</t>
  </si>
  <si>
    <t>200208000290</t>
  </si>
  <si>
    <t>电阻测试仪</t>
  </si>
  <si>
    <t>200208000291</t>
  </si>
  <si>
    <t>断路测试仪</t>
  </si>
  <si>
    <t>200208000292</t>
  </si>
  <si>
    <t>200208000293</t>
  </si>
  <si>
    <t>电压调节装置</t>
  </si>
  <si>
    <t>200208000294</t>
  </si>
  <si>
    <t>现场校验仪</t>
  </si>
  <si>
    <t>200208000295</t>
  </si>
  <si>
    <t>单相标准校验台</t>
  </si>
  <si>
    <t>200208000296</t>
  </si>
  <si>
    <t>三相电度表校表台</t>
  </si>
  <si>
    <t>200208000297</t>
  </si>
  <si>
    <t>试验台</t>
  </si>
  <si>
    <t>200208000298</t>
  </si>
  <si>
    <t>单相标准电能表</t>
  </si>
  <si>
    <t>200208000299</t>
  </si>
  <si>
    <t>三相稳压器</t>
  </si>
  <si>
    <t>200208000300</t>
  </si>
  <si>
    <t>200208000301</t>
  </si>
  <si>
    <t>电能综合计量仪</t>
  </si>
  <si>
    <t>200208000303</t>
  </si>
  <si>
    <t>200208000304</t>
  </si>
  <si>
    <t>三相示波器</t>
  </si>
  <si>
    <t>200208000305</t>
  </si>
  <si>
    <t>电能综合测试仪</t>
  </si>
  <si>
    <t>200208000306</t>
  </si>
  <si>
    <t>液压钳</t>
  </si>
  <si>
    <t>200208000307</t>
  </si>
  <si>
    <t>携代式校表台</t>
  </si>
  <si>
    <t>200208000308</t>
  </si>
  <si>
    <t>手携式红外线测试仪</t>
  </si>
  <si>
    <t>200208000309</t>
  </si>
  <si>
    <t>200208000310</t>
  </si>
  <si>
    <t>200208000311</t>
  </si>
  <si>
    <t>硅整流设备</t>
  </si>
  <si>
    <t>200208000312</t>
  </si>
  <si>
    <t>硅整流器</t>
  </si>
  <si>
    <t>200208000313</t>
  </si>
  <si>
    <t>直流试验器</t>
  </si>
  <si>
    <t>200208000314</t>
  </si>
  <si>
    <t>油试验器</t>
  </si>
  <si>
    <t>200208000315</t>
  </si>
  <si>
    <t>红外线测量仪</t>
  </si>
  <si>
    <t>200208000316</t>
  </si>
  <si>
    <t>简易微机测试仪</t>
  </si>
  <si>
    <t>200208000317</t>
  </si>
  <si>
    <t>200208000318</t>
  </si>
  <si>
    <t>交直流数字分压器</t>
  </si>
  <si>
    <t>200208000319</t>
  </si>
  <si>
    <t>200208000320</t>
  </si>
  <si>
    <t>氧化锌避雷器检测仪</t>
  </si>
  <si>
    <t>200208000321</t>
  </si>
  <si>
    <t>钳型查线仪</t>
  </si>
  <si>
    <t>200208000322</t>
  </si>
  <si>
    <t>PT二次压降测试仪</t>
  </si>
  <si>
    <t>200208000323</t>
  </si>
  <si>
    <t>盐密测试仪</t>
  </si>
  <si>
    <t>200208000324</t>
  </si>
  <si>
    <t>失压断流计时器</t>
  </si>
  <si>
    <t>200208000325</t>
  </si>
  <si>
    <t>200208000326</t>
  </si>
  <si>
    <t>远程红外测温仪</t>
  </si>
  <si>
    <t>200208000327</t>
  </si>
  <si>
    <t>200208000328</t>
  </si>
  <si>
    <t>200208000329</t>
  </si>
  <si>
    <t>直流发生器</t>
  </si>
  <si>
    <t>200208000330</t>
  </si>
  <si>
    <t>多功能微机精密变频电</t>
  </si>
  <si>
    <t>200208000331</t>
  </si>
  <si>
    <t>用电检查专用仪器</t>
  </si>
  <si>
    <t>200208000332</t>
  </si>
  <si>
    <t>单相现场校验仪</t>
  </si>
  <si>
    <t>200208000333</t>
  </si>
  <si>
    <t>单相电能表现场校验仪</t>
  </si>
  <si>
    <t>200208000334</t>
  </si>
  <si>
    <t>单相电能校验</t>
  </si>
  <si>
    <t>200208000335</t>
  </si>
  <si>
    <t>三相校验台(暂估)</t>
  </si>
  <si>
    <t>200208000336</t>
  </si>
  <si>
    <t>电容测试仪</t>
  </si>
  <si>
    <t>200208000337</t>
  </si>
  <si>
    <t>测温仪</t>
  </si>
  <si>
    <t>200208000338</t>
  </si>
  <si>
    <t>200208000339</t>
  </si>
  <si>
    <t>数字拉力试验表</t>
  </si>
  <si>
    <t>200208000340</t>
  </si>
  <si>
    <t>冲孔机</t>
  </si>
  <si>
    <t>200208000341</t>
  </si>
  <si>
    <t>液压放线架</t>
  </si>
  <si>
    <t>200208000342</t>
  </si>
  <si>
    <t>数字秒表</t>
  </si>
  <si>
    <t>200208000343</t>
  </si>
  <si>
    <t>红外线测温仪</t>
  </si>
  <si>
    <t>200208000344</t>
  </si>
  <si>
    <t>铝合金三用爬杆</t>
  </si>
  <si>
    <t>200208000345</t>
  </si>
  <si>
    <t>高压开关测试仪</t>
  </si>
  <si>
    <t>200208000346</t>
  </si>
  <si>
    <t>油压机</t>
  </si>
  <si>
    <t>200208000347</t>
  </si>
  <si>
    <t>200208000348</t>
  </si>
  <si>
    <t>超声波测距仪</t>
  </si>
  <si>
    <t>200208000349</t>
  </si>
  <si>
    <t>200208000350</t>
  </si>
  <si>
    <t>200208000351</t>
  </si>
  <si>
    <t>抄表机</t>
  </si>
  <si>
    <t>200208000352</t>
  </si>
  <si>
    <t>配变综合测试仪</t>
  </si>
  <si>
    <t>200208000353</t>
  </si>
  <si>
    <t>机动绞磨</t>
  </si>
  <si>
    <t>200208000354</t>
  </si>
  <si>
    <t>氧化锌避雷器测试仪</t>
  </si>
  <si>
    <t>200208000355</t>
  </si>
  <si>
    <t>数字兆欧表</t>
  </si>
  <si>
    <t>200208000356</t>
  </si>
  <si>
    <t>单臂电桥</t>
  </si>
  <si>
    <t>200208000357</t>
  </si>
  <si>
    <t>200208000358</t>
  </si>
  <si>
    <t>校表仪器</t>
  </si>
  <si>
    <t>200208000359</t>
  </si>
  <si>
    <t>校表仪</t>
  </si>
  <si>
    <t>200208000360</t>
  </si>
  <si>
    <t>多功能相位仪</t>
  </si>
  <si>
    <t>200208000361</t>
  </si>
  <si>
    <t>微机综合测试仪</t>
  </si>
  <si>
    <t>200208000362</t>
  </si>
  <si>
    <t>200208000363</t>
  </si>
  <si>
    <t>数字万用表</t>
  </si>
  <si>
    <t>200208000364</t>
  </si>
  <si>
    <t>相位仪</t>
  </si>
  <si>
    <t>200208000365</t>
  </si>
  <si>
    <t>鼓风于燥仪</t>
  </si>
  <si>
    <t>200208000366</t>
  </si>
  <si>
    <t>闭口闪点测试仪</t>
  </si>
  <si>
    <t>200208000367</t>
  </si>
  <si>
    <t>电气设备导通测试仪</t>
  </si>
  <si>
    <t>200208000368</t>
  </si>
  <si>
    <t>电子天平</t>
  </si>
  <si>
    <t>200208000369</t>
  </si>
  <si>
    <t>雷电计数器工作测试仪</t>
  </si>
  <si>
    <t>200208000370</t>
  </si>
  <si>
    <t>绝缘油介强度测试仪</t>
  </si>
  <si>
    <t>200208000371</t>
  </si>
  <si>
    <t>分时计度仪</t>
  </si>
  <si>
    <t>200208000372</t>
  </si>
  <si>
    <t>200208000373</t>
  </si>
  <si>
    <t>10KV计量装置</t>
  </si>
  <si>
    <t>200208000374</t>
  </si>
  <si>
    <t>200208000376</t>
  </si>
  <si>
    <t>红外线热像仪</t>
  </si>
  <si>
    <t>200208000377</t>
  </si>
  <si>
    <t>200208000378</t>
  </si>
  <si>
    <t>核相仪</t>
  </si>
  <si>
    <t>200208000379</t>
  </si>
  <si>
    <t>钳型接地电阻仪</t>
  </si>
  <si>
    <t>200208000380</t>
  </si>
  <si>
    <t>200208000381</t>
  </si>
  <si>
    <t>200208000382</t>
  </si>
  <si>
    <t>选频电平表</t>
  </si>
  <si>
    <t>200208000383</t>
  </si>
  <si>
    <t>三相电能表校验仪</t>
  </si>
  <si>
    <t>200208000384</t>
  </si>
  <si>
    <t>单相表电能校验仪</t>
  </si>
  <si>
    <t>200208000385</t>
  </si>
  <si>
    <t>线路测高仪</t>
  </si>
  <si>
    <t>200208000386</t>
  </si>
  <si>
    <t>200208001139</t>
  </si>
  <si>
    <t>200208002955</t>
  </si>
  <si>
    <t>200208003282</t>
  </si>
  <si>
    <t>200208003290</t>
  </si>
  <si>
    <t>地理信息采集录终端，亚米级</t>
  </si>
  <si>
    <t>200208003291</t>
  </si>
  <si>
    <t>地理信息采集录终端，亚米级1</t>
  </si>
  <si>
    <t>200208003292</t>
  </si>
  <si>
    <t>地理信息采集录终端，亚米级2</t>
  </si>
  <si>
    <t>200208003322</t>
  </si>
  <si>
    <t>拉杆式测流仪（40支）</t>
  </si>
  <si>
    <t>200208003645</t>
  </si>
  <si>
    <t>红外线成像仪KC500</t>
  </si>
  <si>
    <t>200210000141</t>
  </si>
  <si>
    <t>真空度测试仪</t>
  </si>
  <si>
    <t>200210000142</t>
  </si>
  <si>
    <t>200299005129</t>
  </si>
  <si>
    <t>高精度手持GIS数据采集终端</t>
  </si>
  <si>
    <t>200299005130</t>
  </si>
  <si>
    <t>200299005131</t>
  </si>
  <si>
    <t>200299005132</t>
  </si>
  <si>
    <t>200299005133</t>
  </si>
  <si>
    <t>200299005134</t>
  </si>
  <si>
    <t>200299005135</t>
  </si>
  <si>
    <t>200299005136</t>
  </si>
  <si>
    <t>200299005137</t>
  </si>
  <si>
    <t>200299005138</t>
  </si>
  <si>
    <t>200299005139</t>
  </si>
  <si>
    <t>200299005140</t>
  </si>
  <si>
    <t>200299005141</t>
  </si>
  <si>
    <t>200299005142</t>
  </si>
  <si>
    <t>200299005143</t>
  </si>
  <si>
    <t>200299005144</t>
  </si>
  <si>
    <t>200299005145</t>
  </si>
  <si>
    <t>200299005146</t>
  </si>
  <si>
    <t>200299005147</t>
  </si>
  <si>
    <t>200299005817</t>
  </si>
  <si>
    <t>车载终端</t>
  </si>
  <si>
    <t>200299005818</t>
  </si>
  <si>
    <t>200299005819</t>
  </si>
  <si>
    <t>200299005820</t>
  </si>
  <si>
    <t>200299005821</t>
  </si>
  <si>
    <t>200299005822</t>
  </si>
  <si>
    <t>200299005823</t>
  </si>
  <si>
    <t>200299005824</t>
  </si>
  <si>
    <t>200299005825</t>
  </si>
  <si>
    <t>200299005826</t>
  </si>
  <si>
    <t>200299005827</t>
  </si>
  <si>
    <t>200299005828</t>
  </si>
  <si>
    <t>200299005829</t>
  </si>
  <si>
    <t>200299005830</t>
  </si>
  <si>
    <t>200299005831</t>
  </si>
  <si>
    <t>200299005832</t>
  </si>
  <si>
    <t>200299005833</t>
  </si>
  <si>
    <t>200299005834</t>
  </si>
  <si>
    <t>200299005835</t>
  </si>
  <si>
    <t>200299005836</t>
  </si>
  <si>
    <t>200299005837</t>
  </si>
  <si>
    <t>200299005838</t>
  </si>
  <si>
    <t>200299005839</t>
  </si>
  <si>
    <t>200299005840</t>
  </si>
  <si>
    <t>200299005841</t>
  </si>
  <si>
    <t>200299005842</t>
  </si>
  <si>
    <t>200299005843</t>
  </si>
  <si>
    <t>200299005844</t>
  </si>
  <si>
    <t>200299005845</t>
  </si>
  <si>
    <t>200299005846</t>
  </si>
  <si>
    <t>200299005847</t>
  </si>
  <si>
    <t>200299005848</t>
  </si>
  <si>
    <t>200299005849</t>
  </si>
  <si>
    <t>200299005850</t>
  </si>
  <si>
    <t>200299005851</t>
  </si>
  <si>
    <t>200299005852</t>
  </si>
  <si>
    <t>200299005853</t>
  </si>
  <si>
    <t>200299005854</t>
  </si>
  <si>
    <t>200299005855</t>
  </si>
  <si>
    <t>200299005856</t>
  </si>
  <si>
    <t>200299005857</t>
  </si>
  <si>
    <t>200299005858</t>
  </si>
  <si>
    <t>200299005859</t>
  </si>
  <si>
    <t>200299005860</t>
  </si>
  <si>
    <t>200299005861</t>
  </si>
  <si>
    <t>200299005862</t>
  </si>
  <si>
    <t>200299005863</t>
  </si>
  <si>
    <t>200299005864</t>
  </si>
  <si>
    <t>200299005865</t>
  </si>
  <si>
    <t>200299005866</t>
  </si>
  <si>
    <t>200299005867</t>
  </si>
  <si>
    <t>200299005868</t>
  </si>
  <si>
    <t>200299005869</t>
  </si>
  <si>
    <t>200299005870</t>
  </si>
  <si>
    <t>200299005871</t>
  </si>
  <si>
    <t>200299005872</t>
  </si>
  <si>
    <t>200299005873</t>
  </si>
  <si>
    <t>200299005874</t>
  </si>
  <si>
    <t>200299005875</t>
  </si>
  <si>
    <t>200299005876</t>
  </si>
  <si>
    <t>200299005877</t>
  </si>
  <si>
    <t>200299005878</t>
  </si>
  <si>
    <t>200299005879</t>
  </si>
  <si>
    <t>200299005880</t>
  </si>
  <si>
    <t>200299005881</t>
  </si>
  <si>
    <t>200299005882</t>
  </si>
  <si>
    <t>200299005883</t>
  </si>
  <si>
    <t>200299005884</t>
  </si>
  <si>
    <t>200299005885</t>
  </si>
  <si>
    <t>200299005886</t>
  </si>
  <si>
    <t>200299005887</t>
  </si>
  <si>
    <t>200299005888</t>
  </si>
  <si>
    <t>200299005889</t>
  </si>
  <si>
    <t>200299005890</t>
  </si>
  <si>
    <t>200299005891</t>
  </si>
  <si>
    <t>200299005892</t>
  </si>
  <si>
    <t>200299005893</t>
  </si>
  <si>
    <t>200299005894</t>
  </si>
  <si>
    <t>200299005895</t>
  </si>
  <si>
    <t>200299005896</t>
  </si>
  <si>
    <t>200299005897</t>
  </si>
  <si>
    <t>200299005898</t>
  </si>
  <si>
    <t>200299005899</t>
  </si>
  <si>
    <t>200299005900</t>
  </si>
  <si>
    <t>200299005901</t>
  </si>
  <si>
    <t>200299005902</t>
  </si>
  <si>
    <t>200299005903</t>
  </si>
  <si>
    <t>200299005904</t>
  </si>
  <si>
    <t>200299005905</t>
  </si>
  <si>
    <t>200299005906</t>
  </si>
  <si>
    <t>200299005907</t>
  </si>
  <si>
    <t>200299005908</t>
  </si>
  <si>
    <t>200299005909</t>
  </si>
  <si>
    <t>200299005910</t>
  </si>
  <si>
    <t>200299005911</t>
  </si>
  <si>
    <t>200299008082</t>
  </si>
  <si>
    <t>光纤采集器1</t>
  </si>
  <si>
    <t>200299008083</t>
  </si>
  <si>
    <t>光纤采集器2</t>
  </si>
  <si>
    <t>200299008084</t>
  </si>
  <si>
    <t>光纤采集器3</t>
  </si>
  <si>
    <t>200299008085</t>
  </si>
  <si>
    <t>光纤采集器4</t>
  </si>
  <si>
    <t>200299008086</t>
  </si>
  <si>
    <t>光纤采集器5</t>
  </si>
  <si>
    <t>200299008087</t>
  </si>
  <si>
    <t>光纤采集器6</t>
  </si>
  <si>
    <t>200299008088</t>
  </si>
  <si>
    <t>光纤采集器7</t>
  </si>
  <si>
    <t>200299008089</t>
  </si>
  <si>
    <t>光纤采集器8</t>
  </si>
  <si>
    <t>200299008090</t>
  </si>
  <si>
    <t>光纤采集器9</t>
  </si>
  <si>
    <t>200299008091</t>
  </si>
  <si>
    <t>光纤采集器10</t>
  </si>
  <si>
    <t>200299008092</t>
  </si>
  <si>
    <t>光纤采集器11</t>
  </si>
  <si>
    <t>200299008093</t>
  </si>
  <si>
    <t>光纤采集器12</t>
  </si>
  <si>
    <t>200299008094</t>
  </si>
  <si>
    <t>光纤采集器13</t>
  </si>
  <si>
    <t>200299008095</t>
  </si>
  <si>
    <t>光纤采集器14</t>
  </si>
  <si>
    <t>200299008096</t>
  </si>
  <si>
    <t>光纤采集器15</t>
  </si>
  <si>
    <t>200299008097</t>
  </si>
  <si>
    <t>光纤采集器16</t>
  </si>
  <si>
    <t>200299008098</t>
  </si>
  <si>
    <t>光纤采集器17</t>
  </si>
  <si>
    <t>200299008099</t>
  </si>
  <si>
    <t>光纤采集器18</t>
  </si>
  <si>
    <t>200299008100</t>
  </si>
  <si>
    <t>光纤采集器19</t>
  </si>
  <si>
    <t>200299008101</t>
  </si>
  <si>
    <t>光纤采集器20</t>
  </si>
  <si>
    <t>200299008102</t>
  </si>
  <si>
    <t>光纤采集器21</t>
  </si>
  <si>
    <t>200299008103</t>
  </si>
  <si>
    <t>光纤采集器22</t>
  </si>
  <si>
    <t>200299008104</t>
  </si>
  <si>
    <t>光纤采集器23</t>
  </si>
  <si>
    <t>200299008105</t>
  </si>
  <si>
    <t>光纤采集器24</t>
  </si>
  <si>
    <t>200299008106</t>
  </si>
  <si>
    <t>光纤采集器25</t>
  </si>
  <si>
    <t>200299008129</t>
  </si>
  <si>
    <t>雷电计数器测试仪2</t>
  </si>
  <si>
    <t>200299008130</t>
  </si>
  <si>
    <t>200299008131</t>
  </si>
  <si>
    <t>介损电桥1</t>
  </si>
  <si>
    <t>200299008132</t>
  </si>
  <si>
    <t>校表装置</t>
  </si>
  <si>
    <t>200299008133</t>
  </si>
  <si>
    <t>发电机焊机</t>
  </si>
  <si>
    <t>200299008134</t>
  </si>
  <si>
    <t>WINDOWS2003软件</t>
  </si>
  <si>
    <t>200299008135</t>
  </si>
  <si>
    <t>双臂电桥2</t>
  </si>
  <si>
    <t>200299008136</t>
  </si>
  <si>
    <t>微机保护校验仪</t>
  </si>
  <si>
    <t>200299008137</t>
  </si>
  <si>
    <t>变比测试仪1</t>
  </si>
  <si>
    <t>200299008138</t>
  </si>
  <si>
    <t>变比测试仪2</t>
  </si>
  <si>
    <t>200299008139</t>
  </si>
  <si>
    <t>200299008140</t>
  </si>
  <si>
    <t>万用表</t>
  </si>
  <si>
    <t>200299008141</t>
  </si>
  <si>
    <t>200299008142</t>
  </si>
  <si>
    <t>成套仪</t>
  </si>
  <si>
    <t>200299008143</t>
  </si>
  <si>
    <t>相序表</t>
  </si>
  <si>
    <t>200299008144</t>
  </si>
  <si>
    <t>电力线路接地定位仪</t>
  </si>
  <si>
    <t>200299008145</t>
  </si>
  <si>
    <t>接地电阻测试仪1</t>
  </si>
  <si>
    <t>200299008146</t>
  </si>
  <si>
    <t>互感器校验台</t>
  </si>
  <si>
    <t>200299008147</t>
  </si>
  <si>
    <t>带升流器标准电流互感器HLS2-2S</t>
  </si>
  <si>
    <t>200299008148</t>
  </si>
  <si>
    <t>市话电缆故障综合测试仪T-C810</t>
  </si>
  <si>
    <t>200299008149</t>
  </si>
  <si>
    <t>日产液压钳EP-510B</t>
  </si>
  <si>
    <t>200299008150</t>
  </si>
  <si>
    <t>高压核相仪</t>
  </si>
  <si>
    <t>200299008151</t>
  </si>
  <si>
    <t>三相多功能电能表校验台</t>
  </si>
  <si>
    <t>200299008152</t>
  </si>
  <si>
    <t>200299008153</t>
  </si>
  <si>
    <t>智能化介质损耗测试仪</t>
  </si>
  <si>
    <t>200299008154</t>
  </si>
  <si>
    <t>开关动作测试仪</t>
  </si>
  <si>
    <t>200299008155</t>
  </si>
  <si>
    <t>单相校表装置</t>
  </si>
  <si>
    <t>200299008156</t>
  </si>
  <si>
    <t>200299008157</t>
  </si>
  <si>
    <t>200299008158</t>
  </si>
  <si>
    <t>机械特性测试仪</t>
  </si>
  <si>
    <t>200299008159</t>
  </si>
  <si>
    <t>高低压CT变比测试仪</t>
  </si>
  <si>
    <t>200299008160</t>
  </si>
  <si>
    <t>GPS</t>
  </si>
  <si>
    <t>200299008161</t>
  </si>
  <si>
    <t>200299008162</t>
  </si>
  <si>
    <t>直流双臂电桥</t>
  </si>
  <si>
    <t>200299008163</t>
  </si>
  <si>
    <t>200299008164</t>
  </si>
  <si>
    <t>双臂电桥</t>
  </si>
  <si>
    <t>200299009721</t>
  </si>
  <si>
    <t>电能表现场校验装置</t>
  </si>
  <si>
    <t>200299009722</t>
  </si>
  <si>
    <t>GPS定位仪</t>
  </si>
  <si>
    <t>200299009723</t>
  </si>
  <si>
    <t>200299010840</t>
  </si>
  <si>
    <t>单相校验仪</t>
  </si>
  <si>
    <t>200299010841</t>
  </si>
  <si>
    <t>200299010842</t>
  </si>
  <si>
    <t>三相校验仪</t>
  </si>
  <si>
    <t>200299010843</t>
  </si>
  <si>
    <t>200300021486</t>
  </si>
  <si>
    <t>平推式发票打印机</t>
  </si>
  <si>
    <t>200300021487</t>
  </si>
  <si>
    <t>滚筒式发票打印机</t>
  </si>
  <si>
    <t>200301003685</t>
  </si>
  <si>
    <t>主站服务器</t>
  </si>
  <si>
    <t>200301003686</t>
  </si>
  <si>
    <t>接口服务器</t>
  </si>
  <si>
    <t>200301003725</t>
  </si>
  <si>
    <t>DL160G5#服务器</t>
  </si>
  <si>
    <t>200301003726</t>
  </si>
  <si>
    <t>200303001793</t>
  </si>
  <si>
    <t>交换机</t>
  </si>
  <si>
    <t>200303001794</t>
  </si>
  <si>
    <t>200303001795</t>
  </si>
  <si>
    <t>200303001796</t>
  </si>
  <si>
    <t>200303008037</t>
  </si>
  <si>
    <t>无线路由器39</t>
  </si>
  <si>
    <t>200303008038</t>
  </si>
  <si>
    <t>无线路由器5</t>
  </si>
  <si>
    <t>200303008039</t>
  </si>
  <si>
    <t>无线路由器35</t>
  </si>
  <si>
    <t>200303008040</t>
  </si>
  <si>
    <t>无线路由器49</t>
  </si>
  <si>
    <t>200303008041</t>
  </si>
  <si>
    <t>无线路由器19</t>
  </si>
  <si>
    <t>200303008042</t>
  </si>
  <si>
    <t>无线路由器2</t>
  </si>
  <si>
    <t>200303008043</t>
  </si>
  <si>
    <t>无线路由器4</t>
  </si>
  <si>
    <t>200303008044</t>
  </si>
  <si>
    <t>无线路由器31</t>
  </si>
  <si>
    <t>200303008045</t>
  </si>
  <si>
    <t>无线路由器20</t>
  </si>
  <si>
    <t>200303008046</t>
  </si>
  <si>
    <t>无线路由器45</t>
  </si>
  <si>
    <t>200303008047</t>
  </si>
  <si>
    <t>无线路由器11</t>
  </si>
  <si>
    <t>200303008048</t>
  </si>
  <si>
    <t>无线路由器3</t>
  </si>
  <si>
    <t>200303008049</t>
  </si>
  <si>
    <t>无线路由器28</t>
  </si>
  <si>
    <t>200303008050</t>
  </si>
  <si>
    <t>无线路由器50</t>
  </si>
  <si>
    <t>200303008051</t>
  </si>
  <si>
    <t>无线路由器37</t>
  </si>
  <si>
    <t>200303008052</t>
  </si>
  <si>
    <t>无线路由器24</t>
  </si>
  <si>
    <t>200303008053</t>
  </si>
  <si>
    <t>无线路由器17</t>
  </si>
  <si>
    <t>200303008054</t>
  </si>
  <si>
    <t>无线路由器25</t>
  </si>
  <si>
    <t>200303008055</t>
  </si>
  <si>
    <t>无线路由器47</t>
  </si>
  <si>
    <t>200303008056</t>
  </si>
  <si>
    <t>无线路由器14</t>
  </si>
  <si>
    <t>200303008057</t>
  </si>
  <si>
    <t>无线路由器42</t>
  </si>
  <si>
    <t>200303008058</t>
  </si>
  <si>
    <t>无线路由器7</t>
  </si>
  <si>
    <t>200303008059</t>
  </si>
  <si>
    <t>无线路由器43</t>
  </si>
  <si>
    <t>200303008060</t>
  </si>
  <si>
    <t>无线路由器22</t>
  </si>
  <si>
    <t>200303008061</t>
  </si>
  <si>
    <t>无线路由器26</t>
  </si>
  <si>
    <t>200303008062</t>
  </si>
  <si>
    <t>无线路由器23</t>
  </si>
  <si>
    <t>200303008063</t>
  </si>
  <si>
    <t>无线路由器13</t>
  </si>
  <si>
    <t>200303008064</t>
  </si>
  <si>
    <t>无线路由器9</t>
  </si>
  <si>
    <t>200303008065</t>
  </si>
  <si>
    <t>无线路由器38</t>
  </si>
  <si>
    <t>200303008066</t>
  </si>
  <si>
    <t>无线路由器44</t>
  </si>
  <si>
    <t>200303008067</t>
  </si>
  <si>
    <t>无线路由器41</t>
  </si>
  <si>
    <t>200303008068</t>
  </si>
  <si>
    <t>无线路由器27</t>
  </si>
  <si>
    <t>200303008069</t>
  </si>
  <si>
    <t>无线路由器6</t>
  </si>
  <si>
    <t>200303008070</t>
  </si>
  <si>
    <t>无线路由器8</t>
  </si>
  <si>
    <t>200303008071</t>
  </si>
  <si>
    <t>无线路由器1</t>
  </si>
  <si>
    <t>200303008072</t>
  </si>
  <si>
    <t>无线路由器18</t>
  </si>
  <si>
    <t>200303008073</t>
  </si>
  <si>
    <t>无线路由器15</t>
  </si>
  <si>
    <t>200303008074</t>
  </si>
  <si>
    <t>无线路由器48</t>
  </si>
  <si>
    <t>200303008075</t>
  </si>
  <si>
    <t>无线路由器29</t>
  </si>
  <si>
    <t>200303008076</t>
  </si>
  <si>
    <t>无线路由器10</t>
  </si>
  <si>
    <t>200303008077</t>
  </si>
  <si>
    <t>无线路由器33</t>
  </si>
  <si>
    <t>200303008078</t>
  </si>
  <si>
    <t>无线路由器12</t>
  </si>
  <si>
    <t>200303008079</t>
  </si>
  <si>
    <t>无线路由器30</t>
  </si>
  <si>
    <t>200303008080</t>
  </si>
  <si>
    <t>无线路由器32</t>
  </si>
  <si>
    <t>200303008081</t>
  </si>
  <si>
    <t>无线路由器40</t>
  </si>
  <si>
    <t>200303008082</t>
  </si>
  <si>
    <t>无线路由器46</t>
  </si>
  <si>
    <t>200303008083</t>
  </si>
  <si>
    <t>无线路由器21</t>
  </si>
  <si>
    <t>200303008084</t>
  </si>
  <si>
    <t>无线路由器34</t>
  </si>
  <si>
    <t>200303008085</t>
  </si>
  <si>
    <t>无线路由器36</t>
  </si>
  <si>
    <t>200303008086</t>
  </si>
  <si>
    <t>无线路由器16</t>
  </si>
  <si>
    <t>200303008087</t>
  </si>
  <si>
    <t>智能家庭网关（不含安防和水气表模块）14</t>
  </si>
  <si>
    <t>200303008088</t>
  </si>
  <si>
    <t>智能家庭网关（不含安防和水气表模块）28</t>
  </si>
  <si>
    <t>200303008089</t>
  </si>
  <si>
    <t>智能家庭网关（不含安防和水气表模块）5</t>
  </si>
  <si>
    <t>200303008090</t>
  </si>
  <si>
    <t>智能家庭网关（不含安防和水气表模块）30</t>
  </si>
  <si>
    <t>200303008091</t>
  </si>
  <si>
    <t>智能家庭网关（不含安防和水气表模块）27</t>
  </si>
  <si>
    <t>200303008092</t>
  </si>
  <si>
    <t>智能家庭网关（不含安防和水气表模块）15</t>
  </si>
  <si>
    <t>200303008093</t>
  </si>
  <si>
    <t>智能家庭网关（不含安防和水气表模块）1</t>
  </si>
  <si>
    <t>200303008094</t>
  </si>
  <si>
    <t>智能家庭网关（不含安防和水气表模块）6</t>
  </si>
  <si>
    <t>200303008095</t>
  </si>
  <si>
    <t>智能家庭网关（不含安防和水气表模块）19</t>
  </si>
  <si>
    <t>200303008096</t>
  </si>
  <si>
    <t>智能家庭网关（不含安防和水气表模块）21</t>
  </si>
  <si>
    <t>200303008097</t>
  </si>
  <si>
    <t>智能家庭网关（不含安防和水气表模块）11</t>
  </si>
  <si>
    <t>200303008098</t>
  </si>
  <si>
    <t>智能家庭网关（不含安防和水气表模块）7</t>
  </si>
  <si>
    <t>200303008099</t>
  </si>
  <si>
    <t>智能家庭网关（不含安防和水气表模块）26</t>
  </si>
  <si>
    <t>200303008100</t>
  </si>
  <si>
    <t>智能家庭网关（不含安防和水气表模块）13</t>
  </si>
  <si>
    <t>200303008101</t>
  </si>
  <si>
    <t>智能家庭网关（不含安防和水气表模块）12</t>
  </si>
  <si>
    <t>200303008102</t>
  </si>
  <si>
    <t>智能家庭网关（不含安防和水气表模块）8</t>
  </si>
  <si>
    <t>200303008103</t>
  </si>
  <si>
    <t>智能家庭网关（不含安防和水气表模块）4</t>
  </si>
  <si>
    <t>200303008104</t>
  </si>
  <si>
    <t>智能家庭网关（不含安防和水气表模块）3</t>
  </si>
  <si>
    <t>200303008105</t>
  </si>
  <si>
    <t>智能家庭网关（不含安防和水气表模块）29</t>
  </si>
  <si>
    <t>200303008106</t>
  </si>
  <si>
    <t>智能家庭网关（不含安防和水气表模块）10</t>
  </si>
  <si>
    <t>200303008107</t>
  </si>
  <si>
    <t>智能家庭网关（不含安防和水气表模块）23</t>
  </si>
  <si>
    <t>200303008108</t>
  </si>
  <si>
    <t>智能家庭网关（不含安防和水气表模块）18</t>
  </si>
  <si>
    <t>200303008109</t>
  </si>
  <si>
    <t>智能家庭网关（不含安防和水气表模块）17</t>
  </si>
  <si>
    <t>200303008110</t>
  </si>
  <si>
    <t>智能家庭网关（不含安防和水气表模块）16</t>
  </si>
  <si>
    <t>200303008111</t>
  </si>
  <si>
    <t>智能家庭网关（不含安防和水气表模块）24</t>
  </si>
  <si>
    <t>200303008112</t>
  </si>
  <si>
    <t>智能家庭网关（不含安防和水气表模块）20</t>
  </si>
  <si>
    <t>200303008113</t>
  </si>
  <si>
    <t>智能家庭网关（不含安防和水气表模块）22</t>
  </si>
  <si>
    <t>200303008114</t>
  </si>
  <si>
    <t>智能家庭网关（不含安防和水气表模块）9</t>
  </si>
  <si>
    <t>200303008115</t>
  </si>
  <si>
    <t>智能家庭网关（不含安防和水气表模块）2</t>
  </si>
  <si>
    <t>200303008116</t>
  </si>
  <si>
    <t>智能家庭网关（不含安防和水气表模块）25</t>
  </si>
  <si>
    <t>200303008117</t>
  </si>
  <si>
    <t>智能家庭网关（不含安防和水气表模块）48</t>
  </si>
  <si>
    <t>200303008118</t>
  </si>
  <si>
    <t>智能家庭网关（不含安防和水气表模块）38</t>
  </si>
  <si>
    <t>200303008119</t>
  </si>
  <si>
    <t>智能交互终端2</t>
  </si>
  <si>
    <t>200303008120</t>
  </si>
  <si>
    <t>智能家庭网关（不含安防和水气表模块）35</t>
  </si>
  <si>
    <t>200303008121</t>
  </si>
  <si>
    <t>智能家庭网关（不含安防和水气表模块）36</t>
  </si>
  <si>
    <t>200303008122</t>
  </si>
  <si>
    <t>智能交互终端8</t>
  </si>
  <si>
    <t>200303008123</t>
  </si>
  <si>
    <t>智能家庭网关（不含安防和水气表模块）33</t>
  </si>
  <si>
    <t>200303008124</t>
  </si>
  <si>
    <t>智能家庭网关（不含安防和水气表模块）49</t>
  </si>
  <si>
    <t>200303008125</t>
  </si>
  <si>
    <t>智能家庭网关（不含安防和水气表模块）37</t>
  </si>
  <si>
    <t>200303008126</t>
  </si>
  <si>
    <t>智能家庭网关（不含安防和水气表模块）31</t>
  </si>
  <si>
    <t>200303008127</t>
  </si>
  <si>
    <t>智能家庭网关（不含安防和水气表模块）41</t>
  </si>
  <si>
    <t>200303008128</t>
  </si>
  <si>
    <t>智能家庭网关（不含安防和水气表模块）46</t>
  </si>
  <si>
    <t>200303008129</t>
  </si>
  <si>
    <t>智能家庭网关（不含安防和水气表模块）34</t>
  </si>
  <si>
    <t>200303008130</t>
  </si>
  <si>
    <t>智能交互终端4</t>
  </si>
  <si>
    <t>200303008131</t>
  </si>
  <si>
    <t>智能交互终端6</t>
  </si>
  <si>
    <t>200303008132</t>
  </si>
  <si>
    <t>智能家庭网关（不含安防和水气表模块）43</t>
  </si>
  <si>
    <t>200303008133</t>
  </si>
  <si>
    <t>智能交互终端5</t>
  </si>
  <si>
    <t>200303008134</t>
  </si>
  <si>
    <t>智能交互终端3</t>
  </si>
  <si>
    <t>200303008135</t>
  </si>
  <si>
    <t>智能家庭网关（不含安防和水气表模块）45</t>
  </si>
  <si>
    <t>200303008136</t>
  </si>
  <si>
    <t>智能家庭网关（不含安防和水气表模块）40</t>
  </si>
  <si>
    <t>200303008137</t>
  </si>
  <si>
    <t>智能家庭网关（不含安防和水气表模块）32</t>
  </si>
  <si>
    <t>200303008138</t>
  </si>
  <si>
    <t>智能交互终端1</t>
  </si>
  <si>
    <t>200303008139</t>
  </si>
  <si>
    <t>智能交互终端7</t>
  </si>
  <si>
    <t>200303008140</t>
  </si>
  <si>
    <t>智能家庭网关（不含安防和水气表模块）47</t>
  </si>
  <si>
    <t>200303008141</t>
  </si>
  <si>
    <t>智能家庭网关（不含安防和水气表模块）42</t>
  </si>
  <si>
    <t>200303008142</t>
  </si>
  <si>
    <t>智能家庭网关（不含安防和水气表模块）50</t>
  </si>
  <si>
    <t>200303008143</t>
  </si>
  <si>
    <t>智能交互终端9</t>
  </si>
  <si>
    <t>200303008144</t>
  </si>
  <si>
    <t>智能家庭网关（不含安防和水气表模块）39</t>
  </si>
  <si>
    <t>200303008145</t>
  </si>
  <si>
    <t>智能家庭网关（不含安防和水气表模块）44</t>
  </si>
  <si>
    <t>200303008146</t>
  </si>
  <si>
    <t>智能交互终端10</t>
  </si>
  <si>
    <t>200303008147</t>
  </si>
  <si>
    <t>智能交互终端23</t>
  </si>
  <si>
    <t>200303008148</t>
  </si>
  <si>
    <t>智能交互终端32</t>
  </si>
  <si>
    <t>200303008149</t>
  </si>
  <si>
    <t>智能交互终端36</t>
  </si>
  <si>
    <t>200303008150</t>
  </si>
  <si>
    <t>智能交互终端19</t>
  </si>
  <si>
    <t>200303008151</t>
  </si>
  <si>
    <t>智能交互终端14</t>
  </si>
  <si>
    <t>200303008152</t>
  </si>
  <si>
    <t>智能交互终端21</t>
  </si>
  <si>
    <t>200303008153</t>
  </si>
  <si>
    <t>智能交互终端13</t>
  </si>
  <si>
    <t>200303008154</t>
  </si>
  <si>
    <t>智能交互终端46</t>
  </si>
  <si>
    <t>200303008155</t>
  </si>
  <si>
    <t>智能交互终端11</t>
  </si>
  <si>
    <t>200303008156</t>
  </si>
  <si>
    <t>智能交互终端25</t>
  </si>
  <si>
    <t>200303008157</t>
  </si>
  <si>
    <t>智能交互终端47</t>
  </si>
  <si>
    <t>200303008158</t>
  </si>
  <si>
    <t>智能交互终端48</t>
  </si>
  <si>
    <t>200303008159</t>
  </si>
  <si>
    <t>智能交互终端40</t>
  </si>
  <si>
    <t>200303008160</t>
  </si>
  <si>
    <t>智能交互终端35</t>
  </si>
  <si>
    <t>200303008161</t>
  </si>
  <si>
    <t>智能交互终端20</t>
  </si>
  <si>
    <t>200303008162</t>
  </si>
  <si>
    <t>智能交互终端37</t>
  </si>
  <si>
    <t>200303008163</t>
  </si>
  <si>
    <t>智能交互终端42</t>
  </si>
  <si>
    <t>200303008164</t>
  </si>
  <si>
    <t>智能交互终端43</t>
  </si>
  <si>
    <t>200303008165</t>
  </si>
  <si>
    <t>智能交互终端41</t>
  </si>
  <si>
    <t>200303008166</t>
  </si>
  <si>
    <t>智能交互终端26</t>
  </si>
  <si>
    <t>200303008167</t>
  </si>
  <si>
    <t>智能交互终端38</t>
  </si>
  <si>
    <t>200303008168</t>
  </si>
  <si>
    <t>智能交互终端22</t>
  </si>
  <si>
    <t>200303008169</t>
  </si>
  <si>
    <t>智能交互终端49</t>
  </si>
  <si>
    <t>200303008170</t>
  </si>
  <si>
    <t>智能交互终端45</t>
  </si>
  <si>
    <t>200303008171</t>
  </si>
  <si>
    <t>智能交互终端17</t>
  </si>
  <si>
    <t>200303008172</t>
  </si>
  <si>
    <t>智能交互终端50</t>
  </si>
  <si>
    <t>200303008173</t>
  </si>
  <si>
    <t>智能交互终端12</t>
  </si>
  <si>
    <t>200303008174</t>
  </si>
  <si>
    <t>智能交互终端16</t>
  </si>
  <si>
    <t>200303008175</t>
  </si>
  <si>
    <t>智能交互终端24</t>
  </si>
  <si>
    <t>200303008176</t>
  </si>
  <si>
    <t>三层交换机</t>
  </si>
  <si>
    <t>200303008177</t>
  </si>
  <si>
    <t>智能交互终端15</t>
  </si>
  <si>
    <t>200303008178</t>
  </si>
  <si>
    <t>智能交互终端18</t>
  </si>
  <si>
    <t>200303008179</t>
  </si>
  <si>
    <t>智能交互终端27</t>
  </si>
  <si>
    <t>200303008180</t>
  </si>
  <si>
    <t>智能交互终端31</t>
  </si>
  <si>
    <t>200303008181</t>
  </si>
  <si>
    <t>智能交互终端39</t>
  </si>
  <si>
    <t>200303008182</t>
  </si>
  <si>
    <t>智能交互终端44</t>
  </si>
  <si>
    <t>200303008183</t>
  </si>
  <si>
    <t>智能交互终端29</t>
  </si>
  <si>
    <t>200303008184</t>
  </si>
  <si>
    <t>智能交互终端28</t>
  </si>
  <si>
    <t>200303008185</t>
  </si>
  <si>
    <t>智能交互终端34</t>
  </si>
  <si>
    <t>200303008186</t>
  </si>
  <si>
    <t>智能交互终端33</t>
  </si>
  <si>
    <t>200303008187</t>
  </si>
  <si>
    <t>智能交互终端30</t>
  </si>
  <si>
    <t>200303008499</t>
  </si>
  <si>
    <t>RT-SIC-ISAE-H3#H3C路由器</t>
  </si>
  <si>
    <t>200303008500</t>
  </si>
  <si>
    <t>RT-MSR2020#路由器</t>
  </si>
  <si>
    <t>200305000793</t>
  </si>
  <si>
    <t>笔记本电脑</t>
  </si>
  <si>
    <t>200305000979</t>
  </si>
  <si>
    <t>台式机</t>
  </si>
  <si>
    <t>200305000981</t>
  </si>
  <si>
    <t>200305000983</t>
  </si>
  <si>
    <t>200305000985</t>
  </si>
  <si>
    <t>200305000987</t>
  </si>
  <si>
    <t>200305000989</t>
  </si>
  <si>
    <t>200305000991</t>
  </si>
  <si>
    <t>200305000993</t>
  </si>
  <si>
    <t>200305000995</t>
  </si>
  <si>
    <t>200305000998</t>
  </si>
  <si>
    <t>200305001000</t>
  </si>
  <si>
    <t>200305001002</t>
  </si>
  <si>
    <t>200305001004</t>
  </si>
  <si>
    <t>200305001006</t>
  </si>
  <si>
    <t>200305001008</t>
  </si>
  <si>
    <t>200305001010</t>
  </si>
  <si>
    <t>200305001012</t>
  </si>
  <si>
    <t>200305001014</t>
  </si>
  <si>
    <t>200305001016</t>
  </si>
  <si>
    <t>200305001815</t>
  </si>
  <si>
    <t>200305002558</t>
  </si>
  <si>
    <t>200305002568</t>
  </si>
  <si>
    <t>200305002570</t>
  </si>
  <si>
    <t>200305002572</t>
  </si>
  <si>
    <t>200305002575</t>
  </si>
  <si>
    <t>200305002577</t>
  </si>
  <si>
    <t>200305002579</t>
  </si>
  <si>
    <t>200305002581</t>
  </si>
  <si>
    <t>200305002583</t>
  </si>
  <si>
    <t>200305002585</t>
  </si>
  <si>
    <t>200305002587</t>
  </si>
  <si>
    <t>200305002589</t>
  </si>
  <si>
    <t>200305002591</t>
  </si>
  <si>
    <t>200305002593</t>
  </si>
  <si>
    <t>200305002595</t>
  </si>
  <si>
    <t>200305002597</t>
  </si>
  <si>
    <t>200305002599</t>
  </si>
  <si>
    <t>200305002601</t>
  </si>
  <si>
    <t>200305002603</t>
  </si>
  <si>
    <t>200305002793</t>
  </si>
  <si>
    <t>200305004423</t>
  </si>
  <si>
    <t>200305004425</t>
  </si>
  <si>
    <t>200305004427</t>
  </si>
  <si>
    <t>200305004433</t>
  </si>
  <si>
    <t>200305004435</t>
  </si>
  <si>
    <t>200305004437</t>
  </si>
  <si>
    <t>200305004439</t>
  </si>
  <si>
    <t>200305004441</t>
  </si>
  <si>
    <t>200305004443</t>
  </si>
  <si>
    <t>200305006903</t>
  </si>
  <si>
    <t>笔记本DellVostro1014</t>
  </si>
  <si>
    <t>200305010569</t>
  </si>
  <si>
    <t>200305010570</t>
  </si>
  <si>
    <t>200305010571</t>
  </si>
  <si>
    <t>200305010572</t>
  </si>
  <si>
    <t>200305010573</t>
  </si>
  <si>
    <t>200305010574</t>
  </si>
  <si>
    <t>200305013763</t>
  </si>
  <si>
    <t>都江堰供电局--台式电脑</t>
  </si>
  <si>
    <t>200305014984</t>
  </si>
  <si>
    <t>台式机DellOptiplex380MT</t>
  </si>
  <si>
    <t>200305016748</t>
  </si>
  <si>
    <t>投影仪</t>
  </si>
  <si>
    <t>200305019119</t>
  </si>
  <si>
    <t>200305019120</t>
  </si>
  <si>
    <t>200305019121</t>
  </si>
  <si>
    <t>200305019122</t>
  </si>
  <si>
    <t>200305019123</t>
  </si>
  <si>
    <t>200305019124</t>
  </si>
  <si>
    <t>200305019125</t>
  </si>
  <si>
    <t>200305019126</t>
  </si>
  <si>
    <t>200305019127</t>
  </si>
  <si>
    <t>200305021401</t>
  </si>
  <si>
    <t>崇义联想电脑</t>
  </si>
  <si>
    <t>200305021402</t>
  </si>
  <si>
    <t>磁峰联想电脑</t>
  </si>
  <si>
    <t>200305021403</t>
  </si>
  <si>
    <t>桂花联想电脑</t>
  </si>
  <si>
    <t>200305021404</t>
  </si>
  <si>
    <t>九陇联想电脑</t>
  </si>
  <si>
    <t>200305021405</t>
  </si>
  <si>
    <t>隆丰联想电脑</t>
  </si>
  <si>
    <t>200305021406</t>
  </si>
  <si>
    <t>蒲阳联想电脑</t>
  </si>
  <si>
    <t>200305021407</t>
  </si>
  <si>
    <t>向峨联想电脑</t>
  </si>
  <si>
    <t>200305021408</t>
  </si>
  <si>
    <t>胥家联想电脑</t>
  </si>
  <si>
    <t>200305021409</t>
  </si>
  <si>
    <t>灌口联想电脑</t>
  </si>
  <si>
    <t>200305021410</t>
  </si>
  <si>
    <t>小鱼联想电脑</t>
  </si>
  <si>
    <t>200305021411</t>
  </si>
  <si>
    <t>中兴联想电脑</t>
  </si>
  <si>
    <t>200305021412</t>
  </si>
  <si>
    <t>青城山联想电脑</t>
  </si>
  <si>
    <t>200305021413</t>
  </si>
  <si>
    <t>大观联想电脑</t>
  </si>
  <si>
    <t>200305021414</t>
  </si>
  <si>
    <t>柳街联想电脑</t>
  </si>
  <si>
    <t>200305021415</t>
  </si>
  <si>
    <t>石羊联想电脑</t>
  </si>
  <si>
    <t>200305021416</t>
  </si>
  <si>
    <t>紫坪埔联想电脑</t>
  </si>
  <si>
    <t>200305021417</t>
  </si>
  <si>
    <t>天马联想电脑</t>
  </si>
  <si>
    <t>200305021418</t>
  </si>
  <si>
    <t>新兴联想电脑</t>
  </si>
  <si>
    <t>200305023177</t>
  </si>
  <si>
    <t>台式计算机Ⅰ型1#</t>
  </si>
  <si>
    <t>200305023178</t>
  </si>
  <si>
    <t>台式计算机Ⅰ型2#</t>
  </si>
  <si>
    <t>200305023179</t>
  </si>
  <si>
    <t>台式计算机Ⅰ型3#</t>
  </si>
  <si>
    <t>200305023180</t>
  </si>
  <si>
    <t>台式计算机Ⅰ型4#</t>
  </si>
  <si>
    <t>200305023181</t>
  </si>
  <si>
    <t>台式计算机Ⅰ型5#</t>
  </si>
  <si>
    <t>200305023182</t>
  </si>
  <si>
    <t>台式计算机Ⅱ1#</t>
  </si>
  <si>
    <t>200305023183</t>
  </si>
  <si>
    <t>台式计算机Ⅱ2#</t>
  </si>
  <si>
    <t>200305023184</t>
  </si>
  <si>
    <t>台式计算机Ⅱ3#</t>
  </si>
  <si>
    <t>200305023185</t>
  </si>
  <si>
    <t>台式计算机Ⅱ4#</t>
  </si>
  <si>
    <t>200305033387</t>
  </si>
  <si>
    <t>都江堰营销电脑1</t>
  </si>
  <si>
    <t>200305033388</t>
  </si>
  <si>
    <t>都江堰营销电脑6</t>
  </si>
  <si>
    <t>200305033389</t>
  </si>
  <si>
    <t>都江堰营销电脑7</t>
  </si>
  <si>
    <t>200305033390</t>
  </si>
  <si>
    <t>都江堰营销电脑5</t>
  </si>
  <si>
    <t>200305033391</t>
  </si>
  <si>
    <t>都江堰营销电脑2</t>
  </si>
  <si>
    <t>200305033392</t>
  </si>
  <si>
    <t>都江堰营销笔记本电脑2</t>
  </si>
  <si>
    <t>200305033393</t>
  </si>
  <si>
    <t>都江堰营销电脑9</t>
  </si>
  <si>
    <t>200305033394</t>
  </si>
  <si>
    <t>都江堰营销电脑8</t>
  </si>
  <si>
    <t>200305033395</t>
  </si>
  <si>
    <t>都江堰营销电脑10</t>
  </si>
  <si>
    <t>200305033396</t>
  </si>
  <si>
    <t>都江堰营销电脑3</t>
  </si>
  <si>
    <t>200305033397</t>
  </si>
  <si>
    <t>都江堰营销电脑4</t>
  </si>
  <si>
    <t>200305033398</t>
  </si>
  <si>
    <t>都江堰营销笔记本电脑1</t>
  </si>
  <si>
    <t>200305034578</t>
  </si>
  <si>
    <t>都江堰发策部笔记本电脑1</t>
  </si>
  <si>
    <t>200305034579</t>
  </si>
  <si>
    <t>都江堰发策部笔记本电脑5</t>
  </si>
  <si>
    <t>200305034580</t>
  </si>
  <si>
    <t>都江堰发策部笔记本电脑7</t>
  </si>
  <si>
    <t>200305034581</t>
  </si>
  <si>
    <t>都江堰发策部笔记本电脑10</t>
  </si>
  <si>
    <t>200305034582</t>
  </si>
  <si>
    <t>都江堰发策部笔记本电脑12</t>
  </si>
  <si>
    <t>200305034583</t>
  </si>
  <si>
    <t>都江堰发策部笔记本电脑8</t>
  </si>
  <si>
    <t>200305034584</t>
  </si>
  <si>
    <t>都江堰发策部笔记本电脑9</t>
  </si>
  <si>
    <t>200305034585</t>
  </si>
  <si>
    <t>都江堰发策部笔记本电脑2</t>
  </si>
  <si>
    <t>200305034586</t>
  </si>
  <si>
    <t>都江堰发策部笔记本电脑3</t>
  </si>
  <si>
    <t>200305034587</t>
  </si>
  <si>
    <t>都江堰发策部笔记本电脑4</t>
  </si>
  <si>
    <t>200305034588</t>
  </si>
  <si>
    <t>都江堰发策部笔记本电脑11</t>
  </si>
  <si>
    <t>200305034589</t>
  </si>
  <si>
    <t>都江堰发策部笔记本电脑6</t>
  </si>
  <si>
    <t>200305034590</t>
  </si>
  <si>
    <t>都江堰发策部笔记本电脑13</t>
  </si>
  <si>
    <t>200305035043</t>
  </si>
  <si>
    <t>服务器显示器</t>
  </si>
  <si>
    <t>200305035639</t>
  </si>
  <si>
    <t>杨鸿超领用显示屏</t>
  </si>
  <si>
    <t>200305035640</t>
  </si>
  <si>
    <t>19lCD显示器</t>
  </si>
  <si>
    <t>200305035641</t>
  </si>
  <si>
    <t>19LCD显示器</t>
  </si>
  <si>
    <t>200305035642</t>
  </si>
  <si>
    <t>配置DELL手提电脑</t>
  </si>
  <si>
    <t>200305035643</t>
  </si>
  <si>
    <t>联想旭日笔记本电脑</t>
  </si>
  <si>
    <t>200305035644</t>
  </si>
  <si>
    <t>联想天逸笔记本电脑</t>
  </si>
  <si>
    <t>200305035645</t>
  </si>
  <si>
    <t>HP6520S笔记本电脑</t>
  </si>
  <si>
    <t>200305035646</t>
  </si>
  <si>
    <t>200305035647</t>
  </si>
  <si>
    <t>NN119A笔记本电脑</t>
  </si>
  <si>
    <t>200305035648</t>
  </si>
  <si>
    <t>康柏HPCQ511#笔记本电脑</t>
  </si>
  <si>
    <t>200305035649</t>
  </si>
  <si>
    <t>200305035650</t>
  </si>
  <si>
    <t>HP2730#笔记本电脑</t>
  </si>
  <si>
    <t>200305035651</t>
  </si>
  <si>
    <t>200305035652</t>
  </si>
  <si>
    <t>200305035653</t>
  </si>
  <si>
    <t>笔记本电脑HP4710S</t>
  </si>
  <si>
    <t>200305035654</t>
  </si>
  <si>
    <t>200305035655</t>
  </si>
  <si>
    <t>笔记本IBMP8600</t>
  </si>
  <si>
    <t>200305035656</t>
  </si>
  <si>
    <t>笔记本电脑HPCQ511</t>
  </si>
  <si>
    <t>200305035657</t>
  </si>
  <si>
    <t>200305035658</t>
  </si>
  <si>
    <t>200305035659</t>
  </si>
  <si>
    <t>营销科购笔记本一台HP2530</t>
  </si>
  <si>
    <t>200305035660</t>
  </si>
  <si>
    <t>X201I--3HC  笔记本电脑</t>
  </si>
  <si>
    <t>200305035661</t>
  </si>
  <si>
    <t>200305035662</t>
  </si>
  <si>
    <t>HP2530  笔记本电脑</t>
  </si>
  <si>
    <t>200305035663</t>
  </si>
  <si>
    <t>200305035664</t>
  </si>
  <si>
    <t>200305035665</t>
  </si>
  <si>
    <t>200305035666</t>
  </si>
  <si>
    <t>农电现场标准化作业系统PDA（移动终端）</t>
  </si>
  <si>
    <t>200305035667</t>
  </si>
  <si>
    <t>电子计算机</t>
  </si>
  <si>
    <t>200305035668</t>
  </si>
  <si>
    <t>200305035669</t>
  </si>
  <si>
    <t>微机（含打印机</t>
  </si>
  <si>
    <t>200305035670</t>
  </si>
  <si>
    <t>200305035671</t>
  </si>
  <si>
    <t>200305035672</t>
  </si>
  <si>
    <t>购电脑</t>
  </si>
  <si>
    <t>200305035673</t>
  </si>
  <si>
    <t>200305035674</t>
  </si>
  <si>
    <t>200305035675</t>
  </si>
  <si>
    <t>200305035676</t>
  </si>
  <si>
    <t>200305035677</t>
  </si>
  <si>
    <t>200305035678</t>
  </si>
  <si>
    <t>200305035679</t>
  </si>
  <si>
    <t>200305035680</t>
  </si>
  <si>
    <t>电脑及配套打印机</t>
  </si>
  <si>
    <t>200305035681</t>
  </si>
  <si>
    <t>200305035682</t>
  </si>
  <si>
    <t>200305035683</t>
  </si>
  <si>
    <t>200305035684</t>
  </si>
  <si>
    <t>200305035685</t>
  </si>
  <si>
    <t>200305035686</t>
  </si>
  <si>
    <t>200305035687</t>
  </si>
  <si>
    <t>微机</t>
  </si>
  <si>
    <t>200305035688</t>
  </si>
  <si>
    <t>200305035689</t>
  </si>
  <si>
    <t>计算机</t>
  </si>
  <si>
    <t>200305035690</t>
  </si>
  <si>
    <t>200305035691</t>
  </si>
  <si>
    <t>配HPDX2255电脑</t>
  </si>
  <si>
    <t>200305035692</t>
  </si>
  <si>
    <t>配置联想杨天M4800计算机</t>
  </si>
  <si>
    <t>200305035693</t>
  </si>
  <si>
    <t>HPD2700电脑</t>
  </si>
  <si>
    <t>200305035694</t>
  </si>
  <si>
    <t>HP+DX7400+17LCD电脑</t>
  </si>
  <si>
    <t>200305035695</t>
  </si>
  <si>
    <t>HP+DX2255+17LCD电脑</t>
  </si>
  <si>
    <t>200305035696</t>
  </si>
  <si>
    <t>HPDX7400计算机</t>
  </si>
  <si>
    <t>200305035697</t>
  </si>
  <si>
    <t>联想锋行X5520计算机</t>
  </si>
  <si>
    <t>200305035698</t>
  </si>
  <si>
    <t>联想电脑</t>
  </si>
  <si>
    <t>200305035699</t>
  </si>
  <si>
    <t>200305035700</t>
  </si>
  <si>
    <t>200305035701</t>
  </si>
  <si>
    <t>200305035702</t>
  </si>
  <si>
    <t>200305035703</t>
  </si>
  <si>
    <t>200305035704</t>
  </si>
  <si>
    <t>200305035705</t>
  </si>
  <si>
    <t>200305035706</t>
  </si>
  <si>
    <t>200305035707</t>
  </si>
  <si>
    <t>200305035708</t>
  </si>
  <si>
    <t>200305035709</t>
  </si>
  <si>
    <t>200305035710</t>
  </si>
  <si>
    <t>200305035711</t>
  </si>
  <si>
    <t>HP2310+L17电脑</t>
  </si>
  <si>
    <t>200305035712</t>
  </si>
  <si>
    <t>启天M3400电脑</t>
  </si>
  <si>
    <t>200305035713</t>
  </si>
  <si>
    <t>启天M4300电脑</t>
  </si>
  <si>
    <t>200305035714</t>
  </si>
  <si>
    <t>联想M4300+17LCD电脑</t>
  </si>
  <si>
    <t>200305035715</t>
  </si>
  <si>
    <t>200305035716</t>
  </si>
  <si>
    <t>200305035717</t>
  </si>
  <si>
    <t>NA101PA#AB2DX231惠普商用台式电脑</t>
  </si>
  <si>
    <t>200305035718</t>
  </si>
  <si>
    <t>200305035719</t>
  </si>
  <si>
    <t>200305035720</t>
  </si>
  <si>
    <t>M4300+17LCD联想电脑</t>
  </si>
  <si>
    <t>200305035721</t>
  </si>
  <si>
    <t>DL120G5电脑</t>
  </si>
  <si>
    <t>200305035722</t>
  </si>
  <si>
    <t>M4600#电脑</t>
  </si>
  <si>
    <t>200305035723</t>
  </si>
  <si>
    <t>DX2355#电脑</t>
  </si>
  <si>
    <t>200305035724</t>
  </si>
  <si>
    <t>T4900+19LCD联想电脑</t>
  </si>
  <si>
    <t>200305035725</t>
  </si>
  <si>
    <t>DX2310#电脑</t>
  </si>
  <si>
    <t>200305035726</t>
  </si>
  <si>
    <t>200305035727</t>
  </si>
  <si>
    <t>惠普HPDC7900#台式机</t>
  </si>
  <si>
    <t>200305035728</t>
  </si>
  <si>
    <t>惠普台式电脑DX2355（不含打印机）</t>
  </si>
  <si>
    <t>200305035729</t>
  </si>
  <si>
    <t>惠普台式电脑DX2355</t>
  </si>
  <si>
    <t>200305035730</t>
  </si>
  <si>
    <t>复印机富士施乐DocuCentre2056CPS</t>
  </si>
  <si>
    <t>200305035731</t>
  </si>
  <si>
    <t>联想M7100计算机</t>
  </si>
  <si>
    <t>200305035732</t>
  </si>
  <si>
    <t>200305035733</t>
  </si>
  <si>
    <t>200305035734</t>
  </si>
  <si>
    <t>200305035735</t>
  </si>
  <si>
    <t>200305035736</t>
  </si>
  <si>
    <t>200305035737</t>
  </si>
  <si>
    <t>200305035738</t>
  </si>
  <si>
    <t>200305035739</t>
  </si>
  <si>
    <t>200305035740</t>
  </si>
  <si>
    <t>200305035741</t>
  </si>
  <si>
    <t>200305035742</t>
  </si>
  <si>
    <t>200305035743</t>
  </si>
  <si>
    <t>200305035744</t>
  </si>
  <si>
    <t>200305035745</t>
  </si>
  <si>
    <t>200305035746</t>
  </si>
  <si>
    <t>200305035747</t>
  </si>
  <si>
    <t>200305035748</t>
  </si>
  <si>
    <t>都江堰电脑151</t>
  </si>
  <si>
    <t>200305035749</t>
  </si>
  <si>
    <t>200305035750</t>
  </si>
  <si>
    <t>200305035751</t>
  </si>
  <si>
    <t>200305035752</t>
  </si>
  <si>
    <t>200305035753</t>
  </si>
  <si>
    <t>200305035754</t>
  </si>
  <si>
    <t>200305035755</t>
  </si>
  <si>
    <t>200305035756</t>
  </si>
  <si>
    <t>200305035757</t>
  </si>
  <si>
    <t>200305035758</t>
  </si>
  <si>
    <t>200305035759</t>
  </si>
  <si>
    <t>200305035760</t>
  </si>
  <si>
    <t>200305035761</t>
  </si>
  <si>
    <t>200305035762</t>
  </si>
  <si>
    <t>200305035763</t>
  </si>
  <si>
    <t>200305035764</t>
  </si>
  <si>
    <t>200305035765</t>
  </si>
  <si>
    <t>200305035766</t>
  </si>
  <si>
    <t>200305035767</t>
  </si>
  <si>
    <t>200305035768</t>
  </si>
  <si>
    <t>200305035769</t>
  </si>
  <si>
    <t>200305035770</t>
  </si>
  <si>
    <t>200305035771</t>
  </si>
  <si>
    <t>200305035772</t>
  </si>
  <si>
    <t>200305035773</t>
  </si>
  <si>
    <t>200305035774</t>
  </si>
  <si>
    <t>200305035775</t>
  </si>
  <si>
    <t>200305035776</t>
  </si>
  <si>
    <t>200305035777</t>
  </si>
  <si>
    <t>200305035778</t>
  </si>
  <si>
    <t>200305035779</t>
  </si>
  <si>
    <t>笔记本计算机（2台）</t>
  </si>
  <si>
    <t>200305035780</t>
  </si>
  <si>
    <t>计算机（7台）</t>
  </si>
  <si>
    <t>200305035781</t>
  </si>
  <si>
    <t>台式计算机1#</t>
  </si>
  <si>
    <t>200305035782</t>
  </si>
  <si>
    <t>台式计算机2#</t>
  </si>
  <si>
    <t>200305035783</t>
  </si>
  <si>
    <t>台式计算机3#</t>
  </si>
  <si>
    <t>200305035784</t>
  </si>
  <si>
    <t>台式计算机4#</t>
  </si>
  <si>
    <t>200305035785</t>
  </si>
  <si>
    <t>笔记本计算机Ⅰ型1#</t>
  </si>
  <si>
    <t>200305035786</t>
  </si>
  <si>
    <t>笔记本计算机Ⅰ型2#</t>
  </si>
  <si>
    <t>200305035787</t>
  </si>
  <si>
    <t>笔记本计算机Ⅰ型3#</t>
  </si>
  <si>
    <t>200305035788</t>
  </si>
  <si>
    <t>笔记本计算机Ⅱ1#</t>
  </si>
  <si>
    <t>200305035789</t>
  </si>
  <si>
    <t>笔记本计算机Ⅱ2#</t>
  </si>
  <si>
    <t>200305035790</t>
  </si>
  <si>
    <t>笔记本计算机Ⅱ3#</t>
  </si>
  <si>
    <t>200305035791</t>
  </si>
  <si>
    <t>笔记本计算机Ⅱ4#</t>
  </si>
  <si>
    <t>200305035792</t>
  </si>
  <si>
    <t>都江堰电脑191</t>
  </si>
  <si>
    <t>200305035793</t>
  </si>
  <si>
    <t>一线班组计算机2#</t>
  </si>
  <si>
    <t>200305035794</t>
  </si>
  <si>
    <t>一线班组计算机3#</t>
  </si>
  <si>
    <t>200305035795</t>
  </si>
  <si>
    <t>一线班组计算机4#</t>
  </si>
  <si>
    <t>200305035796</t>
  </si>
  <si>
    <t>手持POS机现场收费系统1</t>
  </si>
  <si>
    <t>200305035797</t>
  </si>
  <si>
    <t>1600M博士伦测距仪</t>
  </si>
  <si>
    <t>200305035798</t>
  </si>
  <si>
    <t>200305035799</t>
  </si>
  <si>
    <t>200305035800</t>
  </si>
  <si>
    <t>200305035801</t>
  </si>
  <si>
    <t>200305035802</t>
  </si>
  <si>
    <t>200305035803</t>
  </si>
  <si>
    <t>200305035804</t>
  </si>
  <si>
    <t>200305035805</t>
  </si>
  <si>
    <t>200305035806</t>
  </si>
  <si>
    <t>200305035807</t>
  </si>
  <si>
    <t>200305035808</t>
  </si>
  <si>
    <t>200305035809</t>
  </si>
  <si>
    <t>200305035810</t>
  </si>
  <si>
    <t>农电标准化巡视管理系统PDA硬件</t>
  </si>
  <si>
    <t>200305035811</t>
  </si>
  <si>
    <t>台式电脑 HPPR03005</t>
  </si>
  <si>
    <t>200305035812</t>
  </si>
  <si>
    <t>200305035813</t>
  </si>
  <si>
    <t>都江堰水电五防电脑1</t>
  </si>
  <si>
    <t>200305035814</t>
  </si>
  <si>
    <t>都江堰水电五防显示器1</t>
  </si>
  <si>
    <t>200305035815</t>
  </si>
  <si>
    <t>都江堰水电五防电脑2</t>
  </si>
  <si>
    <t>200305035816</t>
  </si>
  <si>
    <t>都江堰水电五防显示器2</t>
  </si>
  <si>
    <t>200305049447</t>
  </si>
  <si>
    <t>都江堰发策部笔记本电脑14</t>
  </si>
  <si>
    <t>200305049448</t>
  </si>
  <si>
    <t>都江堰发策部笔记本电脑16</t>
  </si>
  <si>
    <t>200305049449</t>
  </si>
  <si>
    <t>都江堰发策部笔记本电脑15</t>
  </si>
  <si>
    <t>200305049450</t>
  </si>
  <si>
    <t>都江堰发策部笔记本电脑24</t>
  </si>
  <si>
    <t>200305049506</t>
  </si>
  <si>
    <t>LENOVO-扬天T4900D-台式机</t>
  </si>
  <si>
    <t>200305049507</t>
  </si>
  <si>
    <t>200305049508</t>
  </si>
  <si>
    <t>200305049509</t>
  </si>
  <si>
    <t>200305049510</t>
  </si>
  <si>
    <t>ASUS-N45S-笔记本电脑</t>
  </si>
  <si>
    <t>200305049511</t>
  </si>
  <si>
    <t>200305049512</t>
  </si>
  <si>
    <t>200305049513</t>
  </si>
  <si>
    <t>SONY-未知-笔记本电脑</t>
  </si>
  <si>
    <t>200305049514</t>
  </si>
  <si>
    <t>200305049515</t>
  </si>
  <si>
    <t>200305049516</t>
  </si>
  <si>
    <t>LENOVO-启天M7150-台式机</t>
  </si>
  <si>
    <t>200305049517</t>
  </si>
  <si>
    <t>200305049620</t>
  </si>
  <si>
    <t>LENOVO-M4360-台式机</t>
  </si>
  <si>
    <t>200305050327</t>
  </si>
  <si>
    <t>惠普-hp 4411s-笔记本电脑</t>
  </si>
  <si>
    <t>200305050328</t>
  </si>
  <si>
    <t>200305050329</t>
  </si>
  <si>
    <t>200305050330</t>
  </si>
  <si>
    <t>200305050331</t>
  </si>
  <si>
    <t>200305050332</t>
  </si>
  <si>
    <t>200305050333</t>
  </si>
  <si>
    <t>200305055130</t>
  </si>
  <si>
    <t>排队机（1台）</t>
  </si>
  <si>
    <t>200305055667</t>
  </si>
  <si>
    <t>惠普-430-笔记本电脑</t>
  </si>
  <si>
    <t>200305055668</t>
  </si>
  <si>
    <t>联想-M910t-台式机</t>
  </si>
  <si>
    <t>200305055669</t>
  </si>
  <si>
    <t>200305055670</t>
  </si>
  <si>
    <t>200305055671</t>
  </si>
  <si>
    <t>200305055672</t>
  </si>
  <si>
    <t>200305055673</t>
  </si>
  <si>
    <t>200305055674</t>
  </si>
  <si>
    <t>200305055675</t>
  </si>
  <si>
    <t>200305055676</t>
  </si>
  <si>
    <t>200305055677</t>
  </si>
  <si>
    <t>200305055678</t>
  </si>
  <si>
    <t>200305055679</t>
  </si>
  <si>
    <t>200305055680</t>
  </si>
  <si>
    <t>200305055681</t>
  </si>
  <si>
    <t>200305055682</t>
  </si>
  <si>
    <t>200305055683</t>
  </si>
  <si>
    <t>200305055684</t>
  </si>
  <si>
    <t>200305055685</t>
  </si>
  <si>
    <t>200305055686</t>
  </si>
  <si>
    <t>200306000292</t>
  </si>
  <si>
    <t>爱普生打印机</t>
  </si>
  <si>
    <t>200306000293</t>
  </si>
  <si>
    <t>200306000294</t>
  </si>
  <si>
    <t>200306000297</t>
  </si>
  <si>
    <t>爱普生LQ300K</t>
  </si>
  <si>
    <t>200306000391</t>
  </si>
  <si>
    <t>200306001472</t>
  </si>
  <si>
    <t>打印机</t>
  </si>
  <si>
    <t>200306002326</t>
  </si>
  <si>
    <t>200306002738</t>
  </si>
  <si>
    <t>都江堰--打印机</t>
  </si>
  <si>
    <t>200306002741</t>
  </si>
  <si>
    <t>200306002742</t>
  </si>
  <si>
    <t>200306002743</t>
  </si>
  <si>
    <t>200306004196</t>
  </si>
  <si>
    <t>2011年新办公大楼远程维护机房UPS大修</t>
  </si>
  <si>
    <t>200306004881</t>
  </si>
  <si>
    <t>卷式打印机</t>
  </si>
  <si>
    <t>200306004882</t>
  </si>
  <si>
    <t>200306004883</t>
  </si>
  <si>
    <t>200306004884</t>
  </si>
  <si>
    <t>200306004885</t>
  </si>
  <si>
    <t>200306004886</t>
  </si>
  <si>
    <t>200306004887</t>
  </si>
  <si>
    <t>200306004888</t>
  </si>
  <si>
    <t>200306004889</t>
  </si>
  <si>
    <t>200306004890</t>
  </si>
  <si>
    <t>200306004891</t>
  </si>
  <si>
    <t>200306004892</t>
  </si>
  <si>
    <t>200306004893</t>
  </si>
  <si>
    <t>200306004894</t>
  </si>
  <si>
    <t>200306004895</t>
  </si>
  <si>
    <t>200306004896</t>
  </si>
  <si>
    <t>200306004897</t>
  </si>
  <si>
    <t>200306004898</t>
  </si>
  <si>
    <t>200306004899</t>
  </si>
  <si>
    <t>200306004900</t>
  </si>
  <si>
    <t>200306011135</t>
  </si>
  <si>
    <t>KVM</t>
  </si>
  <si>
    <t>200306011143</t>
  </si>
  <si>
    <t>智能插座2</t>
  </si>
  <si>
    <t>200306011144</t>
  </si>
  <si>
    <t>智能插座17</t>
  </si>
  <si>
    <t>200306011145</t>
  </si>
  <si>
    <t>智能插座155</t>
  </si>
  <si>
    <t>200306011146</t>
  </si>
  <si>
    <t>智能插座84</t>
  </si>
  <si>
    <t>200306011147</t>
  </si>
  <si>
    <t>智能插座36</t>
  </si>
  <si>
    <t>200306011148</t>
  </si>
  <si>
    <t>智能插座82</t>
  </si>
  <si>
    <t>200306011149</t>
  </si>
  <si>
    <t>智能插座185</t>
  </si>
  <si>
    <t>200306011150</t>
  </si>
  <si>
    <t>智能插座120</t>
  </si>
  <si>
    <t>200306011151</t>
  </si>
  <si>
    <t>智能插座151</t>
  </si>
  <si>
    <t>200306011152</t>
  </si>
  <si>
    <t>智能插座15</t>
  </si>
  <si>
    <t>200306011153</t>
  </si>
  <si>
    <t>智能插座19</t>
  </si>
  <si>
    <t>200306011154</t>
  </si>
  <si>
    <t>智能插座127</t>
  </si>
  <si>
    <t>200306011155</t>
  </si>
  <si>
    <t>智能插座114</t>
  </si>
  <si>
    <t>200306011156</t>
  </si>
  <si>
    <t>智能插座5</t>
  </si>
  <si>
    <t>200306011157</t>
  </si>
  <si>
    <t>智能插座117</t>
  </si>
  <si>
    <t>200306011158</t>
  </si>
  <si>
    <t>智能插座169</t>
  </si>
  <si>
    <t>200306011159</t>
  </si>
  <si>
    <t>智能插座13</t>
  </si>
  <si>
    <t>200306011160</t>
  </si>
  <si>
    <t>智能插座64</t>
  </si>
  <si>
    <t>200306011161</t>
  </si>
  <si>
    <t>智能插座165</t>
  </si>
  <si>
    <t>200306011162</t>
  </si>
  <si>
    <t>智能插座188</t>
  </si>
  <si>
    <t>200306011163</t>
  </si>
  <si>
    <t>智能插座49</t>
  </si>
  <si>
    <t>200306011164</t>
  </si>
  <si>
    <t>智能插座199</t>
  </si>
  <si>
    <t>200306011165</t>
  </si>
  <si>
    <t>智能插座78</t>
  </si>
  <si>
    <t>200306011166</t>
  </si>
  <si>
    <t>智能插座124</t>
  </si>
  <si>
    <t>200306011167</t>
  </si>
  <si>
    <t>智能插座122</t>
  </si>
  <si>
    <t>200306011168</t>
  </si>
  <si>
    <t>智能插座75</t>
  </si>
  <si>
    <t>200306011169</t>
  </si>
  <si>
    <t>智能插座170</t>
  </si>
  <si>
    <t>200306011170</t>
  </si>
  <si>
    <t>智能插座92</t>
  </si>
  <si>
    <t>200306011171</t>
  </si>
  <si>
    <t>智能插座95</t>
  </si>
  <si>
    <t>200306011172</t>
  </si>
  <si>
    <t>智能插座111</t>
  </si>
  <si>
    <t>200306011173</t>
  </si>
  <si>
    <t>智能插座126</t>
  </si>
  <si>
    <t>200306011174</t>
  </si>
  <si>
    <t>智能插座12</t>
  </si>
  <si>
    <t>200306011175</t>
  </si>
  <si>
    <t>智能插座1</t>
  </si>
  <si>
    <t>200306011176</t>
  </si>
  <si>
    <t>智能插座91</t>
  </si>
  <si>
    <t>200306011177</t>
  </si>
  <si>
    <t>智能插座86</t>
  </si>
  <si>
    <t>200306011178</t>
  </si>
  <si>
    <t>智能插座104</t>
  </si>
  <si>
    <t>200306011179</t>
  </si>
  <si>
    <t>智能插座54</t>
  </si>
  <si>
    <t>200306011180</t>
  </si>
  <si>
    <t>智能插座7</t>
  </si>
  <si>
    <t>200306011181</t>
  </si>
  <si>
    <t>智能插座28</t>
  </si>
  <si>
    <t>200306011182</t>
  </si>
  <si>
    <t>智能插座137</t>
  </si>
  <si>
    <t>200306011183</t>
  </si>
  <si>
    <t>智能插座34</t>
  </si>
  <si>
    <t>200306011184</t>
  </si>
  <si>
    <t>智能插座9</t>
  </si>
  <si>
    <t>200306011185</t>
  </si>
  <si>
    <t>智能插座65</t>
  </si>
  <si>
    <t>200306011186</t>
  </si>
  <si>
    <t>智能插座160</t>
  </si>
  <si>
    <t>200306011187</t>
  </si>
  <si>
    <t>智能插座29</t>
  </si>
  <si>
    <t>200306011188</t>
  </si>
  <si>
    <t>智能插座85</t>
  </si>
  <si>
    <t>200306011189</t>
  </si>
  <si>
    <t>智能插座32</t>
  </si>
  <si>
    <t>200306011190</t>
  </si>
  <si>
    <t>智能插座14</t>
  </si>
  <si>
    <t>200306011191</t>
  </si>
  <si>
    <t>智能插座103</t>
  </si>
  <si>
    <t>200306011192</t>
  </si>
  <si>
    <t>智能插座196</t>
  </si>
  <si>
    <t>200306011193</t>
  </si>
  <si>
    <t>智能插座156</t>
  </si>
  <si>
    <t>200306011194</t>
  </si>
  <si>
    <t>智能插座90</t>
  </si>
  <si>
    <t>200306011195</t>
  </si>
  <si>
    <t>智能插座142</t>
  </si>
  <si>
    <t>200306011196</t>
  </si>
  <si>
    <t>智能插座141</t>
  </si>
  <si>
    <t>200306011197</t>
  </si>
  <si>
    <t>智能插座140</t>
  </si>
  <si>
    <t>200306011198</t>
  </si>
  <si>
    <t>智能插座145</t>
  </si>
  <si>
    <t>200306011199</t>
  </si>
  <si>
    <t>智能插座66</t>
  </si>
  <si>
    <t>200306011200</t>
  </si>
  <si>
    <t>智能插座73</t>
  </si>
  <si>
    <t>200306011201</t>
  </si>
  <si>
    <t>智能插座38</t>
  </si>
  <si>
    <t>200306011202</t>
  </si>
  <si>
    <t>智能插座163</t>
  </si>
  <si>
    <t>200306011203</t>
  </si>
  <si>
    <t>智能插座154</t>
  </si>
  <si>
    <t>200306011204</t>
  </si>
  <si>
    <t>智能插座42</t>
  </si>
  <si>
    <t>200306011205</t>
  </si>
  <si>
    <t>智能插座93</t>
  </si>
  <si>
    <t>200306011206</t>
  </si>
  <si>
    <t>智能插座99</t>
  </si>
  <si>
    <t>200306011207</t>
  </si>
  <si>
    <t>智能插座43</t>
  </si>
  <si>
    <t>200306011208</t>
  </si>
  <si>
    <t>智能插座190</t>
  </si>
  <si>
    <t>200306011209</t>
  </si>
  <si>
    <t>智能插座56</t>
  </si>
  <si>
    <t>200306011210</t>
  </si>
  <si>
    <t>智能插座129</t>
  </si>
  <si>
    <t>200306011211</t>
  </si>
  <si>
    <t>智能插座23</t>
  </si>
  <si>
    <t>200306011212</t>
  </si>
  <si>
    <t>智能插座60</t>
  </si>
  <si>
    <t>200306011213</t>
  </si>
  <si>
    <t>智能插座180</t>
  </si>
  <si>
    <t>200306011214</t>
  </si>
  <si>
    <t>智能插座24</t>
  </si>
  <si>
    <t>200306011215</t>
  </si>
  <si>
    <t>智能插座144</t>
  </si>
  <si>
    <t>200306011216</t>
  </si>
  <si>
    <t>智能插座102</t>
  </si>
  <si>
    <t>200306011217</t>
  </si>
  <si>
    <t>智能插座135</t>
  </si>
  <si>
    <t>200306011218</t>
  </si>
  <si>
    <t>智能插座88</t>
  </si>
  <si>
    <t>200306011219</t>
  </si>
  <si>
    <t>智能插座171</t>
  </si>
  <si>
    <t>200306011220</t>
  </si>
  <si>
    <t>智能插座167</t>
  </si>
  <si>
    <t>200306011221</t>
  </si>
  <si>
    <t>智能插座62</t>
  </si>
  <si>
    <t>200306011222</t>
  </si>
  <si>
    <t>智能插座35</t>
  </si>
  <si>
    <t>200306011223</t>
  </si>
  <si>
    <t>智能插座22</t>
  </si>
  <si>
    <t>200306011224</t>
  </si>
  <si>
    <t>智能插座183</t>
  </si>
  <si>
    <t>200306011225</t>
  </si>
  <si>
    <t>智能插座173</t>
  </si>
  <si>
    <t>200306011226</t>
  </si>
  <si>
    <t>智能插座105</t>
  </si>
  <si>
    <t>200306011227</t>
  </si>
  <si>
    <t>智能插座161</t>
  </si>
  <si>
    <t>200306011228</t>
  </si>
  <si>
    <t>智能插座63</t>
  </si>
  <si>
    <t>200306011229</t>
  </si>
  <si>
    <t>智能插座109</t>
  </si>
  <si>
    <t>200306011230</t>
  </si>
  <si>
    <t>智能插座79</t>
  </si>
  <si>
    <t>200306011231</t>
  </si>
  <si>
    <t>智能插座182</t>
  </si>
  <si>
    <t>200306011232</t>
  </si>
  <si>
    <t>智能插座20</t>
  </si>
  <si>
    <t>200306011233</t>
  </si>
  <si>
    <t>智能插座50</t>
  </si>
  <si>
    <t>200306011234</t>
  </si>
  <si>
    <t>智能插座132</t>
  </si>
  <si>
    <t>200306011235</t>
  </si>
  <si>
    <t>智能插座76</t>
  </si>
  <si>
    <t>200306011236</t>
  </si>
  <si>
    <t>智能插座200</t>
  </si>
  <si>
    <t>200306011237</t>
  </si>
  <si>
    <t>智能插座136</t>
  </si>
  <si>
    <t>200306011238</t>
  </si>
  <si>
    <t>智能插座121</t>
  </si>
  <si>
    <t>200306011239</t>
  </si>
  <si>
    <t>智能插座58</t>
  </si>
  <si>
    <t>200306011240</t>
  </si>
  <si>
    <t>智能插座96</t>
  </si>
  <si>
    <t>200306011241</t>
  </si>
  <si>
    <t>智能插座18</t>
  </si>
  <si>
    <t>200306011242</t>
  </si>
  <si>
    <t>智能插座113</t>
  </si>
  <si>
    <t>200306011243</t>
  </si>
  <si>
    <t>智能插座148</t>
  </si>
  <si>
    <t>200306011244</t>
  </si>
  <si>
    <t>智能插座10</t>
  </si>
  <si>
    <t>200306011245</t>
  </si>
  <si>
    <t>智能插座189</t>
  </si>
  <si>
    <t>200306011246</t>
  </si>
  <si>
    <t>智能插座166</t>
  </si>
  <si>
    <t>200306011247</t>
  </si>
  <si>
    <t>智能插座80</t>
  </si>
  <si>
    <t>200306011248</t>
  </si>
  <si>
    <t>智能插座162</t>
  </si>
  <si>
    <t>200306011249</t>
  </si>
  <si>
    <t>智能插座33</t>
  </si>
  <si>
    <t>200306011250</t>
  </si>
  <si>
    <t>智能插座68</t>
  </si>
  <si>
    <t>200306011251</t>
  </si>
  <si>
    <t>智能插座55</t>
  </si>
  <si>
    <t>200306011252</t>
  </si>
  <si>
    <t>智能插座150</t>
  </si>
  <si>
    <t>200306011253</t>
  </si>
  <si>
    <t>智能插座31</t>
  </si>
  <si>
    <t>200306011254</t>
  </si>
  <si>
    <t>智能插座97</t>
  </si>
  <si>
    <t>200306011255</t>
  </si>
  <si>
    <t>智能插座146</t>
  </si>
  <si>
    <t>200306011256</t>
  </si>
  <si>
    <t>智能插座6</t>
  </si>
  <si>
    <t>200306011257</t>
  </si>
  <si>
    <t>智能插座130</t>
  </si>
  <si>
    <t>200306011258</t>
  </si>
  <si>
    <t>智能插座108</t>
  </si>
  <si>
    <t>200306011259</t>
  </si>
  <si>
    <t>智能插座153</t>
  </si>
  <si>
    <t>200306011260</t>
  </si>
  <si>
    <t>智能插座89</t>
  </si>
  <si>
    <t>200306011261</t>
  </si>
  <si>
    <t>智能插座45</t>
  </si>
  <si>
    <t>200306011262</t>
  </si>
  <si>
    <t>智能插座181</t>
  </si>
  <si>
    <t>200306011263</t>
  </si>
  <si>
    <t>智能插座8</t>
  </si>
  <si>
    <t>200306011264</t>
  </si>
  <si>
    <t>智能插座158</t>
  </si>
  <si>
    <t>200306011265</t>
  </si>
  <si>
    <t>智能插座67</t>
  </si>
  <si>
    <t>200306011266</t>
  </si>
  <si>
    <t>智能插座187</t>
  </si>
  <si>
    <t>200306011267</t>
  </si>
  <si>
    <t>智能插座131</t>
  </si>
  <si>
    <t>200306011268</t>
  </si>
  <si>
    <t>智能插座197</t>
  </si>
  <si>
    <t>200306011269</t>
  </si>
  <si>
    <t>智能插座159</t>
  </si>
  <si>
    <t>200306011270</t>
  </si>
  <si>
    <t>智能插座168</t>
  </si>
  <si>
    <t>200306011271</t>
  </si>
  <si>
    <t>智能插座176</t>
  </si>
  <si>
    <t>200306011272</t>
  </si>
  <si>
    <t>智能插座106</t>
  </si>
  <si>
    <t>200306011273</t>
  </si>
  <si>
    <t>智能插座191</t>
  </si>
  <si>
    <t>200306011274</t>
  </si>
  <si>
    <t>智能插座40</t>
  </si>
  <si>
    <t>200306011275</t>
  </si>
  <si>
    <t>智能插座4</t>
  </si>
  <si>
    <t>200306011276</t>
  </si>
  <si>
    <t>智能插座30</t>
  </si>
  <si>
    <t>200306011277</t>
  </si>
  <si>
    <t>智能插座193</t>
  </si>
  <si>
    <t>200306011278</t>
  </si>
  <si>
    <t>智能插座98</t>
  </si>
  <si>
    <t>200306011279</t>
  </si>
  <si>
    <t>智能插座39</t>
  </si>
  <si>
    <t>200306011280</t>
  </si>
  <si>
    <t>智能插座61</t>
  </si>
  <si>
    <t>200306011281</t>
  </si>
  <si>
    <t>智能插座143</t>
  </si>
  <si>
    <t>200306011282</t>
  </si>
  <si>
    <t>智能插座147</t>
  </si>
  <si>
    <t>200306011283</t>
  </si>
  <si>
    <t>智能插座44</t>
  </si>
  <si>
    <t>200306011284</t>
  </si>
  <si>
    <t>智能插座52</t>
  </si>
  <si>
    <t>200306011285</t>
  </si>
  <si>
    <t>智能插座118</t>
  </si>
  <si>
    <t>200306011286</t>
  </si>
  <si>
    <t>智能插座41</t>
  </si>
  <si>
    <t>200306011287</t>
  </si>
  <si>
    <t>智能插座119</t>
  </si>
  <si>
    <t>200306011288</t>
  </si>
  <si>
    <t>智能插座186</t>
  </si>
  <si>
    <t>200306011289</t>
  </si>
  <si>
    <t>智能插座71</t>
  </si>
  <si>
    <t>200306011290</t>
  </si>
  <si>
    <t>智能插座100</t>
  </si>
  <si>
    <t>200306011291</t>
  </si>
  <si>
    <t>智能插座51</t>
  </si>
  <si>
    <t>200306011292</t>
  </si>
  <si>
    <t>智能插座27</t>
  </si>
  <si>
    <t>200306011293</t>
  </si>
  <si>
    <t>智能插座26</t>
  </si>
  <si>
    <t>200306011294</t>
  </si>
  <si>
    <t>智能插座3</t>
  </si>
  <si>
    <t>200306011295</t>
  </si>
  <si>
    <t>智能插座198</t>
  </si>
  <si>
    <t>200306011296</t>
  </si>
  <si>
    <t>智能插座48</t>
  </si>
  <si>
    <t>200306011297</t>
  </si>
  <si>
    <t>智能插座81</t>
  </si>
  <si>
    <t>200306011298</t>
  </si>
  <si>
    <t>智能插座194</t>
  </si>
  <si>
    <t>200306011299</t>
  </si>
  <si>
    <t>智能插座21</t>
  </si>
  <si>
    <t>200306011300</t>
  </si>
  <si>
    <t>智能插座74</t>
  </si>
  <si>
    <t>200306011301</t>
  </si>
  <si>
    <t>智能插座172</t>
  </si>
  <si>
    <t>200306011302</t>
  </si>
  <si>
    <t>智能插座174</t>
  </si>
  <si>
    <t>200306011303</t>
  </si>
  <si>
    <t>智能插座46</t>
  </si>
  <si>
    <t>200306011304</t>
  </si>
  <si>
    <t>智能插座177</t>
  </si>
  <si>
    <t>200306011305</t>
  </si>
  <si>
    <t>智能插座139</t>
  </si>
  <si>
    <t>200306011306</t>
  </si>
  <si>
    <t>智能插座112</t>
  </si>
  <si>
    <t>200306011307</t>
  </si>
  <si>
    <t>智能插座47</t>
  </si>
  <si>
    <t>200306011308</t>
  </si>
  <si>
    <t>智能插座37</t>
  </si>
  <si>
    <t>200306011309</t>
  </si>
  <si>
    <t>智能插座195</t>
  </si>
  <si>
    <t>200306011310</t>
  </si>
  <si>
    <t>智能插座178</t>
  </si>
  <si>
    <t>200306011311</t>
  </si>
  <si>
    <t>智能插座192</t>
  </si>
  <si>
    <t>200306011312</t>
  </si>
  <si>
    <t>智能插座164</t>
  </si>
  <si>
    <t>200306011313</t>
  </si>
  <si>
    <t>智能插座123</t>
  </si>
  <si>
    <t>200306011314</t>
  </si>
  <si>
    <t>智能插座175</t>
  </si>
  <si>
    <t>200306011315</t>
  </si>
  <si>
    <t>智能插座70</t>
  </si>
  <si>
    <t>200306011316</t>
  </si>
  <si>
    <t>智能插座25</t>
  </si>
  <si>
    <t>200306011317</t>
  </si>
  <si>
    <t>智能插座59</t>
  </si>
  <si>
    <t>200306011318</t>
  </si>
  <si>
    <t>智能插座138</t>
  </si>
  <si>
    <t>200306011319</t>
  </si>
  <si>
    <t>智能插座179</t>
  </si>
  <si>
    <t>200306011320</t>
  </si>
  <si>
    <t>智能插座57</t>
  </si>
  <si>
    <t>200306011321</t>
  </si>
  <si>
    <t>智能插座125</t>
  </si>
  <si>
    <t>200306011322</t>
  </si>
  <si>
    <t>智能插座16</t>
  </si>
  <si>
    <t>200306011323</t>
  </si>
  <si>
    <t>智能插座149</t>
  </si>
  <si>
    <t>200306011324</t>
  </si>
  <si>
    <t>智能插座134</t>
  </si>
  <si>
    <t>200306011325</t>
  </si>
  <si>
    <t>智能插座184</t>
  </si>
  <si>
    <t>200306011326</t>
  </si>
  <si>
    <t>智能插座53</t>
  </si>
  <si>
    <t>200306011327</t>
  </si>
  <si>
    <t>智能插座133</t>
  </si>
  <si>
    <t>200306011328</t>
  </si>
  <si>
    <t>智能插座94</t>
  </si>
  <si>
    <t>200306011329</t>
  </si>
  <si>
    <t>智能插座157</t>
  </si>
  <si>
    <t>200306011330</t>
  </si>
  <si>
    <t>智能插座128</t>
  </si>
  <si>
    <t>200306011331</t>
  </si>
  <si>
    <t>智能插座101</t>
  </si>
  <si>
    <t>200306011332</t>
  </si>
  <si>
    <t>智能插座69</t>
  </si>
  <si>
    <t>200306011334</t>
  </si>
  <si>
    <t>智能插座152</t>
  </si>
  <si>
    <t>200306011335</t>
  </si>
  <si>
    <t>智能插座77</t>
  </si>
  <si>
    <t>200306011336</t>
  </si>
  <si>
    <t>智能插座87</t>
  </si>
  <si>
    <t>200306011337</t>
  </si>
  <si>
    <t>智能插座115</t>
  </si>
  <si>
    <t>200306011338</t>
  </si>
  <si>
    <t>智能插座72</t>
  </si>
  <si>
    <t>200306011339</t>
  </si>
  <si>
    <t>智能插座107</t>
  </si>
  <si>
    <t>200306011340</t>
  </si>
  <si>
    <t>智能插座11</t>
  </si>
  <si>
    <t>200306011341</t>
  </si>
  <si>
    <t>智能插座110</t>
  </si>
  <si>
    <t>200306011342</t>
  </si>
  <si>
    <t>智能插座116</t>
  </si>
  <si>
    <t>200306011610</t>
  </si>
  <si>
    <t>200306011611</t>
  </si>
  <si>
    <t>200306011612</t>
  </si>
  <si>
    <t>200306011613</t>
  </si>
  <si>
    <t>200306011614</t>
  </si>
  <si>
    <t>EPSONLQ680K打印机</t>
  </si>
  <si>
    <t>200306011615</t>
  </si>
  <si>
    <t>HP1319打印机</t>
  </si>
  <si>
    <t>200306011616</t>
  </si>
  <si>
    <t>HP1007打印机</t>
  </si>
  <si>
    <t>200306011617</t>
  </si>
  <si>
    <t>IP100打印机</t>
  </si>
  <si>
    <t>200306011618</t>
  </si>
  <si>
    <t>M100打印机</t>
  </si>
  <si>
    <t>200306011619</t>
  </si>
  <si>
    <t>HP2015D打印机</t>
  </si>
  <si>
    <t>200306011620</t>
  </si>
  <si>
    <t>660K打印机</t>
  </si>
  <si>
    <t>200306011621</t>
  </si>
  <si>
    <t>EPSONLQ630K打印机器</t>
  </si>
  <si>
    <t>200306011622</t>
  </si>
  <si>
    <t>HP1015打印件</t>
  </si>
  <si>
    <t>200306011623</t>
  </si>
  <si>
    <t>打印机HP3525DN</t>
  </si>
  <si>
    <t>200306011624</t>
  </si>
  <si>
    <t>打印机HP2025N</t>
  </si>
  <si>
    <t>200306011625</t>
  </si>
  <si>
    <t>HP2727NF#一体机</t>
  </si>
  <si>
    <t>200306011626</t>
  </si>
  <si>
    <t>扫描仪EPSONY500</t>
  </si>
  <si>
    <t>200306011627</t>
  </si>
  <si>
    <t>打印机HP2055D</t>
  </si>
  <si>
    <t>200306011628</t>
  </si>
  <si>
    <t>打印机EPSON630K</t>
  </si>
  <si>
    <t>200306011629</t>
  </si>
  <si>
    <t>打印机HP-CP1215</t>
  </si>
  <si>
    <t>200306011630</t>
  </si>
  <si>
    <t>购置网络打印机</t>
  </si>
  <si>
    <t>200306011631</t>
  </si>
  <si>
    <t>HP1008打印机</t>
  </si>
  <si>
    <t>200306011632</t>
  </si>
  <si>
    <t>打印机HP35250n</t>
  </si>
  <si>
    <t>200306011633</t>
  </si>
  <si>
    <t>一体机  4521</t>
  </si>
  <si>
    <t>200306011634</t>
  </si>
  <si>
    <t>银行联网实时收费系统</t>
  </si>
  <si>
    <t>200306011635</t>
  </si>
  <si>
    <t>功放程控及信号源</t>
  </si>
  <si>
    <t>200306011636</t>
  </si>
  <si>
    <t>电费系统软件</t>
  </si>
  <si>
    <t>200400001297</t>
  </si>
  <si>
    <t>数字程控交换机</t>
  </si>
  <si>
    <t>200400001298</t>
  </si>
  <si>
    <t>调度模拟盘</t>
  </si>
  <si>
    <t>200400001299</t>
  </si>
  <si>
    <t>"铁塔,机柜"</t>
  </si>
  <si>
    <t>200400001300</t>
  </si>
  <si>
    <t>负控中继站</t>
  </si>
  <si>
    <t>200400001301</t>
  </si>
  <si>
    <t>电压监测仪</t>
  </si>
  <si>
    <t>200400001302</t>
  </si>
  <si>
    <t>200400001303</t>
  </si>
  <si>
    <t>200400001304</t>
  </si>
  <si>
    <t>综合自动化系统</t>
  </si>
  <si>
    <t>200400001307</t>
  </si>
  <si>
    <t>电力载波机</t>
  </si>
  <si>
    <t>200400001308</t>
  </si>
  <si>
    <t>2001-技措-07灌县站新增设备</t>
  </si>
  <si>
    <t>200400001310</t>
  </si>
  <si>
    <t>计算机监控或监测综合自动化系统</t>
  </si>
  <si>
    <t>200400001312</t>
  </si>
  <si>
    <t>视频安防监控系统</t>
  </si>
  <si>
    <t>200400001313</t>
  </si>
  <si>
    <t>太清站系统运动主机</t>
  </si>
  <si>
    <t>200400001314</t>
  </si>
  <si>
    <t>主机屏</t>
  </si>
  <si>
    <t>200400001315</t>
  </si>
  <si>
    <t>功率变送器</t>
  </si>
  <si>
    <t>200400001316</t>
  </si>
  <si>
    <t>电流变送器</t>
  </si>
  <si>
    <t>200400001317</t>
  </si>
  <si>
    <t>电压变压器</t>
  </si>
  <si>
    <t>200400001318</t>
  </si>
  <si>
    <t>200400001319</t>
  </si>
  <si>
    <t>200400001320</t>
  </si>
  <si>
    <t>变送器屏</t>
  </si>
  <si>
    <t>200400001321</t>
  </si>
  <si>
    <t>不间断电源</t>
  </si>
  <si>
    <t>200400001322</t>
  </si>
  <si>
    <t>图像监控系统</t>
  </si>
  <si>
    <t>200400001325</t>
  </si>
  <si>
    <t>200400001326</t>
  </si>
  <si>
    <t>200400001331</t>
  </si>
  <si>
    <t>微机监控系统</t>
  </si>
  <si>
    <t>200400001332</t>
  </si>
  <si>
    <t>负荷监控系统终端</t>
  </si>
  <si>
    <t>200400001333</t>
  </si>
  <si>
    <t>200400001334</t>
  </si>
  <si>
    <t>200400001335</t>
  </si>
  <si>
    <t>200400001336</t>
  </si>
  <si>
    <t>200400001337</t>
  </si>
  <si>
    <t>10KV微机保护装置</t>
  </si>
  <si>
    <t>200400001340</t>
  </si>
  <si>
    <t>模拟图板</t>
  </si>
  <si>
    <t>200400001341</t>
  </si>
  <si>
    <t>200400001342</t>
  </si>
  <si>
    <t>200400001343</t>
  </si>
  <si>
    <t>200400001344</t>
  </si>
  <si>
    <t>200400001345</t>
  </si>
  <si>
    <t>电子敷设</t>
  </si>
  <si>
    <t>200400001346</t>
  </si>
  <si>
    <t>机架</t>
  </si>
  <si>
    <t>200400001347</t>
  </si>
  <si>
    <t>直流电源</t>
  </si>
  <si>
    <t>200400001348</t>
  </si>
  <si>
    <t>天线藕合器</t>
  </si>
  <si>
    <t>200400001349</t>
  </si>
  <si>
    <t>连接器</t>
  </si>
  <si>
    <t>200400001350</t>
  </si>
  <si>
    <t>连接器插芯</t>
  </si>
  <si>
    <t>200400001351</t>
  </si>
  <si>
    <t>冷暖空调</t>
  </si>
  <si>
    <t>200400001352</t>
  </si>
  <si>
    <t>音频配线盒</t>
  </si>
  <si>
    <t>200400001353</t>
  </si>
  <si>
    <t>基群</t>
  </si>
  <si>
    <t>200400001354</t>
  </si>
  <si>
    <t>跳群及配电设备</t>
  </si>
  <si>
    <t>200400001355</t>
  </si>
  <si>
    <t>同轴电缆</t>
  </si>
  <si>
    <t>200400001356</t>
  </si>
  <si>
    <t>4M电线</t>
  </si>
  <si>
    <t>200400001357</t>
  </si>
  <si>
    <t>微波信道机</t>
  </si>
  <si>
    <t>200400001358</t>
  </si>
  <si>
    <t>数字勤务活路单元</t>
  </si>
  <si>
    <t>200400001359</t>
  </si>
  <si>
    <t>面板</t>
  </si>
  <si>
    <t>200400001360</t>
  </si>
  <si>
    <t>200400001361</t>
  </si>
  <si>
    <t>200400001363</t>
  </si>
  <si>
    <t>200400001364</t>
  </si>
  <si>
    <t>八通道数码录音机</t>
  </si>
  <si>
    <t>200400001368</t>
  </si>
  <si>
    <t>金江站防火防盗监控系统</t>
  </si>
  <si>
    <t>200400001369</t>
  </si>
  <si>
    <t>载波机架</t>
  </si>
  <si>
    <t>200400001370</t>
  </si>
  <si>
    <t>交流稳压器</t>
  </si>
  <si>
    <t>200400001371</t>
  </si>
  <si>
    <t>抛物面天线</t>
  </si>
  <si>
    <t>200400001372</t>
  </si>
  <si>
    <t>200400001373</t>
  </si>
  <si>
    <t>微机保护设备</t>
  </si>
  <si>
    <t>200400001374</t>
  </si>
  <si>
    <t>200400001375</t>
  </si>
  <si>
    <t>200400001376</t>
  </si>
  <si>
    <t>200400001377</t>
  </si>
  <si>
    <t>200400001378</t>
  </si>
  <si>
    <t>200400001379</t>
  </si>
  <si>
    <t>200400001380</t>
  </si>
  <si>
    <t>200400001385</t>
  </si>
  <si>
    <t>200400001386</t>
  </si>
  <si>
    <t>藕合电容器</t>
  </si>
  <si>
    <t>200400001387</t>
  </si>
  <si>
    <t>微机防误装置</t>
  </si>
  <si>
    <t>200400001389</t>
  </si>
  <si>
    <t>同频中继站-无线杆塔</t>
  </si>
  <si>
    <t>200400001390</t>
  </si>
  <si>
    <t>同频中继站-中继台</t>
  </si>
  <si>
    <t>200400001391</t>
  </si>
  <si>
    <t>同频中继站-计算机</t>
  </si>
  <si>
    <t>200400001392</t>
  </si>
  <si>
    <t>同频中继站-UPS电源</t>
  </si>
  <si>
    <t>200400001393</t>
  </si>
  <si>
    <t>对讲机</t>
  </si>
  <si>
    <t>200400001398</t>
  </si>
  <si>
    <t>电能采集装置屏</t>
  </si>
  <si>
    <t>200400001399</t>
  </si>
  <si>
    <t>SDH传输设备</t>
  </si>
  <si>
    <t>200400001400</t>
  </si>
  <si>
    <t>PCM设备</t>
  </si>
  <si>
    <t>200400001402</t>
  </si>
  <si>
    <t>SMT-1光接口单元</t>
  </si>
  <si>
    <t>200400001403</t>
  </si>
  <si>
    <t>系统交叉连接单元</t>
  </si>
  <si>
    <t>200400001404</t>
  </si>
  <si>
    <t>服务单元(光通仪)</t>
  </si>
  <si>
    <t>200400001406</t>
  </si>
  <si>
    <t>手持服务终端</t>
  </si>
  <si>
    <t>200400001408</t>
  </si>
  <si>
    <t>200400001412</t>
  </si>
  <si>
    <t>通讯协议适配议</t>
  </si>
  <si>
    <t>200400001413</t>
  </si>
  <si>
    <t>专用PDA终端</t>
  </si>
  <si>
    <t>200400001414</t>
  </si>
  <si>
    <t>"无线电台,市话"</t>
  </si>
  <si>
    <t>200400001416</t>
  </si>
  <si>
    <t>200400003528</t>
  </si>
  <si>
    <t>110kv聚金线135断路器间隔测控装置</t>
  </si>
  <si>
    <t>200400003529</t>
  </si>
  <si>
    <t>110kv聚胥线136断路器间隔测控装置</t>
  </si>
  <si>
    <t>200400003530</t>
  </si>
  <si>
    <t>200400003550</t>
  </si>
  <si>
    <t>1号2号主变本体BZT测控屏</t>
  </si>
  <si>
    <t>200400003557</t>
  </si>
  <si>
    <t>1号主变压器保护屏</t>
  </si>
  <si>
    <t>200400003562</t>
  </si>
  <si>
    <t>2号主变压器保护屏</t>
  </si>
  <si>
    <t>200400003573</t>
  </si>
  <si>
    <t>220kV电力故障录波测距装置屏</t>
  </si>
  <si>
    <t>200400003576</t>
  </si>
  <si>
    <t>2号主变1号保护屏</t>
  </si>
  <si>
    <t>200400003577</t>
  </si>
  <si>
    <t>2号主变2号保护屏</t>
  </si>
  <si>
    <t>200400008023</t>
  </si>
  <si>
    <t>微机五防主机</t>
  </si>
  <si>
    <t>200400008024</t>
  </si>
  <si>
    <t>200400008025</t>
  </si>
  <si>
    <t>电钥钥匙</t>
  </si>
  <si>
    <t>200400008094</t>
  </si>
  <si>
    <t>成都.唐公.变电站监控系统</t>
  </si>
  <si>
    <t>200400008095</t>
  </si>
  <si>
    <t>PS-I微机保护监控屏</t>
  </si>
  <si>
    <t>200400008097</t>
  </si>
  <si>
    <t>1#主变901断路器保护线路保护</t>
  </si>
  <si>
    <t>200400008098</t>
  </si>
  <si>
    <t>200400008099</t>
  </si>
  <si>
    <t>10kV双合路903断路器保护线路保护</t>
  </si>
  <si>
    <t>200400008100</t>
  </si>
  <si>
    <t>10kV双镇路905断路器保护线路保护</t>
  </si>
  <si>
    <t>200400008174</t>
  </si>
  <si>
    <t>200400008180</t>
  </si>
  <si>
    <t>200400008184</t>
  </si>
  <si>
    <t>200400008258</t>
  </si>
  <si>
    <t>10kV电容三路924线路保护</t>
  </si>
  <si>
    <t>200400008260</t>
  </si>
  <si>
    <t>200400008261</t>
  </si>
  <si>
    <t>200400008262</t>
  </si>
  <si>
    <t>公用屏柜</t>
  </si>
  <si>
    <t>200400008266</t>
  </si>
  <si>
    <t>控制中心监控设备</t>
  </si>
  <si>
    <t>200400008272</t>
  </si>
  <si>
    <t>200400008273</t>
  </si>
  <si>
    <t>200400008274</t>
  </si>
  <si>
    <t>200400008275</t>
  </si>
  <si>
    <t>2号故障录波屏</t>
  </si>
  <si>
    <t>200400008876</t>
  </si>
  <si>
    <t>110kV聚蒲一线、聚蒲二线线路保护屏</t>
  </si>
  <si>
    <t>200400008877</t>
  </si>
  <si>
    <t>110kV蒲新线线路保护屏</t>
  </si>
  <si>
    <t>200400008879</t>
  </si>
  <si>
    <t>110kV母线保护屏</t>
  </si>
  <si>
    <t>200400008881</t>
  </si>
  <si>
    <t>五防锁</t>
  </si>
  <si>
    <t>200400008882</t>
  </si>
  <si>
    <t>200400008883</t>
  </si>
  <si>
    <t>200400010107</t>
  </si>
  <si>
    <t>110KV母联130断路器间隔测控装置</t>
  </si>
  <si>
    <t>200400010108</t>
  </si>
  <si>
    <t>110KV聚蒲一线137断路器间隔测控装置</t>
  </si>
  <si>
    <t>200400010369</t>
  </si>
  <si>
    <t>200400010371</t>
  </si>
  <si>
    <t>充电装置</t>
  </si>
  <si>
    <t>200400010372</t>
  </si>
  <si>
    <t>绝缘检测</t>
  </si>
  <si>
    <t>200400010373</t>
  </si>
  <si>
    <t>通讯及自动化配套系统</t>
  </si>
  <si>
    <t>200400010533</t>
  </si>
  <si>
    <t>营销自动化系统（都江堰）</t>
  </si>
  <si>
    <t>200400011786</t>
  </si>
  <si>
    <t>200400012270</t>
  </si>
  <si>
    <t>200400015330</t>
  </si>
  <si>
    <t>220kV聚源站二次系统安全防护系统</t>
  </si>
  <si>
    <t>200400015331</t>
  </si>
  <si>
    <t>成都局电力调度数据网络三期</t>
  </si>
  <si>
    <t>200400018537</t>
  </si>
  <si>
    <t>200400018538</t>
  </si>
  <si>
    <t>110kV线路测控屏</t>
  </si>
  <si>
    <t>200400018539</t>
  </si>
  <si>
    <t>110kV聚金彩支线、聚彩线线路保护屏</t>
  </si>
  <si>
    <t>200400018540</t>
  </si>
  <si>
    <t>110kV内桥测控保护屏</t>
  </si>
  <si>
    <t>200400018541</t>
  </si>
  <si>
    <t>200400018542</t>
  </si>
  <si>
    <t>200400018543</t>
  </si>
  <si>
    <t>电能量采集屏</t>
  </si>
  <si>
    <t>200400018544</t>
  </si>
  <si>
    <t>调度数据屏</t>
  </si>
  <si>
    <t>200400018545</t>
  </si>
  <si>
    <t>200400018756</t>
  </si>
  <si>
    <t>200400018757</t>
  </si>
  <si>
    <t>200400018758</t>
  </si>
  <si>
    <t>200400021167</t>
  </si>
  <si>
    <t>安防设备柜</t>
  </si>
  <si>
    <t>200400021168</t>
  </si>
  <si>
    <t>监控屏</t>
  </si>
  <si>
    <t>200400021169</t>
  </si>
  <si>
    <t>200400021170</t>
  </si>
  <si>
    <t>光传输设备接入屏</t>
  </si>
  <si>
    <t>200400021171</t>
  </si>
  <si>
    <t>光纤接入屏</t>
  </si>
  <si>
    <t>200400021172</t>
  </si>
  <si>
    <t>200400021790</t>
  </si>
  <si>
    <t>电脑F618+E1948</t>
  </si>
  <si>
    <t>200400021791</t>
  </si>
  <si>
    <t>24小时自助缴费终端</t>
  </si>
  <si>
    <t>200400021792</t>
  </si>
  <si>
    <t>万用表PUKL</t>
  </si>
  <si>
    <t>200400021793</t>
  </si>
  <si>
    <t>高压开关动特性测试仪</t>
  </si>
  <si>
    <t>200400021794</t>
  </si>
  <si>
    <t>200400021795</t>
  </si>
  <si>
    <t>台钻</t>
  </si>
  <si>
    <t>200400021796</t>
  </si>
  <si>
    <t>200400021797</t>
  </si>
  <si>
    <t>视频监控系统4</t>
  </si>
  <si>
    <t>200400021798</t>
  </si>
  <si>
    <t>视频监控系统3</t>
  </si>
  <si>
    <t>200400021799</t>
  </si>
  <si>
    <t>视频监控系统5</t>
  </si>
  <si>
    <t>200400021800</t>
  </si>
  <si>
    <t>视频监控系统2</t>
  </si>
  <si>
    <t>200400021801</t>
  </si>
  <si>
    <t>都江堰千家湾发电车间远控及厂区视频</t>
  </si>
  <si>
    <t>200400021802</t>
  </si>
  <si>
    <t>都江堰安龙发电车间远控及厂区视频</t>
  </si>
  <si>
    <t>200400021803</t>
  </si>
  <si>
    <t>都江堰万安发电车间远控及厂区视频</t>
  </si>
  <si>
    <t>200400021804</t>
  </si>
  <si>
    <t>都江堰元定桥发电车间远控及厂区视频</t>
  </si>
  <si>
    <t>200400021805</t>
  </si>
  <si>
    <t>都江堰徐渡发电车间远控及厂区视频</t>
  </si>
  <si>
    <t>200400021806</t>
  </si>
  <si>
    <t>城关、天马站五防改造</t>
  </si>
  <si>
    <t>200400030969</t>
  </si>
  <si>
    <t>200400032815</t>
  </si>
  <si>
    <t>成都.河西.变电站监控系统</t>
  </si>
  <si>
    <t>200400032929</t>
  </si>
  <si>
    <t>成都.灌县.变电站监控系统</t>
  </si>
  <si>
    <t>200400032930</t>
  </si>
  <si>
    <t>成都.灌县.时钟同步装置</t>
  </si>
  <si>
    <t>200400032931</t>
  </si>
  <si>
    <t>成都.灌县.二次安全防护系统</t>
  </si>
  <si>
    <t>200400033744</t>
  </si>
  <si>
    <t>成都.灌县.1#电能量采集终端</t>
  </si>
  <si>
    <t>200400035723</t>
  </si>
  <si>
    <t>220kV聚源站变送器1</t>
  </si>
  <si>
    <t>200400035724</t>
  </si>
  <si>
    <t>220kV聚源站变送器2</t>
  </si>
  <si>
    <t>200400035725</t>
  </si>
  <si>
    <t>220kV聚源站变送器3</t>
  </si>
  <si>
    <t>200400039936</t>
  </si>
  <si>
    <t>元定桥水电站计算机监控系统</t>
  </si>
  <si>
    <t>209900001113</t>
  </si>
  <si>
    <t>闭口闪电仪SYP1002-111</t>
  </si>
  <si>
    <t>209900001114</t>
  </si>
  <si>
    <t>KS-1216A#KVM主机</t>
  </si>
  <si>
    <t>209900001115</t>
  </si>
  <si>
    <t>回路电阻测试仪1</t>
  </si>
  <si>
    <t>209900001116</t>
  </si>
  <si>
    <t>回路电阻测试仪2</t>
  </si>
  <si>
    <t>209900001117</t>
  </si>
  <si>
    <t>209900001118</t>
  </si>
  <si>
    <t>开关机械特性测试仪</t>
  </si>
  <si>
    <t>209900001119</t>
  </si>
  <si>
    <t>继保调试仪S40A</t>
  </si>
  <si>
    <t>209900001120</t>
  </si>
  <si>
    <t>209900001121</t>
  </si>
  <si>
    <t>千式试验变压器100KCA100KV</t>
  </si>
  <si>
    <t>209900001122</t>
  </si>
  <si>
    <t>电阻表4105</t>
  </si>
  <si>
    <t>209900001123</t>
  </si>
  <si>
    <t>手持式双钳相位数字相位伏安表</t>
  </si>
  <si>
    <t>209900001124</t>
  </si>
  <si>
    <t>远程红外温度计dt-8839</t>
  </si>
  <si>
    <t>209900001125</t>
  </si>
  <si>
    <t>209900001126</t>
  </si>
  <si>
    <t>微安表</t>
  </si>
  <si>
    <t>209900001127</t>
  </si>
  <si>
    <t>断路器特性测试仪</t>
  </si>
  <si>
    <t>209900001128</t>
  </si>
  <si>
    <t>双臂电桥1</t>
  </si>
  <si>
    <t>209900001129</t>
  </si>
  <si>
    <t>接地电阻测试仪2</t>
  </si>
  <si>
    <t>209900001130</t>
  </si>
  <si>
    <t>209900001131</t>
  </si>
  <si>
    <t>209900001132</t>
  </si>
  <si>
    <t>NBR300#路由器</t>
  </si>
  <si>
    <t>209900001133</t>
  </si>
  <si>
    <t>209900001134</t>
  </si>
  <si>
    <t>HX2020#无线核相器</t>
  </si>
  <si>
    <t>209900001135</t>
  </si>
  <si>
    <t>开关特性测试仪XHR-8B</t>
  </si>
  <si>
    <t>209900001136</t>
  </si>
  <si>
    <t>高压绝缘电阻测试仪3125</t>
  </si>
  <si>
    <t>209900001137</t>
  </si>
  <si>
    <t>记忆示波器20M</t>
  </si>
  <si>
    <t>209900001138</t>
  </si>
  <si>
    <t>209900001598</t>
  </si>
  <si>
    <t>1、2、3号发电机组LCU屏</t>
  </si>
  <si>
    <t>209900001599</t>
  </si>
  <si>
    <t>公用及开关站LCU屏</t>
  </si>
  <si>
    <t>209900001600</t>
  </si>
  <si>
    <t>闸首LCU屏</t>
  </si>
  <si>
    <t>209900001601</t>
  </si>
  <si>
    <t>1、2、3号发电机保护装置屏</t>
  </si>
  <si>
    <t>209900001602</t>
  </si>
  <si>
    <t>1、2、3号发电机组测温制动柜系统</t>
  </si>
  <si>
    <t>210300000035</t>
  </si>
  <si>
    <t>油罐</t>
  </si>
  <si>
    <t>210500000001</t>
  </si>
  <si>
    <t>离心水泵</t>
  </si>
  <si>
    <t>211002000023</t>
  </si>
  <si>
    <t>励磁变压器1</t>
  </si>
  <si>
    <t>211002000024</t>
  </si>
  <si>
    <t>励磁变压器2</t>
  </si>
  <si>
    <t>211002000025</t>
  </si>
  <si>
    <t>励磁变压器3</t>
  </si>
  <si>
    <t>211002000026</t>
  </si>
  <si>
    <t>6kV励磁变压器1</t>
  </si>
  <si>
    <t>6kV</t>
  </si>
  <si>
    <t>211002000027</t>
  </si>
  <si>
    <t>励磁屏1</t>
  </si>
  <si>
    <t>211002000028</t>
  </si>
  <si>
    <t>励磁屏2</t>
  </si>
  <si>
    <t>211002000029</t>
  </si>
  <si>
    <t>励磁屏3</t>
  </si>
  <si>
    <t>211002000030</t>
  </si>
  <si>
    <t>励磁调节柜1</t>
  </si>
  <si>
    <t>211002000031</t>
  </si>
  <si>
    <t>励磁调节柜2</t>
  </si>
  <si>
    <t>211002000032</t>
  </si>
  <si>
    <t>励磁调节柜3</t>
  </si>
  <si>
    <t>211002000033</t>
  </si>
  <si>
    <t>励磁功率柜1</t>
  </si>
  <si>
    <t>211002000034</t>
  </si>
  <si>
    <t>励磁功率柜2</t>
  </si>
  <si>
    <t>211002000035</t>
  </si>
  <si>
    <t>励磁功率柜3</t>
  </si>
  <si>
    <t>211002000036</t>
  </si>
  <si>
    <t>励磁系统1</t>
  </si>
  <si>
    <t>211002000037</t>
  </si>
  <si>
    <t>励磁系统2</t>
  </si>
  <si>
    <t>211002000038</t>
  </si>
  <si>
    <t>励磁系统3</t>
  </si>
  <si>
    <t>211002000039</t>
  </si>
  <si>
    <t>6kV励磁变压器2</t>
  </si>
  <si>
    <t>211002000040</t>
  </si>
  <si>
    <t>6kV励磁变压器3</t>
  </si>
  <si>
    <t>211002000041</t>
  </si>
  <si>
    <t>211002000042</t>
  </si>
  <si>
    <t>211002000043</t>
  </si>
  <si>
    <t>211002000044</t>
  </si>
  <si>
    <t>211002000045</t>
  </si>
  <si>
    <t>211002000046</t>
  </si>
  <si>
    <t>211002000047</t>
  </si>
  <si>
    <t>211002000048</t>
  </si>
  <si>
    <t>211002000049</t>
  </si>
  <si>
    <t>烘箱</t>
  </si>
  <si>
    <t>211002000100</t>
  </si>
  <si>
    <t>中控室低压开关柜</t>
  </si>
  <si>
    <t>380（400）V</t>
  </si>
  <si>
    <t>211002000101</t>
  </si>
  <si>
    <t>1号机低压开关柜</t>
  </si>
  <si>
    <t>211002000102</t>
  </si>
  <si>
    <t>2号机低压开关柜</t>
  </si>
  <si>
    <t>211002000103</t>
  </si>
  <si>
    <t>3号机低压开关柜</t>
  </si>
  <si>
    <t>211002000104</t>
  </si>
  <si>
    <t>取水口低压开关柜</t>
  </si>
  <si>
    <t>211002000105</t>
  </si>
  <si>
    <t>1号发电机出口6KV测量、保护用电压互感器</t>
  </si>
  <si>
    <t>211002000106</t>
  </si>
  <si>
    <t>2号发电机出口6KV测量、保护用电压互感器</t>
  </si>
  <si>
    <t>211002000107</t>
  </si>
  <si>
    <t>3号发电机出口6KV测量、保护用电压互感器</t>
  </si>
  <si>
    <t>211002000108</t>
  </si>
  <si>
    <t>6KV母线电压互感器</t>
  </si>
  <si>
    <t>211002000109</t>
  </si>
  <si>
    <t>10KV母线测量、保护用电压互感器</t>
  </si>
  <si>
    <t>211002000110</t>
  </si>
  <si>
    <t>601开关电流互感器</t>
  </si>
  <si>
    <t>211002000111</t>
  </si>
  <si>
    <t>902开关电流互感器</t>
  </si>
  <si>
    <t>211002000112</t>
  </si>
  <si>
    <t>1号发电机出口、尾端、出口开关电流互感器</t>
  </si>
  <si>
    <t>211002000113</t>
  </si>
  <si>
    <t>2号发电机出口、尾端、出口开关电流互感器</t>
  </si>
  <si>
    <t>211002000114</t>
  </si>
  <si>
    <t>3号发电机出口、尾端、出口开关电流互感器</t>
  </si>
  <si>
    <t>211101000080</t>
  </si>
  <si>
    <t>水轮机1</t>
  </si>
  <si>
    <t>211101000081</t>
  </si>
  <si>
    <t>发电机1</t>
  </si>
  <si>
    <t>211101000082</t>
  </si>
  <si>
    <t>发电机组1</t>
  </si>
  <si>
    <t>211101000086</t>
  </si>
  <si>
    <t>211101000087</t>
  </si>
  <si>
    <t>水轮机2</t>
  </si>
  <si>
    <t>211101000088</t>
  </si>
  <si>
    <t>水轮机3</t>
  </si>
  <si>
    <t>211101000089</t>
  </si>
  <si>
    <t>211101000090</t>
  </si>
  <si>
    <t>211101000091</t>
  </si>
  <si>
    <t>211101000092</t>
  </si>
  <si>
    <t>水轮机4</t>
  </si>
  <si>
    <t>211101000093</t>
  </si>
  <si>
    <t>211101000094</t>
  </si>
  <si>
    <t>211101000095</t>
  </si>
  <si>
    <t>水轮发电机1</t>
  </si>
  <si>
    <t>211101000096</t>
  </si>
  <si>
    <t>水轮发电机2</t>
  </si>
  <si>
    <t>211101000097</t>
  </si>
  <si>
    <t>水轮发电机3</t>
  </si>
  <si>
    <t>211101000099</t>
  </si>
  <si>
    <t>万安发电车间1#励磁系统</t>
  </si>
  <si>
    <t>211101000100</t>
  </si>
  <si>
    <t>万安发电车间2#励磁系统</t>
  </si>
  <si>
    <t>211101000101</t>
  </si>
  <si>
    <t>万安发电车间3#励磁系统</t>
  </si>
  <si>
    <t>211101000102</t>
  </si>
  <si>
    <t>同步发电机</t>
  </si>
  <si>
    <t>211101000103</t>
  </si>
  <si>
    <t>水轮机</t>
  </si>
  <si>
    <t>211101000104</t>
  </si>
  <si>
    <t>徐渡二级电站1#励磁系统</t>
  </si>
  <si>
    <t>211101000105</t>
  </si>
  <si>
    <t>徐渡二级电站2#励磁系统</t>
  </si>
  <si>
    <t>211101000106</t>
  </si>
  <si>
    <t>徐渡二级电站3#励磁系统</t>
  </si>
  <si>
    <t>211102000360</t>
  </si>
  <si>
    <t>调速器1</t>
  </si>
  <si>
    <t>211102000361</t>
  </si>
  <si>
    <t>调速器2</t>
  </si>
  <si>
    <t>211102000362</t>
  </si>
  <si>
    <t>调速器3</t>
  </si>
  <si>
    <t>211102000363</t>
  </si>
  <si>
    <t>油泵1</t>
  </si>
  <si>
    <t>211102000364</t>
  </si>
  <si>
    <t>油泵2</t>
  </si>
  <si>
    <t>211102000365</t>
  </si>
  <si>
    <t>油泵3</t>
  </si>
  <si>
    <t>211102000366</t>
  </si>
  <si>
    <t>油泵4</t>
  </si>
  <si>
    <t>211102000367</t>
  </si>
  <si>
    <t>油泵5</t>
  </si>
  <si>
    <t>211102000368</t>
  </si>
  <si>
    <t>发电机冷却风机1</t>
  </si>
  <si>
    <t>211102000369</t>
  </si>
  <si>
    <t>发电机冷却风机2</t>
  </si>
  <si>
    <t>211102000370</t>
  </si>
  <si>
    <t>发电机冷却风机3</t>
  </si>
  <si>
    <t>211102000371</t>
  </si>
  <si>
    <t>211102000372</t>
  </si>
  <si>
    <t>211102000373</t>
  </si>
  <si>
    <t>211102000374</t>
  </si>
  <si>
    <t>低压空气压缩机</t>
  </si>
  <si>
    <t>211102000375</t>
  </si>
  <si>
    <t>高压空气压缩机</t>
  </si>
  <si>
    <t>211102000376</t>
  </si>
  <si>
    <t>轴流风机1</t>
  </si>
  <si>
    <t>211102000377</t>
  </si>
  <si>
    <t>轴流风机2</t>
  </si>
  <si>
    <t>211102000378</t>
  </si>
  <si>
    <t>轴流风机3</t>
  </si>
  <si>
    <t>211102000379</t>
  </si>
  <si>
    <t>低压空压机</t>
  </si>
  <si>
    <t>211102000380</t>
  </si>
  <si>
    <t>高压空压机1</t>
  </si>
  <si>
    <t>211102000381</t>
  </si>
  <si>
    <t>高压空压机2</t>
  </si>
  <si>
    <t>211102000382</t>
  </si>
  <si>
    <t>空压机</t>
  </si>
  <si>
    <t>211102000383</t>
  </si>
  <si>
    <t>空压机(高压)1</t>
  </si>
  <si>
    <t>211102000384</t>
  </si>
  <si>
    <t>空压机(高压)2</t>
  </si>
  <si>
    <t>211102000385</t>
  </si>
  <si>
    <t>空压机(低压)</t>
  </si>
  <si>
    <t>211102000386</t>
  </si>
  <si>
    <t>顶转子油泵</t>
  </si>
  <si>
    <t>211102000387</t>
  </si>
  <si>
    <t>圆柱齿减速仪</t>
  </si>
  <si>
    <t>211102000388</t>
  </si>
  <si>
    <t>给水泵1</t>
  </si>
  <si>
    <t>211102000389</t>
  </si>
  <si>
    <t>给水泵2</t>
  </si>
  <si>
    <t>211102000390</t>
  </si>
  <si>
    <t>211102000391</t>
  </si>
  <si>
    <t>211102000392</t>
  </si>
  <si>
    <t>211102000393</t>
  </si>
  <si>
    <t>211102000394</t>
  </si>
  <si>
    <t>211102000395</t>
  </si>
  <si>
    <t>211102000396</t>
  </si>
  <si>
    <t>211102000397</t>
  </si>
  <si>
    <t>万安发电车间1#调速器系统</t>
  </si>
  <si>
    <t>211102000398</t>
  </si>
  <si>
    <t>万安发电车间2#调速器系统</t>
  </si>
  <si>
    <t>211102000399</t>
  </si>
  <si>
    <t>万安发电车间3#调速器系统</t>
  </si>
  <si>
    <t>211102000400</t>
  </si>
  <si>
    <t>电液调速器</t>
  </si>
  <si>
    <t>211102000401</t>
  </si>
  <si>
    <t>调速器</t>
  </si>
  <si>
    <t>211102000402</t>
  </si>
  <si>
    <t>励磁屏</t>
  </si>
  <si>
    <t>211102000403</t>
  </si>
  <si>
    <t>徐渡二级电站1#调速器</t>
  </si>
  <si>
    <t>211102000404</t>
  </si>
  <si>
    <t>徐渡二级电站2#调速器</t>
  </si>
  <si>
    <t>211102000405</t>
  </si>
  <si>
    <t>徐渡二级电站3#调速器</t>
  </si>
  <si>
    <t>211102001206</t>
  </si>
  <si>
    <t>安龙电站2#低压空压机</t>
  </si>
  <si>
    <t>211102001207</t>
  </si>
  <si>
    <t>万安电站2#低压空压机</t>
  </si>
  <si>
    <t>211102001208</t>
  </si>
  <si>
    <t>徐渡二级电站2#低压空压机</t>
  </si>
  <si>
    <t>211200000060</t>
  </si>
  <si>
    <t>发电机组2</t>
  </si>
  <si>
    <t>211200000061</t>
  </si>
  <si>
    <t>发电机组3</t>
  </si>
  <si>
    <t>211200000062</t>
  </si>
  <si>
    <t>发电机2</t>
  </si>
  <si>
    <t>211200000063</t>
  </si>
  <si>
    <t>发电机3</t>
  </si>
  <si>
    <t>211200000064</t>
  </si>
  <si>
    <t>发电机4</t>
  </si>
  <si>
    <t>219900000306</t>
  </si>
  <si>
    <t>母线</t>
  </si>
  <si>
    <t>219900000308</t>
  </si>
  <si>
    <t>油汽水系统</t>
  </si>
  <si>
    <t>219900000309</t>
  </si>
  <si>
    <t>减速器</t>
  </si>
  <si>
    <t>219900000310</t>
  </si>
  <si>
    <t>SR-810#转速表</t>
  </si>
  <si>
    <t>219900000311</t>
  </si>
  <si>
    <t>架空输电线路（10KV西太万支线）</t>
  </si>
  <si>
    <t>219900000312</t>
  </si>
  <si>
    <t>防雷设备</t>
  </si>
  <si>
    <t>219900000313</t>
  </si>
  <si>
    <t>直流屏改造购GZDW-M30A微机型高频开关电源直流屏</t>
  </si>
  <si>
    <t>219900000314</t>
  </si>
  <si>
    <t>变电控制保护柜(屏)</t>
  </si>
  <si>
    <t>219900000315</t>
  </si>
  <si>
    <t>其他发电设备</t>
  </si>
  <si>
    <t>219900000316</t>
  </si>
  <si>
    <t>元定桥发电车间调速器系统</t>
  </si>
  <si>
    <t>219900000317</t>
  </si>
  <si>
    <t>汽油发电机</t>
  </si>
  <si>
    <t>219900000318</t>
  </si>
  <si>
    <t>低压配电屏(箱)</t>
  </si>
  <si>
    <t>219900000319</t>
  </si>
  <si>
    <t>避雷针</t>
  </si>
  <si>
    <t>219900000320</t>
  </si>
  <si>
    <t>6Kv厂用变</t>
  </si>
  <si>
    <t>219900000321</t>
  </si>
  <si>
    <t>元定桥发电车间励磁系统</t>
  </si>
  <si>
    <t>219900000323</t>
  </si>
  <si>
    <t>雅马哈汽油发电机</t>
  </si>
  <si>
    <t>219900000324</t>
  </si>
  <si>
    <t>断路器1</t>
  </si>
  <si>
    <t>219900000325</t>
  </si>
  <si>
    <t>219900000326</t>
  </si>
  <si>
    <t>219900000327</t>
  </si>
  <si>
    <t>柴油发电机</t>
  </si>
  <si>
    <t>219900000328</t>
  </si>
  <si>
    <t>219900000329</t>
  </si>
  <si>
    <t>无塔供水器</t>
  </si>
  <si>
    <t>219900000330</t>
  </si>
  <si>
    <t>219900000331</t>
  </si>
  <si>
    <t>直流电源屏2</t>
  </si>
  <si>
    <t>219900000332</t>
  </si>
  <si>
    <t>219900000333</t>
  </si>
  <si>
    <t>避雷针1</t>
  </si>
  <si>
    <t>219900000334</t>
  </si>
  <si>
    <t>避雷针2</t>
  </si>
  <si>
    <t>219900000335</t>
  </si>
  <si>
    <t>避雷针3</t>
  </si>
  <si>
    <t>219900000338</t>
  </si>
  <si>
    <t>219900000339</t>
  </si>
  <si>
    <t>219900000340</t>
  </si>
  <si>
    <t>219900000341</t>
  </si>
  <si>
    <t>水机测温屏1</t>
  </si>
  <si>
    <t>219900000342</t>
  </si>
  <si>
    <t>水机测温屏2</t>
  </si>
  <si>
    <t>219900000343</t>
  </si>
  <si>
    <t>水机测温屏3</t>
  </si>
  <si>
    <t>219900000344</t>
  </si>
  <si>
    <t>水机保护屏1</t>
  </si>
  <si>
    <t>219900000345</t>
  </si>
  <si>
    <t>水机保护屏2</t>
  </si>
  <si>
    <t>219900000346</t>
  </si>
  <si>
    <t>水机保护屏3</t>
  </si>
  <si>
    <t>219900000347</t>
  </si>
  <si>
    <t>发电机操作屏1</t>
  </si>
  <si>
    <t>219900000348</t>
  </si>
  <si>
    <t>发电机操作屏2</t>
  </si>
  <si>
    <t>219900000349</t>
  </si>
  <si>
    <t>发电机操作屏3</t>
  </si>
  <si>
    <t>219900000350</t>
  </si>
  <si>
    <t>主变操作屏</t>
  </si>
  <si>
    <t>219900000351</t>
  </si>
  <si>
    <t>公用屏</t>
  </si>
  <si>
    <t>219900000352</t>
  </si>
  <si>
    <t>219900000353</t>
  </si>
  <si>
    <t>219900000354</t>
  </si>
  <si>
    <t>219900000355</t>
  </si>
  <si>
    <t>219900000356</t>
  </si>
  <si>
    <t>主变保护屏</t>
  </si>
  <si>
    <t>219900000357</t>
  </si>
  <si>
    <t>油水气系统</t>
  </si>
  <si>
    <t>219900000358</t>
  </si>
  <si>
    <t>油罐1</t>
  </si>
  <si>
    <t>219900000359</t>
  </si>
  <si>
    <t>油罐2</t>
  </si>
  <si>
    <t>219900000360</t>
  </si>
  <si>
    <t>水位仪</t>
  </si>
  <si>
    <t>219900000361</t>
  </si>
  <si>
    <t>219900000362</t>
  </si>
  <si>
    <t>桥式起重机（徐渡发电车间）</t>
  </si>
  <si>
    <t>219900000363</t>
  </si>
  <si>
    <t>水机自动屏</t>
  </si>
  <si>
    <t>219900000364</t>
  </si>
  <si>
    <t>219900000365</t>
  </si>
  <si>
    <t>219900000366</t>
  </si>
  <si>
    <t>219900000367</t>
  </si>
  <si>
    <t>219900000368</t>
  </si>
  <si>
    <t>发电机保护屏</t>
  </si>
  <si>
    <t>219900000369</t>
  </si>
  <si>
    <t>蓄电池电源屏</t>
  </si>
  <si>
    <t>219900000370</t>
  </si>
  <si>
    <t>219900000371</t>
  </si>
  <si>
    <t>主变压器保护屏</t>
  </si>
  <si>
    <t>219900000372</t>
  </si>
  <si>
    <t>35KV线路保护屏</t>
  </si>
  <si>
    <t>219900000373</t>
  </si>
  <si>
    <t>控制台</t>
  </si>
  <si>
    <t>219900000374</t>
  </si>
  <si>
    <t>高压开关</t>
  </si>
  <si>
    <t>219900000375</t>
  </si>
  <si>
    <t>219900000376</t>
  </si>
  <si>
    <t>219900000377</t>
  </si>
  <si>
    <t>启闭机</t>
  </si>
  <si>
    <t>219900000378</t>
  </si>
  <si>
    <t>冲沙闸启闭机</t>
  </si>
  <si>
    <t>219900000379</t>
  </si>
  <si>
    <t>进水闸门</t>
  </si>
  <si>
    <t>219900000380</t>
  </si>
  <si>
    <t>冲沙闸门</t>
  </si>
  <si>
    <t>219900000381</t>
  </si>
  <si>
    <t>拦污栅</t>
  </si>
  <si>
    <t>219900000382</t>
  </si>
  <si>
    <t>拦污栅电动葫芦</t>
  </si>
  <si>
    <t>219900000383</t>
  </si>
  <si>
    <t>前池冲沙孔闸门</t>
  </si>
  <si>
    <t>219900000384</t>
  </si>
  <si>
    <t>尾水平板闸门</t>
  </si>
  <si>
    <t>219900000385</t>
  </si>
  <si>
    <t>手动双梁启重机</t>
  </si>
  <si>
    <t>219900000386</t>
  </si>
  <si>
    <t>机端电压互感器</t>
  </si>
  <si>
    <t>219900000387</t>
  </si>
  <si>
    <t>中性电流互感器</t>
  </si>
  <si>
    <t>219900000388</t>
  </si>
  <si>
    <t>219900000389</t>
  </si>
  <si>
    <t>高压空气开关压缩机</t>
  </si>
  <si>
    <t>219900000390</t>
  </si>
  <si>
    <t>219900000391</t>
  </si>
  <si>
    <t>低压油水分离器</t>
  </si>
  <si>
    <t>219900000392</t>
  </si>
  <si>
    <t>高压油水分离器</t>
  </si>
  <si>
    <t>219900000393</t>
  </si>
  <si>
    <t>低压储气罐</t>
  </si>
  <si>
    <t>219900000394</t>
  </si>
  <si>
    <t>高压储气罐</t>
  </si>
  <si>
    <t>219900000395</t>
  </si>
  <si>
    <t>电力变压器1B</t>
  </si>
  <si>
    <t>219900000396</t>
  </si>
  <si>
    <t>厂用变压器21B</t>
  </si>
  <si>
    <t>219900000397</t>
  </si>
  <si>
    <t>厂用变压器41B</t>
  </si>
  <si>
    <t>219900000398</t>
  </si>
  <si>
    <t>渠首变压器</t>
  </si>
  <si>
    <t>219900000399</t>
  </si>
  <si>
    <t>219900000400</t>
  </si>
  <si>
    <t>219900000401</t>
  </si>
  <si>
    <t>隔离开关</t>
  </si>
  <si>
    <t>219900000402</t>
  </si>
  <si>
    <t>电压互感器</t>
  </si>
  <si>
    <t>219900000403</t>
  </si>
  <si>
    <t>避雷器</t>
  </si>
  <si>
    <t>219900000404</t>
  </si>
  <si>
    <t>溶断器</t>
  </si>
  <si>
    <t>219900000405</t>
  </si>
  <si>
    <t>闸门控制箱</t>
  </si>
  <si>
    <t>219900000406</t>
  </si>
  <si>
    <t>调速器油泵控制器</t>
  </si>
  <si>
    <t>219900000407</t>
  </si>
  <si>
    <t>水泵控制器</t>
  </si>
  <si>
    <t>219900000408</t>
  </si>
  <si>
    <t>轴流风机控制箱</t>
  </si>
  <si>
    <t>219900000409</t>
  </si>
  <si>
    <t>风机配电箱</t>
  </si>
  <si>
    <t>219900000410</t>
  </si>
  <si>
    <t>219900000411</t>
  </si>
  <si>
    <t>手动葫芦</t>
  </si>
  <si>
    <t>219900000412</t>
  </si>
  <si>
    <t>测温屏</t>
  </si>
  <si>
    <t>219900000413</t>
  </si>
  <si>
    <t>主令控制器</t>
  </si>
  <si>
    <t>219900000414</t>
  </si>
  <si>
    <t>滤油机</t>
  </si>
  <si>
    <t>219900000415</t>
  </si>
  <si>
    <t>219900000416</t>
  </si>
  <si>
    <t>219900000417</t>
  </si>
  <si>
    <t>巡检仪</t>
  </si>
  <si>
    <t>219900000418</t>
  </si>
  <si>
    <t>液位仪</t>
  </si>
  <si>
    <t>219900000419</t>
  </si>
  <si>
    <t>直流电源柜</t>
  </si>
  <si>
    <t>219900000420</t>
  </si>
  <si>
    <t>219900000421</t>
  </si>
  <si>
    <t>电力变压器</t>
  </si>
  <si>
    <t>219900000422</t>
  </si>
  <si>
    <t>电压互感器15只</t>
  </si>
  <si>
    <t>219900000423</t>
  </si>
  <si>
    <t>隔离开关2只</t>
  </si>
  <si>
    <t>219900000424</t>
  </si>
  <si>
    <t>电缆</t>
  </si>
  <si>
    <t>219900000425</t>
  </si>
  <si>
    <t>219900000426</t>
  </si>
  <si>
    <t>开关柜</t>
  </si>
  <si>
    <t>219900000427</t>
  </si>
  <si>
    <t>219900000428</t>
  </si>
  <si>
    <t>中控台</t>
  </si>
  <si>
    <t>219900000429</t>
  </si>
  <si>
    <t>控制电缆及低压电缆</t>
  </si>
  <si>
    <t>219900000430</t>
  </si>
  <si>
    <t>219900000431</t>
  </si>
  <si>
    <t>保护屏，水机屏</t>
  </si>
  <si>
    <t>219900000432</t>
  </si>
  <si>
    <t>厂用电低压屏</t>
  </si>
  <si>
    <t>219900001429</t>
  </si>
  <si>
    <t>万安电站取水口1号清污机</t>
  </si>
  <si>
    <t>219900001430</t>
  </si>
  <si>
    <t>万安电站取水口2号清污机</t>
  </si>
  <si>
    <t>219900001431</t>
  </si>
  <si>
    <t>安龙电站取水口1号清污机</t>
  </si>
  <si>
    <t>219900001432</t>
  </si>
  <si>
    <t>安龙电站取水口2号清污机</t>
  </si>
  <si>
    <t>219900001433</t>
  </si>
  <si>
    <t>安龙电站取水口3号清污机</t>
  </si>
  <si>
    <t>219900001469</t>
  </si>
  <si>
    <t>2号低压空气压缩机</t>
  </si>
  <si>
    <t>220000000165</t>
  </si>
  <si>
    <t>水工机械设备</t>
  </si>
  <si>
    <t>启闭机1</t>
  </si>
  <si>
    <t>220000000166</t>
  </si>
  <si>
    <t>启闭机2</t>
  </si>
  <si>
    <t>220000000167</t>
  </si>
  <si>
    <t>启闭机3</t>
  </si>
  <si>
    <t>220000000168</t>
  </si>
  <si>
    <t>启闭机4</t>
  </si>
  <si>
    <t>220000000169</t>
  </si>
  <si>
    <t>启闭机5</t>
  </si>
  <si>
    <t>220000000170</t>
  </si>
  <si>
    <t>启闭机6</t>
  </si>
  <si>
    <t>220000000171</t>
  </si>
  <si>
    <t>启闭机7</t>
  </si>
  <si>
    <t>220000000172</t>
  </si>
  <si>
    <t>螺杆式启闭机1</t>
  </si>
  <si>
    <t>220000000173</t>
  </si>
  <si>
    <t>螺杆式启闭机2</t>
  </si>
  <si>
    <t>220000000174</t>
  </si>
  <si>
    <t>螺杆式启闭机3</t>
  </si>
  <si>
    <t>220000000175</t>
  </si>
  <si>
    <t>螺杆式启闭机4</t>
  </si>
  <si>
    <t>220000000176</t>
  </si>
  <si>
    <t>220000000177</t>
  </si>
  <si>
    <t>220000000178</t>
  </si>
  <si>
    <t>220000000179</t>
  </si>
  <si>
    <t>固定式启闭机1</t>
  </si>
  <si>
    <t>220000000180</t>
  </si>
  <si>
    <t>固定式启闭机2</t>
  </si>
  <si>
    <t>220000000181</t>
  </si>
  <si>
    <t>固定式启闭机3</t>
  </si>
  <si>
    <t>220000000182</t>
  </si>
  <si>
    <t>固定式启闭机4</t>
  </si>
  <si>
    <t>220000000183</t>
  </si>
  <si>
    <t>固定式启闭机5</t>
  </si>
  <si>
    <t>220000000184</t>
  </si>
  <si>
    <t>固定式启闭机6</t>
  </si>
  <si>
    <t>220000000185</t>
  </si>
  <si>
    <t>固定式启闭机7</t>
  </si>
  <si>
    <t>220000000186</t>
  </si>
  <si>
    <t>桥式起重机</t>
  </si>
  <si>
    <t>220000000187</t>
  </si>
  <si>
    <t>元定桥电站泄洪3号闸门</t>
  </si>
  <si>
    <t>220000000188</t>
  </si>
  <si>
    <t>元定桥电站泄洪4号闸门</t>
  </si>
  <si>
    <t>220000000189</t>
  </si>
  <si>
    <t>万安电站3号泄洪闸门</t>
  </si>
  <si>
    <t>220000000190</t>
  </si>
  <si>
    <t>万安电站4号泄洪闸门</t>
  </si>
  <si>
    <t>220000000191</t>
  </si>
  <si>
    <t>元定桥电站3号启闭机</t>
  </si>
  <si>
    <t>220000000192</t>
  </si>
  <si>
    <t>元定桥电站4号启闭机</t>
  </si>
  <si>
    <t>220000000193</t>
  </si>
  <si>
    <t>万安电站3号启闭机</t>
  </si>
  <si>
    <t>220000000194</t>
  </si>
  <si>
    <t>万安电站4号启闭机</t>
  </si>
  <si>
    <t>230100000181</t>
  </si>
  <si>
    <t>制造及检修维护设备</t>
  </si>
  <si>
    <t>台式钻床</t>
  </si>
  <si>
    <t>230100000182</t>
  </si>
  <si>
    <t>砂轮机</t>
  </si>
  <si>
    <t>230300000568</t>
  </si>
  <si>
    <t>手链葫芦</t>
  </si>
  <si>
    <t>230300000569</t>
  </si>
  <si>
    <t>闸门8</t>
  </si>
  <si>
    <t>230300000570</t>
  </si>
  <si>
    <t>千家湾电站清栅用电动葫芦1</t>
  </si>
  <si>
    <t>230300000571</t>
  </si>
  <si>
    <t>千家湾电站清栅用电动葫芦2</t>
  </si>
  <si>
    <t>230300000572</t>
  </si>
  <si>
    <t>千家湾电站清栅用电动葫芦3</t>
  </si>
  <si>
    <t>230300000573</t>
  </si>
  <si>
    <t>千家湾电站清栅用电动葫芦4</t>
  </si>
  <si>
    <t>230300000574</t>
  </si>
  <si>
    <t>安龙电站清栅用电动葫芦1</t>
  </si>
  <si>
    <t>230300000575</t>
  </si>
  <si>
    <t>安龙电站清栅用电动葫芦2</t>
  </si>
  <si>
    <t>230300000576</t>
  </si>
  <si>
    <t>安龙电站清栅用电动葫芦3</t>
  </si>
  <si>
    <t>230300000577</t>
  </si>
  <si>
    <t>安龙电站清栅用电动葫芦4</t>
  </si>
  <si>
    <t>230300000578</t>
  </si>
  <si>
    <t>元定桥电站清栅用电动葫芦1</t>
  </si>
  <si>
    <t>230300000579</t>
  </si>
  <si>
    <t>元定桥电站清栅用电动葫芦2</t>
  </si>
  <si>
    <t>230300000580</t>
  </si>
  <si>
    <t>元定桥电站清栅用电动葫芦3</t>
  </si>
  <si>
    <t>230300000581</t>
  </si>
  <si>
    <t>元定桥电站清栅用电动葫芦4</t>
  </si>
  <si>
    <t>230300000582</t>
  </si>
  <si>
    <t>万安电站清栅用电动葫芦1</t>
  </si>
  <si>
    <t>230300000583</t>
  </si>
  <si>
    <t>万安电站清栅用电动葫芦2</t>
  </si>
  <si>
    <t>230300000584</t>
  </si>
  <si>
    <t>万安电站清栅用电动葫芦3</t>
  </si>
  <si>
    <t>230300000585</t>
  </si>
  <si>
    <t>万安电站清栅用电动葫芦4</t>
  </si>
  <si>
    <t>230300000586</t>
  </si>
  <si>
    <t>徐渡二级电站清栅用电动葫芦1</t>
  </si>
  <si>
    <t>230300000587</t>
  </si>
  <si>
    <t>徐渡二级电站清栅用电动葫芦2</t>
  </si>
  <si>
    <t>230300000588</t>
  </si>
  <si>
    <t>徐渡二级电站清栅用电动葫芦3</t>
  </si>
  <si>
    <t>230300000755</t>
  </si>
  <si>
    <t>安龙电站电动单梁起重机</t>
  </si>
  <si>
    <t>230300000756</t>
  </si>
  <si>
    <t>徐渡二级电站电动单梁起重机</t>
  </si>
  <si>
    <t>230500000017</t>
  </si>
  <si>
    <t>刷镀机</t>
  </si>
  <si>
    <t>230600000003</t>
  </si>
  <si>
    <t>携带型电焊机</t>
  </si>
  <si>
    <t>230600000214</t>
  </si>
  <si>
    <t>交流电焊机</t>
  </si>
  <si>
    <t>230600000215</t>
  </si>
  <si>
    <t>电焊机</t>
  </si>
  <si>
    <t>230600000216</t>
  </si>
  <si>
    <t>230700000151</t>
  </si>
  <si>
    <t>带锯</t>
  </si>
  <si>
    <t>230700000152</t>
  </si>
  <si>
    <t>充电式螺母破碎机</t>
  </si>
  <si>
    <t>230700000153</t>
  </si>
  <si>
    <t>液压弯曲机</t>
  </si>
  <si>
    <t>230700000154</t>
  </si>
  <si>
    <t>液压冲击钻</t>
  </si>
  <si>
    <t>230800000056</t>
  </si>
  <si>
    <t>潜水泵1</t>
  </si>
  <si>
    <t>230800000057</t>
  </si>
  <si>
    <t>潜水泵2</t>
  </si>
  <si>
    <t>230800000058</t>
  </si>
  <si>
    <t>潜水泵3</t>
  </si>
  <si>
    <t>230800000059</t>
  </si>
  <si>
    <t>齿轮泵</t>
  </si>
  <si>
    <t>230800000060</t>
  </si>
  <si>
    <t>潜水泵</t>
  </si>
  <si>
    <t>230800000305</t>
  </si>
  <si>
    <t>集水井排水系统</t>
  </si>
  <si>
    <t>239900000211</t>
  </si>
  <si>
    <t>239900000212</t>
  </si>
  <si>
    <t>高空作业车</t>
  </si>
  <si>
    <t>239900000213</t>
  </si>
  <si>
    <t>电锤</t>
  </si>
  <si>
    <t>239900000214</t>
  </si>
  <si>
    <t>239900000215</t>
  </si>
  <si>
    <t>剥线钳</t>
  </si>
  <si>
    <t>239900000216</t>
  </si>
  <si>
    <t>半导体剥离器</t>
  </si>
  <si>
    <t>239900000217</t>
  </si>
  <si>
    <t>绝缘线夹</t>
  </si>
  <si>
    <t>239900000218</t>
  </si>
  <si>
    <t>239900000219</t>
  </si>
  <si>
    <t>绝缘开线钳</t>
  </si>
  <si>
    <t>239900000220</t>
  </si>
  <si>
    <t>239900000221</t>
  </si>
  <si>
    <t>绝缘人字梯</t>
  </si>
  <si>
    <t>239900000222</t>
  </si>
  <si>
    <t>伸缩绝缘梯</t>
  </si>
  <si>
    <t>239900000223</t>
  </si>
  <si>
    <t>导线压接钳</t>
  </si>
  <si>
    <t>239900000224</t>
  </si>
  <si>
    <t>机械打孔机</t>
  </si>
  <si>
    <t>239900000225</t>
  </si>
  <si>
    <t>橡皮管</t>
  </si>
  <si>
    <t>239900000226</t>
  </si>
  <si>
    <t>跳线管</t>
  </si>
  <si>
    <t>239900000227</t>
  </si>
  <si>
    <t>绝缘毯</t>
  </si>
  <si>
    <t>239900000228</t>
  </si>
  <si>
    <t>239900000229</t>
  </si>
  <si>
    <t>绝缘毯夹</t>
  </si>
  <si>
    <t>239900000230</t>
  </si>
  <si>
    <t>棘轮切刀</t>
  </si>
  <si>
    <t>239900000231</t>
  </si>
  <si>
    <t>绝缘剥皮器</t>
  </si>
  <si>
    <t>239900000232</t>
  </si>
  <si>
    <t>剥皮工具刀片</t>
  </si>
  <si>
    <t>239900000233</t>
  </si>
  <si>
    <t>缆线标志印字机</t>
  </si>
  <si>
    <t>239900000234</t>
  </si>
  <si>
    <t>水泵</t>
  </si>
  <si>
    <t>239900000235</t>
  </si>
  <si>
    <t>液压冲孔机</t>
  </si>
  <si>
    <t>239900000236</t>
  </si>
  <si>
    <t>液压机</t>
  </si>
  <si>
    <t>239900000237</t>
  </si>
  <si>
    <t>239900000238</t>
  </si>
  <si>
    <t>239900000239</t>
  </si>
  <si>
    <t>239900000240</t>
  </si>
  <si>
    <t>239900000241</t>
  </si>
  <si>
    <t>锈蚀螺帽切除器</t>
  </si>
  <si>
    <t>239900000242</t>
  </si>
  <si>
    <t>油锯</t>
  </si>
  <si>
    <t>239900001416</t>
  </si>
  <si>
    <t>汽油机油锯（10台）</t>
  </si>
  <si>
    <t>239900001902</t>
  </si>
  <si>
    <t>电缆遥控液压开断器</t>
  </si>
  <si>
    <t>239900001903</t>
  </si>
  <si>
    <t>棘轮开线钳</t>
  </si>
  <si>
    <t>239900001904</t>
  </si>
  <si>
    <t>电缆电动锯弓HRB-1140</t>
  </si>
  <si>
    <t>239900001905</t>
  </si>
  <si>
    <t>充电式电动压钳</t>
  </si>
  <si>
    <t>239900001906</t>
  </si>
  <si>
    <t>高压液压泵</t>
  </si>
  <si>
    <t>239900001907</t>
  </si>
  <si>
    <t>239900001908</t>
  </si>
  <si>
    <t>239900001909</t>
  </si>
  <si>
    <t>汽油机绞磨</t>
  </si>
  <si>
    <t>239900001910</t>
  </si>
  <si>
    <t>主绝缘层倒角器</t>
  </si>
  <si>
    <t>239900001911</t>
  </si>
  <si>
    <t>冲击电锤</t>
  </si>
  <si>
    <t>239900001912</t>
  </si>
  <si>
    <t>液压压接钳</t>
  </si>
  <si>
    <t>239900001913</t>
  </si>
  <si>
    <t>钻铣床</t>
  </si>
  <si>
    <t>239900001914</t>
  </si>
  <si>
    <t>可调试绝缘剥线器</t>
  </si>
  <si>
    <t>239900001915</t>
  </si>
  <si>
    <t>油锯20寸福式华</t>
  </si>
  <si>
    <t>239900001916</t>
  </si>
  <si>
    <t>电缆倒角器</t>
  </si>
  <si>
    <t>239900001917</t>
  </si>
  <si>
    <t>239900001918</t>
  </si>
  <si>
    <t>电动液压泵</t>
  </si>
  <si>
    <t>239900001919</t>
  </si>
  <si>
    <t>239900001920</t>
  </si>
  <si>
    <t>239900001921</t>
  </si>
  <si>
    <t>239900001922</t>
  </si>
  <si>
    <t>真空滤油机</t>
  </si>
  <si>
    <t>239900001923</t>
  </si>
  <si>
    <t>工具包（内含改刀钳子等）1#</t>
  </si>
  <si>
    <t>239900001924</t>
  </si>
  <si>
    <t>工具包（内含改刀钳子等）2#</t>
  </si>
  <si>
    <t>239900001925</t>
  </si>
  <si>
    <t>工具包（内含改刀钳子等）3#</t>
  </si>
  <si>
    <t>239900001926</t>
  </si>
  <si>
    <t>工具包（内含改刀钳子等）4#</t>
  </si>
  <si>
    <t>239900001927</t>
  </si>
  <si>
    <t>工具包（内含改刀钳子等）5#</t>
  </si>
  <si>
    <t>239900001928</t>
  </si>
  <si>
    <t>工具包（内含改刀钳子等）6#</t>
  </si>
  <si>
    <t>239900001929</t>
  </si>
  <si>
    <t>工具包（内含改刀钳子等）7#</t>
  </si>
  <si>
    <t>239900001930</t>
  </si>
  <si>
    <t>工具包（内含改刀钳子等）8#</t>
  </si>
  <si>
    <t>239900001931</t>
  </si>
  <si>
    <t>工具包（内含改刀钳子等）9#</t>
  </si>
  <si>
    <t>239900001932</t>
  </si>
  <si>
    <t>工具包（内含改刀钳子等）10#</t>
  </si>
  <si>
    <t>239900001933</t>
  </si>
  <si>
    <t>工具包（内含改刀钳子等）11#</t>
  </si>
  <si>
    <t>239900001934</t>
  </si>
  <si>
    <t>工具包（内含改刀钳子等）12#</t>
  </si>
  <si>
    <t>239900001935</t>
  </si>
  <si>
    <t>工具包（内含改刀钳子等）13#</t>
  </si>
  <si>
    <t>239900001936</t>
  </si>
  <si>
    <t>工具包（内含改刀钳子等）14#</t>
  </si>
  <si>
    <t>239900001937</t>
  </si>
  <si>
    <t>工具包（内含改刀钳子等）15#</t>
  </si>
  <si>
    <t>239900001938</t>
  </si>
  <si>
    <t>工具包（内含改刀钳子等）16#</t>
  </si>
  <si>
    <t>239900001939</t>
  </si>
  <si>
    <t>工具包（内含改刀钳子等）17#</t>
  </si>
  <si>
    <t>239900001940</t>
  </si>
  <si>
    <t>工具包（内含改刀钳子等）18#</t>
  </si>
  <si>
    <t>239900001941</t>
  </si>
  <si>
    <t>工具包（内含改刀钳子等）19#</t>
  </si>
  <si>
    <t>239900001942</t>
  </si>
  <si>
    <t>工具包（内含改刀钳子等）20#</t>
  </si>
  <si>
    <t>240000002348</t>
  </si>
  <si>
    <t>生产管理用工器具</t>
  </si>
  <si>
    <t>发电机</t>
  </si>
  <si>
    <t>240000002349</t>
  </si>
  <si>
    <t>240000002350</t>
  </si>
  <si>
    <t>高压直流发生器</t>
  </si>
  <si>
    <t>240000002351</t>
  </si>
  <si>
    <t>大型升降式照明装置(带发电机)</t>
  </si>
  <si>
    <t>240000002352</t>
  </si>
  <si>
    <t>240000002353</t>
  </si>
  <si>
    <t>240000002354</t>
  </si>
  <si>
    <t>数字式多功能电缆探测鉴别仪</t>
  </si>
  <si>
    <t>240000002355</t>
  </si>
  <si>
    <t>240000002356</t>
  </si>
  <si>
    <t>铝合金爬杆</t>
  </si>
  <si>
    <t>240000002357</t>
  </si>
  <si>
    <t>240000002358</t>
  </si>
  <si>
    <t>240000002359</t>
  </si>
  <si>
    <t>240000002360</t>
  </si>
  <si>
    <t>液压弯排机</t>
  </si>
  <si>
    <t>240000002361</t>
  </si>
  <si>
    <t>电动工具</t>
  </si>
  <si>
    <t>240000002362</t>
  </si>
  <si>
    <t>240000002363</t>
  </si>
  <si>
    <t>链条葫芦</t>
  </si>
  <si>
    <t>240000002364</t>
  </si>
  <si>
    <t>剪草机</t>
  </si>
  <si>
    <t>240000002365</t>
  </si>
  <si>
    <t>电度表测试仪</t>
  </si>
  <si>
    <t>240000002366</t>
  </si>
  <si>
    <t>载频选频表</t>
  </si>
  <si>
    <t>240000002367</t>
  </si>
  <si>
    <t>振荡仪</t>
  </si>
  <si>
    <t>240000002368</t>
  </si>
  <si>
    <t>分离式导线压钳</t>
  </si>
  <si>
    <t>240000002369</t>
  </si>
  <si>
    <t>行车</t>
  </si>
  <si>
    <t>240000002370</t>
  </si>
  <si>
    <t>电动葫芦</t>
  </si>
  <si>
    <t>240000002375</t>
  </si>
  <si>
    <t>240000002376</t>
  </si>
  <si>
    <t>240000002377</t>
  </si>
  <si>
    <t>绝缘滑车</t>
  </si>
  <si>
    <t>240000002378</t>
  </si>
  <si>
    <t>240000002379</t>
  </si>
  <si>
    <t>240000002380</t>
  </si>
  <si>
    <t>240000002381</t>
  </si>
  <si>
    <t>240000002382</t>
  </si>
  <si>
    <t>240000002383</t>
  </si>
  <si>
    <t>240000002384</t>
  </si>
  <si>
    <t>240000002385</t>
  </si>
  <si>
    <t>绝缘线剥线器</t>
  </si>
  <si>
    <t>240000002386</t>
  </si>
  <si>
    <t>240000002387</t>
  </si>
  <si>
    <t>高压测距杆</t>
  </si>
  <si>
    <t>240000002388</t>
  </si>
  <si>
    <t>240000002390</t>
  </si>
  <si>
    <t>240000002391</t>
  </si>
  <si>
    <t>特殊大刀卡</t>
  </si>
  <si>
    <t>240000002392</t>
  </si>
  <si>
    <t>斜卡</t>
  </si>
  <si>
    <t>240000002393</t>
  </si>
  <si>
    <t>多功能紧线器</t>
  </si>
  <si>
    <t>240000002394</t>
  </si>
  <si>
    <t>闭式卡</t>
  </si>
  <si>
    <t>240000002395</t>
  </si>
  <si>
    <t>炊事拖车</t>
  </si>
  <si>
    <t>240000002396</t>
  </si>
  <si>
    <t>电熔器箱</t>
  </si>
  <si>
    <t>240000002397</t>
  </si>
  <si>
    <t>美的空调</t>
  </si>
  <si>
    <t>240000002403</t>
  </si>
  <si>
    <t>软件扩容</t>
  </si>
  <si>
    <t>240000002404</t>
  </si>
  <si>
    <t>240000002405</t>
  </si>
  <si>
    <t>空调</t>
  </si>
  <si>
    <t>240000002406</t>
  </si>
  <si>
    <t>数码相机</t>
  </si>
  <si>
    <t>240000002407</t>
  </si>
  <si>
    <t>全方位多功能工作灯</t>
  </si>
  <si>
    <t>240000002408</t>
  </si>
  <si>
    <t>240000002409</t>
  </si>
  <si>
    <t>电动冲击板手</t>
  </si>
  <si>
    <t>240000002410</t>
  </si>
  <si>
    <t>240000002411</t>
  </si>
  <si>
    <t>240000002412</t>
  </si>
  <si>
    <t>240000002413</t>
  </si>
  <si>
    <t>240000002414</t>
  </si>
  <si>
    <t>点钞机</t>
  </si>
  <si>
    <t>240000002415</t>
  </si>
  <si>
    <t>240000002416</t>
  </si>
  <si>
    <t>240000002417</t>
  </si>
  <si>
    <t>240000002418</t>
  </si>
  <si>
    <t>240000002419</t>
  </si>
  <si>
    <t>电冰箱</t>
  </si>
  <si>
    <t>240000002421</t>
  </si>
  <si>
    <t>投光灯</t>
  </si>
  <si>
    <t>240000002422</t>
  </si>
  <si>
    <t>自助服务打印机</t>
  </si>
  <si>
    <t>240000002423</t>
  </si>
  <si>
    <t>路由器</t>
  </si>
  <si>
    <t>240000002424</t>
  </si>
  <si>
    <t>240000002425</t>
  </si>
  <si>
    <t>240000002426</t>
  </si>
  <si>
    <t>240000002427</t>
  </si>
  <si>
    <t>塔斯望远镜</t>
  </si>
  <si>
    <t>240000002428</t>
  </si>
  <si>
    <t>熊猫望远镜</t>
  </si>
  <si>
    <t>240000002429</t>
  </si>
  <si>
    <t>屏蔽服</t>
  </si>
  <si>
    <t>240000002430</t>
  </si>
  <si>
    <t>绝缘测距杆</t>
  </si>
  <si>
    <t>240000002431</t>
  </si>
  <si>
    <t>240000002432</t>
  </si>
  <si>
    <t>240000002433</t>
  </si>
  <si>
    <t>240000002434</t>
  </si>
  <si>
    <t>240000002435</t>
  </si>
  <si>
    <t>240000002436</t>
  </si>
  <si>
    <t>240000002437</t>
  </si>
  <si>
    <t>240000002438</t>
  </si>
  <si>
    <t>UPS不间断电源</t>
  </si>
  <si>
    <t>240000002439</t>
  </si>
  <si>
    <t>240000002440</t>
  </si>
  <si>
    <t>240000002441</t>
  </si>
  <si>
    <t>240000002442</t>
  </si>
  <si>
    <t>240000002443</t>
  </si>
  <si>
    <t>240000002444</t>
  </si>
  <si>
    <t>240000002445</t>
  </si>
  <si>
    <t>240000002446</t>
  </si>
  <si>
    <t>相机</t>
  </si>
  <si>
    <t>240000002447</t>
  </si>
  <si>
    <t>方位灯</t>
  </si>
  <si>
    <t>240000002448</t>
  </si>
  <si>
    <t>工作灯</t>
  </si>
  <si>
    <t>240000002449</t>
  </si>
  <si>
    <t>240000002450</t>
  </si>
  <si>
    <t>服务器</t>
  </si>
  <si>
    <t>240000002451</t>
  </si>
  <si>
    <t>240000002452</t>
  </si>
  <si>
    <t>240000002453</t>
  </si>
  <si>
    <t>240000002454</t>
  </si>
  <si>
    <t>240000002455</t>
  </si>
  <si>
    <t>240000002456</t>
  </si>
  <si>
    <t>长虹柜式空调</t>
  </si>
  <si>
    <t>240000002457</t>
  </si>
  <si>
    <t>长虹挂机空调</t>
  </si>
  <si>
    <t>240000002458</t>
  </si>
  <si>
    <t>240000002459</t>
  </si>
  <si>
    <t>240000002460</t>
  </si>
  <si>
    <t>240000002461</t>
  </si>
  <si>
    <t>240000002462</t>
  </si>
  <si>
    <t>240000002463</t>
  </si>
  <si>
    <t>240000002464</t>
  </si>
  <si>
    <t>240000002465</t>
  </si>
  <si>
    <t>路步机</t>
  </si>
  <si>
    <t>240000002466</t>
  </si>
  <si>
    <t>240000002467</t>
  </si>
  <si>
    <t>240000002468</t>
  </si>
  <si>
    <t>240000002469</t>
  </si>
  <si>
    <t>240000002470</t>
  </si>
  <si>
    <t>绞磨</t>
  </si>
  <si>
    <t>240000002471</t>
  </si>
  <si>
    <t>240000002472</t>
  </si>
  <si>
    <t>240000002473</t>
  </si>
  <si>
    <t>电视机</t>
  </si>
  <si>
    <t>240000002474</t>
  </si>
  <si>
    <t>240000002475</t>
  </si>
  <si>
    <t>240000002476</t>
  </si>
  <si>
    <t>淋浴器</t>
  </si>
  <si>
    <t>240000002477</t>
  </si>
  <si>
    <t>240000002478</t>
  </si>
  <si>
    <t>240000002479</t>
  </si>
  <si>
    <t>240000002480</t>
  </si>
  <si>
    <t>240000002482</t>
  </si>
  <si>
    <t>240000002483</t>
  </si>
  <si>
    <t>240000002484</t>
  </si>
  <si>
    <t>240000002485</t>
  </si>
  <si>
    <t>240000002487</t>
  </si>
  <si>
    <t>240000002488</t>
  </si>
  <si>
    <t>240000002489</t>
  </si>
  <si>
    <t>240000002490</t>
  </si>
  <si>
    <t>240000002491</t>
  </si>
  <si>
    <t>打孔机</t>
  </si>
  <si>
    <t>240000002492</t>
  </si>
  <si>
    <t>240000002493</t>
  </si>
  <si>
    <t>240000002494</t>
  </si>
  <si>
    <t>240000002495</t>
  </si>
  <si>
    <t>钳型电流表</t>
  </si>
  <si>
    <t>240000002496</t>
  </si>
  <si>
    <t>240000002497</t>
  </si>
  <si>
    <t>240000002498</t>
  </si>
  <si>
    <t>240000002499</t>
  </si>
  <si>
    <t>240000002500</t>
  </si>
  <si>
    <t>计量外校仪</t>
  </si>
  <si>
    <t>240000002501</t>
  </si>
  <si>
    <t>机械冲孔机</t>
  </si>
  <si>
    <t>240000002502</t>
  </si>
  <si>
    <t>240000002503</t>
  </si>
  <si>
    <t>240000002504</t>
  </si>
  <si>
    <t>240000002505</t>
  </si>
  <si>
    <t>240000002506</t>
  </si>
  <si>
    <t>240000002507</t>
  </si>
  <si>
    <t>240000002508</t>
  </si>
  <si>
    <t>240000002509</t>
  </si>
  <si>
    <t>摄像机</t>
  </si>
  <si>
    <t>240000002510</t>
  </si>
  <si>
    <t>240000002511</t>
  </si>
  <si>
    <t>240000002512</t>
  </si>
  <si>
    <t>240000002513</t>
  </si>
  <si>
    <t>240000002514</t>
  </si>
  <si>
    <t>240000002515</t>
  </si>
  <si>
    <t>240000002516</t>
  </si>
  <si>
    <t>240000002517</t>
  </si>
  <si>
    <t>240000002518</t>
  </si>
  <si>
    <t>240000002519</t>
  </si>
  <si>
    <t>240000002520</t>
  </si>
  <si>
    <t>排队系统</t>
  </si>
  <si>
    <t>240000002521</t>
  </si>
  <si>
    <t>240000002522</t>
  </si>
  <si>
    <t>240000002523</t>
  </si>
  <si>
    <t>表库无线条码阅读器、接收器</t>
  </si>
  <si>
    <t>240000009336</t>
  </si>
  <si>
    <t>绝缘服</t>
  </si>
  <si>
    <t>240000009337</t>
  </si>
  <si>
    <t>240000009338</t>
  </si>
  <si>
    <t>绝缘袖套</t>
  </si>
  <si>
    <t>240000009339</t>
  </si>
  <si>
    <t>电杆罩</t>
  </si>
  <si>
    <t>240000009340</t>
  </si>
  <si>
    <t>绝缘跳线</t>
  </si>
  <si>
    <t>240000009341</t>
  </si>
  <si>
    <t>棘轮式电缆切刀</t>
  </si>
  <si>
    <t>240000009342</t>
  </si>
  <si>
    <t>刀具,削皮刀</t>
  </si>
  <si>
    <t>240000009343</t>
  </si>
  <si>
    <t>绝缘紧线器</t>
  </si>
  <si>
    <t>240000009344</t>
  </si>
  <si>
    <t>10KV预绞式金具,紧线夹具</t>
  </si>
  <si>
    <t>240000009345</t>
  </si>
  <si>
    <t>日本ZUME液压钳</t>
  </si>
  <si>
    <t>240000009346</t>
  </si>
  <si>
    <t>导线遮蔽罩</t>
  </si>
  <si>
    <t>240000009347</t>
  </si>
  <si>
    <t>240000009568</t>
  </si>
  <si>
    <t>华菱空调</t>
  </si>
  <si>
    <t>240000014338</t>
  </si>
  <si>
    <t>240000016888</t>
  </si>
  <si>
    <t>240000016889</t>
  </si>
  <si>
    <t>240000017174</t>
  </si>
  <si>
    <t>验钞机</t>
  </si>
  <si>
    <t>240000017175</t>
  </si>
  <si>
    <t>240000017176</t>
  </si>
  <si>
    <t>240000017177</t>
  </si>
  <si>
    <t>240000017178</t>
  </si>
  <si>
    <t>240000017179</t>
  </si>
  <si>
    <t>240000017180</t>
  </si>
  <si>
    <t>240000017181</t>
  </si>
  <si>
    <t>240000017182</t>
  </si>
  <si>
    <t>240000017183</t>
  </si>
  <si>
    <t>240000017187</t>
  </si>
  <si>
    <t>复印机（2台）</t>
  </si>
  <si>
    <t>240000017188</t>
  </si>
  <si>
    <t>空调（3台）</t>
  </si>
  <si>
    <t>240000017189</t>
  </si>
  <si>
    <t>数码摄像机（4台）</t>
  </si>
  <si>
    <t>240000017190</t>
  </si>
  <si>
    <t>壁挂式空调(1.5P，3台)</t>
  </si>
  <si>
    <t>240000017427</t>
  </si>
  <si>
    <t>A4激光传真一体机</t>
  </si>
  <si>
    <t>240000018077</t>
  </si>
  <si>
    <t>中兴自助缴费终端</t>
  </si>
  <si>
    <t>240000018078</t>
  </si>
  <si>
    <t>天马自助缴费终端</t>
  </si>
  <si>
    <t>240000019383</t>
  </si>
  <si>
    <t>4门冰柜</t>
  </si>
  <si>
    <t>240000019832</t>
  </si>
  <si>
    <t>主控室空调1#</t>
  </si>
  <si>
    <t>240000019833</t>
  </si>
  <si>
    <t>主控室空调2#</t>
  </si>
  <si>
    <t>240000019834</t>
  </si>
  <si>
    <t>主控室空调3#</t>
  </si>
  <si>
    <t>240000019835</t>
  </si>
  <si>
    <t>主控室空调4#</t>
  </si>
  <si>
    <t>240000019836</t>
  </si>
  <si>
    <t>主控室空调5#</t>
  </si>
  <si>
    <t>240000019837</t>
  </si>
  <si>
    <t>主控室空调6#</t>
  </si>
  <si>
    <t>240000019838</t>
  </si>
  <si>
    <t>保卫室空调</t>
  </si>
  <si>
    <t>240000019839</t>
  </si>
  <si>
    <t>资料室空调</t>
  </si>
  <si>
    <t>240000021267</t>
  </si>
  <si>
    <t>投影仪1#</t>
  </si>
  <si>
    <t>240000021268</t>
  </si>
  <si>
    <t>投影仪2#</t>
  </si>
  <si>
    <t>240000021269</t>
  </si>
  <si>
    <t>照相机1#</t>
  </si>
  <si>
    <t>240000021270</t>
  </si>
  <si>
    <t>照相机2#</t>
  </si>
  <si>
    <t>240000021271</t>
  </si>
  <si>
    <t>照相机3#</t>
  </si>
  <si>
    <t>240000021272</t>
  </si>
  <si>
    <t>照相机4#</t>
  </si>
  <si>
    <t>240000021273</t>
  </si>
  <si>
    <t>摄影机</t>
  </si>
  <si>
    <t>240000021274</t>
  </si>
  <si>
    <t>打印机1#</t>
  </si>
  <si>
    <t>240000021275</t>
  </si>
  <si>
    <t>打印机2#</t>
  </si>
  <si>
    <t>240000021276</t>
  </si>
  <si>
    <t>打印机3#</t>
  </si>
  <si>
    <t>240000021277</t>
  </si>
  <si>
    <t>打印机4#</t>
  </si>
  <si>
    <t>240000022708</t>
  </si>
  <si>
    <t>单相表周转箱（768个）</t>
  </si>
  <si>
    <t>240000022709</t>
  </si>
  <si>
    <t>三相表周转箱（192个）</t>
  </si>
  <si>
    <t>240000022710</t>
  </si>
  <si>
    <t>互感器周转箱（192个）</t>
  </si>
  <si>
    <t>240000022711</t>
  </si>
  <si>
    <t>流利货架（6套）</t>
  </si>
  <si>
    <t>240000024359</t>
  </si>
  <si>
    <t>领用液压碳铅三角架意美捷7080#</t>
  </si>
  <si>
    <t>240000024360</t>
  </si>
  <si>
    <t>领用电池</t>
  </si>
  <si>
    <t>240000024361</t>
  </si>
  <si>
    <t>领用采访摄灯</t>
  </si>
  <si>
    <t>240000024362</t>
  </si>
  <si>
    <t>领用尼康镜头</t>
  </si>
  <si>
    <t>240000024363</t>
  </si>
  <si>
    <t>领用等离子电视(视频会议用)</t>
  </si>
  <si>
    <t>240000024364</t>
  </si>
  <si>
    <t>展示架</t>
  </si>
  <si>
    <t>240000024365</t>
  </si>
  <si>
    <t>HPP3005D双面打印机</t>
  </si>
  <si>
    <t>240000024366</t>
  </si>
  <si>
    <t>美制液压表</t>
  </si>
  <si>
    <t>240000024367</t>
  </si>
  <si>
    <t>索尼T2相机</t>
  </si>
  <si>
    <t>240000024368</t>
  </si>
  <si>
    <t>双面复印器</t>
  </si>
  <si>
    <t>240000024369</t>
  </si>
  <si>
    <t>PT-2700标签机</t>
  </si>
  <si>
    <t>240000024370</t>
  </si>
  <si>
    <t>MB-778松下传真机</t>
  </si>
  <si>
    <t>240000024371</t>
  </si>
  <si>
    <t>美的5P柜机空调</t>
  </si>
  <si>
    <t>240000024372</t>
  </si>
  <si>
    <t>双面输稿器</t>
  </si>
  <si>
    <t>240000024373</t>
  </si>
  <si>
    <t>AR-316L夏普数码复印机</t>
  </si>
  <si>
    <t>240000024374</t>
  </si>
  <si>
    <t>外北街收费点110联动报警系统费用</t>
  </si>
  <si>
    <t>240000024375</t>
  </si>
  <si>
    <t>240000024376</t>
  </si>
  <si>
    <t>双面送稿器</t>
  </si>
  <si>
    <t>240000024377</t>
  </si>
  <si>
    <t>直径13，50A台钻</t>
  </si>
  <si>
    <t>240000024378</t>
  </si>
  <si>
    <t>KFR-T2LW/E型号空调</t>
  </si>
  <si>
    <t>240000024379</t>
  </si>
  <si>
    <t>牧田高速带锯</t>
  </si>
  <si>
    <t>240000024380</t>
  </si>
  <si>
    <t>240000024381</t>
  </si>
  <si>
    <t>美的空调R-51LW1DY-S3</t>
  </si>
  <si>
    <t>240000024382</t>
  </si>
  <si>
    <t>LT1020音响</t>
  </si>
  <si>
    <t>240000024383</t>
  </si>
  <si>
    <t>240000024384</t>
  </si>
  <si>
    <t>80A2*40A2*30A户外移动配电箱</t>
  </si>
  <si>
    <t>240000024385</t>
  </si>
  <si>
    <t>2-26博士电锤</t>
  </si>
  <si>
    <t>240000024386</t>
  </si>
  <si>
    <t>CSA-5601M主机</t>
  </si>
  <si>
    <t>240000024387</t>
  </si>
  <si>
    <t>4105A接地电阻仪</t>
  </si>
  <si>
    <t>240000024388</t>
  </si>
  <si>
    <t>LT200功放</t>
  </si>
  <si>
    <t>240000024389</t>
  </si>
  <si>
    <t>240000024390</t>
  </si>
  <si>
    <t>613传真机</t>
  </si>
  <si>
    <t>240000024391</t>
  </si>
  <si>
    <t>望远镜95军用熊猫</t>
  </si>
  <si>
    <t>240000024392</t>
  </si>
  <si>
    <t>投影机</t>
  </si>
  <si>
    <t>240000024393</t>
  </si>
  <si>
    <t>240000024394</t>
  </si>
  <si>
    <t>HP3050一体机</t>
  </si>
  <si>
    <t>240000024395</t>
  </si>
  <si>
    <t>SR85E#SONY摄像机</t>
  </si>
  <si>
    <t>240000024396</t>
  </si>
  <si>
    <t>佳能2116复印机</t>
  </si>
  <si>
    <t>240000024397</t>
  </si>
  <si>
    <t>DF-605#输稿器</t>
  </si>
  <si>
    <t>240000024398</t>
  </si>
  <si>
    <t>A238#投影机支架升降机</t>
  </si>
  <si>
    <t>240000024399</t>
  </si>
  <si>
    <t>奥林巴斯自动相机</t>
  </si>
  <si>
    <t>240000024400</t>
  </si>
  <si>
    <t>铝合金滑轮组/3吨走三</t>
  </si>
  <si>
    <t>240000024401</t>
  </si>
  <si>
    <t>进口高技链锯</t>
  </si>
  <si>
    <t>240000024402</t>
  </si>
  <si>
    <t>移频器</t>
  </si>
  <si>
    <t>240000024403</t>
  </si>
  <si>
    <t>摄象机</t>
  </si>
  <si>
    <t>240000024404</t>
  </si>
  <si>
    <t>三洋8860C投影机</t>
  </si>
  <si>
    <t>240000024405</t>
  </si>
  <si>
    <t>红外成像仪HY-G-90</t>
  </si>
  <si>
    <t>240000024406</t>
  </si>
  <si>
    <t>SOYH9相机</t>
  </si>
  <si>
    <t>240000024407</t>
  </si>
  <si>
    <t>进口手动液压剪</t>
  </si>
  <si>
    <t>240000024408</t>
  </si>
  <si>
    <t>会议系统配置QX-1035功放</t>
  </si>
  <si>
    <t>240000024409</t>
  </si>
  <si>
    <t>抄表仪器1</t>
  </si>
  <si>
    <t>240000024410</t>
  </si>
  <si>
    <t>HT-2600点钞机1</t>
  </si>
  <si>
    <t>240000024411</t>
  </si>
  <si>
    <t>山特C6KVSA#UPS电源</t>
  </si>
  <si>
    <t>240000024412</t>
  </si>
  <si>
    <t>万能夹头SP-2000CL</t>
  </si>
  <si>
    <t>240000024413</t>
  </si>
  <si>
    <t>手USF128手持话筒</t>
  </si>
  <si>
    <t>240000024414</t>
  </si>
  <si>
    <t>外北街收费厅配置视频监控系统(摄象机及配件)</t>
  </si>
  <si>
    <t>240000024415</t>
  </si>
  <si>
    <t>BD-700电话耦合器</t>
  </si>
  <si>
    <t>240000024416</t>
  </si>
  <si>
    <t>240000024417</t>
  </si>
  <si>
    <t>进口电动搬手</t>
  </si>
  <si>
    <t>240000024418</t>
  </si>
  <si>
    <t>中文打字机</t>
  </si>
  <si>
    <t>240000024419</t>
  </si>
  <si>
    <t>USF228领夹</t>
  </si>
  <si>
    <t>240000024420</t>
  </si>
  <si>
    <t>红外成像仪</t>
  </si>
  <si>
    <t>240000024421</t>
  </si>
  <si>
    <t>三洋XW7000C#投影仪</t>
  </si>
  <si>
    <t>240000024422</t>
  </si>
  <si>
    <t>液压打孔机</t>
  </si>
  <si>
    <t>240000024423</t>
  </si>
  <si>
    <t>干式试验变压器</t>
  </si>
  <si>
    <t>240000024424</t>
  </si>
  <si>
    <t>日本SHW190#进口发电焊机</t>
  </si>
  <si>
    <t>240000024425</t>
  </si>
  <si>
    <t>美的2P柜机空调</t>
  </si>
  <si>
    <t>240000024426</t>
  </si>
  <si>
    <t>美的3P柜机空调</t>
  </si>
  <si>
    <t>240000024427</t>
  </si>
  <si>
    <t>240000024428</t>
  </si>
  <si>
    <t>手枪电钻进口</t>
  </si>
  <si>
    <t>240000024429</t>
  </si>
  <si>
    <t>绝缘伸缩拉梯</t>
  </si>
  <si>
    <t>240000024430</t>
  </si>
  <si>
    <t>XW1000C投影机(千家湾培训中心刘丽娜)</t>
  </si>
  <si>
    <t>240000024431</t>
  </si>
  <si>
    <t>240000024432</t>
  </si>
  <si>
    <t>240000024433</t>
  </si>
  <si>
    <t>美能达数码复印机</t>
  </si>
  <si>
    <t>240000024434</t>
  </si>
  <si>
    <t>购220#数码复印机</t>
  </si>
  <si>
    <t>240000024435</t>
  </si>
  <si>
    <t>V-500会议音箱</t>
  </si>
  <si>
    <t>240000024436</t>
  </si>
  <si>
    <t>营销用配电台区识别仪</t>
  </si>
  <si>
    <t>240000024437</t>
  </si>
  <si>
    <t>投影仪PLC-XW300C</t>
  </si>
  <si>
    <t>240000024438</t>
  </si>
  <si>
    <t>尼康相机 D90</t>
  </si>
  <si>
    <t>240000024439</t>
  </si>
  <si>
    <t>佳能相机  IXUS130</t>
  </si>
  <si>
    <t>240000024440</t>
  </si>
  <si>
    <t>索尼相机A450</t>
  </si>
  <si>
    <t>240000024441</t>
  </si>
  <si>
    <t>幕布84#</t>
  </si>
  <si>
    <t>240000024442</t>
  </si>
  <si>
    <t>中央空调系统</t>
  </si>
  <si>
    <t>240000024443</t>
  </si>
  <si>
    <t>安全工器柜2000*1100*600</t>
  </si>
  <si>
    <t>240000024444</t>
  </si>
  <si>
    <t>佳能数码摄像机1</t>
  </si>
  <si>
    <t>240000024445</t>
  </si>
  <si>
    <t>佳能数码摄相机2</t>
  </si>
  <si>
    <t>240000024446</t>
  </si>
  <si>
    <t>佳能数码摄像机3</t>
  </si>
  <si>
    <t>240000024447</t>
  </si>
  <si>
    <t>佳能数码摄像机4</t>
  </si>
  <si>
    <t>240000024448</t>
  </si>
  <si>
    <t>佳能数码摄像机5</t>
  </si>
  <si>
    <t>240000024449</t>
  </si>
  <si>
    <t>佳能数码摄像机6</t>
  </si>
  <si>
    <t>240000024450</t>
  </si>
  <si>
    <t>复印机2420</t>
  </si>
  <si>
    <t>240000024451</t>
  </si>
  <si>
    <t>打印机HPCP1025</t>
  </si>
  <si>
    <t>240000024452</t>
  </si>
  <si>
    <t>打印机HP--5225</t>
  </si>
  <si>
    <t>240000024453</t>
  </si>
  <si>
    <t>打印机HP--5200LX</t>
  </si>
  <si>
    <t>240000024454</t>
  </si>
  <si>
    <t>复印机-夏普2008d</t>
  </si>
  <si>
    <t>240000024455</t>
  </si>
  <si>
    <t>DELL电脑V260r-388</t>
  </si>
  <si>
    <t>240000024456</t>
  </si>
  <si>
    <t>业扩查勘PDA-P6800</t>
  </si>
  <si>
    <t>240000024457</t>
  </si>
  <si>
    <t>用电检查工器具</t>
  </si>
  <si>
    <t>240000024458</t>
  </si>
  <si>
    <t>240000024459</t>
  </si>
  <si>
    <t>240000024460</t>
  </si>
  <si>
    <t>240000024461</t>
  </si>
  <si>
    <t>240000024462</t>
  </si>
  <si>
    <t>240000024463</t>
  </si>
  <si>
    <t>240000024464</t>
  </si>
  <si>
    <t>240000024465</t>
  </si>
  <si>
    <t>240000024466</t>
  </si>
  <si>
    <t>240000024467</t>
  </si>
  <si>
    <t>240000024468</t>
  </si>
  <si>
    <t>240000024469</t>
  </si>
  <si>
    <t>240000024470</t>
  </si>
  <si>
    <t>240000024471</t>
  </si>
  <si>
    <t>240000024472</t>
  </si>
  <si>
    <t>240000024473</t>
  </si>
  <si>
    <t>240000024474</t>
  </si>
  <si>
    <t>240000024475</t>
  </si>
  <si>
    <t>HT-2600点钞机2</t>
  </si>
  <si>
    <t>240000024476</t>
  </si>
  <si>
    <t>HT-2600点钞机3</t>
  </si>
  <si>
    <t>240000024477</t>
  </si>
  <si>
    <t>HT-2600点钞机4</t>
  </si>
  <si>
    <t>240000024478</t>
  </si>
  <si>
    <t>HT-2600点钞机5</t>
  </si>
  <si>
    <t>240000024479</t>
  </si>
  <si>
    <t>HT-2600点钞机6</t>
  </si>
  <si>
    <t>240000024480</t>
  </si>
  <si>
    <t>HT-2600点钞机7</t>
  </si>
  <si>
    <t>240000024481</t>
  </si>
  <si>
    <t>格力空调7053A1(D型)</t>
  </si>
  <si>
    <t>240000024482</t>
  </si>
  <si>
    <t>格力空调(72D3L1)A-SN5</t>
  </si>
  <si>
    <t>240000024483</t>
  </si>
  <si>
    <t>格力空调KFR-72LW/E1</t>
  </si>
  <si>
    <t>240000024484</t>
  </si>
  <si>
    <t>美的空调KFR-72LW/DY-GA(F5)</t>
  </si>
  <si>
    <t>240000024485</t>
  </si>
  <si>
    <t>240000024486</t>
  </si>
  <si>
    <t>海尔空调KFR-70LW/E1</t>
  </si>
  <si>
    <t>240000024487</t>
  </si>
  <si>
    <t>美的空调KFR-72L</t>
  </si>
  <si>
    <t>240000024488</t>
  </si>
  <si>
    <t>美的空调KFR-72LW/DY-H(F5)</t>
  </si>
  <si>
    <t>240000024489</t>
  </si>
  <si>
    <t>华凌空调3P柜机空调72LW/HV9S小鱼洞变电站</t>
  </si>
  <si>
    <t>240000024490</t>
  </si>
  <si>
    <t>数字式摄像机（6台）</t>
  </si>
  <si>
    <t>240000024491</t>
  </si>
  <si>
    <t>自动装订机</t>
  </si>
  <si>
    <t>240000024492</t>
  </si>
  <si>
    <t>扫描仪（3台）</t>
  </si>
  <si>
    <t>240000024493</t>
  </si>
  <si>
    <t>普通打印机、彩色打印机（A3）（18台）</t>
  </si>
  <si>
    <t>240000024494</t>
  </si>
  <si>
    <t>台区识别仪</t>
  </si>
  <si>
    <t>240000024495</t>
  </si>
  <si>
    <t>排队机</t>
  </si>
  <si>
    <t>240000024496</t>
  </si>
  <si>
    <t>240000024497</t>
  </si>
  <si>
    <t>240000024498</t>
  </si>
  <si>
    <t>立式空调(3P)1</t>
  </si>
  <si>
    <t>240000024499</t>
  </si>
  <si>
    <t>立式空调(3P)2</t>
  </si>
  <si>
    <t>240000024500</t>
  </si>
  <si>
    <t>立式空调(3P)3</t>
  </si>
  <si>
    <t>240000024501</t>
  </si>
  <si>
    <t>立式空调(3P)4</t>
  </si>
  <si>
    <t>240000024502</t>
  </si>
  <si>
    <t>数码照相机1#</t>
  </si>
  <si>
    <t>240000024503</t>
  </si>
  <si>
    <t>数码照相机2#</t>
  </si>
  <si>
    <t>240000024504</t>
  </si>
  <si>
    <t>数码照相机3#</t>
  </si>
  <si>
    <t>240000024505</t>
  </si>
  <si>
    <t>数码照相机4#</t>
  </si>
  <si>
    <t>240000024506</t>
  </si>
  <si>
    <t>数码照相机5#</t>
  </si>
  <si>
    <t>240000024507</t>
  </si>
  <si>
    <t>240000024508</t>
  </si>
  <si>
    <t>乡镇供电所管理部 无线POS终端110台</t>
  </si>
  <si>
    <t>240000024509</t>
  </si>
  <si>
    <t>工程绘图仪</t>
  </si>
  <si>
    <t>240000024510</t>
  </si>
  <si>
    <t>春兰空调(带风幕)</t>
  </si>
  <si>
    <t>240000024511</t>
  </si>
  <si>
    <t>240000024512</t>
  </si>
  <si>
    <t>POS</t>
  </si>
  <si>
    <t>240000024513</t>
  </si>
  <si>
    <t>240000024514</t>
  </si>
  <si>
    <t>240000024515</t>
  </si>
  <si>
    <t>千家湾电站中控室美的柜式空调</t>
  </si>
  <si>
    <t>240000024516</t>
  </si>
  <si>
    <t>安龙电站中控室美的柜式空调</t>
  </si>
  <si>
    <t>240000024517</t>
  </si>
  <si>
    <t>元定桥电站中控室美的柜式空调</t>
  </si>
  <si>
    <t>240000024518</t>
  </si>
  <si>
    <t>万安电站中控室美的柜式空调</t>
  </si>
  <si>
    <t>240000039597</t>
  </si>
  <si>
    <t>相机S9200</t>
  </si>
  <si>
    <t>240000039598</t>
  </si>
  <si>
    <t>投影机日立1台</t>
  </si>
  <si>
    <t>240000039599</t>
  </si>
  <si>
    <t>照相机尼康S9200</t>
  </si>
  <si>
    <t>240000039600</t>
  </si>
  <si>
    <t>电子白板</t>
  </si>
  <si>
    <t>240000040472</t>
  </si>
  <si>
    <t>柜式空调</t>
  </si>
  <si>
    <t>240000040473</t>
  </si>
  <si>
    <t>条形扫描枪</t>
  </si>
  <si>
    <t>240000040514</t>
  </si>
  <si>
    <t>240000040541</t>
  </si>
  <si>
    <t>柜式空调1</t>
  </si>
  <si>
    <t>240000043291</t>
  </si>
  <si>
    <t>条码扫描枪（1台）</t>
  </si>
  <si>
    <t>240000043292</t>
  </si>
  <si>
    <t>240000043293</t>
  </si>
  <si>
    <t>240000043294</t>
  </si>
  <si>
    <t>240000047663</t>
  </si>
  <si>
    <t>240000047931</t>
  </si>
  <si>
    <t>110kV灌县变电站10kV高压室2号分体落地式房间空调器</t>
  </si>
  <si>
    <t>240000047932</t>
  </si>
  <si>
    <t>110kV灌县变电站35kV高压室1号分体落地式房间空调器</t>
  </si>
  <si>
    <t>240000047933</t>
  </si>
  <si>
    <t>110kV灌县变电站35kV高压室2号分体落地式房间空调器</t>
  </si>
  <si>
    <t>240000047934</t>
  </si>
  <si>
    <t>110kV蒲阳变电站10kV高压室1号分体落地式房间空调器</t>
  </si>
  <si>
    <t>240000047935</t>
  </si>
  <si>
    <t>110kV蒲阳变电站10kV高压室2号分体落地式房间空调器</t>
  </si>
  <si>
    <t>240000047936</t>
  </si>
  <si>
    <t>110kV蒲阳变电站35kV高压室1号分体落地式房间空调器</t>
  </si>
  <si>
    <t>240000047937</t>
  </si>
  <si>
    <t>110kV蒲阳变电站35kV高压室2号分体落地式房间空调器</t>
  </si>
  <si>
    <t>240000047938</t>
  </si>
  <si>
    <t>110kV胥家变电站胥家站10kV高压室1号分体落地式房间空调器</t>
  </si>
  <si>
    <t>240000047939</t>
  </si>
  <si>
    <t>110kV胥家变电站胥家站10kV高压室2号分体落地式房间空调器</t>
  </si>
  <si>
    <t>240000047940</t>
  </si>
  <si>
    <t>110kV胥家变电站胥家站35kV高压室1号分体落地式房间空调器</t>
  </si>
  <si>
    <t>240000047941</t>
  </si>
  <si>
    <t>110kV胥家变电站胥家站35kV高压室2号分体落地式房间空调器</t>
  </si>
  <si>
    <t>240000047942</t>
  </si>
  <si>
    <t>110kV彩虹变电站彩虹站10kV高压室1号分体落地式房间空调器</t>
  </si>
  <si>
    <t>240000047943</t>
  </si>
  <si>
    <t>110kV彩虹变电站彩虹站10kV高压室2号分体落地式房间空调器</t>
  </si>
  <si>
    <t>240000047944</t>
  </si>
  <si>
    <t>220kV驾青桥变电站10kV高压室1号分体落地式房间空调器</t>
  </si>
  <si>
    <t>240000047945</t>
  </si>
  <si>
    <t>220kV驾青桥变电站10kV高压室2号分体落地式房间空调器</t>
  </si>
  <si>
    <t>240000047946</t>
  </si>
  <si>
    <t>110kV金江变电站35kVⅠ段高压室1号分体落地式房间空调器</t>
  </si>
  <si>
    <t>240000047947</t>
  </si>
  <si>
    <t>110kV金江变电站35kVⅠ段高压室2号分体落地式房间空调器</t>
  </si>
  <si>
    <t>240000047948</t>
  </si>
  <si>
    <t>110kV金江变电站35kVⅡ段高压室1号分体落地式房间空调器</t>
  </si>
  <si>
    <t>240000047949</t>
  </si>
  <si>
    <t>110kV金江变电站35kVⅡ段高压室2号分体落地式房间空调器</t>
  </si>
  <si>
    <t>240000047950</t>
  </si>
  <si>
    <t>110kV金江变电站10kV高压室1号分体落地式房间空调器</t>
  </si>
  <si>
    <t>240000047951</t>
  </si>
  <si>
    <t>110kV金江变电站10kV高压室2号分体落地式房间空调器</t>
  </si>
  <si>
    <t>240000047952</t>
  </si>
  <si>
    <t>110kV沿江变电站10kV高压室1号分体落地式房间空调器</t>
  </si>
  <si>
    <t>240000047953</t>
  </si>
  <si>
    <t>110kV沿江变电站10kV高压室2号分体落地式房间空调器</t>
  </si>
  <si>
    <t>240000047954</t>
  </si>
  <si>
    <t>110kV青城山变电站10kV高压室1号分体落地式房间空调器</t>
  </si>
  <si>
    <t>240000047955</t>
  </si>
  <si>
    <t>110kV青城山变电站10kV高压室2号分体落地式房间空调器</t>
  </si>
  <si>
    <t>240000047956</t>
  </si>
  <si>
    <t>110kV青城山变电站35kV高压室1号分体落地式房间空调器</t>
  </si>
  <si>
    <t>240000047957</t>
  </si>
  <si>
    <t>110kV青城山变电站35kV高压室2号分体落地式房间空调器</t>
  </si>
  <si>
    <t>240000047958</t>
  </si>
  <si>
    <t>220kV聚源变电站10kV高压室1号分体落地式房间空调器</t>
  </si>
  <si>
    <t>240000047959</t>
  </si>
  <si>
    <t>220kV聚源变电站10kV高压室2号分体落地式房间空调器</t>
  </si>
  <si>
    <t>240000047960</t>
  </si>
  <si>
    <t>35kV天马变电站10kV高压室1号分体落地式房间空调器</t>
  </si>
  <si>
    <t>240000047961</t>
  </si>
  <si>
    <t>35kV天马变电站10kV高压室2号分体落地式房间空调器</t>
  </si>
  <si>
    <t>240000047962</t>
  </si>
  <si>
    <t>35kV天马变电站35kV高压室分体落地式房间空调器</t>
  </si>
  <si>
    <t>240000047963</t>
  </si>
  <si>
    <t>35kV青龙变电站10kV高压室分体落地式房间空调器</t>
  </si>
  <si>
    <t>240000047964</t>
  </si>
  <si>
    <t>35kV青龙变电站35kV高压室分体落地式房间空调器</t>
  </si>
  <si>
    <t>240000047965</t>
  </si>
  <si>
    <t>35kV河西变电站10kV高压室1号分体落地式房间空调器</t>
  </si>
  <si>
    <t>240000047966</t>
  </si>
  <si>
    <t>35kV河西变电站10kV高压室2号分体落地式房间空调器</t>
  </si>
  <si>
    <t>240000047967</t>
  </si>
  <si>
    <t>110kV灌县变电站10kV高压室1号分体落地式房间空调器</t>
  </si>
  <si>
    <t>240000047968</t>
  </si>
  <si>
    <t>信息机房5P柜式空调</t>
  </si>
  <si>
    <t>240000047969</t>
  </si>
  <si>
    <t>电源机房3P柜式空调</t>
  </si>
  <si>
    <t>240000047970</t>
  </si>
  <si>
    <t>6楼高清会议室42寸电视机</t>
  </si>
  <si>
    <t>240000048702</t>
  </si>
  <si>
    <t>九陇供电所发电机</t>
  </si>
  <si>
    <t>240000048703</t>
  </si>
  <si>
    <t>新兴供电所发电机</t>
  </si>
  <si>
    <t>240000048704</t>
  </si>
  <si>
    <t>中兴供电所发电机</t>
  </si>
  <si>
    <t>240000048705</t>
  </si>
  <si>
    <t>240000048706</t>
  </si>
  <si>
    <t>灌口供电所发电机</t>
  </si>
  <si>
    <t>250301000303</t>
  </si>
  <si>
    <t>运输设备</t>
  </si>
  <si>
    <t>2008年工具车（皮卡）川A28G57（生产用车）</t>
  </si>
  <si>
    <t>250301000306</t>
  </si>
  <si>
    <t>2008年工具车（皮卡）川A14E41（生产用车）</t>
  </si>
  <si>
    <t>250301000309</t>
  </si>
  <si>
    <t>2008年工具车四驱（皮卡）川A14G03（生产用车）</t>
  </si>
  <si>
    <t>250301000315</t>
  </si>
  <si>
    <t>2008年工具车四驱（皮卡）川A00G94（生产用车）</t>
  </si>
  <si>
    <t>250301000318</t>
  </si>
  <si>
    <t>2008年轻型货车川A41H95（生产用车）</t>
  </si>
  <si>
    <t>250301000319</t>
  </si>
  <si>
    <t>2008年轻型货车川A41E76（生产用车）</t>
  </si>
  <si>
    <t>250301000320</t>
  </si>
  <si>
    <t>2008年工具车四驱（皮卡）川A21H36（生产用车）</t>
  </si>
  <si>
    <t>250301000322</t>
  </si>
  <si>
    <t>2008年工具车（皮卡）川A24G33（生产用车）</t>
  </si>
  <si>
    <t>250301000323</t>
  </si>
  <si>
    <t>2002年解放牌小货车（生产用车）</t>
  </si>
  <si>
    <t>250301000327</t>
  </si>
  <si>
    <t>2008年工具车四驱（皮卡）川A25G27（生产用车）</t>
  </si>
  <si>
    <t>250301000328</t>
  </si>
  <si>
    <t>2008年工具车四驱（皮卡）川A12E84（生产用车）</t>
  </si>
  <si>
    <t>250301000329</t>
  </si>
  <si>
    <t>1999年货车川AM9884（生产用车）</t>
  </si>
  <si>
    <t>250301000336</t>
  </si>
  <si>
    <t>2008年工具车（皮卡）川A05E84（生产用车）</t>
  </si>
  <si>
    <t>250301001790</t>
  </si>
  <si>
    <t>2012年工具车（皮卡）川A7985T（生产用车）</t>
  </si>
  <si>
    <t>250301001811</t>
  </si>
  <si>
    <t>2012年工具车（皮卡）川A8716T（生产用车）</t>
  </si>
  <si>
    <t>250301002058</t>
  </si>
  <si>
    <t>2014年东风锐骐工具车川A7935T（生产用车）</t>
  </si>
  <si>
    <t>250301003538</t>
  </si>
  <si>
    <t>2008年庆铃工程车川A35E80（生产用车）</t>
  </si>
  <si>
    <t>250301003540</t>
  </si>
  <si>
    <t>2008年庆铃工程车川A22F44（生产用车）</t>
  </si>
  <si>
    <t>250301003541</t>
  </si>
  <si>
    <t>2008年工程车帕拉丁川A03D54（生产用车）</t>
  </si>
  <si>
    <t>250301003542</t>
  </si>
  <si>
    <t>2008年帕拉丁工程车川A25F14（生产用车）</t>
  </si>
  <si>
    <t>250301003544</t>
  </si>
  <si>
    <t>2008年庆铃工程车川A21F93（生产用车）</t>
  </si>
  <si>
    <t>250301003547</t>
  </si>
  <si>
    <t>2008年庆铃工程车川A07F00（生产用车）</t>
  </si>
  <si>
    <t>250301003550</t>
  </si>
  <si>
    <t>2008年工程车帕拉丁川A00F14（生产用车）</t>
  </si>
  <si>
    <t>250301003551</t>
  </si>
  <si>
    <t>2002年庆铃工程车川A34F29（生产用车）</t>
  </si>
  <si>
    <t>250301003552</t>
  </si>
  <si>
    <t>2008年庆铃工程车川A15E13（生产用车）</t>
  </si>
  <si>
    <t>250301003553</t>
  </si>
  <si>
    <t>2008年庆铃工程车川A19H01（生产用车）</t>
  </si>
  <si>
    <t>250301003554</t>
  </si>
  <si>
    <t>2008年庆铃工程车川A34G12（生产用车）</t>
  </si>
  <si>
    <t>250301003555</t>
  </si>
  <si>
    <t>2008年庆铃工程车川A35G46（生产用车）</t>
  </si>
  <si>
    <t>250301003556</t>
  </si>
  <si>
    <t>2008年庆铃工程车川A34G46（生产用车）</t>
  </si>
  <si>
    <t>250301003557</t>
  </si>
  <si>
    <t>2008年庆铃工程车川A36E25（生产用车）</t>
  </si>
  <si>
    <t>250301003558</t>
  </si>
  <si>
    <t>2006年小型轿车川APW563（生产用车）</t>
  </si>
  <si>
    <t>250301003559</t>
  </si>
  <si>
    <t>2008年工程车川A37F39（生产用车）</t>
  </si>
  <si>
    <t>250301003564</t>
  </si>
  <si>
    <t>2008年工程车川A32F42（生产用车）</t>
  </si>
  <si>
    <t>250301003566</t>
  </si>
  <si>
    <t>2008年工程车车川A32D44（生产用车）</t>
  </si>
  <si>
    <t>250301003569</t>
  </si>
  <si>
    <t>2006年小型轿车川AUL485（生产用车）</t>
  </si>
  <si>
    <t>250301003570</t>
  </si>
  <si>
    <t>2008年工程车川A11F74（生产用车）</t>
  </si>
  <si>
    <t>250301003572</t>
  </si>
  <si>
    <t>2006年小型轿车川AUF120（生产用车）</t>
  </si>
  <si>
    <t>250301003573</t>
  </si>
  <si>
    <t>2008年越野车川A93111（生产用车）</t>
  </si>
  <si>
    <t>250301003574</t>
  </si>
  <si>
    <t>2008年工程车川A38F02（生产用车）</t>
  </si>
  <si>
    <t>250301003576</t>
  </si>
  <si>
    <t>2008年庆铃工程车川A34H26（生产用车）</t>
  </si>
  <si>
    <t>250301003577</t>
  </si>
  <si>
    <t>2008年庆铃工程车川A36G85（生产用车）</t>
  </si>
  <si>
    <t>250301003579</t>
  </si>
  <si>
    <t>2008年帕拉丁工程车川A27E96（生产用车）</t>
  </si>
  <si>
    <t>250302000533</t>
  </si>
  <si>
    <t>2006年越野车川AQJ185（生产用车）</t>
  </si>
  <si>
    <t>250302000534</t>
  </si>
  <si>
    <t>2006年中型客车11座川APN818（生产用车）</t>
  </si>
  <si>
    <t>250302000538</t>
  </si>
  <si>
    <t>2007年工程车川A-MZ852（误盘盈）（生产用车）</t>
  </si>
  <si>
    <t>250302000543</t>
  </si>
  <si>
    <t>2007年小型轿车川AS6965（误盘盈）（生产用车）</t>
  </si>
  <si>
    <t>250302000547</t>
  </si>
  <si>
    <t>1998年小型轿车川AG4125（生产用车）</t>
  </si>
  <si>
    <t>250302000553</t>
  </si>
  <si>
    <t>2005年小型轿车川AMR819（生产用车）</t>
  </si>
  <si>
    <t>250302000556</t>
  </si>
  <si>
    <t>2007年工程车川AMZ953（误盘盈）（生产用车）</t>
  </si>
  <si>
    <t>250302000559</t>
  </si>
  <si>
    <t>2007年工程车川A-MZ857（误盘盈）（生产用车）</t>
  </si>
  <si>
    <t>250302000561</t>
  </si>
  <si>
    <t>2007年北京吉普川U08380（生产用车）</t>
  </si>
  <si>
    <t>250302000563</t>
  </si>
  <si>
    <t>2007年小型轿车川AB2838（生产用车）</t>
  </si>
  <si>
    <t>250302000564</t>
  </si>
  <si>
    <t>2007年小型轿车川AD9144（生产用车）</t>
  </si>
  <si>
    <t>250302000568</t>
  </si>
  <si>
    <t>1999年小型货车川AK0484（生产用车）</t>
  </si>
  <si>
    <t>250302000569</t>
  </si>
  <si>
    <t>2007年小型轿车川A39003（生产用车）</t>
  </si>
  <si>
    <t>250302000570</t>
  </si>
  <si>
    <t>2007年小型轿车川AE6286（生产用车）</t>
  </si>
  <si>
    <t>250302000572</t>
  </si>
  <si>
    <t>2007年工程车川AMZ89（误盘盈）（生产用车）</t>
  </si>
  <si>
    <t>250302003624</t>
  </si>
  <si>
    <t>2005年小型轿车川ANG323（生产用车）</t>
  </si>
  <si>
    <t>250302003625</t>
  </si>
  <si>
    <t>2007年小型轿车川A1M883（生产用车）</t>
  </si>
  <si>
    <t>250302003626</t>
  </si>
  <si>
    <t>2005年小型轿车川AMA911（生产用车）</t>
  </si>
  <si>
    <t>250302003627</t>
  </si>
  <si>
    <t>2006年小型轿车川ASA137（生产用车）</t>
  </si>
  <si>
    <t>250302003628</t>
  </si>
  <si>
    <t>2007年小型轿车川A7N870（生产用车）</t>
  </si>
  <si>
    <t>250302003629</t>
  </si>
  <si>
    <t>2005年小型轿车川A41730（生产用车）</t>
  </si>
  <si>
    <t>250302003630</t>
  </si>
  <si>
    <t>2006年小型轿车川ASA238（生产用车）</t>
  </si>
  <si>
    <t>250302003631</t>
  </si>
  <si>
    <t>2007年小型轿车川A3L861（生产用车）</t>
  </si>
  <si>
    <t>250302003632</t>
  </si>
  <si>
    <t>2007年小型轿车川A6B536（生产用车）</t>
  </si>
  <si>
    <t>250302003633</t>
  </si>
  <si>
    <t>2007年小型轿车川A3B693（生产用车）</t>
  </si>
  <si>
    <t>250302003634</t>
  </si>
  <si>
    <t>2007年面包车川AXR731（生产用车）</t>
  </si>
  <si>
    <t>250302003635</t>
  </si>
  <si>
    <t>2007年小型轿车川A6B690（生产用车）</t>
  </si>
  <si>
    <t>250302003636</t>
  </si>
  <si>
    <t>2008年小型越野客车川A47V81（生产用车）</t>
  </si>
  <si>
    <t>250302003637</t>
  </si>
  <si>
    <t>2005年购置小型轿车川AHY351（公务用车）</t>
  </si>
  <si>
    <t>250302003638</t>
  </si>
  <si>
    <t>2006年小型轿车川ASA213（生产用车）</t>
  </si>
  <si>
    <t>250302003639</t>
  </si>
  <si>
    <t>2009年越野车川A39E67（生产用车）</t>
  </si>
  <si>
    <t>250302003641</t>
  </si>
  <si>
    <t>2007年小型轿车川A1M838（生产用车）</t>
  </si>
  <si>
    <t>250302003642</t>
  </si>
  <si>
    <t>2006年小型轿车川AQD640（生产用车）</t>
  </si>
  <si>
    <t>250302003643</t>
  </si>
  <si>
    <t>2008年小型越野客车川A48Y84（生产用车）</t>
  </si>
  <si>
    <t>250302003644</t>
  </si>
  <si>
    <t>2007年工程车川A2L337（生产用车）</t>
  </si>
  <si>
    <t>250302003646</t>
  </si>
  <si>
    <t>2007年小型轿车川A2L975（生产用车）</t>
  </si>
  <si>
    <t>250302003647</t>
  </si>
  <si>
    <t>2008年面包车川A27Z82（生产用车）</t>
  </si>
  <si>
    <t>250302003648</t>
  </si>
  <si>
    <t>2006年小型轿车川ASA210（生产用车）</t>
  </si>
  <si>
    <t>250302003649</t>
  </si>
  <si>
    <t>2008年面包车川A28U29（生产用车）</t>
  </si>
  <si>
    <t>250302003650</t>
  </si>
  <si>
    <t>2007年小型轿车川A2B565（生产用车）</t>
  </si>
  <si>
    <t>250302003651</t>
  </si>
  <si>
    <t>2007年小型轿车川A2L527（生产用车）</t>
  </si>
  <si>
    <t>250302003652</t>
  </si>
  <si>
    <t>2012年购置大众T5商务车川A393TD（公务用车）</t>
  </si>
  <si>
    <t>250302003653</t>
  </si>
  <si>
    <t>2012年购置大型普通客车川AH9881（公务用车）</t>
  </si>
  <si>
    <t>250302003655</t>
  </si>
  <si>
    <t>2009年面包车川A7L5M8（生产用车）</t>
  </si>
  <si>
    <t>250302003656</t>
  </si>
  <si>
    <t>2007年长安面包川A5L600（生产用车）</t>
  </si>
  <si>
    <t>250302004951</t>
  </si>
  <si>
    <t>2019年小型轿（公务用车）</t>
  </si>
  <si>
    <t>250303000180</t>
  </si>
  <si>
    <t>2009年应急发电车川AA1116（生产用车）</t>
  </si>
  <si>
    <t>250303000530</t>
  </si>
  <si>
    <t>2009年杭州爱知绝缘高空作业车16M川AB6872（生产用车）</t>
  </si>
  <si>
    <t>250303000531</t>
  </si>
  <si>
    <t>2009年杭州爱知高空作业车16M川AB6875（生产用车）</t>
  </si>
  <si>
    <t>259900000030</t>
  </si>
  <si>
    <t>1998年摩托车JH70（生产用车）</t>
  </si>
  <si>
    <t>259900000031</t>
  </si>
  <si>
    <t>1997年摩托车JH125（生产用车）</t>
  </si>
  <si>
    <t>259900000032</t>
  </si>
  <si>
    <t>259900000033</t>
  </si>
  <si>
    <t>2001年摩托车JH125（生产用车）</t>
  </si>
  <si>
    <t>259900000034</t>
  </si>
  <si>
    <t>2002年摩托车JH125（生产用车）</t>
  </si>
  <si>
    <t>259900000035</t>
  </si>
  <si>
    <t>1998年摩托车南方NF50Q（生产用车）</t>
  </si>
  <si>
    <t>259900000036</t>
  </si>
  <si>
    <t>1999年摩托车（生产用车）</t>
  </si>
  <si>
    <t>259900000037</t>
  </si>
  <si>
    <t>2000年摩托车JL-125（生产用车）</t>
  </si>
  <si>
    <t>259900000038</t>
  </si>
  <si>
    <t>2000年摩托车JS-90（生产用车）</t>
  </si>
  <si>
    <t>259900000039</t>
  </si>
  <si>
    <t>2000年摩托车JH-70（生产用车）</t>
  </si>
  <si>
    <t>259900000040</t>
  </si>
  <si>
    <t>259900000041</t>
  </si>
  <si>
    <t>2002年摩托车LLS-100（生产用车）</t>
  </si>
  <si>
    <t>259900000042</t>
  </si>
  <si>
    <t>259900000043</t>
  </si>
  <si>
    <t>2002年摩托车WY125-K（生产用车）</t>
  </si>
  <si>
    <t>260000004251</t>
  </si>
  <si>
    <t>辅助生产用设备及器具</t>
  </si>
  <si>
    <t>空调3P1#</t>
  </si>
  <si>
    <t>260000004252</t>
  </si>
  <si>
    <t>空调3P2#</t>
  </si>
  <si>
    <t>260000004396</t>
  </si>
  <si>
    <t>10千伏室防爆轴流风机</t>
  </si>
  <si>
    <t>260000004397</t>
  </si>
  <si>
    <t>蓄电池室防爆轴流风机</t>
  </si>
  <si>
    <t>260000004398</t>
  </si>
  <si>
    <t>玻璃钢轴流风机1</t>
  </si>
  <si>
    <t>260000004399</t>
  </si>
  <si>
    <t>玻璃钢轴流风机2</t>
  </si>
  <si>
    <t>260000004400</t>
  </si>
  <si>
    <t>玻璃钢轴流风机3</t>
  </si>
  <si>
    <t>260000004401</t>
  </si>
  <si>
    <t>玻璃钢轴流风机4</t>
  </si>
  <si>
    <t>260000004402</t>
  </si>
  <si>
    <t>玻璃钢轴流风机5</t>
  </si>
  <si>
    <t>260000004403</t>
  </si>
  <si>
    <t>玻璃钢轴流风机6</t>
  </si>
  <si>
    <t>260000004404</t>
  </si>
  <si>
    <t>玻璃钢轴流风机7</t>
  </si>
  <si>
    <t>260000004405</t>
  </si>
  <si>
    <t>10千伏室不锈钢长条型消音风机1#</t>
  </si>
  <si>
    <t>260000004406</t>
  </si>
  <si>
    <t>10千伏室不锈钢长条型消音风机2#</t>
  </si>
  <si>
    <t>260000004407</t>
  </si>
  <si>
    <t>蓄电池室不锈钢长条型消音风机</t>
  </si>
  <si>
    <t>260000005816</t>
  </si>
  <si>
    <t>生活污水处理装置</t>
  </si>
  <si>
    <t>260000005837</t>
  </si>
  <si>
    <t>华凌空调</t>
  </si>
  <si>
    <t>260000005838</t>
  </si>
  <si>
    <t>佳能照相机IXUS120</t>
  </si>
  <si>
    <t>260000005839</t>
  </si>
  <si>
    <t>多用途一体机HPM2727NF</t>
  </si>
  <si>
    <t>260000005840</t>
  </si>
  <si>
    <t>佳能照相机SX20IS</t>
  </si>
  <si>
    <t>260000005841</t>
  </si>
  <si>
    <t>260000005842</t>
  </si>
  <si>
    <t>便携式数字录像机DSR-45</t>
  </si>
  <si>
    <t>260000005843</t>
  </si>
  <si>
    <t>260000005844</t>
  </si>
  <si>
    <t>260000005845</t>
  </si>
  <si>
    <t>一体机HPM1319F</t>
  </si>
  <si>
    <t>260000005846</t>
  </si>
  <si>
    <t>260000005847</t>
  </si>
  <si>
    <t>格力空调KFRr-72Lw/72566Aa-2</t>
  </si>
  <si>
    <t>260000005848</t>
  </si>
  <si>
    <t>约克松星SRK-120H</t>
  </si>
  <si>
    <t>260000005849</t>
  </si>
  <si>
    <t>格力KFR-72L</t>
  </si>
  <si>
    <t>260000005850</t>
  </si>
  <si>
    <t>广角镜头VCL-308BWS</t>
  </si>
  <si>
    <t>260000005851</t>
  </si>
  <si>
    <t>260000005852</t>
  </si>
  <si>
    <t>260000005853</t>
  </si>
  <si>
    <t>投影机XW270C</t>
  </si>
  <si>
    <t>260000005854</t>
  </si>
  <si>
    <t>职工食堂购抽烟机</t>
  </si>
  <si>
    <t>260000005855</t>
  </si>
  <si>
    <t>日立P428101C电视</t>
  </si>
  <si>
    <t>260000005856</t>
  </si>
  <si>
    <t>三星一体机4828</t>
  </si>
  <si>
    <t>260000005857</t>
  </si>
  <si>
    <t>260000005858</t>
  </si>
  <si>
    <t>摄像机JVCGZ-HD</t>
  </si>
  <si>
    <t>260000005859</t>
  </si>
  <si>
    <t>美的空调KFR-23GW/DY-GA(F5)</t>
  </si>
  <si>
    <t>260000005860</t>
  </si>
  <si>
    <t>260000005861</t>
  </si>
  <si>
    <t>中雪LQ4-1851保鲜柜</t>
  </si>
  <si>
    <t>260000005862</t>
  </si>
  <si>
    <t>光时域反射仪PAIMOTDR-S20A</t>
  </si>
  <si>
    <t>260000005863</t>
  </si>
  <si>
    <t>美的空调KFRD-72LW/HV12(2)</t>
  </si>
  <si>
    <t>260000005864</t>
  </si>
  <si>
    <t>佳能一体机4012B</t>
  </si>
  <si>
    <t>260000005865</t>
  </si>
  <si>
    <t>260000005866</t>
  </si>
  <si>
    <t>奥克斯KFR-72LW/D2-G5</t>
  </si>
  <si>
    <t>260000005867</t>
  </si>
  <si>
    <t>装订机申广职工工50型</t>
  </si>
  <si>
    <t>260000005868</t>
  </si>
  <si>
    <t>高清数字摄录一体机HVR-2700C</t>
  </si>
  <si>
    <t>260000005869</t>
  </si>
  <si>
    <t>尼康单反相机D700</t>
  </si>
  <si>
    <t>260000005870</t>
  </si>
  <si>
    <t>260000005871</t>
  </si>
  <si>
    <t>美的空调KFR-72LW/DY-CA(F5)</t>
  </si>
  <si>
    <t>260000005872</t>
  </si>
  <si>
    <t>尼康单反相机D90</t>
  </si>
  <si>
    <t>260000005873</t>
  </si>
  <si>
    <t>260000005874</t>
  </si>
  <si>
    <t>录音笔三星VPIQB</t>
  </si>
  <si>
    <t>260000005875</t>
  </si>
  <si>
    <t>熔接机TYPE-39</t>
  </si>
  <si>
    <t>260000005876</t>
  </si>
  <si>
    <t>260000005877</t>
  </si>
  <si>
    <t>260000005878</t>
  </si>
  <si>
    <t>家俱购置</t>
  </si>
  <si>
    <t>270100000675</t>
  </si>
  <si>
    <t>房屋</t>
  </si>
  <si>
    <t>主控制室</t>
  </si>
  <si>
    <t>270100000676</t>
  </si>
  <si>
    <t>35KV/10KV配电装置楼</t>
  </si>
  <si>
    <t>270100000677</t>
  </si>
  <si>
    <t>门卫室</t>
  </si>
  <si>
    <t>270100000678</t>
  </si>
  <si>
    <t>270100000679</t>
  </si>
  <si>
    <t>35KV配电室</t>
  </si>
  <si>
    <t>270100000680</t>
  </si>
  <si>
    <t>270100000682</t>
  </si>
  <si>
    <t>主控通信综合楼</t>
  </si>
  <si>
    <t>270100000683</t>
  </si>
  <si>
    <t>传达室</t>
  </si>
  <si>
    <t>270100000684</t>
  </si>
  <si>
    <t>35KV高压室</t>
  </si>
  <si>
    <t>270100000685</t>
  </si>
  <si>
    <t>10KV高压室及主控值班室</t>
  </si>
  <si>
    <t>270100000687</t>
  </si>
  <si>
    <t>幸福站主控楼</t>
  </si>
  <si>
    <t>270100000688</t>
  </si>
  <si>
    <t>翠月湖站值班宿舍</t>
  </si>
  <si>
    <t>270100000689</t>
  </si>
  <si>
    <t>关口站值班房</t>
  </si>
  <si>
    <t>270100000690</t>
  </si>
  <si>
    <t>营业厅</t>
  </si>
  <si>
    <t>270100000691</t>
  </si>
  <si>
    <t>办公楼(含土地使用权)</t>
  </si>
  <si>
    <t>270100000692</t>
  </si>
  <si>
    <t>车 库</t>
  </si>
  <si>
    <t>270100000693</t>
  </si>
  <si>
    <t>办公楼</t>
  </si>
  <si>
    <t>270100000694</t>
  </si>
  <si>
    <t>食堂</t>
  </si>
  <si>
    <t>270100000695</t>
  </si>
  <si>
    <t>库房</t>
  </si>
  <si>
    <t>270100000696</t>
  </si>
  <si>
    <t>开关站</t>
  </si>
  <si>
    <t>270100000697</t>
  </si>
  <si>
    <t>收发（门卫）室</t>
  </si>
  <si>
    <t>270100000699</t>
  </si>
  <si>
    <t>营业调度楼</t>
  </si>
  <si>
    <t>270100000700</t>
  </si>
  <si>
    <t>修试车间及库房</t>
  </si>
  <si>
    <t>270100000701</t>
  </si>
  <si>
    <t>车库</t>
  </si>
  <si>
    <t>270100000702</t>
  </si>
  <si>
    <t>汽车库</t>
  </si>
  <si>
    <t>270100000703</t>
  </si>
  <si>
    <t>带电作业工具室</t>
  </si>
  <si>
    <t>270100000705</t>
  </si>
  <si>
    <t>门卫</t>
  </si>
  <si>
    <t>270100000706</t>
  </si>
  <si>
    <t>270100000707</t>
  </si>
  <si>
    <t>270100000708</t>
  </si>
  <si>
    <t>库房、车库</t>
  </si>
  <si>
    <t>270100000709</t>
  </si>
  <si>
    <t>270100000710</t>
  </si>
  <si>
    <t>270100000711</t>
  </si>
  <si>
    <t>270100000712</t>
  </si>
  <si>
    <t>270100000713</t>
  </si>
  <si>
    <t>职工宿舍</t>
  </si>
  <si>
    <t>270100000714</t>
  </si>
  <si>
    <t>配电房</t>
  </si>
  <si>
    <t>270100000715</t>
  </si>
  <si>
    <t>270100000716</t>
  </si>
  <si>
    <t>270100000717</t>
  </si>
  <si>
    <t>270100000718</t>
  </si>
  <si>
    <t>隆丰所客户服务部</t>
  </si>
  <si>
    <t>270100000719</t>
  </si>
  <si>
    <t>主控楼(约100m2)</t>
  </si>
  <si>
    <t>270100000720</t>
  </si>
  <si>
    <t>休息室（约180m2）</t>
  </si>
  <si>
    <t>270100000721</t>
  </si>
  <si>
    <t>270100000723</t>
  </si>
  <si>
    <t>270100000724</t>
  </si>
  <si>
    <t>值班室</t>
  </si>
  <si>
    <t>270100000725</t>
  </si>
  <si>
    <t>270100000726</t>
  </si>
  <si>
    <t>寝室抢修值班室</t>
  </si>
  <si>
    <t>270100000727</t>
  </si>
  <si>
    <t>270100000728</t>
  </si>
  <si>
    <t>向峨所客户服务部</t>
  </si>
  <si>
    <t>270100000729</t>
  </si>
  <si>
    <t>270100000730</t>
  </si>
  <si>
    <t>食堂、库房</t>
  </si>
  <si>
    <t>270100000731</t>
  </si>
  <si>
    <t>270100000732</t>
  </si>
  <si>
    <t>新兴所客户服务部</t>
  </si>
  <si>
    <t>270100000733</t>
  </si>
  <si>
    <t>厕所</t>
  </si>
  <si>
    <t>270100000734</t>
  </si>
  <si>
    <t>270100000735</t>
  </si>
  <si>
    <t>270100000736</t>
  </si>
  <si>
    <t>食堂、职工宿舍</t>
  </si>
  <si>
    <t>270100000738</t>
  </si>
  <si>
    <t>35KV配电装置室</t>
  </si>
  <si>
    <t>270100000739</t>
  </si>
  <si>
    <t>10KV配电装置室</t>
  </si>
  <si>
    <t>270100000740</t>
  </si>
  <si>
    <t>270100000742</t>
  </si>
  <si>
    <t>紫坪铺青山线太山北线巡线站</t>
  </si>
  <si>
    <t>270100005971</t>
  </si>
  <si>
    <t>110kV胥家变电站主控楼</t>
  </si>
  <si>
    <t>270100006034</t>
  </si>
  <si>
    <t>高压室主控室及附属设施</t>
  </si>
  <si>
    <t>270100006035</t>
  </si>
  <si>
    <t>保安室</t>
  </si>
  <si>
    <t>270100006036</t>
  </si>
  <si>
    <t>270100007483</t>
  </si>
  <si>
    <t>通讯室</t>
  </si>
  <si>
    <t>270100007517</t>
  </si>
  <si>
    <t>高压变电室(约200m2)</t>
  </si>
  <si>
    <t>270100008130</t>
  </si>
  <si>
    <t>270100008131</t>
  </si>
  <si>
    <t>35kV高压室</t>
  </si>
  <si>
    <t>270100008132</t>
  </si>
  <si>
    <t>10kV高压室及主控室</t>
  </si>
  <si>
    <t>270100008338</t>
  </si>
  <si>
    <t>成都都江堰供电局九陇供电所营业用房</t>
  </si>
  <si>
    <t>270100008516</t>
  </si>
  <si>
    <t>2011年营销三中心装修</t>
  </si>
  <si>
    <t>270100009139</t>
  </si>
  <si>
    <t>110KV彩虹站主控楼118.36平方米</t>
  </si>
  <si>
    <t>270100009140</t>
  </si>
  <si>
    <t>110KV彩虹站10KV高压配电装置室197.26平方</t>
  </si>
  <si>
    <t>270100009142</t>
  </si>
  <si>
    <t>110KV彩虹站警卫、传达室15平方米</t>
  </si>
  <si>
    <t>270100009246</t>
  </si>
  <si>
    <t>2号主变场地消防小室</t>
  </si>
  <si>
    <t>270100009273</t>
  </si>
  <si>
    <t>成都都江堰供电局崇义供电所营业用房</t>
  </si>
  <si>
    <t>270100009274</t>
  </si>
  <si>
    <t>成都都江堰供电局磁峰供电所营业用房</t>
  </si>
  <si>
    <t>270100009275</t>
  </si>
  <si>
    <t>成都都江堰供电局灌口供电所营业用房</t>
  </si>
  <si>
    <t>270100009276</t>
  </si>
  <si>
    <t>成都都江堰供电局蒲阳供电所营业用房</t>
  </si>
  <si>
    <t>270100009277</t>
  </si>
  <si>
    <t>成都都江堰供电局谭家堰生产库房</t>
  </si>
  <si>
    <t>270100009278</t>
  </si>
  <si>
    <t>成都都江堰供电局胥家供电所营业用房</t>
  </si>
  <si>
    <t>270100009279</t>
  </si>
  <si>
    <t>成都都江堰供电局通济供电所营业用房</t>
  </si>
  <si>
    <t>270100009280</t>
  </si>
  <si>
    <t>成都都江堰供电局向峨供电所营业用房</t>
  </si>
  <si>
    <t>270100009281</t>
  </si>
  <si>
    <t>成都都江堰供电局小鱼洞供电所营业用房</t>
  </si>
  <si>
    <t>270100009282</t>
  </si>
  <si>
    <t>成都都江堰供电局修试车间及库房</t>
  </si>
  <si>
    <t>270100009283</t>
  </si>
  <si>
    <t>成都电业局都江堰供电局营销用房</t>
  </si>
  <si>
    <t>270100009450</t>
  </si>
  <si>
    <t>10kV配电装置室365平方米</t>
  </si>
  <si>
    <t>270100009451</t>
  </si>
  <si>
    <t>主控综合楼443.68平方米</t>
  </si>
  <si>
    <t>270100009576</t>
  </si>
  <si>
    <t>35KV关口变电站10kV高压室</t>
  </si>
  <si>
    <t>270100009588</t>
  </si>
  <si>
    <t>主控综合楼413m2</t>
  </si>
  <si>
    <t>270100009589</t>
  </si>
  <si>
    <t>警卫室92m2</t>
  </si>
  <si>
    <t>270100010065</t>
  </si>
  <si>
    <t>金江变电站汽车修理厂</t>
  </si>
  <si>
    <t>270100010066</t>
  </si>
  <si>
    <t>金江变电站库房</t>
  </si>
  <si>
    <t>270100010067</t>
  </si>
  <si>
    <t>城关站卫生间改造</t>
  </si>
  <si>
    <t>270100010068</t>
  </si>
  <si>
    <t>柳街电管站</t>
  </si>
  <si>
    <t>270100010069</t>
  </si>
  <si>
    <t>金江变电站油库</t>
  </si>
  <si>
    <t>270100010071</t>
  </si>
  <si>
    <t>都江堰市学府路康桥水乡小区住房9-1-3-5号</t>
  </si>
  <si>
    <t>270100010072</t>
  </si>
  <si>
    <t>高压试验室（调度大楼后</t>
  </si>
  <si>
    <t>270100010073</t>
  </si>
  <si>
    <t>高压试验室</t>
  </si>
  <si>
    <t>270100010074</t>
  </si>
  <si>
    <t>城关修试工作室</t>
  </si>
  <si>
    <t>270100010075</t>
  </si>
  <si>
    <t>青龙变电站修建库房</t>
  </si>
  <si>
    <t>270100010076</t>
  </si>
  <si>
    <t>河西站修建安全工具室及值班休息室</t>
  </si>
  <si>
    <t>270100010077</t>
  </si>
  <si>
    <t>崇义变电站</t>
  </si>
  <si>
    <t>270100010078</t>
  </si>
  <si>
    <t>徐渡发电车间</t>
  </si>
  <si>
    <t>270100010079</t>
  </si>
  <si>
    <t>青城山变电站</t>
  </si>
  <si>
    <t>270100010080</t>
  </si>
  <si>
    <t>谭家堰开关站</t>
  </si>
  <si>
    <t>270100010081</t>
  </si>
  <si>
    <t>河西变电站</t>
  </si>
  <si>
    <t>270100010082</t>
  </si>
  <si>
    <t>城关变电站</t>
  </si>
  <si>
    <t>270100010083</t>
  </si>
  <si>
    <t>天马变电站值班室电气</t>
  </si>
  <si>
    <t>270100010084</t>
  </si>
  <si>
    <t>明珠大楼</t>
  </si>
  <si>
    <t>270100010085</t>
  </si>
  <si>
    <t>天马变电站</t>
  </si>
  <si>
    <t>270100010086</t>
  </si>
  <si>
    <t>金江变电站库房值班室</t>
  </si>
  <si>
    <t>270100010087</t>
  </si>
  <si>
    <t>金江变电站厕所</t>
  </si>
  <si>
    <t>270100010088</t>
  </si>
  <si>
    <t>金江站房屋</t>
  </si>
  <si>
    <t>270100010089</t>
  </si>
  <si>
    <t>都江堰市学府路康桥水乡小区住房7-1-5-10号</t>
  </si>
  <si>
    <t>270100010090</t>
  </si>
  <si>
    <t>检修间</t>
  </si>
  <si>
    <t>270100010091</t>
  </si>
  <si>
    <t>青龙变电站</t>
  </si>
  <si>
    <t>270100010092</t>
  </si>
  <si>
    <t>270100010093</t>
  </si>
  <si>
    <t>主厂房</t>
  </si>
  <si>
    <t>270100010094</t>
  </si>
  <si>
    <t>110KV金江变电站主控室</t>
  </si>
  <si>
    <t>270100010095</t>
  </si>
  <si>
    <t>天马变电站修建库房</t>
  </si>
  <si>
    <t>270100010096</t>
  </si>
  <si>
    <t>紫坪铺供电所新建决算转资</t>
  </si>
  <si>
    <t>270100010097</t>
  </si>
  <si>
    <t>天马供电所新建决算转资</t>
  </si>
  <si>
    <t>270100010098</t>
  </si>
  <si>
    <t>石羊供电所新建决算转资</t>
  </si>
  <si>
    <t>270100010099</t>
  </si>
  <si>
    <t>青城山供电所新建决算转资</t>
  </si>
  <si>
    <t>270100010100</t>
  </si>
  <si>
    <t>虹口收费点新建决算转资</t>
  </si>
  <si>
    <t>270100010101</t>
  </si>
  <si>
    <t>大观供电所新建决算转资</t>
  </si>
  <si>
    <t>270100010102</t>
  </si>
  <si>
    <t>270100010103</t>
  </si>
  <si>
    <t>270100010104</t>
  </si>
  <si>
    <t>空汽压缩机室</t>
  </si>
  <si>
    <t>270100010105</t>
  </si>
  <si>
    <t>水泵房</t>
  </si>
  <si>
    <t>270100010106</t>
  </si>
  <si>
    <t>取水口值班室</t>
  </si>
  <si>
    <t>270100010107</t>
  </si>
  <si>
    <t>270100010108</t>
  </si>
  <si>
    <t>270100010109</t>
  </si>
  <si>
    <t>270100010110</t>
  </si>
  <si>
    <t>中控室</t>
  </si>
  <si>
    <t>270100010111</t>
  </si>
  <si>
    <t>高压室</t>
  </si>
  <si>
    <t>270100010112</t>
  </si>
  <si>
    <t>270100010113</t>
  </si>
  <si>
    <t>闸首值班室</t>
  </si>
  <si>
    <t>270100010114</t>
  </si>
  <si>
    <t>办公综合楼</t>
  </si>
  <si>
    <t>270100010115</t>
  </si>
  <si>
    <t>270100010117</t>
  </si>
  <si>
    <t>270100010118</t>
  </si>
  <si>
    <t>水泵室</t>
  </si>
  <si>
    <t>270100010119</t>
  </si>
  <si>
    <t>270100010120</t>
  </si>
  <si>
    <t>车间办公楼</t>
  </si>
  <si>
    <t>270100010121</t>
  </si>
  <si>
    <t>青龙站10kV高压室</t>
  </si>
  <si>
    <t>270100010122</t>
  </si>
  <si>
    <t>青龙站  35kV高压室</t>
  </si>
  <si>
    <t>270100010123</t>
  </si>
  <si>
    <t>天马站10kV高压室</t>
  </si>
  <si>
    <t>270100010124</t>
  </si>
  <si>
    <t>河西站主控制室</t>
  </si>
  <si>
    <t>270100010126</t>
  </si>
  <si>
    <t>中兴供电所房屋（新建）</t>
  </si>
  <si>
    <t>270100010127</t>
  </si>
  <si>
    <t>柳街供电所房屋（新建）</t>
  </si>
  <si>
    <t>270100010128</t>
  </si>
  <si>
    <t>徐渡电站控制室</t>
  </si>
  <si>
    <t>270100010129</t>
  </si>
  <si>
    <t>270100010130</t>
  </si>
  <si>
    <t>副厂房</t>
  </si>
  <si>
    <t>270100010131</t>
  </si>
  <si>
    <t>270100010132</t>
  </si>
  <si>
    <t>线管所办公楼</t>
  </si>
  <si>
    <t>270100010133</t>
  </si>
  <si>
    <t>270100010134</t>
  </si>
  <si>
    <t>高压试验室（外北街）</t>
  </si>
  <si>
    <t>270100013531</t>
  </si>
  <si>
    <t>110KV金江变电站35KV高压室（Ⅰ段）</t>
  </si>
  <si>
    <t>270100013532</t>
  </si>
  <si>
    <t>都江堰钢结构营销大楼</t>
  </si>
  <si>
    <t>270100013533</t>
  </si>
  <si>
    <t>110kV金江变电站35KV高压室（Ⅱ段）</t>
  </si>
  <si>
    <t>270300000093</t>
  </si>
  <si>
    <t>卫生间</t>
  </si>
  <si>
    <t>270300000094</t>
  </si>
  <si>
    <t>270300000095</t>
  </si>
  <si>
    <t>公园路宿舍</t>
  </si>
  <si>
    <t>270300000096</t>
  </si>
  <si>
    <t>分局门口宿舍</t>
  </si>
  <si>
    <t>270300000097</t>
  </si>
  <si>
    <t>宿室</t>
  </si>
  <si>
    <t>270300000098</t>
  </si>
  <si>
    <t>宿舍及厕所</t>
  </si>
  <si>
    <t>270300000099</t>
  </si>
  <si>
    <t>值班宿舍</t>
  </si>
  <si>
    <t>270300000799</t>
  </si>
  <si>
    <t>都江堰供电分公司奎东巷商铺</t>
  </si>
  <si>
    <t>270300000867</t>
  </si>
  <si>
    <t>270300000869</t>
  </si>
  <si>
    <t>职工（集体）宿舍</t>
  </si>
  <si>
    <t>270300000870</t>
  </si>
  <si>
    <t>取水口职工住宅</t>
  </si>
  <si>
    <t>270300000871</t>
  </si>
  <si>
    <t>崇义站宿舍</t>
  </si>
  <si>
    <t>270300000872</t>
  </si>
  <si>
    <t>厨房</t>
  </si>
  <si>
    <t>270300000873</t>
  </si>
  <si>
    <t>门卫房</t>
  </si>
  <si>
    <t>270300000874</t>
  </si>
  <si>
    <t>浴室</t>
  </si>
  <si>
    <t>270300000875</t>
  </si>
  <si>
    <t>职工宿舍楼</t>
  </si>
  <si>
    <t>270300000876</t>
  </si>
  <si>
    <t>外北街食堂</t>
  </si>
  <si>
    <t>270300000877</t>
  </si>
  <si>
    <t>住房</t>
  </si>
  <si>
    <t>270300000878</t>
  </si>
  <si>
    <t>270300001377</t>
  </si>
  <si>
    <t>都江堰市永安大道北一段61号生产配套用房</t>
  </si>
  <si>
    <t>280100000067</t>
  </si>
  <si>
    <t>建筑物</t>
  </si>
  <si>
    <t>桥式起重架构</t>
  </si>
  <si>
    <t>280100000068</t>
  </si>
  <si>
    <t>拦污栅1</t>
  </si>
  <si>
    <t>280100000069</t>
  </si>
  <si>
    <t>拦河坝、闸</t>
  </si>
  <si>
    <t>280100000070</t>
  </si>
  <si>
    <t>溢流堰</t>
  </si>
  <si>
    <t>280100000083</t>
  </si>
  <si>
    <t>前池拦污栅1</t>
  </si>
  <si>
    <t>280100000084</t>
  </si>
  <si>
    <t>前池拦污栅2</t>
  </si>
  <si>
    <t>280100000085</t>
  </si>
  <si>
    <t>前池拦污栅3</t>
  </si>
  <si>
    <t>280100000086</t>
  </si>
  <si>
    <t>进水口拦污栅1</t>
  </si>
  <si>
    <t>280100000087</t>
  </si>
  <si>
    <t>进水口拦污栅2</t>
  </si>
  <si>
    <t>280100000088</t>
  </si>
  <si>
    <t>固定大拦污栅</t>
  </si>
  <si>
    <t>280100000089</t>
  </si>
  <si>
    <t>前池闸门1</t>
  </si>
  <si>
    <t>280100000090</t>
  </si>
  <si>
    <t>前池闸门2</t>
  </si>
  <si>
    <t>280100000091</t>
  </si>
  <si>
    <t>前池闸门3</t>
  </si>
  <si>
    <t>280100000092</t>
  </si>
  <si>
    <t>进水闸门1</t>
  </si>
  <si>
    <t>280100000093</t>
  </si>
  <si>
    <t>进水闸门2</t>
  </si>
  <si>
    <t>280100000094</t>
  </si>
  <si>
    <t>冲砂闸门</t>
  </si>
  <si>
    <t>280100000095</t>
  </si>
  <si>
    <t>泄洪闸门</t>
  </si>
  <si>
    <t>280100000096</t>
  </si>
  <si>
    <t>尾水检修闸门</t>
  </si>
  <si>
    <t>280100000097</t>
  </si>
  <si>
    <t>前池</t>
  </si>
  <si>
    <t>280100000098</t>
  </si>
  <si>
    <t>引水渠</t>
  </si>
  <si>
    <t>280100000099</t>
  </si>
  <si>
    <t>尾水渠</t>
  </si>
  <si>
    <t>280100000100</t>
  </si>
  <si>
    <t>取水口枢纽</t>
  </si>
  <si>
    <t>280100000101</t>
  </si>
  <si>
    <t>围墙</t>
  </si>
  <si>
    <t>280100000102</t>
  </si>
  <si>
    <t>引水渠人行桥</t>
  </si>
  <si>
    <t>280100000103</t>
  </si>
  <si>
    <t>280100000104</t>
  </si>
  <si>
    <t>公路桥</t>
  </si>
  <si>
    <t>280100000105</t>
  </si>
  <si>
    <t>取水口</t>
  </si>
  <si>
    <t>280100000106</t>
  </si>
  <si>
    <t>280100000107</t>
  </si>
  <si>
    <t>280100000108</t>
  </si>
  <si>
    <t>进水闸</t>
  </si>
  <si>
    <t>280100000109</t>
  </si>
  <si>
    <t>冲砂闸</t>
  </si>
  <si>
    <t>280100000110</t>
  </si>
  <si>
    <t>排水渠</t>
  </si>
  <si>
    <t>280100000111</t>
  </si>
  <si>
    <t>桥1</t>
  </si>
  <si>
    <t>280100000112</t>
  </si>
  <si>
    <t>桥2</t>
  </si>
  <si>
    <t>280100000113</t>
  </si>
  <si>
    <t>桥3</t>
  </si>
  <si>
    <t>280100000114</t>
  </si>
  <si>
    <t>桥4</t>
  </si>
  <si>
    <t>280100000115</t>
  </si>
  <si>
    <t>桥5</t>
  </si>
  <si>
    <t>280100000116</t>
  </si>
  <si>
    <t>280100000117</t>
  </si>
  <si>
    <t>拦污栅2</t>
  </si>
  <si>
    <t>280100000118</t>
  </si>
  <si>
    <t>拦污栅3</t>
  </si>
  <si>
    <t>280100000119</t>
  </si>
  <si>
    <t>拦污栅4</t>
  </si>
  <si>
    <t>280100000120</t>
  </si>
  <si>
    <t>拦污栅5</t>
  </si>
  <si>
    <t>280100000121</t>
  </si>
  <si>
    <t>闸门1</t>
  </si>
  <si>
    <t>280100000122</t>
  </si>
  <si>
    <t>闸门2</t>
  </si>
  <si>
    <t>280100000123</t>
  </si>
  <si>
    <t>闸门3</t>
  </si>
  <si>
    <t>280100000124</t>
  </si>
  <si>
    <t>闸门4</t>
  </si>
  <si>
    <t>280100000125</t>
  </si>
  <si>
    <t>闸门5</t>
  </si>
  <si>
    <t>280100000126</t>
  </si>
  <si>
    <t>闸门6</t>
  </si>
  <si>
    <t>280100000127</t>
  </si>
  <si>
    <t>闸门7</t>
  </si>
  <si>
    <t>280100000128</t>
  </si>
  <si>
    <t>280100000129</t>
  </si>
  <si>
    <t>280100000130</t>
  </si>
  <si>
    <t>280100000131</t>
  </si>
  <si>
    <t>280100000132</t>
  </si>
  <si>
    <t>280100000133</t>
  </si>
  <si>
    <t>桥梁</t>
  </si>
  <si>
    <t>280100000134</t>
  </si>
  <si>
    <t>拦河坝</t>
  </si>
  <si>
    <t>280100000135</t>
  </si>
  <si>
    <t>280100000136</t>
  </si>
  <si>
    <t>280100000137</t>
  </si>
  <si>
    <t>280100000138</t>
  </si>
  <si>
    <t>280100000139</t>
  </si>
  <si>
    <t>冲沙闸</t>
  </si>
  <si>
    <t>280100000140</t>
  </si>
  <si>
    <t>280100000141</t>
  </si>
  <si>
    <t>280100000142</t>
  </si>
  <si>
    <t>280100000143</t>
  </si>
  <si>
    <t>拦污栅6</t>
  </si>
  <si>
    <t>280100000144</t>
  </si>
  <si>
    <t>280100000145</t>
  </si>
  <si>
    <t>280100000146</t>
  </si>
  <si>
    <t>280100000147</t>
  </si>
  <si>
    <t>280100000148</t>
  </si>
  <si>
    <t>280100000149</t>
  </si>
  <si>
    <t>元定桥电站泄洪通道</t>
  </si>
  <si>
    <t>280100000150</t>
  </si>
  <si>
    <t>万安电站泄洪通道</t>
  </si>
  <si>
    <t>280100000151</t>
  </si>
  <si>
    <t>280200001736</t>
  </si>
  <si>
    <t>10KV中央门型架构</t>
  </si>
  <si>
    <t>280200001737</t>
  </si>
  <si>
    <t>110KV两跨线门型构架</t>
  </si>
  <si>
    <t>280200001738</t>
  </si>
  <si>
    <t>110KV主变门型构架</t>
  </si>
  <si>
    <t>280200001739</t>
  </si>
  <si>
    <t>主变基础</t>
  </si>
  <si>
    <t>280200001740</t>
  </si>
  <si>
    <t>避雷器基础</t>
  </si>
  <si>
    <t>280200001741</t>
  </si>
  <si>
    <t>放电事故池</t>
  </si>
  <si>
    <t>280200001742</t>
  </si>
  <si>
    <t>母线桥支架</t>
  </si>
  <si>
    <t>280200001743</t>
  </si>
  <si>
    <t>电抗器电容器基础</t>
  </si>
  <si>
    <t>280200001744</t>
  </si>
  <si>
    <t>围墙排水沟</t>
  </si>
  <si>
    <t>280200001745</t>
  </si>
  <si>
    <t>道路</t>
  </si>
  <si>
    <t>280200001746</t>
  </si>
  <si>
    <t>操作小道</t>
  </si>
  <si>
    <t>280200001747</t>
  </si>
  <si>
    <t>微波塔</t>
  </si>
  <si>
    <t>280200001755</t>
  </si>
  <si>
    <t>间隔土建</t>
  </si>
  <si>
    <t>280200001756</t>
  </si>
  <si>
    <t>110KV户外配电架构</t>
  </si>
  <si>
    <t>280200001757</t>
  </si>
  <si>
    <t>110KV灌县变电站厂（所）区室外照明装置</t>
  </si>
  <si>
    <t>280200001758</t>
  </si>
  <si>
    <t>110kV灌县变电站消防池</t>
  </si>
  <si>
    <t>280200001759</t>
  </si>
  <si>
    <t>电容器基础</t>
  </si>
  <si>
    <t>280200001760</t>
  </si>
  <si>
    <t>消弧线圈基础</t>
  </si>
  <si>
    <t>280200001761</t>
  </si>
  <si>
    <t>280200001762</t>
  </si>
  <si>
    <t>构架</t>
  </si>
  <si>
    <t>280200001763</t>
  </si>
  <si>
    <t>110kV蒲阳变电站避雷塔</t>
  </si>
  <si>
    <t>280200001764</t>
  </si>
  <si>
    <t>110kV蒲阳变电站基础建筑</t>
  </si>
  <si>
    <t>280200001765</t>
  </si>
  <si>
    <t>站区给排水</t>
  </si>
  <si>
    <t>280200001766</t>
  </si>
  <si>
    <t>消防池</t>
  </si>
  <si>
    <t>280200001767</t>
  </si>
  <si>
    <t>取水井</t>
  </si>
  <si>
    <t>280200001768</t>
  </si>
  <si>
    <t>城市管网接口给水管道</t>
  </si>
  <si>
    <t>280200001769</t>
  </si>
  <si>
    <t>独立避雷针塔</t>
  </si>
  <si>
    <t>280200001770</t>
  </si>
  <si>
    <t>10KV配电装置室及户外电容电抗器基础</t>
  </si>
  <si>
    <t>280200001771</t>
  </si>
  <si>
    <t>220KV结构支架及基础</t>
  </si>
  <si>
    <t>280200001772</t>
  </si>
  <si>
    <t>110KV结构支架及基础</t>
  </si>
  <si>
    <t>280200001773</t>
  </si>
  <si>
    <t>电缆沟道</t>
  </si>
  <si>
    <t>280200001774</t>
  </si>
  <si>
    <t>事故油池</t>
  </si>
  <si>
    <t>280200001775</t>
  </si>
  <si>
    <t>所区供水管道</t>
  </si>
  <si>
    <t>280200001776</t>
  </si>
  <si>
    <t>深井</t>
  </si>
  <si>
    <t>280200001777</t>
  </si>
  <si>
    <t>所区车行道及回车场</t>
  </si>
  <si>
    <t>280200001778</t>
  </si>
  <si>
    <t>所区排水管道</t>
  </si>
  <si>
    <t>280200001779</t>
  </si>
  <si>
    <t>消防设施</t>
  </si>
  <si>
    <t>280200001780</t>
  </si>
  <si>
    <t>围墙及大门</t>
  </si>
  <si>
    <t>280200001781</t>
  </si>
  <si>
    <t>所区挡土墙</t>
  </si>
  <si>
    <t>280200001782</t>
  </si>
  <si>
    <t>进所道路</t>
  </si>
  <si>
    <t>280200001783</t>
  </si>
  <si>
    <t>所外便道</t>
  </si>
  <si>
    <t>280200001784</t>
  </si>
  <si>
    <t>站外排水沟</t>
  </si>
  <si>
    <t>280200001785</t>
  </si>
  <si>
    <t>永临通讯电子围栏固定围墙</t>
  </si>
  <si>
    <t>280200001786</t>
  </si>
  <si>
    <t>外接电源基础</t>
  </si>
  <si>
    <t>280200001787</t>
  </si>
  <si>
    <t>聚源站110KV蒲阳间隔配电装置基础</t>
  </si>
  <si>
    <t>280200001788</t>
  </si>
  <si>
    <t>220KV构支架及基础</t>
  </si>
  <si>
    <t>280200001789</t>
  </si>
  <si>
    <t>110KV构支架</t>
  </si>
  <si>
    <t>280200001790</t>
  </si>
  <si>
    <t>主变及母线桥支架</t>
  </si>
  <si>
    <t>280200001791</t>
  </si>
  <si>
    <t>限流电抗器基础</t>
  </si>
  <si>
    <t>280200001792</t>
  </si>
  <si>
    <t>电缆沟</t>
  </si>
  <si>
    <t>280200001793</t>
  </si>
  <si>
    <t>280200001794</t>
  </si>
  <si>
    <t>280200001795</t>
  </si>
  <si>
    <t>车道及回车场</t>
  </si>
  <si>
    <t>280200001796</t>
  </si>
  <si>
    <t>280200001797</t>
  </si>
  <si>
    <t>独立避雷针</t>
  </si>
  <si>
    <t>280200001798</t>
  </si>
  <si>
    <t>化粪池</t>
  </si>
  <si>
    <t>280200001799</t>
  </si>
  <si>
    <t>280200001800</t>
  </si>
  <si>
    <t>所区上下水道</t>
  </si>
  <si>
    <t>280200001801</t>
  </si>
  <si>
    <t>保坎</t>
  </si>
  <si>
    <t>280200001802</t>
  </si>
  <si>
    <t>所区道路</t>
  </si>
  <si>
    <t>280200001803</t>
  </si>
  <si>
    <t>进所道路及排水沟</t>
  </si>
  <si>
    <t>280200001804</t>
  </si>
  <si>
    <t>280200001812</t>
  </si>
  <si>
    <t>280200001816</t>
  </si>
  <si>
    <t>进站公路</t>
  </si>
  <si>
    <t>280200001817</t>
  </si>
  <si>
    <t>构架等</t>
  </si>
  <si>
    <t>280200001818</t>
  </si>
  <si>
    <t>支架等</t>
  </si>
  <si>
    <t>280200001819</t>
  </si>
  <si>
    <t>110kV金江变电站主控制楼围墙</t>
  </si>
  <si>
    <t>280200001826</t>
  </si>
  <si>
    <t>栅栏</t>
  </si>
  <si>
    <t>280200001828</t>
  </si>
  <si>
    <t>进站道路</t>
  </si>
  <si>
    <t>280200001836</t>
  </si>
  <si>
    <t>280200001837</t>
  </si>
  <si>
    <t>280200001838</t>
  </si>
  <si>
    <t>110KV户外配电架构及装置</t>
  </si>
  <si>
    <t>280200001839</t>
  </si>
  <si>
    <t>厂（所）区室外照明装置</t>
  </si>
  <si>
    <t>280200001840</t>
  </si>
  <si>
    <t>所区建筑</t>
  </si>
  <si>
    <t>280200001841</t>
  </si>
  <si>
    <t>围墙、进站道路及水沟</t>
  </si>
  <si>
    <t>280200001847</t>
  </si>
  <si>
    <t>智能化表度基础</t>
  </si>
  <si>
    <t>280200002236</t>
  </si>
  <si>
    <t>280200002238</t>
  </si>
  <si>
    <t>280200002239</t>
  </si>
  <si>
    <t>电缆沟、排水沟</t>
  </si>
  <si>
    <t>280200002240</t>
  </si>
  <si>
    <t>围墙（约230米）道路</t>
  </si>
  <si>
    <t>280200002241</t>
  </si>
  <si>
    <t>280200007582</t>
  </si>
  <si>
    <t>280200007658</t>
  </si>
  <si>
    <t>280200007705</t>
  </si>
  <si>
    <t>280200007706</t>
  </si>
  <si>
    <t>门型架</t>
  </si>
  <si>
    <t>280200007707</t>
  </si>
  <si>
    <t>280200007708</t>
  </si>
  <si>
    <t>1号避雷针</t>
  </si>
  <si>
    <t>280200007774</t>
  </si>
  <si>
    <t>280200007775</t>
  </si>
  <si>
    <t>280200007776</t>
  </si>
  <si>
    <t>280200007777</t>
  </si>
  <si>
    <t>避雷针塔</t>
  </si>
  <si>
    <t>280200007778</t>
  </si>
  <si>
    <t>280200009842</t>
  </si>
  <si>
    <t>聚源变110KV崇义牵引站出线间隔母线构架、栈桥</t>
  </si>
  <si>
    <t>280200010213</t>
  </si>
  <si>
    <t>280200010214</t>
  </si>
  <si>
    <t>280200010215</t>
  </si>
  <si>
    <t>280200010216</t>
  </si>
  <si>
    <t>站内道路</t>
  </si>
  <si>
    <t>280200010217</t>
  </si>
  <si>
    <t>280200010218</t>
  </si>
  <si>
    <t>厂区室外照明装置</t>
  </si>
  <si>
    <t>280200010219</t>
  </si>
  <si>
    <t>接地网</t>
  </si>
  <si>
    <t>280200010255</t>
  </si>
  <si>
    <t>事故排油池</t>
  </si>
  <si>
    <t>280200010256</t>
  </si>
  <si>
    <t>2号避雷针</t>
  </si>
  <si>
    <t>280200010257</t>
  </si>
  <si>
    <t>3号避雷针</t>
  </si>
  <si>
    <t>280200011242</t>
  </si>
  <si>
    <t>2011年输电线路保坎</t>
  </si>
  <si>
    <t>280200012578</t>
  </si>
  <si>
    <t>35kV彭县变电站接地网</t>
  </si>
  <si>
    <t>280200012579</t>
  </si>
  <si>
    <t>35kV彭县变电站避雷针</t>
  </si>
  <si>
    <t>280200012683</t>
  </si>
  <si>
    <t>接地网接地网</t>
  </si>
  <si>
    <t>280200012684</t>
  </si>
  <si>
    <t>280200012685</t>
  </si>
  <si>
    <t>280200012686</t>
  </si>
  <si>
    <t>280200012691</t>
  </si>
  <si>
    <t>280200012692</t>
  </si>
  <si>
    <t>280200012693</t>
  </si>
  <si>
    <t>280200012694</t>
  </si>
  <si>
    <t>4号避雷针</t>
  </si>
  <si>
    <t>280200012695</t>
  </si>
  <si>
    <t>公用单元接地网</t>
  </si>
  <si>
    <t>280200014046</t>
  </si>
  <si>
    <t>220kV源丹北线构架</t>
  </si>
  <si>
    <t>280200014047</t>
  </si>
  <si>
    <t>220kV源丹北线间隔场地道路</t>
  </si>
  <si>
    <t>280200014137</t>
  </si>
  <si>
    <t>110KV彩虹站构架</t>
  </si>
  <si>
    <t>280200014138</t>
  </si>
  <si>
    <t>110KV彩虹站事故油池</t>
  </si>
  <si>
    <t>280200014139</t>
  </si>
  <si>
    <t>110KV彩虹站避雷针塔</t>
  </si>
  <si>
    <t>280200014140</t>
  </si>
  <si>
    <t>110KV彩虹站电缆沟道</t>
  </si>
  <si>
    <t>280200014141</t>
  </si>
  <si>
    <t>110KV彩虹站操作小道</t>
  </si>
  <si>
    <t>280200014142</t>
  </si>
  <si>
    <t>110KV彩虹站站区道路</t>
  </si>
  <si>
    <t>280200014143</t>
  </si>
  <si>
    <t>110KV彩虹站检查井</t>
  </si>
  <si>
    <t>280200014144</t>
  </si>
  <si>
    <t>110KV彩虹站围墙及大门</t>
  </si>
  <si>
    <t>280200014145</t>
  </si>
  <si>
    <t>110KV彩虹站挡土墙</t>
  </si>
  <si>
    <t>280200014146</t>
  </si>
  <si>
    <t>110KV彩虹站进站道路</t>
  </si>
  <si>
    <t>280200014421</t>
  </si>
  <si>
    <t>2号主变场地构架</t>
  </si>
  <si>
    <t>280200014422</t>
  </si>
  <si>
    <t>2号主变场地电缆沟道</t>
  </si>
  <si>
    <t>280200014427</t>
  </si>
  <si>
    <t>主变场地构架</t>
  </si>
  <si>
    <t>280200014428</t>
  </si>
  <si>
    <t>主变场地电缆沟道</t>
  </si>
  <si>
    <t>280200014559</t>
  </si>
  <si>
    <t>110kV公用接地网</t>
  </si>
  <si>
    <t>280200014560</t>
  </si>
  <si>
    <t>10kV公用接地网</t>
  </si>
  <si>
    <t>280200014561</t>
  </si>
  <si>
    <t>280200014562</t>
  </si>
  <si>
    <t>280200014563</t>
  </si>
  <si>
    <t>280200014610</t>
  </si>
  <si>
    <t>110KV青城山站绕镇路南至芒城村电缆沟</t>
  </si>
  <si>
    <t>280200014611</t>
  </si>
  <si>
    <t>10KV虹康路映电花园01环网柜-映电花园02环网柜-映电花园03环网柜电缆排管</t>
  </si>
  <si>
    <t>280200014612</t>
  </si>
  <si>
    <t>110KV青城山站绕镇路至芙蓉路口电缆沟</t>
  </si>
  <si>
    <t>280200014613</t>
  </si>
  <si>
    <t>110KV青城山站芙蓉路口南至芙蓉路口北电缆沟</t>
  </si>
  <si>
    <t>280200014614</t>
  </si>
  <si>
    <t>110KV青城山站芙蓉路口至环山路电缆沟</t>
  </si>
  <si>
    <t>280200014615</t>
  </si>
  <si>
    <t>110KV彩虹变电站围墙外10KV出线至翔凤路口电缆沟(含有一段排管)</t>
  </si>
  <si>
    <t>280200015536</t>
  </si>
  <si>
    <t>消防系统</t>
  </si>
  <si>
    <t>280200015537</t>
  </si>
  <si>
    <t>220KV驾青桥变电站厂（所）区室外照明装置</t>
  </si>
  <si>
    <t>280200015538</t>
  </si>
  <si>
    <t>电缆沟站区道路及广场站外道路</t>
  </si>
  <si>
    <t>280200015539</t>
  </si>
  <si>
    <t>围墙挡土墙</t>
  </si>
  <si>
    <t>280200015540</t>
  </si>
  <si>
    <t>220kV构架及设备基础</t>
  </si>
  <si>
    <t>280200015541</t>
  </si>
  <si>
    <t>110kV构架及设备基础</t>
  </si>
  <si>
    <t>280200015542</t>
  </si>
  <si>
    <t>无功补偿设备及消弧线圈基础</t>
  </si>
  <si>
    <t>280200015543</t>
  </si>
  <si>
    <t>1#主变压器系统基础</t>
  </si>
  <si>
    <t>280200015544</t>
  </si>
  <si>
    <t>2#主变压器系统基础</t>
  </si>
  <si>
    <t>280200015545</t>
  </si>
  <si>
    <t>备用主变压器系统基础</t>
  </si>
  <si>
    <t>280200015546</t>
  </si>
  <si>
    <t>280200015547</t>
  </si>
  <si>
    <t>给排水系统</t>
  </si>
  <si>
    <t>280200016123</t>
  </si>
  <si>
    <t>站区道路及广场</t>
  </si>
  <si>
    <t>280200016124</t>
  </si>
  <si>
    <t>280200016125</t>
  </si>
  <si>
    <t>280200016126</t>
  </si>
  <si>
    <t>站区室外照明装置</t>
  </si>
  <si>
    <t>280200016127</t>
  </si>
  <si>
    <t>电缆沟（480米）</t>
  </si>
  <si>
    <t>280200016128</t>
  </si>
  <si>
    <t>280200016129</t>
  </si>
  <si>
    <t>280200016130</t>
  </si>
  <si>
    <t>280200016131</t>
  </si>
  <si>
    <t>280200016132</t>
  </si>
  <si>
    <t>280200016133</t>
  </si>
  <si>
    <t>280200016134</t>
  </si>
  <si>
    <t>280200016135</t>
  </si>
  <si>
    <t>280200016158</t>
  </si>
  <si>
    <t>110KV玉堂站至玉沿路电缆通道</t>
  </si>
  <si>
    <t>280200019277</t>
  </si>
  <si>
    <t>280200019278</t>
  </si>
  <si>
    <t>280200019279</t>
  </si>
  <si>
    <t>280200019280</t>
  </si>
  <si>
    <t>280200019281</t>
  </si>
  <si>
    <t>280200019282</t>
  </si>
  <si>
    <t>280200019283</t>
  </si>
  <si>
    <t>280200019284</t>
  </si>
  <si>
    <t>280200019285</t>
  </si>
  <si>
    <t>280200019286</t>
  </si>
  <si>
    <t>280200020772</t>
  </si>
  <si>
    <t>280300002111</t>
  </si>
  <si>
    <t>环城路电缆通讯管道</t>
  </si>
  <si>
    <t>280300002112</t>
  </si>
  <si>
    <t>进水口</t>
  </si>
  <si>
    <t>280300002113</t>
  </si>
  <si>
    <t>280300002114</t>
  </si>
  <si>
    <t>压力前池</t>
  </si>
  <si>
    <t>280300002115</t>
  </si>
  <si>
    <t>280300002116</t>
  </si>
  <si>
    <t>交通工程桥</t>
  </si>
  <si>
    <t>280300002117</t>
  </si>
  <si>
    <t>围墙及其它建筑</t>
  </si>
  <si>
    <t>300000000022</t>
  </si>
  <si>
    <t>土地</t>
  </si>
  <si>
    <t>600000015337</t>
  </si>
  <si>
    <t>10kV金铁一路聚源镇泉水村十八组2号公变</t>
  </si>
  <si>
    <t>600000015339</t>
  </si>
  <si>
    <t>都江堰公司2012年配网加固提高（配电线路）</t>
  </si>
  <si>
    <t>省外划拨</t>
  </si>
  <si>
    <t>填报单位</t>
  </si>
  <si>
    <t>调出单位</t>
  </si>
  <si>
    <t>调入单位</t>
  </si>
  <si>
    <t>调出金额</t>
  </si>
  <si>
    <t>调入金额</t>
  </si>
  <si>
    <t>核对</t>
  </si>
  <si>
    <t>省内地市间划拨</t>
  </si>
  <si>
    <t>子分公司间划转资产</t>
  </si>
  <si>
    <t>国网四川省电力公司都江堰市供电分公司</t>
  </si>
  <si>
    <t>国网四川省电力公司金堂县供电分公司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</si>
</sst>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_ * #,##0.00_ ;_ * \-#,##0.00_ ;_ * &quot;-&quot;??_ ;_ @_ "/>
    <numFmt numFmtId="177" formatCode="yyyy\-m\-d"/>
    <numFmt numFmtId="178" formatCode="#,##0.00_ "/>
    <numFmt numFmtId="179" formatCode="0_ "/>
    <numFmt numFmtId="180" formatCode="0.00_);[Red]\(0.00\)"/>
    <numFmt numFmtId="181" formatCode="0.00_ "/>
  </numFmts>
  <fonts count="14">
    <font>
      <sz val="12"/>
      <name val="宋体"/>
      <charset val="134"/>
    </font>
    <font>
      <b/>
      <sz val="14"/>
      <name val="宋体"/>
      <charset val="134"/>
    </font>
    <font>
      <b/>
      <sz val="10"/>
      <name val="宋体"/>
      <charset val="134"/>
    </font>
    <font>
      <sz val="9"/>
      <name val="宋体"/>
      <charset val="134"/>
    </font>
    <font>
      <sz val="10"/>
      <name val="宋体"/>
      <charset val="134"/>
    </font>
    <font>
      <b/>
      <sz val="10"/>
      <color indexed="10"/>
      <name val="宋体"/>
      <charset val="134"/>
    </font>
    <font>
      <sz val="10"/>
      <color indexed="10"/>
      <name val="宋体"/>
      <charset val="134"/>
    </font>
    <font>
      <b/>
      <sz val="10"/>
      <color indexed="8"/>
      <name val="宋体"/>
      <charset val="134"/>
    </font>
    <font>
      <sz val="10"/>
      <name val="Arial"/>
      <family val="2"/>
    </font>
    <font>
      <b/>
      <sz val="9"/>
      <name val="宋体"/>
      <charset val="134"/>
    </font>
    <font>
      <b/>
      <sz val="9"/>
      <color indexed="8"/>
      <name val="宋体"/>
      <charset val="134"/>
    </font>
    <font>
      <sz val="9"/>
      <color indexed="10"/>
      <name val="宋体"/>
      <charset val="134"/>
    </font>
    <font>
      <sz val="11"/>
      <color theme="1"/>
      <name val="宋体"/>
      <charset val="134"/>
      <scheme val="minor"/>
    </font>
    <font>
      <sz val="12"/>
      <name val="宋体"/>
      <charset val="134"/>
    </font>
  </fonts>
  <fills count="1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9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9">
    <xf numFmtId="0" fontId="0" fillId="0" borderId="0">
      <alignment vertical="center"/>
    </xf>
    <xf numFmtId="176" fontId="13" fillId="0" borderId="0" applyFont="0" applyFill="0" applyBorder="0" applyAlignment="0" applyProtection="0">
      <alignment vertical="center"/>
    </xf>
    <xf numFmtId="0" fontId="8" fillId="0" borderId="0"/>
    <xf numFmtId="0" fontId="13" fillId="0" borderId="0">
      <alignment vertical="center"/>
    </xf>
    <xf numFmtId="0" fontId="13" fillId="0" borderId="0">
      <alignment vertical="center"/>
    </xf>
    <xf numFmtId="0" fontId="8" fillId="0" borderId="0"/>
    <xf numFmtId="0" fontId="8" fillId="0" borderId="0"/>
    <xf numFmtId="0" fontId="13" fillId="0" borderId="0">
      <alignment vertical="center"/>
    </xf>
    <xf numFmtId="0" fontId="12" fillId="0" borderId="0">
      <alignment vertical="center"/>
    </xf>
  </cellStyleXfs>
  <cellXfs count="118">
    <xf numFmtId="0" fontId="0" fillId="0" borderId="0" xfId="0">
      <alignment vertical="center"/>
    </xf>
    <xf numFmtId="0" fontId="2" fillId="0" borderId="5" xfId="0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178" fontId="3" fillId="2" borderId="5" xfId="0" applyNumberFormat="1" applyFont="1" applyFill="1" applyBorder="1">
      <alignment vertical="center"/>
    </xf>
    <xf numFmtId="178" fontId="3" fillId="0" borderId="5" xfId="0" applyNumberFormat="1" applyFont="1" applyBorder="1" applyAlignment="1">
      <alignment vertical="center" wrapText="1"/>
    </xf>
    <xf numFmtId="0" fontId="4" fillId="0" borderId="5" xfId="0" applyFont="1" applyBorder="1">
      <alignment vertical="center"/>
    </xf>
    <xf numFmtId="178" fontId="4" fillId="0" borderId="5" xfId="0" applyNumberFormat="1" applyFont="1" applyBorder="1">
      <alignment vertical="center"/>
    </xf>
    <xf numFmtId="0" fontId="5" fillId="0" borderId="5" xfId="0" applyFont="1" applyBorder="1" applyAlignment="1">
      <alignment horizontal="center" vertical="center"/>
    </xf>
    <xf numFmtId="0" fontId="6" fillId="0" borderId="5" xfId="0" applyFont="1" applyBorder="1">
      <alignment vertical="center"/>
    </xf>
    <xf numFmtId="178" fontId="6" fillId="0" borderId="5" xfId="0" applyNumberFormat="1" applyFont="1" applyBorder="1">
      <alignment vertical="center"/>
    </xf>
    <xf numFmtId="0" fontId="4" fillId="3" borderId="5" xfId="0" applyFont="1" applyFill="1" applyBorder="1">
      <alignment vertical="center"/>
    </xf>
    <xf numFmtId="178" fontId="4" fillId="3" borderId="5" xfId="0" applyNumberFormat="1" applyFont="1" applyFill="1" applyBorder="1">
      <alignment vertical="center"/>
    </xf>
    <xf numFmtId="176" fontId="3" fillId="0" borderId="5" xfId="1" applyFont="1" applyBorder="1">
      <alignment vertical="center"/>
    </xf>
    <xf numFmtId="4" fontId="0" fillId="0" borderId="5" xfId="0" applyNumberFormat="1" applyBorder="1" applyAlignment="1">
      <alignment horizontal="center" vertical="center"/>
    </xf>
    <xf numFmtId="0" fontId="2" fillId="0" borderId="5" xfId="0" applyFont="1" applyBorder="1">
      <alignment vertical="center"/>
    </xf>
    <xf numFmtId="49" fontId="4" fillId="0" borderId="5" xfId="0" applyNumberFormat="1" applyFont="1" applyFill="1" applyBorder="1">
      <alignment vertical="center"/>
    </xf>
    <xf numFmtId="0" fontId="4" fillId="0" borderId="5" xfId="0" applyFont="1" applyFill="1" applyBorder="1">
      <alignment vertical="center"/>
    </xf>
    <xf numFmtId="14" fontId="4" fillId="0" borderId="5" xfId="0" applyNumberFormat="1" applyFont="1" applyFill="1" applyBorder="1">
      <alignment vertical="center"/>
    </xf>
    <xf numFmtId="180" fontId="4" fillId="0" borderId="5" xfId="0" applyNumberFormat="1" applyFont="1" applyFill="1" applyBorder="1">
      <alignment vertical="center"/>
    </xf>
    <xf numFmtId="180" fontId="4" fillId="0" borderId="5" xfId="0" applyNumberFormat="1" applyFont="1" applyFill="1" applyBorder="1" applyAlignment="1">
      <alignment horizontal="center" vertical="center"/>
    </xf>
    <xf numFmtId="49" fontId="4" fillId="0" borderId="5" xfId="0" applyNumberFormat="1" applyFont="1" applyFill="1" applyBorder="1" applyAlignment="1" applyProtection="1">
      <alignment horizontal="center" vertical="center"/>
      <protection locked="0"/>
    </xf>
    <xf numFmtId="0" fontId="4" fillId="0" borderId="5" xfId="0" applyFont="1" applyFill="1" applyBorder="1" applyAlignment="1" applyProtection="1">
      <alignment horizontal="center" vertical="center"/>
      <protection locked="0"/>
    </xf>
    <xf numFmtId="14" fontId="4" fillId="0" borderId="5" xfId="0" applyNumberFormat="1" applyFont="1" applyFill="1" applyBorder="1" applyAlignment="1" applyProtection="1">
      <alignment vertical="center"/>
      <protection locked="0"/>
    </xf>
    <xf numFmtId="180" fontId="4" fillId="0" borderId="5" xfId="1" applyNumberFormat="1" applyFont="1" applyFill="1" applyBorder="1" applyAlignment="1" applyProtection="1">
      <alignment horizontal="center" vertical="center"/>
      <protection locked="0"/>
    </xf>
    <xf numFmtId="0" fontId="7" fillId="0" borderId="5" xfId="0" applyFont="1" applyFill="1" applyBorder="1" applyAlignment="1" applyProtection="1">
      <alignment horizontal="center" vertical="center"/>
      <protection locked="0"/>
    </xf>
    <xf numFmtId="180" fontId="7" fillId="4" borderId="5" xfId="1" applyNumberFormat="1" applyFont="1" applyFill="1" applyBorder="1" applyAlignment="1" applyProtection="1">
      <alignment horizontal="center" vertical="center"/>
      <protection locked="0"/>
    </xf>
    <xf numFmtId="180" fontId="7" fillId="5" borderId="5" xfId="1" applyNumberFormat="1" applyFont="1" applyFill="1" applyBorder="1" applyAlignment="1" applyProtection="1">
      <alignment horizontal="center" vertical="center" wrapText="1"/>
      <protection locked="0"/>
    </xf>
    <xf numFmtId="0" fontId="8" fillId="0" borderId="0" xfId="0" applyFont="1" applyFill="1" applyAlignment="1"/>
    <xf numFmtId="0" fontId="4" fillId="0" borderId="0" xfId="0" applyFont="1" applyFill="1" applyAlignment="1"/>
    <xf numFmtId="14" fontId="8" fillId="0" borderId="0" xfId="0" applyNumberFormat="1" applyFont="1" applyFill="1" applyAlignment="1"/>
    <xf numFmtId="180" fontId="4" fillId="0" borderId="5" xfId="0" applyNumberFormat="1" applyFont="1" applyFill="1" applyBorder="1" applyAlignment="1" applyProtection="1">
      <alignment horizontal="center" vertical="center"/>
      <protection locked="0"/>
    </xf>
    <xf numFmtId="180" fontId="7" fillId="6" borderId="5" xfId="1" applyNumberFormat="1" applyFont="1" applyFill="1" applyBorder="1" applyAlignment="1" applyProtection="1">
      <alignment horizontal="center" vertical="center"/>
      <protection locked="0"/>
    </xf>
    <xf numFmtId="180" fontId="7" fillId="6" borderId="5" xfId="1" applyNumberFormat="1" applyFont="1" applyFill="1" applyBorder="1" applyAlignment="1" applyProtection="1">
      <alignment horizontal="center" vertical="center" wrapText="1"/>
      <protection locked="0"/>
    </xf>
    <xf numFmtId="180" fontId="7" fillId="0" borderId="5" xfId="0" applyNumberFormat="1" applyFont="1" applyFill="1" applyBorder="1" applyAlignment="1" applyProtection="1">
      <alignment horizontal="center" vertical="center"/>
      <protection locked="0"/>
    </xf>
    <xf numFmtId="180" fontId="7" fillId="0" borderId="5" xfId="1" applyNumberFormat="1" applyFont="1" applyFill="1" applyBorder="1" applyAlignment="1" applyProtection="1">
      <alignment horizontal="center" vertical="center"/>
      <protection locked="0"/>
    </xf>
    <xf numFmtId="176" fontId="7" fillId="0" borderId="5" xfId="1" applyFont="1" applyFill="1" applyBorder="1" applyAlignment="1" applyProtection="1">
      <alignment horizontal="center" vertical="center"/>
      <protection locked="0"/>
    </xf>
    <xf numFmtId="181" fontId="8" fillId="0" borderId="0" xfId="0" applyNumberFormat="1" applyFont="1" applyFill="1" applyAlignment="1"/>
    <xf numFmtId="0" fontId="2" fillId="0" borderId="5" xfId="0" applyFont="1" applyFill="1" applyBorder="1" applyAlignment="1" applyProtection="1">
      <alignment vertical="center"/>
      <protection locked="0"/>
    </xf>
    <xf numFmtId="0" fontId="4" fillId="0" borderId="5" xfId="0" applyFont="1" applyFill="1" applyBorder="1" applyAlignment="1" applyProtection="1">
      <alignment vertical="center"/>
      <protection locked="0"/>
    </xf>
    <xf numFmtId="177" fontId="2" fillId="0" borderId="5" xfId="0" applyNumberFormat="1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178" fontId="3" fillId="7" borderId="5" xfId="0" applyNumberFormat="1" applyFont="1" applyFill="1" applyBorder="1" applyProtection="1">
      <alignment vertical="center"/>
      <protection locked="0"/>
    </xf>
    <xf numFmtId="0" fontId="3" fillId="7" borderId="5" xfId="0" applyNumberFormat="1" applyFont="1" applyFill="1" applyBorder="1" applyProtection="1">
      <alignment vertical="center"/>
      <protection locked="0"/>
    </xf>
    <xf numFmtId="0" fontId="8" fillId="5" borderId="0" xfId="0" applyFont="1" applyFill="1" applyAlignment="1"/>
    <xf numFmtId="0" fontId="4" fillId="5" borderId="0" xfId="0" applyFont="1" applyFill="1" applyAlignment="1"/>
    <xf numFmtId="14" fontId="8" fillId="5" borderId="0" xfId="0" applyNumberFormat="1" applyFont="1" applyFill="1" applyAlignment="1"/>
    <xf numFmtId="181" fontId="8" fillId="5" borderId="0" xfId="0" applyNumberFormat="1" applyFont="1" applyFill="1" applyAlignment="1"/>
    <xf numFmtId="181" fontId="4" fillId="0" borderId="5" xfId="0" applyNumberFormat="1" applyFont="1" applyFill="1" applyBorder="1">
      <alignment vertical="center"/>
    </xf>
    <xf numFmtId="0" fontId="8" fillId="3" borderId="0" xfId="0" applyFont="1" applyFill="1" applyAlignment="1"/>
    <xf numFmtId="0" fontId="4" fillId="3" borderId="0" xfId="0" applyFont="1" applyFill="1" applyAlignment="1"/>
    <xf numFmtId="14" fontId="8" fillId="3" borderId="0" xfId="0" applyNumberFormat="1" applyFont="1" applyFill="1" applyAlignment="1"/>
    <xf numFmtId="180" fontId="4" fillId="3" borderId="5" xfId="0" applyNumberFormat="1" applyFont="1" applyFill="1" applyBorder="1">
      <alignment vertical="center"/>
    </xf>
    <xf numFmtId="181" fontId="8" fillId="3" borderId="0" xfId="0" applyNumberFormat="1" applyFont="1" applyFill="1" applyAlignment="1"/>
    <xf numFmtId="180" fontId="4" fillId="3" borderId="5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0" fillId="0" borderId="0" xfId="0" applyFill="1">
      <alignment vertical="center"/>
    </xf>
    <xf numFmtId="1" fontId="3" fillId="0" borderId="0" xfId="0" applyNumberFormat="1" applyFont="1" applyFill="1" applyBorder="1" applyAlignment="1" applyProtection="1">
      <alignment horizontal="center" vertical="center"/>
      <protection locked="0"/>
    </xf>
    <xf numFmtId="0" fontId="3" fillId="0" borderId="0" xfId="0" applyFont="1" applyFill="1" applyBorder="1" applyAlignment="1" applyProtection="1">
      <alignment horizontal="center" vertical="center"/>
      <protection locked="0"/>
    </xf>
    <xf numFmtId="14" fontId="3" fillId="0" borderId="0" xfId="0" applyNumberFormat="1" applyFont="1" applyFill="1" applyBorder="1" applyAlignment="1" applyProtection="1">
      <alignment vertical="center"/>
      <protection locked="0"/>
    </xf>
    <xf numFmtId="176" fontId="10" fillId="8" borderId="5" xfId="1" applyFont="1" applyFill="1" applyBorder="1" applyAlignment="1" applyProtection="1">
      <alignment horizontal="center" vertical="center" wrapText="1"/>
      <protection locked="0"/>
    </xf>
    <xf numFmtId="3" fontId="9" fillId="9" borderId="5" xfId="0" applyNumberFormat="1" applyFont="1" applyFill="1" applyBorder="1" applyAlignment="1" applyProtection="1">
      <alignment vertical="center"/>
    </xf>
    <xf numFmtId="178" fontId="3" fillId="10" borderId="5" xfId="0" applyNumberFormat="1" applyFont="1" applyFill="1" applyBorder="1" applyAlignment="1" applyProtection="1">
      <alignment horizontal="center" vertical="center"/>
    </xf>
    <xf numFmtId="178" fontId="3" fillId="9" borderId="5" xfId="0" applyNumberFormat="1" applyFont="1" applyFill="1" applyBorder="1">
      <alignment vertical="center"/>
    </xf>
    <xf numFmtId="178" fontId="3" fillId="10" borderId="5" xfId="0" applyNumberFormat="1" applyFont="1" applyFill="1" applyBorder="1">
      <alignment vertical="center"/>
    </xf>
    <xf numFmtId="3" fontId="3" fillId="0" borderId="5" xfId="0" applyNumberFormat="1" applyFont="1" applyBorder="1" applyAlignment="1" applyProtection="1">
      <alignment vertical="center"/>
    </xf>
    <xf numFmtId="178" fontId="3" fillId="0" borderId="5" xfId="0" applyNumberFormat="1" applyFont="1" applyBorder="1">
      <alignment vertical="center"/>
    </xf>
    <xf numFmtId="0" fontId="3" fillId="0" borderId="5" xfId="0" applyFont="1" applyBorder="1" applyAlignment="1" applyProtection="1">
      <alignment vertical="center"/>
    </xf>
    <xf numFmtId="0" fontId="9" fillId="9" borderId="5" xfId="0" applyFont="1" applyFill="1" applyBorder="1" applyAlignment="1" applyProtection="1">
      <alignment vertical="center"/>
    </xf>
    <xf numFmtId="0" fontId="9" fillId="3" borderId="5" xfId="0" applyFont="1" applyFill="1" applyBorder="1" applyAlignment="1" applyProtection="1">
      <alignment vertical="center"/>
    </xf>
    <xf numFmtId="178" fontId="3" fillId="3" borderId="5" xfId="0" applyNumberFormat="1" applyFont="1" applyFill="1" applyBorder="1">
      <alignment vertical="center"/>
    </xf>
    <xf numFmtId="0" fontId="3" fillId="0" borderId="5" xfId="0" applyFont="1" applyFill="1" applyBorder="1" applyAlignment="1" applyProtection="1">
      <alignment vertical="center"/>
    </xf>
    <xf numFmtId="0" fontId="9" fillId="0" borderId="5" xfId="0" applyFont="1" applyBorder="1" applyAlignment="1" applyProtection="1">
      <alignment vertical="center"/>
    </xf>
    <xf numFmtId="0" fontId="9" fillId="0" borderId="5" xfId="0" applyFont="1" applyBorder="1" applyAlignment="1" applyProtection="1">
      <alignment horizontal="left" vertical="center"/>
    </xf>
    <xf numFmtId="0" fontId="9" fillId="0" borderId="5" xfId="0" applyFont="1" applyFill="1" applyBorder="1" applyAlignment="1" applyProtection="1">
      <alignment vertical="center"/>
    </xf>
    <xf numFmtId="178" fontId="3" fillId="0" borderId="5" xfId="0" applyNumberFormat="1" applyFont="1" applyFill="1" applyBorder="1">
      <alignment vertical="center"/>
    </xf>
    <xf numFmtId="176" fontId="3" fillId="0" borderId="0" xfId="1" applyFont="1" applyFill="1" applyBorder="1" applyAlignment="1" applyProtection="1">
      <alignment horizontal="center" vertical="center"/>
      <protection locked="0"/>
    </xf>
    <xf numFmtId="181" fontId="0" fillId="0" borderId="0" xfId="0" applyNumberFormat="1">
      <alignment vertical="center"/>
    </xf>
    <xf numFmtId="178" fontId="0" fillId="0" borderId="0" xfId="0" applyNumberFormat="1">
      <alignment vertical="center"/>
    </xf>
    <xf numFmtId="0" fontId="3" fillId="0" borderId="0" xfId="0" applyFont="1">
      <alignment vertical="center"/>
    </xf>
    <xf numFmtId="176" fontId="10" fillId="11" borderId="5" xfId="1" applyFont="1" applyFill="1" applyBorder="1" applyAlignment="1" applyProtection="1">
      <alignment horizontal="center" vertical="center" wrapText="1"/>
      <protection locked="0"/>
    </xf>
    <xf numFmtId="176" fontId="10" fillId="5" borderId="5" xfId="1" applyFont="1" applyFill="1" applyBorder="1" applyAlignment="1" applyProtection="1">
      <alignment horizontal="center" vertical="center" wrapText="1"/>
      <protection locked="0"/>
    </xf>
    <xf numFmtId="0" fontId="9" fillId="12" borderId="5" xfId="0" applyFont="1" applyFill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3" fontId="9" fillId="0" borderId="5" xfId="0" applyNumberFormat="1" applyFont="1" applyBorder="1" applyAlignment="1" applyProtection="1">
      <alignment vertical="center"/>
    </xf>
    <xf numFmtId="178" fontId="3" fillId="12" borderId="5" xfId="0" applyNumberFormat="1" applyFont="1" applyFill="1" applyBorder="1">
      <alignment vertical="center"/>
    </xf>
    <xf numFmtId="0" fontId="9" fillId="11" borderId="5" xfId="0" applyFont="1" applyFill="1" applyBorder="1" applyAlignment="1">
      <alignment horizontal="center" vertical="center"/>
    </xf>
    <xf numFmtId="176" fontId="10" fillId="11" borderId="5" xfId="1" applyFont="1" applyFill="1" applyBorder="1" applyAlignment="1" applyProtection="1">
      <alignment horizontal="center" vertical="center"/>
      <protection locked="0"/>
    </xf>
    <xf numFmtId="178" fontId="3" fillId="12" borderId="5" xfId="0" applyNumberFormat="1" applyFont="1" applyFill="1" applyBorder="1" applyProtection="1">
      <alignment vertical="center"/>
    </xf>
    <xf numFmtId="0" fontId="9" fillId="11" borderId="5" xfId="0" applyFont="1" applyFill="1" applyBorder="1" applyAlignment="1">
      <alignment horizontal="center" vertical="center" wrapText="1"/>
    </xf>
    <xf numFmtId="178" fontId="11" fillId="2" borderId="5" xfId="0" applyNumberFormat="1" applyFont="1" applyFill="1" applyBorder="1">
      <alignment vertical="center"/>
    </xf>
    <xf numFmtId="178" fontId="11" fillId="0" borderId="5" xfId="0" applyNumberFormat="1" applyFont="1" applyBorder="1">
      <alignment vertical="center"/>
    </xf>
    <xf numFmtId="0" fontId="3" fillId="0" borderId="0" xfId="0" applyFont="1" applyFill="1" applyAlignment="1" applyProtection="1">
      <alignment horizontal="center" vertical="center"/>
      <protection locked="0"/>
    </xf>
    <xf numFmtId="0" fontId="8" fillId="5" borderId="0" xfId="0" quotePrefix="1" applyFont="1" applyFill="1" applyAlignment="1"/>
    <xf numFmtId="0" fontId="1" fillId="0" borderId="0" xfId="0" applyFont="1" applyFill="1" applyAlignment="1" applyProtection="1">
      <alignment horizontal="center" vertical="center"/>
      <protection locked="0"/>
    </xf>
    <xf numFmtId="0" fontId="3" fillId="0" borderId="7" xfId="0" applyFont="1" applyFill="1" applyBorder="1" applyAlignment="1" applyProtection="1">
      <alignment horizontal="center" vertical="center"/>
      <protection locked="0"/>
    </xf>
    <xf numFmtId="0" fontId="9" fillId="11" borderId="2" xfId="0" applyFont="1" applyFill="1" applyBorder="1" applyAlignment="1">
      <alignment horizontal="center" vertical="center"/>
    </xf>
    <xf numFmtId="0" fontId="9" fillId="11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5" xfId="0" applyFont="1" applyFill="1" applyBorder="1" applyAlignment="1" applyProtection="1">
      <alignment horizontal="center" vertical="center"/>
    </xf>
    <xf numFmtId="176" fontId="10" fillId="12" borderId="5" xfId="1" applyFont="1" applyFill="1" applyBorder="1" applyAlignment="1" applyProtection="1">
      <alignment horizontal="center" vertical="center" wrapText="1"/>
      <protection locked="0"/>
    </xf>
    <xf numFmtId="0" fontId="9" fillId="8" borderId="2" xfId="0" applyFont="1" applyFill="1" applyBorder="1" applyAlignment="1">
      <alignment horizontal="center" vertical="center"/>
    </xf>
    <xf numFmtId="0" fontId="9" fillId="8" borderId="6" xfId="0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179" fontId="2" fillId="0" borderId="5" xfId="0" applyNumberFormat="1" applyFont="1" applyFill="1" applyBorder="1" applyAlignment="1" applyProtection="1">
      <alignment horizontal="center" vertical="center"/>
      <protection locked="0"/>
    </xf>
    <xf numFmtId="180" fontId="4" fillId="0" borderId="5" xfId="0" applyNumberFormat="1" applyFont="1" applyFill="1" applyBorder="1" applyAlignment="1" applyProtection="1">
      <alignment horizontal="center" vertical="center"/>
      <protection locked="0"/>
    </xf>
    <xf numFmtId="180" fontId="7" fillId="4" borderId="5" xfId="1" applyNumberFormat="1" applyFont="1" applyFill="1" applyBorder="1" applyAlignment="1" applyProtection="1">
      <alignment horizontal="center" vertical="center"/>
      <protection locked="0"/>
    </xf>
    <xf numFmtId="180" fontId="7" fillId="6" borderId="5" xfId="1" applyNumberFormat="1" applyFont="1" applyFill="1" applyBorder="1" applyAlignment="1" applyProtection="1">
      <alignment horizontal="center" vertical="center"/>
      <protection locked="0"/>
    </xf>
    <xf numFmtId="0" fontId="7" fillId="0" borderId="5" xfId="0" applyFont="1" applyFill="1" applyBorder="1" applyAlignment="1" applyProtection="1">
      <alignment horizontal="center" vertical="center"/>
      <protection locked="0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49" fontId="7" fillId="0" borderId="5" xfId="0" applyNumberFormat="1" applyFont="1" applyFill="1" applyBorder="1" applyAlignment="1" applyProtection="1">
      <alignment horizontal="center" vertical="center"/>
      <protection locked="0"/>
    </xf>
    <xf numFmtId="14" fontId="7" fillId="0" borderId="5" xfId="0" applyNumberFormat="1" applyFont="1" applyFill="1" applyBorder="1" applyAlignment="1" applyProtection="1">
      <alignment horizontal="center" vertical="center"/>
      <protection locked="0"/>
    </xf>
    <xf numFmtId="14" fontId="7" fillId="0" borderId="1" xfId="0" applyNumberFormat="1" applyFont="1" applyFill="1" applyBorder="1" applyAlignment="1" applyProtection="1">
      <alignment horizontal="center" vertical="center"/>
      <protection locked="0"/>
    </xf>
    <xf numFmtId="14" fontId="7" fillId="0" borderId="4" xfId="0" applyNumberFormat="1" applyFont="1" applyFill="1" applyBorder="1" applyAlignment="1" applyProtection="1">
      <alignment horizontal="center" vertical="center"/>
      <protection locked="0"/>
    </xf>
    <xf numFmtId="0" fontId="1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</cellXfs>
  <cellStyles count="9">
    <cellStyle name="常规" xfId="0" builtinId="0"/>
    <cellStyle name="常规 10 2" xfId="5" xr:uid="{00000000-0005-0000-0000-000001000000}"/>
    <cellStyle name="常规 2" xfId="6" xr:uid="{00000000-0005-0000-0000-000002000000}"/>
    <cellStyle name="常规 2 2" xfId="3" xr:uid="{00000000-0005-0000-0000-000003000000}"/>
    <cellStyle name="常规 2 3" xfId="4" xr:uid="{00000000-0005-0000-0000-000004000000}"/>
    <cellStyle name="常规 2 4" xfId="7" xr:uid="{00000000-0005-0000-0000-000005000000}"/>
    <cellStyle name="常规 5" xfId="8" xr:uid="{00000000-0005-0000-0000-000006000000}"/>
    <cellStyle name="常规 6" xfId="2" xr:uid="{00000000-0005-0000-0000-000007000000}"/>
    <cellStyle name="千位分隔" xfId="1" builtinId="3"/>
  </cellStyles>
  <dxfs count="3">
    <dxf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  <pageSetUpPr autoPageBreaks="0"/>
  </sheetPr>
  <dimension ref="A1:AP37"/>
  <sheetViews>
    <sheetView showZeros="0" topLeftCell="H1" workbookViewId="0">
      <selection activeCell="U31" sqref="U31"/>
    </sheetView>
  </sheetViews>
  <sheetFormatPr baseColWidth="10" defaultColWidth="9" defaultRowHeight="15"/>
  <cols>
    <col min="1" max="1" width="32.5" customWidth="1"/>
    <col min="2" max="3" width="15.1640625" customWidth="1"/>
    <col min="4" max="4" width="15.5" customWidth="1"/>
    <col min="5" max="5" width="13.5" customWidth="1"/>
    <col min="6" max="7" width="9.6640625" customWidth="1"/>
    <col min="8" max="8" width="11.33203125" customWidth="1"/>
    <col min="9" max="9" width="15" customWidth="1"/>
    <col min="10" max="10" width="14.5" customWidth="1"/>
    <col min="11" max="13" width="13.33203125" customWidth="1"/>
    <col min="14" max="14" width="10.6640625" customWidth="1"/>
    <col min="15" max="15" width="14" customWidth="1"/>
    <col min="16" max="17" width="15.1640625" customWidth="1"/>
    <col min="18" max="19" width="17.1640625" customWidth="1"/>
    <col min="20" max="20" width="12.83203125" customWidth="1"/>
    <col min="21" max="21" width="17.5" customWidth="1"/>
    <col min="22" max="22" width="15.6640625" customWidth="1"/>
    <col min="23" max="23" width="15.33203125" customWidth="1"/>
    <col min="24" max="24" width="12.83203125" customWidth="1"/>
    <col min="25" max="25" width="19.5" customWidth="1"/>
    <col min="26" max="26" width="12.83203125" customWidth="1"/>
    <col min="27" max="27" width="9" customWidth="1"/>
    <col min="28" max="28" width="11.6640625" customWidth="1"/>
    <col min="29" max="29" width="13.6640625" customWidth="1"/>
    <col min="30" max="30" width="12.1640625" customWidth="1"/>
    <col min="31" max="33" width="13" customWidth="1"/>
    <col min="34" max="34" width="10.6640625" customWidth="1"/>
    <col min="35" max="35" width="11.6640625" customWidth="1"/>
    <col min="36" max="36" width="12.1640625" customWidth="1"/>
    <col min="37" max="37" width="10.83203125" customWidth="1"/>
    <col min="38" max="38" width="20.33203125" customWidth="1"/>
    <col min="39" max="39" width="14.1640625" customWidth="1"/>
    <col min="40" max="40" width="13.83203125" customWidth="1"/>
    <col min="41" max="42" width="14.83203125" customWidth="1"/>
  </cols>
  <sheetData>
    <row r="1" spans="1:42" ht="17">
      <c r="A1" s="94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</row>
    <row r="2" spans="1:42">
      <c r="A2" s="57" t="str">
        <f>卡片数据!A2</f>
        <v>编制单位：国网四川省电力公司XXXX</v>
      </c>
      <c r="B2" s="58"/>
      <c r="C2" s="58"/>
      <c r="D2" s="58"/>
      <c r="E2" s="58"/>
      <c r="F2" s="58"/>
      <c r="G2" s="58"/>
      <c r="H2" s="58"/>
      <c r="I2" s="58"/>
      <c r="K2" s="58"/>
      <c r="L2" s="58"/>
      <c r="M2" s="58"/>
      <c r="N2" s="58"/>
      <c r="O2" s="58"/>
      <c r="P2" s="58"/>
      <c r="Q2" s="58"/>
      <c r="R2" s="59"/>
      <c r="S2" s="59"/>
      <c r="T2" s="59"/>
      <c r="U2" s="59"/>
      <c r="V2" s="76"/>
      <c r="W2" s="95" t="str">
        <f>卡片数据!I2</f>
        <v>编制日期：2019-12-31</v>
      </c>
      <c r="X2" s="95"/>
      <c r="Y2" s="95"/>
      <c r="Z2" s="95"/>
      <c r="AA2" s="95"/>
      <c r="AB2" s="76"/>
      <c r="AC2" s="58"/>
      <c r="AD2" s="58"/>
      <c r="AE2" s="58"/>
      <c r="AF2" s="58"/>
      <c r="AG2" s="58"/>
      <c r="AH2" s="58"/>
      <c r="AI2" s="58"/>
      <c r="AK2" s="92"/>
      <c r="AP2" s="58" t="str">
        <f>卡片数据!R2</f>
        <v>单位：元</v>
      </c>
    </row>
    <row r="3" spans="1:42" s="54" customFormat="1" ht="14.25" customHeight="1">
      <c r="A3" s="99" t="s">
        <v>1</v>
      </c>
      <c r="B3" s="96" t="s">
        <v>2</v>
      </c>
      <c r="C3" s="97"/>
      <c r="D3" s="98" t="s">
        <v>3</v>
      </c>
      <c r="E3" s="98"/>
      <c r="F3" s="98"/>
      <c r="G3" s="98"/>
      <c r="H3" s="98"/>
      <c r="I3" s="98"/>
      <c r="J3" s="98" t="s">
        <v>4</v>
      </c>
      <c r="K3" s="98"/>
      <c r="L3" s="98"/>
      <c r="M3" s="98"/>
      <c r="N3" s="98"/>
      <c r="O3" s="98"/>
      <c r="P3" s="98"/>
      <c r="Q3" s="98"/>
      <c r="R3" s="96" t="s">
        <v>5</v>
      </c>
      <c r="S3" s="97"/>
      <c r="T3" s="100" t="s">
        <v>6</v>
      </c>
      <c r="U3" s="100" t="s">
        <v>7</v>
      </c>
      <c r="V3" s="86" t="s">
        <v>2</v>
      </c>
      <c r="W3" s="98" t="s">
        <v>3</v>
      </c>
      <c r="X3" s="98"/>
      <c r="Y3" s="98"/>
      <c r="Z3" s="98"/>
      <c r="AA3" s="98"/>
      <c r="AB3" s="98"/>
      <c r="AC3" s="98"/>
      <c r="AD3" s="98" t="s">
        <v>4</v>
      </c>
      <c r="AE3" s="98"/>
      <c r="AF3" s="98"/>
      <c r="AG3" s="98"/>
      <c r="AH3" s="98"/>
      <c r="AI3" s="98"/>
      <c r="AJ3" s="98"/>
      <c r="AK3" s="98"/>
      <c r="AL3" s="86" t="s">
        <v>5</v>
      </c>
      <c r="AM3" s="100" t="s">
        <v>6</v>
      </c>
      <c r="AN3" s="100" t="s">
        <v>7</v>
      </c>
      <c r="AO3" s="96" t="s">
        <v>8</v>
      </c>
      <c r="AP3" s="97"/>
    </row>
    <row r="4" spans="1:42" s="55" customFormat="1" ht="33.75" customHeight="1">
      <c r="A4" s="99"/>
      <c r="B4" s="80" t="s">
        <v>9</v>
      </c>
      <c r="C4" s="81" t="s">
        <v>10</v>
      </c>
      <c r="D4" s="82" t="s">
        <v>11</v>
      </c>
      <c r="E4" s="83" t="s">
        <v>12</v>
      </c>
      <c r="F4" s="83" t="s">
        <v>13</v>
      </c>
      <c r="G4" s="83" t="s">
        <v>14</v>
      </c>
      <c r="H4" s="83" t="s">
        <v>15</v>
      </c>
      <c r="I4" s="83" t="s">
        <v>16</v>
      </c>
      <c r="J4" s="82" t="s">
        <v>11</v>
      </c>
      <c r="K4" s="83" t="s">
        <v>17</v>
      </c>
      <c r="L4" s="83" t="s">
        <v>18</v>
      </c>
      <c r="M4" s="83" t="s">
        <v>19</v>
      </c>
      <c r="N4" s="83" t="s">
        <v>13</v>
      </c>
      <c r="O4" s="83" t="s">
        <v>14</v>
      </c>
      <c r="P4" s="83" t="s">
        <v>15</v>
      </c>
      <c r="Q4" s="83" t="s">
        <v>16</v>
      </c>
      <c r="R4" s="80" t="s">
        <v>9</v>
      </c>
      <c r="S4" s="81" t="s">
        <v>10</v>
      </c>
      <c r="T4" s="100"/>
      <c r="U4" s="100"/>
      <c r="V4" s="87" t="s">
        <v>20</v>
      </c>
      <c r="W4" s="82" t="s">
        <v>11</v>
      </c>
      <c r="X4" s="83" t="s">
        <v>12</v>
      </c>
      <c r="Y4" s="89" t="s">
        <v>21</v>
      </c>
      <c r="Z4" s="83" t="s">
        <v>13</v>
      </c>
      <c r="AA4" s="83" t="s">
        <v>14</v>
      </c>
      <c r="AB4" s="83" t="s">
        <v>15</v>
      </c>
      <c r="AC4" s="83" t="s">
        <v>16</v>
      </c>
      <c r="AD4" s="82" t="s">
        <v>11</v>
      </c>
      <c r="AE4" s="83" t="s">
        <v>17</v>
      </c>
      <c r="AF4" s="83" t="s">
        <v>18</v>
      </c>
      <c r="AG4" s="83" t="s">
        <v>19</v>
      </c>
      <c r="AH4" s="83" t="s">
        <v>13</v>
      </c>
      <c r="AI4" s="83" t="s">
        <v>14</v>
      </c>
      <c r="AJ4" s="83" t="s">
        <v>15</v>
      </c>
      <c r="AK4" s="83" t="s">
        <v>16</v>
      </c>
      <c r="AL4" s="87" t="s">
        <v>20</v>
      </c>
      <c r="AM4" s="100"/>
      <c r="AN4" s="100"/>
      <c r="AO4" s="83" t="s">
        <v>22</v>
      </c>
      <c r="AP4" s="83" t="s">
        <v>23</v>
      </c>
    </row>
    <row r="5" spans="1:42" s="79" customFormat="1" ht="13">
      <c r="A5" s="84" t="s">
        <v>24</v>
      </c>
      <c r="B5" s="3">
        <f t="shared" ref="B5:S5" si="0">SUM(B6:B9)</f>
        <v>224501339.88</v>
      </c>
      <c r="C5" s="3">
        <f t="shared" ref="C5" si="1">SUM(C6:C9)</f>
        <v>21172876.039999999</v>
      </c>
      <c r="D5" s="85">
        <f t="shared" si="0"/>
        <v>22572594.530000001</v>
      </c>
      <c r="E5" s="3">
        <f t="shared" si="0"/>
        <v>22572594.530000001</v>
      </c>
      <c r="F5" s="3">
        <f t="shared" si="0"/>
        <v>0</v>
      </c>
      <c r="G5" s="3">
        <f t="shared" si="0"/>
        <v>0</v>
      </c>
      <c r="H5" s="3">
        <f t="shared" si="0"/>
        <v>0</v>
      </c>
      <c r="I5" s="3">
        <f t="shared" si="0"/>
        <v>0</v>
      </c>
      <c r="J5" s="85">
        <f t="shared" si="0"/>
        <v>0</v>
      </c>
      <c r="K5" s="3">
        <f t="shared" si="0"/>
        <v>0</v>
      </c>
      <c r="L5" s="3">
        <f t="shared" si="0"/>
        <v>0</v>
      </c>
      <c r="M5" s="3">
        <f t="shared" si="0"/>
        <v>0</v>
      </c>
      <c r="N5" s="3">
        <f t="shared" si="0"/>
        <v>0</v>
      </c>
      <c r="O5" s="3">
        <f t="shared" si="0"/>
        <v>0</v>
      </c>
      <c r="P5" s="3">
        <f t="shared" si="0"/>
        <v>0</v>
      </c>
      <c r="Q5" s="3">
        <f t="shared" si="0"/>
        <v>0</v>
      </c>
      <c r="R5" s="3">
        <f t="shared" si="0"/>
        <v>247073934.41</v>
      </c>
      <c r="S5" s="3">
        <f t="shared" si="0"/>
        <v>21172876.039999999</v>
      </c>
      <c r="T5" s="85">
        <f>B5+D5-J5-R5</f>
        <v>0</v>
      </c>
      <c r="U5" s="85">
        <f>I5-Q5</f>
        <v>0</v>
      </c>
      <c r="V5" s="3">
        <f>SUM(V6:V9)</f>
        <v>125156760.17</v>
      </c>
      <c r="W5" s="85">
        <f>SUM(W6:W9)</f>
        <v>7842366.9699999997</v>
      </c>
      <c r="X5" s="3">
        <f t="shared" ref="X5:AC5" si="2">SUM(X6:X9)</f>
        <v>0</v>
      </c>
      <c r="Y5" s="90">
        <f t="shared" si="2"/>
        <v>7842366.9699999997</v>
      </c>
      <c r="Z5" s="3">
        <f t="shared" si="2"/>
        <v>0</v>
      </c>
      <c r="AA5" s="3">
        <f t="shared" si="2"/>
        <v>0</v>
      </c>
      <c r="AB5" s="3">
        <f t="shared" si="2"/>
        <v>0</v>
      </c>
      <c r="AC5" s="3">
        <f t="shared" si="2"/>
        <v>0</v>
      </c>
      <c r="AD5" s="85">
        <f t="shared" ref="AD5:AL5" si="3">SUM(AD6:AD9)</f>
        <v>0</v>
      </c>
      <c r="AE5" s="3">
        <f t="shared" si="3"/>
        <v>0</v>
      </c>
      <c r="AF5" s="3">
        <f t="shared" si="3"/>
        <v>0</v>
      </c>
      <c r="AG5" s="3">
        <f t="shared" si="3"/>
        <v>0</v>
      </c>
      <c r="AH5" s="3">
        <f t="shared" si="3"/>
        <v>0</v>
      </c>
      <c r="AI5" s="3">
        <f t="shared" si="3"/>
        <v>0</v>
      </c>
      <c r="AJ5" s="3">
        <f t="shared" si="3"/>
        <v>0</v>
      </c>
      <c r="AK5" s="3">
        <f t="shared" si="3"/>
        <v>0</v>
      </c>
      <c r="AL5" s="3">
        <f t="shared" si="3"/>
        <v>132999127.14</v>
      </c>
      <c r="AM5" s="85">
        <f t="shared" ref="AM5:AM37" si="4">V5+W5-AD5-AL5</f>
        <v>0</v>
      </c>
      <c r="AN5" s="85">
        <f t="shared" ref="AN5:AN37" si="5">AC5-AK5</f>
        <v>0</v>
      </c>
      <c r="AO5" s="3">
        <f t="shared" ref="AO5:AP5" si="6">SUM(AO6:AO9)</f>
        <v>79293565.859999999</v>
      </c>
      <c r="AP5" s="3">
        <f t="shared" si="6"/>
        <v>79293565.859999999</v>
      </c>
    </row>
    <row r="6" spans="1:42" s="79" customFormat="1" ht="13">
      <c r="A6" s="65" t="s">
        <v>25</v>
      </c>
      <c r="B6" s="66">
        <f>SUMIFS(卡片数据!G:G,卡片数据!$B:$B,"输电线路",卡片数据!$D:$D,"500kV")</f>
        <v>0</v>
      </c>
      <c r="C6" s="66">
        <f>SUMIFS(卡片数据!H:H,卡片数据!$B:$B,"输电线路",卡片数据!$D:$D,"500kV")</f>
        <v>0</v>
      </c>
      <c r="D6" s="85">
        <f>SUM(E6:I6)</f>
        <v>0</v>
      </c>
      <c r="E6" s="66">
        <f>SUM(SUMIFS(卡片数据!$O:$O,卡片数据!$B:$B,"输电线路",卡片数据!$D:$D,"500kV",卡片数据!$N:$N,{"工程项目","零购项目","用户资产","盘盈资产","非货币性交易","捐赠增加"}))</f>
        <v>0</v>
      </c>
      <c r="F6" s="66">
        <f>SUMIFS(卡片数据!$O:$O,卡片数据!$B:$B,"输电线路",卡片数据!$D:$D,"500kV",卡片数据!$N:$N,"子分公司间划转资产")</f>
        <v>0</v>
      </c>
      <c r="G6" s="66">
        <f>SUMIFS(卡片数据!$O:$O,卡片数据!$B:$B,"输电线路",卡片数据!$D:$D,"500kV",卡片数据!$N:$N,"省外划拨")</f>
        <v>0</v>
      </c>
      <c r="H6" s="66">
        <f>SUMIFS(卡片数据!$O:$O,卡片数据!$B:$B,"输电线路",卡片数据!$D:$D,"500kV",卡片数据!$N:$N,"省内地市间划拨")</f>
        <v>0</v>
      </c>
      <c r="I6" s="66">
        <f>SUM(SUMIFS(卡片数据!$O:$O,卡片数据!$B:$B,"输电线路",卡片数据!$D:$D,"500kV",卡片数据!$N:$N,{"拆分合并重分类","地市内划拨"}))</f>
        <v>0</v>
      </c>
      <c r="J6" s="85">
        <f>SUM(K6:Q6)</f>
        <v>0</v>
      </c>
      <c r="K6" s="66">
        <f>SUM(SUMIFS(卡片数据!$R:$R,卡片数据!$B:$B,"输电线路",卡片数据!$D:$D,"500kV",卡片数据!$Q:$Q,{"报废"}))</f>
        <v>0</v>
      </c>
      <c r="L6" s="66">
        <f>SUM(SUMIFS(卡片数据!$R:$R,卡片数据!$B:$B,"输电线路",卡片数据!$D:$D,"500kV",卡片数据!$Q:$Q,{"出售"}))</f>
        <v>0</v>
      </c>
      <c r="M6" s="66">
        <f>SUM(SUMIFS(卡片数据!$R:$R,卡片数据!$B:$B,"输电线路",卡片数据!$D:$D,"500kV",卡片数据!$Q:$Q,{"三供一业无偿划出"}))</f>
        <v>0</v>
      </c>
      <c r="N6" s="66">
        <f>SUMIFS(卡片数据!$R:$R,卡片数据!$B:$B,"输电线路",卡片数据!$D:$D,"500kV",卡片数据!$Q:$Q,"子分公司间划转资产")</f>
        <v>0</v>
      </c>
      <c r="O6" s="66">
        <f>SUMIFS(卡片数据!$R:$R,卡片数据!$B:$B,"输电线路",卡片数据!$D:$D,"500kV",卡片数据!$Q:$Q,"省外划拨")</f>
        <v>0</v>
      </c>
      <c r="P6" s="66">
        <f>SUMIFS(卡片数据!$R:$R,卡片数据!$B:$B,"输电线路",卡片数据!$D:$D,"500kV",卡片数据!$Q:$Q,"省内地市间划拨")</f>
        <v>0</v>
      </c>
      <c r="Q6" s="66">
        <f>SUM(SUMIFS(卡片数据!$R:$R,卡片数据!$B:$B,"输电线路",卡片数据!$D:$D,"500kV",卡片数据!$Q:$Q,{"拆分合并重分类","地市内划拨"}))</f>
        <v>0</v>
      </c>
      <c r="R6" s="66">
        <f>SUMIFS(卡片数据!J:J,卡片数据!$B:$B,"输电线路",卡片数据!$D:$D,"500kV")</f>
        <v>0</v>
      </c>
      <c r="S6" s="66">
        <f>SUMIFS(卡片数据!K:K,卡片数据!$B:$B,"输电线路",卡片数据!$D:$D,"500kV")</f>
        <v>0</v>
      </c>
      <c r="T6" s="85">
        <f>B6+D6-J6-R6</f>
        <v>0</v>
      </c>
      <c r="U6" s="85">
        <f t="shared" ref="U6:U37" si="7">I6-Q6</f>
        <v>0</v>
      </c>
      <c r="V6" s="66">
        <f>SUMIFS(卡片数据!I:I,卡片数据!$B:$B,"输电线路",卡片数据!$D:$D,"500kV")</f>
        <v>0</v>
      </c>
      <c r="W6" s="85">
        <f>SUM(X6:AC6)</f>
        <v>0</v>
      </c>
      <c r="X6" s="66">
        <f>SUM(SUMIFS(卡片数据!$P:$P,卡片数据!$B:$B,"输电线路",卡片数据!$D:$D,"500kV",卡片数据!$N:$N,{"工程项目","零购项目","用户资产","盘盈资产","非货币性交易","捐赠增加"}))</f>
        <v>0</v>
      </c>
      <c r="Y6" s="91">
        <f>SUMIFS(卡片数据!M:M,卡片数据!$B:$B,"输电线路",卡片数据!$D:$D,"500kV")</f>
        <v>0</v>
      </c>
      <c r="Z6" s="66">
        <f>SUMIFS(卡片数据!$P:$P,卡片数据!$B:$B,"输电线路",卡片数据!$D:$D,"500kV",卡片数据!$N:$N,"子分公司间划转资产")</f>
        <v>0</v>
      </c>
      <c r="AA6" s="66">
        <f>SUMIFS(卡片数据!$P:$P,卡片数据!$B:$B,"输电线路",卡片数据!$D:$D,"500kV",卡片数据!$N:$N,"省外划拨")</f>
        <v>0</v>
      </c>
      <c r="AB6" s="66">
        <f>SUMIFS(卡片数据!$P:$P,卡片数据!$B:$B,"输电线路",卡片数据!$D:$D,"500kV",卡片数据!$N:$N,"省内地市间划拨")</f>
        <v>0</v>
      </c>
      <c r="AC6" s="66">
        <f>SUM(SUMIFS(卡片数据!$P:$P,卡片数据!$B:$B,"输电线路",卡片数据!$D:$D,"500kV",卡片数据!$N:$N,{"拆分合并重分类","地市内划拨"}))</f>
        <v>0</v>
      </c>
      <c r="AD6" s="85">
        <f>SUM(AE6:AK6)</f>
        <v>0</v>
      </c>
      <c r="AE6" s="66">
        <f>SUM(SUMIFS(卡片数据!$S:$S,卡片数据!$B:$B,"输电线路",卡片数据!$D:$D,"500kV",卡片数据!$Q:$Q,{"报废"}))</f>
        <v>0</v>
      </c>
      <c r="AF6" s="66">
        <f>SUM(SUMIFS(卡片数据!$S:$S,卡片数据!$B:$B,"输电线路",卡片数据!$D:$D,"500kV",卡片数据!$Q:$Q,{"出售"}))</f>
        <v>0</v>
      </c>
      <c r="AG6" s="66">
        <f>SUM(SUMIFS(卡片数据!$S:$S,卡片数据!$B:$B,"输电线路",卡片数据!$D:$D,"500kV",卡片数据!$Q:$Q,{"三供一业无偿划出"}))</f>
        <v>0</v>
      </c>
      <c r="AH6" s="66">
        <f>SUMIFS(卡片数据!$S:$S,卡片数据!$B:$B,"输电线路",卡片数据!$D:$D,"500kV",卡片数据!$Q:$Q,"子分公司间划转资产")</f>
        <v>0</v>
      </c>
      <c r="AI6" s="66">
        <f>SUMIFS(卡片数据!$S:$S,卡片数据!$B:$B,"输电线路",卡片数据!$D:$D,"500kV",卡片数据!$Q:$Q,"省外划拨")</f>
        <v>0</v>
      </c>
      <c r="AJ6" s="66">
        <f>SUMIFS(卡片数据!$S:$S,卡片数据!$B:$B,"输电线路",卡片数据!$D:$D,"500kV",卡片数据!$Q:$Q,"省内地市间划拨")</f>
        <v>0</v>
      </c>
      <c r="AK6" s="66">
        <f>SUM(SUMIFS(卡片数据!$S:$S,卡片数据!$B:$B,"输电线路",卡片数据!$D:$D,"500kV",卡片数据!$Q:$Q,{"拆分合并重分类","地市内划拨"}))</f>
        <v>0</v>
      </c>
      <c r="AL6" s="66">
        <f>SUMIFS(卡片数据!L:L,卡片数据!$B:$B,"输电线路",卡片数据!$D:$D,"500kV")</f>
        <v>0</v>
      </c>
      <c r="AM6" s="85">
        <f t="shared" si="4"/>
        <v>0</v>
      </c>
      <c r="AN6" s="85">
        <f t="shared" si="5"/>
        <v>0</v>
      </c>
      <c r="AO6" s="66">
        <f>SUMIFS(卡片数据!W:W,卡片数据!$B:$B,"输电线路",卡片数据!$D:$D,"500kV")</f>
        <v>0</v>
      </c>
      <c r="AP6" s="66">
        <f>SUMIFS(卡片数据!X:X,卡片数据!$B:$B,"输电线路",卡片数据!$D:$D,"500kV")</f>
        <v>0</v>
      </c>
    </row>
    <row r="7" spans="1:42" s="79" customFormat="1" ht="13">
      <c r="A7" s="65" t="s">
        <v>26</v>
      </c>
      <c r="B7" s="66">
        <f>SUMIFS(卡片数据!G:G,卡片数据!$B:$B,"输电线路",卡片数据!$D:$D,"220kV")</f>
        <v>0</v>
      </c>
      <c r="C7" s="66">
        <f>SUMIFS(卡片数据!H:H,卡片数据!$B:$B,"输电线路",卡片数据!$D:$D,"220kV")</f>
        <v>0</v>
      </c>
      <c r="D7" s="85">
        <f>SUM(E7:I7)</f>
        <v>0</v>
      </c>
      <c r="E7" s="66">
        <f>SUM(SUMIFS(卡片数据!$O:$O,卡片数据!$B:$B,"输电线路",卡片数据!$D:$D,"220kV",卡片数据!$N:$N,{"工程项目","零购项目","用户资产","盘盈资产","非货币性交易","捐赠增加"}))</f>
        <v>0</v>
      </c>
      <c r="F7" s="66">
        <f>SUMIFS(卡片数据!$O:$O,卡片数据!$B:$B,"输电线路",卡片数据!$D:$D,"220kV",卡片数据!$N:$N,"子分公司间划转资产")</f>
        <v>0</v>
      </c>
      <c r="G7" s="66">
        <f>SUMIFS(卡片数据!$O:$O,卡片数据!$B:$B,"输电线路",卡片数据!$D:$D,"220kV",卡片数据!$N:$N,"省外划拨")</f>
        <v>0</v>
      </c>
      <c r="H7" s="66">
        <f>SUMIFS(卡片数据!$O:$O,卡片数据!$B:$B,"输电线路",卡片数据!$D:$D,"220kV",卡片数据!$N:$N,"省内地市间划拨")</f>
        <v>0</v>
      </c>
      <c r="I7" s="66">
        <f>SUM(SUMIFS(卡片数据!$O:$O,卡片数据!$B:$B,"输电线路",卡片数据!$D:$D,"220kV",卡片数据!$N:$N,{"拆分合并重分类","地市内划拨"}))</f>
        <v>0</v>
      </c>
      <c r="J7" s="85">
        <f>SUM(K7:Q7)</f>
        <v>0</v>
      </c>
      <c r="K7" s="66">
        <f>SUM(SUMIFS(卡片数据!$R:$R,卡片数据!$B:$B,"输电线路",卡片数据!$D:$D,"220kV",卡片数据!$Q:$Q,{"报废"}))</f>
        <v>0</v>
      </c>
      <c r="L7" s="66">
        <f>SUM(SUMIFS(卡片数据!$R:$R,卡片数据!$B:$B,"输电线路",卡片数据!$D:$D,"220kV",卡片数据!$Q:$Q,{"出售"}))</f>
        <v>0</v>
      </c>
      <c r="M7" s="66">
        <f>SUM(SUMIFS(卡片数据!$R:$R,卡片数据!$B:$B,"输电线路",卡片数据!$D:$D,"220kV",卡片数据!$Q:$Q,{"三供一业无偿划出"}))</f>
        <v>0</v>
      </c>
      <c r="N7" s="66">
        <f>SUMIFS(卡片数据!$R:$R,卡片数据!$B:$B,"输电线路",卡片数据!$D:$D,"220kV",卡片数据!$Q:$Q,"子分公司间划转资产")</f>
        <v>0</v>
      </c>
      <c r="O7" s="66">
        <f>SUMIFS(卡片数据!$R:$R,卡片数据!$B:$B,"输电线路",卡片数据!$D:$D,"220kV",卡片数据!$Q:$Q,"省外划拨")</f>
        <v>0</v>
      </c>
      <c r="P7" s="66">
        <f>SUMIFS(卡片数据!$R:$R,卡片数据!$B:$B,"输电线路",卡片数据!$D:$D,"220kV",卡片数据!$Q:$Q,"省内地市间划拨")</f>
        <v>0</v>
      </c>
      <c r="Q7" s="66">
        <f>SUM(SUMIFS(卡片数据!$R:$R,卡片数据!$B:$B,"输电线路",卡片数据!$D:$D,"220kV",卡片数据!$Q:$Q,{"拆分合并重分类","地市内划拨"}))</f>
        <v>0</v>
      </c>
      <c r="R7" s="66">
        <f>SUMIFS(卡片数据!J:J,卡片数据!$B:$B,"输电线路",卡片数据!$D:$D,"220kV")</f>
        <v>0</v>
      </c>
      <c r="S7" s="66">
        <f>SUMIFS(卡片数据!K:K,卡片数据!$B:$B,"输电线路",卡片数据!$D:$D,"220kV")</f>
        <v>0</v>
      </c>
      <c r="T7" s="85">
        <f>B7+D7-J7-R7</f>
        <v>0</v>
      </c>
      <c r="U7" s="85">
        <f t="shared" si="7"/>
        <v>0</v>
      </c>
      <c r="V7" s="66">
        <f>SUMIFS(卡片数据!I:I,卡片数据!$B:$B,"输电线路",卡片数据!$D:$D,"220kV")</f>
        <v>0</v>
      </c>
      <c r="W7" s="85">
        <f>SUM(X7:AC7)</f>
        <v>0</v>
      </c>
      <c r="X7" s="66">
        <f>SUM(SUMIFS(卡片数据!$P:$P,卡片数据!$B:$B,"输电线路",卡片数据!$D:$D,"220kV",卡片数据!$N:$N,{"工程项目","零购项目","用户资产","盘盈资产","非货币性交易","捐赠增加"}))</f>
        <v>0</v>
      </c>
      <c r="Y7" s="91">
        <f>SUMIFS(卡片数据!M:M,卡片数据!$B:$B,"输电线路",卡片数据!$D:$D,"220kV")</f>
        <v>0</v>
      </c>
      <c r="Z7" s="66">
        <f>SUMIFS(卡片数据!$P:$P,卡片数据!$B:$B,"输电线路",卡片数据!$D:$D,"220kV",卡片数据!$N:$N,"子分公司间划转资产")</f>
        <v>0</v>
      </c>
      <c r="AA7" s="66">
        <f>SUMIFS(卡片数据!$P:$P,卡片数据!$B:$B,"输电线路",卡片数据!$D:$D,"220kV",卡片数据!$N:$N,"省外划拨")</f>
        <v>0</v>
      </c>
      <c r="AB7" s="66">
        <f>SUMIFS(卡片数据!$P:$P,卡片数据!$B:$B,"输电线路",卡片数据!$D:$D,"220kV",卡片数据!$N:$N,"省内地市间划拨")</f>
        <v>0</v>
      </c>
      <c r="AC7" s="66">
        <f>SUM(SUMIFS(卡片数据!$P:$P,卡片数据!$B:$B,"输电线路",卡片数据!$D:$D,"220kV",卡片数据!$N:$N,{"拆分合并重分类","地市内划拨"}))</f>
        <v>0</v>
      </c>
      <c r="AD7" s="85">
        <f>SUM(AE7:AK7)</f>
        <v>0</v>
      </c>
      <c r="AE7" s="66">
        <f>SUM(SUMIFS(卡片数据!$S:$S,卡片数据!$B:$B,"输电线路",卡片数据!$D:$D,"220kV",卡片数据!$Q:$Q,{"报废"}))</f>
        <v>0</v>
      </c>
      <c r="AF7" s="66">
        <f>SUM(SUMIFS(卡片数据!$S:$S,卡片数据!$B:$B,"输电线路",卡片数据!$D:$D,"220kV",卡片数据!$Q:$Q,{"出售"}))</f>
        <v>0</v>
      </c>
      <c r="AG7" s="66">
        <f>SUM(SUMIFS(卡片数据!$S:$S,卡片数据!$B:$B,"输电线路",卡片数据!$D:$D,"220kV",卡片数据!$Q:$Q,{"三供一业无偿划出"}))</f>
        <v>0</v>
      </c>
      <c r="AH7" s="66">
        <f>SUMIFS(卡片数据!$S:$S,卡片数据!$B:$B,"输电线路",卡片数据!$D:$D,"220kV",卡片数据!$Q:$Q,"子分公司间划转资产")</f>
        <v>0</v>
      </c>
      <c r="AI7" s="66">
        <f>SUMIFS(卡片数据!$S:$S,卡片数据!$B:$B,"输电线路",卡片数据!$D:$D,"220kV",卡片数据!$Q:$Q,"省外划拨")</f>
        <v>0</v>
      </c>
      <c r="AJ7" s="66">
        <f>SUMIFS(卡片数据!$S:$S,卡片数据!$B:$B,"输电线路",卡片数据!$D:$D,"220kV",卡片数据!$Q:$Q,"省内地市间划拨")</f>
        <v>0</v>
      </c>
      <c r="AK7" s="66">
        <f>SUM(SUMIFS(卡片数据!$S:$S,卡片数据!$B:$B,"输电线路",卡片数据!$D:$D,"220kV",卡片数据!$Q:$Q,{"拆分合并重分类","地市内划拨"}))</f>
        <v>0</v>
      </c>
      <c r="AL7" s="66">
        <f>SUMIFS(卡片数据!L:L,卡片数据!$B:$B,"输电线路",卡片数据!$D:$D,"220kV")</f>
        <v>0</v>
      </c>
      <c r="AM7" s="85">
        <f t="shared" si="4"/>
        <v>0</v>
      </c>
      <c r="AN7" s="85">
        <f t="shared" si="5"/>
        <v>0</v>
      </c>
      <c r="AO7" s="66">
        <f>SUMIFS(卡片数据!W:W,卡片数据!$B:$B,"输电线路",卡片数据!$D:$D,"220kV")</f>
        <v>0</v>
      </c>
      <c r="AP7" s="66">
        <f>SUMIFS(卡片数据!X:X,卡片数据!$B:$B,"输电线路",卡片数据!$D:$D,"220kV")</f>
        <v>0</v>
      </c>
    </row>
    <row r="8" spans="1:42" s="79" customFormat="1" ht="13">
      <c r="A8" s="65" t="s">
        <v>27</v>
      </c>
      <c r="B8" s="66">
        <f>SUMIFS(卡片数据!G:G,卡片数据!$B:$B,"输电线路",卡片数据!$D:$D,"110kV")</f>
        <v>166132402.96000001</v>
      </c>
      <c r="C8" s="66">
        <f>SUMIFS(卡片数据!H:H,卡片数据!$B:$B,"输电线路",卡片数据!$D:$D,"110kV")</f>
        <v>3393791.45</v>
      </c>
      <c r="D8" s="85">
        <f>SUM(E8:I8)</f>
        <v>22572594.530000001</v>
      </c>
      <c r="E8" s="66">
        <f>SUM(SUMIFS(卡片数据!$O:$O,卡片数据!$B:$B,"输电线路",卡片数据!$D:$D,"110kV",卡片数据!$N:$N,{"工程项目","零购项目","用户资产","盘盈资产","非货币性交易","捐赠增加"}))</f>
        <v>22572594.530000001</v>
      </c>
      <c r="F8" s="66">
        <f>SUMIFS(卡片数据!$O:$O,卡片数据!$B:$B,"输电线路",卡片数据!$D:$D,"110kV",卡片数据!$N:$N,"子分公司间划转资产")</f>
        <v>0</v>
      </c>
      <c r="G8" s="66">
        <f>SUMIFS(卡片数据!$O:$O,卡片数据!$B:$B,"输电线路",卡片数据!$D:$D,"110kV",卡片数据!$N:$N,"省外划拨")</f>
        <v>0</v>
      </c>
      <c r="H8" s="66">
        <f>SUMIFS(卡片数据!$O:$O,卡片数据!$B:$B,"输电线路",卡片数据!$D:$D,"110kV",卡片数据!$N:$N,"省内地市间划拨")</f>
        <v>0</v>
      </c>
      <c r="I8" s="66">
        <f>SUM(SUMIFS(卡片数据!$O:$O,卡片数据!$B:$B,"输电线路",卡片数据!$D:$D,"110kV",卡片数据!$N:$N,{"拆分合并重分类","地市内划拨"}))</f>
        <v>0</v>
      </c>
      <c r="J8" s="85">
        <f>SUM(K8:Q8)</f>
        <v>0</v>
      </c>
      <c r="K8" s="66">
        <f>SUM(SUMIFS(卡片数据!$R:$R,卡片数据!$B:$B,"输电线路",卡片数据!$D:$D,"110kV",卡片数据!$Q:$Q,{"报废"}))</f>
        <v>0</v>
      </c>
      <c r="L8" s="66">
        <f>SUM(SUMIFS(卡片数据!$R:$R,卡片数据!$B:$B,"输电线路",卡片数据!$D:$D,"110kV",卡片数据!$Q:$Q,{"出售"}))</f>
        <v>0</v>
      </c>
      <c r="M8" s="66">
        <f>SUM(SUMIFS(卡片数据!$R:$R,卡片数据!$B:$B,"输电线路",卡片数据!$D:$D,"110kV",卡片数据!$Q:$Q,{"三供一业无偿划出"}))</f>
        <v>0</v>
      </c>
      <c r="N8" s="66">
        <f>SUMIFS(卡片数据!$R:$R,卡片数据!$B:$B,"输电线路",卡片数据!$D:$D,"110kV",卡片数据!$Q:$Q,"子分公司间划转资产")</f>
        <v>0</v>
      </c>
      <c r="O8" s="66">
        <f>SUMIFS(卡片数据!$R:$R,卡片数据!$B:$B,"输电线路",卡片数据!$D:$D,"110kV",卡片数据!$Q:$Q,"省外划拨")</f>
        <v>0</v>
      </c>
      <c r="P8" s="66">
        <f>SUMIFS(卡片数据!$R:$R,卡片数据!$B:$B,"输电线路",卡片数据!$D:$D,"110kV",卡片数据!$Q:$Q,"省内地市间划拨")</f>
        <v>0</v>
      </c>
      <c r="Q8" s="66">
        <f>SUM(SUMIFS(卡片数据!$R:$R,卡片数据!$B:$B,"输电线路",卡片数据!$D:$D,"110kV",卡片数据!$Q:$Q,{"拆分合并重分类","地市内划拨"}))</f>
        <v>0</v>
      </c>
      <c r="R8" s="66">
        <f>SUMIFS(卡片数据!J:J,卡片数据!$B:$B,"输电线路",卡片数据!$D:$D,"110kV")</f>
        <v>188704997.49000001</v>
      </c>
      <c r="S8" s="66">
        <f>SUMIFS(卡片数据!K:K,卡片数据!$B:$B,"输电线路",卡片数据!$D:$D,"110kV")</f>
        <v>3393791.45</v>
      </c>
      <c r="T8" s="85">
        <f t="shared" ref="T8:T37" si="8">B8+D8-J8-R8</f>
        <v>0</v>
      </c>
      <c r="U8" s="85">
        <f t="shared" si="7"/>
        <v>0</v>
      </c>
      <c r="V8" s="66">
        <f>SUMIFS(卡片数据!I:I,卡片数据!$B:$B,"输电线路",卡片数据!$D:$D,"110kV")</f>
        <v>88699229.349999994</v>
      </c>
      <c r="W8" s="85">
        <f>SUM(X8:AC8)</f>
        <v>6792510.6699999999</v>
      </c>
      <c r="X8" s="66">
        <f>SUM(SUMIFS(卡片数据!$P:$P,卡片数据!$B:$B,"输电线路",卡片数据!$D:$D,"110kV",卡片数据!$N:$N,{"工程项目","零购项目","用户资产","盘盈资产","非货币性交易","捐赠增加"}))</f>
        <v>0</v>
      </c>
      <c r="Y8" s="91">
        <f>SUMIFS(卡片数据!M:M,卡片数据!$B:$B,"输电线路",卡片数据!$D:$D,"110kV")</f>
        <v>6792510.6699999999</v>
      </c>
      <c r="Z8" s="66">
        <f>SUMIFS(卡片数据!$P:$P,卡片数据!$B:$B,"输电线路",卡片数据!$D:$D,"110kV",卡片数据!$N:$N,"子分公司间划转资产")</f>
        <v>0</v>
      </c>
      <c r="AA8" s="66">
        <f>SUMIFS(卡片数据!$P:$P,卡片数据!$B:$B,"输电线路",卡片数据!$D:$D,"110kV",卡片数据!$N:$N,"省外划拨")</f>
        <v>0</v>
      </c>
      <c r="AB8" s="66">
        <f>SUMIFS(卡片数据!$P:$P,卡片数据!$B:$B,"输电线路",卡片数据!$D:$D,"110kV",卡片数据!$N:$N,"省内地市间划拨")</f>
        <v>0</v>
      </c>
      <c r="AC8" s="66">
        <f>SUM(SUMIFS(卡片数据!$P:$P,卡片数据!$B:$B,"输电线路",卡片数据!$D:$D,"110kV",卡片数据!$N:$N,{"拆分合并重分类","地市内划拨"}))</f>
        <v>0</v>
      </c>
      <c r="AD8" s="85">
        <f>SUM(AE8:AK8)</f>
        <v>0</v>
      </c>
      <c r="AE8" s="66">
        <f>SUM(SUMIFS(卡片数据!$S:$S,卡片数据!$B:$B,"输电线路",卡片数据!$D:$D,"110kV",卡片数据!$Q:$Q,{"报废"}))</f>
        <v>0</v>
      </c>
      <c r="AF8" s="66">
        <f>SUM(SUMIFS(卡片数据!$S:$S,卡片数据!$B:$B,"输电线路",卡片数据!$D:$D,"110kV",卡片数据!$Q:$Q,{"出售"}))</f>
        <v>0</v>
      </c>
      <c r="AG8" s="66">
        <f>SUM(SUMIFS(卡片数据!$S:$S,卡片数据!$B:$B,"输电线路",卡片数据!$D:$D,"110kV",卡片数据!$Q:$Q,{"三供一业无偿划出"}))</f>
        <v>0</v>
      </c>
      <c r="AH8" s="66">
        <f>SUMIFS(卡片数据!$S:$S,卡片数据!$B:$B,"输电线路",卡片数据!$D:$D,"110kV",卡片数据!$Q:$Q,"子分公司间划转资产")</f>
        <v>0</v>
      </c>
      <c r="AI8" s="66">
        <f>SUMIFS(卡片数据!$S:$S,卡片数据!$B:$B,"输电线路",卡片数据!$D:$D,"110kV",卡片数据!$Q:$Q,"省外划拨")</f>
        <v>0</v>
      </c>
      <c r="AJ8" s="66">
        <f>SUMIFS(卡片数据!$S:$S,卡片数据!$B:$B,"输电线路",卡片数据!$D:$D,"110kV",卡片数据!$Q:$Q,"省内地市间划拨")</f>
        <v>0</v>
      </c>
      <c r="AK8" s="66">
        <f>SUM(SUMIFS(卡片数据!$S:$S,卡片数据!$B:$B,"输电线路",卡片数据!$D:$D,"110kV",卡片数据!$Q:$Q,{"拆分合并重分类","地市内划拨"}))</f>
        <v>0</v>
      </c>
      <c r="AL8" s="66">
        <f>SUMIFS(卡片数据!L:L,卡片数据!$B:$B,"输电线路",卡片数据!$D:$D,"110kV")</f>
        <v>95491740.019999996</v>
      </c>
      <c r="AM8" s="85">
        <f t="shared" si="4"/>
        <v>0</v>
      </c>
      <c r="AN8" s="85">
        <f t="shared" si="5"/>
        <v>0</v>
      </c>
      <c r="AO8" s="66">
        <f>SUMIFS(卡片数据!W:W,卡片数据!$B:$B,"输电线路",卡片数据!$D:$D,"110kV")</f>
        <v>61514481.270000003</v>
      </c>
      <c r="AP8" s="66">
        <f>SUMIFS(卡片数据!X:X,卡片数据!$B:$B,"输电线路",卡片数据!$D:$D,"110kV")</f>
        <v>61514481.270000003</v>
      </c>
    </row>
    <row r="9" spans="1:42" s="79" customFormat="1" ht="13">
      <c r="A9" s="65" t="s">
        <v>28</v>
      </c>
      <c r="B9" s="66">
        <f>SUMIFS(卡片数据!G:G,卡片数据!$B:$B,"输电线路",卡片数据!$D:$D,"35kV")</f>
        <v>58368936.920000002</v>
      </c>
      <c r="C9" s="66">
        <f>SUMIFS(卡片数据!H:H,卡片数据!$B:$B,"输电线路",卡片数据!$D:$D,"35kV")</f>
        <v>17779084.59</v>
      </c>
      <c r="D9" s="85">
        <f>SUM(E9:I9)</f>
        <v>0</v>
      </c>
      <c r="E9" s="66">
        <f>SUM(SUMIFS(卡片数据!$O:$O,卡片数据!$B:$B,"输电线路",卡片数据!$D:$D,"35kV",卡片数据!$N:$N,{"工程项目","零购项目","用户资产","盘盈资产","非货币性交易","捐赠增加"}))</f>
        <v>0</v>
      </c>
      <c r="F9" s="66">
        <f>SUMIFS(卡片数据!$O:$O,卡片数据!$B:$B,"输电线路",卡片数据!$D:$D,"35kV",卡片数据!$N:$N,"子分公司间划转资产")</f>
        <v>0</v>
      </c>
      <c r="G9" s="66">
        <f>SUMIFS(卡片数据!$O:$O,卡片数据!$B:$B,"输电线路",卡片数据!$D:$D,"35kV",卡片数据!$N:$N,"省外划拨")</f>
        <v>0</v>
      </c>
      <c r="H9" s="66">
        <f>SUMIFS(卡片数据!$O:$O,卡片数据!$B:$B,"输电线路",卡片数据!$D:$D,"35kV",卡片数据!$N:$N,"省内地市间划拨")</f>
        <v>0</v>
      </c>
      <c r="I9" s="66">
        <f>SUM(SUMIFS(卡片数据!$O:$O,卡片数据!$B:$B,"输电线路",卡片数据!$D:$D,"35kV",卡片数据!$N:$N,{"拆分合并重分类","地市内划拨"}))</f>
        <v>0</v>
      </c>
      <c r="J9" s="85">
        <f>SUM(K9:Q9)</f>
        <v>0</v>
      </c>
      <c r="K9" s="66">
        <f>SUM(SUMIFS(卡片数据!$R:$R,卡片数据!$B:$B,"输电线路",卡片数据!$D:$D,"35kV",卡片数据!$Q:$Q,{"报废"}))</f>
        <v>0</v>
      </c>
      <c r="L9" s="66">
        <f>SUM(SUMIFS(卡片数据!$R:$R,卡片数据!$B:$B,"输电线路",卡片数据!$D:$D,"35kV",卡片数据!$Q:$Q,{"出售"}))</f>
        <v>0</v>
      </c>
      <c r="M9" s="66">
        <f>SUM(SUMIFS(卡片数据!$R:$R,卡片数据!$B:$B,"输电线路",卡片数据!$D:$D,"35kV",卡片数据!$Q:$Q,{"三供一业无偿划出"}))</f>
        <v>0</v>
      </c>
      <c r="N9" s="66">
        <f>SUMIFS(卡片数据!$R:$R,卡片数据!$B:$B,"输电线路",卡片数据!$D:$D,"35kV",卡片数据!$Q:$Q,"子分公司间划转资产")</f>
        <v>0</v>
      </c>
      <c r="O9" s="66">
        <f>SUMIFS(卡片数据!$R:$R,卡片数据!$B:$B,"输电线路",卡片数据!$D:$D,"35kV",卡片数据!$Q:$Q,"省外划拨")</f>
        <v>0</v>
      </c>
      <c r="P9" s="66">
        <f>SUMIFS(卡片数据!$R:$R,卡片数据!$B:$B,"输电线路",卡片数据!$D:$D,"35kV",卡片数据!$Q:$Q,"省内地市间划拨")</f>
        <v>0</v>
      </c>
      <c r="Q9" s="66">
        <f>SUM(SUMIFS(卡片数据!$R:$R,卡片数据!$B:$B,"输电线路",卡片数据!$D:$D,"35kV",卡片数据!$Q:$Q,{"拆分合并重分类","地市内划拨"}))</f>
        <v>0</v>
      </c>
      <c r="R9" s="66">
        <f>SUMIFS(卡片数据!J:J,卡片数据!$B:$B,"输电线路",卡片数据!$D:$D,"35kV")</f>
        <v>58368936.920000002</v>
      </c>
      <c r="S9" s="66">
        <f>SUMIFS(卡片数据!K:K,卡片数据!$B:$B,"输电线路",卡片数据!$D:$D,"35kV")</f>
        <v>17779084.59</v>
      </c>
      <c r="T9" s="85">
        <f t="shared" si="8"/>
        <v>0</v>
      </c>
      <c r="U9" s="85">
        <f t="shared" si="7"/>
        <v>0</v>
      </c>
      <c r="V9" s="66">
        <f>SUMIFS(卡片数据!I:I,卡片数据!$B:$B,"输电线路",卡片数据!$D:$D,"35kV")</f>
        <v>36457530.82</v>
      </c>
      <c r="W9" s="85">
        <f>SUM(X9:AC9)</f>
        <v>1049856.3</v>
      </c>
      <c r="X9" s="66">
        <f>SUM(SUMIFS(卡片数据!$P:$P,卡片数据!$B:$B,"输电线路",卡片数据!$D:$D,"35kV",卡片数据!$N:$N,{"工程项目","零购项目","用户资产","盘盈资产","非货币性交易","捐赠增加"}))</f>
        <v>0</v>
      </c>
      <c r="Y9" s="91">
        <f>SUMIFS(卡片数据!M:M,卡片数据!$B:$B,"输电线路",卡片数据!$D:$D,"35kV")</f>
        <v>1049856.3</v>
      </c>
      <c r="Z9" s="66">
        <f>SUMIFS(卡片数据!$P:$P,卡片数据!$B:$B,"输电线路",卡片数据!$D:$D,"35kV",卡片数据!$N:$N,"子分公司间划转资产")</f>
        <v>0</v>
      </c>
      <c r="AA9" s="66">
        <f>SUMIFS(卡片数据!$P:$P,卡片数据!$B:$B,"输电线路",卡片数据!$D:$D,"35kV",卡片数据!$N:$N,"省外划拨")</f>
        <v>0</v>
      </c>
      <c r="AB9" s="66">
        <f>SUMIFS(卡片数据!$P:$P,卡片数据!$B:$B,"输电线路",卡片数据!$D:$D,"35kV",卡片数据!$N:$N,"省内地市间划拨")</f>
        <v>0</v>
      </c>
      <c r="AC9" s="66">
        <f>SUM(SUMIFS(卡片数据!$P:$P,卡片数据!$B:$B,"输电线路",卡片数据!$D:$D,"35kV",卡片数据!$N:$N,{"拆分合并重分类","地市内划拨"}))</f>
        <v>0</v>
      </c>
      <c r="AD9" s="85">
        <f>SUM(AE9:AK9)</f>
        <v>0</v>
      </c>
      <c r="AE9" s="66">
        <f>SUM(SUMIFS(卡片数据!$S:$S,卡片数据!$B:$B,"输电线路",卡片数据!$D:$D,"35kV",卡片数据!$Q:$Q,{"报废"}))</f>
        <v>0</v>
      </c>
      <c r="AF9" s="66">
        <f>SUM(SUMIFS(卡片数据!$S:$S,卡片数据!$B:$B,"输电线路",卡片数据!$D:$D,"35kV",卡片数据!$Q:$Q,{"出售"}))</f>
        <v>0</v>
      </c>
      <c r="AG9" s="66">
        <f>SUM(SUMIFS(卡片数据!$S:$S,卡片数据!$B:$B,"输电线路",卡片数据!$D:$D,"35kV",卡片数据!$Q:$Q,{"三供一业无偿划出"}))</f>
        <v>0</v>
      </c>
      <c r="AH9" s="66">
        <f>SUMIFS(卡片数据!$S:$S,卡片数据!$B:$B,"输电线路",卡片数据!$D:$D,"35kV",卡片数据!$Q:$Q,"子分公司间划转资产")</f>
        <v>0</v>
      </c>
      <c r="AI9" s="66">
        <f>SUMIFS(卡片数据!$S:$S,卡片数据!$B:$B,"输电线路",卡片数据!$D:$D,"35kV",卡片数据!$Q:$Q,"省外划拨")</f>
        <v>0</v>
      </c>
      <c r="AJ9" s="66">
        <f>SUMIFS(卡片数据!$S:$S,卡片数据!$B:$B,"输电线路",卡片数据!$D:$D,"35kV",卡片数据!$Q:$Q,"省内地市间划拨")</f>
        <v>0</v>
      </c>
      <c r="AK9" s="66">
        <f>SUM(SUMIFS(卡片数据!$S:$S,卡片数据!$B:$B,"输电线路",卡片数据!$D:$D,"35kV",卡片数据!$Q:$Q,{"拆分合并重分类","地市内划拨"}))</f>
        <v>0</v>
      </c>
      <c r="AL9" s="66">
        <f>SUMIFS(卡片数据!L:L,卡片数据!$B:$B,"输电线路",卡片数据!$D:$D,"35kV")</f>
        <v>37507387.119999997</v>
      </c>
      <c r="AM9" s="85">
        <f t="shared" si="4"/>
        <v>0</v>
      </c>
      <c r="AN9" s="85">
        <f t="shared" si="5"/>
        <v>0</v>
      </c>
      <c r="AO9" s="66">
        <f>SUMIFS(卡片数据!W:W,卡片数据!$B:$B,"输电线路",卡片数据!$D:$D,"35kV")</f>
        <v>17779084.59</v>
      </c>
      <c r="AP9" s="66">
        <f>SUMIFS(卡片数据!X:X,卡片数据!$B:$B,"输电线路",卡片数据!$D:$D,"35kV")</f>
        <v>17779084.59</v>
      </c>
    </row>
    <row r="10" spans="1:42" s="79" customFormat="1" ht="13">
      <c r="A10" s="84" t="s">
        <v>29</v>
      </c>
      <c r="B10" s="3">
        <f t="shared" ref="B10:S10" si="9">SUM(B11:B15)</f>
        <v>266745545.75</v>
      </c>
      <c r="C10" s="3">
        <f t="shared" ref="C10" si="10">SUM(C11:C15)</f>
        <v>81037274.930000007</v>
      </c>
      <c r="D10" s="85">
        <f t="shared" si="9"/>
        <v>145651.20000000001</v>
      </c>
      <c r="E10" s="3">
        <f t="shared" si="9"/>
        <v>83754.960000000006</v>
      </c>
      <c r="F10" s="3">
        <f t="shared" si="9"/>
        <v>0</v>
      </c>
      <c r="G10" s="3">
        <f t="shared" si="9"/>
        <v>0</v>
      </c>
      <c r="H10" s="3">
        <f t="shared" si="9"/>
        <v>0</v>
      </c>
      <c r="I10" s="3">
        <f t="shared" si="9"/>
        <v>61896.24</v>
      </c>
      <c r="J10" s="85">
        <f t="shared" si="9"/>
        <v>0</v>
      </c>
      <c r="K10" s="3">
        <f t="shared" si="9"/>
        <v>0</v>
      </c>
      <c r="L10" s="3">
        <f t="shared" si="9"/>
        <v>0</v>
      </c>
      <c r="M10" s="3">
        <f t="shared" si="9"/>
        <v>0</v>
      </c>
      <c r="N10" s="3">
        <f t="shared" si="9"/>
        <v>0</v>
      </c>
      <c r="O10" s="3">
        <f t="shared" si="9"/>
        <v>0</v>
      </c>
      <c r="P10" s="3">
        <f t="shared" si="9"/>
        <v>0</v>
      </c>
      <c r="Q10" s="3">
        <f t="shared" si="9"/>
        <v>0</v>
      </c>
      <c r="R10" s="3">
        <f t="shared" si="9"/>
        <v>266891196.94999999</v>
      </c>
      <c r="S10" s="3">
        <f t="shared" si="9"/>
        <v>82076590.939999998</v>
      </c>
      <c r="T10" s="88">
        <f t="shared" si="8"/>
        <v>0</v>
      </c>
      <c r="U10" s="85">
        <f t="shared" si="7"/>
        <v>61896.24</v>
      </c>
      <c r="V10" s="3">
        <f>SUM(V11:V15)</f>
        <v>195044222.61000001</v>
      </c>
      <c r="W10" s="85">
        <f>SUM(W11:W15)</f>
        <v>7550061.9100000001</v>
      </c>
      <c r="X10" s="3">
        <f t="shared" ref="X10:AG10" si="11">SUM(X11:X15)</f>
        <v>0</v>
      </c>
      <c r="Y10" s="90">
        <f t="shared" si="11"/>
        <v>7488165.6699999999</v>
      </c>
      <c r="Z10" s="3">
        <f t="shared" si="11"/>
        <v>0</v>
      </c>
      <c r="AA10" s="3">
        <f t="shared" si="11"/>
        <v>0</v>
      </c>
      <c r="AB10" s="3">
        <f t="shared" si="11"/>
        <v>0</v>
      </c>
      <c r="AC10" s="3">
        <f t="shared" si="11"/>
        <v>61896.24</v>
      </c>
      <c r="AD10" s="85">
        <f t="shared" si="11"/>
        <v>0</v>
      </c>
      <c r="AE10" s="3">
        <f t="shared" si="11"/>
        <v>0</v>
      </c>
      <c r="AF10" s="3">
        <f t="shared" si="11"/>
        <v>0</v>
      </c>
      <c r="AG10" s="3">
        <f t="shared" si="11"/>
        <v>0</v>
      </c>
      <c r="AH10" s="3">
        <f t="shared" ref="AH10:AL10" si="12">SUM(AH11:AH15)</f>
        <v>0</v>
      </c>
      <c r="AI10" s="3">
        <f t="shared" si="12"/>
        <v>0</v>
      </c>
      <c r="AJ10" s="3">
        <f t="shared" si="12"/>
        <v>0</v>
      </c>
      <c r="AK10" s="3">
        <f t="shared" si="12"/>
        <v>0</v>
      </c>
      <c r="AL10" s="3">
        <f t="shared" si="12"/>
        <v>202594284.52000001</v>
      </c>
      <c r="AM10" s="85">
        <f t="shared" si="4"/>
        <v>0</v>
      </c>
      <c r="AN10" s="85">
        <f t="shared" si="5"/>
        <v>61896.24</v>
      </c>
      <c r="AO10" s="3">
        <f t="shared" ref="AO10:AP10" si="13">SUM(AO11:AO15)</f>
        <v>82329925.230000004</v>
      </c>
      <c r="AP10" s="3">
        <f t="shared" si="13"/>
        <v>82329925.230000004</v>
      </c>
    </row>
    <row r="11" spans="1:42" s="79" customFormat="1" ht="13">
      <c r="A11" s="65" t="s">
        <v>25</v>
      </c>
      <c r="B11" s="66">
        <f>SUMIFS(卡片数据!G:G,卡片数据!$B:$B,"变电设备",卡片数据!$D:$D,"500kV")</f>
        <v>0</v>
      </c>
      <c r="C11" s="66">
        <f>SUMIFS(卡片数据!H:H,卡片数据!$B:$B,"变电设备",卡片数据!$D:$D,"500kV")</f>
        <v>0</v>
      </c>
      <c r="D11" s="85">
        <f>SUM(E11:I11)</f>
        <v>0</v>
      </c>
      <c r="E11" s="66">
        <f>SUM(SUMIFS(卡片数据!$O:$O,卡片数据!$B:$B,"变电设备",卡片数据!$D:$D,"500kV",卡片数据!$N:$N,{"工程项目","零购项目","用户资产","盘盈资产","非货币性交易","捐赠增加"}))</f>
        <v>0</v>
      </c>
      <c r="F11" s="66">
        <f>SUMIFS(卡片数据!$O:$O,卡片数据!$B:$B,"变电设备",卡片数据!$D:$D,"500kV",卡片数据!$N:$N,"子分公司间划转资产")</f>
        <v>0</v>
      </c>
      <c r="G11" s="66">
        <f>SUMIFS(卡片数据!$O:$O,卡片数据!$B:$B,"变电设备",卡片数据!$D:$D,"500kV",卡片数据!$N:$N,"省外划拨")</f>
        <v>0</v>
      </c>
      <c r="H11" s="66">
        <f>SUMIFS(卡片数据!$O:$O,卡片数据!$B:$B,"变电设备",卡片数据!$D:$D,"500kV",卡片数据!$N:$N,"省内地市间划拨")</f>
        <v>0</v>
      </c>
      <c r="I11" s="66">
        <f>SUM(SUMIFS(卡片数据!$O:$O,卡片数据!$B:$B,"变电设备",卡片数据!$D:$D,"500kV",卡片数据!$N:$N,{"拆分合并重分类","地市内划拨"}))</f>
        <v>0</v>
      </c>
      <c r="J11" s="85">
        <f>SUM(K11:Q11)</f>
        <v>0</v>
      </c>
      <c r="K11" s="66">
        <f>SUM(SUMIFS(卡片数据!$R:$R,卡片数据!$B:$B,"变电设备",卡片数据!$D:$D,"500kV",卡片数据!$Q:$Q,{"报废"}))</f>
        <v>0</v>
      </c>
      <c r="L11" s="66">
        <f>SUM(SUMIFS(卡片数据!$R:$R,卡片数据!$B:$B,"变电设备",卡片数据!$D:$D,"500kV",卡片数据!$Q:$Q,{"出售"}))</f>
        <v>0</v>
      </c>
      <c r="M11" s="66">
        <f>SUM(SUMIFS(卡片数据!$R:$R,卡片数据!$B:$B,"变电设备",卡片数据!$D:$D,"500kV",卡片数据!$Q:$Q,{"三供一业无偿划出"}))</f>
        <v>0</v>
      </c>
      <c r="N11" s="66">
        <f>SUMIFS(卡片数据!$R:$R,卡片数据!$B:$B,"变电设备",卡片数据!$D:$D,"500kV",卡片数据!$Q:$Q,"子分公司间划转资产")</f>
        <v>0</v>
      </c>
      <c r="O11" s="66">
        <f>SUMIFS(卡片数据!$R:$R,卡片数据!$B:$B,"变电设备",卡片数据!$D:$D,"500kV",卡片数据!$Q:$Q,"省外划拨")</f>
        <v>0</v>
      </c>
      <c r="P11" s="66">
        <f>SUMIFS(卡片数据!$R:$R,卡片数据!$B:$B,"变电设备",卡片数据!$D:$D,"500kV",卡片数据!$Q:$Q,"省内地市间划拨")</f>
        <v>0</v>
      </c>
      <c r="Q11" s="66">
        <f>SUM(SUMIFS(卡片数据!$R:$R,卡片数据!$B:$B,"变电设备",卡片数据!$D:$D,"500kV",卡片数据!$Q:$Q,{"拆分合并重分类","地市内划拨"}))</f>
        <v>0</v>
      </c>
      <c r="R11" s="66">
        <f>SUMIFS(卡片数据!J:J,卡片数据!$B:$B,"变电设备",卡片数据!$D:$D,"500kV")</f>
        <v>0</v>
      </c>
      <c r="S11" s="66">
        <f>SUMIFS(卡片数据!K:K,卡片数据!$B:$B,"变电设备",卡片数据!$D:$D,"500kV")</f>
        <v>0</v>
      </c>
      <c r="T11" s="88">
        <f t="shared" si="8"/>
        <v>0</v>
      </c>
      <c r="U11" s="85">
        <f t="shared" si="7"/>
        <v>0</v>
      </c>
      <c r="V11" s="66">
        <f>SUMIFS(卡片数据!I:I,卡片数据!$B:$B,"变电设备",卡片数据!$D:$D,"500kV")</f>
        <v>0</v>
      </c>
      <c r="W11" s="85">
        <f>SUM(X11:AC11)</f>
        <v>0</v>
      </c>
      <c r="X11" s="66">
        <f>SUM(SUMIFS(卡片数据!$P:$P,卡片数据!$B:$B,"变电设备",卡片数据!$D:$D,"500kV",卡片数据!$N:$N,{"工程项目","零购项目","用户资产","盘盈资产","非货币性交易","捐赠增加"}))</f>
        <v>0</v>
      </c>
      <c r="Y11" s="91">
        <f>SUMIFS(卡片数据!M:M,卡片数据!$B:$B,"变电设备",卡片数据!$D:$D,"500kV")</f>
        <v>0</v>
      </c>
      <c r="Z11" s="66">
        <f>SUMIFS(卡片数据!$P:$P,卡片数据!$B:$B,"变电设备",卡片数据!$D:$D,"500kV",卡片数据!$N:$N,"子分公司间划转资产")</f>
        <v>0</v>
      </c>
      <c r="AA11" s="66">
        <f>SUMIFS(卡片数据!$P:$P,卡片数据!$B:$B,"变电设备",卡片数据!$D:$D,"500kV",卡片数据!$N:$N,"省外划拨")</f>
        <v>0</v>
      </c>
      <c r="AB11" s="66">
        <f>SUMIFS(卡片数据!$P:$P,卡片数据!$B:$B,"变电设备",卡片数据!$D:$D,"500kV",卡片数据!$N:$N,"省内地市间划拨")</f>
        <v>0</v>
      </c>
      <c r="AC11" s="66">
        <f>SUM(SUMIFS(卡片数据!$P:$P,卡片数据!$B:$B,"变电设备",卡片数据!$D:$D,"500kV",卡片数据!$N:$N,{"拆分合并重分类","地市内划拨"}))</f>
        <v>0</v>
      </c>
      <c r="AD11" s="85">
        <f>SUM(AE11:AK11)</f>
        <v>0</v>
      </c>
      <c r="AE11" s="66">
        <f>SUM(SUMIFS(卡片数据!$S:$S,卡片数据!$B:$B,"变电设备",卡片数据!$D:$D,"500kV",卡片数据!$Q:$Q,{"报废"}))</f>
        <v>0</v>
      </c>
      <c r="AF11" s="66">
        <f>SUM(SUMIFS(卡片数据!$S:$S,卡片数据!$B:$B,"变电设备",卡片数据!$D:$D,"500kV",卡片数据!$Q:$Q,{"出售"}))</f>
        <v>0</v>
      </c>
      <c r="AG11" s="66">
        <f>SUM(SUMIFS(卡片数据!$S:$S,卡片数据!$B:$B,"变电设备",卡片数据!$D:$D,"500kV",卡片数据!$Q:$Q,{"三供一业无偿划出"}))</f>
        <v>0</v>
      </c>
      <c r="AH11" s="66">
        <f>SUMIFS(卡片数据!$S:$S,卡片数据!$B:$B,"变电设备",卡片数据!$D:$D,"500kV",卡片数据!$Q:$Q,"子分公司间划转资产")</f>
        <v>0</v>
      </c>
      <c r="AI11" s="66">
        <f>SUMIFS(卡片数据!$S:$S,卡片数据!$B:$B,"变电设备",卡片数据!$D:$D,"500kV",卡片数据!$Q:$Q,"省外划拨")</f>
        <v>0</v>
      </c>
      <c r="AJ11" s="66">
        <f>SUMIFS(卡片数据!$S:$S,卡片数据!$B:$B,"变电设备",卡片数据!$D:$D,"500kV",卡片数据!$Q:$Q,"省内地市间划拨")</f>
        <v>0</v>
      </c>
      <c r="AK11" s="66">
        <f>SUM(SUMIFS(卡片数据!$S:$S,卡片数据!$B:$B,"变电设备",卡片数据!$D:$D,"500kV",卡片数据!$Q:$Q,{"拆分合并重分类","地市内划拨"}))</f>
        <v>0</v>
      </c>
      <c r="AL11" s="66">
        <f>SUMIFS(卡片数据!L:L,卡片数据!$B:$B,"变电设备",卡片数据!$D:$D,"500kV")</f>
        <v>0</v>
      </c>
      <c r="AM11" s="85">
        <f t="shared" si="4"/>
        <v>0</v>
      </c>
      <c r="AN11" s="85">
        <f t="shared" si="5"/>
        <v>0</v>
      </c>
      <c r="AO11" s="66">
        <f>SUMIFS(卡片数据!W:W,卡片数据!$B:$B,"变电设备",卡片数据!$D:$D,"500kV")</f>
        <v>0</v>
      </c>
      <c r="AP11" s="66">
        <f>SUMIFS(卡片数据!X:X,卡片数据!$B:$B,"变电设备",卡片数据!$D:$D,"500kV")</f>
        <v>0</v>
      </c>
    </row>
    <row r="12" spans="1:42" s="79" customFormat="1" ht="13">
      <c r="A12" s="67" t="s">
        <v>26</v>
      </c>
      <c r="B12" s="66">
        <f>SUMIFS(卡片数据!G:G,卡片数据!$B:$B,"变电设备",卡片数据!$D:$D,"220kV")</f>
        <v>71363000.159999996</v>
      </c>
      <c r="C12" s="66">
        <f>SUMIFS(卡片数据!H:H,卡片数据!$B:$B,"变电设备",卡片数据!$D:$D,"220kV")</f>
        <v>19839443.350000001</v>
      </c>
      <c r="D12" s="85">
        <f>SUM(E12:I12)</f>
        <v>-4613.25</v>
      </c>
      <c r="E12" s="66">
        <f>SUM(SUMIFS(卡片数据!$O:$O,卡片数据!$B:$B,"变电设备",卡片数据!$D:$D,"220kV",卡片数据!$N:$N,{"工程项目","零购项目","用户资产","盘盈资产","非货币性交易","捐赠增加"}))</f>
        <v>-4613.25</v>
      </c>
      <c r="F12" s="66">
        <f>SUMIFS(卡片数据!$O:$O,卡片数据!$B:$B,"变电设备",卡片数据!$D:$D,"220kV",卡片数据!$N:$N,"子分公司间划转资产")</f>
        <v>0</v>
      </c>
      <c r="G12" s="66">
        <f>SUMIFS(卡片数据!$O:$O,卡片数据!$B:$B,"变电设备",卡片数据!$D:$D,"220kV",卡片数据!$N:$N,"省外划拨")</f>
        <v>0</v>
      </c>
      <c r="H12" s="66">
        <f>SUMIFS(卡片数据!$O:$O,卡片数据!$B:$B,"变电设备",卡片数据!$D:$D,"220kV",卡片数据!$N:$N,"省内地市间划拨")</f>
        <v>0</v>
      </c>
      <c r="I12" s="66">
        <f>SUM(SUMIFS(卡片数据!$O:$O,卡片数据!$B:$B,"变电设备",卡片数据!$D:$D,"220kV",卡片数据!$N:$N,{"拆分合并重分类","地市内划拨"}))</f>
        <v>0</v>
      </c>
      <c r="J12" s="85">
        <f>SUM(K12:Q12)</f>
        <v>0</v>
      </c>
      <c r="K12" s="66">
        <f>SUM(SUMIFS(卡片数据!$R:$R,卡片数据!$B:$B,"变电设备",卡片数据!$D:$D,"220kV",卡片数据!$Q:$Q,{"报废"}))</f>
        <v>0</v>
      </c>
      <c r="L12" s="66">
        <f>SUM(SUMIFS(卡片数据!$R:$R,卡片数据!$B:$B,"变电设备",卡片数据!$D:$D,"220kV",卡片数据!$Q:$Q,{"出售"}))</f>
        <v>0</v>
      </c>
      <c r="M12" s="66">
        <f>SUM(SUMIFS(卡片数据!$R:$R,卡片数据!$B:$B,"变电设备",卡片数据!$D:$D,"220kV",卡片数据!$Q:$Q,{"三供一业无偿划出"}))</f>
        <v>0</v>
      </c>
      <c r="N12" s="66">
        <f>SUMIFS(卡片数据!$R:$R,卡片数据!$B:$B,"变电设备",卡片数据!$D:$D,"220kV",卡片数据!$Q:$Q,"子分公司间划转资产")</f>
        <v>0</v>
      </c>
      <c r="O12" s="66">
        <f>SUMIFS(卡片数据!$R:$R,卡片数据!$B:$B,"变电设备",卡片数据!$D:$D,"220kV",卡片数据!$Q:$Q,"省外划拨")</f>
        <v>0</v>
      </c>
      <c r="P12" s="66">
        <f>SUMIFS(卡片数据!$R:$R,卡片数据!$B:$B,"变电设备",卡片数据!$D:$D,"220kV",卡片数据!$Q:$Q,"省内地市间划拨")</f>
        <v>0</v>
      </c>
      <c r="Q12" s="66">
        <f>SUM(SUMIFS(卡片数据!$R:$R,卡片数据!$B:$B,"变电设备",卡片数据!$D:$D,"220kV",卡片数据!$Q:$Q,{"拆分合并重分类","地市内划拨"}))</f>
        <v>0</v>
      </c>
      <c r="R12" s="66">
        <f>SUMIFS(卡片数据!J:J,卡片数据!$B:$B,"变电设备",卡片数据!$D:$D,"220kV")</f>
        <v>71358386.909999996</v>
      </c>
      <c r="S12" s="66">
        <f>SUMIFS(卡片数据!K:K,卡片数据!$B:$B,"变电设备",卡片数据!$D:$D,"220kV")</f>
        <v>20779413.300000001</v>
      </c>
      <c r="T12" s="88">
        <f t="shared" si="8"/>
        <v>0</v>
      </c>
      <c r="U12" s="85">
        <f t="shared" si="7"/>
        <v>0</v>
      </c>
      <c r="V12" s="66">
        <f>SUMIFS(卡片数据!I:I,卡片数据!$B:$B,"变电设备",卡片数据!$D:$D,"220kV")</f>
        <v>50853851.700000003</v>
      </c>
      <c r="W12" s="85">
        <f>SUM(X12:AC12)</f>
        <v>2108662.36</v>
      </c>
      <c r="X12" s="66">
        <f>SUM(SUMIFS(卡片数据!$P:$P,卡片数据!$B:$B,"变电设备",卡片数据!$D:$D,"220kV",卡片数据!$N:$N,{"工程项目","零购项目","用户资产","盘盈资产","非货币性交易","捐赠增加"}))</f>
        <v>0</v>
      </c>
      <c r="Y12" s="91">
        <f>SUMIFS(卡片数据!M:M,卡片数据!$B:$B,"变电设备",卡片数据!$D:$D,"220kV")</f>
        <v>2108662.36</v>
      </c>
      <c r="Z12" s="66">
        <f>SUMIFS(卡片数据!$P:$P,卡片数据!$B:$B,"变电设备",卡片数据!$D:$D,"220kV",卡片数据!$N:$N,"子分公司间划转资产")</f>
        <v>0</v>
      </c>
      <c r="AA12" s="66">
        <f>SUMIFS(卡片数据!$P:$P,卡片数据!$B:$B,"变电设备",卡片数据!$D:$D,"220kV",卡片数据!$N:$N,"省外划拨")</f>
        <v>0</v>
      </c>
      <c r="AB12" s="66">
        <f>SUMIFS(卡片数据!$P:$P,卡片数据!$B:$B,"变电设备",卡片数据!$D:$D,"220kV",卡片数据!$N:$N,"省内地市间划拨")</f>
        <v>0</v>
      </c>
      <c r="AC12" s="66">
        <f>SUM(SUMIFS(卡片数据!$P:$P,卡片数据!$B:$B,"变电设备",卡片数据!$D:$D,"220kV",卡片数据!$N:$N,{"拆分合并重分类","地市内划拨"}))</f>
        <v>0</v>
      </c>
      <c r="AD12" s="85">
        <f>SUM(AE12:AK12)</f>
        <v>0</v>
      </c>
      <c r="AE12" s="66">
        <f>SUM(SUMIFS(卡片数据!$S:$S,卡片数据!$B:$B,"变电设备",卡片数据!$D:$D,"220kV",卡片数据!$Q:$Q,{"报废"}))</f>
        <v>0</v>
      </c>
      <c r="AF12" s="66">
        <f>SUM(SUMIFS(卡片数据!$S:$S,卡片数据!$B:$B,"变电设备",卡片数据!$D:$D,"220kV",卡片数据!$Q:$Q,{"出售"}))</f>
        <v>0</v>
      </c>
      <c r="AG12" s="66">
        <f>SUM(SUMIFS(卡片数据!$S:$S,卡片数据!$B:$B,"变电设备",卡片数据!$D:$D,"220kV",卡片数据!$Q:$Q,{"三供一业无偿划出"}))</f>
        <v>0</v>
      </c>
      <c r="AH12" s="66">
        <f>SUMIFS(卡片数据!$S:$S,卡片数据!$B:$B,"变电设备",卡片数据!$D:$D,"220kV",卡片数据!$Q:$Q,"子分公司间划转资产")</f>
        <v>0</v>
      </c>
      <c r="AI12" s="66">
        <f>SUMIFS(卡片数据!$S:$S,卡片数据!$B:$B,"变电设备",卡片数据!$D:$D,"220kV",卡片数据!$Q:$Q,"省外划拨")</f>
        <v>0</v>
      </c>
      <c r="AJ12" s="66">
        <f>SUMIFS(卡片数据!$S:$S,卡片数据!$B:$B,"变电设备",卡片数据!$D:$D,"220kV",卡片数据!$Q:$Q,"省内地市间划拨")</f>
        <v>0</v>
      </c>
      <c r="AK12" s="66">
        <f>SUM(SUMIFS(卡片数据!$S:$S,卡片数据!$B:$B,"变电设备",卡片数据!$D:$D,"220kV",卡片数据!$Q:$Q,{"拆分合并重分类","地市内划拨"}))</f>
        <v>0</v>
      </c>
      <c r="AL12" s="66">
        <f>SUMIFS(卡片数据!L:L,卡片数据!$B:$B,"变电设备",卡片数据!$D:$D,"220kV")</f>
        <v>52962514.060000002</v>
      </c>
      <c r="AM12" s="85">
        <f t="shared" si="4"/>
        <v>0</v>
      </c>
      <c r="AN12" s="85">
        <f t="shared" si="5"/>
        <v>0</v>
      </c>
      <c r="AO12" s="66">
        <f>SUMIFS(卡片数据!W:W,卡片数据!$B:$B,"变电设备",卡片数据!$D:$D,"220kV")</f>
        <v>20779413.300000001</v>
      </c>
      <c r="AP12" s="66">
        <f>SUMIFS(卡片数据!X:X,卡片数据!$B:$B,"变电设备",卡片数据!$D:$D,"220kV")</f>
        <v>20779413.300000001</v>
      </c>
    </row>
    <row r="13" spans="1:42" s="79" customFormat="1" ht="13">
      <c r="A13" s="67" t="s">
        <v>27</v>
      </c>
      <c r="B13" s="66">
        <f>SUMIFS(卡片数据!G:G,卡片数据!$B:$B,"变电设备",卡片数据!$D:$D,"110kV")</f>
        <v>78417199.219999999</v>
      </c>
      <c r="C13" s="66">
        <f>SUMIFS(卡片数据!H:H,卡片数据!$B:$B,"变电设备",卡片数据!$D:$D,"110kV")</f>
        <v>20977624.760000002</v>
      </c>
      <c r="D13" s="85">
        <f>SUM(E13:I13)</f>
        <v>0</v>
      </c>
      <c r="E13" s="66">
        <f>SUM(SUMIFS(卡片数据!$O:$O,卡片数据!$B:$B,"变电设备",卡片数据!$D:$D,"110kV",卡片数据!$N:$N,{"工程项目","零购项目","用户资产","盘盈资产","非货币性交易","捐赠增加"}))</f>
        <v>0</v>
      </c>
      <c r="F13" s="66">
        <f>SUMIFS(卡片数据!$O:$O,卡片数据!$B:$B,"变电设备",卡片数据!$D:$D,"110kV",卡片数据!$N:$N,"子分公司间划转资产")</f>
        <v>0</v>
      </c>
      <c r="G13" s="66">
        <f>SUMIFS(卡片数据!$O:$O,卡片数据!$B:$B,"变电设备",卡片数据!$D:$D,"110kV",卡片数据!$N:$N,"省外划拨")</f>
        <v>0</v>
      </c>
      <c r="H13" s="66">
        <f>SUMIFS(卡片数据!$O:$O,卡片数据!$B:$B,"变电设备",卡片数据!$D:$D,"110kV",卡片数据!$N:$N,"省内地市间划拨")</f>
        <v>0</v>
      </c>
      <c r="I13" s="66">
        <f>SUM(SUMIFS(卡片数据!$O:$O,卡片数据!$B:$B,"变电设备",卡片数据!$D:$D,"110kV",卡片数据!$N:$N,{"拆分合并重分类","地市内划拨"}))</f>
        <v>0</v>
      </c>
      <c r="J13" s="85">
        <f>SUM(K13:Q13)</f>
        <v>0</v>
      </c>
      <c r="K13" s="66">
        <f>SUM(SUMIFS(卡片数据!$R:$R,卡片数据!$B:$B,"变电设备",卡片数据!$D:$D,"110kV",卡片数据!$Q:$Q,{"报废"}))</f>
        <v>0</v>
      </c>
      <c r="L13" s="66">
        <f>SUM(SUMIFS(卡片数据!$R:$R,卡片数据!$B:$B,"变电设备",卡片数据!$D:$D,"110kV",卡片数据!$Q:$Q,{"出售"}))</f>
        <v>0</v>
      </c>
      <c r="M13" s="66">
        <f>SUM(SUMIFS(卡片数据!$R:$R,卡片数据!$B:$B,"变电设备",卡片数据!$D:$D,"110kV",卡片数据!$Q:$Q,{"三供一业无偿划出"}))</f>
        <v>0</v>
      </c>
      <c r="N13" s="66">
        <f>SUMIFS(卡片数据!$R:$R,卡片数据!$B:$B,"变电设备",卡片数据!$D:$D,"110kV",卡片数据!$Q:$Q,"子分公司间划转资产")</f>
        <v>0</v>
      </c>
      <c r="O13" s="66">
        <f>SUMIFS(卡片数据!$R:$R,卡片数据!$B:$B,"变电设备",卡片数据!$D:$D,"110kV",卡片数据!$Q:$Q,"省外划拨")</f>
        <v>0</v>
      </c>
      <c r="P13" s="66">
        <f>SUMIFS(卡片数据!$R:$R,卡片数据!$B:$B,"变电设备",卡片数据!$D:$D,"110kV",卡片数据!$Q:$Q,"省内地市间划拨")</f>
        <v>0</v>
      </c>
      <c r="Q13" s="66">
        <f>SUM(SUMIFS(卡片数据!$R:$R,卡片数据!$B:$B,"变电设备",卡片数据!$D:$D,"110kV",卡片数据!$Q:$Q,{"拆分合并重分类","地市内划拨"}))</f>
        <v>0</v>
      </c>
      <c r="R13" s="66">
        <f>SUMIFS(卡片数据!J:J,卡片数据!$B:$B,"变电设备",卡片数据!$D:$D,"110kV")</f>
        <v>78417199.219999999</v>
      </c>
      <c r="S13" s="66">
        <f>SUMIFS(卡片数据!K:K,卡片数据!$B:$B,"变电设备",卡片数据!$D:$D,"110kV")</f>
        <v>20959484.280000001</v>
      </c>
      <c r="T13" s="88">
        <f t="shared" si="8"/>
        <v>0</v>
      </c>
      <c r="U13" s="85">
        <f t="shared" si="7"/>
        <v>0</v>
      </c>
      <c r="V13" s="66">
        <f>SUMIFS(卡片数据!I:I,卡片数据!$B:$B,"变电设备",卡片数据!$D:$D,"110kV")</f>
        <v>57443507.189999998</v>
      </c>
      <c r="W13" s="85">
        <f>SUM(X13:AC13)</f>
        <v>2444301.3199999998</v>
      </c>
      <c r="X13" s="66">
        <f>SUM(SUMIFS(卡片数据!$P:$P,卡片数据!$B:$B,"变电设备",卡片数据!$D:$D,"110kV",卡片数据!$N:$N,{"工程项目","零购项目","用户资产","盘盈资产","非货币性交易","捐赠增加"}))</f>
        <v>0</v>
      </c>
      <c r="Y13" s="91">
        <f>SUMIFS(卡片数据!M:M,卡片数据!$B:$B,"变电设备",卡片数据!$D:$D,"110kV")</f>
        <v>2444301.3199999998</v>
      </c>
      <c r="Z13" s="66">
        <f>SUMIFS(卡片数据!$P:$P,卡片数据!$B:$B,"变电设备",卡片数据!$D:$D,"110kV",卡片数据!$N:$N,"子分公司间划转资产")</f>
        <v>0</v>
      </c>
      <c r="AA13" s="66">
        <f>SUMIFS(卡片数据!$P:$P,卡片数据!$B:$B,"变电设备",卡片数据!$D:$D,"110kV",卡片数据!$N:$N,"省外划拨")</f>
        <v>0</v>
      </c>
      <c r="AB13" s="66">
        <f>SUMIFS(卡片数据!$P:$P,卡片数据!$B:$B,"变电设备",卡片数据!$D:$D,"110kV",卡片数据!$N:$N,"省内地市间划拨")</f>
        <v>0</v>
      </c>
      <c r="AC13" s="66">
        <f>SUM(SUMIFS(卡片数据!$P:$P,卡片数据!$B:$B,"变电设备",卡片数据!$D:$D,"110kV",卡片数据!$N:$N,{"拆分合并重分类","地市内划拨"}))</f>
        <v>0</v>
      </c>
      <c r="AD13" s="85">
        <f>SUM(AE13:AK13)</f>
        <v>0</v>
      </c>
      <c r="AE13" s="66">
        <f>SUM(SUMIFS(卡片数据!$S:$S,卡片数据!$B:$B,"变电设备",卡片数据!$D:$D,"110kV",卡片数据!$Q:$Q,{"报废"}))</f>
        <v>0</v>
      </c>
      <c r="AF13" s="66">
        <f>SUM(SUMIFS(卡片数据!$S:$S,卡片数据!$B:$B,"变电设备",卡片数据!$D:$D,"110kV",卡片数据!$Q:$Q,{"出售"}))</f>
        <v>0</v>
      </c>
      <c r="AG13" s="66">
        <f>SUM(SUMIFS(卡片数据!$S:$S,卡片数据!$B:$B,"变电设备",卡片数据!$D:$D,"110kV",卡片数据!$Q:$Q,{"三供一业无偿划出"}))</f>
        <v>0</v>
      </c>
      <c r="AH13" s="66">
        <f>SUMIFS(卡片数据!$S:$S,卡片数据!$B:$B,"变电设备",卡片数据!$D:$D,"110kV",卡片数据!$Q:$Q,"子分公司间划转资产")</f>
        <v>0</v>
      </c>
      <c r="AI13" s="66">
        <f>SUMIFS(卡片数据!$S:$S,卡片数据!$B:$B,"变电设备",卡片数据!$D:$D,"110kV",卡片数据!$Q:$Q,"省外划拨")</f>
        <v>0</v>
      </c>
      <c r="AJ13" s="66">
        <f>SUMIFS(卡片数据!$S:$S,卡片数据!$B:$B,"变电设备",卡片数据!$D:$D,"110kV",卡片数据!$Q:$Q,"省内地市间划拨")</f>
        <v>0</v>
      </c>
      <c r="AK13" s="66">
        <f>SUM(SUMIFS(卡片数据!$S:$S,卡片数据!$B:$B,"变电设备",卡片数据!$D:$D,"110kV",卡片数据!$Q:$Q,{"拆分合并重分类","地市内划拨"}))</f>
        <v>0</v>
      </c>
      <c r="AL13" s="66">
        <f>SUMIFS(卡片数据!L:L,卡片数据!$B:$B,"变电设备",卡片数据!$D:$D,"110kV")</f>
        <v>59887808.509999998</v>
      </c>
      <c r="AM13" s="85">
        <f t="shared" si="4"/>
        <v>0</v>
      </c>
      <c r="AN13" s="85">
        <f t="shared" si="5"/>
        <v>0</v>
      </c>
      <c r="AO13" s="66">
        <f>SUMIFS(卡片数据!W:W,卡片数据!$B:$B,"变电设备",卡片数据!$D:$D,"110kV")</f>
        <v>20959484.280000001</v>
      </c>
      <c r="AP13" s="66">
        <f>SUMIFS(卡片数据!X:X,卡片数据!$B:$B,"变电设备",卡片数据!$D:$D,"110kV")</f>
        <v>20959484.280000001</v>
      </c>
    </row>
    <row r="14" spans="1:42" s="79" customFormat="1" ht="13">
      <c r="A14" s="67" t="s">
        <v>28</v>
      </c>
      <c r="B14" s="66">
        <f>SUMIFS(卡片数据!G:G,卡片数据!$B:$B,"变电设备",卡片数据!$D:$D,"35kV")</f>
        <v>43235113.5</v>
      </c>
      <c r="C14" s="66">
        <f>SUMIFS(卡片数据!H:H,卡片数据!$B:$B,"变电设备",卡片数据!$D:$D,"35kV")</f>
        <v>16736117.85</v>
      </c>
      <c r="D14" s="85">
        <f>SUM(E14:I14)</f>
        <v>-62197.13</v>
      </c>
      <c r="E14" s="66">
        <f>SUM(SUMIFS(卡片数据!$O:$O,卡片数据!$B:$B,"变电设备",卡片数据!$D:$D,"35kV",卡片数据!$N:$N,{"工程项目","零购项目","用户资产","盘盈资产","非货币性交易","捐赠增加"}))</f>
        <v>-62197.13</v>
      </c>
      <c r="F14" s="66">
        <f>SUMIFS(卡片数据!$O:$O,卡片数据!$B:$B,"变电设备",卡片数据!$D:$D,"35kV",卡片数据!$N:$N,"子分公司间划转资产")</f>
        <v>0</v>
      </c>
      <c r="G14" s="66">
        <f>SUMIFS(卡片数据!$O:$O,卡片数据!$B:$B,"变电设备",卡片数据!$D:$D,"35kV",卡片数据!$N:$N,"省外划拨")</f>
        <v>0</v>
      </c>
      <c r="H14" s="66">
        <f>SUMIFS(卡片数据!$O:$O,卡片数据!$B:$B,"变电设备",卡片数据!$D:$D,"35kV",卡片数据!$N:$N,"省内地市间划拨")</f>
        <v>0</v>
      </c>
      <c r="I14" s="66">
        <f>SUM(SUMIFS(卡片数据!$O:$O,卡片数据!$B:$B,"变电设备",卡片数据!$D:$D,"35kV",卡片数据!$N:$N,{"拆分合并重分类","地市内划拨"}))</f>
        <v>0</v>
      </c>
      <c r="J14" s="85">
        <f>SUM(K14:Q14)</f>
        <v>0</v>
      </c>
      <c r="K14" s="66">
        <f>SUM(SUMIFS(卡片数据!$R:$R,卡片数据!$B:$B,"变电设备",卡片数据!$D:$D,"35kV",卡片数据!$Q:$Q,{"报废"}))</f>
        <v>0</v>
      </c>
      <c r="L14" s="66">
        <f>SUM(SUMIFS(卡片数据!$R:$R,卡片数据!$B:$B,"变电设备",卡片数据!$D:$D,"35kV",卡片数据!$Q:$Q,{"出售"}))</f>
        <v>0</v>
      </c>
      <c r="M14" s="66">
        <f>SUM(SUMIFS(卡片数据!$R:$R,卡片数据!$B:$B,"变电设备",卡片数据!$D:$D,"35kV",卡片数据!$Q:$Q,{"三供一业无偿划出"}))</f>
        <v>0</v>
      </c>
      <c r="N14" s="66">
        <f>SUMIFS(卡片数据!$R:$R,卡片数据!$B:$B,"变电设备",卡片数据!$D:$D,"35kV",卡片数据!$Q:$Q,"子分公司间划转资产")</f>
        <v>0</v>
      </c>
      <c r="O14" s="66">
        <f>SUMIFS(卡片数据!$R:$R,卡片数据!$B:$B,"变电设备",卡片数据!$D:$D,"35kV",卡片数据!$Q:$Q,"省外划拨")</f>
        <v>0</v>
      </c>
      <c r="P14" s="66">
        <f>SUMIFS(卡片数据!$R:$R,卡片数据!$B:$B,"变电设备",卡片数据!$D:$D,"35kV",卡片数据!$Q:$Q,"省内地市间划拨")</f>
        <v>0</v>
      </c>
      <c r="Q14" s="66">
        <f>SUM(SUMIFS(卡片数据!$R:$R,卡片数据!$B:$B,"变电设备",卡片数据!$D:$D,"35kV",卡片数据!$Q:$Q,{"拆分合并重分类","地市内划拨"}))</f>
        <v>0</v>
      </c>
      <c r="R14" s="66">
        <f>SUMIFS(卡片数据!J:J,卡片数据!$B:$B,"变电设备",卡片数据!$D:$D,"35kV")</f>
        <v>43172916.369999997</v>
      </c>
      <c r="S14" s="66">
        <f>SUMIFS(卡片数据!K:K,卡片数据!$B:$B,"变电设备",卡片数据!$D:$D,"35kV")</f>
        <v>16770838.15</v>
      </c>
      <c r="T14" s="88">
        <f t="shared" si="8"/>
        <v>0</v>
      </c>
      <c r="U14" s="85">
        <f t="shared" si="7"/>
        <v>0</v>
      </c>
      <c r="V14" s="66">
        <f>SUMIFS(卡片数据!I:I,卡片数据!$B:$B,"变电设备",卡片数据!$D:$D,"35kV")</f>
        <v>32964732.82</v>
      </c>
      <c r="W14" s="85">
        <f>SUM(X14:AC14)</f>
        <v>1003595.49</v>
      </c>
      <c r="X14" s="66">
        <f>SUM(SUMIFS(卡片数据!$P:$P,卡片数据!$B:$B,"变电设备",卡片数据!$D:$D,"35kV",卡片数据!$N:$N,{"工程项目","零购项目","用户资产","盘盈资产","非货币性交易","捐赠增加"}))</f>
        <v>0</v>
      </c>
      <c r="Y14" s="91">
        <f>SUMIFS(卡片数据!M:M,卡片数据!$B:$B,"变电设备",卡片数据!$D:$D,"35kV")</f>
        <v>1003595.49</v>
      </c>
      <c r="Z14" s="66">
        <f>SUMIFS(卡片数据!$P:$P,卡片数据!$B:$B,"变电设备",卡片数据!$D:$D,"35kV",卡片数据!$N:$N,"子分公司间划转资产")</f>
        <v>0</v>
      </c>
      <c r="AA14" s="66">
        <f>SUMIFS(卡片数据!$P:$P,卡片数据!$B:$B,"变电设备",卡片数据!$D:$D,"35kV",卡片数据!$N:$N,"省外划拨")</f>
        <v>0</v>
      </c>
      <c r="AB14" s="66">
        <f>SUMIFS(卡片数据!$P:$P,卡片数据!$B:$B,"变电设备",卡片数据!$D:$D,"35kV",卡片数据!$N:$N,"省内地市间划拨")</f>
        <v>0</v>
      </c>
      <c r="AC14" s="66">
        <f>SUM(SUMIFS(卡片数据!$P:$P,卡片数据!$B:$B,"变电设备",卡片数据!$D:$D,"35kV",卡片数据!$N:$N,{"拆分合并重分类","地市内划拨"}))</f>
        <v>0</v>
      </c>
      <c r="AD14" s="85">
        <f>SUM(AE14:AK14)</f>
        <v>0</v>
      </c>
      <c r="AE14" s="66">
        <f>SUM(SUMIFS(卡片数据!$S:$S,卡片数据!$B:$B,"变电设备",卡片数据!$D:$D,"35kV",卡片数据!$Q:$Q,{"报废"}))</f>
        <v>0</v>
      </c>
      <c r="AF14" s="66">
        <f>SUM(SUMIFS(卡片数据!$S:$S,卡片数据!$B:$B,"变电设备",卡片数据!$D:$D,"35kV",卡片数据!$Q:$Q,{"出售"}))</f>
        <v>0</v>
      </c>
      <c r="AG14" s="66">
        <f>SUM(SUMIFS(卡片数据!$S:$S,卡片数据!$B:$B,"变电设备",卡片数据!$D:$D,"35kV",卡片数据!$Q:$Q,{"三供一业无偿划出"}))</f>
        <v>0</v>
      </c>
      <c r="AH14" s="66">
        <f>SUMIFS(卡片数据!$S:$S,卡片数据!$B:$B,"变电设备",卡片数据!$D:$D,"35kV",卡片数据!$Q:$Q,"子分公司间划转资产")</f>
        <v>0</v>
      </c>
      <c r="AI14" s="66">
        <f>SUMIFS(卡片数据!$S:$S,卡片数据!$B:$B,"变电设备",卡片数据!$D:$D,"35kV",卡片数据!$Q:$Q,"省外划拨")</f>
        <v>0</v>
      </c>
      <c r="AJ14" s="66">
        <f>SUMIFS(卡片数据!$S:$S,卡片数据!$B:$B,"变电设备",卡片数据!$D:$D,"35kV",卡片数据!$Q:$Q,"省内地市间划拨")</f>
        <v>0</v>
      </c>
      <c r="AK14" s="66">
        <f>SUM(SUMIFS(卡片数据!$S:$S,卡片数据!$B:$B,"变电设备",卡片数据!$D:$D,"35kV",卡片数据!$Q:$Q,{"拆分合并重分类","地市内划拨"}))</f>
        <v>0</v>
      </c>
      <c r="AL14" s="66">
        <f>SUMIFS(卡片数据!L:L,卡片数据!$B:$B,"变电设备",卡片数据!$D:$D,"35kV")</f>
        <v>33968328.310000002</v>
      </c>
      <c r="AM14" s="85">
        <f t="shared" si="4"/>
        <v>0</v>
      </c>
      <c r="AN14" s="85">
        <f t="shared" si="5"/>
        <v>0</v>
      </c>
      <c r="AO14" s="66">
        <f>SUMIFS(卡片数据!W:W,卡片数据!$B:$B,"变电设备",卡片数据!$D:$D,"35kV")</f>
        <v>17024172.440000001</v>
      </c>
      <c r="AP14" s="66">
        <f>SUMIFS(卡片数据!X:X,卡片数据!$B:$B,"变电设备",卡片数据!$D:$D,"35kV")</f>
        <v>17024172.440000001</v>
      </c>
    </row>
    <row r="15" spans="1:42" s="79" customFormat="1" ht="13">
      <c r="A15" s="67" t="s">
        <v>30</v>
      </c>
      <c r="B15" s="66">
        <f>SUMIFS(卡片数据!G:G,卡片数据!$B:$B,"变电设备",卡片数据!$D:$D,"10kV")</f>
        <v>73730232.870000005</v>
      </c>
      <c r="C15" s="66">
        <f>SUMIFS(卡片数据!H:H,卡片数据!$B:$B,"变电设备",卡片数据!$D:$D,"10kV")</f>
        <v>23484088.969999999</v>
      </c>
      <c r="D15" s="85">
        <f>SUM(E15:I15)</f>
        <v>212461.58</v>
      </c>
      <c r="E15" s="66">
        <f>SUM(SUMIFS(卡片数据!$O:$O,卡片数据!$B:$B,"变电设备",卡片数据!$D:$D,"10kV",卡片数据!$N:$N,{"工程项目","零购项目","用户资产","盘盈资产","非货币性交易","捐赠增加"}))</f>
        <v>150565.34</v>
      </c>
      <c r="F15" s="66">
        <f>SUMIFS(卡片数据!$O:$O,卡片数据!$B:$B,"变电设备",卡片数据!$D:$D,"10kV",卡片数据!$N:$N,"子分公司间划转资产")</f>
        <v>0</v>
      </c>
      <c r="G15" s="66">
        <f>SUMIFS(卡片数据!$O:$O,卡片数据!$B:$B,"变电设备",卡片数据!$D:$D,"10kV",卡片数据!$N:$N,"省外划拨")</f>
        <v>0</v>
      </c>
      <c r="H15" s="66">
        <f>SUMIFS(卡片数据!$O:$O,卡片数据!$B:$B,"变电设备",卡片数据!$D:$D,"10kV",卡片数据!$N:$N,"省内地市间划拨")</f>
        <v>0</v>
      </c>
      <c r="I15" s="66">
        <f>SUM(SUMIFS(卡片数据!$O:$O,卡片数据!$B:$B,"变电设备",卡片数据!$D:$D,"10kV",卡片数据!$N:$N,{"拆分合并重分类","地市内划拨"}))</f>
        <v>61896.24</v>
      </c>
      <c r="J15" s="85">
        <f>SUM(K15:Q15)</f>
        <v>0</v>
      </c>
      <c r="K15" s="66">
        <f>SUM(SUMIFS(卡片数据!$R:$R,卡片数据!$B:$B,"变电设备",卡片数据!$D:$D,"10kV",卡片数据!$Q:$Q,{"报废"}))</f>
        <v>0</v>
      </c>
      <c r="L15" s="66">
        <f>SUM(SUMIFS(卡片数据!$R:$R,卡片数据!$B:$B,"变电设备",卡片数据!$D:$D,"10kV",卡片数据!$Q:$Q,{"出售"}))</f>
        <v>0</v>
      </c>
      <c r="M15" s="66">
        <f>SUM(SUMIFS(卡片数据!$R:$R,卡片数据!$B:$B,"变电设备",卡片数据!$D:$D,"10kV",卡片数据!$Q:$Q,{"三供一业无偿划出"}))</f>
        <v>0</v>
      </c>
      <c r="N15" s="66">
        <f>SUMIFS(卡片数据!$R:$R,卡片数据!$B:$B,"变电设备",卡片数据!$D:$D,"10kV",卡片数据!$Q:$Q,"子分公司间划转资产")</f>
        <v>0</v>
      </c>
      <c r="O15" s="66">
        <f>SUMIFS(卡片数据!$R:$R,卡片数据!$B:$B,"变电设备",卡片数据!$D:$D,"10kV",卡片数据!$Q:$Q,"省外划拨")</f>
        <v>0</v>
      </c>
      <c r="P15" s="66">
        <f>SUMIFS(卡片数据!$R:$R,卡片数据!$B:$B,"变电设备",卡片数据!$D:$D,"10kV",卡片数据!$Q:$Q,"省内地市间划拨")</f>
        <v>0</v>
      </c>
      <c r="Q15" s="66">
        <f>SUM(SUMIFS(卡片数据!$R:$R,卡片数据!$B:$B,"变电设备",卡片数据!$D:$D,"10kV",卡片数据!$Q:$Q,{"拆分合并重分类","地市内划拨"}))</f>
        <v>0</v>
      </c>
      <c r="R15" s="66">
        <f>SUMIFS(卡片数据!J:J,卡片数据!$B:$B,"变电设备",卡片数据!$D:$D,"10kV")</f>
        <v>73942694.450000003</v>
      </c>
      <c r="S15" s="66">
        <f>SUMIFS(卡片数据!K:K,卡片数据!$B:$B,"变电设备",卡片数据!$D:$D,"10kV")</f>
        <v>23566855.210000001</v>
      </c>
      <c r="T15" s="88">
        <f t="shared" si="8"/>
        <v>0</v>
      </c>
      <c r="U15" s="85">
        <f t="shared" si="7"/>
        <v>61896.24</v>
      </c>
      <c r="V15" s="66">
        <f>SUMIFS(卡片数据!I:I,卡片数据!$B:$B,"变电设备",卡片数据!$D:$D,"10kV")</f>
        <v>53782130.899999999</v>
      </c>
      <c r="W15" s="85">
        <f>SUM(X15:AC15)</f>
        <v>1993502.74</v>
      </c>
      <c r="X15" s="66">
        <f>SUM(SUMIFS(卡片数据!$P:$P,卡片数据!$B:$B,"变电设备",卡片数据!$D:$D,"10kV",卡片数据!$N:$N,{"工程项目","零购项目","用户资产","盘盈资产","非货币性交易","捐赠增加"}))</f>
        <v>0</v>
      </c>
      <c r="Y15" s="91">
        <f>SUMIFS(卡片数据!M:M,卡片数据!$B:$B,"变电设备",卡片数据!$D:$D,"10kV")</f>
        <v>1931606.5</v>
      </c>
      <c r="Z15" s="66">
        <f>SUMIFS(卡片数据!$P:$P,卡片数据!$B:$B,"变电设备",卡片数据!$D:$D,"10kV",卡片数据!$N:$N,"子分公司间划转资产")</f>
        <v>0</v>
      </c>
      <c r="AA15" s="66">
        <f>SUMIFS(卡片数据!$P:$P,卡片数据!$B:$B,"变电设备",卡片数据!$D:$D,"10kV",卡片数据!$N:$N,"省外划拨")</f>
        <v>0</v>
      </c>
      <c r="AB15" s="66">
        <f>SUMIFS(卡片数据!$P:$P,卡片数据!$B:$B,"变电设备",卡片数据!$D:$D,"10kV",卡片数据!$N:$N,"省内地市间划拨")</f>
        <v>0</v>
      </c>
      <c r="AC15" s="66">
        <f>SUM(SUMIFS(卡片数据!$P:$P,卡片数据!$B:$B,"变电设备",卡片数据!$D:$D,"10kV",卡片数据!$N:$N,{"拆分合并重分类","地市内划拨"}))</f>
        <v>61896.24</v>
      </c>
      <c r="AD15" s="85">
        <f>SUM(AE15:AK15)</f>
        <v>0</v>
      </c>
      <c r="AE15" s="66">
        <f>SUM(SUMIFS(卡片数据!$S:$S,卡片数据!$B:$B,"变电设备",卡片数据!$D:$D,"10kV",卡片数据!$Q:$Q,{"报废"}))</f>
        <v>0</v>
      </c>
      <c r="AF15" s="66">
        <f>SUM(SUMIFS(卡片数据!$S:$S,卡片数据!$B:$B,"变电设备",卡片数据!$D:$D,"10kV",卡片数据!$Q:$Q,{"出售"}))</f>
        <v>0</v>
      </c>
      <c r="AG15" s="66">
        <f>SUM(SUMIFS(卡片数据!$S:$S,卡片数据!$B:$B,"变电设备",卡片数据!$D:$D,"10kV",卡片数据!$Q:$Q,{"三供一业无偿划出"}))</f>
        <v>0</v>
      </c>
      <c r="AH15" s="66">
        <f>SUMIFS(卡片数据!$S:$S,卡片数据!$B:$B,"变电设备",卡片数据!$D:$D,"10kV",卡片数据!$Q:$Q,"子分公司间划转资产")</f>
        <v>0</v>
      </c>
      <c r="AI15" s="66">
        <f>SUMIFS(卡片数据!$S:$S,卡片数据!$B:$B,"变电设备",卡片数据!$D:$D,"10kV",卡片数据!$Q:$Q,"省外划拨")</f>
        <v>0</v>
      </c>
      <c r="AJ15" s="66">
        <f>SUMIFS(卡片数据!$S:$S,卡片数据!$B:$B,"变电设备",卡片数据!$D:$D,"10kV",卡片数据!$Q:$Q,"省内地市间划拨")</f>
        <v>0</v>
      </c>
      <c r="AK15" s="66">
        <f>SUM(SUMIFS(卡片数据!$S:$S,卡片数据!$B:$B,"变电设备",卡片数据!$D:$D,"10kV",卡片数据!$Q:$Q,{"拆分合并重分类","地市内划拨"}))</f>
        <v>0</v>
      </c>
      <c r="AL15" s="66">
        <f>SUMIFS(卡片数据!L:L,卡片数据!$B:$B,"变电设备",卡片数据!$D:$D,"10kV")</f>
        <v>55775633.640000001</v>
      </c>
      <c r="AM15" s="85">
        <f t="shared" si="4"/>
        <v>0</v>
      </c>
      <c r="AN15" s="85">
        <f t="shared" si="5"/>
        <v>61896.24</v>
      </c>
      <c r="AO15" s="66">
        <f>SUMIFS(卡片数据!W:W,卡片数据!$B:$B,"变电设备",卡片数据!$D:$D,"10kV")</f>
        <v>23566855.210000001</v>
      </c>
      <c r="AP15" s="66">
        <f>SUMIFS(卡片数据!X:X,卡片数据!$B:$B,"变电设备",卡片数据!$D:$D,"10kV")</f>
        <v>23566855.210000001</v>
      </c>
    </row>
    <row r="16" spans="1:42" s="79" customFormat="1" ht="13">
      <c r="A16" s="72" t="s">
        <v>31</v>
      </c>
      <c r="B16" s="3">
        <f t="shared" ref="B16:S16" si="14">SUM(B17:B19)</f>
        <v>673900611.35000002</v>
      </c>
      <c r="C16" s="3">
        <f t="shared" ref="C16" si="15">SUM(C17:C19)</f>
        <v>110689427.56</v>
      </c>
      <c r="D16" s="85">
        <f t="shared" si="14"/>
        <v>13683965.25</v>
      </c>
      <c r="E16" s="3">
        <f t="shared" si="14"/>
        <v>13683965.25</v>
      </c>
      <c r="F16" s="3">
        <f t="shared" si="14"/>
        <v>0</v>
      </c>
      <c r="G16" s="3">
        <f t="shared" si="14"/>
        <v>0</v>
      </c>
      <c r="H16" s="3">
        <f t="shared" si="14"/>
        <v>0</v>
      </c>
      <c r="I16" s="3">
        <f t="shared" si="14"/>
        <v>0</v>
      </c>
      <c r="J16" s="85">
        <f t="shared" si="14"/>
        <v>0</v>
      </c>
      <c r="K16" s="3">
        <f t="shared" si="14"/>
        <v>0</v>
      </c>
      <c r="L16" s="3">
        <f t="shared" si="14"/>
        <v>0</v>
      </c>
      <c r="M16" s="3">
        <f t="shared" si="14"/>
        <v>0</v>
      </c>
      <c r="N16" s="3">
        <f t="shared" si="14"/>
        <v>0</v>
      </c>
      <c r="O16" s="3">
        <f t="shared" si="14"/>
        <v>0</v>
      </c>
      <c r="P16" s="3">
        <f t="shared" si="14"/>
        <v>0</v>
      </c>
      <c r="Q16" s="3">
        <f t="shared" si="14"/>
        <v>0</v>
      </c>
      <c r="R16" s="3">
        <f t="shared" si="14"/>
        <v>687584576.60000002</v>
      </c>
      <c r="S16" s="3">
        <f t="shared" si="14"/>
        <v>121276899.81999999</v>
      </c>
      <c r="T16" s="88">
        <f t="shared" si="8"/>
        <v>0</v>
      </c>
      <c r="U16" s="85">
        <f t="shared" si="7"/>
        <v>0</v>
      </c>
      <c r="V16" s="3">
        <f>SUM(V17:V19)</f>
        <v>417271430.00999999</v>
      </c>
      <c r="W16" s="85">
        <f>SUM(W17:W19)</f>
        <v>27129766.359999999</v>
      </c>
      <c r="X16" s="3">
        <f t="shared" ref="X16:AC16" si="16">SUM(X17:X19)</f>
        <v>0</v>
      </c>
      <c r="Y16" s="90">
        <f t="shared" si="16"/>
        <v>27129766.359999999</v>
      </c>
      <c r="Z16" s="3">
        <f t="shared" si="16"/>
        <v>0</v>
      </c>
      <c r="AA16" s="3">
        <f t="shared" si="16"/>
        <v>0</v>
      </c>
      <c r="AB16" s="3">
        <f t="shared" si="16"/>
        <v>0</v>
      </c>
      <c r="AC16" s="3">
        <f t="shared" si="16"/>
        <v>0</v>
      </c>
      <c r="AD16" s="85">
        <f t="shared" ref="AD16:AL16" si="17">SUM(AD17:AD19)</f>
        <v>0</v>
      </c>
      <c r="AE16" s="3">
        <f t="shared" si="17"/>
        <v>0</v>
      </c>
      <c r="AF16" s="3">
        <f t="shared" si="17"/>
        <v>0</v>
      </c>
      <c r="AG16" s="3">
        <f t="shared" si="17"/>
        <v>0</v>
      </c>
      <c r="AH16" s="3">
        <f t="shared" si="17"/>
        <v>0</v>
      </c>
      <c r="AI16" s="3">
        <f t="shared" si="17"/>
        <v>0</v>
      </c>
      <c r="AJ16" s="3">
        <f t="shared" si="17"/>
        <v>0</v>
      </c>
      <c r="AK16" s="3">
        <f t="shared" si="17"/>
        <v>0</v>
      </c>
      <c r="AL16" s="3">
        <f t="shared" si="17"/>
        <v>444401196.37</v>
      </c>
      <c r="AM16" s="85">
        <f t="shared" si="4"/>
        <v>0</v>
      </c>
      <c r="AN16" s="85">
        <f t="shared" si="5"/>
        <v>0</v>
      </c>
      <c r="AO16" s="3">
        <f t="shared" ref="AO16:AP16" si="18">SUM(AO17:AO19)</f>
        <v>145565119.69999999</v>
      </c>
      <c r="AP16" s="3">
        <f t="shared" si="18"/>
        <v>146049769.68000001</v>
      </c>
    </row>
    <row r="17" spans="1:42" s="79" customFormat="1" ht="13">
      <c r="A17" s="67" t="s">
        <v>28</v>
      </c>
      <c r="B17" s="66">
        <f>SUMIFS(卡片数据!G:G,卡片数据!$B:$B,"配电线路",卡片数据!$D:$D,"35kV")</f>
        <v>0</v>
      </c>
      <c r="C17" s="66">
        <f>SUMIFS(卡片数据!H:H,卡片数据!$B:$B,"配电线路",卡片数据!$D:$D,"35kV")</f>
        <v>0</v>
      </c>
      <c r="D17" s="85">
        <f>SUM(E17:I17)</f>
        <v>0</v>
      </c>
      <c r="E17" s="66">
        <f>SUM(SUMIFS(卡片数据!$O:$O,卡片数据!$B:$B,"配电线路",卡片数据!$D:$D,"35kV",卡片数据!$N:$N,{"工程项目","零购项目","用户资产","盘盈资产","非货币性交易","捐赠增加"}))</f>
        <v>0</v>
      </c>
      <c r="F17" s="66">
        <f>SUMIFS(卡片数据!$O:$O,卡片数据!$B:$B,"配电线路",卡片数据!$D:$D,"35kV",卡片数据!$N:$N,"子分公司间划转资产")</f>
        <v>0</v>
      </c>
      <c r="G17" s="66">
        <f>SUMIFS(卡片数据!$O:$O,卡片数据!$B:$B,"配电线路",卡片数据!$D:$D,"35kV",卡片数据!$N:$N,"省外划拨")</f>
        <v>0</v>
      </c>
      <c r="H17" s="66">
        <f>SUMIFS(卡片数据!$O:$O,卡片数据!$B:$B,"配电线路",卡片数据!$D:$D,"35kV",卡片数据!$N:$N,"省内地市间划拨")</f>
        <v>0</v>
      </c>
      <c r="I17" s="66">
        <f>SUM(SUMIFS(卡片数据!$O:$O,卡片数据!$B:$B,"配电线路",卡片数据!$D:$D,"35kV",卡片数据!$N:$N,{"拆分合并重分类","地市内划拨"}))</f>
        <v>0</v>
      </c>
      <c r="J17" s="85">
        <f>SUM(K17:Q17)</f>
        <v>0</v>
      </c>
      <c r="K17" s="66">
        <f>SUM(SUMIFS(卡片数据!$R:$R,卡片数据!$B:$B,"配电线路",卡片数据!$D:$D,"35kV",卡片数据!$Q:$Q,{"报废"}))</f>
        <v>0</v>
      </c>
      <c r="L17" s="66">
        <f>SUM(SUMIFS(卡片数据!$R:$R,卡片数据!$B:$B,"配电线路",卡片数据!$D:$D,"35kV",卡片数据!$Q:$Q,{"出售"}))</f>
        <v>0</v>
      </c>
      <c r="M17" s="66">
        <f>SUM(SUMIFS(卡片数据!$R:$R,卡片数据!$B:$B,"配电线路",卡片数据!$D:$D,"35kV",卡片数据!$Q:$Q,{"三供一业无偿划出"}))</f>
        <v>0</v>
      </c>
      <c r="N17" s="66">
        <f>SUMIFS(卡片数据!$R:$R,卡片数据!$B:$B,"配电线路",卡片数据!$D:$D,"35kV",卡片数据!$Q:$Q,"子分公司间划转资产")</f>
        <v>0</v>
      </c>
      <c r="O17" s="66">
        <f>SUMIFS(卡片数据!$R:$R,卡片数据!$B:$B,"配电线路",卡片数据!$D:$D,"35kV",卡片数据!$Q:$Q,"省外划拨")</f>
        <v>0</v>
      </c>
      <c r="P17" s="66">
        <f>SUMIFS(卡片数据!$R:$R,卡片数据!$B:$B,"配电线路",卡片数据!$D:$D,"35kV",卡片数据!$Q:$Q,"省内地市间划拨")</f>
        <v>0</v>
      </c>
      <c r="Q17" s="66">
        <f>SUM(SUMIFS(卡片数据!$R:$R,卡片数据!$B:$B,"配电线路",卡片数据!$D:$D,"35kV",卡片数据!$Q:$Q,{"拆分合并重分类","地市内划拨"}))</f>
        <v>0</v>
      </c>
      <c r="R17" s="66">
        <f>SUMIFS(卡片数据!J:J,卡片数据!$B:$B,"配电线路",卡片数据!$D:$D,"35kV")</f>
        <v>0</v>
      </c>
      <c r="S17" s="66">
        <f>SUMIFS(卡片数据!K:K,卡片数据!$B:$B,"配电线路",卡片数据!$D:$D,"35kV")</f>
        <v>0</v>
      </c>
      <c r="T17" s="88">
        <f t="shared" si="8"/>
        <v>0</v>
      </c>
      <c r="U17" s="85">
        <f t="shared" si="7"/>
        <v>0</v>
      </c>
      <c r="V17" s="66">
        <f>SUMIFS(卡片数据!I:I,卡片数据!$B:$B,"配电线路",卡片数据!$D:$D,"35kV")</f>
        <v>0</v>
      </c>
      <c r="W17" s="85">
        <f>SUM(X17:AC17)</f>
        <v>0</v>
      </c>
      <c r="X17" s="66">
        <f>SUM(SUMIFS(卡片数据!$P:$P,卡片数据!$B:$B,"配电线路",卡片数据!$D:$D,"35kV",卡片数据!$N:$N,{"工程项目","零购项目","用户资产","盘盈资产","非货币性交易","捐赠增加"}))</f>
        <v>0</v>
      </c>
      <c r="Y17" s="91">
        <f>SUMIFS(卡片数据!M:M,卡片数据!$B:$B,"配电线路",卡片数据!$D:$D,"35kV")</f>
        <v>0</v>
      </c>
      <c r="Z17" s="66">
        <f>SUMIFS(卡片数据!$P:$P,卡片数据!$B:$B,"配电线路",卡片数据!$D:$D,"35kV",卡片数据!$N:$N,"子分公司间划转资产")</f>
        <v>0</v>
      </c>
      <c r="AA17" s="66">
        <f>SUMIFS(卡片数据!$P:$P,卡片数据!$B:$B,"配电线路",卡片数据!$D:$D,"35kV",卡片数据!$N:$N,"省外划拨")</f>
        <v>0</v>
      </c>
      <c r="AB17" s="66">
        <f>SUMIFS(卡片数据!$P:$P,卡片数据!$B:$B,"配电线路",卡片数据!$D:$D,"35kV",卡片数据!$N:$N,"省内地市间划拨")</f>
        <v>0</v>
      </c>
      <c r="AC17" s="66">
        <f>SUM(SUMIFS(卡片数据!$P:$P,卡片数据!$B:$B,"配电线路",卡片数据!$D:$D,"35kV",卡片数据!$N:$N,{"拆分合并重分类","地市内划拨"}))</f>
        <v>0</v>
      </c>
      <c r="AD17" s="85">
        <f>SUM(AE17:AK17)</f>
        <v>0</v>
      </c>
      <c r="AE17" s="66">
        <f>SUM(SUMIFS(卡片数据!$S:$S,卡片数据!$B:$B,"配电线路",卡片数据!$D:$D,"35kV",卡片数据!$Q:$Q,{"报废"}))</f>
        <v>0</v>
      </c>
      <c r="AF17" s="66">
        <f>SUM(SUMIFS(卡片数据!$S:$S,卡片数据!$B:$B,"配电线路",卡片数据!$D:$D,"35kV",卡片数据!$Q:$Q,{"出售"}))</f>
        <v>0</v>
      </c>
      <c r="AG17" s="66">
        <f>SUM(SUMIFS(卡片数据!$S:$S,卡片数据!$B:$B,"配电线路",卡片数据!$D:$D,"35kV",卡片数据!$Q:$Q,{"三供一业无偿划出"}))</f>
        <v>0</v>
      </c>
      <c r="AH17" s="66">
        <f>SUMIFS(卡片数据!$S:$S,卡片数据!$B:$B,"配电线路",卡片数据!$D:$D,"35kV",卡片数据!$Q:$Q,"子分公司间划转资产")</f>
        <v>0</v>
      </c>
      <c r="AI17" s="66">
        <f>SUMIFS(卡片数据!$S:$S,卡片数据!$B:$B,"配电线路",卡片数据!$D:$D,"35kV",卡片数据!$Q:$Q,"省外划拨")</f>
        <v>0</v>
      </c>
      <c r="AJ17" s="66">
        <f>SUMIFS(卡片数据!$S:$S,卡片数据!$B:$B,"配电线路",卡片数据!$D:$D,"35kV",卡片数据!$Q:$Q,"省内地市间划拨")</f>
        <v>0</v>
      </c>
      <c r="AK17" s="66">
        <f>SUM(SUMIFS(卡片数据!$S:$S,卡片数据!$B:$B,"配电线路",卡片数据!$D:$D,"35kV",卡片数据!$Q:$Q,{"拆分合并重分类","地市内划拨"}))</f>
        <v>0</v>
      </c>
      <c r="AL17" s="66">
        <f>SUMIFS(卡片数据!L:L,卡片数据!$B:$B,"配电线路",卡片数据!$D:$D,"35kV")</f>
        <v>0</v>
      </c>
      <c r="AM17" s="85">
        <f t="shared" si="4"/>
        <v>0</v>
      </c>
      <c r="AN17" s="85">
        <f t="shared" si="5"/>
        <v>0</v>
      </c>
      <c r="AO17" s="66">
        <f>SUMIFS(卡片数据!W:W,卡片数据!$B:$B,"配电线路",卡片数据!$D:$D,"35kV")</f>
        <v>0</v>
      </c>
      <c r="AP17" s="66">
        <f>SUMIFS(卡片数据!X:X,卡片数据!$B:$B,"配电线路",卡片数据!$D:$D,"35kV")</f>
        <v>0</v>
      </c>
    </row>
    <row r="18" spans="1:42" s="79" customFormat="1" ht="12" customHeight="1">
      <c r="A18" s="67" t="s">
        <v>30</v>
      </c>
      <c r="B18" s="66">
        <f>SUMIFS(卡片数据!G:G,卡片数据!$B:$B,"配电线路",卡片数据!$D:$D,"10kV")</f>
        <v>317677954.10000002</v>
      </c>
      <c r="C18" s="66">
        <f>SUMIFS(卡片数据!H:H,卡片数据!$B:$B,"配电线路",卡片数据!$D:$D,"10kV")</f>
        <v>28887097.52</v>
      </c>
      <c r="D18" s="85">
        <f>SUM(E18:I18)</f>
        <v>-320031.28999999998</v>
      </c>
      <c r="E18" s="66">
        <f>SUM(SUMIFS(卡片数据!$O:$O,卡片数据!$B:$B,"配电线路",卡片数据!$D:$D,"10kV",卡片数据!$N:$N,{"工程项目","零购项目","用户资产","盘盈资产","非货币性交易","捐赠增加"}))</f>
        <v>-320031.28999999998</v>
      </c>
      <c r="F18" s="66">
        <f>SUMIFS(卡片数据!$O:$O,卡片数据!$B:$B,"配电线路",卡片数据!$D:$D,"10kV",卡片数据!$N:$N,"子分公司间划转资产")</f>
        <v>0</v>
      </c>
      <c r="G18" s="66">
        <f>SUMIFS(卡片数据!$O:$O,卡片数据!$B:$B,"配电线路",卡片数据!$D:$D,"10kV",卡片数据!$N:$N,"省外划拨")</f>
        <v>0</v>
      </c>
      <c r="H18" s="66">
        <f>SUMIFS(卡片数据!$O:$O,卡片数据!$B:$B,"配电线路",卡片数据!$D:$D,"10kV",卡片数据!$N:$N,"省内地市间划拨")</f>
        <v>0</v>
      </c>
      <c r="I18" s="66">
        <f>SUM(SUMIFS(卡片数据!$O:$O,卡片数据!$B:$B,"配电线路",卡片数据!$D:$D,"10kV",卡片数据!$N:$N,{"拆分合并重分类","地市内划拨"}))</f>
        <v>0</v>
      </c>
      <c r="J18" s="85">
        <f>SUM(K18:Q18)</f>
        <v>0</v>
      </c>
      <c r="K18" s="66">
        <f>SUM(SUMIFS(卡片数据!$R:$R,卡片数据!$B:$B,"配电线路",卡片数据!$D:$D,"10kV",卡片数据!$Q:$Q,{"报废"}))</f>
        <v>0</v>
      </c>
      <c r="L18" s="66">
        <f>SUM(SUMIFS(卡片数据!$R:$R,卡片数据!$B:$B,"配电线路",卡片数据!$D:$D,"10kV",卡片数据!$Q:$Q,{"出售"}))</f>
        <v>0</v>
      </c>
      <c r="M18" s="66">
        <f>SUM(SUMIFS(卡片数据!$R:$R,卡片数据!$B:$B,"配电线路",卡片数据!$D:$D,"10kV",卡片数据!$Q:$Q,{"三供一业无偿划出"}))</f>
        <v>0</v>
      </c>
      <c r="N18" s="66">
        <f>SUMIFS(卡片数据!$R:$R,卡片数据!$B:$B,"配电线路",卡片数据!$D:$D,"10kV",卡片数据!$Q:$Q,"子分公司间划转资产")</f>
        <v>0</v>
      </c>
      <c r="O18" s="66">
        <f>SUMIFS(卡片数据!$R:$R,卡片数据!$B:$B,"配电线路",卡片数据!$D:$D,"10kV",卡片数据!$Q:$Q,"省外划拨")</f>
        <v>0</v>
      </c>
      <c r="P18" s="66">
        <f>SUMIFS(卡片数据!$R:$R,卡片数据!$B:$B,"配电线路",卡片数据!$D:$D,"10kV",卡片数据!$Q:$Q,"省内地市间划拨")</f>
        <v>0</v>
      </c>
      <c r="Q18" s="66">
        <f>SUM(SUMIFS(卡片数据!$R:$R,卡片数据!$B:$B,"配电线路",卡片数据!$D:$D,"10kV",卡片数据!$Q:$Q,{"拆分合并重分类","地市内划拨"}))</f>
        <v>0</v>
      </c>
      <c r="R18" s="66">
        <f>SUMIFS(卡片数据!J:J,卡片数据!$B:$B,"配电线路",卡片数据!$D:$D,"10kV")</f>
        <v>317357922.81</v>
      </c>
      <c r="S18" s="66">
        <f>SUMIFS(卡片数据!K:K,卡片数据!$B:$B,"配电线路",卡片数据!$D:$D,"10kV")</f>
        <v>39474569.780000001</v>
      </c>
      <c r="T18" s="88">
        <f t="shared" si="8"/>
        <v>0</v>
      </c>
      <c r="U18" s="85">
        <f t="shared" si="7"/>
        <v>0</v>
      </c>
      <c r="V18" s="66">
        <f>SUMIFS(卡片数据!I:I,卡片数据!$B:$B,"配电线路",卡片数据!$D:$D,"10kV")</f>
        <v>207990635.08000001</v>
      </c>
      <c r="W18" s="85">
        <f>SUM(X18:AC18)</f>
        <v>12986937.109999999</v>
      </c>
      <c r="X18" s="66">
        <f>SUM(SUMIFS(卡片数据!$P:$P,卡片数据!$B:$B,"配电线路",卡片数据!$D:$D,"10kV",卡片数据!$N:$N,{"工程项目","零购项目","用户资产","盘盈资产","非货币性交易","捐赠增加"}))</f>
        <v>0</v>
      </c>
      <c r="Y18" s="91">
        <f>SUMIFS(卡片数据!M:M,卡片数据!$B:$B,"配电线路",卡片数据!$D:$D,"10kV")</f>
        <v>12986937.109999999</v>
      </c>
      <c r="Z18" s="66">
        <f>SUMIFS(卡片数据!$P:$P,卡片数据!$B:$B,"配电线路",卡片数据!$D:$D,"10kV",卡片数据!$N:$N,"子分公司间划转资产")</f>
        <v>0</v>
      </c>
      <c r="AA18" s="66">
        <f>SUMIFS(卡片数据!$P:$P,卡片数据!$B:$B,"配电线路",卡片数据!$D:$D,"10kV",卡片数据!$N:$N,"省外划拨")</f>
        <v>0</v>
      </c>
      <c r="AB18" s="66">
        <f>SUMIFS(卡片数据!$P:$P,卡片数据!$B:$B,"配电线路",卡片数据!$D:$D,"10kV",卡片数据!$N:$N,"省内地市间划拨")</f>
        <v>0</v>
      </c>
      <c r="AC18" s="66">
        <f>SUM(SUMIFS(卡片数据!$P:$P,卡片数据!$B:$B,"配电线路",卡片数据!$D:$D,"10kV",卡片数据!$N:$N,{"拆分合并重分类","地市内划拨"}))</f>
        <v>0</v>
      </c>
      <c r="AD18" s="85">
        <f>SUM(AE18:AK18)</f>
        <v>0</v>
      </c>
      <c r="AE18" s="66">
        <f>SUM(SUMIFS(卡片数据!$S:$S,卡片数据!$B:$B,"配电线路",卡片数据!$D:$D,"10kV",卡片数据!$Q:$Q,{"报废"}))</f>
        <v>0</v>
      </c>
      <c r="AF18" s="66">
        <f>SUM(SUMIFS(卡片数据!$S:$S,卡片数据!$B:$B,"配电线路",卡片数据!$D:$D,"10kV",卡片数据!$Q:$Q,{"出售"}))</f>
        <v>0</v>
      </c>
      <c r="AG18" s="66">
        <f>SUM(SUMIFS(卡片数据!$S:$S,卡片数据!$B:$B,"配电线路",卡片数据!$D:$D,"10kV",卡片数据!$Q:$Q,{"三供一业无偿划出"}))</f>
        <v>0</v>
      </c>
      <c r="AH18" s="66">
        <f>SUMIFS(卡片数据!$S:$S,卡片数据!$B:$B,"配电线路",卡片数据!$D:$D,"10kV",卡片数据!$Q:$Q,"子分公司间划转资产")</f>
        <v>0</v>
      </c>
      <c r="AI18" s="66">
        <f>SUMIFS(卡片数据!$S:$S,卡片数据!$B:$B,"配电线路",卡片数据!$D:$D,"10kV",卡片数据!$Q:$Q,"省外划拨")</f>
        <v>0</v>
      </c>
      <c r="AJ18" s="66">
        <f>SUMIFS(卡片数据!$S:$S,卡片数据!$B:$B,"配电线路",卡片数据!$D:$D,"10kV",卡片数据!$Q:$Q,"省内地市间划拨")</f>
        <v>0</v>
      </c>
      <c r="AK18" s="66">
        <f>SUM(SUMIFS(卡片数据!$S:$S,卡片数据!$B:$B,"配电线路",卡片数据!$D:$D,"10kV",卡片数据!$Q:$Q,{"拆分合并重分类","地市内划拨"}))</f>
        <v>0</v>
      </c>
      <c r="AL18" s="66">
        <f>SUMIFS(卡片数据!L:L,卡片数据!$B:$B,"配电线路",卡片数据!$D:$D,"10kV")</f>
        <v>220977572.19</v>
      </c>
      <c r="AM18" s="85">
        <f t="shared" si="4"/>
        <v>0</v>
      </c>
      <c r="AN18" s="85">
        <f t="shared" si="5"/>
        <v>0</v>
      </c>
      <c r="AO18" s="66">
        <f>SUMIFS(卡片数据!W:W,卡片数据!$B:$B,"配电线路",卡片数据!$D:$D,"10kV")</f>
        <v>59208125.119999997</v>
      </c>
      <c r="AP18" s="66">
        <f>SUMIFS(卡片数据!X:X,卡片数据!$B:$B,"配电线路",卡片数据!$D:$D,"10kV")</f>
        <v>59248029.119999997</v>
      </c>
    </row>
    <row r="19" spans="1:42" s="79" customFormat="1" ht="13">
      <c r="A19" s="67" t="s">
        <v>32</v>
      </c>
      <c r="B19" s="66">
        <f>SUMIFS(卡片数据!G:G,卡片数据!$B:$B,"配电线路",卡片数据!$D:$D,"10kV以下")</f>
        <v>356222657.25</v>
      </c>
      <c r="C19" s="66">
        <f>SUMIFS(卡片数据!H:H,卡片数据!$B:$B,"配电线路",卡片数据!$D:$D,"10kV以下")</f>
        <v>81802330.040000007</v>
      </c>
      <c r="D19" s="85">
        <f>SUM(E19:I19)</f>
        <v>14003996.539999999</v>
      </c>
      <c r="E19" s="66">
        <f>SUM(SUMIFS(卡片数据!$O:$O,卡片数据!$B:$B,"配电线路",卡片数据!$D:$D,"10kV以下",卡片数据!$N:$N,{"工程项目","零购项目","用户资产","盘盈资产","非货币性交易","捐赠增加"}))</f>
        <v>14003996.539999999</v>
      </c>
      <c r="F19" s="66">
        <f>SUMIFS(卡片数据!$O:$O,卡片数据!$B:$B,"配电线路",卡片数据!$D:$D,"10kV以下",卡片数据!$N:$N,"子分公司间划转资产")</f>
        <v>0</v>
      </c>
      <c r="G19" s="66">
        <f>SUMIFS(卡片数据!$O:$O,卡片数据!$B:$B,"配电线路",卡片数据!$D:$D,"10kV以下",卡片数据!$N:$N,"省外划拨")</f>
        <v>0</v>
      </c>
      <c r="H19" s="66">
        <f>SUMIFS(卡片数据!$O:$O,卡片数据!$B:$B,"配电线路",卡片数据!$D:$D,"10kV以下",卡片数据!$N:$N,"省内地市间划拨")</f>
        <v>0</v>
      </c>
      <c r="I19" s="66">
        <f>SUM(SUMIFS(卡片数据!$O:$O,卡片数据!$B:$B,"配电线路",卡片数据!$D:$D,"10kV以下",卡片数据!$N:$N,{"拆分合并重分类","地市内划拨"}))</f>
        <v>0</v>
      </c>
      <c r="J19" s="85">
        <f>SUM(K19:Q19)</f>
        <v>0</v>
      </c>
      <c r="K19" s="66">
        <f>SUM(SUMIFS(卡片数据!$R:$R,卡片数据!$B:$B,"配电线路",卡片数据!$D:$D,"10kV以下",卡片数据!$Q:$Q,{"报废"}))</f>
        <v>0</v>
      </c>
      <c r="L19" s="66">
        <f>SUM(SUMIFS(卡片数据!$R:$R,卡片数据!$B:$B,"配电线路",卡片数据!$D:$D,"10kV以下",卡片数据!$Q:$Q,{"出售"}))</f>
        <v>0</v>
      </c>
      <c r="M19" s="66">
        <f>SUM(SUMIFS(卡片数据!$R:$R,卡片数据!$B:$B,"配电线路",卡片数据!$D:$D,"10kV以下",卡片数据!$Q:$Q,{"三供一业无偿划出"}))</f>
        <v>0</v>
      </c>
      <c r="N19" s="66">
        <f>SUMIFS(卡片数据!$R:$R,卡片数据!$B:$B,"配电线路",卡片数据!$D:$D,"10kV以下",卡片数据!$Q:$Q,"子分公司间划转资产")</f>
        <v>0</v>
      </c>
      <c r="O19" s="66">
        <f>SUMIFS(卡片数据!$R:$R,卡片数据!$B:$B,"配电线路",卡片数据!$D:$D,"10kV以下",卡片数据!$Q:$Q,"省外划拨")</f>
        <v>0</v>
      </c>
      <c r="P19" s="66">
        <f>SUMIFS(卡片数据!$R:$R,卡片数据!$B:$B,"配电线路",卡片数据!$D:$D,"10kV以下",卡片数据!$Q:$Q,"省内地市间划拨")</f>
        <v>0</v>
      </c>
      <c r="Q19" s="66">
        <f>SUM(SUMIFS(卡片数据!$R:$R,卡片数据!$B:$B,"配电线路",卡片数据!$D:$D,"10kV以下",卡片数据!$Q:$Q,{"拆分合并重分类","地市内划拨"}))</f>
        <v>0</v>
      </c>
      <c r="R19" s="66">
        <f>SUMIFS(卡片数据!J:J,卡片数据!$B:$B,"配电线路",卡片数据!$D:$D,"10kV以下")</f>
        <v>370226653.79000002</v>
      </c>
      <c r="S19" s="66">
        <f>SUMIFS(卡片数据!K:K,卡片数据!$B:$B,"配电线路",卡片数据!$D:$D,"10kV以下")</f>
        <v>81802330.040000007</v>
      </c>
      <c r="T19" s="88">
        <f t="shared" si="8"/>
        <v>0</v>
      </c>
      <c r="U19" s="85">
        <f t="shared" si="7"/>
        <v>0</v>
      </c>
      <c r="V19" s="66">
        <f>SUMIFS(卡片数据!I:I,卡片数据!$B:$B,"配电线路",卡片数据!$D:$D,"10kV以下")</f>
        <v>209280794.93000001</v>
      </c>
      <c r="W19" s="85">
        <f>SUM(X19:AC19)</f>
        <v>14142829.25</v>
      </c>
      <c r="X19" s="66">
        <f>SUM(SUMIFS(卡片数据!$P:$P,卡片数据!$B:$B,"配电线路",卡片数据!$D:$D,"10kV以下",卡片数据!$N:$N,{"工程项目","零购项目","用户资产","盘盈资产","非货币性交易","捐赠增加"}))</f>
        <v>0</v>
      </c>
      <c r="Y19" s="91">
        <f>SUMIFS(卡片数据!M:M,卡片数据!$B:$B,"配电线路",卡片数据!$D:$D,"10kV以下")</f>
        <v>14142829.25</v>
      </c>
      <c r="Z19" s="66">
        <f>SUMIFS(卡片数据!$P:$P,卡片数据!$B:$B,"配电线路",卡片数据!$D:$D,"10kV以下",卡片数据!$N:$N,"子分公司间划转资产")</f>
        <v>0</v>
      </c>
      <c r="AA19" s="66">
        <f>SUMIFS(卡片数据!$P:$P,卡片数据!$B:$B,"配电线路",卡片数据!$D:$D,"10kV以下",卡片数据!$N:$N,"省外划拨")</f>
        <v>0</v>
      </c>
      <c r="AB19" s="66">
        <f>SUMIFS(卡片数据!$P:$P,卡片数据!$B:$B,"配电线路",卡片数据!$D:$D,"10kV以下",卡片数据!$N:$N,"省内地市间划拨")</f>
        <v>0</v>
      </c>
      <c r="AC19" s="66">
        <f>SUM(SUMIFS(卡片数据!$P:$P,卡片数据!$B:$B,"配电线路",卡片数据!$D:$D,"10kV以下",卡片数据!$N:$N,{"拆分合并重分类","地市内划拨"}))</f>
        <v>0</v>
      </c>
      <c r="AD19" s="85">
        <f>SUM(AE19:AK19)</f>
        <v>0</v>
      </c>
      <c r="AE19" s="66">
        <f>SUM(SUMIFS(卡片数据!$S:$S,卡片数据!$B:$B,"配电线路",卡片数据!$D:$D,"10kV以下",卡片数据!$Q:$Q,{"报废"}))</f>
        <v>0</v>
      </c>
      <c r="AF19" s="66">
        <f>SUM(SUMIFS(卡片数据!$S:$S,卡片数据!$B:$B,"配电线路",卡片数据!$D:$D,"10kV以下",卡片数据!$Q:$Q,{"出售"}))</f>
        <v>0</v>
      </c>
      <c r="AG19" s="66">
        <f>SUM(SUMIFS(卡片数据!$S:$S,卡片数据!$B:$B,"配电线路",卡片数据!$D:$D,"10kV以下",卡片数据!$Q:$Q,{"三供一业无偿划出"}))</f>
        <v>0</v>
      </c>
      <c r="AH19" s="66">
        <f>SUMIFS(卡片数据!$S:$S,卡片数据!$B:$B,"配电线路",卡片数据!$D:$D,"10kV以下",卡片数据!$Q:$Q,"子分公司间划转资产")</f>
        <v>0</v>
      </c>
      <c r="AI19" s="66">
        <f>SUMIFS(卡片数据!$S:$S,卡片数据!$B:$B,"配电线路",卡片数据!$D:$D,"10kV以下",卡片数据!$Q:$Q,"省外划拨")</f>
        <v>0</v>
      </c>
      <c r="AJ19" s="66">
        <f>SUMIFS(卡片数据!$S:$S,卡片数据!$B:$B,"配电线路",卡片数据!$D:$D,"10kV以下",卡片数据!$Q:$Q,"省内地市间划拨")</f>
        <v>0</v>
      </c>
      <c r="AK19" s="66">
        <f>SUM(SUMIFS(卡片数据!$S:$S,卡片数据!$B:$B,"配电线路",卡片数据!$D:$D,"10kV以下",卡片数据!$Q:$Q,{"拆分合并重分类","地市内划拨"}))</f>
        <v>0</v>
      </c>
      <c r="AL19" s="66">
        <f>SUMIFS(卡片数据!L:L,卡片数据!$B:$B,"配电线路",卡片数据!$D:$D,"10kV以下")</f>
        <v>223423624.18000001</v>
      </c>
      <c r="AM19" s="85">
        <f t="shared" si="4"/>
        <v>0</v>
      </c>
      <c r="AN19" s="85">
        <f t="shared" si="5"/>
        <v>0</v>
      </c>
      <c r="AO19" s="66">
        <f>SUMIFS(卡片数据!W:W,卡片数据!$B:$B,"配电线路",卡片数据!$D:$D,"10kV以下")</f>
        <v>86356994.579999998</v>
      </c>
      <c r="AP19" s="66">
        <f>SUMIFS(卡片数据!X:X,卡片数据!$B:$B,"配电线路",卡片数据!$D:$D,"10kV以下")</f>
        <v>86801740.560000002</v>
      </c>
    </row>
    <row r="20" spans="1:42" s="79" customFormat="1" ht="13">
      <c r="A20" s="72" t="s">
        <v>33</v>
      </c>
      <c r="B20" s="3">
        <f>SUM(B21:B23)</f>
        <v>157374964.52000001</v>
      </c>
      <c r="C20" s="3">
        <f t="shared" ref="C20" si="19">SUM(C21:C23)</f>
        <v>30935629.170000002</v>
      </c>
      <c r="D20" s="85">
        <f t="shared" ref="D20:S20" si="20">SUM(D21:D23)</f>
        <v>12737736.699999999</v>
      </c>
      <c r="E20" s="3">
        <f t="shared" si="20"/>
        <v>12737736.699999999</v>
      </c>
      <c r="F20" s="3">
        <f t="shared" si="20"/>
        <v>0</v>
      </c>
      <c r="G20" s="3">
        <f t="shared" si="20"/>
        <v>0</v>
      </c>
      <c r="H20" s="3">
        <f t="shared" si="20"/>
        <v>0</v>
      </c>
      <c r="I20" s="3">
        <f t="shared" si="20"/>
        <v>0</v>
      </c>
      <c r="J20" s="85">
        <f t="shared" si="20"/>
        <v>0</v>
      </c>
      <c r="K20" s="3">
        <f t="shared" si="20"/>
        <v>0</v>
      </c>
      <c r="L20" s="3">
        <f t="shared" si="20"/>
        <v>0</v>
      </c>
      <c r="M20" s="3">
        <f t="shared" si="20"/>
        <v>0</v>
      </c>
      <c r="N20" s="3">
        <f t="shared" si="20"/>
        <v>0</v>
      </c>
      <c r="O20" s="3">
        <f t="shared" si="20"/>
        <v>0</v>
      </c>
      <c r="P20" s="3">
        <f t="shared" si="20"/>
        <v>0</v>
      </c>
      <c r="Q20" s="3">
        <f t="shared" si="20"/>
        <v>0</v>
      </c>
      <c r="R20" s="3">
        <f t="shared" si="20"/>
        <v>170112701.22</v>
      </c>
      <c r="S20" s="3">
        <f t="shared" si="20"/>
        <v>30985831.100000001</v>
      </c>
      <c r="T20" s="88">
        <f t="shared" si="8"/>
        <v>0</v>
      </c>
      <c r="U20" s="85">
        <f t="shared" si="7"/>
        <v>0</v>
      </c>
      <c r="V20" s="3">
        <f>SUM(V21:V23)</f>
        <v>100135832.72</v>
      </c>
      <c r="W20" s="85">
        <f>SUM(W21:W23)</f>
        <v>5627085.3499999996</v>
      </c>
      <c r="X20" s="3">
        <f t="shared" ref="X20:AC20" si="21">SUM(X21:X23)</f>
        <v>0</v>
      </c>
      <c r="Y20" s="90">
        <f t="shared" si="21"/>
        <v>5627085.3499999996</v>
      </c>
      <c r="Z20" s="3">
        <f t="shared" si="21"/>
        <v>0</v>
      </c>
      <c r="AA20" s="3">
        <f t="shared" si="21"/>
        <v>0</v>
      </c>
      <c r="AB20" s="3">
        <f t="shared" si="21"/>
        <v>0</v>
      </c>
      <c r="AC20" s="3">
        <f t="shared" si="21"/>
        <v>0</v>
      </c>
      <c r="AD20" s="85">
        <f t="shared" ref="AD20:AL20" si="22">SUM(AD21:AD23)</f>
        <v>0</v>
      </c>
      <c r="AE20" s="3">
        <f t="shared" si="22"/>
        <v>0</v>
      </c>
      <c r="AF20" s="3">
        <f t="shared" si="22"/>
        <v>0</v>
      </c>
      <c r="AG20" s="3">
        <f t="shared" si="22"/>
        <v>0</v>
      </c>
      <c r="AH20" s="3">
        <f t="shared" si="22"/>
        <v>0</v>
      </c>
      <c r="AI20" s="3">
        <f t="shared" si="22"/>
        <v>0</v>
      </c>
      <c r="AJ20" s="3">
        <f t="shared" si="22"/>
        <v>0</v>
      </c>
      <c r="AK20" s="3">
        <f t="shared" si="22"/>
        <v>0</v>
      </c>
      <c r="AL20" s="3">
        <f t="shared" si="22"/>
        <v>105762918.06999999</v>
      </c>
      <c r="AM20" s="85">
        <f t="shared" si="4"/>
        <v>0</v>
      </c>
      <c r="AN20" s="85">
        <f t="shared" si="5"/>
        <v>0</v>
      </c>
      <c r="AO20" s="3">
        <f>SUM(AO21:AO23)</f>
        <v>31593422.800000001</v>
      </c>
      <c r="AP20" s="3">
        <f>SUM(AP21:AP23)</f>
        <v>31995487.600000001</v>
      </c>
    </row>
    <row r="21" spans="1:42" s="79" customFormat="1" ht="13">
      <c r="A21" s="67" t="s">
        <v>28</v>
      </c>
      <c r="B21" s="66">
        <f>SUMIFS(卡片数据!G:G,卡片数据!$B:$B,"配电设备-其他",卡片数据!$D:$D,"35kV")</f>
        <v>0</v>
      </c>
      <c r="C21" s="66">
        <f>SUMIFS(卡片数据!H:H,卡片数据!$B:$B,"配电设备-其他",卡片数据!$D:$D,"35kV")</f>
        <v>0</v>
      </c>
      <c r="D21" s="85">
        <f t="shared" ref="D21:D36" si="23">SUM(E21:I21)</f>
        <v>0</v>
      </c>
      <c r="E21" s="66">
        <f>SUM(SUMIFS(卡片数据!$O:$O,卡片数据!$B:$B,"配电设备-其他",卡片数据!$D:$D,"35kV",卡片数据!$N:$N,{"工程项目","零购项目","用户资产","盘盈资产","非货币性交易","捐赠增加"}))</f>
        <v>0</v>
      </c>
      <c r="F21" s="66">
        <f>SUMIFS(卡片数据!$O:$O,卡片数据!$B:$B,"配电设备-其他",卡片数据!$D:$D,"35kV",卡片数据!$N:$N,"子分公司间划转资产")</f>
        <v>0</v>
      </c>
      <c r="G21" s="66">
        <f>SUMIFS(卡片数据!$O:$O,卡片数据!$B:$B,"配电设备-其他",卡片数据!$D:$D,"35kV",卡片数据!$N:$N,"省外划拨")</f>
        <v>0</v>
      </c>
      <c r="H21" s="66">
        <f>SUMIFS(卡片数据!$O:$O,卡片数据!$B:$B,"配电设备-其他",卡片数据!$D:$D,"35kV",卡片数据!$N:$N,"省内地市间划拨")</f>
        <v>0</v>
      </c>
      <c r="I21" s="66">
        <f>SUM(SUMIFS(卡片数据!$O:$O,卡片数据!$B:$B,"配电设备-其他",卡片数据!$D:$D,"35kV",卡片数据!$N:$N,{"拆分合并重分类","地市内划拨"}))</f>
        <v>0</v>
      </c>
      <c r="J21" s="85">
        <f t="shared" ref="J21:J36" si="24">SUM(K21:Q21)</f>
        <v>0</v>
      </c>
      <c r="K21" s="66">
        <f>SUM(SUMIFS(卡片数据!$R:$R,卡片数据!$B:$B,"配电设备-其他",卡片数据!$D:$D,"35kV",卡片数据!$Q:$Q,{"报废"}))</f>
        <v>0</v>
      </c>
      <c r="L21" s="66">
        <f>SUM(SUMIFS(卡片数据!$R:$R,卡片数据!$B:$B,"配电设备-其他",卡片数据!$D:$D,"35kV",卡片数据!$Q:$Q,{"出售"}))</f>
        <v>0</v>
      </c>
      <c r="M21" s="66">
        <f>SUM(SUMIFS(卡片数据!$R:$R,卡片数据!$B:$B,"配电设备-其他",卡片数据!$D:$D,"35kV",卡片数据!$Q:$Q,{"三供一业无偿划出"}))</f>
        <v>0</v>
      </c>
      <c r="N21" s="66">
        <f>SUMIFS(卡片数据!$R:$R,卡片数据!$B:$B,"配电设备-其他",卡片数据!$D:$D,"35kV",卡片数据!$Q:$Q,"子分公司间划转资产")</f>
        <v>0</v>
      </c>
      <c r="O21" s="66">
        <f>SUMIFS(卡片数据!$R:$R,卡片数据!$B:$B,"配电设备-其他",卡片数据!$D:$D,"35kV",卡片数据!$Q:$Q,"省外划拨")</f>
        <v>0</v>
      </c>
      <c r="P21" s="66">
        <f>SUMIFS(卡片数据!$R:$R,卡片数据!$B:$B,"配电设备-其他",卡片数据!$D:$D,"35kV",卡片数据!$Q:$Q,"省内地市间划拨")</f>
        <v>0</v>
      </c>
      <c r="Q21" s="66">
        <f>SUM(SUMIFS(卡片数据!$R:$R,卡片数据!$B:$B,"配电设备-其他",卡片数据!$D:$D,"35kV",卡片数据!$Q:$Q,{"拆分合并重分类","地市内划拨"}))</f>
        <v>0</v>
      </c>
      <c r="R21" s="66">
        <f>SUMIFS(卡片数据!J:J,卡片数据!$B:$B,"配电设备-其他",卡片数据!$D:$D,"35kV")</f>
        <v>0</v>
      </c>
      <c r="S21" s="66">
        <f>SUMIFS(卡片数据!K:K,卡片数据!$B:$B,"配电设备-其他",卡片数据!$D:$D,"35kV")</f>
        <v>0</v>
      </c>
      <c r="T21" s="88">
        <f t="shared" si="8"/>
        <v>0</v>
      </c>
      <c r="U21" s="85">
        <f t="shared" si="7"/>
        <v>0</v>
      </c>
      <c r="V21" s="66">
        <f>SUMIFS(卡片数据!I:I,卡片数据!$B:$B,"配电设备-其他",卡片数据!$D:$D,"35kV")</f>
        <v>0</v>
      </c>
      <c r="W21" s="85">
        <f t="shared" ref="W21:W36" si="25">SUM(X21:AC21)</f>
        <v>0</v>
      </c>
      <c r="X21" s="66">
        <f>SUM(SUMIFS(卡片数据!$P:$P,卡片数据!$B:$B,"配电设备-其他",卡片数据!$D:$D,"35kV",卡片数据!$N:$N,{"工程项目","零购项目","用户资产","盘盈资产","非货币性交易","捐赠增加"}))</f>
        <v>0</v>
      </c>
      <c r="Y21" s="91">
        <f>SUMIFS(卡片数据!M:M,卡片数据!$B:$B,"配电设备-其他",卡片数据!$D:$D,"35kV")</f>
        <v>0</v>
      </c>
      <c r="Z21" s="66">
        <f>SUMIFS(卡片数据!$P:$P,卡片数据!$B:$B,"配电设备-其他",卡片数据!$D:$D,"35kV",卡片数据!$N:$N,"子分公司间划转资产")</f>
        <v>0</v>
      </c>
      <c r="AA21" s="66">
        <f>SUMIFS(卡片数据!$P:$P,卡片数据!$B:$B,"配电设备-其他",卡片数据!$D:$D,"35kV",卡片数据!$N:$N,"省外划拨")</f>
        <v>0</v>
      </c>
      <c r="AB21" s="66">
        <f>SUMIFS(卡片数据!$P:$P,卡片数据!$B:$B,"配电设备-其他",卡片数据!$D:$D,"35kV",卡片数据!$N:$N,"省内地市间划拨")</f>
        <v>0</v>
      </c>
      <c r="AC21" s="66">
        <f>SUM(SUMIFS(卡片数据!$P:$P,卡片数据!$B:$B,"配电设备-其他",卡片数据!$D:$D,"35kV",卡片数据!$N:$N,{"拆分合并重分类","地市内划拨"}))</f>
        <v>0</v>
      </c>
      <c r="AD21" s="85">
        <f t="shared" ref="AD21:AD36" si="26">SUM(AE21:AK21)</f>
        <v>0</v>
      </c>
      <c r="AE21" s="66">
        <f>SUM(SUMIFS(卡片数据!$S:$S,卡片数据!$B:$B,"配电设备-其他",卡片数据!$D:$D,"35kV",卡片数据!$Q:$Q,{"报废"}))</f>
        <v>0</v>
      </c>
      <c r="AF21" s="66">
        <f>SUM(SUMIFS(卡片数据!$S:$S,卡片数据!$B:$B,"配电设备-其他",卡片数据!$D:$D,"35kV",卡片数据!$Q:$Q,{"出售"}))</f>
        <v>0</v>
      </c>
      <c r="AG21" s="66">
        <f>SUM(SUMIFS(卡片数据!$S:$S,卡片数据!$B:$B,"配电设备-其他",卡片数据!$D:$D,"35kV",卡片数据!$Q:$Q,{"三供一业无偿划出"}))</f>
        <v>0</v>
      </c>
      <c r="AH21" s="66">
        <f>SUMIFS(卡片数据!$S:$S,卡片数据!$B:$B,"配电设备-其他",卡片数据!$D:$D,"35kV",卡片数据!$Q:$Q,"子分公司间划转资产")</f>
        <v>0</v>
      </c>
      <c r="AI21" s="66">
        <f>SUMIFS(卡片数据!$S:$S,卡片数据!$B:$B,"配电设备-其他",卡片数据!$D:$D,"35kV",卡片数据!$Q:$Q,"省外划拨")</f>
        <v>0</v>
      </c>
      <c r="AJ21" s="66">
        <f>SUMIFS(卡片数据!$S:$S,卡片数据!$B:$B,"配电设备-其他",卡片数据!$D:$D,"35kV",卡片数据!$Q:$Q,"省内地市间划拨")</f>
        <v>0</v>
      </c>
      <c r="AK21" s="66">
        <f>SUM(SUMIFS(卡片数据!$S:$S,卡片数据!$B:$B,"配电设备-其他",卡片数据!$D:$D,"35kV",卡片数据!$Q:$Q,{"拆分合并重分类","地市内划拨"}))</f>
        <v>0</v>
      </c>
      <c r="AL21" s="66">
        <f>SUMIFS(卡片数据!L:L,卡片数据!$B:$B,"配电设备-其他",卡片数据!$D:$D,"35kV")</f>
        <v>0</v>
      </c>
      <c r="AM21" s="85">
        <f t="shared" si="4"/>
        <v>0</v>
      </c>
      <c r="AN21" s="85">
        <f t="shared" si="5"/>
        <v>0</v>
      </c>
      <c r="AO21" s="66">
        <f>SUMIFS(卡片数据!W:W,卡片数据!$B:$B,"配电设备-其他",卡片数据!$D:$D,"35kV")</f>
        <v>0</v>
      </c>
      <c r="AP21" s="66">
        <f>SUMIFS(卡片数据!X:X,卡片数据!$B:$B,"配电设备-其他",卡片数据!$D:$D,"35kV")</f>
        <v>0</v>
      </c>
    </row>
    <row r="22" spans="1:42" s="79" customFormat="1" ht="13">
      <c r="A22" s="67" t="s">
        <v>30</v>
      </c>
      <c r="B22" s="66">
        <f>SUMIFS(卡片数据!G:G,卡片数据!$B:$B,"配电设备-其他",卡片数据!$D:$D,"10kV")</f>
        <v>111721649.67</v>
      </c>
      <c r="C22" s="66">
        <f>SUMIFS(卡片数据!H:H,卡片数据!$B:$B,"配电设备-其他",卡片数据!$D:$D,"10kV")</f>
        <v>19344642.899999999</v>
      </c>
      <c r="D22" s="85">
        <f t="shared" si="23"/>
        <v>12737736.699999999</v>
      </c>
      <c r="E22" s="66">
        <f>SUM(SUMIFS(卡片数据!$O:$O,卡片数据!$B:$B,"配电设备-其他",卡片数据!$D:$D,"10kV",卡片数据!$N:$N,{"工程项目","零购项目","用户资产","盘盈资产","非货币性交易","捐赠增加"}))</f>
        <v>12737736.699999999</v>
      </c>
      <c r="F22" s="66">
        <f>SUMIFS(卡片数据!$O:$O,卡片数据!$B:$B,"配电设备-其他",卡片数据!$D:$D,"10kV",卡片数据!$N:$N,"子分公司间划转资产")</f>
        <v>0</v>
      </c>
      <c r="G22" s="66">
        <f>SUMIFS(卡片数据!$O:$O,卡片数据!$B:$B,"配电设备-其他",卡片数据!$D:$D,"10kV",卡片数据!$N:$N,"省外划拨")</f>
        <v>0</v>
      </c>
      <c r="H22" s="66">
        <f>SUMIFS(卡片数据!$O:$O,卡片数据!$B:$B,"配电设备-其他",卡片数据!$D:$D,"10kV",卡片数据!$N:$N,"省内地市间划拨")</f>
        <v>0</v>
      </c>
      <c r="I22" s="66">
        <f>SUM(SUMIFS(卡片数据!$O:$O,卡片数据!$B:$B,"配电设备-其他",卡片数据!$D:$D,"10kV",卡片数据!$N:$N,{"拆分合并重分类","地市内划拨"}))</f>
        <v>0</v>
      </c>
      <c r="J22" s="85">
        <f t="shared" si="24"/>
        <v>0</v>
      </c>
      <c r="K22" s="66">
        <f>SUM(SUMIFS(卡片数据!$R:$R,卡片数据!$B:$B,"配电设备-其他",卡片数据!$D:$D,"10kV",卡片数据!$Q:$Q,{"报废"}))</f>
        <v>0</v>
      </c>
      <c r="L22" s="66">
        <f>SUM(SUMIFS(卡片数据!$R:$R,卡片数据!$B:$B,"配电设备-其他",卡片数据!$D:$D,"10kV",卡片数据!$Q:$Q,{"出售"}))</f>
        <v>0</v>
      </c>
      <c r="M22" s="66">
        <f>SUM(SUMIFS(卡片数据!$R:$R,卡片数据!$B:$B,"配电设备-其他",卡片数据!$D:$D,"10kV",卡片数据!$Q:$Q,{"三供一业无偿划出"}))</f>
        <v>0</v>
      </c>
      <c r="N22" s="66">
        <f>SUMIFS(卡片数据!$R:$R,卡片数据!$B:$B,"配电设备-其他",卡片数据!$D:$D,"10kV",卡片数据!$Q:$Q,"子分公司间划转资产")</f>
        <v>0</v>
      </c>
      <c r="O22" s="66">
        <f>SUMIFS(卡片数据!$R:$R,卡片数据!$B:$B,"配电设备-其他",卡片数据!$D:$D,"10kV",卡片数据!$Q:$Q,"省外划拨")</f>
        <v>0</v>
      </c>
      <c r="P22" s="66">
        <f>SUMIFS(卡片数据!$R:$R,卡片数据!$B:$B,"配电设备-其他",卡片数据!$D:$D,"10kV",卡片数据!$Q:$Q,"省内地市间划拨")</f>
        <v>0</v>
      </c>
      <c r="Q22" s="66">
        <f>SUM(SUMIFS(卡片数据!$R:$R,卡片数据!$B:$B,"配电设备-其他",卡片数据!$D:$D,"10kV",卡片数据!$Q:$Q,{"拆分合并重分类","地市内划拨"}))</f>
        <v>0</v>
      </c>
      <c r="R22" s="66">
        <f>SUMIFS(卡片数据!J:J,卡片数据!$B:$B,"配电设备-其他",卡片数据!$D:$D,"10kV")</f>
        <v>124459386.37</v>
      </c>
      <c r="S22" s="66">
        <f>SUMIFS(卡片数据!K:K,卡片数据!$B:$B,"配电设备-其他",卡片数据!$D:$D,"10kV")</f>
        <v>19394844.829999998</v>
      </c>
      <c r="T22" s="88">
        <f t="shared" si="8"/>
        <v>0</v>
      </c>
      <c r="U22" s="85">
        <f t="shared" si="7"/>
        <v>0</v>
      </c>
      <c r="V22" s="66">
        <f>SUMIFS(卡片数据!I:I,卡片数据!$B:$B,"配电设备-其他",卡片数据!$D:$D,"10kV")</f>
        <v>67242757.120000005</v>
      </c>
      <c r="W22" s="85">
        <f t="shared" si="25"/>
        <v>4289947.17</v>
      </c>
      <c r="X22" s="66">
        <f>SUM(SUMIFS(卡片数据!$P:$P,卡片数据!$B:$B,"配电设备-其他",卡片数据!$D:$D,"10kV",卡片数据!$N:$N,{"工程项目","零购项目","用户资产","盘盈资产","非货币性交易","捐赠增加"}))</f>
        <v>0</v>
      </c>
      <c r="Y22" s="91">
        <f>SUMIFS(卡片数据!M:M,卡片数据!$B:$B,"配电设备-其他",卡片数据!$D:$D,"10kV")</f>
        <v>4289947.17</v>
      </c>
      <c r="Z22" s="66">
        <f>SUMIFS(卡片数据!$P:$P,卡片数据!$B:$B,"配电设备-其他",卡片数据!$D:$D,"10kV",卡片数据!$N:$N,"子分公司间划转资产")</f>
        <v>0</v>
      </c>
      <c r="AA22" s="66">
        <f>SUMIFS(卡片数据!$P:$P,卡片数据!$B:$B,"配电设备-其他",卡片数据!$D:$D,"10kV",卡片数据!$N:$N,"省外划拨")</f>
        <v>0</v>
      </c>
      <c r="AB22" s="66">
        <f>SUMIFS(卡片数据!$P:$P,卡片数据!$B:$B,"配电设备-其他",卡片数据!$D:$D,"10kV",卡片数据!$N:$N,"省内地市间划拨")</f>
        <v>0</v>
      </c>
      <c r="AC22" s="66">
        <f>SUM(SUMIFS(卡片数据!$P:$P,卡片数据!$B:$B,"配电设备-其他",卡片数据!$D:$D,"10kV",卡片数据!$N:$N,{"拆分合并重分类","地市内划拨"}))</f>
        <v>0</v>
      </c>
      <c r="AD22" s="85">
        <f t="shared" si="26"/>
        <v>0</v>
      </c>
      <c r="AE22" s="66">
        <f>SUM(SUMIFS(卡片数据!$S:$S,卡片数据!$B:$B,"配电设备-其他",卡片数据!$D:$D,"10kV",卡片数据!$Q:$Q,{"报废"}))</f>
        <v>0</v>
      </c>
      <c r="AF22" s="66">
        <f>SUM(SUMIFS(卡片数据!$S:$S,卡片数据!$B:$B,"配电设备-其他",卡片数据!$D:$D,"10kV",卡片数据!$Q:$Q,{"出售"}))</f>
        <v>0</v>
      </c>
      <c r="AG22" s="66">
        <f>SUM(SUMIFS(卡片数据!$S:$S,卡片数据!$B:$B,"配电设备-其他",卡片数据!$D:$D,"10kV",卡片数据!$Q:$Q,{"三供一业无偿划出"}))</f>
        <v>0</v>
      </c>
      <c r="AH22" s="66">
        <f>SUMIFS(卡片数据!$S:$S,卡片数据!$B:$B,"配电设备-其他",卡片数据!$D:$D,"10kV",卡片数据!$Q:$Q,"子分公司间划转资产")</f>
        <v>0</v>
      </c>
      <c r="AI22" s="66">
        <f>SUMIFS(卡片数据!$S:$S,卡片数据!$B:$B,"配电设备-其他",卡片数据!$D:$D,"10kV",卡片数据!$Q:$Q,"省外划拨")</f>
        <v>0</v>
      </c>
      <c r="AJ22" s="66">
        <f>SUMIFS(卡片数据!$S:$S,卡片数据!$B:$B,"配电设备-其他",卡片数据!$D:$D,"10kV",卡片数据!$Q:$Q,"省内地市间划拨")</f>
        <v>0</v>
      </c>
      <c r="AK22" s="66">
        <f>SUM(SUMIFS(卡片数据!$S:$S,卡片数据!$B:$B,"配电设备-其他",卡片数据!$D:$D,"10kV",卡片数据!$Q:$Q,{"拆分合并重分类","地市内划拨"}))</f>
        <v>0</v>
      </c>
      <c r="AL22" s="66">
        <f>SUMIFS(卡片数据!L:L,卡片数据!$B:$B,"配电设备-其他",卡片数据!$D:$D,"10kV")</f>
        <v>71532704.290000007</v>
      </c>
      <c r="AM22" s="85">
        <f t="shared" si="4"/>
        <v>0</v>
      </c>
      <c r="AN22" s="85">
        <f t="shared" si="5"/>
        <v>0</v>
      </c>
      <c r="AO22" s="66">
        <f>SUMIFS(卡片数据!W:W,卡片数据!$B:$B,"配电设备-其他",卡片数据!$D:$D,"10kV")</f>
        <v>20002436.530000001</v>
      </c>
      <c r="AP22" s="66">
        <f>SUMIFS(卡片数据!X:X,卡片数据!$B:$B,"配电设备-其他",卡片数据!$D:$D,"10kV")</f>
        <v>20086188.350000001</v>
      </c>
    </row>
    <row r="23" spans="1:42" s="79" customFormat="1" ht="13">
      <c r="A23" s="67" t="s">
        <v>32</v>
      </c>
      <c r="B23" s="66">
        <f>SUMIFS(卡片数据!G:G,卡片数据!$B:$B,"配电设备-其他",卡片数据!$D:$D,"10kV以下")+SUMIFS(卡片数据!G:G,卡片数据!$B:$B,"配电设备-电动汽车充换电设备")</f>
        <v>45653314.850000001</v>
      </c>
      <c r="C23" s="66">
        <f>SUMIFS(卡片数据!H:H,卡片数据!$B:$B,"配电设备-其他",卡片数据!$D:$D,"10kV以下")+SUMIFS(卡片数据!H:H,卡片数据!$B:$B,"配电设备-电动汽车充换电设备")</f>
        <v>11590986.27</v>
      </c>
      <c r="D23" s="85">
        <f t="shared" si="23"/>
        <v>0</v>
      </c>
      <c r="E23" s="66">
        <f>SUM(SUMIFS(卡片数据!$O:$O,卡片数据!$B:$B,"配电设备-其他",卡片数据!$D:$D,"10kV以下",卡片数据!$N:$N,{"工程项目","零购项目","用户资产","盘盈资产","非货币性交易","捐赠增加"}))+SUM(SUMIFS(卡片数据!$O:$O,卡片数据!$B:$B,"配电设备-电动汽车充换电设备",卡片数据!$N:$N,{"工程项目","零购项目","用户资产","盘盈资产","非货币性交易","捐赠增加"}))</f>
        <v>0</v>
      </c>
      <c r="F23" s="66">
        <f>SUMIFS(卡片数据!$O:$O,卡片数据!$B:$B,"配电设备-其他",卡片数据!$D:$D,"10kV以下",卡片数据!$N:$N,"子分公司间划转资产")+SUMIFS(卡片数据!$O:$O,卡片数据!$B:$B,"配电设备-电动汽车充换电设备",卡片数据!$N:$N,"子分公司间划转资产")</f>
        <v>0</v>
      </c>
      <c r="G23" s="66">
        <f>SUMIFS(卡片数据!$O:$O,卡片数据!$B:$B,"配电设备-其他",卡片数据!$D:$D,"10kV以下",卡片数据!$N:$N,"省外划拨")+SUMIFS(卡片数据!$O:$O,卡片数据!$B:$B,"配电设备-电动汽车充换电设备",卡片数据!$N:$N,"省外划拨")</f>
        <v>0</v>
      </c>
      <c r="H23" s="66">
        <f>SUMIFS(卡片数据!$O:$O,卡片数据!$B:$B,"配电设备-其他",卡片数据!$D:$D,"10kV以下",卡片数据!$N:$N,"省内地市间划拨")+SUMIFS(卡片数据!$O:$O,卡片数据!$B:$B,"配电设备-电动汽车充换电设备",卡片数据!$N:$N,"省内地市间划拨")</f>
        <v>0</v>
      </c>
      <c r="I23" s="66">
        <f>SUM(SUMIFS(卡片数据!$O:$O,卡片数据!$B:$B,"配电设备-其他",卡片数据!$D:$D,"10kV以下",卡片数据!$N:$N,{"拆分合并重分类","地市内划拨"}))+SUM(SUMIFS(卡片数据!$O:$O,卡片数据!$B:$B,"配电设备-电动汽车充换电设备",卡片数据!$N:$N,{"拆分合并重分类","地市内划拨"}))</f>
        <v>0</v>
      </c>
      <c r="J23" s="85">
        <f t="shared" si="24"/>
        <v>0</v>
      </c>
      <c r="K23" s="75">
        <f>SUM(SUMIFS(卡片数据!$R:$R,卡片数据!$B:$B,"配电设备-其他",卡片数据!$D:$D,"10kV以下",卡片数据!$Q:$Q,{"报废"}))+SUM(SUMIFS(卡片数据!$R:$R,卡片数据!$B:$B,"配电设备-电动汽车充换电设备",卡片数据!$Q:$Q,{"报废"}))</f>
        <v>0</v>
      </c>
      <c r="L23" s="66">
        <f>SUM(SUMIFS(卡片数据!$R:$R,卡片数据!$B:$B,"配电设备-其他",卡片数据!$D:$D,"10kV以下",卡片数据!$Q:$Q,{"出售"}))+SUM(SUMIFS(卡片数据!$R:$R,卡片数据!$B:$B,"配电设备-电动汽车充换电设备",卡片数据!$Q:$Q,{"出售"}))</f>
        <v>0</v>
      </c>
      <c r="M23" s="66">
        <f>SUM(SUMIFS(卡片数据!$R:$R,卡片数据!$B:$B,"配电设备-其他",卡片数据!$D:$D,"10kV以下",卡片数据!$Q:$Q,{"三供一业无偿划出"}))+SUM(SUMIFS(卡片数据!$R:$R,卡片数据!$B:$B,"配电设备-电动汽车充换电设备",卡片数据!$Q:$Q,{"三供一业无偿划出"}))</f>
        <v>0</v>
      </c>
      <c r="N23" s="66">
        <f>SUMIFS(卡片数据!$R:$R,卡片数据!$B:$B,"配电设备-其他",卡片数据!$D:$D,"10kV以下",卡片数据!$Q:$Q,"子分公司间划转资产")+SUMIFS(卡片数据!$R:$R,卡片数据!$B:$B,"配电设备-电动汽车充换电设备",卡片数据!$Q:$Q,"子分公司间划转资产")</f>
        <v>0</v>
      </c>
      <c r="O23" s="66">
        <f>SUMIFS(卡片数据!$R:$R,卡片数据!$B:$B,"配电设备-其他",卡片数据!$D:$D,"10kV以下",卡片数据!$Q:$Q,"省外划拨")+SUMIFS(卡片数据!$R:$R,卡片数据!$B:$B,"配电设备-电动汽车充换电设备",卡片数据!$Q:$Q,"省外划拨")</f>
        <v>0</v>
      </c>
      <c r="P23" s="66">
        <f>SUMIFS(卡片数据!$R:$R,卡片数据!$B:$B,"配电设备-其他",卡片数据!$D:$D,"10kV以下",卡片数据!$Q:$Q,"省内地市间划拨")+SUMIFS(卡片数据!$R:$R,卡片数据!$B:$B,"配电设备-电动汽车充换电设备",卡片数据!$Q:$Q,"省内地市间划拨")</f>
        <v>0</v>
      </c>
      <c r="Q23" s="66">
        <f>SUM(SUMIFS(卡片数据!$R:$R,卡片数据!$B:$B,"配电设备-其他",卡片数据!$D:$D,"10kV以下",卡片数据!$Q:$Q,{"拆分合并重分类","地市内划拨"}))+SUM(SUMIFS(卡片数据!$R:$R,卡片数据!$B:$B,"配电设备-电动汽车充换电设备",卡片数据!$Q:$Q,{"拆分合并重分类","地市内划拨"}))</f>
        <v>0</v>
      </c>
      <c r="R23" s="66">
        <f>SUMIFS(卡片数据!J:J,卡片数据!$B:$B,"配电设备-其他",卡片数据!$D:$D,"10kV以下")+SUMIFS(卡片数据!J:J,卡片数据!$B:$B,"配电设备-电动汽车充换电设备")</f>
        <v>45653314.850000001</v>
      </c>
      <c r="S23" s="66">
        <f>SUMIFS(卡片数据!K:K,卡片数据!$B:$B,"配电设备-其他",卡片数据!$D:$D,"10kV以下")+SUMIFS(卡片数据!K:K,卡片数据!$B:$B,"配电设备-电动汽车充换电设备")</f>
        <v>11590986.27</v>
      </c>
      <c r="T23" s="88">
        <f t="shared" si="8"/>
        <v>0</v>
      </c>
      <c r="U23" s="85">
        <f t="shared" si="7"/>
        <v>0</v>
      </c>
      <c r="V23" s="66">
        <f>SUMIFS(卡片数据!I:I,卡片数据!$B:$B,"配电设备-其他",卡片数据!$D:$D,"10kV以下")+SUMIFS(卡片数据!I:I,卡片数据!$B:$B,"配电设备-电动汽车充换电设备")</f>
        <v>32893075.600000001</v>
      </c>
      <c r="W23" s="85">
        <f t="shared" si="25"/>
        <v>1337138.18</v>
      </c>
      <c r="X23" s="66">
        <f>SUM(SUMIFS(卡片数据!$P:$P,卡片数据!$B:$B,"配电设备-其他",卡片数据!$D:$D,"10kV以下",卡片数据!$N:$N,{"工程项目","零购项目","用户资产","盘盈资产","非货币性交易","捐赠增加"}))+SUM(SUMIFS(卡片数据!$P:$P,卡片数据!$B:$B,"配电设备-电动汽车充换电设备",卡片数据!$N:$N,{"工程项目","零购项目","用户资产","盘盈资产","非货币性交易","捐赠增加"}))</f>
        <v>0</v>
      </c>
      <c r="Y23" s="91">
        <f>SUMIFS(卡片数据!M:M,卡片数据!$B:$B,"配电设备-其他",卡片数据!$D:$D,"10kV以下")+SUMIFS(卡片数据!M:M,卡片数据!$B:$B,"配电设备-电动汽车充换电设备")</f>
        <v>1337138.18</v>
      </c>
      <c r="Z23" s="66">
        <f>SUMIFS(卡片数据!$P:$P,卡片数据!$B:$B,"配电设备-其他",卡片数据!$D:$D,"10kV以下",卡片数据!$N:$N,"子分公司间划转资产")+SUMIFS(卡片数据!$P:$P,卡片数据!$B:$B,"配电设备-电动汽车充换电设备",卡片数据!$N:$N,"子分公司间划转资产")</f>
        <v>0</v>
      </c>
      <c r="AA23" s="66">
        <f>SUMIFS(卡片数据!$P:$P,卡片数据!$B:$B,"配电设备-其他",卡片数据!$D:$D,"10kV以下",卡片数据!$N:$N,"省外划拨")+SUMIFS(卡片数据!$P:$P,卡片数据!$B:$B,"配电设备-电动汽车充换电设备",卡片数据!$N:$N,"省外划拨")</f>
        <v>0</v>
      </c>
      <c r="AB23" s="66">
        <f>SUMIFS(卡片数据!$P:$P,卡片数据!$B:$B,"配电设备-其他",卡片数据!$D:$D,"10kV以下",卡片数据!$N:$N,"省内地市间划拨")+SUMIFS(卡片数据!$P:$P,卡片数据!$B:$B,"配电设备-电动汽车充换电设备",卡片数据!$N:$N,"省内地市间划拨")</f>
        <v>0</v>
      </c>
      <c r="AC23" s="66">
        <f>SUM(SUMIFS(卡片数据!$P:$P,卡片数据!$B:$B,"配电设备-其他",卡片数据!$D:$D,"10kV以下",卡片数据!$N:$N,{"拆分合并重分类","地市内划拨"}))+SUM(SUMIFS(卡片数据!$P:$P,卡片数据!$B:$B,"配电设备-电动汽车充换电设备",卡片数据!$N:$N,{"拆分合并重分类","地市内划拨"}))</f>
        <v>0</v>
      </c>
      <c r="AD23" s="85">
        <f t="shared" si="26"/>
        <v>0</v>
      </c>
      <c r="AE23" s="75">
        <f>SUM(SUMIFS(卡片数据!$S:$S,卡片数据!$B:$B,"配电设备-其他",卡片数据!$D:$D,"10kV以下",卡片数据!$Q:$Q,{"报废"}))+SUM(SUMIFS(卡片数据!$S:$S,卡片数据!$B:$B,"配电设备-电动汽车充换电设备",卡片数据!$Q:$Q,{"报废"}))</f>
        <v>0</v>
      </c>
      <c r="AF23" s="75">
        <f>SUM(SUMIFS(卡片数据!$S:$S,卡片数据!$B:$B,"配电设备-其他",卡片数据!$D:$D,"10kV以下",卡片数据!$Q:$Q,{"出售"}))+SUM(SUMIFS(卡片数据!$S:$S,卡片数据!$B:$B,"配电设备-电动汽车充换电设备",卡片数据!$Q:$Q,{"出售"}))</f>
        <v>0</v>
      </c>
      <c r="AG23" s="75">
        <f>SUM(SUMIFS(卡片数据!$S:$S,卡片数据!$B:$B,"配电设备-其他",卡片数据!$D:$D,"10kV以下",卡片数据!$Q:$Q,{"三供一业无偿划出"}))+SUM(SUMIFS(卡片数据!$S:$S,卡片数据!$B:$B,"配电设备-电动汽车充换电设备",卡片数据!$Q:$Q,{"三供一业无偿划出"}))</f>
        <v>0</v>
      </c>
      <c r="AH23" s="66">
        <f>SUMIFS(卡片数据!$S:$S,卡片数据!$B:$B,"配电设备-其他",卡片数据!$D:$D,"10kV以下",卡片数据!$Q:$Q,"子分公司间划转资产")+SUMIFS(卡片数据!$S:$S,卡片数据!$B:$B,"配电设备-电动汽车充换电设备",卡片数据!$Q:$Q,"子分公司间划转资产")</f>
        <v>0</v>
      </c>
      <c r="AI23" s="66">
        <f>SUMIFS(卡片数据!$S:$S,卡片数据!$B:$B,"配电设备-其他",卡片数据!$D:$D,"10kV以下",卡片数据!$Q:$Q,"省外划拨")+SUMIFS(卡片数据!$S:$S,卡片数据!$B:$B,"配电设备-电动汽车充换电设备",卡片数据!$Q:$Q,"省外划拨")</f>
        <v>0</v>
      </c>
      <c r="AJ23" s="66">
        <f>SUMIFS(卡片数据!$S:$S,卡片数据!$B:$B,"配电设备-其他",卡片数据!$D:$D,"10kV以下",卡片数据!$Q:$Q,"省内地市间划拨")+SUMIFS(卡片数据!$S:$S,卡片数据!$B:$B,"配电设备-电动汽车充换电设备",卡片数据!$Q:$Q,"省内地市间划拨")</f>
        <v>0</v>
      </c>
      <c r="AK23" s="66">
        <f>SUM(SUMIFS(卡片数据!$S:$S,卡片数据!$B:$B,"配电设备-其他",卡片数据!$D:$D,"10kV以下",卡片数据!$Q:$Q,{"拆分合并重分类","地市内划拨"}))+SUM(SUMIFS(卡片数据!$S:$S,卡片数据!$B:$B,"配电设备-电动汽车充换电设备",卡片数据!$Q:$Q,{"拆分合并重分类","地市内划拨"}))</f>
        <v>0</v>
      </c>
      <c r="AL23" s="66">
        <f>SUMIFS(卡片数据!L:L,卡片数据!$B:$B,"配电设备-其他",卡片数据!$D:$D,"10kV以下")+SUMIFS(卡片数据!L:L,卡片数据!$B:$B,"配电设备-电动汽车充换电设备")</f>
        <v>34230213.780000001</v>
      </c>
      <c r="AM23" s="85">
        <f t="shared" si="4"/>
        <v>0</v>
      </c>
      <c r="AN23" s="85">
        <f t="shared" si="5"/>
        <v>0</v>
      </c>
      <c r="AO23" s="66">
        <f>SUMIFS(卡片数据!W:W,卡片数据!$B:$B,"配电设备-其他",卡片数据!$D:$D,"10kV以下")+SUMIFS(卡片数据!W:W,卡片数据!$B:$B,"配电设备-电动汽车充换电设备")</f>
        <v>11590986.27</v>
      </c>
      <c r="AP23" s="66">
        <f>SUMIFS(卡片数据!X:X,卡片数据!$B:$B,"配电设备-其他",卡片数据!$D:$D,"10kV以下")+SUMIFS(卡片数据!X:X,卡片数据!$B:$B,"配电设备-电动汽车充换电设备")</f>
        <v>11909299.25</v>
      </c>
    </row>
    <row r="24" spans="1:42" s="79" customFormat="1" ht="13">
      <c r="A24" s="71" t="s">
        <v>34</v>
      </c>
      <c r="B24" s="66">
        <f>SUMIFS(卡片数据!G:G,卡片数据!$B:$B,"配电设备-电动汽车充换电设备")</f>
        <v>298717.98</v>
      </c>
      <c r="C24" s="66">
        <f>SUMIFS(卡片数据!H:H,卡片数据!$B:$B,"配电设备-电动汽车充换电设备")</f>
        <v>0</v>
      </c>
      <c r="D24" s="85">
        <f t="shared" si="23"/>
        <v>0</v>
      </c>
      <c r="E24" s="66">
        <f>SUM(SUMIFS(卡片数据!$O:$O,卡片数据!$B:$B,"配电设备-电动汽车充换电设备",卡片数据!$N:$N,{"工程项目","零购项目","用户资产","盘盈资产","非货币性交易","捐赠增加"}))</f>
        <v>0</v>
      </c>
      <c r="F24" s="66">
        <f>SUMIFS(卡片数据!$O:$O,卡片数据!$B:$B,"配电设备-电动汽车充换电设备",卡片数据!$N:$N,"子分公司间划转资产")</f>
        <v>0</v>
      </c>
      <c r="G24" s="66">
        <f>SUMIFS(卡片数据!$O:$O,卡片数据!$B:$B,"配电设备-电动汽车充换电设备",卡片数据!$N:$N,"省外划拨")</f>
        <v>0</v>
      </c>
      <c r="H24" s="66">
        <f>SUMIFS(卡片数据!$O:$O,卡片数据!$B:$B,"配电设备-电动汽车充换电设备",卡片数据!$N:$N,"省内地市间划拨")</f>
        <v>0</v>
      </c>
      <c r="I24" s="66">
        <f>SUM(SUMIFS(卡片数据!$O:$O,卡片数据!$B:$B,"配电设备-电动汽车充换电设备",卡片数据!$N:$N,{"拆分合并重分类","地市内划拨"}))</f>
        <v>0</v>
      </c>
      <c r="J24" s="85">
        <f t="shared" si="24"/>
        <v>0</v>
      </c>
      <c r="K24" s="66">
        <f>SUM(SUMIFS(卡片数据!$R:$R,卡片数据!$B:$B,"配电设备-电动汽车充换电设备",卡片数据!$Q:$Q,{"报废"}))</f>
        <v>0</v>
      </c>
      <c r="L24" s="66">
        <f>SUM(SUMIFS(卡片数据!$R:$R,卡片数据!$B:$B,"配电设备-电动汽车充换电设备",卡片数据!$Q:$Q,{"出售"}))</f>
        <v>0</v>
      </c>
      <c r="M24" s="66">
        <f>SUM(SUMIFS(卡片数据!$R:$R,卡片数据!$B:$B,"配电设备-电动汽车充换电设备",卡片数据!$Q:$Q,{"三供一业无偿划出"}))</f>
        <v>0</v>
      </c>
      <c r="N24" s="66">
        <f>SUMIFS(卡片数据!$R:$R,卡片数据!$B:$B,"配电设备-电动汽车充换电设备",卡片数据!$Q:$Q,"子分公司间划转资产")</f>
        <v>0</v>
      </c>
      <c r="O24" s="66">
        <f>SUMIFS(卡片数据!$R:$R,卡片数据!$B:$B,"配电设备-电动汽车充换电设备",卡片数据!$Q:$Q,"省外划拨")</f>
        <v>0</v>
      </c>
      <c r="P24" s="66">
        <f>SUMIFS(卡片数据!$R:$R,卡片数据!$B:$B,"配电设备-电动汽车充换电设备",卡片数据!$Q:$Q,"省内地市间划拨")</f>
        <v>0</v>
      </c>
      <c r="Q24" s="66">
        <f>SUM(SUMIFS(卡片数据!$R:$R,卡片数据!$B:$B,"配电设备-电动汽车充换电设备",卡片数据!$Q:$Q,{"拆分合并重分类","地市内划拨"}))</f>
        <v>0</v>
      </c>
      <c r="R24" s="66">
        <f>SUMIFS(卡片数据!J:J,卡片数据!$B:$B,"配电设备-电动汽车充换电设备")</f>
        <v>298717.98</v>
      </c>
      <c r="S24" s="66">
        <f>SUMIFS(卡片数据!K:K,卡片数据!$B:$B,"配电设备-电动汽车充换电设备")</f>
        <v>0</v>
      </c>
      <c r="T24" s="88">
        <f t="shared" si="8"/>
        <v>0</v>
      </c>
      <c r="U24" s="85">
        <f t="shared" si="7"/>
        <v>0</v>
      </c>
      <c r="V24" s="66">
        <f>SUMIFS(卡片数据!I:I,卡片数据!$B:$B,"配电设备-电动汽车充换电设备")</f>
        <v>160446</v>
      </c>
      <c r="W24" s="85">
        <f t="shared" si="25"/>
        <v>41112</v>
      </c>
      <c r="X24" s="66">
        <f>SUM(SUMIFS(卡片数据!$P:$P,卡片数据!$B:$B,"配电设备-电动汽车充换电设备",卡片数据!$N:$N,{"工程项目","零购项目","用户资产","盘盈资产","非货币性交易","捐赠增加"}))</f>
        <v>0</v>
      </c>
      <c r="Y24" s="91">
        <f>SUMIFS(卡片数据!M:M,卡片数据!$B:$B,"配电设备-电动汽车充换电设备")</f>
        <v>41112</v>
      </c>
      <c r="Z24" s="66">
        <f>SUMIFS(卡片数据!$P:$P,卡片数据!$B:$B,"配电设备-电动汽车充换电设备",卡片数据!$N:$N,"子分公司间划转资产")</f>
        <v>0</v>
      </c>
      <c r="AA24" s="66">
        <f>SUMIFS(卡片数据!$P:$P,卡片数据!$B:$B,"配电设备-电动汽车充换电设备",卡片数据!$N:$N,"省外划拨")</f>
        <v>0</v>
      </c>
      <c r="AB24" s="66">
        <f>SUMIFS(卡片数据!$P:$P,卡片数据!$B:$B,"配电设备-电动汽车充换电设备",卡片数据!$N:$N,"省内地市间划拨")</f>
        <v>0</v>
      </c>
      <c r="AC24" s="66">
        <f>SUM(SUMIFS(卡片数据!$P:$P,卡片数据!$B:$B,"配电设备-电动汽车充换电设备",卡片数据!$N:$N,{"拆分合并重分类","地市内划拨"}))</f>
        <v>0</v>
      </c>
      <c r="AD24" s="85">
        <f t="shared" si="26"/>
        <v>0</v>
      </c>
      <c r="AE24" s="66">
        <f>SUM(SUMIFS(卡片数据!$S:$S,卡片数据!$B:$B,"配电设备-电动汽车充换电设备",卡片数据!$Q:$Q,{"报废"}))</f>
        <v>0</v>
      </c>
      <c r="AF24" s="66">
        <f>SUM(SUMIFS(卡片数据!$S:$S,卡片数据!$B:$B,"配电设备-电动汽车充换电设备",卡片数据!$Q:$Q,{"出售"}))</f>
        <v>0</v>
      </c>
      <c r="AG24" s="66">
        <f>SUM(SUMIFS(卡片数据!$S:$S,卡片数据!$B:$B,"配电设备-电动汽车充换电设备",卡片数据!$Q:$Q,{"三供一业无偿划出"}))</f>
        <v>0</v>
      </c>
      <c r="AH24" s="66">
        <f>SUMIFS(卡片数据!$S:$S,卡片数据!$B:$B,"配电设备-电动汽车充换电设备",卡片数据!$Q:$Q,"子分公司间划转资产")</f>
        <v>0</v>
      </c>
      <c r="AI24" s="66">
        <f>SUMIFS(卡片数据!$S:$S,卡片数据!$B:$B,"配电设备-电动汽车充换电设备",卡片数据!$Q:$Q,"省外划拨")</f>
        <v>0</v>
      </c>
      <c r="AJ24" s="66">
        <f>SUMIFS(卡片数据!$S:$S,卡片数据!$B:$B,"配电设备-电动汽车充换电设备",卡片数据!$Q:$Q,"省内地市间划拨")</f>
        <v>0</v>
      </c>
      <c r="AK24" s="66">
        <f>SUM(SUMIFS(卡片数据!$S:$S,卡片数据!$B:$B,"配电设备-电动汽车充换电设备",卡片数据!$Q:$Q,{"拆分合并重分类","地市内划拨"}))</f>
        <v>0</v>
      </c>
      <c r="AL24" s="66">
        <f>SUMIFS(卡片数据!L:L,卡片数据!$B:$B,"配电设备-电动汽车充换电设备")</f>
        <v>201558</v>
      </c>
      <c r="AM24" s="85">
        <f t="shared" si="4"/>
        <v>0</v>
      </c>
      <c r="AN24" s="85">
        <f t="shared" si="5"/>
        <v>0</v>
      </c>
      <c r="AO24" s="66">
        <f>SUMIFS(卡片数据!W:W,卡片数据!$B:$B,"配电设备-电动汽车充换电设备")</f>
        <v>0</v>
      </c>
      <c r="AP24" s="66">
        <f>SUMIFS(卡片数据!X:X,卡片数据!$B:$B,"配电设备-电动汽车充换电设备")</f>
        <v>298717.98</v>
      </c>
    </row>
    <row r="25" spans="1:42" s="79" customFormat="1" ht="13">
      <c r="A25" s="72" t="s">
        <v>35</v>
      </c>
      <c r="B25" s="66">
        <f>SUMIFS(卡片数据!G:G,卡片数据!$B:$B,"用电计量设备")</f>
        <v>240349565.62</v>
      </c>
      <c r="C25" s="66">
        <f>SUMIFS(卡片数据!H:H,卡片数据!$B:$B,"用电计量设备")</f>
        <v>199636437.06999999</v>
      </c>
      <c r="D25" s="85">
        <f t="shared" si="23"/>
        <v>495118.79</v>
      </c>
      <c r="E25" s="66">
        <f>SUM(SUMIFS(卡片数据!$O:$O,卡片数据!$B:$B,"用电计量设备",卡片数据!$N:$N,{"工程项目","零购项目","用户资产","盘盈资产","非货币性交易","捐赠增加"}))</f>
        <v>495118.79</v>
      </c>
      <c r="F25" s="66">
        <f>SUMIFS(卡片数据!$O:$O,卡片数据!$B:$B,"用电计量设备",卡片数据!$N:$N,"子分公司间划转资产")</f>
        <v>0</v>
      </c>
      <c r="G25" s="66">
        <f>SUMIFS(卡片数据!$O:$O,卡片数据!$B:$B,"用电计量设备",卡片数据!$N:$N,"省外划拨")</f>
        <v>0</v>
      </c>
      <c r="H25" s="66">
        <f>SUMIFS(卡片数据!$O:$O,卡片数据!$B:$B,"用电计量设备",卡片数据!$N:$N,"省内地市间划拨")</f>
        <v>0</v>
      </c>
      <c r="I25" s="66">
        <f>SUM(SUMIFS(卡片数据!$O:$O,卡片数据!$B:$B,"用电计量设备",卡片数据!$N:$N,{"拆分合并重分类","地市内划拨"}))</f>
        <v>0</v>
      </c>
      <c r="J25" s="85">
        <f t="shared" si="24"/>
        <v>0</v>
      </c>
      <c r="K25" s="66">
        <f>SUM(SUMIFS(卡片数据!$R:$R,卡片数据!$B:$B,"用电计量设备",卡片数据!$Q:$Q,{"报废"}))</f>
        <v>0</v>
      </c>
      <c r="L25" s="66">
        <f>SUM(SUMIFS(卡片数据!$R:$R,卡片数据!$B:$B,"用电计量设备",卡片数据!$Q:$Q,{"出售"}))</f>
        <v>0</v>
      </c>
      <c r="M25" s="66">
        <f>SUM(SUMIFS(卡片数据!$R:$R,卡片数据!$B:$B,"用电计量设备",卡片数据!$Q:$Q,{"三供一业无偿划出"}))</f>
        <v>0</v>
      </c>
      <c r="N25" s="66">
        <f>SUMIFS(卡片数据!$R:$R,卡片数据!$B:$B,"用电计量设备",卡片数据!$Q:$Q,"子分公司间划转资产")</f>
        <v>0</v>
      </c>
      <c r="O25" s="66">
        <f>SUMIFS(卡片数据!$R:$R,卡片数据!$B:$B,"用电计量设备",卡片数据!$Q:$Q,"省外划拨")</f>
        <v>0</v>
      </c>
      <c r="P25" s="66">
        <f>SUMIFS(卡片数据!$R:$R,卡片数据!$B:$B,"用电计量设备",卡片数据!$Q:$Q,"省内地市间划拨")</f>
        <v>0</v>
      </c>
      <c r="Q25" s="66">
        <f>SUM(SUMIFS(卡片数据!$R:$R,卡片数据!$B:$B,"用电计量设备",卡片数据!$Q:$Q,{"拆分合并重分类","地市内划拨"}))</f>
        <v>0</v>
      </c>
      <c r="R25" s="66">
        <f>SUMIFS(卡片数据!J:J,卡片数据!$B:$B,"用电计量设备")</f>
        <v>240844684.41</v>
      </c>
      <c r="S25" s="66">
        <f>SUMIFS(卡片数据!K:K,卡片数据!$B:$B,"用电计量设备")</f>
        <v>226637254.87</v>
      </c>
      <c r="T25" s="88">
        <f t="shared" si="8"/>
        <v>0</v>
      </c>
      <c r="U25" s="85">
        <f t="shared" si="7"/>
        <v>0</v>
      </c>
      <c r="V25" s="66">
        <f>SUMIFS(卡片数据!I:I,卡片数据!$B:$B,"用电计量设备")</f>
        <v>216812019.52000001</v>
      </c>
      <c r="W25" s="85">
        <f t="shared" si="25"/>
        <v>5090322.95</v>
      </c>
      <c r="X25" s="66">
        <f>SUM(SUMIFS(卡片数据!$P:$P,卡片数据!$B:$B,"用电计量设备",卡片数据!$N:$N,{"工程项目","零购项目","用户资产","盘盈资产","非货币性交易","捐赠增加"}))</f>
        <v>0</v>
      </c>
      <c r="Y25" s="91">
        <f>SUMIFS(卡片数据!M:M,卡片数据!$B:$B,"用电计量设备")</f>
        <v>5090322.95</v>
      </c>
      <c r="Z25" s="66">
        <f>SUMIFS(卡片数据!$P:$P,卡片数据!$B:$B,"用电计量设备",卡片数据!$N:$N,"子分公司间划转资产")</f>
        <v>0</v>
      </c>
      <c r="AA25" s="66">
        <f>SUMIFS(卡片数据!$P:$P,卡片数据!$B:$B,"用电计量设备",卡片数据!$N:$N,"省外划拨")</f>
        <v>0</v>
      </c>
      <c r="AB25" s="66">
        <f>SUMIFS(卡片数据!$P:$P,卡片数据!$B:$B,"用电计量设备",卡片数据!$N:$N,"省内地市间划拨")</f>
        <v>0</v>
      </c>
      <c r="AC25" s="66">
        <f>SUM(SUMIFS(卡片数据!$P:$P,卡片数据!$B:$B,"用电计量设备",卡片数据!$N:$N,{"拆分合并重分类","地市内划拨"}))</f>
        <v>0</v>
      </c>
      <c r="AD25" s="85">
        <f t="shared" si="26"/>
        <v>0</v>
      </c>
      <c r="AE25" s="66">
        <f>SUM(SUMIFS(卡片数据!$S:$S,卡片数据!$B:$B,"用电计量设备",卡片数据!$Q:$Q,{"报废"}))</f>
        <v>0</v>
      </c>
      <c r="AF25" s="66">
        <f>SUM(SUMIFS(卡片数据!$S:$S,卡片数据!$B:$B,"用电计量设备",卡片数据!$Q:$Q,{"出售"}))</f>
        <v>0</v>
      </c>
      <c r="AG25" s="66">
        <f>SUM(SUMIFS(卡片数据!$S:$S,卡片数据!$B:$B,"用电计量设备",卡片数据!$Q:$Q,{"三供一业无偿划出"}))</f>
        <v>0</v>
      </c>
      <c r="AH25" s="66">
        <f>SUMIFS(卡片数据!$S:$S,卡片数据!$B:$B,"用电计量设备",卡片数据!$Q:$Q,"子分公司间划转资产")</f>
        <v>0</v>
      </c>
      <c r="AI25" s="66">
        <f>SUMIFS(卡片数据!$S:$S,卡片数据!$B:$B,"用电计量设备",卡片数据!$Q:$Q,"省外划拨")</f>
        <v>0</v>
      </c>
      <c r="AJ25" s="66">
        <f>SUMIFS(卡片数据!$S:$S,卡片数据!$B:$B,"用电计量设备",卡片数据!$Q:$Q,"省内地市间划拨")</f>
        <v>0</v>
      </c>
      <c r="AK25" s="66">
        <f>SUM(SUMIFS(卡片数据!$S:$S,卡片数据!$B:$B,"用电计量设备",卡片数据!$Q:$Q,{"拆分合并重分类","地市内划拨"}))</f>
        <v>0</v>
      </c>
      <c r="AL25" s="66">
        <f>SUMIFS(卡片数据!L:L,卡片数据!$B:$B,"用电计量设备")</f>
        <v>221902342.47</v>
      </c>
      <c r="AM25" s="85">
        <f t="shared" si="4"/>
        <v>0</v>
      </c>
      <c r="AN25" s="85">
        <f t="shared" si="5"/>
        <v>0</v>
      </c>
      <c r="AO25" s="66">
        <f>SUMIFS(卡片数据!W:W,卡片数据!$B:$B,"用电计量设备")</f>
        <v>226944996.63999999</v>
      </c>
      <c r="AP25" s="66">
        <f>SUMIFS(卡片数据!X:X,卡片数据!$B:$B,"用电计量设备")</f>
        <v>228238888.75</v>
      </c>
    </row>
    <row r="26" spans="1:42" s="79" customFormat="1" ht="13">
      <c r="A26" s="72" t="s">
        <v>36</v>
      </c>
      <c r="B26" s="66">
        <f>SUMIFS(卡片数据!G:G,卡片数据!$B:$B,"通信线路及设备")</f>
        <v>21164951.25</v>
      </c>
      <c r="C26" s="66">
        <f>SUMIFS(卡片数据!H:H,卡片数据!$B:$B,"通信线路及设备")</f>
        <v>10111091.789999999</v>
      </c>
      <c r="D26" s="85">
        <f t="shared" si="23"/>
        <v>2599087.52</v>
      </c>
      <c r="E26" s="66">
        <f>SUM(SUMIFS(卡片数据!$O:$O,卡片数据!$B:$B,"通信线路及设备",卡片数据!$N:$N,{"工程项目","零购项目","用户资产","盘盈资产","非货币性交易","捐赠增加"}))</f>
        <v>2599087.52</v>
      </c>
      <c r="F26" s="66">
        <f>SUMIFS(卡片数据!$O:$O,卡片数据!$B:$B,"通信线路及设备",卡片数据!$N:$N,"子分公司间划转资产")</f>
        <v>0</v>
      </c>
      <c r="G26" s="66">
        <f>SUMIFS(卡片数据!$O:$O,卡片数据!$B:$B,"通信线路及设备",卡片数据!$N:$N,"省外划拨")</f>
        <v>0</v>
      </c>
      <c r="H26" s="66">
        <f>SUMIFS(卡片数据!$O:$O,卡片数据!$B:$B,"通信线路及设备",卡片数据!$N:$N,"省内地市间划拨")</f>
        <v>0</v>
      </c>
      <c r="I26" s="66">
        <f>SUM(SUMIFS(卡片数据!$O:$O,卡片数据!$B:$B,"通信线路及设备",卡片数据!$N:$N,{"拆分合并重分类","地市内划拨"}))</f>
        <v>0</v>
      </c>
      <c r="J26" s="85">
        <f t="shared" si="24"/>
        <v>2796.1</v>
      </c>
      <c r="K26" s="66">
        <f>SUM(SUMIFS(卡片数据!$R:$R,卡片数据!$B:$B,"通信线路及设备",卡片数据!$Q:$Q,{"报废"}))</f>
        <v>2796.1</v>
      </c>
      <c r="L26" s="66">
        <f>SUM(SUMIFS(卡片数据!$R:$R,卡片数据!$B:$B,"通信线路及设备",卡片数据!$Q:$Q,{"出售"}))</f>
        <v>0</v>
      </c>
      <c r="M26" s="66">
        <f>SUM(SUMIFS(卡片数据!$R:$R,卡片数据!$B:$B,"通信线路及设备",卡片数据!$Q:$Q,{"三供一业无偿划出"}))</f>
        <v>0</v>
      </c>
      <c r="N26" s="66">
        <f>SUMIFS(卡片数据!$R:$R,卡片数据!$B:$B,"通信线路及设备",卡片数据!$Q:$Q,"子分公司间划转资产")</f>
        <v>0</v>
      </c>
      <c r="O26" s="66">
        <f>SUMIFS(卡片数据!$R:$R,卡片数据!$B:$B,"通信线路及设备",卡片数据!$Q:$Q,"省外划拨")</f>
        <v>0</v>
      </c>
      <c r="P26" s="66">
        <f>SUMIFS(卡片数据!$R:$R,卡片数据!$B:$B,"通信线路及设备",卡片数据!$Q:$Q,"省内地市间划拨")</f>
        <v>0</v>
      </c>
      <c r="Q26" s="66">
        <f>SUM(SUMIFS(卡片数据!$R:$R,卡片数据!$B:$B,"通信线路及设备",卡片数据!$Q:$Q,{"拆分合并重分类","地市内划拨"}))</f>
        <v>0</v>
      </c>
      <c r="R26" s="66">
        <f>SUMIFS(卡片数据!J:J,卡片数据!$B:$B,"通信线路及设备")</f>
        <v>23761242.670000002</v>
      </c>
      <c r="S26" s="66">
        <f>SUMIFS(卡片数据!K:K,卡片数据!$B:$B,"通信线路及设备")</f>
        <v>10367868.140000001</v>
      </c>
      <c r="T26" s="88">
        <f t="shared" si="8"/>
        <v>0</v>
      </c>
      <c r="U26" s="85">
        <f t="shared" si="7"/>
        <v>0</v>
      </c>
      <c r="V26" s="66">
        <f>SUMIFS(卡片数据!I:I,卡片数据!$B:$B,"通信线路及设备")</f>
        <v>16590571.380000001</v>
      </c>
      <c r="W26" s="85">
        <f t="shared" si="25"/>
        <v>1171110.04</v>
      </c>
      <c r="X26" s="66">
        <f>SUM(SUMIFS(卡片数据!$P:$P,卡片数据!$B:$B,"通信线路及设备",卡片数据!$N:$N,{"工程项目","零购项目","用户资产","盘盈资产","非货币性交易","捐赠增加"}))</f>
        <v>0</v>
      </c>
      <c r="Y26" s="91">
        <f>SUMIFS(卡片数据!M:M,卡片数据!$B:$B,"通信线路及设备")</f>
        <v>1171110.04</v>
      </c>
      <c r="Z26" s="66">
        <f>SUMIFS(卡片数据!$P:$P,卡片数据!$B:$B,"通信线路及设备",卡片数据!$N:$N,"子分公司间划转资产")</f>
        <v>0</v>
      </c>
      <c r="AA26" s="66">
        <f>SUMIFS(卡片数据!$P:$P,卡片数据!$B:$B,"通信线路及设备",卡片数据!$N:$N,"省外划拨")</f>
        <v>0</v>
      </c>
      <c r="AB26" s="66">
        <f>SUMIFS(卡片数据!$P:$P,卡片数据!$B:$B,"通信线路及设备",卡片数据!$N:$N,"省内地市间划拨")</f>
        <v>0</v>
      </c>
      <c r="AC26" s="66">
        <f>SUM(SUMIFS(卡片数据!$P:$P,卡片数据!$B:$B,"通信线路及设备",卡片数据!$N:$N,{"拆分合并重分类","地市内划拨"}))</f>
        <v>0</v>
      </c>
      <c r="AD26" s="85">
        <f t="shared" si="26"/>
        <v>2796.1</v>
      </c>
      <c r="AE26" s="66">
        <f>SUM(SUMIFS(卡片数据!$S:$S,卡片数据!$B:$B,"通信线路及设备",卡片数据!$Q:$Q,{"报废"}))</f>
        <v>2796.1</v>
      </c>
      <c r="AF26" s="66">
        <f>SUM(SUMIFS(卡片数据!$S:$S,卡片数据!$B:$B,"通信线路及设备",卡片数据!$Q:$Q,{"出售"}))</f>
        <v>0</v>
      </c>
      <c r="AG26" s="66">
        <f>SUM(SUMIFS(卡片数据!$S:$S,卡片数据!$B:$B,"通信线路及设备",卡片数据!$Q:$Q,{"三供一业无偿划出"}))</f>
        <v>0</v>
      </c>
      <c r="AH26" s="66">
        <f>SUMIFS(卡片数据!$S:$S,卡片数据!$B:$B,"通信线路及设备",卡片数据!$Q:$Q,"子分公司间划转资产")</f>
        <v>0</v>
      </c>
      <c r="AI26" s="66">
        <f>SUMIFS(卡片数据!$S:$S,卡片数据!$B:$B,"通信线路及设备",卡片数据!$Q:$Q,"省外划拨")</f>
        <v>0</v>
      </c>
      <c r="AJ26" s="66">
        <f>SUMIFS(卡片数据!$S:$S,卡片数据!$B:$B,"通信线路及设备",卡片数据!$Q:$Q,"省内地市间划拨")</f>
        <v>0</v>
      </c>
      <c r="AK26" s="66">
        <f>SUM(SUMIFS(卡片数据!$S:$S,卡片数据!$B:$B,"通信线路及设备",卡片数据!$Q:$Q,{"拆分合并重分类","地市内划拨"}))</f>
        <v>0</v>
      </c>
      <c r="AL26" s="66">
        <f>SUMIFS(卡片数据!L:L,卡片数据!$B:$B,"通信线路及设备")</f>
        <v>17758885.32</v>
      </c>
      <c r="AM26" s="85">
        <f t="shared" si="4"/>
        <v>0</v>
      </c>
      <c r="AN26" s="85">
        <f t="shared" si="5"/>
        <v>0</v>
      </c>
      <c r="AO26" s="66">
        <f>SUMIFS(卡片数据!W:W,卡片数据!$B:$B,"通信线路及设备")</f>
        <v>13324357.869999999</v>
      </c>
      <c r="AP26" s="66">
        <f>SUMIFS(卡片数据!X:X,卡片数据!$B:$B,"通信线路及设备")</f>
        <v>14924266.800000001</v>
      </c>
    </row>
    <row r="27" spans="1:42" s="79" customFormat="1" ht="13">
      <c r="A27" s="72" t="s">
        <v>37</v>
      </c>
      <c r="B27" s="66">
        <f>SUMIFS(卡片数据!G:G,卡片数据!$B:$B,"自动化控制设备、信息设备及仪器仪表")</f>
        <v>76867695.730000004</v>
      </c>
      <c r="C27" s="66">
        <f>SUMIFS(卡片数据!H:H,卡片数据!$B:$B,"自动化控制设备、信息设备及仪器仪表")</f>
        <v>45527809.909999996</v>
      </c>
      <c r="D27" s="85">
        <f t="shared" si="23"/>
        <v>5370559.5999999996</v>
      </c>
      <c r="E27" s="66">
        <f>SUM(SUMIFS(卡片数据!$O:$O,卡片数据!$B:$B,"自动化控制设备、信息设备及仪器仪表",卡片数据!$N:$N,{"工程项目","零购项目","用户资产","盘盈资产","非货币性交易","捐赠增加"}))</f>
        <v>4722349.4800000004</v>
      </c>
      <c r="F27" s="66">
        <f>SUMIFS(卡片数据!$O:$O,卡片数据!$B:$B,"自动化控制设备、信息设备及仪器仪表",卡片数据!$N:$N,"子分公司间划转资产")</f>
        <v>0</v>
      </c>
      <c r="G27" s="66">
        <f>SUMIFS(卡片数据!$O:$O,卡片数据!$B:$B,"自动化控制设备、信息设备及仪器仪表",卡片数据!$N:$N,"省外划拨")</f>
        <v>0</v>
      </c>
      <c r="H27" s="66">
        <f>SUMIFS(卡片数据!$O:$O,卡片数据!$B:$B,"自动化控制设备、信息设备及仪器仪表",卡片数据!$N:$N,"省内地市间划拨")</f>
        <v>0</v>
      </c>
      <c r="I27" s="66">
        <f>SUM(SUMIFS(卡片数据!$O:$O,卡片数据!$B:$B,"自动化控制设备、信息设备及仪器仪表",卡片数据!$N:$N,{"拆分合并重分类","地市内划拨"}))</f>
        <v>648210.12</v>
      </c>
      <c r="J27" s="85">
        <f t="shared" si="24"/>
        <v>14066.58</v>
      </c>
      <c r="K27" s="66">
        <f>SUM(SUMIFS(卡片数据!$R:$R,卡片数据!$B:$B,"自动化控制设备、信息设备及仪器仪表",卡片数据!$Q:$Q,{"报废"}))</f>
        <v>14066.58</v>
      </c>
      <c r="L27" s="66">
        <f>SUM(SUMIFS(卡片数据!$R:$R,卡片数据!$B:$B,"自动化控制设备、信息设备及仪器仪表",卡片数据!$Q:$Q,{"出售"}))</f>
        <v>0</v>
      </c>
      <c r="M27" s="66">
        <f>SUM(SUMIFS(卡片数据!$R:$R,卡片数据!$B:$B,"自动化控制设备、信息设备及仪器仪表",卡片数据!$Q:$Q,{"三供一业无偿划出"}))</f>
        <v>0</v>
      </c>
      <c r="N27" s="66">
        <f>SUMIFS(卡片数据!$R:$R,卡片数据!$B:$B,"自动化控制设备、信息设备及仪器仪表",卡片数据!$Q:$Q,"子分公司间划转资产")</f>
        <v>0</v>
      </c>
      <c r="O27" s="66">
        <f>SUMIFS(卡片数据!$R:$R,卡片数据!$B:$B,"自动化控制设备、信息设备及仪器仪表",卡片数据!$Q:$Q,"省外划拨")</f>
        <v>0</v>
      </c>
      <c r="P27" s="66">
        <f>SUMIFS(卡片数据!$R:$R,卡片数据!$B:$B,"自动化控制设备、信息设备及仪器仪表",卡片数据!$Q:$Q,"省内地市间划拨")</f>
        <v>0</v>
      </c>
      <c r="Q27" s="66">
        <f>SUM(SUMIFS(卡片数据!$R:$R,卡片数据!$B:$B,"自动化控制设备、信息设备及仪器仪表",卡片数据!$Q:$Q,{"拆分合并重分类","地市内划拨"}))</f>
        <v>0</v>
      </c>
      <c r="R27" s="66">
        <f>SUMIFS(卡片数据!J:J,卡片数据!$B:$B,"自动化控制设备、信息设备及仪器仪表")</f>
        <v>82224188.75</v>
      </c>
      <c r="S27" s="66">
        <f>SUMIFS(卡片数据!K:K,卡片数据!$B:$B,"自动化控制设备、信息设备及仪器仪表")</f>
        <v>46869517.170000002</v>
      </c>
      <c r="T27" s="88">
        <f t="shared" si="8"/>
        <v>0</v>
      </c>
      <c r="U27" s="85">
        <f t="shared" si="7"/>
        <v>648210.12</v>
      </c>
      <c r="V27" s="66">
        <f>SUMIFS(卡片数据!I:I,卡片数据!$B:$B,"自动化控制设备、信息设备及仪器仪表")</f>
        <v>62624621.579999998</v>
      </c>
      <c r="W27" s="85">
        <f t="shared" si="25"/>
        <v>4248849.32</v>
      </c>
      <c r="X27" s="66">
        <f>SUM(SUMIFS(卡片数据!$P:$P,卡片数据!$B:$B,"自动化控制设备、信息设备及仪器仪表",卡片数据!$N:$N,{"工程项目","零购项目","用户资产","盘盈资产","非货币性交易","捐赠增加"}))</f>
        <v>0</v>
      </c>
      <c r="Y27" s="91">
        <f>SUMIFS(卡片数据!M:M,卡片数据!$B:$B,"自动化控制设备、信息设备及仪器仪表")</f>
        <v>3855554.24</v>
      </c>
      <c r="Z27" s="66">
        <f>SUMIFS(卡片数据!$P:$P,卡片数据!$B:$B,"自动化控制设备、信息设备及仪器仪表",卡片数据!$N:$N,"子分公司间划转资产")</f>
        <v>0</v>
      </c>
      <c r="AA27" s="66">
        <f>SUMIFS(卡片数据!$P:$P,卡片数据!$B:$B,"自动化控制设备、信息设备及仪器仪表",卡片数据!$N:$N,"省外划拨")</f>
        <v>0</v>
      </c>
      <c r="AB27" s="66">
        <f>SUMIFS(卡片数据!$P:$P,卡片数据!$B:$B,"自动化控制设备、信息设备及仪器仪表",卡片数据!$N:$N,"省内地市间划拨")</f>
        <v>0</v>
      </c>
      <c r="AC27" s="66">
        <f>SUM(SUMIFS(卡片数据!$P:$P,卡片数据!$B:$B,"自动化控制设备、信息设备及仪器仪表",卡片数据!$N:$N,{"拆分合并重分类","地市内划拨"}))</f>
        <v>393295.08</v>
      </c>
      <c r="AD27" s="85">
        <f t="shared" si="26"/>
        <v>13408.64</v>
      </c>
      <c r="AE27" s="66">
        <f>SUM(SUMIFS(卡片数据!$S:$S,卡片数据!$B:$B,"自动化控制设备、信息设备及仪器仪表",卡片数据!$Q:$Q,{"报废"}))</f>
        <v>13408.64</v>
      </c>
      <c r="AF27" s="66">
        <f>SUM(SUMIFS(卡片数据!$S:$S,卡片数据!$B:$B,"自动化控制设备、信息设备及仪器仪表",卡片数据!$Q:$Q,{"出售"}))</f>
        <v>0</v>
      </c>
      <c r="AG27" s="66">
        <f>SUM(SUMIFS(卡片数据!$S:$S,卡片数据!$B:$B,"自动化控制设备、信息设备及仪器仪表",卡片数据!$Q:$Q,{"三供一业无偿划出"}))</f>
        <v>0</v>
      </c>
      <c r="AH27" s="66">
        <f>SUMIFS(卡片数据!$S:$S,卡片数据!$B:$B,"自动化控制设备、信息设备及仪器仪表",卡片数据!$Q:$Q,"子分公司间划转资产")</f>
        <v>0</v>
      </c>
      <c r="AI27" s="66">
        <f>SUMIFS(卡片数据!$S:$S,卡片数据!$B:$B,"自动化控制设备、信息设备及仪器仪表",卡片数据!$Q:$Q,"省外划拨")</f>
        <v>0</v>
      </c>
      <c r="AJ27" s="66">
        <f>SUMIFS(卡片数据!$S:$S,卡片数据!$B:$B,"自动化控制设备、信息设备及仪器仪表",卡片数据!$Q:$Q,"省内地市间划拨")</f>
        <v>0</v>
      </c>
      <c r="AK27" s="66">
        <f>SUM(SUMIFS(卡片数据!$S:$S,卡片数据!$B:$B,"自动化控制设备、信息设备及仪器仪表",卡片数据!$Q:$Q,{"拆分合并重分类","地市内划拨"}))</f>
        <v>0</v>
      </c>
      <c r="AL27" s="66">
        <f>SUMIFS(卡片数据!L:L,卡片数据!$B:$B,"自动化控制设备、信息设备及仪器仪表")</f>
        <v>66860062.259999998</v>
      </c>
      <c r="AM27" s="85">
        <f t="shared" si="4"/>
        <v>0</v>
      </c>
      <c r="AN27" s="85">
        <f t="shared" si="5"/>
        <v>393295.08</v>
      </c>
      <c r="AO27" s="66">
        <f>SUMIFS(卡片数据!W:W,卡片数据!$B:$B,"自动化控制设备、信息设备及仪器仪表")</f>
        <v>70003339.200000003</v>
      </c>
      <c r="AP27" s="66">
        <f>SUMIFS(卡片数据!X:X,卡片数据!$B:$B,"自动化控制设备、信息设备及仪器仪表")</f>
        <v>71036255.359999999</v>
      </c>
    </row>
    <row r="28" spans="1:42" s="79" customFormat="1" ht="13">
      <c r="A28" s="72" t="s">
        <v>38</v>
      </c>
      <c r="B28" s="66">
        <f>SUMIFS(卡片数据!G:G,卡片数据!$B:$B,"发电及供热设备")</f>
        <v>21043470.239999998</v>
      </c>
      <c r="C28" s="66">
        <f>SUMIFS(卡片数据!H:H,卡片数据!$B:$B,"发电及供热设备")</f>
        <v>16690095.15</v>
      </c>
      <c r="D28" s="85">
        <f t="shared" si="23"/>
        <v>1902794.33</v>
      </c>
      <c r="E28" s="66">
        <f>SUM(SUMIFS(卡片数据!$O:$O,卡片数据!$B:$B,"发电及供热设备",卡片数据!$N:$N,{"工程项目","零购项目","用户资产","盘盈资产","非货币性交易","捐赠增加"}))</f>
        <v>1902794.33</v>
      </c>
      <c r="F28" s="66">
        <f>SUMIFS(卡片数据!$O:$O,卡片数据!$B:$B,"发电及供热设备",卡片数据!$N:$N,"子分公司间划转资产")</f>
        <v>0</v>
      </c>
      <c r="G28" s="66">
        <f>SUMIFS(卡片数据!$O:$O,卡片数据!$B:$B,"发电及供热设备",卡片数据!$N:$N,"省外划拨")</f>
        <v>0</v>
      </c>
      <c r="H28" s="66">
        <f>SUMIFS(卡片数据!$O:$O,卡片数据!$B:$B,"发电及供热设备",卡片数据!$N:$N,"省内地市间划拨")</f>
        <v>0</v>
      </c>
      <c r="I28" s="66">
        <f>SUM(SUMIFS(卡片数据!$O:$O,卡片数据!$B:$B,"发电及供热设备",卡片数据!$N:$N,{"拆分合并重分类","地市内划拨"}))</f>
        <v>0</v>
      </c>
      <c r="J28" s="85">
        <f t="shared" si="24"/>
        <v>356672.32</v>
      </c>
      <c r="K28" s="66">
        <f>SUM(SUMIFS(卡片数据!$R:$R,卡片数据!$B:$B,"发电及供热设备",卡片数据!$Q:$Q,{"报废"}))</f>
        <v>356672.32</v>
      </c>
      <c r="L28" s="66">
        <f>SUM(SUMIFS(卡片数据!$R:$R,卡片数据!$B:$B,"发电及供热设备",卡片数据!$Q:$Q,{"出售"}))</f>
        <v>0</v>
      </c>
      <c r="M28" s="66">
        <f>SUM(SUMIFS(卡片数据!$R:$R,卡片数据!$B:$B,"发电及供热设备",卡片数据!$Q:$Q,{"三供一业无偿划出"}))</f>
        <v>0</v>
      </c>
      <c r="N28" s="66">
        <f>SUMIFS(卡片数据!$R:$R,卡片数据!$B:$B,"发电及供热设备",卡片数据!$Q:$Q,"子分公司间划转资产")</f>
        <v>0</v>
      </c>
      <c r="O28" s="66">
        <f>SUMIFS(卡片数据!$R:$R,卡片数据!$B:$B,"发电及供热设备",卡片数据!$Q:$Q,"省外划拨")</f>
        <v>0</v>
      </c>
      <c r="P28" s="66">
        <f>SUMIFS(卡片数据!$R:$R,卡片数据!$B:$B,"发电及供热设备",卡片数据!$Q:$Q,"省内地市间划拨")</f>
        <v>0</v>
      </c>
      <c r="Q28" s="66">
        <f>SUM(SUMIFS(卡片数据!$R:$R,卡片数据!$B:$B,"发电及供热设备",卡片数据!$Q:$Q,{"拆分合并重分类","地市内划拨"}))</f>
        <v>0</v>
      </c>
      <c r="R28" s="66">
        <f>SUMIFS(卡片数据!J:J,卡片数据!$B:$B,"发电及供热设备")</f>
        <v>22589592.25</v>
      </c>
      <c r="S28" s="66">
        <f>SUMIFS(卡片数据!K:K,卡片数据!$B:$B,"发电及供热设备")</f>
        <v>16333422.83</v>
      </c>
      <c r="T28" s="88">
        <f t="shared" si="8"/>
        <v>0</v>
      </c>
      <c r="U28" s="85">
        <f t="shared" si="7"/>
        <v>0</v>
      </c>
      <c r="V28" s="66">
        <f>SUMIFS(卡片数据!I:I,卡片数据!$B:$B,"发电及供热设备")</f>
        <v>18240053.77</v>
      </c>
      <c r="W28" s="85">
        <f t="shared" si="25"/>
        <v>351122.83</v>
      </c>
      <c r="X28" s="66">
        <f>SUM(SUMIFS(卡片数据!$P:$P,卡片数据!$B:$B,"发电及供热设备",卡片数据!$N:$N,{"工程项目","零购项目","用户资产","盘盈资产","非货币性交易","捐赠增加"}))</f>
        <v>0</v>
      </c>
      <c r="Y28" s="91">
        <f>SUMIFS(卡片数据!M:M,卡片数据!$B:$B,"发电及供热设备")</f>
        <v>351122.83</v>
      </c>
      <c r="Z28" s="66">
        <f>SUMIFS(卡片数据!$P:$P,卡片数据!$B:$B,"发电及供热设备",卡片数据!$N:$N,"子分公司间划转资产")</f>
        <v>0</v>
      </c>
      <c r="AA28" s="66">
        <f>SUMIFS(卡片数据!$P:$P,卡片数据!$B:$B,"发电及供热设备",卡片数据!$N:$N,"省外划拨")</f>
        <v>0</v>
      </c>
      <c r="AB28" s="66">
        <f>SUMIFS(卡片数据!$P:$P,卡片数据!$B:$B,"发电及供热设备",卡片数据!$N:$N,"省内地市间划拨")</f>
        <v>0</v>
      </c>
      <c r="AC28" s="66">
        <f>SUM(SUMIFS(卡片数据!$P:$P,卡片数据!$B:$B,"发电及供热设备",卡片数据!$N:$N,{"拆分合并重分类","地市内划拨"}))</f>
        <v>0</v>
      </c>
      <c r="AD28" s="85">
        <f t="shared" si="26"/>
        <v>339715.35</v>
      </c>
      <c r="AE28" s="66">
        <f>SUM(SUMIFS(卡片数据!$S:$S,卡片数据!$B:$B,"发电及供热设备",卡片数据!$Q:$Q,{"报废"}))</f>
        <v>339715.35</v>
      </c>
      <c r="AF28" s="66">
        <f>SUM(SUMIFS(卡片数据!$S:$S,卡片数据!$B:$B,"发电及供热设备",卡片数据!$Q:$Q,{"出售"}))</f>
        <v>0</v>
      </c>
      <c r="AG28" s="66">
        <f>SUM(SUMIFS(卡片数据!$S:$S,卡片数据!$B:$B,"发电及供热设备",卡片数据!$Q:$Q,{"三供一业无偿划出"}))</f>
        <v>0</v>
      </c>
      <c r="AH28" s="66">
        <f>SUMIFS(卡片数据!$S:$S,卡片数据!$B:$B,"发电及供热设备",卡片数据!$Q:$Q,"子分公司间划转资产")</f>
        <v>0</v>
      </c>
      <c r="AI28" s="66">
        <f>SUMIFS(卡片数据!$S:$S,卡片数据!$B:$B,"发电及供热设备",卡片数据!$Q:$Q,"省外划拨")</f>
        <v>0</v>
      </c>
      <c r="AJ28" s="66">
        <f>SUMIFS(卡片数据!$S:$S,卡片数据!$B:$B,"发电及供热设备",卡片数据!$Q:$Q,"省内地市间划拨")</f>
        <v>0</v>
      </c>
      <c r="AK28" s="66">
        <f>SUM(SUMIFS(卡片数据!$S:$S,卡片数据!$B:$B,"发电及供热设备",卡片数据!$Q:$Q,{"拆分合并重分类","地市内划拨"}))</f>
        <v>0</v>
      </c>
      <c r="AL28" s="66">
        <f>SUMIFS(卡片数据!L:L,卡片数据!$B:$B,"发电及供热设备")</f>
        <v>18251461.25</v>
      </c>
      <c r="AM28" s="85">
        <f t="shared" si="4"/>
        <v>0</v>
      </c>
      <c r="AN28" s="85">
        <f t="shared" si="5"/>
        <v>0</v>
      </c>
      <c r="AO28" s="66">
        <f>SUMIFS(卡片数据!W:W,卡片数据!$B:$B,"发电及供热设备")</f>
        <v>16417222.83</v>
      </c>
      <c r="AP28" s="66">
        <f>SUMIFS(卡片数据!X:X,卡片数据!$B:$B,"发电及供热设备")</f>
        <v>16845050.629999999</v>
      </c>
    </row>
    <row r="29" spans="1:42" s="79" customFormat="1" ht="13">
      <c r="A29" s="72" t="s">
        <v>39</v>
      </c>
      <c r="B29" s="66">
        <f>SUMIFS(卡片数据!G:G,卡片数据!$B:$B,"水工机械设备")</f>
        <v>1625699.44</v>
      </c>
      <c r="C29" s="66">
        <f>SUMIFS(卡片数据!H:H,卡片数据!$B:$B,"水工机械设备")</f>
        <v>652371.11</v>
      </c>
      <c r="D29" s="85">
        <f t="shared" si="23"/>
        <v>0</v>
      </c>
      <c r="E29" s="66">
        <f>SUM(SUMIFS(卡片数据!$O:$O,卡片数据!$B:$B,"水工机械设备",卡片数据!$N:$N,{"工程项目","零购项目","用户资产","盘盈资产","非货币性交易","捐赠增加"}))</f>
        <v>0</v>
      </c>
      <c r="F29" s="66">
        <f>SUMIFS(卡片数据!$O:$O,卡片数据!$B:$B,"水工机械设备",卡片数据!$N:$N,"子分公司间划转资产")</f>
        <v>0</v>
      </c>
      <c r="G29" s="66">
        <f>SUMIFS(卡片数据!$O:$O,卡片数据!$B:$B,"水工机械设备",卡片数据!$N:$N,"省外划拨")</f>
        <v>0</v>
      </c>
      <c r="H29" s="66">
        <f>SUMIFS(卡片数据!$O:$O,卡片数据!$B:$B,"水工机械设备",卡片数据!$N:$N,"省内地市间划拨")</f>
        <v>0</v>
      </c>
      <c r="I29" s="66">
        <f>SUM(SUMIFS(卡片数据!$O:$O,卡片数据!$B:$B,"水工机械设备",卡片数据!$N:$N,{"拆分合并重分类","地市内划拨"}))</f>
        <v>0</v>
      </c>
      <c r="J29" s="85">
        <f t="shared" si="24"/>
        <v>0</v>
      </c>
      <c r="K29" s="66">
        <f>SUM(SUMIFS(卡片数据!$R:$R,卡片数据!$B:$B,"水工机械设备",卡片数据!$Q:$Q,{"报废"}))</f>
        <v>0</v>
      </c>
      <c r="L29" s="66">
        <f>SUM(SUMIFS(卡片数据!$R:$R,卡片数据!$B:$B,"水工机械设备",卡片数据!$Q:$Q,{"出售"}))</f>
        <v>0</v>
      </c>
      <c r="M29" s="66">
        <f>SUM(SUMIFS(卡片数据!$R:$R,卡片数据!$B:$B,"水工机械设备",卡片数据!$Q:$Q,{"三供一业无偿划出"}))</f>
        <v>0</v>
      </c>
      <c r="N29" s="66">
        <f>SUMIFS(卡片数据!$R:$R,卡片数据!$B:$B,"水工机械设备",卡片数据!$Q:$Q,"子分公司间划转资产")</f>
        <v>0</v>
      </c>
      <c r="O29" s="66">
        <f>SUMIFS(卡片数据!$R:$R,卡片数据!$B:$B,"水工机械设备",卡片数据!$Q:$Q,"省外划拨")</f>
        <v>0</v>
      </c>
      <c r="P29" s="66">
        <f>SUMIFS(卡片数据!$R:$R,卡片数据!$B:$B,"水工机械设备",卡片数据!$Q:$Q,"省内地市间划拨")</f>
        <v>0</v>
      </c>
      <c r="Q29" s="66">
        <f>SUM(SUMIFS(卡片数据!$R:$R,卡片数据!$B:$B,"水工机械设备",卡片数据!$Q:$Q,{"拆分合并重分类","地市内划拨"}))</f>
        <v>0</v>
      </c>
      <c r="R29" s="66">
        <f>SUMIFS(卡片数据!J:J,卡片数据!$B:$B,"水工机械设备")</f>
        <v>1625699.44</v>
      </c>
      <c r="S29" s="66">
        <f>SUMIFS(卡片数据!K:K,卡片数据!$B:$B,"水工机械设备")</f>
        <v>652371.11</v>
      </c>
      <c r="T29" s="88">
        <f t="shared" si="8"/>
        <v>0</v>
      </c>
      <c r="U29" s="85">
        <f t="shared" si="7"/>
        <v>0</v>
      </c>
      <c r="V29" s="66">
        <f>SUMIFS(卡片数据!I:I,卡片数据!$B:$B,"水工机械设备")</f>
        <v>948682.91</v>
      </c>
      <c r="W29" s="85">
        <f t="shared" si="25"/>
        <v>91663.92</v>
      </c>
      <c r="X29" s="66">
        <f>SUM(SUMIFS(卡片数据!$P:$P,卡片数据!$B:$B,"水工机械设备",卡片数据!$N:$N,{"工程项目","零购项目","用户资产","盘盈资产","非货币性交易","捐赠增加"}))</f>
        <v>0</v>
      </c>
      <c r="Y29" s="91">
        <f>SUMIFS(卡片数据!M:M,卡片数据!$B:$B,"水工机械设备")</f>
        <v>91663.92</v>
      </c>
      <c r="Z29" s="66">
        <f>SUMIFS(卡片数据!$P:$P,卡片数据!$B:$B,"水工机械设备",卡片数据!$N:$N,"子分公司间划转资产")</f>
        <v>0</v>
      </c>
      <c r="AA29" s="66">
        <f>SUMIFS(卡片数据!$P:$P,卡片数据!$B:$B,"水工机械设备",卡片数据!$N:$N,"省外划拨")</f>
        <v>0</v>
      </c>
      <c r="AB29" s="66">
        <f>SUMIFS(卡片数据!$P:$P,卡片数据!$B:$B,"水工机械设备",卡片数据!$N:$N,"省内地市间划拨")</f>
        <v>0</v>
      </c>
      <c r="AC29" s="66">
        <f>SUM(SUMIFS(卡片数据!$P:$P,卡片数据!$B:$B,"水工机械设备",卡片数据!$N:$N,{"拆分合并重分类","地市内划拨"}))</f>
        <v>0</v>
      </c>
      <c r="AD29" s="85">
        <f t="shared" si="26"/>
        <v>0</v>
      </c>
      <c r="AE29" s="66">
        <f>SUM(SUMIFS(卡片数据!$S:$S,卡片数据!$B:$B,"水工机械设备",卡片数据!$Q:$Q,{"报废"}))</f>
        <v>0</v>
      </c>
      <c r="AF29" s="66">
        <f>SUM(SUMIFS(卡片数据!$S:$S,卡片数据!$B:$B,"水工机械设备",卡片数据!$Q:$Q,{"出售"}))</f>
        <v>0</v>
      </c>
      <c r="AG29" s="66">
        <f>SUM(SUMIFS(卡片数据!$S:$S,卡片数据!$B:$B,"水工机械设备",卡片数据!$Q:$Q,{"三供一业无偿划出"}))</f>
        <v>0</v>
      </c>
      <c r="AH29" s="66">
        <f>SUMIFS(卡片数据!$S:$S,卡片数据!$B:$B,"水工机械设备",卡片数据!$Q:$Q,"子分公司间划转资产")</f>
        <v>0</v>
      </c>
      <c r="AI29" s="66">
        <f>SUMIFS(卡片数据!$S:$S,卡片数据!$B:$B,"水工机械设备",卡片数据!$Q:$Q,"省外划拨")</f>
        <v>0</v>
      </c>
      <c r="AJ29" s="66">
        <f>SUMIFS(卡片数据!$S:$S,卡片数据!$B:$B,"水工机械设备",卡片数据!$Q:$Q,"省内地市间划拨")</f>
        <v>0</v>
      </c>
      <c r="AK29" s="66">
        <f>SUM(SUMIFS(卡片数据!$S:$S,卡片数据!$B:$B,"水工机械设备",卡片数据!$Q:$Q,{"拆分合并重分类","地市内划拨"}))</f>
        <v>0</v>
      </c>
      <c r="AL29" s="66">
        <f>SUMIFS(卡片数据!L:L,卡片数据!$B:$B,"水工机械设备")</f>
        <v>1040346.83</v>
      </c>
      <c r="AM29" s="85">
        <f t="shared" si="4"/>
        <v>0</v>
      </c>
      <c r="AN29" s="85">
        <f t="shared" si="5"/>
        <v>0</v>
      </c>
      <c r="AO29" s="66">
        <f>SUMIFS(卡片数据!W:W,卡片数据!$B:$B,"水工机械设备")</f>
        <v>652371.11</v>
      </c>
      <c r="AP29" s="66">
        <f>SUMIFS(卡片数据!X:X,卡片数据!$B:$B,"水工机械设备")</f>
        <v>652371.11</v>
      </c>
    </row>
    <row r="30" spans="1:42" s="79" customFormat="1" ht="13">
      <c r="A30" s="72" t="s">
        <v>40</v>
      </c>
      <c r="B30" s="66">
        <f>SUMIFS(卡片数据!G:G,卡片数据!$B:$B,"制造及检修维护设备")</f>
        <v>1664256.99</v>
      </c>
      <c r="C30" s="66">
        <f>SUMIFS(卡片数据!H:H,卡片数据!$B:$B,"制造及检修维护设备")</f>
        <v>753970.99</v>
      </c>
      <c r="D30" s="85">
        <f t="shared" si="23"/>
        <v>9404.32</v>
      </c>
      <c r="E30" s="66">
        <f>SUM(SUMIFS(卡片数据!$O:$O,卡片数据!$B:$B,"制造及检修维护设备",卡片数据!$N:$N,{"工程项目","零购项目","用户资产","盘盈资产","非货币性交易","捐赠增加"}))</f>
        <v>9404.32</v>
      </c>
      <c r="F30" s="66">
        <f>SUMIFS(卡片数据!$O:$O,卡片数据!$B:$B,"制造及检修维护设备",卡片数据!$N:$N,"子分公司间划转资产")</f>
        <v>0</v>
      </c>
      <c r="G30" s="66">
        <f>SUMIFS(卡片数据!$O:$O,卡片数据!$B:$B,"制造及检修维护设备",卡片数据!$N:$N,"省外划拨")</f>
        <v>0</v>
      </c>
      <c r="H30" s="66">
        <f>SUMIFS(卡片数据!$O:$O,卡片数据!$B:$B,"制造及检修维护设备",卡片数据!$N:$N,"省内地市间划拨")</f>
        <v>0</v>
      </c>
      <c r="I30" s="66">
        <f>SUM(SUMIFS(卡片数据!$O:$O,卡片数据!$B:$B,"制造及检修维护设备",卡片数据!$N:$N,{"拆分合并重分类","地市内划拨"}))</f>
        <v>0</v>
      </c>
      <c r="J30" s="85">
        <f t="shared" si="24"/>
        <v>51855.75</v>
      </c>
      <c r="K30" s="66">
        <f>SUM(SUMIFS(卡片数据!$R:$R,卡片数据!$B:$B,"制造及检修维护设备",卡片数据!$Q:$Q,{"报废"}))</f>
        <v>51855.75</v>
      </c>
      <c r="L30" s="66">
        <f>SUM(SUMIFS(卡片数据!$R:$R,卡片数据!$B:$B,"制造及检修维护设备",卡片数据!$Q:$Q,{"出售"}))</f>
        <v>0</v>
      </c>
      <c r="M30" s="66">
        <f>SUM(SUMIFS(卡片数据!$R:$R,卡片数据!$B:$B,"制造及检修维护设备",卡片数据!$Q:$Q,{"三供一业无偿划出"}))</f>
        <v>0</v>
      </c>
      <c r="N30" s="66">
        <f>SUMIFS(卡片数据!$R:$R,卡片数据!$B:$B,"制造及检修维护设备",卡片数据!$Q:$Q,"子分公司间划转资产")</f>
        <v>0</v>
      </c>
      <c r="O30" s="66">
        <f>SUMIFS(卡片数据!$R:$R,卡片数据!$B:$B,"制造及检修维护设备",卡片数据!$Q:$Q,"省外划拨")</f>
        <v>0</v>
      </c>
      <c r="P30" s="66">
        <f>SUMIFS(卡片数据!$R:$R,卡片数据!$B:$B,"制造及检修维护设备",卡片数据!$Q:$Q,"省内地市间划拨")</f>
        <v>0</v>
      </c>
      <c r="Q30" s="66">
        <f>SUM(SUMIFS(卡片数据!$R:$R,卡片数据!$B:$B,"制造及检修维护设备",卡片数据!$Q:$Q,{"拆分合并重分类","地市内划拨"}))</f>
        <v>0</v>
      </c>
      <c r="R30" s="66">
        <f>SUMIFS(卡片数据!J:J,卡片数据!$B:$B,"制造及检修维护设备")</f>
        <v>1621805.56</v>
      </c>
      <c r="S30" s="66">
        <f>SUMIFS(卡片数据!K:K,卡片数据!$B:$B,"制造及检修维护设备")</f>
        <v>702115.24</v>
      </c>
      <c r="T30" s="88">
        <f t="shared" si="8"/>
        <v>0</v>
      </c>
      <c r="U30" s="85">
        <f t="shared" si="7"/>
        <v>0</v>
      </c>
      <c r="V30" s="66">
        <f>SUMIFS(卡片数据!I:I,卡片数据!$B:$B,"制造及检修维护设备")</f>
        <v>1087970.3899999999</v>
      </c>
      <c r="W30" s="85">
        <f t="shared" si="25"/>
        <v>71203.41</v>
      </c>
      <c r="X30" s="66">
        <f>SUM(SUMIFS(卡片数据!$P:$P,卡片数据!$B:$B,"制造及检修维护设备",卡片数据!$N:$N,{"工程项目","零购项目","用户资产","盘盈资产","非货币性交易","捐赠增加"}))</f>
        <v>0</v>
      </c>
      <c r="Y30" s="91">
        <f>SUMIFS(卡片数据!M:M,卡片数据!$B:$B,"制造及检修维护设备")</f>
        <v>71203.41</v>
      </c>
      <c r="Z30" s="66">
        <f>SUMIFS(卡片数据!$P:$P,卡片数据!$B:$B,"制造及检修维护设备",卡片数据!$N:$N,"子分公司间划转资产")</f>
        <v>0</v>
      </c>
      <c r="AA30" s="66">
        <f>SUMIFS(卡片数据!$P:$P,卡片数据!$B:$B,"制造及检修维护设备",卡片数据!$N:$N,"省外划拨")</f>
        <v>0</v>
      </c>
      <c r="AB30" s="66">
        <f>SUMIFS(卡片数据!$P:$P,卡片数据!$B:$B,"制造及检修维护设备",卡片数据!$N:$N,"省内地市间划拨")</f>
        <v>0</v>
      </c>
      <c r="AC30" s="66">
        <f>SUM(SUMIFS(卡片数据!$P:$P,卡片数据!$B:$B,"制造及检修维护设备",卡片数据!$N:$N,{"拆分合并重分类","地市内划拨"}))</f>
        <v>0</v>
      </c>
      <c r="AD30" s="85">
        <f t="shared" si="26"/>
        <v>49262.96</v>
      </c>
      <c r="AE30" s="66">
        <f>SUM(SUMIFS(卡片数据!$S:$S,卡片数据!$B:$B,"制造及检修维护设备",卡片数据!$Q:$Q,{"报废"}))</f>
        <v>49262.96</v>
      </c>
      <c r="AF30" s="66">
        <f>SUM(SUMIFS(卡片数据!$S:$S,卡片数据!$B:$B,"制造及检修维护设备",卡片数据!$Q:$Q,{"出售"}))</f>
        <v>0</v>
      </c>
      <c r="AG30" s="66">
        <f>SUM(SUMIFS(卡片数据!$S:$S,卡片数据!$B:$B,"制造及检修维护设备",卡片数据!$Q:$Q,{"三供一业无偿划出"}))</f>
        <v>0</v>
      </c>
      <c r="AH30" s="66">
        <f>SUMIFS(卡片数据!$S:$S,卡片数据!$B:$B,"制造及检修维护设备",卡片数据!$Q:$Q,"子分公司间划转资产")</f>
        <v>0</v>
      </c>
      <c r="AI30" s="66">
        <f>SUMIFS(卡片数据!$S:$S,卡片数据!$B:$B,"制造及检修维护设备",卡片数据!$Q:$Q,"省外划拨")</f>
        <v>0</v>
      </c>
      <c r="AJ30" s="66">
        <f>SUMIFS(卡片数据!$S:$S,卡片数据!$B:$B,"制造及检修维护设备",卡片数据!$Q:$Q,"省内地市间划拨")</f>
        <v>0</v>
      </c>
      <c r="AK30" s="66">
        <f>SUM(SUMIFS(卡片数据!$S:$S,卡片数据!$B:$B,"制造及检修维护设备",卡片数据!$Q:$Q,{"拆分合并重分类","地市内划拨"}))</f>
        <v>0</v>
      </c>
      <c r="AL30" s="66">
        <f>SUMIFS(卡片数据!L:L,卡片数据!$B:$B,"制造及检修维护设备")</f>
        <v>1109910.8400000001</v>
      </c>
      <c r="AM30" s="85">
        <f t="shared" si="4"/>
        <v>0</v>
      </c>
      <c r="AN30" s="85">
        <f t="shared" si="5"/>
        <v>0</v>
      </c>
      <c r="AO30" s="66">
        <f>SUMIFS(卡片数据!W:W,卡片数据!$B:$B,"制造及检修维护设备")</f>
        <v>702115.24</v>
      </c>
      <c r="AP30" s="66">
        <f>SUMIFS(卡片数据!X:X,卡片数据!$B:$B,"制造及检修维护设备")</f>
        <v>991995.24</v>
      </c>
    </row>
    <row r="31" spans="1:42" s="79" customFormat="1" ht="13">
      <c r="A31" s="72" t="s">
        <v>41</v>
      </c>
      <c r="B31" s="66">
        <f>SUMIFS(卡片数据!G:G,卡片数据!$B:$B,"生产管理用工器具")</f>
        <v>9662129.1699999999</v>
      </c>
      <c r="C31" s="66">
        <f>SUMIFS(卡片数据!H:H,卡片数据!$B:$B,"生产管理用工器具")</f>
        <v>7998605.79</v>
      </c>
      <c r="D31" s="85">
        <f t="shared" si="23"/>
        <v>552874.35</v>
      </c>
      <c r="E31" s="66">
        <f>SUM(SUMIFS(卡片数据!$O:$O,卡片数据!$B:$B,"生产管理用工器具",卡片数据!$N:$N,{"工程项目","零购项目","用户资产","盘盈资产","非货币性交易","捐赠增加"}))</f>
        <v>552874.35</v>
      </c>
      <c r="F31" s="66">
        <f>SUMIFS(卡片数据!$O:$O,卡片数据!$B:$B,"生产管理用工器具",卡片数据!$N:$N,"子分公司间划转资产")</f>
        <v>0</v>
      </c>
      <c r="G31" s="66">
        <f>SUMIFS(卡片数据!$O:$O,卡片数据!$B:$B,"生产管理用工器具",卡片数据!$N:$N,"省外划拨")</f>
        <v>0</v>
      </c>
      <c r="H31" s="66">
        <f>SUMIFS(卡片数据!$O:$O,卡片数据!$B:$B,"生产管理用工器具",卡片数据!$N:$N,"省内地市间划拨")</f>
        <v>0</v>
      </c>
      <c r="I31" s="66">
        <f>SUM(SUMIFS(卡片数据!$O:$O,卡片数据!$B:$B,"生产管理用工器具",卡片数据!$N:$N,{"拆分合并重分类","地市内划拨"}))</f>
        <v>0</v>
      </c>
      <c r="J31" s="85">
        <f t="shared" si="24"/>
        <v>0</v>
      </c>
      <c r="K31" s="66">
        <f>SUM(SUMIFS(卡片数据!$R:$R,卡片数据!$B:$B,"生产管理用工器具",卡片数据!$Q:$Q,{"报废"}))</f>
        <v>0</v>
      </c>
      <c r="L31" s="66">
        <f>SUM(SUMIFS(卡片数据!$R:$R,卡片数据!$B:$B,"生产管理用工器具",卡片数据!$Q:$Q,{"出售"}))</f>
        <v>0</v>
      </c>
      <c r="M31" s="66">
        <f>SUM(SUMIFS(卡片数据!$R:$R,卡片数据!$B:$B,"生产管理用工器具",卡片数据!$Q:$Q,{"三供一业无偿划出"}))</f>
        <v>0</v>
      </c>
      <c r="N31" s="66">
        <f>SUMIFS(卡片数据!$R:$R,卡片数据!$B:$B,"生产管理用工器具",卡片数据!$Q:$Q,"子分公司间划转资产")</f>
        <v>0</v>
      </c>
      <c r="O31" s="66">
        <f>SUMIFS(卡片数据!$R:$R,卡片数据!$B:$B,"生产管理用工器具",卡片数据!$Q:$Q,"省外划拨")</f>
        <v>0</v>
      </c>
      <c r="P31" s="66">
        <f>SUMIFS(卡片数据!$R:$R,卡片数据!$B:$B,"生产管理用工器具",卡片数据!$Q:$Q,"省内地市间划拨")</f>
        <v>0</v>
      </c>
      <c r="Q31" s="66">
        <f>SUM(SUMIFS(卡片数据!$R:$R,卡片数据!$B:$B,"生产管理用工器具",卡片数据!$Q:$Q,{"拆分合并重分类","地市内划拨"}))</f>
        <v>0</v>
      </c>
      <c r="R31" s="66">
        <f>SUMIFS(卡片数据!J:J,卡片数据!$B:$B,"生产管理用工器具")</f>
        <v>10215003.52</v>
      </c>
      <c r="S31" s="66">
        <f>SUMIFS(卡片数据!K:K,卡片数据!$B:$B,"生产管理用工器具")</f>
        <v>8417790.7300000004</v>
      </c>
      <c r="T31" s="88">
        <f t="shared" si="8"/>
        <v>0</v>
      </c>
      <c r="U31" s="85">
        <f t="shared" si="7"/>
        <v>0</v>
      </c>
      <c r="V31" s="66">
        <f>SUMIFS(卡片数据!I:I,卡片数据!$B:$B,"生产管理用工器具")</f>
        <v>8621124.4499999993</v>
      </c>
      <c r="W31" s="85">
        <f t="shared" si="25"/>
        <v>223563.75</v>
      </c>
      <c r="X31" s="66">
        <f>SUM(SUMIFS(卡片数据!$P:$P,卡片数据!$B:$B,"生产管理用工器具",卡片数据!$N:$N,{"工程项目","零购项目","用户资产","盘盈资产","非货币性交易","捐赠增加"}))</f>
        <v>0</v>
      </c>
      <c r="Y31" s="91">
        <f>SUMIFS(卡片数据!M:M,卡片数据!$B:$B,"生产管理用工器具")</f>
        <v>223563.75</v>
      </c>
      <c r="Z31" s="66">
        <f>SUMIFS(卡片数据!$P:$P,卡片数据!$B:$B,"生产管理用工器具",卡片数据!$N:$N,"子分公司间划转资产")</f>
        <v>0</v>
      </c>
      <c r="AA31" s="66">
        <f>SUMIFS(卡片数据!$P:$P,卡片数据!$B:$B,"生产管理用工器具",卡片数据!$N:$N,"省外划拨")</f>
        <v>0</v>
      </c>
      <c r="AB31" s="66">
        <f>SUMIFS(卡片数据!$P:$P,卡片数据!$B:$B,"生产管理用工器具",卡片数据!$N:$N,"省内地市间划拨")</f>
        <v>0</v>
      </c>
      <c r="AC31" s="66">
        <f>SUM(SUMIFS(卡片数据!$P:$P,卡片数据!$B:$B,"生产管理用工器具",卡片数据!$N:$N,{"拆分合并重分类","地市内划拨"}))</f>
        <v>0</v>
      </c>
      <c r="AD31" s="85">
        <f t="shared" si="26"/>
        <v>0</v>
      </c>
      <c r="AE31" s="66">
        <f>SUM(SUMIFS(卡片数据!$S:$S,卡片数据!$B:$B,"生产管理用工器具",卡片数据!$Q:$Q,{"报废"}))</f>
        <v>0</v>
      </c>
      <c r="AF31" s="66">
        <f>SUM(SUMIFS(卡片数据!$S:$S,卡片数据!$B:$B,"生产管理用工器具",卡片数据!$Q:$Q,{"出售"}))</f>
        <v>0</v>
      </c>
      <c r="AG31" s="66">
        <f>SUM(SUMIFS(卡片数据!$S:$S,卡片数据!$B:$B,"生产管理用工器具",卡片数据!$Q:$Q,{"三供一业无偿划出"}))</f>
        <v>0</v>
      </c>
      <c r="AH31" s="66">
        <f>SUMIFS(卡片数据!$S:$S,卡片数据!$B:$B,"生产管理用工器具",卡片数据!$Q:$Q,"子分公司间划转资产")</f>
        <v>0</v>
      </c>
      <c r="AI31" s="66">
        <f>SUMIFS(卡片数据!$S:$S,卡片数据!$B:$B,"生产管理用工器具",卡片数据!$Q:$Q,"省外划拨")</f>
        <v>0</v>
      </c>
      <c r="AJ31" s="66">
        <f>SUMIFS(卡片数据!$S:$S,卡片数据!$B:$B,"生产管理用工器具",卡片数据!$Q:$Q,"省内地市间划拨")</f>
        <v>0</v>
      </c>
      <c r="AK31" s="66">
        <f>SUM(SUMIFS(卡片数据!$S:$S,卡片数据!$B:$B,"生产管理用工器具",卡片数据!$Q:$Q,{"拆分合并重分类","地市内划拨"}))</f>
        <v>0</v>
      </c>
      <c r="AL31" s="66">
        <f>SUMIFS(卡片数据!L:L,卡片数据!$B:$B,"生产管理用工器具")</f>
        <v>8844688.1999999993</v>
      </c>
      <c r="AM31" s="85">
        <f t="shared" si="4"/>
        <v>0</v>
      </c>
      <c r="AN31" s="85">
        <f t="shared" si="5"/>
        <v>0</v>
      </c>
      <c r="AO31" s="66">
        <f>SUMIFS(卡片数据!W:W,卡片数据!$B:$B,"生产管理用工器具")</f>
        <v>8545226.6099999994</v>
      </c>
      <c r="AP31" s="66">
        <f>SUMIFS(卡片数据!X:X,卡片数据!$B:$B,"生产管理用工器具")</f>
        <v>9107745.0399999991</v>
      </c>
    </row>
    <row r="32" spans="1:42" s="79" customFormat="1" ht="13">
      <c r="A32" s="72" t="s">
        <v>42</v>
      </c>
      <c r="B32" s="66">
        <f>SUMIFS(卡片数据!G:G,卡片数据!$B:$B,"运输设备")</f>
        <v>15418237.289999999</v>
      </c>
      <c r="C32" s="66">
        <f>SUMIFS(卡片数据!H:H,卡片数据!$B:$B,"运输设备")</f>
        <v>15294711.289999999</v>
      </c>
      <c r="D32" s="85">
        <f t="shared" si="23"/>
        <v>86637.36</v>
      </c>
      <c r="E32" s="66">
        <f>SUM(SUMIFS(卡片数据!$O:$O,卡片数据!$B:$B,"运输设备",卡片数据!$N:$N,{"工程项目","零购项目","用户资产","盘盈资产","非货币性交易","捐赠增加"}))</f>
        <v>86637.36</v>
      </c>
      <c r="F32" s="66">
        <f>SUMIFS(卡片数据!$O:$O,卡片数据!$B:$B,"运输设备",卡片数据!$N:$N,"子分公司间划转资产")</f>
        <v>0</v>
      </c>
      <c r="G32" s="66">
        <f>SUMIFS(卡片数据!$O:$O,卡片数据!$B:$B,"运输设备",卡片数据!$N:$N,"省外划拨")</f>
        <v>0</v>
      </c>
      <c r="H32" s="66">
        <f>SUMIFS(卡片数据!$O:$O,卡片数据!$B:$B,"运输设备",卡片数据!$N:$N,"省内地市间划拨")</f>
        <v>0</v>
      </c>
      <c r="I32" s="66">
        <f>SUM(SUMIFS(卡片数据!$O:$O,卡片数据!$B:$B,"运输设备",卡片数据!$N:$N,{"拆分合并重分类","地市内划拨"}))</f>
        <v>0</v>
      </c>
      <c r="J32" s="85">
        <f t="shared" si="24"/>
        <v>1409319</v>
      </c>
      <c r="K32" s="66">
        <f>SUM(SUMIFS(卡片数据!$R:$R,卡片数据!$B:$B,"运输设备",卡片数据!$Q:$Q,{"报废"}))</f>
        <v>1409319</v>
      </c>
      <c r="L32" s="66">
        <f>SUM(SUMIFS(卡片数据!$R:$R,卡片数据!$B:$B,"运输设备",卡片数据!$Q:$Q,{"出售"}))</f>
        <v>0</v>
      </c>
      <c r="M32" s="66">
        <f>SUM(SUMIFS(卡片数据!$R:$R,卡片数据!$B:$B,"运输设备",卡片数据!$Q:$Q,{"三供一业无偿划出"}))</f>
        <v>0</v>
      </c>
      <c r="N32" s="66">
        <f>SUMIFS(卡片数据!$R:$R,卡片数据!$B:$B,"运输设备",卡片数据!$Q:$Q,"子分公司间划转资产")</f>
        <v>0</v>
      </c>
      <c r="O32" s="66">
        <f>SUMIFS(卡片数据!$R:$R,卡片数据!$B:$B,"运输设备",卡片数据!$Q:$Q,"省外划拨")</f>
        <v>0</v>
      </c>
      <c r="P32" s="66">
        <f>SUMIFS(卡片数据!$R:$R,卡片数据!$B:$B,"运输设备",卡片数据!$Q:$Q,"省内地市间划拨")</f>
        <v>0</v>
      </c>
      <c r="Q32" s="66">
        <f>SUM(SUMIFS(卡片数据!$R:$R,卡片数据!$B:$B,"运输设备",卡片数据!$Q:$Q,{"拆分合并重分类","地市内划拨"}))</f>
        <v>0</v>
      </c>
      <c r="R32" s="66">
        <f>SUMIFS(卡片数据!J:J,卡片数据!$B:$B,"运输设备")</f>
        <v>14095555.65</v>
      </c>
      <c r="S32" s="66">
        <f>SUMIFS(卡片数据!K:K,卡片数据!$B:$B,"运输设备")</f>
        <v>13797292.289999999</v>
      </c>
      <c r="T32" s="88">
        <f t="shared" si="8"/>
        <v>0</v>
      </c>
      <c r="U32" s="85">
        <f t="shared" si="7"/>
        <v>0</v>
      </c>
      <c r="V32" s="66">
        <f>SUMIFS(卡片数据!I:I,卡片数据!$B:$B,"运输设备")</f>
        <v>14621710.529999999</v>
      </c>
      <c r="W32" s="85">
        <f t="shared" si="25"/>
        <v>-57273.3</v>
      </c>
      <c r="X32" s="66">
        <f>SUM(SUMIFS(卡片数据!$P:$P,卡片数据!$B:$B,"运输设备",卡片数据!$N:$N,{"工程项目","零购项目","用户资产","盘盈资产","非货币性交易","捐赠增加"}))</f>
        <v>0</v>
      </c>
      <c r="Y32" s="91">
        <f>SUMIFS(卡片数据!M:M,卡片数据!$B:$B,"运输设备")</f>
        <v>-57273.3</v>
      </c>
      <c r="Z32" s="66">
        <f>SUMIFS(卡片数据!$P:$P,卡片数据!$B:$B,"运输设备",卡片数据!$N:$N,"子分公司间划转资产")</f>
        <v>0</v>
      </c>
      <c r="AA32" s="66">
        <f>SUMIFS(卡片数据!$P:$P,卡片数据!$B:$B,"运输设备",卡片数据!$N:$N,"省外划拨")</f>
        <v>0</v>
      </c>
      <c r="AB32" s="66">
        <f>SUMIFS(卡片数据!$P:$P,卡片数据!$B:$B,"运输设备",卡片数据!$N:$N,"省内地市间划拨")</f>
        <v>0</v>
      </c>
      <c r="AC32" s="66">
        <f>SUM(SUMIFS(卡片数据!$P:$P,卡片数据!$B:$B,"运输设备",卡片数据!$N:$N,{"拆分合并重分类","地市内划拨"}))</f>
        <v>0</v>
      </c>
      <c r="AD32" s="85">
        <f t="shared" si="26"/>
        <v>1338853.05</v>
      </c>
      <c r="AE32" s="66">
        <f>SUM(SUMIFS(卡片数据!$S:$S,卡片数据!$B:$B,"运输设备",卡片数据!$Q:$Q,{"报废"}))</f>
        <v>1338853.05</v>
      </c>
      <c r="AF32" s="66">
        <f>SUM(SUMIFS(卡片数据!$S:$S,卡片数据!$B:$B,"运输设备",卡片数据!$Q:$Q,{"出售"}))</f>
        <v>0</v>
      </c>
      <c r="AG32" s="66">
        <f>SUM(SUMIFS(卡片数据!$S:$S,卡片数据!$B:$B,"运输设备",卡片数据!$Q:$Q,{"三供一业无偿划出"}))</f>
        <v>0</v>
      </c>
      <c r="AH32" s="66">
        <f>SUMIFS(卡片数据!$S:$S,卡片数据!$B:$B,"运输设备",卡片数据!$Q:$Q,"子分公司间划转资产")</f>
        <v>0</v>
      </c>
      <c r="AI32" s="66">
        <f>SUMIFS(卡片数据!$S:$S,卡片数据!$B:$B,"运输设备",卡片数据!$Q:$Q,"省外划拨")</f>
        <v>0</v>
      </c>
      <c r="AJ32" s="66">
        <f>SUMIFS(卡片数据!$S:$S,卡片数据!$B:$B,"运输设备",卡片数据!$Q:$Q,"省内地市间划拨")</f>
        <v>0</v>
      </c>
      <c r="AK32" s="66">
        <f>SUM(SUMIFS(卡片数据!$S:$S,卡片数据!$B:$B,"运输设备",卡片数据!$Q:$Q,{"拆分合并重分类","地市内划拨"}))</f>
        <v>0</v>
      </c>
      <c r="AL32" s="66">
        <f>SUMIFS(卡片数据!L:L,卡片数据!$B:$B,"运输设备")</f>
        <v>13225584.18</v>
      </c>
      <c r="AM32" s="85">
        <f t="shared" si="4"/>
        <v>0</v>
      </c>
      <c r="AN32" s="85">
        <f t="shared" si="5"/>
        <v>0</v>
      </c>
      <c r="AO32" s="66">
        <f>SUMIFS(卡片数据!W:W,卡片数据!$B:$B,"运输设备")</f>
        <v>13920818.289999999</v>
      </c>
      <c r="AP32" s="66">
        <f>SUMIFS(卡片数据!X:X,卡片数据!$B:$B,"运输设备")</f>
        <v>13920818.289999999</v>
      </c>
    </row>
    <row r="33" spans="1:42" s="79" customFormat="1" ht="13">
      <c r="A33" s="72" t="s">
        <v>43</v>
      </c>
      <c r="B33" s="66">
        <f>SUMIFS(卡片数据!G:G,卡片数据!$B:$B,"辅助生产用设备及器具")</f>
        <v>1389145.92</v>
      </c>
      <c r="C33" s="66">
        <f>SUMIFS(卡片数据!H:H,卡片数据!$B:$B,"辅助生产用设备及器具")</f>
        <v>961963.5</v>
      </c>
      <c r="D33" s="85">
        <f t="shared" si="23"/>
        <v>0</v>
      </c>
      <c r="E33" s="66">
        <f>SUM(SUMIFS(卡片数据!$O:$O,卡片数据!$B:$B,"辅助生产用设备及器具",卡片数据!$N:$N,{"工程项目","零购项目","用户资产","盘盈资产","非货币性交易","捐赠增加"}))</f>
        <v>0</v>
      </c>
      <c r="F33" s="66">
        <f>SUMIFS(卡片数据!$O:$O,卡片数据!$B:$B,"辅助生产用设备及器具",卡片数据!$N:$N,"子分公司间划转资产")</f>
        <v>0</v>
      </c>
      <c r="G33" s="66">
        <f>SUMIFS(卡片数据!$O:$O,卡片数据!$B:$B,"辅助生产用设备及器具",卡片数据!$N:$N,"省外划拨")</f>
        <v>0</v>
      </c>
      <c r="H33" s="66">
        <f>SUMIFS(卡片数据!$O:$O,卡片数据!$B:$B,"辅助生产用设备及器具",卡片数据!$N:$N,"省内地市间划拨")</f>
        <v>0</v>
      </c>
      <c r="I33" s="66">
        <f>SUM(SUMIFS(卡片数据!$O:$O,卡片数据!$B:$B,"辅助生产用设备及器具",卡片数据!$N:$N,{"拆分合并重分类","地市内划拨"}))</f>
        <v>0</v>
      </c>
      <c r="J33" s="85">
        <f t="shared" si="24"/>
        <v>0</v>
      </c>
      <c r="K33" s="66">
        <f>SUM(SUMIFS(卡片数据!$R:$R,卡片数据!$B:$B,"辅助生产用设备及器具",卡片数据!$Q:$Q,{"报废"}))</f>
        <v>0</v>
      </c>
      <c r="L33" s="66">
        <f>SUM(SUMIFS(卡片数据!$R:$R,卡片数据!$B:$B,"辅助生产用设备及器具",卡片数据!$Q:$Q,{"出售"}))</f>
        <v>0</v>
      </c>
      <c r="M33" s="66">
        <f>SUM(SUMIFS(卡片数据!$R:$R,卡片数据!$B:$B,"辅助生产用设备及器具",卡片数据!$Q:$Q,{"三供一业无偿划出"}))</f>
        <v>0</v>
      </c>
      <c r="N33" s="66">
        <f>SUMIFS(卡片数据!$R:$R,卡片数据!$B:$B,"辅助生产用设备及器具",卡片数据!$Q:$Q,"子分公司间划转资产")</f>
        <v>0</v>
      </c>
      <c r="O33" s="66">
        <f>SUMIFS(卡片数据!$R:$R,卡片数据!$B:$B,"辅助生产用设备及器具",卡片数据!$Q:$Q,"省外划拨")</f>
        <v>0</v>
      </c>
      <c r="P33" s="66">
        <f>SUMIFS(卡片数据!$R:$R,卡片数据!$B:$B,"辅助生产用设备及器具",卡片数据!$Q:$Q,"省内地市间划拨")</f>
        <v>0</v>
      </c>
      <c r="Q33" s="66">
        <f>SUM(SUMIFS(卡片数据!$R:$R,卡片数据!$B:$B,"辅助生产用设备及器具",卡片数据!$Q:$Q,{"拆分合并重分类","地市内划拨"}))</f>
        <v>0</v>
      </c>
      <c r="R33" s="66">
        <f>SUMIFS(卡片数据!J:J,卡片数据!$B:$B,"辅助生产用设备及器具")</f>
        <v>1389145.92</v>
      </c>
      <c r="S33" s="66">
        <f>SUMIFS(卡片数据!K:K,卡片数据!$B:$B,"辅助生产用设备及器具")</f>
        <v>1352756.5</v>
      </c>
      <c r="T33" s="88">
        <f t="shared" si="8"/>
        <v>0</v>
      </c>
      <c r="U33" s="85">
        <f t="shared" si="7"/>
        <v>0</v>
      </c>
      <c r="V33" s="66">
        <f>SUMIFS(卡片数据!I:I,卡片数据!$B:$B,"辅助生产用设备及器具")</f>
        <v>1231668.76</v>
      </c>
      <c r="W33" s="85">
        <f t="shared" si="25"/>
        <v>86691.81</v>
      </c>
      <c r="X33" s="66">
        <f>SUM(SUMIFS(卡片数据!$P:$P,卡片数据!$B:$B,"辅助生产用设备及器具",卡片数据!$N:$N,{"工程项目","零购项目","用户资产","盘盈资产","非货币性交易","捐赠增加"}))</f>
        <v>0</v>
      </c>
      <c r="Y33" s="91">
        <f>SUMIFS(卡片数据!M:M,卡片数据!$B:$B,"辅助生产用设备及器具")</f>
        <v>86691.81</v>
      </c>
      <c r="Z33" s="66">
        <f>SUMIFS(卡片数据!$P:$P,卡片数据!$B:$B,"辅助生产用设备及器具",卡片数据!$N:$N,"子分公司间划转资产")</f>
        <v>0</v>
      </c>
      <c r="AA33" s="66">
        <f>SUMIFS(卡片数据!$P:$P,卡片数据!$B:$B,"辅助生产用设备及器具",卡片数据!$N:$N,"省外划拨")</f>
        <v>0</v>
      </c>
      <c r="AB33" s="66">
        <f>SUMIFS(卡片数据!$P:$P,卡片数据!$B:$B,"辅助生产用设备及器具",卡片数据!$N:$N,"省内地市间划拨")</f>
        <v>0</v>
      </c>
      <c r="AC33" s="66">
        <f>SUM(SUMIFS(卡片数据!$P:$P,卡片数据!$B:$B,"辅助生产用设备及器具",卡片数据!$N:$N,{"拆分合并重分类","地市内划拨"}))</f>
        <v>0</v>
      </c>
      <c r="AD33" s="85">
        <f t="shared" si="26"/>
        <v>0</v>
      </c>
      <c r="AE33" s="66">
        <f>SUM(SUMIFS(卡片数据!$S:$S,卡片数据!$B:$B,"辅助生产用设备及器具",卡片数据!$Q:$Q,{"报废"}))</f>
        <v>0</v>
      </c>
      <c r="AF33" s="66">
        <f>SUM(SUMIFS(卡片数据!$S:$S,卡片数据!$B:$B,"辅助生产用设备及器具",卡片数据!$Q:$Q,{"出售"}))</f>
        <v>0</v>
      </c>
      <c r="AG33" s="66">
        <f>SUM(SUMIFS(卡片数据!$S:$S,卡片数据!$B:$B,"辅助生产用设备及器具",卡片数据!$Q:$Q,{"三供一业无偿划出"}))</f>
        <v>0</v>
      </c>
      <c r="AH33" s="66">
        <f>SUMIFS(卡片数据!$S:$S,卡片数据!$B:$B,"辅助生产用设备及器具",卡片数据!$Q:$Q,"子分公司间划转资产")</f>
        <v>0</v>
      </c>
      <c r="AI33" s="66">
        <f>SUMIFS(卡片数据!$S:$S,卡片数据!$B:$B,"辅助生产用设备及器具",卡片数据!$Q:$Q,"省外划拨")</f>
        <v>0</v>
      </c>
      <c r="AJ33" s="66">
        <f>SUMIFS(卡片数据!$S:$S,卡片数据!$B:$B,"辅助生产用设备及器具",卡片数据!$Q:$Q,"省内地市间划拨")</f>
        <v>0</v>
      </c>
      <c r="AK33" s="66">
        <f>SUM(SUMIFS(卡片数据!$S:$S,卡片数据!$B:$B,"辅助生产用设备及器具",卡片数据!$Q:$Q,{"拆分合并重分类","地市内划拨"}))</f>
        <v>0</v>
      </c>
      <c r="AL33" s="66">
        <f>SUMIFS(卡片数据!L:L,卡片数据!$B:$B,"辅助生产用设备及器具")</f>
        <v>1318360.57</v>
      </c>
      <c r="AM33" s="85">
        <f t="shared" si="4"/>
        <v>0</v>
      </c>
      <c r="AN33" s="85">
        <f t="shared" si="5"/>
        <v>0</v>
      </c>
      <c r="AO33" s="66">
        <f>SUMIFS(卡片数据!W:W,卡片数据!$B:$B,"辅助生产用设备及器具")</f>
        <v>1378824.88</v>
      </c>
      <c r="AP33" s="66">
        <f>SUMIFS(卡片数据!X:X,卡片数据!$B:$B,"辅助生产用设备及器具")</f>
        <v>1378824.88</v>
      </c>
    </row>
    <row r="34" spans="1:42" s="79" customFormat="1" ht="13">
      <c r="A34" s="72" t="s">
        <v>44</v>
      </c>
      <c r="B34" s="66">
        <f>SUMIFS(卡片数据!G:G,卡片数据!$B:$B,"房屋")</f>
        <v>136589874.65000001</v>
      </c>
      <c r="C34" s="66">
        <f>SUMIFS(卡片数据!H:H,卡片数据!$B:$B,"房屋")</f>
        <v>34898991.039999999</v>
      </c>
      <c r="D34" s="85">
        <f t="shared" si="23"/>
        <v>0</v>
      </c>
      <c r="E34" s="66">
        <f>SUM(SUMIFS(卡片数据!$O:$O,卡片数据!$B:$B,"房屋",卡片数据!$N:$N,{"工程项目","零购项目","用户资产","盘盈资产","非货币性交易","捐赠增加"}))</f>
        <v>0</v>
      </c>
      <c r="F34" s="66">
        <f>SUMIFS(卡片数据!$O:$O,卡片数据!$B:$B,"房屋",卡片数据!$N:$N,"子分公司间划转资产")</f>
        <v>0</v>
      </c>
      <c r="G34" s="66">
        <f>SUMIFS(卡片数据!$O:$O,卡片数据!$B:$B,"房屋",卡片数据!$N:$N,"省外划拨")</f>
        <v>0</v>
      </c>
      <c r="H34" s="66">
        <f>SUMIFS(卡片数据!$O:$O,卡片数据!$B:$B,"房屋",卡片数据!$N:$N,"省内地市间划拨")</f>
        <v>0</v>
      </c>
      <c r="I34" s="66">
        <f>SUM(SUMIFS(卡片数据!$O:$O,卡片数据!$B:$B,"房屋",卡片数据!$N:$N,{"拆分合并重分类","地市内划拨"}))</f>
        <v>0</v>
      </c>
      <c r="J34" s="85">
        <f t="shared" si="24"/>
        <v>0</v>
      </c>
      <c r="K34" s="66">
        <f>SUM(SUMIFS(卡片数据!$R:$R,卡片数据!$B:$B,"房屋",卡片数据!$Q:$Q,{"报废"}))</f>
        <v>0</v>
      </c>
      <c r="L34" s="66">
        <f>SUM(SUMIFS(卡片数据!$R:$R,卡片数据!$B:$B,"房屋",卡片数据!$Q:$Q,{"出售"}))</f>
        <v>0</v>
      </c>
      <c r="M34" s="66">
        <f>SUM(SUMIFS(卡片数据!$R:$R,卡片数据!$B:$B,"房屋",卡片数据!$Q:$Q,{"三供一业无偿划出"}))</f>
        <v>0</v>
      </c>
      <c r="N34" s="66">
        <f>SUMIFS(卡片数据!$R:$R,卡片数据!$B:$B,"房屋",卡片数据!$Q:$Q,"子分公司间划转资产")</f>
        <v>0</v>
      </c>
      <c r="O34" s="66">
        <f>SUMIFS(卡片数据!$R:$R,卡片数据!$B:$B,"房屋",卡片数据!$Q:$Q,"省外划拨")</f>
        <v>0</v>
      </c>
      <c r="P34" s="66">
        <f>SUMIFS(卡片数据!$R:$R,卡片数据!$B:$B,"房屋",卡片数据!$Q:$Q,"省内地市间划拨")</f>
        <v>0</v>
      </c>
      <c r="Q34" s="66">
        <f>SUM(SUMIFS(卡片数据!$R:$R,卡片数据!$B:$B,"房屋",卡片数据!$Q:$Q,{"拆分合并重分类","地市内划拨"}))</f>
        <v>0</v>
      </c>
      <c r="R34" s="66">
        <f>SUMIFS(卡片数据!J:J,卡片数据!$B:$B,"房屋")</f>
        <v>136589874.65000001</v>
      </c>
      <c r="S34" s="66">
        <f>SUMIFS(卡片数据!K:K,卡片数据!$B:$B,"房屋")</f>
        <v>35421329.039999999</v>
      </c>
      <c r="T34" s="88">
        <f t="shared" si="8"/>
        <v>0</v>
      </c>
      <c r="U34" s="85">
        <f t="shared" si="7"/>
        <v>0</v>
      </c>
      <c r="V34" s="66">
        <f>SUMIFS(卡片数据!I:I,卡片数据!$B:$B,"房屋")</f>
        <v>75656333</v>
      </c>
      <c r="W34" s="85">
        <f t="shared" si="25"/>
        <v>3820418.06</v>
      </c>
      <c r="X34" s="66">
        <f>SUM(SUMIFS(卡片数据!$P:$P,卡片数据!$B:$B,"房屋",卡片数据!$N:$N,{"工程项目","零购项目","用户资产","盘盈资产","非货币性交易","捐赠增加"}))</f>
        <v>0</v>
      </c>
      <c r="Y34" s="91">
        <f>SUMIFS(卡片数据!M:M,卡片数据!$B:$B,"房屋")</f>
        <v>3820418.06</v>
      </c>
      <c r="Z34" s="66">
        <f>SUMIFS(卡片数据!$P:$P,卡片数据!$B:$B,"房屋",卡片数据!$N:$N,"子分公司间划转资产")</f>
        <v>0</v>
      </c>
      <c r="AA34" s="66">
        <f>SUMIFS(卡片数据!$P:$P,卡片数据!$B:$B,"房屋",卡片数据!$N:$N,"省外划拨")</f>
        <v>0</v>
      </c>
      <c r="AB34" s="66">
        <f>SUMIFS(卡片数据!$P:$P,卡片数据!$B:$B,"房屋",卡片数据!$N:$N,"省内地市间划拨")</f>
        <v>0</v>
      </c>
      <c r="AC34" s="66">
        <f>SUM(SUMIFS(卡片数据!$P:$P,卡片数据!$B:$B,"房屋",卡片数据!$N:$N,{"拆分合并重分类","地市内划拨"}))</f>
        <v>0</v>
      </c>
      <c r="AD34" s="85">
        <f t="shared" si="26"/>
        <v>0</v>
      </c>
      <c r="AE34" s="66">
        <f>SUM(SUMIFS(卡片数据!$S:$S,卡片数据!$B:$B,"房屋",卡片数据!$Q:$Q,{"报废"}))</f>
        <v>0</v>
      </c>
      <c r="AF34" s="66">
        <f>SUM(SUMIFS(卡片数据!$S:$S,卡片数据!$B:$B,"房屋",卡片数据!$Q:$Q,{"出售"}))</f>
        <v>0</v>
      </c>
      <c r="AG34" s="66">
        <f>SUM(SUMIFS(卡片数据!$S:$S,卡片数据!$B:$B,"房屋",卡片数据!$Q:$Q,{"三供一业无偿划出"}))</f>
        <v>0</v>
      </c>
      <c r="AH34" s="66">
        <f>SUMIFS(卡片数据!$S:$S,卡片数据!$B:$B,"房屋",卡片数据!$Q:$Q,"子分公司间划转资产")</f>
        <v>0</v>
      </c>
      <c r="AI34" s="66">
        <f>SUMIFS(卡片数据!$S:$S,卡片数据!$B:$B,"房屋",卡片数据!$Q:$Q,"省外划拨")</f>
        <v>0</v>
      </c>
      <c r="AJ34" s="66">
        <f>SUMIFS(卡片数据!$S:$S,卡片数据!$B:$B,"房屋",卡片数据!$Q:$Q,"省内地市间划拨")</f>
        <v>0</v>
      </c>
      <c r="AK34" s="66">
        <f>SUM(SUMIFS(卡片数据!$S:$S,卡片数据!$B:$B,"房屋",卡片数据!$Q:$Q,{"拆分合并重分类","地市内划拨"}))</f>
        <v>0</v>
      </c>
      <c r="AL34" s="66">
        <f>SUMIFS(卡片数据!L:L,卡片数据!$B:$B,"房屋")</f>
        <v>79476751.060000002</v>
      </c>
      <c r="AM34" s="85">
        <f t="shared" si="4"/>
        <v>0</v>
      </c>
      <c r="AN34" s="85">
        <f t="shared" si="5"/>
        <v>0</v>
      </c>
      <c r="AO34" s="66">
        <f>SUMIFS(卡片数据!W:W,卡片数据!$B:$B,"房屋")</f>
        <v>36526782.670000002</v>
      </c>
      <c r="AP34" s="66">
        <f>SUMIFS(卡片数据!X:X,卡片数据!$B:$B,"房屋")</f>
        <v>37623959.07</v>
      </c>
    </row>
    <row r="35" spans="1:42" s="79" customFormat="1" ht="13">
      <c r="A35" s="72" t="s">
        <v>45</v>
      </c>
      <c r="B35" s="66">
        <f>SUMIFS(卡片数据!G:G,卡片数据!$B:$B,"建筑物")</f>
        <v>86941920.079999998</v>
      </c>
      <c r="C35" s="66">
        <f>SUMIFS(卡片数据!H:H,卡片数据!$B:$B,"建筑物")</f>
        <v>18828069.350000001</v>
      </c>
      <c r="D35" s="85">
        <f t="shared" si="23"/>
        <v>-648210.12</v>
      </c>
      <c r="E35" s="66">
        <f>SUM(SUMIFS(卡片数据!$O:$O,卡片数据!$B:$B,"建筑物",卡片数据!$N:$N,{"工程项目","零购项目","用户资产","盘盈资产","非货币性交易","捐赠增加"}))</f>
        <v>0</v>
      </c>
      <c r="F35" s="66">
        <f>SUMIFS(卡片数据!$O:$O,卡片数据!$B:$B,"建筑物",卡片数据!$N:$N,"子分公司间划转资产")</f>
        <v>0</v>
      </c>
      <c r="G35" s="66">
        <f>SUMIFS(卡片数据!$O:$O,卡片数据!$B:$B,"建筑物",卡片数据!$N:$N,"省外划拨")</f>
        <v>0</v>
      </c>
      <c r="H35" s="66">
        <f>SUMIFS(卡片数据!$O:$O,卡片数据!$B:$B,"建筑物",卡片数据!$N:$N,"省内地市间划拨")</f>
        <v>0</v>
      </c>
      <c r="I35" s="66">
        <f>SUM(SUMIFS(卡片数据!$O:$O,卡片数据!$B:$B,"建筑物",卡片数据!$N:$N,{"拆分合并重分类","地市内划拨"}))</f>
        <v>-648210.12</v>
      </c>
      <c r="J35" s="85">
        <f t="shared" si="24"/>
        <v>0</v>
      </c>
      <c r="K35" s="66">
        <f>SUM(SUMIFS(卡片数据!$R:$R,卡片数据!$B:$B,"建筑物",卡片数据!$Q:$Q,{"报废"}))</f>
        <v>0</v>
      </c>
      <c r="L35" s="66">
        <f>SUM(SUMIFS(卡片数据!$R:$R,卡片数据!$B:$B,"建筑物",卡片数据!$Q:$Q,{"出售"}))</f>
        <v>0</v>
      </c>
      <c r="M35" s="66">
        <f>SUM(SUMIFS(卡片数据!$R:$R,卡片数据!$B:$B,"建筑物",卡片数据!$Q:$Q,{"三供一业无偿划出"}))</f>
        <v>0</v>
      </c>
      <c r="N35" s="66">
        <f>SUMIFS(卡片数据!$R:$R,卡片数据!$B:$B,"建筑物",卡片数据!$Q:$Q,"子分公司间划转资产")</f>
        <v>0</v>
      </c>
      <c r="O35" s="66">
        <f>SUMIFS(卡片数据!$R:$R,卡片数据!$B:$B,"建筑物",卡片数据!$Q:$Q,"省外划拨")</f>
        <v>0</v>
      </c>
      <c r="P35" s="66">
        <f>SUMIFS(卡片数据!$R:$R,卡片数据!$B:$B,"建筑物",卡片数据!$Q:$Q,"省内地市间划拨")</f>
        <v>0</v>
      </c>
      <c r="Q35" s="66">
        <f>SUM(SUMIFS(卡片数据!$R:$R,卡片数据!$B:$B,"建筑物",卡片数据!$Q:$Q,{"拆分合并重分类","地市内划拨"}))</f>
        <v>0</v>
      </c>
      <c r="R35" s="66">
        <f>SUMIFS(卡片数据!J:J,卡片数据!$B:$B,"建筑物")</f>
        <v>86293709.959999993</v>
      </c>
      <c r="S35" s="66">
        <f>SUMIFS(卡片数据!K:K,卡片数据!$B:$B,"建筑物")</f>
        <v>21831887.82</v>
      </c>
      <c r="T35" s="88">
        <f t="shared" si="8"/>
        <v>0</v>
      </c>
      <c r="U35" s="85">
        <f t="shared" si="7"/>
        <v>-648210.12</v>
      </c>
      <c r="V35" s="66">
        <f>SUMIFS(卡片数据!I:I,卡片数据!$B:$B,"建筑物")</f>
        <v>57047358.159999996</v>
      </c>
      <c r="W35" s="85">
        <f t="shared" si="25"/>
        <v>3934846.96</v>
      </c>
      <c r="X35" s="66">
        <f>SUM(SUMIFS(卡片数据!$P:$P,卡片数据!$B:$B,"建筑物",卡片数据!$N:$N,{"工程项目","零购项目","用户资产","盘盈资产","非货币性交易","捐赠增加"}))</f>
        <v>0</v>
      </c>
      <c r="Y35" s="91">
        <f>SUMIFS(卡片数据!M:M,卡片数据!$B:$B,"建筑物")</f>
        <v>4328142.04</v>
      </c>
      <c r="Z35" s="66">
        <f>SUMIFS(卡片数据!$P:$P,卡片数据!$B:$B,"建筑物",卡片数据!$N:$N,"子分公司间划转资产")</f>
        <v>0</v>
      </c>
      <c r="AA35" s="66">
        <f>SUMIFS(卡片数据!$P:$P,卡片数据!$B:$B,"建筑物",卡片数据!$N:$N,"省外划拨")</f>
        <v>0</v>
      </c>
      <c r="AB35" s="66">
        <f>SUMIFS(卡片数据!$P:$P,卡片数据!$B:$B,"建筑物",卡片数据!$N:$N,"省内地市间划拨")</f>
        <v>0</v>
      </c>
      <c r="AC35" s="66">
        <f>SUM(SUMIFS(卡片数据!$P:$P,卡片数据!$B:$B,"建筑物",卡片数据!$N:$N,{"拆分合并重分类","地市内划拨"}))</f>
        <v>-393295.08</v>
      </c>
      <c r="AD35" s="85">
        <f t="shared" si="26"/>
        <v>0</v>
      </c>
      <c r="AE35" s="66">
        <f>SUM(SUMIFS(卡片数据!$S:$S,卡片数据!$B:$B,"建筑物",卡片数据!$Q:$Q,{"报废"}))</f>
        <v>0</v>
      </c>
      <c r="AF35" s="66">
        <f>SUM(SUMIFS(卡片数据!$S:$S,卡片数据!$B:$B,"建筑物",卡片数据!$Q:$Q,{"出售"}))</f>
        <v>0</v>
      </c>
      <c r="AG35" s="66">
        <f>SUM(SUMIFS(卡片数据!$S:$S,卡片数据!$B:$B,"建筑物",卡片数据!$Q:$Q,{"三供一业无偿划出"}))</f>
        <v>0</v>
      </c>
      <c r="AH35" s="66">
        <f>SUMIFS(卡片数据!$S:$S,卡片数据!$B:$B,"建筑物",卡片数据!$Q:$Q,"子分公司间划转资产")</f>
        <v>0</v>
      </c>
      <c r="AI35" s="66">
        <f>SUMIFS(卡片数据!$S:$S,卡片数据!$B:$B,"建筑物",卡片数据!$Q:$Q,"省外划拨")</f>
        <v>0</v>
      </c>
      <c r="AJ35" s="66">
        <f>SUMIFS(卡片数据!$S:$S,卡片数据!$B:$B,"建筑物",卡片数据!$Q:$Q,"省内地市间划拨")</f>
        <v>0</v>
      </c>
      <c r="AK35" s="66">
        <f>SUM(SUMIFS(卡片数据!$S:$S,卡片数据!$B:$B,"建筑物",卡片数据!$Q:$Q,{"拆分合并重分类","地市内划拨"}))</f>
        <v>0</v>
      </c>
      <c r="AL35" s="66">
        <f>SUMIFS(卡片数据!L:L,卡片数据!$B:$B,"建筑物")</f>
        <v>60982205.119999997</v>
      </c>
      <c r="AM35" s="85">
        <f t="shared" si="4"/>
        <v>0</v>
      </c>
      <c r="AN35" s="85">
        <f t="shared" si="5"/>
        <v>-393295.08</v>
      </c>
      <c r="AO35" s="66">
        <f>SUMIFS(卡片数据!W:W,卡片数据!$B:$B,"建筑物")</f>
        <v>32292661.859999999</v>
      </c>
      <c r="AP35" s="66">
        <f>SUMIFS(卡片数据!X:X,卡片数据!$B:$B,"建筑物")</f>
        <v>32292661.859999999</v>
      </c>
    </row>
    <row r="36" spans="1:42" s="79" customFormat="1" ht="13">
      <c r="A36" s="72" t="s">
        <v>46</v>
      </c>
      <c r="B36" s="66">
        <f>SUMIFS(卡片数据!G:G,卡片数据!$B:$B,"土地")</f>
        <v>246868</v>
      </c>
      <c r="C36" s="66">
        <f>SUMIFS(卡片数据!H:H,卡片数据!$B:$B,"土地")</f>
        <v>0</v>
      </c>
      <c r="D36" s="85">
        <f t="shared" si="23"/>
        <v>0</v>
      </c>
      <c r="E36" s="66">
        <f>SUM(SUMIFS(卡片数据!$O:$O,卡片数据!$B:$B,"土地",卡片数据!$N:$N,{"工程项目","零购项目","用户资产","盘盈资产","非货币性交易","捐赠增加"}))</f>
        <v>0</v>
      </c>
      <c r="F36" s="66">
        <f>SUMIFS(卡片数据!$O:$O,卡片数据!$B:$B,"土地",卡片数据!$N:$N,"子分公司间划转资产")</f>
        <v>0</v>
      </c>
      <c r="G36" s="66">
        <f>SUMIFS(卡片数据!$O:$O,卡片数据!$B:$B,"土地",卡片数据!$N:$N,"省外划拨")</f>
        <v>0</v>
      </c>
      <c r="H36" s="66">
        <f>SUMIFS(卡片数据!$O:$O,卡片数据!$B:$B,"土地",卡片数据!$N:$N,"省内地市间划拨")</f>
        <v>0</v>
      </c>
      <c r="I36" s="66">
        <f>SUM(SUMIFS(卡片数据!$O:$O,卡片数据!$B:$B,"土地",卡片数据!$N:$N,{"拆分合并重分类","地市内划拨"}))</f>
        <v>0</v>
      </c>
      <c r="J36" s="85">
        <f t="shared" si="24"/>
        <v>0</v>
      </c>
      <c r="K36" s="66">
        <f>SUM(SUMIFS(卡片数据!$R:$R,卡片数据!$B:$B,"土地",卡片数据!$Q:$Q,{"报废"}))</f>
        <v>0</v>
      </c>
      <c r="L36" s="66">
        <f>SUM(SUMIFS(卡片数据!$R:$R,卡片数据!$B:$B,"土地",卡片数据!$Q:$Q,{"出售"}))</f>
        <v>0</v>
      </c>
      <c r="M36" s="66">
        <f>SUM(SUMIFS(卡片数据!$R:$R,卡片数据!$B:$B,"土地",卡片数据!$Q:$Q,{"三供一业无偿划出"}))</f>
        <v>0</v>
      </c>
      <c r="N36" s="66">
        <f>SUMIFS(卡片数据!$R:$R,卡片数据!$B:$B,"土地",卡片数据!$Q:$Q,"子分公司间划转资产")</f>
        <v>0</v>
      </c>
      <c r="O36" s="66">
        <f>SUMIFS(卡片数据!$R:$R,卡片数据!$B:$B,"土地",卡片数据!$Q:$Q,"省外划拨")</f>
        <v>0</v>
      </c>
      <c r="P36" s="66">
        <f>SUMIFS(卡片数据!$R:$R,卡片数据!$B:$B,"土地",卡片数据!$Q:$Q,"省内地市间划拨")</f>
        <v>0</v>
      </c>
      <c r="Q36" s="66">
        <f>SUM(SUMIFS(卡片数据!$R:$R,卡片数据!$B:$B,"土地",卡片数据!$Q:$Q,{"拆分合并重分类","地市内划拨"}))</f>
        <v>0</v>
      </c>
      <c r="R36" s="66">
        <f>SUMIFS(卡片数据!J:J,卡片数据!$B:$B,"土地")</f>
        <v>246868</v>
      </c>
      <c r="S36" s="66">
        <f>SUMIFS(卡片数据!K:K,卡片数据!$B:$B,"土地")</f>
        <v>0</v>
      </c>
      <c r="T36" s="88">
        <f t="shared" si="8"/>
        <v>0</v>
      </c>
      <c r="U36" s="88">
        <f t="shared" si="7"/>
        <v>0</v>
      </c>
      <c r="V36" s="66">
        <f>SUMIFS(卡片数据!I:I,卡片数据!$B:$B,"土地")</f>
        <v>0</v>
      </c>
      <c r="W36" s="85">
        <f t="shared" si="25"/>
        <v>0</v>
      </c>
      <c r="X36" s="66">
        <f>SUM(SUMIFS(卡片数据!$P:$P,卡片数据!$B:$B,"土地",卡片数据!$N:$N,{"工程项目","零购项目","用户资产","盘盈资产","非货币性交易","捐赠增加"}))</f>
        <v>0</v>
      </c>
      <c r="Y36" s="91">
        <f>SUMIFS(卡片数据!M:M,卡片数据!$B:$B,"土地")</f>
        <v>0</v>
      </c>
      <c r="Z36" s="66">
        <f>SUMIFS(卡片数据!$P:$P,卡片数据!$B:$B,"土地",卡片数据!$N:$N,"子分公司间划转资产")</f>
        <v>0</v>
      </c>
      <c r="AA36" s="66">
        <f>SUMIFS(卡片数据!$P:$P,卡片数据!$B:$B,"土地",卡片数据!$N:$N,"省外划拨")</f>
        <v>0</v>
      </c>
      <c r="AB36" s="66">
        <f>SUMIFS(卡片数据!$P:$P,卡片数据!$B:$B,"土地",卡片数据!$N:$N,"省内地市间划拨")</f>
        <v>0</v>
      </c>
      <c r="AC36" s="66">
        <f>SUM(SUMIFS(卡片数据!$P:$P,卡片数据!$B:$B,"土地",卡片数据!$N:$N,{"拆分合并重分类","地市内划拨"}))</f>
        <v>0</v>
      </c>
      <c r="AD36" s="85">
        <f t="shared" si="26"/>
        <v>0</v>
      </c>
      <c r="AE36" s="66">
        <f>SUM(SUMIFS(卡片数据!$S:$S,卡片数据!$B:$B,"土地",卡片数据!$Q:$Q,{"报废"}))</f>
        <v>0</v>
      </c>
      <c r="AF36" s="66">
        <f>SUM(SUMIFS(卡片数据!$S:$S,卡片数据!$B:$B,"土地",卡片数据!$Q:$Q,{"出售"}))</f>
        <v>0</v>
      </c>
      <c r="AG36" s="66">
        <f>SUM(SUMIFS(卡片数据!$S:$S,卡片数据!$B:$B,"土地",卡片数据!$Q:$Q,{"三供一业无偿划出"}))</f>
        <v>0</v>
      </c>
      <c r="AH36" s="66">
        <f>SUMIFS(卡片数据!$S:$S,卡片数据!$B:$B,"土地",卡片数据!$Q:$Q,"子分公司间划转资产")</f>
        <v>0</v>
      </c>
      <c r="AI36" s="66">
        <f>SUMIFS(卡片数据!$S:$S,卡片数据!$B:$B,"土地",卡片数据!$Q:$Q,"省外划拨")</f>
        <v>0</v>
      </c>
      <c r="AJ36" s="66">
        <f>SUMIFS(卡片数据!$S:$S,卡片数据!$B:$B,"土地",卡片数据!$Q:$Q,"省内地市间划拨")</f>
        <v>0</v>
      </c>
      <c r="AK36" s="66">
        <f>SUM(SUMIFS(卡片数据!$S:$S,卡片数据!$B:$B,"土地",卡片数据!$Q:$Q,{"拆分合并重分类","地市内划拨"}))</f>
        <v>0</v>
      </c>
      <c r="AL36" s="66">
        <f>SUMIFS(卡片数据!L:L,卡片数据!$B:$B,"土地")</f>
        <v>0</v>
      </c>
      <c r="AM36" s="85">
        <f t="shared" si="4"/>
        <v>0</v>
      </c>
      <c r="AN36" s="85">
        <f t="shared" si="5"/>
        <v>0</v>
      </c>
      <c r="AO36" s="66">
        <f>SUMIFS(卡片数据!W:W,卡片数据!$B:$B,"土地")</f>
        <v>0</v>
      </c>
      <c r="AP36" s="66">
        <f>SUMIFS(卡片数据!X:X,卡片数据!$B:$B,"土地")</f>
        <v>0</v>
      </c>
    </row>
    <row r="37" spans="1:42" s="79" customFormat="1" ht="13">
      <c r="A37" s="74" t="s">
        <v>11</v>
      </c>
      <c r="B37" s="3">
        <f>B5+B10+B16+B20+B25+B26+B27+B28+B29+B30+B31+B32+B33+B34+B35+B36</f>
        <v>1935486275.8800001</v>
      </c>
      <c r="C37" s="3">
        <f t="shared" ref="C37" si="27">C5+C10+C16+C20+C25+C26+C27+C28+C29+C30+C31+C32+C33+C34+C35+C36</f>
        <v>595189324.69000006</v>
      </c>
      <c r="D37" s="85">
        <f t="shared" ref="D37:S37" si="28">D5+D10+D16+D20+D25+D26+D27+D28+D29+D30+D31+D32+D33+D34+D35+D36</f>
        <v>59508213.829999998</v>
      </c>
      <c r="E37" s="3">
        <f t="shared" si="28"/>
        <v>59446317.590000004</v>
      </c>
      <c r="F37" s="3">
        <f t="shared" si="28"/>
        <v>0</v>
      </c>
      <c r="G37" s="3">
        <f t="shared" si="28"/>
        <v>0</v>
      </c>
      <c r="H37" s="3">
        <f t="shared" si="28"/>
        <v>0</v>
      </c>
      <c r="I37" s="3">
        <f t="shared" si="28"/>
        <v>61896.24</v>
      </c>
      <c r="J37" s="85">
        <f t="shared" si="28"/>
        <v>1834709.75</v>
      </c>
      <c r="K37" s="3">
        <f t="shared" si="28"/>
        <v>1834709.75</v>
      </c>
      <c r="L37" s="3">
        <f t="shared" si="28"/>
        <v>0</v>
      </c>
      <c r="M37" s="3">
        <f t="shared" si="28"/>
        <v>0</v>
      </c>
      <c r="N37" s="3">
        <f t="shared" si="28"/>
        <v>0</v>
      </c>
      <c r="O37" s="3">
        <f t="shared" si="28"/>
        <v>0</v>
      </c>
      <c r="P37" s="3">
        <f t="shared" si="28"/>
        <v>0</v>
      </c>
      <c r="Q37" s="3">
        <f t="shared" si="28"/>
        <v>0</v>
      </c>
      <c r="R37" s="3">
        <f t="shared" si="28"/>
        <v>1993159779.96</v>
      </c>
      <c r="S37" s="3">
        <f t="shared" si="28"/>
        <v>637895803.63999999</v>
      </c>
      <c r="T37" s="88">
        <f t="shared" si="8"/>
        <v>0</v>
      </c>
      <c r="U37" s="88">
        <f t="shared" si="7"/>
        <v>61896.24</v>
      </c>
      <c r="V37" s="3">
        <f>V5+V10+V16+V20+V25+V26+V27+V28+V29+V30+V31+V32+V33+V34+V35+V36</f>
        <v>1311090359.96</v>
      </c>
      <c r="W37" s="85">
        <f>W5+W10+W16+W20+W25+W26+W27+W28+W29+W30+W31+W32+W33+W34+W35+W36</f>
        <v>67181800.340000004</v>
      </c>
      <c r="X37" s="3">
        <f t="shared" ref="X37:AC37" si="29">X5+X10+X16+X20+X25+X26+X27+X28+X29+X30+X31+X32+X33+X34+X35+X36</f>
        <v>0</v>
      </c>
      <c r="Y37" s="70">
        <f t="shared" si="29"/>
        <v>67119904.099999994</v>
      </c>
      <c r="Z37" s="3">
        <f t="shared" si="29"/>
        <v>0</v>
      </c>
      <c r="AA37" s="3">
        <f t="shared" si="29"/>
        <v>0</v>
      </c>
      <c r="AB37" s="3">
        <f t="shared" si="29"/>
        <v>0</v>
      </c>
      <c r="AC37" s="3">
        <f t="shared" si="29"/>
        <v>61896.24</v>
      </c>
      <c r="AD37" s="85">
        <f t="shared" ref="AD37:AL37" si="30">AD5+AD10+AD16+AD20+AD25+AD26+AD27+AD28+AD29+AD30+AD31+AD32+AD33+AD34+AD35+AD36</f>
        <v>1744036.1</v>
      </c>
      <c r="AE37" s="3">
        <f t="shared" si="30"/>
        <v>1744036.1</v>
      </c>
      <c r="AF37" s="3">
        <f t="shared" si="30"/>
        <v>0</v>
      </c>
      <c r="AG37" s="3">
        <f t="shared" si="30"/>
        <v>0</v>
      </c>
      <c r="AH37" s="3">
        <f t="shared" si="30"/>
        <v>0</v>
      </c>
      <c r="AI37" s="3">
        <f t="shared" si="30"/>
        <v>0</v>
      </c>
      <c r="AJ37" s="3">
        <f t="shared" si="30"/>
        <v>0</v>
      </c>
      <c r="AK37" s="3">
        <f t="shared" si="30"/>
        <v>0</v>
      </c>
      <c r="AL37" s="3">
        <f t="shared" si="30"/>
        <v>1376528124.2</v>
      </c>
      <c r="AM37" s="85">
        <f t="shared" si="4"/>
        <v>0</v>
      </c>
      <c r="AN37" s="85">
        <f t="shared" si="5"/>
        <v>61896.24</v>
      </c>
      <c r="AO37" s="3">
        <f t="shared" ref="AO37:AP37" si="31">AO5+AO10+AO16+AO20+AO25+AO26+AO27+AO28+AO29+AO30+AO31+AO32+AO33+AO34+AO35+AO36</f>
        <v>759490750.78999996</v>
      </c>
      <c r="AP37" s="3">
        <f t="shared" si="31"/>
        <v>766681585.39999998</v>
      </c>
    </row>
  </sheetData>
  <sheetProtection formatCells="0" formatColumns="0" formatRows="0" insertColumns="0" insertRows="0" insertHyperlinks="0" deleteColumns="0" deleteRows="0" sort="0" autoFilter="0" pivotTables="0"/>
  <mergeCells count="14">
    <mergeCell ref="A1:AP1"/>
    <mergeCell ref="W2:AA2"/>
    <mergeCell ref="B3:C3"/>
    <mergeCell ref="D3:I3"/>
    <mergeCell ref="J3:Q3"/>
    <mergeCell ref="R3:S3"/>
    <mergeCell ref="W3:AC3"/>
    <mergeCell ref="AD3:AK3"/>
    <mergeCell ref="AO3:AP3"/>
    <mergeCell ref="A3:A4"/>
    <mergeCell ref="T3:T4"/>
    <mergeCell ref="U3:U4"/>
    <mergeCell ref="AM3:AM4"/>
    <mergeCell ref="AN3:AN4"/>
  </mergeCells>
  <phoneticPr fontId="3" type="noConversion"/>
  <pageMargins left="0.74803149606299202" right="0.74803149606299202" top="0.6" bottom="0.98425196850393704" header="0.51" footer="0.511811023622047"/>
  <pageSetup paperSize="9" fitToWidth="0" fitToHeight="0" orientation="landscape" useFirstPageNumber="1" errors="NA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68"/>
  <sheetViews>
    <sheetView showZeros="0" tabSelected="1" workbookViewId="0">
      <pane xSplit="1" ySplit="4" topLeftCell="E44" activePane="bottomRight" state="frozen"/>
      <selection pane="topRight"/>
      <selection pane="bottomLeft"/>
      <selection pane="bottomRight" activeCell="E49" sqref="E49"/>
    </sheetView>
  </sheetViews>
  <sheetFormatPr baseColWidth="10" defaultColWidth="9" defaultRowHeight="15"/>
  <cols>
    <col min="1" max="1" width="29.33203125" customWidth="1"/>
    <col min="2" max="2" width="17" customWidth="1"/>
    <col min="3" max="3" width="21.6640625" customWidth="1"/>
    <col min="4" max="4" width="16.1640625" customWidth="1"/>
    <col min="5" max="5" width="14.83203125" customWidth="1"/>
    <col min="6" max="6" width="16" customWidth="1"/>
    <col min="7" max="7" width="16.83203125" customWidth="1"/>
    <col min="8" max="8" width="17" customWidth="1"/>
    <col min="9" max="10" width="23.5" customWidth="1"/>
    <col min="11" max="11" width="15.1640625" customWidth="1"/>
    <col min="12" max="12" width="19.5" customWidth="1"/>
    <col min="13" max="14" width="16.1640625" customWidth="1"/>
    <col min="15" max="16" width="23.5" customWidth="1"/>
    <col min="17" max="17" width="16.5" customWidth="1"/>
    <col min="18" max="19" width="21.83203125" customWidth="1"/>
    <col min="20" max="20" width="16.1640625" customWidth="1"/>
    <col min="21" max="22" width="21.83203125" customWidth="1"/>
  </cols>
  <sheetData>
    <row r="1" spans="1:22" ht="17">
      <c r="A1" s="94" t="s">
        <v>47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</row>
    <row r="2" spans="1:22">
      <c r="A2" s="57" t="str">
        <f>卡片数据!A2</f>
        <v>编制单位：国网四川省电力公司XXXX</v>
      </c>
      <c r="B2" s="57"/>
      <c r="C2" s="58"/>
      <c r="D2" s="58"/>
      <c r="E2" s="58"/>
      <c r="F2" s="59"/>
      <c r="G2" s="59"/>
      <c r="H2" s="59"/>
      <c r="I2" s="76"/>
      <c r="J2" s="76"/>
      <c r="K2" s="76"/>
      <c r="L2" s="76"/>
      <c r="M2" s="76"/>
      <c r="N2" s="76"/>
      <c r="O2" s="76"/>
      <c r="P2" s="76"/>
      <c r="Q2" s="76"/>
      <c r="R2" s="95" t="str">
        <f>卡片数据!I2</f>
        <v>编制日期：2019-12-31</v>
      </c>
      <c r="S2" s="95"/>
      <c r="T2" s="95"/>
      <c r="U2" s="95"/>
      <c r="V2" s="95"/>
    </row>
    <row r="3" spans="1:22" s="54" customFormat="1" ht="14.25" customHeight="1">
      <c r="A3" s="99" t="s">
        <v>1</v>
      </c>
      <c r="B3" s="101" t="s">
        <v>48</v>
      </c>
      <c r="C3" s="102"/>
      <c r="D3" s="103"/>
      <c r="E3" s="101" t="s">
        <v>49</v>
      </c>
      <c r="F3" s="102"/>
      <c r="G3" s="103"/>
      <c r="H3" s="101" t="s">
        <v>50</v>
      </c>
      <c r="I3" s="102"/>
      <c r="J3" s="103"/>
      <c r="K3" s="101" t="s">
        <v>51</v>
      </c>
      <c r="L3" s="102"/>
      <c r="M3" s="103"/>
      <c r="N3" s="101" t="s">
        <v>52</v>
      </c>
      <c r="O3" s="102"/>
      <c r="P3" s="103"/>
      <c r="Q3" s="101" t="s">
        <v>53</v>
      </c>
      <c r="R3" s="102"/>
      <c r="S3" s="103"/>
      <c r="T3" s="101" t="s">
        <v>54</v>
      </c>
      <c r="U3" s="102"/>
      <c r="V3" s="103"/>
    </row>
    <row r="4" spans="1:22" s="55" customFormat="1" ht="33.75" customHeight="1">
      <c r="A4" s="99"/>
      <c r="B4" s="60" t="s">
        <v>11</v>
      </c>
      <c r="C4" s="60" t="s">
        <v>55</v>
      </c>
      <c r="D4" s="60" t="s">
        <v>56</v>
      </c>
      <c r="E4" s="60" t="s">
        <v>11</v>
      </c>
      <c r="F4" s="60" t="s">
        <v>55</v>
      </c>
      <c r="G4" s="60" t="s">
        <v>56</v>
      </c>
      <c r="H4" s="60" t="s">
        <v>11</v>
      </c>
      <c r="I4" s="60" t="s">
        <v>57</v>
      </c>
      <c r="J4" s="60" t="s">
        <v>58</v>
      </c>
      <c r="K4" s="60" t="s">
        <v>11</v>
      </c>
      <c r="L4" s="60" t="s">
        <v>57</v>
      </c>
      <c r="M4" s="60" t="s">
        <v>58</v>
      </c>
      <c r="N4" s="60" t="s">
        <v>11</v>
      </c>
      <c r="O4" s="60" t="s">
        <v>59</v>
      </c>
      <c r="P4" s="60" t="s">
        <v>60</v>
      </c>
      <c r="Q4" s="60" t="s">
        <v>11</v>
      </c>
      <c r="R4" s="60" t="s">
        <v>61</v>
      </c>
      <c r="S4" s="60" t="s">
        <v>62</v>
      </c>
      <c r="T4" s="60" t="s">
        <v>11</v>
      </c>
      <c r="U4" s="60" t="s">
        <v>61</v>
      </c>
      <c r="V4" s="60" t="s">
        <v>62</v>
      </c>
    </row>
    <row r="5" spans="1:22">
      <c r="A5" s="61" t="s">
        <v>24</v>
      </c>
      <c r="B5" s="62">
        <f t="shared" ref="B5:B65" si="0">C5+D5</f>
        <v>224501339.88</v>
      </c>
      <c r="C5" s="63">
        <f t="shared" ref="C5:V5" si="1">SUM(C6:C9)</f>
        <v>224380494.25999999</v>
      </c>
      <c r="D5" s="63">
        <f t="shared" si="1"/>
        <v>120845.62</v>
      </c>
      <c r="E5" s="62">
        <f t="shared" ref="E5:E65" si="2">F5+G5</f>
        <v>247073934.41</v>
      </c>
      <c r="F5" s="63">
        <f t="shared" si="1"/>
        <v>246953088.78999999</v>
      </c>
      <c r="G5" s="63">
        <f t="shared" si="1"/>
        <v>120845.62</v>
      </c>
      <c r="H5" s="64">
        <f>I5+J5</f>
        <v>125156760.17</v>
      </c>
      <c r="I5" s="63">
        <f t="shared" si="1"/>
        <v>125138136.15000001</v>
      </c>
      <c r="J5" s="63">
        <f t="shared" si="1"/>
        <v>18624.02</v>
      </c>
      <c r="K5" s="64">
        <f>L5+M5</f>
        <v>132999127.14</v>
      </c>
      <c r="L5" s="63">
        <f>SUM(L6:L9)</f>
        <v>132976097.95999999</v>
      </c>
      <c r="M5" s="63">
        <f t="shared" si="1"/>
        <v>23029.18</v>
      </c>
      <c r="N5" s="64">
        <f>O5+P5</f>
        <v>7842366.9699999997</v>
      </c>
      <c r="O5" s="63">
        <f t="shared" si="1"/>
        <v>7837961.8099999996</v>
      </c>
      <c r="P5" s="63">
        <f t="shared" si="1"/>
        <v>4405.16</v>
      </c>
      <c r="Q5" s="64">
        <f>R5+S5</f>
        <v>99344579.709999993</v>
      </c>
      <c r="R5" s="63">
        <f t="shared" si="1"/>
        <v>99242358.109999999</v>
      </c>
      <c r="S5" s="63">
        <f t="shared" si="1"/>
        <v>102221.6</v>
      </c>
      <c r="T5" s="64">
        <f>U5+V5</f>
        <v>114074807.27</v>
      </c>
      <c r="U5" s="63">
        <f t="shared" si="1"/>
        <v>113976990.83</v>
      </c>
      <c r="V5" s="63">
        <f t="shared" si="1"/>
        <v>97816.44</v>
      </c>
    </row>
    <row r="6" spans="1:22">
      <c r="A6" s="65" t="s">
        <v>25</v>
      </c>
      <c r="B6" s="62">
        <f t="shared" si="0"/>
        <v>0</v>
      </c>
      <c r="C6" s="66">
        <f>SUMIFS(卡片数据!G:G,卡片数据!$B:$B,"输电线路",卡片数据!$D:$D,"500kV",卡片数据!E:E,"&lt;2015-1-1")</f>
        <v>0</v>
      </c>
      <c r="D6" s="66">
        <f>SUMIFS(卡片数据!G:G,卡片数据!$B:$B,"输电线路",卡片数据!$D:$D,"500kV",卡片数据!E:E,"&gt;=2015-1-1")</f>
        <v>0</v>
      </c>
      <c r="E6" s="62">
        <f t="shared" si="2"/>
        <v>0</v>
      </c>
      <c r="F6" s="66">
        <f>SUMIFS(卡片数据!J:J,卡片数据!$B:$B,"输电线路",卡片数据!$D:$D,"500kV",卡片数据!E:E,"&lt;2015-1-1")</f>
        <v>0</v>
      </c>
      <c r="G6" s="66">
        <f>SUMIFS(卡片数据!J:J,卡片数据!$B:$B,"输电线路",卡片数据!$D:$D,"500kV",卡片数据!E:E,"&gt;=2015-1-1")</f>
        <v>0</v>
      </c>
      <c r="H6" s="64">
        <f t="shared" ref="H6:H65" si="3">I6+J6</f>
        <v>0</v>
      </c>
      <c r="I6" s="66">
        <f>SUMIFS(卡片数据!I:I,卡片数据!$B:$B,"输电线路",卡片数据!$D:$D,"500kV",卡片数据!E:E,"&lt;2015-1-1")</f>
        <v>0</v>
      </c>
      <c r="J6" s="66">
        <f>SUMIFS(卡片数据!I:I,卡片数据!$B:$B,"输电线路",卡片数据!$D:$D,"500kV",卡片数据!E:E,"&gt;=2015-1-1")</f>
        <v>0</v>
      </c>
      <c r="K6" s="64">
        <f t="shared" ref="K6:K65" si="4">L6+M6</f>
        <v>0</v>
      </c>
      <c r="L6" s="66">
        <f>SUMIFS(卡片数据!L:L,卡片数据!$B:$B,"输电线路",卡片数据!$D:$D,"500kV",卡片数据!E:E,"&lt;2015-1-1")</f>
        <v>0</v>
      </c>
      <c r="M6" s="66">
        <f>SUMIFS(卡片数据!L:L,卡片数据!$B:$B,"输电线路",卡片数据!$D:$D,"500kV",卡片数据!E:E,"&gt;=2015-1-1")</f>
        <v>0</v>
      </c>
      <c r="N6" s="64">
        <f t="shared" ref="N6:N65" si="5">O6+P6</f>
        <v>0</v>
      </c>
      <c r="O6" s="66">
        <f>SUMIFS(卡片数据!M:M,卡片数据!$B:$B,"输电线路",卡片数据!$D:$D,"500kV",卡片数据!E:E,"&lt;2015-1-1")</f>
        <v>0</v>
      </c>
      <c r="P6" s="66">
        <f>SUMIFS(卡片数据!M:M,卡片数据!$B:$B,"输电线路",卡片数据!$D:$D,"500kV",卡片数据!E:E,"&gt;=2015-1-1")</f>
        <v>0</v>
      </c>
      <c r="Q6" s="64">
        <f t="shared" ref="Q6:Q65" si="6">R6+S6</f>
        <v>0</v>
      </c>
      <c r="R6" s="66">
        <f t="shared" ref="R6:R9" si="7">C6-I6</f>
        <v>0</v>
      </c>
      <c r="S6" s="66">
        <f t="shared" ref="S6:S9" si="8">D6-J6</f>
        <v>0</v>
      </c>
      <c r="T6" s="64">
        <f t="shared" ref="T6:T65" si="9">U6+V6</f>
        <v>0</v>
      </c>
      <c r="U6" s="66">
        <f t="shared" ref="U6:U9" si="10">F6-L6</f>
        <v>0</v>
      </c>
      <c r="V6" s="66">
        <f t="shared" ref="V6:V9" si="11">G6-M6</f>
        <v>0</v>
      </c>
    </row>
    <row r="7" spans="1:22">
      <c r="A7" s="65" t="s">
        <v>26</v>
      </c>
      <c r="B7" s="62">
        <f t="shared" si="0"/>
        <v>0</v>
      </c>
      <c r="C7" s="66">
        <f>SUMIFS(卡片数据!G:G,卡片数据!$B:$B,"输电线路",卡片数据!$D:$D,"220kV",卡片数据!E:E,"&lt;2015-1-1")</f>
        <v>0</v>
      </c>
      <c r="D7" s="66">
        <f>SUMIFS(卡片数据!G:G,卡片数据!$B:$B,"输电线路",卡片数据!$D:$D,"220kV",卡片数据!E:E,"&gt;=2015-1-1")</f>
        <v>0</v>
      </c>
      <c r="E7" s="62">
        <f t="shared" si="2"/>
        <v>0</v>
      </c>
      <c r="F7" s="66">
        <f>SUMIFS(卡片数据!J:J,卡片数据!$B:$B,"输电线路",卡片数据!$D:$D,"220kV",卡片数据!E:E,"&lt;2015-1-1")</f>
        <v>0</v>
      </c>
      <c r="G7" s="66">
        <f>SUMIFS(卡片数据!J:J,卡片数据!$B:$B,"输电线路",卡片数据!$D:$D,"220kV",卡片数据!E:E,"&gt;=2015-1-1")</f>
        <v>0</v>
      </c>
      <c r="H7" s="64">
        <f t="shared" si="3"/>
        <v>0</v>
      </c>
      <c r="I7" s="66">
        <f>SUMIFS(卡片数据!I:I,卡片数据!$B:$B,"输电线路",卡片数据!$D:$D,"220kV",卡片数据!E:E,"&lt;2015-1-1")</f>
        <v>0</v>
      </c>
      <c r="J7" s="66">
        <f>SUMIFS(卡片数据!I:I,卡片数据!$B:$B,"输电线路",卡片数据!$D:$D,"220kV",卡片数据!E:E,"&gt;=2015-1-1")</f>
        <v>0</v>
      </c>
      <c r="K7" s="64">
        <f t="shared" si="4"/>
        <v>0</v>
      </c>
      <c r="L7" s="66">
        <f>SUMIFS(卡片数据!L:L,卡片数据!$B:$B,"输电线路",卡片数据!$D:$D,"220kV",卡片数据!E:E,"&lt;2015-1-1")</f>
        <v>0</v>
      </c>
      <c r="M7" s="66">
        <f>SUMIFS(卡片数据!L:L,卡片数据!$B:$B,"输电线路",卡片数据!$D:$D,"220kV",卡片数据!E:E,"&gt;=2015-1-1")</f>
        <v>0</v>
      </c>
      <c r="N7" s="64">
        <f t="shared" si="5"/>
        <v>0</v>
      </c>
      <c r="O7" s="66">
        <f>SUMIFS(卡片数据!M:M,卡片数据!$B:$B,"输电线路",卡片数据!$D:$D,"220kV",卡片数据!E:E,"&lt;2015-1-1")</f>
        <v>0</v>
      </c>
      <c r="P7" s="66">
        <f>SUMIFS(卡片数据!M:M,卡片数据!$B:$B,"输电线路",卡片数据!$D:$D,"220kV",卡片数据!E:E,"&gt;=2015-1-1")</f>
        <v>0</v>
      </c>
      <c r="Q7" s="64">
        <f t="shared" si="6"/>
        <v>0</v>
      </c>
      <c r="R7" s="66">
        <f t="shared" si="7"/>
        <v>0</v>
      </c>
      <c r="S7" s="66">
        <f t="shared" si="8"/>
        <v>0</v>
      </c>
      <c r="T7" s="64">
        <f t="shared" si="9"/>
        <v>0</v>
      </c>
      <c r="U7" s="66">
        <f t="shared" si="10"/>
        <v>0</v>
      </c>
      <c r="V7" s="66">
        <f t="shared" si="11"/>
        <v>0</v>
      </c>
    </row>
    <row r="8" spans="1:22">
      <c r="A8" s="65" t="s">
        <v>27</v>
      </c>
      <c r="B8" s="62">
        <f t="shared" si="0"/>
        <v>166132402.96000001</v>
      </c>
      <c r="C8" s="66">
        <f>SUMIFS(卡片数据!G:G,卡片数据!$B:$B,"输电线路",卡片数据!$D:$D,"110kV",卡片数据!E:E,"&lt;2015-1-1")</f>
        <v>166011557.34</v>
      </c>
      <c r="D8" s="66">
        <f>SUMIFS(卡片数据!G:G,卡片数据!$B:$B,"输电线路",卡片数据!$D:$D,"110kV",卡片数据!E:E,"&gt;=2015-1-1")</f>
        <v>120845.62</v>
      </c>
      <c r="E8" s="62">
        <f t="shared" si="2"/>
        <v>188704997.49000001</v>
      </c>
      <c r="F8" s="66">
        <f>SUMIFS(卡片数据!J:J,卡片数据!$B:$B,"输电线路",卡片数据!$D:$D,"110kV",卡片数据!E:E,"&lt;2015-1-1")</f>
        <v>188584151.87</v>
      </c>
      <c r="G8" s="66">
        <f>SUMIFS(卡片数据!J:J,卡片数据!$B:$B,"输电线路",卡片数据!$D:$D,"110kV",卡片数据!E:E,"&gt;=2015-1-1")</f>
        <v>120845.62</v>
      </c>
      <c r="H8" s="64">
        <f t="shared" si="3"/>
        <v>88699229.349999994</v>
      </c>
      <c r="I8" s="66">
        <f>SUMIFS(卡片数据!I:I,卡片数据!$B:$B,"输电线路",卡片数据!$D:$D,"110kV",卡片数据!E:E,"&lt;2015-1-1")</f>
        <v>88680605.329999998</v>
      </c>
      <c r="J8" s="66">
        <f>SUMIFS(卡片数据!I:I,卡片数据!$B:$B,"输电线路",卡片数据!$D:$D,"110kV",卡片数据!E:E,"&gt;=2015-1-1")</f>
        <v>18624.02</v>
      </c>
      <c r="K8" s="64">
        <f t="shared" si="4"/>
        <v>95491740.019999996</v>
      </c>
      <c r="L8" s="66">
        <f>SUMIFS(卡片数据!L:L,卡片数据!$B:$B,"输电线路",卡片数据!$D:$D,"110kV",卡片数据!E:E,"&lt;2015-1-1")</f>
        <v>95468710.840000004</v>
      </c>
      <c r="M8" s="66">
        <f>SUMIFS(卡片数据!L:L,卡片数据!$B:$B,"输电线路",卡片数据!$D:$D,"110kV",卡片数据!E:E,"&gt;=2015-1-1")</f>
        <v>23029.18</v>
      </c>
      <c r="N8" s="64">
        <f t="shared" si="5"/>
        <v>6792510.6699999999</v>
      </c>
      <c r="O8" s="66">
        <f>SUMIFS(卡片数据!M:M,卡片数据!$B:$B,"输电线路",卡片数据!$D:$D,"110kV",卡片数据!E:E,"&lt;2015-1-1")</f>
        <v>6788105.5099999998</v>
      </c>
      <c r="P8" s="66">
        <f>SUMIFS(卡片数据!M:M,卡片数据!$B:$B,"输电线路",卡片数据!$D:$D,"110kV",卡片数据!E:E,"&gt;=2015-1-1")</f>
        <v>4405.16</v>
      </c>
      <c r="Q8" s="64">
        <f t="shared" si="6"/>
        <v>77433173.609999999</v>
      </c>
      <c r="R8" s="66">
        <f t="shared" si="7"/>
        <v>77330952.010000005</v>
      </c>
      <c r="S8" s="66">
        <f t="shared" si="8"/>
        <v>102221.6</v>
      </c>
      <c r="T8" s="64">
        <f t="shared" si="9"/>
        <v>93213257.469999999</v>
      </c>
      <c r="U8" s="66">
        <f t="shared" si="10"/>
        <v>93115441.030000001</v>
      </c>
      <c r="V8" s="66">
        <f t="shared" si="11"/>
        <v>97816.44</v>
      </c>
    </row>
    <row r="9" spans="1:22">
      <c r="A9" s="65" t="s">
        <v>28</v>
      </c>
      <c r="B9" s="62">
        <f t="shared" si="0"/>
        <v>58368936.920000002</v>
      </c>
      <c r="C9" s="66">
        <f>SUMIFS(卡片数据!G:G,卡片数据!$B:$B,"输电线路",卡片数据!$D:$D,"35kV",卡片数据!E:E,"&lt;2015-1-1")</f>
        <v>58368936.920000002</v>
      </c>
      <c r="D9" s="66">
        <f>SUMIFS(卡片数据!G:G,卡片数据!$B:$B,"输电线路",卡片数据!$D:$D,"35kV",卡片数据!E:E,"&gt;=2015-1-1")</f>
        <v>0</v>
      </c>
      <c r="E9" s="62">
        <f t="shared" si="2"/>
        <v>58368936.920000002</v>
      </c>
      <c r="F9" s="66">
        <f>SUMIFS(卡片数据!J:J,卡片数据!$B:$B,"输电线路",卡片数据!$D:$D,"35kV",卡片数据!E:E,"&lt;2015-1-1")</f>
        <v>58368936.920000002</v>
      </c>
      <c r="G9" s="66">
        <f>SUMIFS(卡片数据!J:J,卡片数据!$B:$B,"输电线路",卡片数据!$D:$D,"35kV",卡片数据!E:E,"&gt;=2015-1-1")</f>
        <v>0</v>
      </c>
      <c r="H9" s="64">
        <f t="shared" si="3"/>
        <v>36457530.82</v>
      </c>
      <c r="I9" s="66">
        <f>SUMIFS(卡片数据!I:I,卡片数据!$B:$B,"输电线路",卡片数据!$D:$D,"35kV",卡片数据!E:E,"&lt;2015-1-1")</f>
        <v>36457530.82</v>
      </c>
      <c r="J9" s="66">
        <f>SUMIFS(卡片数据!I:I,卡片数据!$B:$B,"输电线路",卡片数据!$D:$D,"35kV",卡片数据!E:E,"&gt;=2015-1-1")</f>
        <v>0</v>
      </c>
      <c r="K9" s="64">
        <f t="shared" si="4"/>
        <v>37507387.119999997</v>
      </c>
      <c r="L9" s="66">
        <f>SUMIFS(卡片数据!L:L,卡片数据!$B:$B,"输电线路",卡片数据!$D:$D,"35kV",卡片数据!E:E,"&lt;2015-1-1")</f>
        <v>37507387.119999997</v>
      </c>
      <c r="M9" s="66">
        <f>SUMIFS(卡片数据!L:L,卡片数据!$B:$B,"输电线路",卡片数据!$D:$D,"35kV",卡片数据!E:E,"&gt;=2015-1-1")</f>
        <v>0</v>
      </c>
      <c r="N9" s="64">
        <f t="shared" si="5"/>
        <v>1049856.3</v>
      </c>
      <c r="O9" s="66">
        <f>SUMIFS(卡片数据!M:M,卡片数据!$B:$B,"输电线路",卡片数据!$D:$D,"35kV",卡片数据!E:E,"&lt;2015-1-1")</f>
        <v>1049856.3</v>
      </c>
      <c r="P9" s="66">
        <f>SUMIFS(卡片数据!M:M,卡片数据!$B:$B,"输电线路",卡片数据!$D:$D,"35kV",卡片数据!E:E,"&gt;=2015-1-1")</f>
        <v>0</v>
      </c>
      <c r="Q9" s="64">
        <f t="shared" si="6"/>
        <v>21911406.100000001</v>
      </c>
      <c r="R9" s="66">
        <f t="shared" si="7"/>
        <v>21911406.100000001</v>
      </c>
      <c r="S9" s="66">
        <f t="shared" si="8"/>
        <v>0</v>
      </c>
      <c r="T9" s="64">
        <f t="shared" si="9"/>
        <v>20861549.800000001</v>
      </c>
      <c r="U9" s="66">
        <f t="shared" si="10"/>
        <v>20861549.800000001</v>
      </c>
      <c r="V9" s="66">
        <f t="shared" si="11"/>
        <v>0</v>
      </c>
    </row>
    <row r="10" spans="1:22">
      <c r="A10" s="61" t="s">
        <v>29</v>
      </c>
      <c r="B10" s="62">
        <f t="shared" si="0"/>
        <v>266745545.75</v>
      </c>
      <c r="C10" s="63">
        <f>SUM(C11:C15)</f>
        <v>258164932.52000001</v>
      </c>
      <c r="D10" s="63">
        <f t="shared" ref="D10:V10" si="12">SUM(D11:D15)</f>
        <v>8580613.2300000004</v>
      </c>
      <c r="E10" s="62">
        <f t="shared" si="2"/>
        <v>266891196.94999999</v>
      </c>
      <c r="F10" s="63">
        <f t="shared" si="12"/>
        <v>258160018.38</v>
      </c>
      <c r="G10" s="63">
        <f t="shared" si="12"/>
        <v>8731178.5700000003</v>
      </c>
      <c r="H10" s="64">
        <f t="shared" si="3"/>
        <v>195044222.61000001</v>
      </c>
      <c r="I10" s="63">
        <f t="shared" si="12"/>
        <v>194367331.59</v>
      </c>
      <c r="J10" s="63">
        <f t="shared" si="12"/>
        <v>676891.02</v>
      </c>
      <c r="K10" s="64">
        <f t="shared" si="4"/>
        <v>202594284.52000001</v>
      </c>
      <c r="L10" s="63">
        <f t="shared" si="12"/>
        <v>201380015.88</v>
      </c>
      <c r="M10" s="63">
        <f t="shared" si="12"/>
        <v>1214268.6399999999</v>
      </c>
      <c r="N10" s="64">
        <f t="shared" si="5"/>
        <v>7488165.6699999999</v>
      </c>
      <c r="O10" s="63">
        <f t="shared" si="12"/>
        <v>6950788.0499999998</v>
      </c>
      <c r="P10" s="63">
        <f t="shared" si="12"/>
        <v>537377.62</v>
      </c>
      <c r="Q10" s="64">
        <f t="shared" si="6"/>
        <v>71701323.140000001</v>
      </c>
      <c r="R10" s="63">
        <f t="shared" si="12"/>
        <v>63797600.93</v>
      </c>
      <c r="S10" s="63">
        <f t="shared" si="12"/>
        <v>7903722.21</v>
      </c>
      <c r="T10" s="64">
        <f t="shared" si="9"/>
        <v>64296912.43</v>
      </c>
      <c r="U10" s="63">
        <f t="shared" si="12"/>
        <v>56780002.5</v>
      </c>
      <c r="V10" s="63">
        <f t="shared" si="12"/>
        <v>7516909.9299999997</v>
      </c>
    </row>
    <row r="11" spans="1:22">
      <c r="A11" s="65" t="s">
        <v>25</v>
      </c>
      <c r="B11" s="62">
        <f t="shared" si="0"/>
        <v>0</v>
      </c>
      <c r="C11" s="66">
        <f>SUMIFS(卡片数据!G:G,卡片数据!$B:$B,"变电设备",卡片数据!$D:$D,"500kV",卡片数据!E:E,"&lt;2015-1-1")</f>
        <v>0</v>
      </c>
      <c r="D11" s="66">
        <f>SUMIFS(卡片数据!G:G,卡片数据!$B:$B,"变电设备",卡片数据!$D:$D,"500kV",卡片数据!E:E,"&gt;=2015-1-1")</f>
        <v>0</v>
      </c>
      <c r="E11" s="62">
        <f t="shared" si="2"/>
        <v>0</v>
      </c>
      <c r="F11" s="66">
        <f>SUMIFS(卡片数据!J:J,卡片数据!$B:$B,"变电设备",卡片数据!$D:$D,"500kV",卡片数据!E:E,"&lt;2015-1-1")</f>
        <v>0</v>
      </c>
      <c r="G11" s="66">
        <f>SUMIFS(卡片数据!J:J,卡片数据!$B:$B,"变电设备",卡片数据!$D:$D,"500kV",卡片数据!E:E,"&gt;=2015-1-1")</f>
        <v>0</v>
      </c>
      <c r="H11" s="64">
        <f t="shared" si="3"/>
        <v>0</v>
      </c>
      <c r="I11" s="66">
        <f>SUMIFS(卡片数据!I:I,卡片数据!$B:$B,"变电设备",卡片数据!$D:$D,"500kV",卡片数据!E:E,"&lt;2015-1-1")</f>
        <v>0</v>
      </c>
      <c r="J11" s="66">
        <f>SUMIFS(卡片数据!I:I,卡片数据!$B:$B,"变电设备",卡片数据!$D:$D,"500kV",卡片数据!E:E,"&gt;=2015-1-1")</f>
        <v>0</v>
      </c>
      <c r="K11" s="64">
        <f t="shared" si="4"/>
        <v>0</v>
      </c>
      <c r="L11" s="66">
        <f>SUMIFS(卡片数据!L:L,卡片数据!$B:$B,"变电设备",卡片数据!$D:$D,"500kV",卡片数据!E:E,"&lt;2015-1-1")</f>
        <v>0</v>
      </c>
      <c r="M11" s="66">
        <f>SUMIFS(卡片数据!L:L,卡片数据!$B:$B,"变电设备",卡片数据!$D:$D,"500kV",卡片数据!E:E,"&gt;=2015-1-1")</f>
        <v>0</v>
      </c>
      <c r="N11" s="64">
        <f t="shared" si="5"/>
        <v>0</v>
      </c>
      <c r="O11" s="66">
        <f>SUMIFS(卡片数据!M:M,卡片数据!$B:$B,"变电设备",卡片数据!$D:$D,"500kV",卡片数据!E:E,"&lt;2015-1-1")</f>
        <v>0</v>
      </c>
      <c r="P11" s="66">
        <f>SUMIFS(卡片数据!M:M,卡片数据!$B:$B,"变电设备",卡片数据!$D:$D,"500kV",卡片数据!E:E,"&gt;=2015-1-1")</f>
        <v>0</v>
      </c>
      <c r="Q11" s="64">
        <f t="shared" si="6"/>
        <v>0</v>
      </c>
      <c r="R11" s="66">
        <f t="shared" ref="R11:R15" si="13">C11-I11</f>
        <v>0</v>
      </c>
      <c r="S11" s="66">
        <f t="shared" ref="S11:S15" si="14">D11-J11</f>
        <v>0</v>
      </c>
      <c r="T11" s="64">
        <f t="shared" si="9"/>
        <v>0</v>
      </c>
      <c r="U11" s="66">
        <f t="shared" ref="U11:U15" si="15">F11-L11</f>
        <v>0</v>
      </c>
      <c r="V11" s="66">
        <f t="shared" ref="V11:V15" si="16">G11-M11</f>
        <v>0</v>
      </c>
    </row>
    <row r="12" spans="1:22">
      <c r="A12" s="67" t="s">
        <v>26</v>
      </c>
      <c r="B12" s="62">
        <f t="shared" si="0"/>
        <v>71363000.159999996</v>
      </c>
      <c r="C12" s="66">
        <f>SUMIFS(卡片数据!G:G,卡片数据!$B:$B,"变电设备",卡片数据!$D:$D,"220kV",卡片数据!E:E,"&lt;2015-1-1")</f>
        <v>71363000.159999996</v>
      </c>
      <c r="D12" s="66">
        <f>SUMIFS(卡片数据!G:G,卡片数据!$B:$B,"变电设备",卡片数据!$D:$D,"220kV",卡片数据!E:E,"&gt;=2015-1-1")</f>
        <v>0</v>
      </c>
      <c r="E12" s="62">
        <f t="shared" si="2"/>
        <v>71358386.909999996</v>
      </c>
      <c r="F12" s="66">
        <f>SUMIFS(卡片数据!J:J,卡片数据!$B:$B,"变电设备",卡片数据!$D:$D,"220kV",卡片数据!E:E,"&lt;2015-1-1")</f>
        <v>71358386.909999996</v>
      </c>
      <c r="G12" s="66">
        <f>SUMIFS(卡片数据!J:J,卡片数据!$B:$B,"变电设备",卡片数据!$D:$D,"220kV",卡片数据!E:E,"&gt;=2015-1-1")</f>
        <v>0</v>
      </c>
      <c r="H12" s="64">
        <f t="shared" si="3"/>
        <v>50853851.700000003</v>
      </c>
      <c r="I12" s="66">
        <f>SUMIFS(卡片数据!I:I,卡片数据!$B:$B,"变电设备",卡片数据!$D:$D,"220kV",卡片数据!E:E,"&lt;2015-1-1")</f>
        <v>50853851.700000003</v>
      </c>
      <c r="J12" s="66">
        <f>SUMIFS(卡片数据!I:I,卡片数据!$B:$B,"变电设备",卡片数据!$D:$D,"220kV",卡片数据!E:E,"&gt;=2015-1-1")</f>
        <v>0</v>
      </c>
      <c r="K12" s="64">
        <f t="shared" si="4"/>
        <v>52962514.060000002</v>
      </c>
      <c r="L12" s="66">
        <f>SUMIFS(卡片数据!L:L,卡片数据!$B:$B,"变电设备",卡片数据!$D:$D,"220kV",卡片数据!E:E,"&lt;2015-1-1")</f>
        <v>52962514.060000002</v>
      </c>
      <c r="M12" s="66">
        <f>SUMIFS(卡片数据!L:L,卡片数据!$B:$B,"变电设备",卡片数据!$D:$D,"220kV",卡片数据!E:E,"&gt;=2015-1-1")</f>
        <v>0</v>
      </c>
      <c r="N12" s="64">
        <f t="shared" si="5"/>
        <v>2108662.36</v>
      </c>
      <c r="O12" s="66">
        <f>SUMIFS(卡片数据!M:M,卡片数据!$B:$B,"变电设备",卡片数据!$D:$D,"220kV",卡片数据!E:E,"&lt;2015-1-1")</f>
        <v>2108662.36</v>
      </c>
      <c r="P12" s="66">
        <f>SUMIFS(卡片数据!M:M,卡片数据!$B:$B,"变电设备",卡片数据!$D:$D,"220kV",卡片数据!E:E,"&gt;=2015-1-1")</f>
        <v>0</v>
      </c>
      <c r="Q12" s="64">
        <f t="shared" si="6"/>
        <v>20509148.460000001</v>
      </c>
      <c r="R12" s="66">
        <f t="shared" si="13"/>
        <v>20509148.460000001</v>
      </c>
      <c r="S12" s="66">
        <f t="shared" si="14"/>
        <v>0</v>
      </c>
      <c r="T12" s="64">
        <f t="shared" si="9"/>
        <v>18395872.850000001</v>
      </c>
      <c r="U12" s="66">
        <f t="shared" si="15"/>
        <v>18395872.850000001</v>
      </c>
      <c r="V12" s="66">
        <f t="shared" si="16"/>
        <v>0</v>
      </c>
    </row>
    <row r="13" spans="1:22">
      <c r="A13" s="67" t="s">
        <v>27</v>
      </c>
      <c r="B13" s="62">
        <f t="shared" si="0"/>
        <v>78417199.219999999</v>
      </c>
      <c r="C13" s="66">
        <f>SUMIFS(卡片数据!G:G,卡片数据!$B:$B,"变电设备",卡片数据!$D:$D,"110kV",卡片数据!E:E,"&lt;2015-1-1")</f>
        <v>77930782.049999997</v>
      </c>
      <c r="D13" s="66">
        <f>SUMIFS(卡片数据!G:G,卡片数据!$B:$B,"变电设备",卡片数据!$D:$D,"110kV",卡片数据!E:E,"&gt;=2015-1-1")</f>
        <v>486417.17</v>
      </c>
      <c r="E13" s="62">
        <f t="shared" si="2"/>
        <v>78417199.219999999</v>
      </c>
      <c r="F13" s="66">
        <f>SUMIFS(卡片数据!J:J,卡片数据!$B:$B,"变电设备",卡片数据!$D:$D,"110kV",卡片数据!E:E,"&lt;2015-1-1")</f>
        <v>77930782.049999997</v>
      </c>
      <c r="G13" s="66">
        <f>SUMIFS(卡片数据!J:J,卡片数据!$B:$B,"变电设备",卡片数据!$D:$D,"110kV",卡片数据!E:E,"&gt;=2015-1-1")</f>
        <v>486417.17</v>
      </c>
      <c r="H13" s="64">
        <f t="shared" si="3"/>
        <v>57443507.189999998</v>
      </c>
      <c r="I13" s="66">
        <f>SUMIFS(卡片数据!I:I,卡片数据!$B:$B,"变电设备",卡片数据!$D:$D,"110kV",卡片数据!E:E,"&lt;2015-1-1")</f>
        <v>57377903.049999997</v>
      </c>
      <c r="J13" s="66">
        <f>SUMIFS(卡片数据!I:I,卡片数据!$B:$B,"变电设备",卡片数据!$D:$D,"110kV",卡片数据!E:E,"&gt;=2015-1-1")</f>
        <v>65604.14</v>
      </c>
      <c r="K13" s="64">
        <f t="shared" si="4"/>
        <v>59887808.509999998</v>
      </c>
      <c r="L13" s="66">
        <f>SUMIFS(卡片数据!L:L,卡片数据!$B:$B,"变电设备",卡片数据!$D:$D,"110kV",卡片数据!E:E,"&lt;2015-1-1")</f>
        <v>59791899.240000002</v>
      </c>
      <c r="M13" s="66">
        <f>SUMIFS(卡片数据!L:L,卡片数据!$B:$B,"变电设备",卡片数据!$D:$D,"110kV",卡片数据!E:E,"&gt;=2015-1-1")</f>
        <v>95909.27</v>
      </c>
      <c r="N13" s="64">
        <f t="shared" si="5"/>
        <v>2444301.3199999998</v>
      </c>
      <c r="O13" s="66">
        <f>SUMIFS(卡片数据!M:M,卡片数据!$B:$B,"变电设备",卡片数据!$D:$D,"110kV",卡片数据!E:E,"&lt;2015-1-1")</f>
        <v>2413996.19</v>
      </c>
      <c r="P13" s="66">
        <f>SUMIFS(卡片数据!M:M,卡片数据!$B:$B,"变电设备",卡片数据!$D:$D,"110kV",卡片数据!E:E,"&gt;=2015-1-1")</f>
        <v>30305.13</v>
      </c>
      <c r="Q13" s="64">
        <f t="shared" si="6"/>
        <v>20973692.030000001</v>
      </c>
      <c r="R13" s="66">
        <f t="shared" si="13"/>
        <v>20552879</v>
      </c>
      <c r="S13" s="66">
        <f t="shared" si="14"/>
        <v>420813.03</v>
      </c>
      <c r="T13" s="64">
        <f t="shared" si="9"/>
        <v>18529390.710000001</v>
      </c>
      <c r="U13" s="66">
        <f t="shared" si="15"/>
        <v>18138882.809999999</v>
      </c>
      <c r="V13" s="66">
        <f t="shared" si="16"/>
        <v>390507.9</v>
      </c>
    </row>
    <row r="14" spans="1:22">
      <c r="A14" s="67" t="s">
        <v>28</v>
      </c>
      <c r="B14" s="62">
        <f t="shared" si="0"/>
        <v>43235113.5</v>
      </c>
      <c r="C14" s="66">
        <f>SUMIFS(卡片数据!G:G,卡片数据!$B:$B,"变电设备",卡片数据!$D:$D,"35kV",卡片数据!E:E,"&lt;2015-1-1")</f>
        <v>39951843.789999999</v>
      </c>
      <c r="D14" s="66">
        <f>SUMIFS(卡片数据!G:G,卡片数据!$B:$B,"变电设备",卡片数据!$D:$D,"35kV",卡片数据!E:E,"&gt;=2015-1-1")</f>
        <v>3283269.71</v>
      </c>
      <c r="E14" s="62">
        <f t="shared" si="2"/>
        <v>43172916.369999997</v>
      </c>
      <c r="F14" s="66">
        <f>SUMIFS(卡片数据!J:J,卡片数据!$B:$B,"变电设备",卡片数据!$D:$D,"35kV",卡片数据!E:E,"&lt;2015-1-1")</f>
        <v>39889646.659999996</v>
      </c>
      <c r="G14" s="66">
        <f>SUMIFS(卡片数据!J:J,卡片数据!$B:$B,"变电设备",卡片数据!$D:$D,"35kV",卡片数据!E:E,"&gt;=2015-1-1")</f>
        <v>3283269.71</v>
      </c>
      <c r="H14" s="64">
        <f t="shared" si="3"/>
        <v>32964732.82</v>
      </c>
      <c r="I14" s="66">
        <f>SUMIFS(卡片数据!I:I,卡片数据!$B:$B,"变电设备",卡片数据!$D:$D,"35kV",卡片数据!E:E,"&lt;2015-1-1")</f>
        <v>32460271.079999998</v>
      </c>
      <c r="J14" s="66">
        <f>SUMIFS(卡片数据!I:I,卡片数据!$B:$B,"变电设备",卡片数据!$D:$D,"35kV",卡片数据!E:E,"&gt;=2015-1-1")</f>
        <v>504461.74</v>
      </c>
      <c r="K14" s="64">
        <f t="shared" si="4"/>
        <v>33968328.310000002</v>
      </c>
      <c r="L14" s="66">
        <f>SUMIFS(卡片数据!L:L,卡片数据!$B:$B,"变电设备",卡片数据!$D:$D,"35kV",卡片数据!E:E,"&lt;2015-1-1")</f>
        <v>33261421.449999999</v>
      </c>
      <c r="M14" s="66">
        <f>SUMIFS(卡片数据!L:L,卡片数据!$B:$B,"变电设备",卡片数据!$D:$D,"35kV",卡片数据!E:E,"&gt;=2015-1-1")</f>
        <v>706906.86</v>
      </c>
      <c r="N14" s="64">
        <f t="shared" si="5"/>
        <v>1003595.49</v>
      </c>
      <c r="O14" s="66">
        <f>SUMIFS(卡片数据!M:M,卡片数据!$B:$B,"变电设备",卡片数据!$D:$D,"35kV",卡片数据!E:E,"&lt;2015-1-1")</f>
        <v>801150.37</v>
      </c>
      <c r="P14" s="66">
        <f>SUMIFS(卡片数据!M:M,卡片数据!$B:$B,"变电设备",卡片数据!$D:$D,"35kV",卡片数据!E:E,"&gt;=2015-1-1")</f>
        <v>202445.12</v>
      </c>
      <c r="Q14" s="64">
        <f t="shared" si="6"/>
        <v>10270380.68</v>
      </c>
      <c r="R14" s="66">
        <f t="shared" si="13"/>
        <v>7491572.71</v>
      </c>
      <c r="S14" s="66">
        <f t="shared" si="14"/>
        <v>2778807.97</v>
      </c>
      <c r="T14" s="64">
        <f t="shared" si="9"/>
        <v>9204588.0600000005</v>
      </c>
      <c r="U14" s="66">
        <f t="shared" si="15"/>
        <v>6628225.21</v>
      </c>
      <c r="V14" s="66">
        <f t="shared" si="16"/>
        <v>2576362.85</v>
      </c>
    </row>
    <row r="15" spans="1:22">
      <c r="A15" s="67" t="s">
        <v>30</v>
      </c>
      <c r="B15" s="62">
        <f t="shared" si="0"/>
        <v>73730232.870000005</v>
      </c>
      <c r="C15" s="66">
        <f>SUMIFS(卡片数据!G:G,卡片数据!$B:$B,"变电设备",卡片数据!$D:$D,"10kV",卡片数据!E:E,"&lt;2015-1-1")</f>
        <v>68919306.519999996</v>
      </c>
      <c r="D15" s="66">
        <f>SUMIFS(卡片数据!G:G,卡片数据!$B:$B,"变电设备",卡片数据!$D:$D,"10kV",卡片数据!E:E,"&gt;=2015-1-1")</f>
        <v>4810926.3499999996</v>
      </c>
      <c r="E15" s="62">
        <f t="shared" si="2"/>
        <v>73942694.450000003</v>
      </c>
      <c r="F15" s="66">
        <f>SUMIFS(卡片数据!J:J,卡片数据!$B:$B,"变电设备",卡片数据!$D:$D,"10kV",卡片数据!E:E,"&lt;2015-1-1")</f>
        <v>68981202.760000005</v>
      </c>
      <c r="G15" s="66">
        <f>SUMIFS(卡片数据!J:J,卡片数据!$B:$B,"变电设备",卡片数据!$D:$D,"10kV",卡片数据!E:E,"&gt;=2015-1-1")</f>
        <v>4961491.6900000004</v>
      </c>
      <c r="H15" s="64">
        <f t="shared" si="3"/>
        <v>53782130.899999999</v>
      </c>
      <c r="I15" s="66">
        <f>SUMIFS(卡片数据!I:I,卡片数据!$B:$B,"变电设备",卡片数据!$D:$D,"10kV",卡片数据!E:E,"&lt;2015-1-1")</f>
        <v>53675305.759999998</v>
      </c>
      <c r="J15" s="66">
        <f>SUMIFS(卡片数据!I:I,卡片数据!$B:$B,"变电设备",卡片数据!$D:$D,"10kV",卡片数据!E:E,"&gt;=2015-1-1")</f>
        <v>106825.14</v>
      </c>
      <c r="K15" s="64">
        <f t="shared" si="4"/>
        <v>55775633.640000001</v>
      </c>
      <c r="L15" s="66">
        <f>SUMIFS(卡片数据!L:L,卡片数据!$B:$B,"变电设备",卡片数据!$D:$D,"10kV",卡片数据!E:E,"&lt;2015-1-1")</f>
        <v>55364181.130000003</v>
      </c>
      <c r="M15" s="66">
        <f>SUMIFS(卡片数据!L:L,卡片数据!$B:$B,"变电设备",卡片数据!$D:$D,"10kV",卡片数据!E:E,"&gt;=2015-1-1")</f>
        <v>411452.51</v>
      </c>
      <c r="N15" s="64">
        <f t="shared" si="5"/>
        <v>1931606.5</v>
      </c>
      <c r="O15" s="66">
        <f>SUMIFS(卡片数据!M:M,卡片数据!$B:$B,"变电设备",卡片数据!$D:$D,"10kV",卡片数据!E:E,"&lt;2015-1-1")</f>
        <v>1626979.13</v>
      </c>
      <c r="P15" s="66">
        <f>SUMIFS(卡片数据!M:M,卡片数据!$B:$B,"变电设备",卡片数据!$D:$D,"10kV",卡片数据!E:E,"&gt;=2015-1-1")</f>
        <v>304627.37</v>
      </c>
      <c r="Q15" s="64">
        <f t="shared" si="6"/>
        <v>19948101.969999999</v>
      </c>
      <c r="R15" s="66">
        <f t="shared" si="13"/>
        <v>15244000.76</v>
      </c>
      <c r="S15" s="66">
        <f t="shared" si="14"/>
        <v>4704101.21</v>
      </c>
      <c r="T15" s="64">
        <f t="shared" si="9"/>
        <v>18167060.809999999</v>
      </c>
      <c r="U15" s="66">
        <f t="shared" si="15"/>
        <v>13617021.630000001</v>
      </c>
      <c r="V15" s="66">
        <f t="shared" si="16"/>
        <v>4550039.18</v>
      </c>
    </row>
    <row r="16" spans="1:22">
      <c r="A16" s="68" t="s">
        <v>63</v>
      </c>
      <c r="B16" s="62">
        <f t="shared" si="0"/>
        <v>831275575.87</v>
      </c>
      <c r="C16" s="63">
        <f>C17+C21</f>
        <v>747203348.80999994</v>
      </c>
      <c r="D16" s="63">
        <f>D17+D21</f>
        <v>84072227.060000002</v>
      </c>
      <c r="E16" s="62">
        <f t="shared" si="2"/>
        <v>857697277.82000005</v>
      </c>
      <c r="F16" s="63">
        <f>F17+F21</f>
        <v>745051080.08000004</v>
      </c>
      <c r="G16" s="63">
        <f t="shared" ref="G16:V16" si="17">G17+G21</f>
        <v>112646197.73999999</v>
      </c>
      <c r="H16" s="64">
        <f t="shared" si="3"/>
        <v>517407262.73000002</v>
      </c>
      <c r="I16" s="63">
        <f t="shared" si="17"/>
        <v>505393825.50999999</v>
      </c>
      <c r="J16" s="63">
        <f t="shared" si="17"/>
        <v>12013437.220000001</v>
      </c>
      <c r="K16" s="64">
        <f t="shared" si="4"/>
        <v>550164114.44000006</v>
      </c>
      <c r="L16" s="63">
        <f t="shared" si="17"/>
        <v>532138063.18000001</v>
      </c>
      <c r="M16" s="63">
        <f t="shared" si="17"/>
        <v>18026051.260000002</v>
      </c>
      <c r="N16" s="64">
        <f t="shared" si="5"/>
        <v>32756851.710000001</v>
      </c>
      <c r="O16" s="63">
        <f t="shared" si="17"/>
        <v>26744237.670000002</v>
      </c>
      <c r="P16" s="63">
        <f t="shared" si="17"/>
        <v>6012614.04</v>
      </c>
      <c r="Q16" s="64">
        <f t="shared" si="6"/>
        <v>313868313.13999999</v>
      </c>
      <c r="R16" s="63">
        <f t="shared" si="17"/>
        <v>241809523.30000001</v>
      </c>
      <c r="S16" s="63">
        <f t="shared" si="17"/>
        <v>72058789.840000004</v>
      </c>
      <c r="T16" s="64">
        <f t="shared" si="9"/>
        <v>307533163.38</v>
      </c>
      <c r="U16" s="63">
        <f t="shared" si="17"/>
        <v>212913016.90000001</v>
      </c>
      <c r="V16" s="63">
        <f t="shared" si="17"/>
        <v>94620146.480000004</v>
      </c>
    </row>
    <row r="17" spans="1:22">
      <c r="A17" s="69" t="s">
        <v>64</v>
      </c>
      <c r="B17" s="62">
        <f t="shared" si="0"/>
        <v>673900611.35000002</v>
      </c>
      <c r="C17" s="70">
        <f>SUM(C18:C20)</f>
        <v>604761636.16999996</v>
      </c>
      <c r="D17" s="70">
        <f t="shared" ref="D17:V17" si="18">SUM(D18:D20)</f>
        <v>69138975.180000007</v>
      </c>
      <c r="E17" s="62">
        <f t="shared" si="2"/>
        <v>687584576.60000002</v>
      </c>
      <c r="F17" s="70">
        <f t="shared" si="18"/>
        <v>602309014.34000003</v>
      </c>
      <c r="G17" s="70">
        <f t="shared" si="18"/>
        <v>85275562.260000005</v>
      </c>
      <c r="H17" s="64">
        <f t="shared" si="3"/>
        <v>417271430.00999999</v>
      </c>
      <c r="I17" s="70">
        <f t="shared" si="18"/>
        <v>407405312.92000002</v>
      </c>
      <c r="J17" s="70">
        <f t="shared" si="18"/>
        <v>9866117.0899999999</v>
      </c>
      <c r="K17" s="64">
        <f t="shared" si="4"/>
        <v>444401196.37</v>
      </c>
      <c r="L17" s="70">
        <f t="shared" si="18"/>
        <v>429836359.83999997</v>
      </c>
      <c r="M17" s="70">
        <f t="shared" si="18"/>
        <v>14564836.529999999</v>
      </c>
      <c r="N17" s="64">
        <f t="shared" si="5"/>
        <v>27129766.359999999</v>
      </c>
      <c r="O17" s="70">
        <f t="shared" si="18"/>
        <v>22431046.920000002</v>
      </c>
      <c r="P17" s="70">
        <f t="shared" si="18"/>
        <v>4698719.4400000004</v>
      </c>
      <c r="Q17" s="64">
        <f t="shared" si="6"/>
        <v>256629181.34</v>
      </c>
      <c r="R17" s="70">
        <f t="shared" si="18"/>
        <v>197356323.25</v>
      </c>
      <c r="S17" s="70">
        <f t="shared" si="18"/>
        <v>59272858.090000004</v>
      </c>
      <c r="T17" s="64">
        <f t="shared" si="9"/>
        <v>243183380.22999999</v>
      </c>
      <c r="U17" s="70">
        <f t="shared" si="18"/>
        <v>172472654.5</v>
      </c>
      <c r="V17" s="70">
        <f t="shared" si="18"/>
        <v>70710725.730000004</v>
      </c>
    </row>
    <row r="18" spans="1:22">
      <c r="A18" s="67" t="s">
        <v>28</v>
      </c>
      <c r="B18" s="62">
        <f t="shared" si="0"/>
        <v>0</v>
      </c>
      <c r="C18" s="66">
        <f>SUMIFS(卡片数据!G:G,卡片数据!$B:$B,"配电线路",卡片数据!$D:$D,"35kV",卡片数据!E:E,"&lt;2015-1-1")</f>
        <v>0</v>
      </c>
      <c r="D18" s="66">
        <f>SUMIFS(卡片数据!G:G,卡片数据!$B:$B,"配电线路",卡片数据!$D:$D,"35kV",卡片数据!E:E,"&gt;=2015-1-1")</f>
        <v>0</v>
      </c>
      <c r="E18" s="62">
        <f t="shared" si="2"/>
        <v>0</v>
      </c>
      <c r="F18" s="66">
        <f>SUMIFS(卡片数据!J:J,卡片数据!$B:$B,"配电线路",卡片数据!$D:$D,"35kV",卡片数据!E:E,"&lt;2015-1-1")</f>
        <v>0</v>
      </c>
      <c r="G18" s="66">
        <f>SUMIFS(卡片数据!J:J,卡片数据!$B:$B,"配电线路",卡片数据!$D:$D,"35kV",卡片数据!E:E,"&gt;=2015-1-1")</f>
        <v>0</v>
      </c>
      <c r="H18" s="64">
        <f t="shared" si="3"/>
        <v>0</v>
      </c>
      <c r="I18" s="66">
        <f>SUMIFS(卡片数据!I:I,卡片数据!$B:$B,"配电线路",卡片数据!$D:$D,"35kV",卡片数据!E:E,"&lt;2015-1-1")</f>
        <v>0</v>
      </c>
      <c r="J18" s="66">
        <f>SUMIFS(卡片数据!I:I,卡片数据!$B:$B,"配电线路",卡片数据!$D:$D,"35kV",卡片数据!E:E,"&gt;=2015-1-1")</f>
        <v>0</v>
      </c>
      <c r="K18" s="64">
        <f t="shared" si="4"/>
        <v>0</v>
      </c>
      <c r="L18" s="66">
        <f>SUMIFS(卡片数据!L:L,卡片数据!$B:$B,"配电线路",卡片数据!$D:$D,"35kV",卡片数据!E:E,"&lt;2015-1-1")</f>
        <v>0</v>
      </c>
      <c r="M18" s="66">
        <f>SUMIFS(卡片数据!L:L,卡片数据!$B:$B,"配电线路",卡片数据!$D:$D,"35kV",卡片数据!E:E,"&gt;=2015-1-1")</f>
        <v>0</v>
      </c>
      <c r="N18" s="64">
        <f t="shared" si="5"/>
        <v>0</v>
      </c>
      <c r="O18" s="66">
        <f>SUMIFS(卡片数据!M:M,卡片数据!$B:$B,"配电线路",卡片数据!$D:$D,"35kV",卡片数据!E:E,"&lt;2015-1-1")</f>
        <v>0</v>
      </c>
      <c r="P18" s="66">
        <f>SUMIFS(卡片数据!M:M,卡片数据!$B:$B,"配电线路",卡片数据!$D:$D,"35kV",卡片数据!E:E,"&gt;=2015-1-1")</f>
        <v>0</v>
      </c>
      <c r="Q18" s="64">
        <f t="shared" si="6"/>
        <v>0</v>
      </c>
      <c r="R18" s="66">
        <f t="shared" ref="R18:R20" si="19">C18-I18</f>
        <v>0</v>
      </c>
      <c r="S18" s="66">
        <f t="shared" ref="S18:S20" si="20">D18-J18</f>
        <v>0</v>
      </c>
      <c r="T18" s="64">
        <f t="shared" si="9"/>
        <v>0</v>
      </c>
      <c r="U18" s="66">
        <f t="shared" ref="U18:U20" si="21">F18-L18</f>
        <v>0</v>
      </c>
      <c r="V18" s="66">
        <f t="shared" ref="V18:V20" si="22">G18-M18</f>
        <v>0</v>
      </c>
    </row>
    <row r="19" spans="1:22">
      <c r="A19" s="67" t="s">
        <v>30</v>
      </c>
      <c r="B19" s="62">
        <f t="shared" si="0"/>
        <v>317677954.10000002</v>
      </c>
      <c r="C19" s="66">
        <f>SUMIFS(卡片数据!G:G,卡片数据!$B:$B,"配电线路",卡片数据!$D:$D,"10kV",卡片数据!E:E,"&lt;2015-1-1")</f>
        <v>306751680.13</v>
      </c>
      <c r="D19" s="66">
        <f>SUMIFS(卡片数据!G:G,卡片数据!$B:$B,"配电线路",卡片数据!$D:$D,"10kV",卡片数据!E:E,"&gt;=2015-1-1")</f>
        <v>10926273.970000001</v>
      </c>
      <c r="E19" s="62">
        <f t="shared" si="2"/>
        <v>317357922.81</v>
      </c>
      <c r="F19" s="66">
        <f>SUMIFS(卡片数据!J:J,卡片数据!$B:$B,"配电线路",卡片数据!$D:$D,"10kV",卡片数据!E:E,"&lt;2015-1-1")</f>
        <v>304299058.30000001</v>
      </c>
      <c r="G19" s="66">
        <f>SUMIFS(卡片数据!J:J,卡片数据!$B:$B,"配电线路",卡片数据!$D:$D,"10kV",卡片数据!E:E,"&gt;=2015-1-1")</f>
        <v>13058864.51</v>
      </c>
      <c r="H19" s="64">
        <f t="shared" si="3"/>
        <v>207990635.08000001</v>
      </c>
      <c r="I19" s="66">
        <f>SUMIFS(卡片数据!I:I,卡片数据!$B:$B,"配电线路",卡片数据!$D:$D,"10kV",卡片数据!E:E,"&lt;2015-1-1")</f>
        <v>206926649.53</v>
      </c>
      <c r="J19" s="66">
        <f>SUMIFS(卡片数据!I:I,卡片数据!$B:$B,"配电线路",卡片数据!$D:$D,"10kV",卡片数据!E:E,"&gt;=2015-1-1")</f>
        <v>1063985.55</v>
      </c>
      <c r="K19" s="64">
        <f t="shared" si="4"/>
        <v>220977572.19</v>
      </c>
      <c r="L19" s="66">
        <f>SUMIFS(卡片数据!L:L,卡片数据!$B:$B,"配电线路",卡片数据!$D:$D,"10kV",卡片数据!E:E,"&lt;2015-1-1")</f>
        <v>219214189.02000001</v>
      </c>
      <c r="M19" s="66">
        <f>SUMIFS(卡片数据!L:L,卡片数据!$B:$B,"配电线路",卡片数据!$D:$D,"10kV",卡片数据!E:E,"&gt;=2015-1-1")</f>
        <v>1763383.17</v>
      </c>
      <c r="N19" s="64">
        <f t="shared" si="5"/>
        <v>12986937.109999999</v>
      </c>
      <c r="O19" s="66">
        <f>SUMIFS(卡片数据!M:M,卡片数据!$B:$B,"配电线路",卡片数据!$D:$D,"10kV",卡片数据!E:E,"&lt;2015-1-1")</f>
        <v>12287539.49</v>
      </c>
      <c r="P19" s="66">
        <f>SUMIFS(卡片数据!M:M,卡片数据!$B:$B,"配电线路",卡片数据!$D:$D,"10kV",卡片数据!E:E,"&gt;=2015-1-1")</f>
        <v>699397.62</v>
      </c>
      <c r="Q19" s="64">
        <f t="shared" si="6"/>
        <v>109687319.02</v>
      </c>
      <c r="R19" s="66">
        <f t="shared" si="19"/>
        <v>99825030.599999994</v>
      </c>
      <c r="S19" s="66">
        <f t="shared" si="20"/>
        <v>9862288.4199999999</v>
      </c>
      <c r="T19" s="64">
        <f t="shared" si="9"/>
        <v>96380350.620000005</v>
      </c>
      <c r="U19" s="66">
        <f t="shared" si="21"/>
        <v>85084869.280000001</v>
      </c>
      <c r="V19" s="66">
        <f t="shared" si="22"/>
        <v>11295481.34</v>
      </c>
    </row>
    <row r="20" spans="1:22">
      <c r="A20" s="67" t="s">
        <v>32</v>
      </c>
      <c r="B20" s="62">
        <f t="shared" si="0"/>
        <v>356222657.25</v>
      </c>
      <c r="C20" s="66">
        <f>SUMIFS(卡片数据!G:G,卡片数据!$B:$B,"配电线路",卡片数据!$D:$D,"10kV以下",卡片数据!E:E,"&lt;2015-1-1")</f>
        <v>298009956.04000002</v>
      </c>
      <c r="D20" s="66">
        <f>SUMIFS(卡片数据!G:G,卡片数据!$B:$B,"配电线路",卡片数据!$D:$D,"10kV以下",卡片数据!E:E,"&gt;=2015-1-1")</f>
        <v>58212701.210000001</v>
      </c>
      <c r="E20" s="62">
        <f t="shared" si="2"/>
        <v>370226653.79000002</v>
      </c>
      <c r="F20" s="66">
        <f>SUMIFS(卡片数据!J:J,卡片数据!$B:$B,"配电线路",卡片数据!$D:$D,"10kV以下",卡片数据!E:E,"&lt;2015-1-1")</f>
        <v>298009956.04000002</v>
      </c>
      <c r="G20" s="66">
        <f>SUMIFS(卡片数据!J:J,卡片数据!$B:$B,"配电线路",卡片数据!$D:$D,"10kV以下",卡片数据!E:E,"&gt;=2015-1-1")</f>
        <v>72216697.75</v>
      </c>
      <c r="H20" s="64">
        <f t="shared" si="3"/>
        <v>209280794.93000001</v>
      </c>
      <c r="I20" s="66">
        <f>SUMIFS(卡片数据!I:I,卡片数据!$B:$B,"配电线路",卡片数据!$D:$D,"10kV以下",卡片数据!E:E,"&lt;2015-1-1")</f>
        <v>200478663.38999999</v>
      </c>
      <c r="J20" s="66">
        <f>SUMIFS(卡片数据!I:I,卡片数据!$B:$B,"配电线路",卡片数据!$D:$D,"10kV以下",卡片数据!E:E,"&gt;=2015-1-1")</f>
        <v>8802131.5399999991</v>
      </c>
      <c r="K20" s="64">
        <f t="shared" si="4"/>
        <v>223423624.18000001</v>
      </c>
      <c r="L20" s="66">
        <f>SUMIFS(卡片数据!L:L,卡片数据!$B:$B,"配电线路",卡片数据!$D:$D,"10kV以下",卡片数据!E:E,"&lt;2015-1-1")</f>
        <v>210622170.81999999</v>
      </c>
      <c r="M20" s="66">
        <f>SUMIFS(卡片数据!L:L,卡片数据!$B:$B,"配电线路",卡片数据!$D:$D,"10kV以下",卡片数据!E:E,"&gt;=2015-1-1")</f>
        <v>12801453.359999999</v>
      </c>
      <c r="N20" s="64">
        <f t="shared" si="5"/>
        <v>14142829.25</v>
      </c>
      <c r="O20" s="66">
        <f>SUMIFS(卡片数据!M:M,卡片数据!$B:$B,"配电线路",卡片数据!$D:$D,"10kV以下",卡片数据!E:E,"&lt;2015-1-1")</f>
        <v>10143507.43</v>
      </c>
      <c r="P20" s="66">
        <f>SUMIFS(卡片数据!M:M,卡片数据!$B:$B,"配电线路",卡片数据!$D:$D,"10kV以下",卡片数据!E:E,"&gt;=2015-1-1")</f>
        <v>3999321.82</v>
      </c>
      <c r="Q20" s="64">
        <f t="shared" si="6"/>
        <v>146941862.31999999</v>
      </c>
      <c r="R20" s="66">
        <f t="shared" si="19"/>
        <v>97531292.650000006</v>
      </c>
      <c r="S20" s="66">
        <f t="shared" si="20"/>
        <v>49410569.670000002</v>
      </c>
      <c r="T20" s="64">
        <f t="shared" si="9"/>
        <v>146803029.61000001</v>
      </c>
      <c r="U20" s="66">
        <f t="shared" si="21"/>
        <v>87387785.219999999</v>
      </c>
      <c r="V20" s="66">
        <f t="shared" si="22"/>
        <v>59415244.390000001</v>
      </c>
    </row>
    <row r="21" spans="1:22">
      <c r="A21" s="69" t="s">
        <v>65</v>
      </c>
      <c r="B21" s="62">
        <f t="shared" si="0"/>
        <v>157374964.52000001</v>
      </c>
      <c r="C21" s="70">
        <f>SUM(C22:C24)</f>
        <v>142441712.63999999</v>
      </c>
      <c r="D21" s="70">
        <f t="shared" ref="D21:V21" si="23">SUM(D22:D24)</f>
        <v>14933251.880000001</v>
      </c>
      <c r="E21" s="62">
        <f t="shared" si="2"/>
        <v>170112701.22</v>
      </c>
      <c r="F21" s="70">
        <f>SUM(F22:F24)</f>
        <v>142742065.74000001</v>
      </c>
      <c r="G21" s="70">
        <f t="shared" si="23"/>
        <v>27370635.48</v>
      </c>
      <c r="H21" s="64">
        <f t="shared" si="3"/>
        <v>100135832.72</v>
      </c>
      <c r="I21" s="70">
        <f>SUM(I22:I24)</f>
        <v>97988512.590000004</v>
      </c>
      <c r="J21" s="70">
        <f t="shared" si="23"/>
        <v>2147320.13</v>
      </c>
      <c r="K21" s="64">
        <f t="shared" si="4"/>
        <v>105762918.06999999</v>
      </c>
      <c r="L21" s="70">
        <f t="shared" si="23"/>
        <v>102301703.34</v>
      </c>
      <c r="M21" s="70">
        <f t="shared" si="23"/>
        <v>3461214.73</v>
      </c>
      <c r="N21" s="64">
        <f t="shared" si="5"/>
        <v>5627085.3499999996</v>
      </c>
      <c r="O21" s="70">
        <f t="shared" si="23"/>
        <v>4313190.75</v>
      </c>
      <c r="P21" s="70">
        <f t="shared" si="23"/>
        <v>1313894.6000000001</v>
      </c>
      <c r="Q21" s="64">
        <f t="shared" si="6"/>
        <v>57239131.799999997</v>
      </c>
      <c r="R21" s="70">
        <f t="shared" si="23"/>
        <v>44453200.049999997</v>
      </c>
      <c r="S21" s="70">
        <f t="shared" si="23"/>
        <v>12785931.75</v>
      </c>
      <c r="T21" s="64">
        <f t="shared" si="9"/>
        <v>64349783.149999999</v>
      </c>
      <c r="U21" s="70">
        <f t="shared" si="23"/>
        <v>40440362.399999999</v>
      </c>
      <c r="V21" s="70">
        <f t="shared" si="23"/>
        <v>23909420.75</v>
      </c>
    </row>
    <row r="22" spans="1:22">
      <c r="A22" s="67" t="s">
        <v>28</v>
      </c>
      <c r="B22" s="62">
        <f t="shared" si="0"/>
        <v>0</v>
      </c>
      <c r="C22" s="66">
        <f>SUMIFS(卡片数据!G:G,卡片数据!$B:$B,"配电设备-其他",卡片数据!$D:$D,"35kV",卡片数据!E:E,"&lt;2015-1-1")</f>
        <v>0</v>
      </c>
      <c r="D22" s="66">
        <f>SUMIFS(卡片数据!G:G,卡片数据!$B:$B,"配电设备-其他",卡片数据!$D:$D,"35kV",卡片数据!E:E,"&gt;=2015-1-1")</f>
        <v>0</v>
      </c>
      <c r="E22" s="62">
        <f t="shared" si="2"/>
        <v>0</v>
      </c>
      <c r="F22" s="66">
        <f>SUMIFS(卡片数据!J:J,卡片数据!$B:$B,"配电设备-其他",卡片数据!$D:$D,"35kV",卡片数据!E:E,"&lt;2015-1-1")</f>
        <v>0</v>
      </c>
      <c r="G22" s="66">
        <f>SUMIFS(卡片数据!J:J,卡片数据!$B:$B,"配电设备-其他",卡片数据!$D:$D,"35kV",卡片数据!E:E,"&gt;=2015-1-1")</f>
        <v>0</v>
      </c>
      <c r="H22" s="64">
        <f t="shared" si="3"/>
        <v>0</v>
      </c>
      <c r="I22" s="66">
        <f>SUMIFS(卡片数据!I:I,卡片数据!$B:$B,"配电设备-其他",卡片数据!$D:$D,"35kV",卡片数据!E:E,"&lt;2015-1-1")</f>
        <v>0</v>
      </c>
      <c r="J22" s="66">
        <f>SUMIFS(卡片数据!I:I,卡片数据!$B:$B,"配电设备-其他",卡片数据!$D:$D,"35kV",卡片数据!E:E,"&gt;=2015-1-1")</f>
        <v>0</v>
      </c>
      <c r="K22" s="64">
        <f t="shared" si="4"/>
        <v>0</v>
      </c>
      <c r="L22" s="66">
        <f>SUMIFS(卡片数据!L:L,卡片数据!$B:$B,"配电设备-其他",卡片数据!$D:$D,"35kV",卡片数据!E:E,"&lt;2015-1-1")</f>
        <v>0</v>
      </c>
      <c r="M22" s="66">
        <f>SUMIFS(卡片数据!L:L,卡片数据!$B:$B,"配电设备-其他",卡片数据!$D:$D,"35kV",卡片数据!E:E,"&gt;=2015-1-1")</f>
        <v>0</v>
      </c>
      <c r="N22" s="64">
        <f t="shared" si="5"/>
        <v>0</v>
      </c>
      <c r="O22" s="66">
        <f>SUMIFS(卡片数据!M:M,卡片数据!$B:$B,"配电设备-其他",卡片数据!$D:$D,"35kV",卡片数据!E:E,"&lt;2015-1-1")</f>
        <v>0</v>
      </c>
      <c r="P22" s="66">
        <f>SUMIFS(卡片数据!M:M,卡片数据!$B:$B,"配电设备-其他",卡片数据!$D:$D,"35kV",卡片数据!E:E,"&gt;=2015-1-1")</f>
        <v>0</v>
      </c>
      <c r="Q22" s="64">
        <f t="shared" si="6"/>
        <v>0</v>
      </c>
      <c r="R22" s="66">
        <f t="shared" ref="R22:R27" si="24">C22-I22</f>
        <v>0</v>
      </c>
      <c r="S22" s="66">
        <f t="shared" ref="S22:S27" si="25">D22-J22</f>
        <v>0</v>
      </c>
      <c r="T22" s="64">
        <f t="shared" si="9"/>
        <v>0</v>
      </c>
      <c r="U22" s="66">
        <f t="shared" ref="U22:U27" si="26">F22-L22</f>
        <v>0</v>
      </c>
      <c r="V22" s="66">
        <f t="shared" ref="V22:V27" si="27">G22-M22</f>
        <v>0</v>
      </c>
    </row>
    <row r="23" spans="1:22">
      <c r="A23" s="67" t="s">
        <v>30</v>
      </c>
      <c r="B23" s="62">
        <f t="shared" si="0"/>
        <v>111721649.67</v>
      </c>
      <c r="C23" s="66">
        <f>SUMIFS(卡片数据!G:G,卡片数据!$B:$B,"配电设备-其他",卡片数据!$D:$D,"10kV",卡片数据!E:E,"&lt;2015-1-1")</f>
        <v>96788397.790000007</v>
      </c>
      <c r="D23" s="66">
        <f>SUMIFS(卡片数据!G:G,卡片数据!$B:$B,"配电设备-其他",卡片数据!$D:$D,"10kV",卡片数据!E:E,"&gt;=2015-1-1")</f>
        <v>14933251.880000001</v>
      </c>
      <c r="E23" s="62">
        <f t="shared" si="2"/>
        <v>124459386.37</v>
      </c>
      <c r="F23" s="66">
        <f>SUMIFS(卡片数据!J:J,卡片数据!$B:$B,"配电设备-其他",卡片数据!$D:$D,"10kV",卡片数据!E:E,"&lt;2015-1-1")</f>
        <v>97088750.890000001</v>
      </c>
      <c r="G23" s="66">
        <f>SUMIFS(卡片数据!J:J,卡片数据!$B:$B,"配电设备-其他",卡片数据!$D:$D,"10kV",卡片数据!E:E,"&gt;=2015-1-1")</f>
        <v>27370635.48</v>
      </c>
      <c r="H23" s="64">
        <f t="shared" si="3"/>
        <v>67242757.120000005</v>
      </c>
      <c r="I23" s="66">
        <f>SUMIFS(卡片数据!I:I,卡片数据!$B:$B,"配电设备-其他",卡片数据!$D:$D,"10kV",卡片数据!E:E,"&lt;2015-1-1")</f>
        <v>65095436.990000002</v>
      </c>
      <c r="J23" s="66">
        <f>SUMIFS(卡片数据!I:I,卡片数据!$B:$B,"配电设备-其他",卡片数据!$D:$D,"10kV",卡片数据!E:E,"&gt;=2015-1-1")</f>
        <v>2147320.13</v>
      </c>
      <c r="K23" s="64">
        <f t="shared" si="4"/>
        <v>71532704.290000007</v>
      </c>
      <c r="L23" s="66">
        <f>SUMIFS(卡片数据!L:L,卡片数据!$B:$B,"配电设备-其他",卡片数据!$D:$D,"10kV",卡片数据!E:E,"&lt;2015-1-1")</f>
        <v>68071489.560000002</v>
      </c>
      <c r="M23" s="66">
        <f>SUMIFS(卡片数据!L:L,卡片数据!$B:$B,"配电设备-其他",卡片数据!$D:$D,"10kV",卡片数据!E:E,"&gt;=2015-1-1")</f>
        <v>3461214.73</v>
      </c>
      <c r="N23" s="64">
        <f t="shared" si="5"/>
        <v>4289947.17</v>
      </c>
      <c r="O23" s="66">
        <f>SUMIFS(卡片数据!M:M,卡片数据!$B:$B,"配电设备-其他",卡片数据!$D:$D,"10kV",卡片数据!E:E,"&lt;2015-1-1")</f>
        <v>2976052.57</v>
      </c>
      <c r="P23" s="66">
        <f>SUMIFS(卡片数据!M:M,卡片数据!$B:$B,"配电设备-其他",卡片数据!$D:$D,"10kV",卡片数据!E:E,"&gt;=2015-1-1")</f>
        <v>1313894.6000000001</v>
      </c>
      <c r="Q23" s="64">
        <f t="shared" si="6"/>
        <v>44478892.549999997</v>
      </c>
      <c r="R23" s="66">
        <f t="shared" si="24"/>
        <v>31692960.800000001</v>
      </c>
      <c r="S23" s="66">
        <f t="shared" si="25"/>
        <v>12785931.75</v>
      </c>
      <c r="T23" s="64">
        <f t="shared" si="9"/>
        <v>52926682.079999998</v>
      </c>
      <c r="U23" s="66">
        <f t="shared" si="26"/>
        <v>29017261.329999998</v>
      </c>
      <c r="V23" s="66">
        <f t="shared" si="27"/>
        <v>23909420.75</v>
      </c>
    </row>
    <row r="24" spans="1:22">
      <c r="A24" s="67" t="s">
        <v>32</v>
      </c>
      <c r="B24" s="62">
        <f t="shared" si="0"/>
        <v>45653314.850000001</v>
      </c>
      <c r="C24" s="66">
        <f>SUMIFS(卡片数据!G:G,卡片数据!$B:$B,"配电设备-其他",卡片数据!$D:$D,"10kV以下",卡片数据!E:E,"&lt;2015-1-1")+SUMIFS(卡片数据!G:G,卡片数据!$B:$B,"配电设备-电动汽车充换电设备",卡片数据!E:E,"&lt;2015-1-1")</f>
        <v>45653314.850000001</v>
      </c>
      <c r="D24" s="66">
        <f>SUMIFS(卡片数据!G:G,卡片数据!$B:$B,"配电设备-其他",卡片数据!$D:$D,"10kV以下",卡片数据!E:E,"&gt;=2015-1-1")+SUMIFS(卡片数据!G:G,卡片数据!$B:$B,"配电设备-电动汽车充换电设备",卡片数据!E:E,"&gt;=2015-1-1")</f>
        <v>0</v>
      </c>
      <c r="E24" s="62">
        <f t="shared" si="2"/>
        <v>45653314.850000001</v>
      </c>
      <c r="F24" s="66">
        <f>SUMIFS(卡片数据!J:J,卡片数据!$B:$B,"配电设备-其他",卡片数据!$D:$D,"10kV以下",卡片数据!E:E,"&lt;2015-1-1")+SUMIFS(卡片数据!J:J,卡片数据!$B:$B,"配电设备-电动汽车充换电设备",卡片数据!E:E,"&lt;2015-1-1")</f>
        <v>45653314.850000001</v>
      </c>
      <c r="G24" s="66">
        <f>SUMIFS(卡片数据!J:J,卡片数据!$B:$B,"配电设备-其他",卡片数据!$D:$D,"10kV以下",卡片数据!E:E,"&gt;=2015-1-1")+SUMIFS(卡片数据!J:J,卡片数据!$B:$B,"配电设备-电动汽车充换电设备",卡片数据!E:E,"&gt;=2015-1-1")</f>
        <v>0</v>
      </c>
      <c r="H24" s="64">
        <f t="shared" si="3"/>
        <v>32893075.600000001</v>
      </c>
      <c r="I24" s="66">
        <f>SUMIFS(卡片数据!I:I,卡片数据!$B:$B,"配电设备-其他",卡片数据!$D:$D,"10kV以下",卡片数据!E:E,"&lt;2015-1-1")+SUMIFS(卡片数据!I:I,卡片数据!$B:$B,"配电设备-电动汽车充换电设备",卡片数据!E:E,"&lt;2015-1-1")</f>
        <v>32893075.600000001</v>
      </c>
      <c r="J24" s="66">
        <f>SUMIFS(卡片数据!I:I,卡片数据!$B:$B,"配电设备-其他",卡片数据!$D:$D,"10kV以下",卡片数据!E:E,"&gt;=2015-1-1")+SUMIFS(卡片数据!I:I,卡片数据!$B:$B,"配电设备-电动汽车充换电设备",卡片数据!E:E,"&gt;=2015-1-1")</f>
        <v>0</v>
      </c>
      <c r="K24" s="64">
        <f t="shared" si="4"/>
        <v>34230213.780000001</v>
      </c>
      <c r="L24" s="66">
        <f>SUMIFS(卡片数据!L:L,卡片数据!$B:$B,"配电设备-其他",卡片数据!$D:$D,"10kV以下",卡片数据!E:E,"&lt;2015-1-1")+SUMIFS(卡片数据!L:L,卡片数据!$B:$B,"配电设备-电动汽车充换电设备",卡片数据!E:E,"&lt;2015-1-1")</f>
        <v>34230213.780000001</v>
      </c>
      <c r="M24" s="66">
        <f>SUMIFS(卡片数据!L:L,卡片数据!$B:$B,"配电设备-其他",卡片数据!$D:$D,"10kV以下",卡片数据!E:E,"&gt;=2015-1-1")+SUMIFS(卡片数据!L:L,卡片数据!$B:$B,"配电设备-电动汽车充换电设备",卡片数据!E:E,"&gt;=2015-1-1")</f>
        <v>0</v>
      </c>
      <c r="N24" s="64">
        <f t="shared" si="5"/>
        <v>1337138.18</v>
      </c>
      <c r="O24" s="66">
        <f>SUMIFS(卡片数据!M:M,卡片数据!$B:$B,"配电设备-其他",卡片数据!$D:$D,"10kV以下",卡片数据!E:E,"&lt;2015-1-1")+SUMIFS(卡片数据!M:M,卡片数据!$B:$B,"配电设备-电动汽车充换电设备",卡片数据!E:E,"&lt;2015-1-1")</f>
        <v>1337138.18</v>
      </c>
      <c r="P24" s="66">
        <f>SUMIFS(卡片数据!M:M,卡片数据!$B:$B,"配电设备-其他",卡片数据!$D:$D,"10kV以下",卡片数据!E:E,"&gt;=2015-1-1")+SUMIFS(卡片数据!M:M,卡片数据!$B:$B,"配电设备-电动汽车充换电设备",卡片数据!E:E,"&gt;=2015-1-1")</f>
        <v>0</v>
      </c>
      <c r="Q24" s="64">
        <f t="shared" si="6"/>
        <v>12760239.25</v>
      </c>
      <c r="R24" s="66">
        <f t="shared" si="24"/>
        <v>12760239.25</v>
      </c>
      <c r="S24" s="66">
        <f t="shared" si="25"/>
        <v>0</v>
      </c>
      <c r="T24" s="64">
        <f t="shared" si="9"/>
        <v>11423101.07</v>
      </c>
      <c r="U24" s="66">
        <f t="shared" si="26"/>
        <v>11423101.07</v>
      </c>
      <c r="V24" s="66">
        <f t="shared" si="27"/>
        <v>0</v>
      </c>
    </row>
    <row r="25" spans="1:22">
      <c r="A25" s="71" t="s">
        <v>34</v>
      </c>
      <c r="B25" s="62">
        <f t="shared" si="0"/>
        <v>298717.98</v>
      </c>
      <c r="C25" s="66">
        <f>SUMIFS(卡片数据!G:G,卡片数据!$B:$B,"配电设备-电动汽车充换电设备",卡片数据!E:E,"&lt;2015-1-1")</f>
        <v>298717.98</v>
      </c>
      <c r="D25" s="66">
        <f>SUMIFS(卡片数据!G:G,卡片数据!$B:$B,"配电设备-电动汽车充换电设备",卡片数据!E:E,"&gt;=2015-1-1")</f>
        <v>0</v>
      </c>
      <c r="E25" s="62">
        <f t="shared" si="2"/>
        <v>298717.98</v>
      </c>
      <c r="F25" s="66">
        <f>SUMIFS(卡片数据!J:J,卡片数据!$B:$B,"配电设备-电动汽车充换电设备",卡片数据!E:E,"&lt;2015-1-1")</f>
        <v>298717.98</v>
      </c>
      <c r="G25" s="66">
        <f>SUMIFS(卡片数据!J:J,卡片数据!$B:$B,"配电设备-电动汽车充换电设备",卡片数据!E:E,"&gt;=2015-1-1")</f>
        <v>0</v>
      </c>
      <c r="H25" s="64">
        <f t="shared" si="3"/>
        <v>160446</v>
      </c>
      <c r="I25" s="66">
        <f>SUMIFS(卡片数据!I:I,卡片数据!$B:$B,"配电设备-电动汽车充换电设备",卡片数据!E:E,"&lt;2015-1-1")</f>
        <v>160446</v>
      </c>
      <c r="J25" s="66">
        <f>SUMIFS(卡片数据!I:I,卡片数据!$B:$B,"配电设备-电动汽车充换电设备",卡片数据!E:E,"&gt;=2015-1-1")</f>
        <v>0</v>
      </c>
      <c r="K25" s="64">
        <f t="shared" si="4"/>
        <v>201558</v>
      </c>
      <c r="L25" s="66">
        <f>SUMIFS(卡片数据!L:L,卡片数据!$B:$B,"配电设备-电动汽车充换电设备",卡片数据!E:E,"&lt;2015-1-1")</f>
        <v>201558</v>
      </c>
      <c r="M25" s="66">
        <f>SUMIFS(卡片数据!L:L,卡片数据!$B:$B,"配电设备-电动汽车充换电设备",卡片数据!E:E,"&gt;=2015-1-1")</f>
        <v>0</v>
      </c>
      <c r="N25" s="64">
        <f t="shared" si="5"/>
        <v>41112</v>
      </c>
      <c r="O25" s="66">
        <f>SUMIFS(卡片数据!M:M,卡片数据!$B:$B,"配电设备-电动汽车充换电设备",卡片数据!E:E,"&lt;2015-1-1")</f>
        <v>41112</v>
      </c>
      <c r="P25" s="66">
        <f>SUMIFS(卡片数据!M:M,卡片数据!$B:$B,"配电设备-电动汽车充换电设备",卡片数据!E:E,"&gt;=2015-1-1")</f>
        <v>0</v>
      </c>
      <c r="Q25" s="64">
        <f t="shared" si="6"/>
        <v>138271.98000000001</v>
      </c>
      <c r="R25" s="66">
        <f t="shared" si="24"/>
        <v>138271.98000000001</v>
      </c>
      <c r="S25" s="66">
        <f t="shared" si="25"/>
        <v>0</v>
      </c>
      <c r="T25" s="64">
        <f t="shared" si="9"/>
        <v>97159.98</v>
      </c>
      <c r="U25" s="66">
        <f t="shared" si="26"/>
        <v>97159.98</v>
      </c>
      <c r="V25" s="66">
        <f t="shared" si="27"/>
        <v>0</v>
      </c>
    </row>
    <row r="26" spans="1:22">
      <c r="A26" s="72" t="s">
        <v>35</v>
      </c>
      <c r="B26" s="62">
        <f t="shared" si="0"/>
        <v>240349565.62</v>
      </c>
      <c r="C26" s="66">
        <f>SUMIFS(卡片数据!G:G,卡片数据!$B:$B,"用电计量设备",卡片数据!E:E,"&lt;2015-1-1")</f>
        <v>226229946.84</v>
      </c>
      <c r="D26" s="66">
        <f>SUMIFS(卡片数据!G:G,卡片数据!$B:$B,"用电计量设备",卡片数据!E:E,"&gt;=2015-1-1")</f>
        <v>14119618.779999999</v>
      </c>
      <c r="E26" s="62">
        <f t="shared" si="2"/>
        <v>240844684.41</v>
      </c>
      <c r="F26" s="66">
        <f>SUMIFS(卡片数据!J:J,卡片数据!$B:$B,"用电计量设备",卡片数据!E:E,"&lt;2015-1-1")</f>
        <v>226229946.84</v>
      </c>
      <c r="G26" s="66">
        <f>SUMIFS(卡片数据!J:J,卡片数据!$B:$B,"用电计量设备",卡片数据!E:E,"&gt;=2015-1-1")</f>
        <v>14614737.57</v>
      </c>
      <c r="H26" s="64">
        <f t="shared" si="3"/>
        <v>216812019.52000001</v>
      </c>
      <c r="I26" s="66">
        <f>SUMIFS(卡片数据!I:I,卡片数据!$B:$B,"用电计量设备",卡片数据!E:E,"&lt;2015-1-1")</f>
        <v>211208874.27000001</v>
      </c>
      <c r="J26" s="66">
        <f>SUMIFS(卡片数据!I:I,卡片数据!$B:$B,"用电计量设备",卡片数据!E:E,"&gt;=2015-1-1")</f>
        <v>5603145.25</v>
      </c>
      <c r="K26" s="64">
        <f t="shared" si="4"/>
        <v>221902342.47</v>
      </c>
      <c r="L26" s="66">
        <f>SUMIFS(卡片数据!L:L,卡片数据!$B:$B,"用电计量设备",卡片数据!E:E,"&lt;2015-1-1")</f>
        <v>214652583.72</v>
      </c>
      <c r="M26" s="66">
        <f>SUMIFS(卡片数据!L:L,卡片数据!$B:$B,"用电计量设备",卡片数据!E:E,"&gt;=2015-1-1")</f>
        <v>7249758.75</v>
      </c>
      <c r="N26" s="64">
        <f t="shared" si="5"/>
        <v>5090322.95</v>
      </c>
      <c r="O26" s="66">
        <f>SUMIFS(卡片数据!M:M,卡片数据!$B:$B,"用电计量设备",卡片数据!E:E,"&lt;2015-1-1")</f>
        <v>3443709.45</v>
      </c>
      <c r="P26" s="66">
        <f>SUMIFS(卡片数据!M:M,卡片数据!$B:$B,"用电计量设备",卡片数据!E:E,"&gt;=2015-1-1")</f>
        <v>1646613.5</v>
      </c>
      <c r="Q26" s="64">
        <f t="shared" si="6"/>
        <v>23537546.100000001</v>
      </c>
      <c r="R26" s="66">
        <f t="shared" si="24"/>
        <v>15021072.57</v>
      </c>
      <c r="S26" s="66">
        <f t="shared" si="25"/>
        <v>8516473.5299999993</v>
      </c>
      <c r="T26" s="64">
        <f t="shared" si="9"/>
        <v>18942341.940000001</v>
      </c>
      <c r="U26" s="66">
        <f t="shared" si="26"/>
        <v>11577363.119999999</v>
      </c>
      <c r="V26" s="66">
        <f t="shared" si="27"/>
        <v>7364978.8200000003</v>
      </c>
    </row>
    <row r="27" spans="1:22">
      <c r="A27" s="72" t="s">
        <v>66</v>
      </c>
      <c r="B27" s="62">
        <f t="shared" si="0"/>
        <v>21164951.25</v>
      </c>
      <c r="C27" s="66">
        <f>SUMIFS(卡片数据!G:G,卡片数据!$B:$B,"通信线路及设备",卡片数据!E:E,"&lt;2015-1-1")</f>
        <v>20491289.73</v>
      </c>
      <c r="D27" s="66">
        <f>SUMIFS(卡片数据!G:G,卡片数据!$B:$B,"通信线路及设备",卡片数据!E:E,"&gt;=2015-1-1")</f>
        <v>673661.52</v>
      </c>
      <c r="E27" s="62">
        <f t="shared" si="2"/>
        <v>23761242.670000002</v>
      </c>
      <c r="F27" s="66">
        <f>SUMIFS(卡片数据!J:J,卡片数据!$B:$B,"通信线路及设备",卡片数据!E:E,"&lt;2015-1-1")</f>
        <v>20488493.629999999</v>
      </c>
      <c r="G27" s="66">
        <f>SUMIFS(卡片数据!J:J,卡片数据!$B:$B,"通信线路及设备",卡片数据!E:E,"&gt;=2015-1-1")</f>
        <v>3272749.04</v>
      </c>
      <c r="H27" s="64">
        <f t="shared" si="3"/>
        <v>16590571.380000001</v>
      </c>
      <c r="I27" s="66">
        <f>SUMIFS(卡片数据!I:I,卡片数据!$B:$B,"通信线路及设备",卡片数据!E:E,"&lt;2015-1-1")</f>
        <v>16419784.52</v>
      </c>
      <c r="J27" s="66">
        <f>SUMIFS(卡片数据!I:I,卡片数据!$B:$B,"通信线路及设备",卡片数据!E:E,"&gt;=2015-1-1")</f>
        <v>170786.86</v>
      </c>
      <c r="K27" s="64">
        <f t="shared" si="4"/>
        <v>17758885.32</v>
      </c>
      <c r="L27" s="66">
        <f>SUMIFS(卡片数据!L:L,卡片数据!$B:$B,"通信线路及设备",卡片数据!E:E,"&lt;2015-1-1")</f>
        <v>17400643.98</v>
      </c>
      <c r="M27" s="66">
        <f>SUMIFS(卡片数据!L:L,卡片数据!$B:$B,"通信线路及设备",卡片数据!E:E,"&gt;=2015-1-1")</f>
        <v>358241.34</v>
      </c>
      <c r="N27" s="64">
        <f t="shared" si="5"/>
        <v>1171110.04</v>
      </c>
      <c r="O27" s="66">
        <f>SUMIFS(卡片数据!M:M,卡片数据!$B:$B,"通信线路及设备",卡片数据!E:E,"&lt;2015-1-1")</f>
        <v>983655.56</v>
      </c>
      <c r="P27" s="66">
        <f>SUMIFS(卡片数据!M:M,卡片数据!$B:$B,"通信线路及设备",卡片数据!E:E,"&gt;=2015-1-1")</f>
        <v>187454.48</v>
      </c>
      <c r="Q27" s="64">
        <f t="shared" si="6"/>
        <v>4574379.87</v>
      </c>
      <c r="R27" s="66">
        <f t="shared" si="24"/>
        <v>4071505.21</v>
      </c>
      <c r="S27" s="66">
        <f t="shared" si="25"/>
        <v>502874.66</v>
      </c>
      <c r="T27" s="64">
        <f t="shared" si="9"/>
        <v>6002357.3499999996</v>
      </c>
      <c r="U27" s="66">
        <f t="shared" si="26"/>
        <v>3087849.65</v>
      </c>
      <c r="V27" s="66">
        <f t="shared" si="27"/>
        <v>2914507.7</v>
      </c>
    </row>
    <row r="28" spans="1:22">
      <c r="A28" s="68" t="s">
        <v>37</v>
      </c>
      <c r="B28" s="62">
        <f t="shared" si="0"/>
        <v>76867695.730000004</v>
      </c>
      <c r="C28" s="63">
        <f>SUM(C29:C33)</f>
        <v>70155615.810000002</v>
      </c>
      <c r="D28" s="63">
        <f t="shared" ref="D28:V28" si="28">SUM(D29:D33)</f>
        <v>6712079.9199999999</v>
      </c>
      <c r="E28" s="62">
        <f t="shared" si="2"/>
        <v>82224188.75</v>
      </c>
      <c r="F28" s="63">
        <f t="shared" si="28"/>
        <v>70738460.319999993</v>
      </c>
      <c r="G28" s="63">
        <f t="shared" si="28"/>
        <v>11485728.43</v>
      </c>
      <c r="H28" s="64">
        <f t="shared" si="3"/>
        <v>62624621.579999998</v>
      </c>
      <c r="I28" s="63">
        <f t="shared" si="28"/>
        <v>60751489.829999998</v>
      </c>
      <c r="J28" s="63">
        <f t="shared" si="28"/>
        <v>1873131.75</v>
      </c>
      <c r="K28" s="64">
        <f t="shared" si="4"/>
        <v>66860062.259999998</v>
      </c>
      <c r="L28" s="63">
        <f t="shared" si="28"/>
        <v>64067897.93</v>
      </c>
      <c r="M28" s="63">
        <f t="shared" si="28"/>
        <v>2792164.33</v>
      </c>
      <c r="N28" s="64">
        <f t="shared" si="5"/>
        <v>3855554.24</v>
      </c>
      <c r="O28" s="63">
        <f t="shared" si="28"/>
        <v>2936521.66</v>
      </c>
      <c r="P28" s="63">
        <f t="shared" si="28"/>
        <v>919032.58</v>
      </c>
      <c r="Q28" s="64">
        <f t="shared" si="6"/>
        <v>14243074.15</v>
      </c>
      <c r="R28" s="63">
        <f t="shared" si="28"/>
        <v>9404125.9800000004</v>
      </c>
      <c r="S28" s="63">
        <f t="shared" si="28"/>
        <v>4838948.17</v>
      </c>
      <c r="T28" s="64">
        <f t="shared" si="9"/>
        <v>15364126.49</v>
      </c>
      <c r="U28" s="63">
        <f t="shared" si="28"/>
        <v>6670562.3899999997</v>
      </c>
      <c r="V28" s="63">
        <f t="shared" si="28"/>
        <v>8693564.0999999996</v>
      </c>
    </row>
    <row r="29" spans="1:22">
      <c r="A29" s="73" t="s">
        <v>67</v>
      </c>
      <c r="B29" s="62">
        <f t="shared" si="0"/>
        <v>44825852.479999997</v>
      </c>
      <c r="C29" s="66">
        <f>SUMIFS(卡片数据!G:G,卡片数据!$A:$A,"2001*",卡片数据!E:E,"&lt;2015-1-1")</f>
        <v>40446962.68</v>
      </c>
      <c r="D29" s="66">
        <f>SUMIFS(卡片数据!G:G,卡片数据!$A:$A,"2001*",卡片数据!E:E,"&gt;=2015-1-1")</f>
        <v>4378889.8</v>
      </c>
      <c r="E29" s="62">
        <f t="shared" si="2"/>
        <v>48191750.729999997</v>
      </c>
      <c r="F29" s="66">
        <f>SUMIFS(卡片数据!J:J,卡片数据!$A:$A,"2001*",卡片数据!E:E,"&lt;2015-1-1")</f>
        <v>41029807.189999998</v>
      </c>
      <c r="G29" s="66">
        <f>SUMIFS(卡片数据!J:J,卡片数据!$A:$A,"2001*",卡片数据!E:E,"&gt;=2015-1-1")</f>
        <v>7161943.54</v>
      </c>
      <c r="H29" s="64">
        <f t="shared" si="3"/>
        <v>33859934.280000001</v>
      </c>
      <c r="I29" s="66">
        <f>SUMIFS(卡片数据!I:I,卡片数据!$A:$A,"2001*",卡片数据!E:E,"&lt;2015-1-1")</f>
        <v>32839211.800000001</v>
      </c>
      <c r="J29" s="66">
        <f>SUMIFS(卡片数据!I:I,卡片数据!$A:$A,"2001*",卡片数据!E:E,"&gt;=2015-1-1")</f>
        <v>1020722.48</v>
      </c>
      <c r="K29" s="64">
        <f t="shared" si="4"/>
        <v>37560236.659999996</v>
      </c>
      <c r="L29" s="66">
        <f>SUMIFS(卡片数据!L:L,卡片数据!$A:$A,"2001*",卡片数据!E:E,"&lt;2015-1-1")</f>
        <v>36003618.869999997</v>
      </c>
      <c r="M29" s="66">
        <f>SUMIFS(卡片数据!L:L,卡片数据!$A:$A,"2001*",卡片数据!E:E,"&gt;=2015-1-1")</f>
        <v>1556617.79</v>
      </c>
      <c r="N29" s="64">
        <f t="shared" si="5"/>
        <v>3320415.94</v>
      </c>
      <c r="O29" s="66">
        <f>SUMIFS(卡片数据!M:M,卡片数据!$A:$A,"2001*",卡片数据!E:E,"&lt;2015-1-1")</f>
        <v>2784520.63</v>
      </c>
      <c r="P29" s="66">
        <f>SUMIFS(卡片数据!M:M,卡片数据!$A:$A,"2001*",卡片数据!E:E,"&gt;=2015-1-1")</f>
        <v>535895.31000000006</v>
      </c>
      <c r="Q29" s="64">
        <f t="shared" si="6"/>
        <v>10965918.199999999</v>
      </c>
      <c r="R29" s="66">
        <f t="shared" ref="R29:R33" si="29">C29-I29</f>
        <v>7607750.8799999999</v>
      </c>
      <c r="S29" s="66">
        <f t="shared" ref="S29:S33" si="30">D29-J29</f>
        <v>3358167.32</v>
      </c>
      <c r="T29" s="64">
        <f t="shared" si="9"/>
        <v>10631514.07</v>
      </c>
      <c r="U29" s="66">
        <f t="shared" ref="U29:U33" si="31">F29-L29</f>
        <v>5026188.32</v>
      </c>
      <c r="V29" s="66">
        <f t="shared" ref="V29:V33" si="32">G29-M29</f>
        <v>5605325.75</v>
      </c>
    </row>
    <row r="30" spans="1:22">
      <c r="A30" s="73" t="s">
        <v>68</v>
      </c>
      <c r="B30" s="62">
        <f t="shared" si="0"/>
        <v>19745447.079999998</v>
      </c>
      <c r="C30" s="66">
        <f>SUMIFS(卡片数据!G:G,卡片数据!$A:$A,"2004*",卡片数据!E:E,"&lt;2015-1-1")</f>
        <v>19016008.359999999</v>
      </c>
      <c r="D30" s="66">
        <f>SUMIFS(卡片数据!G:G,卡片数据!$A:$A,"2004*",卡片数据!E:E,"&gt;=2015-1-1")</f>
        <v>729438.71999999997</v>
      </c>
      <c r="E30" s="62">
        <f t="shared" si="2"/>
        <v>20112923.140000001</v>
      </c>
      <c r="F30" s="66">
        <f>SUMIFS(卡片数据!J:J,卡片数据!$A:$A,"2004*",卡片数据!E:E,"&lt;2015-1-1")</f>
        <v>19016008.359999999</v>
      </c>
      <c r="G30" s="66">
        <f>SUMIFS(卡片数据!J:J,卡片数据!$A:$A,"2004*",卡片数据!E:E,"&gt;=2015-1-1")</f>
        <v>1096914.78</v>
      </c>
      <c r="H30" s="64">
        <f t="shared" si="3"/>
        <v>17970686.120000001</v>
      </c>
      <c r="I30" s="66">
        <f>SUMIFS(卡片数据!I:I,卡片数据!$A:$A,"2004*",卡片数据!E:E,"&lt;2015-1-1")</f>
        <v>17793026.010000002</v>
      </c>
      <c r="J30" s="66">
        <f>SUMIFS(卡片数据!I:I,卡片数据!$A:$A,"2004*",卡片数据!E:E,"&gt;=2015-1-1")</f>
        <v>177660.11</v>
      </c>
      <c r="K30" s="64">
        <f t="shared" si="4"/>
        <v>18146919.91</v>
      </c>
      <c r="L30" s="66">
        <f>SUMIFS(卡片数据!L:L,卡片数据!$A:$A,"2004*",卡片数据!E:E,"&lt;2015-1-1")</f>
        <v>17879002.48</v>
      </c>
      <c r="M30" s="66">
        <f>SUMIFS(卡片数据!L:L,卡片数据!$A:$A,"2004*",卡片数据!E:E,"&gt;=2015-1-1")</f>
        <v>267917.43</v>
      </c>
      <c r="N30" s="64">
        <f t="shared" si="5"/>
        <v>176233.79</v>
      </c>
      <c r="O30" s="66">
        <f>SUMIFS(卡片数据!M:M,卡片数据!$A:$A,"2004*",卡片数据!E:E,"&lt;2015-1-1")</f>
        <v>85976.47</v>
      </c>
      <c r="P30" s="66">
        <f>SUMIFS(卡片数据!M:M,卡片数据!$A:$A,"2004*",卡片数据!E:E,"&gt;=2015-1-1")</f>
        <v>90257.32</v>
      </c>
      <c r="Q30" s="64">
        <f t="shared" si="6"/>
        <v>1774760.96</v>
      </c>
      <c r="R30" s="66">
        <f t="shared" si="29"/>
        <v>1222982.3500000001</v>
      </c>
      <c r="S30" s="66">
        <f t="shared" si="30"/>
        <v>551778.61</v>
      </c>
      <c r="T30" s="64">
        <f t="shared" si="9"/>
        <v>1966003.23</v>
      </c>
      <c r="U30" s="66">
        <f t="shared" si="31"/>
        <v>1137005.8799999999</v>
      </c>
      <c r="V30" s="66">
        <f t="shared" si="32"/>
        <v>828997.35</v>
      </c>
    </row>
    <row r="31" spans="1:22">
      <c r="A31" s="73" t="s">
        <v>69</v>
      </c>
      <c r="B31" s="62">
        <f t="shared" si="0"/>
        <v>645942.52</v>
      </c>
      <c r="C31" s="66">
        <f>SUMIFS(卡片数据!G:G,卡片数据!$A:$A,"2099*",卡片数据!E:E,"&lt;2015-1-1")</f>
        <v>645942.52</v>
      </c>
      <c r="D31" s="66">
        <f>SUMIFS(卡片数据!G:G,卡片数据!$A:$A,"2099*",卡片数据!E:E,"&gt;=2015-1-1")</f>
        <v>0</v>
      </c>
      <c r="E31" s="62">
        <f t="shared" si="2"/>
        <v>2178935.37</v>
      </c>
      <c r="F31" s="66">
        <f>SUMIFS(卡片数据!J:J,卡片数据!$A:$A,"2099*",卡片数据!E:E,"&lt;2015-1-1")</f>
        <v>645942.52</v>
      </c>
      <c r="G31" s="66">
        <f>SUMIFS(卡片数据!J:J,卡片数据!$A:$A,"2099*",卡片数据!E:E,"&gt;=2015-1-1")</f>
        <v>1532992.85</v>
      </c>
      <c r="H31" s="64">
        <f t="shared" si="3"/>
        <v>615387.52</v>
      </c>
      <c r="I31" s="66">
        <f>SUMIFS(卡片数据!I:I,卡片数据!$A:$A,"2099*",卡片数据!E:E,"&lt;2015-1-1")</f>
        <v>615387.52</v>
      </c>
      <c r="J31" s="66">
        <f>SUMIFS(卡片数据!I:I,卡片数据!$A:$A,"2099*",卡片数据!E:E,"&gt;=2015-1-1")</f>
        <v>0</v>
      </c>
      <c r="K31" s="64">
        <f t="shared" si="4"/>
        <v>630557.76</v>
      </c>
      <c r="L31" s="66">
        <f>SUMIFS(卡片数据!L:L,卡片数据!$A:$A,"2099*",卡片数据!E:E,"&lt;2015-1-1")</f>
        <v>615387.52</v>
      </c>
      <c r="M31" s="66">
        <f>SUMIFS(卡片数据!L:L,卡片数据!$A:$A,"2099*",卡片数据!E:E,"&gt;=2015-1-1")</f>
        <v>15170.24</v>
      </c>
      <c r="N31" s="64">
        <f t="shared" si="5"/>
        <v>15170.24</v>
      </c>
      <c r="O31" s="66">
        <f>SUMIFS(卡片数据!M:M,卡片数据!$A:$A,"2099*",卡片数据!E:E,"&lt;2015-1-1")</f>
        <v>0</v>
      </c>
      <c r="P31" s="66">
        <f>SUMIFS(卡片数据!M:M,卡片数据!$A:$A,"2099*",卡片数据!E:E,"&gt;=2015-1-1")</f>
        <v>15170.24</v>
      </c>
      <c r="Q31" s="64">
        <f t="shared" si="6"/>
        <v>30555</v>
      </c>
      <c r="R31" s="66">
        <f t="shared" si="29"/>
        <v>30555</v>
      </c>
      <c r="S31" s="66">
        <f t="shared" si="30"/>
        <v>0</v>
      </c>
      <c r="T31" s="64">
        <f t="shared" si="9"/>
        <v>1548377.61</v>
      </c>
      <c r="U31" s="66">
        <f t="shared" si="31"/>
        <v>30555</v>
      </c>
      <c r="V31" s="66">
        <f t="shared" si="32"/>
        <v>1517822.61</v>
      </c>
    </row>
    <row r="32" spans="1:22">
      <c r="A32" s="73" t="s">
        <v>70</v>
      </c>
      <c r="B32" s="62">
        <f t="shared" si="0"/>
        <v>6414065.2599999998</v>
      </c>
      <c r="C32" s="66">
        <f>SUMIFS(卡片数据!G:G,卡片数据!$A:$A,"2003*",卡片数据!E:E,"&lt;2015-1-1")</f>
        <v>5160393.34</v>
      </c>
      <c r="D32" s="66">
        <f>SUMIFS(卡片数据!G:G,卡片数据!$A:$A,"2003*",卡片数据!E:E,"&gt;=2015-1-1")</f>
        <v>1253671.92</v>
      </c>
      <c r="E32" s="62">
        <f t="shared" si="2"/>
        <v>6414065.2599999998</v>
      </c>
      <c r="F32" s="66">
        <f>SUMIFS(卡片数据!J:J,卡片数据!$A:$A,"2003*",卡片数据!E:E,"&lt;2015-1-1")</f>
        <v>5160393.34</v>
      </c>
      <c r="G32" s="66">
        <f>SUMIFS(卡片数据!J:J,卡片数据!$A:$A,"2003*",卡片数据!E:E,"&gt;=2015-1-1")</f>
        <v>1253671.92</v>
      </c>
      <c r="H32" s="64">
        <f t="shared" si="3"/>
        <v>5477254.1100000003</v>
      </c>
      <c r="I32" s="66">
        <f>SUMIFS(卡片数据!I:I,卡片数据!$A:$A,"2003*",卡片数据!E:E,"&lt;2015-1-1")</f>
        <v>4930582.16</v>
      </c>
      <c r="J32" s="66">
        <f>SUMIFS(卡片数据!I:I,卡片数据!$A:$A,"2003*",卡片数据!E:E,"&gt;=2015-1-1")</f>
        <v>546671.94999999995</v>
      </c>
      <c r="K32" s="64">
        <f t="shared" si="4"/>
        <v>5711626.4299999997</v>
      </c>
      <c r="L32" s="66">
        <f>SUMIFS(卡片数据!L:L,卡片数据!$A:$A,"2003*",卡片数据!E:E,"&lt;2015-1-1")</f>
        <v>4928997.82</v>
      </c>
      <c r="M32" s="66">
        <f>SUMIFS(卡片数据!L:L,卡片数据!$A:$A,"2003*",卡片数据!E:E,"&gt;=2015-1-1")</f>
        <v>782628.61</v>
      </c>
      <c r="N32" s="64">
        <f t="shared" si="5"/>
        <v>234372.32</v>
      </c>
      <c r="O32" s="66">
        <f>SUMIFS(卡片数据!M:M,卡片数据!$A:$A,"2003*",卡片数据!E:E,"&lt;2015-1-1")</f>
        <v>-1584.34</v>
      </c>
      <c r="P32" s="66">
        <f>SUMIFS(卡片数据!M:M,卡片数据!$A:$A,"2003*",卡片数据!E:E,"&gt;=2015-1-1")</f>
        <v>235956.66</v>
      </c>
      <c r="Q32" s="64">
        <f t="shared" si="6"/>
        <v>936811.15</v>
      </c>
      <c r="R32" s="66">
        <f t="shared" si="29"/>
        <v>229811.18</v>
      </c>
      <c r="S32" s="66">
        <f t="shared" si="30"/>
        <v>706999.97</v>
      </c>
      <c r="T32" s="64">
        <f t="shared" si="9"/>
        <v>702438.83</v>
      </c>
      <c r="U32" s="66">
        <f t="shared" si="31"/>
        <v>231395.52</v>
      </c>
      <c r="V32" s="66">
        <f t="shared" si="32"/>
        <v>471043.31</v>
      </c>
    </row>
    <row r="33" spans="1:22">
      <c r="A33" s="73" t="s">
        <v>71</v>
      </c>
      <c r="B33" s="62">
        <f t="shared" si="0"/>
        <v>5236388.3899999997</v>
      </c>
      <c r="C33" s="66">
        <f>SUMIFS(卡片数据!G:G,卡片数据!$A:$A,"2002*",卡片数据!E:E,"&lt;2015-1-1")</f>
        <v>4886308.91</v>
      </c>
      <c r="D33" s="66">
        <f>SUMIFS(卡片数据!G:G,卡片数据!$A:$A,"2002*",卡片数据!E:E,"&gt;=2015-1-1")</f>
        <v>350079.48</v>
      </c>
      <c r="E33" s="62">
        <f t="shared" si="2"/>
        <v>5326514.25</v>
      </c>
      <c r="F33" s="66">
        <f>SUMIFS(卡片数据!J:J,卡片数据!$A:$A,"2002*",卡片数据!E:E,"&lt;2015-1-1")</f>
        <v>4886308.91</v>
      </c>
      <c r="G33" s="66">
        <f>SUMIFS(卡片数据!J:J,卡片数据!$A:$A,"2002*",卡片数据!E:E,"&gt;=2015-1-1")</f>
        <v>440205.34</v>
      </c>
      <c r="H33" s="64">
        <f t="shared" si="3"/>
        <v>4701359.55</v>
      </c>
      <c r="I33" s="66">
        <f>SUMIFS(卡片数据!I:I,卡片数据!$A:$A,"2002*",卡片数据!E:E,"&lt;2015-1-1")</f>
        <v>4573282.34</v>
      </c>
      <c r="J33" s="66">
        <f>SUMIFS(卡片数据!I:I,卡片数据!$A:$A,"2002*",卡片数据!E:E,"&gt;=2015-1-1")</f>
        <v>128077.21</v>
      </c>
      <c r="K33" s="64">
        <f t="shared" si="4"/>
        <v>4810721.5</v>
      </c>
      <c r="L33" s="66">
        <f>SUMIFS(卡片数据!L:L,卡片数据!$A:$A,"2002*",卡片数据!E:E,"&lt;2015-1-1")</f>
        <v>4640891.24</v>
      </c>
      <c r="M33" s="66">
        <f>SUMIFS(卡片数据!L:L,卡片数据!$A:$A,"2002*",卡片数据!E:E,"&gt;=2015-1-1")</f>
        <v>169830.26</v>
      </c>
      <c r="N33" s="64">
        <f t="shared" si="5"/>
        <v>109361.95</v>
      </c>
      <c r="O33" s="66">
        <f>SUMIFS(卡片数据!M:M,卡片数据!$A:$A,"2002*",卡片数据!E:E,"&lt;2015-1-1")</f>
        <v>67608.899999999994</v>
      </c>
      <c r="P33" s="66">
        <f>SUMIFS(卡片数据!M:M,卡片数据!$A:$A,"2002*",卡片数据!E:E,"&gt;=2015-1-1")</f>
        <v>41753.050000000003</v>
      </c>
      <c r="Q33" s="64">
        <f t="shared" si="6"/>
        <v>535028.84</v>
      </c>
      <c r="R33" s="66">
        <f t="shared" si="29"/>
        <v>313026.57</v>
      </c>
      <c r="S33" s="66">
        <f t="shared" si="30"/>
        <v>222002.27</v>
      </c>
      <c r="T33" s="64">
        <f t="shared" si="9"/>
        <v>515792.75</v>
      </c>
      <c r="U33" s="66">
        <f t="shared" si="31"/>
        <v>245417.67</v>
      </c>
      <c r="V33" s="66">
        <f t="shared" si="32"/>
        <v>270375.08</v>
      </c>
    </row>
    <row r="34" spans="1:22">
      <c r="A34" s="68" t="s">
        <v>38</v>
      </c>
      <c r="B34" s="62">
        <f t="shared" si="0"/>
        <v>21043470.239999998</v>
      </c>
      <c r="C34" s="63">
        <f>SUM(C35:C48)</f>
        <v>20124931.579999998</v>
      </c>
      <c r="D34" s="63">
        <f t="shared" ref="D34:P34" si="33">SUM(D35:D48)</f>
        <v>918538.66</v>
      </c>
      <c r="E34" s="62">
        <f t="shared" si="2"/>
        <v>22589592.25</v>
      </c>
      <c r="F34" s="63">
        <f t="shared" si="33"/>
        <v>19768259.260000002</v>
      </c>
      <c r="G34" s="63">
        <f t="shared" si="33"/>
        <v>2821332.99</v>
      </c>
      <c r="H34" s="64">
        <f t="shared" si="3"/>
        <v>18240053.77</v>
      </c>
      <c r="I34" s="63">
        <f t="shared" si="33"/>
        <v>18043447.039999999</v>
      </c>
      <c r="J34" s="63">
        <f t="shared" si="33"/>
        <v>196606.73</v>
      </c>
      <c r="K34" s="64">
        <f t="shared" si="4"/>
        <v>18251461.25</v>
      </c>
      <c r="L34" s="63">
        <f t="shared" si="33"/>
        <v>17927627.93</v>
      </c>
      <c r="M34" s="63">
        <f t="shared" si="33"/>
        <v>323833.32</v>
      </c>
      <c r="N34" s="64">
        <f t="shared" si="5"/>
        <v>351122.83</v>
      </c>
      <c r="O34" s="63">
        <f t="shared" si="33"/>
        <v>223896.24</v>
      </c>
      <c r="P34" s="63">
        <f t="shared" si="33"/>
        <v>127226.59</v>
      </c>
      <c r="Q34" s="64">
        <f t="shared" si="6"/>
        <v>2803416.47</v>
      </c>
      <c r="R34" s="63">
        <f t="shared" ref="R34:V34" si="34">SUM(R35:R48)</f>
        <v>2081484.54</v>
      </c>
      <c r="S34" s="63">
        <f t="shared" si="34"/>
        <v>721931.93</v>
      </c>
      <c r="T34" s="64">
        <f t="shared" si="9"/>
        <v>4338131</v>
      </c>
      <c r="U34" s="63">
        <f t="shared" si="34"/>
        <v>1840631.33</v>
      </c>
      <c r="V34" s="63">
        <f t="shared" si="34"/>
        <v>2497499.67</v>
      </c>
    </row>
    <row r="35" spans="1:22">
      <c r="A35" s="72" t="s">
        <v>72</v>
      </c>
      <c r="B35" s="62">
        <f t="shared" si="0"/>
        <v>0</v>
      </c>
      <c r="C35" s="66">
        <f>SUMIFS(卡片数据!G:G,卡片数据!$A:$A,"2101*",卡片数据!E:E,"&lt;2015-1-1")</f>
        <v>0</v>
      </c>
      <c r="D35" s="66">
        <f>SUMIFS(卡片数据!G:G,卡片数据!$A:$A,"2101*",卡片数据!E:E,"&gt;=2015-1-1")</f>
        <v>0</v>
      </c>
      <c r="E35" s="62">
        <f t="shared" si="2"/>
        <v>0</v>
      </c>
      <c r="F35" s="66">
        <f>SUMIFS(卡片数据!J:J,卡片数据!$A:$A,"2101*",卡片数据!E:E,"&lt;2015-1-1")</f>
        <v>0</v>
      </c>
      <c r="G35" s="66">
        <f>SUMIFS(卡片数据!J:J,卡片数据!$A:$A,"2101*",卡片数据!E:E,"&gt;=2015-1-1")</f>
        <v>0</v>
      </c>
      <c r="H35" s="64">
        <f t="shared" si="3"/>
        <v>0</v>
      </c>
      <c r="I35" s="66">
        <f>SUMIFS(卡片数据!I:I,卡片数据!$A:$A,"2101*",卡片数据!E:E,"&lt;2015-1-1")</f>
        <v>0</v>
      </c>
      <c r="J35" s="66">
        <f>SUMIFS(卡片数据!I:I,卡片数据!$A:$A,"2101*",卡片数据!E:E,"&gt;=2015-1-1")</f>
        <v>0</v>
      </c>
      <c r="K35" s="64">
        <f t="shared" si="4"/>
        <v>0</v>
      </c>
      <c r="L35" s="66">
        <f>SUMIFS(卡片数据!L:L,卡片数据!$A:$A,"2101*",卡片数据!E:E,"&lt;2015-1-1")</f>
        <v>0</v>
      </c>
      <c r="M35" s="66">
        <f>SUMIFS(卡片数据!L:L,卡片数据!$A:$A,"2101*",卡片数据!E:E,"&gt;=2015-1-1")</f>
        <v>0</v>
      </c>
      <c r="N35" s="64">
        <f t="shared" si="5"/>
        <v>0</v>
      </c>
      <c r="O35" s="66">
        <f>SUMIFS(卡片数据!M:M,卡片数据!$A:$A,"2101*",卡片数据!E:E,"&lt;2015-1-1")</f>
        <v>0</v>
      </c>
      <c r="P35" s="66">
        <f>SUMIFS(卡片数据!M:M,卡片数据!$A:$A,"2101*",卡片数据!E:E,"&gt;=2015-1-1")</f>
        <v>0</v>
      </c>
      <c r="Q35" s="64">
        <f t="shared" si="6"/>
        <v>0</v>
      </c>
      <c r="R35" s="66">
        <f t="shared" ref="R35:R51" si="35">C35-I35</f>
        <v>0</v>
      </c>
      <c r="S35" s="66">
        <f t="shared" ref="S35:S51" si="36">D35-J35</f>
        <v>0</v>
      </c>
      <c r="T35" s="64">
        <f t="shared" si="9"/>
        <v>0</v>
      </c>
      <c r="U35" s="66">
        <f t="shared" ref="U35:U51" si="37">F35-L35</f>
        <v>0</v>
      </c>
      <c r="V35" s="66">
        <f t="shared" ref="V35:V51" si="38">G35-M35</f>
        <v>0</v>
      </c>
    </row>
    <row r="36" spans="1:22">
      <c r="A36" s="72" t="s">
        <v>73</v>
      </c>
      <c r="B36" s="62">
        <f t="shared" si="0"/>
        <v>0</v>
      </c>
      <c r="C36" s="66">
        <f>SUMIFS(卡片数据!G:G,卡片数据!$A:$A,"2102*",卡片数据!E:E,"&lt;2015-1-1")</f>
        <v>0</v>
      </c>
      <c r="D36" s="66">
        <f>SUMIFS(卡片数据!G:G,卡片数据!$A:$A,"2102*",卡片数据!E:E,"&gt;=2015-1-1")</f>
        <v>0</v>
      </c>
      <c r="E36" s="62">
        <f t="shared" si="2"/>
        <v>0</v>
      </c>
      <c r="F36" s="66">
        <f>SUMIFS(卡片数据!J:J,卡片数据!$A:$A,"2102*",卡片数据!E:E,"&lt;2015-1-1")</f>
        <v>0</v>
      </c>
      <c r="G36" s="66">
        <f>SUMIFS(卡片数据!J:J,卡片数据!$A:$A,"2102*",卡片数据!E:E,"&gt;=2015-1-1")</f>
        <v>0</v>
      </c>
      <c r="H36" s="64">
        <f t="shared" si="3"/>
        <v>0</v>
      </c>
      <c r="I36" s="66">
        <f>SUMIFS(卡片数据!I:I,卡片数据!$A:$A,"2102*",卡片数据!E:E,"&lt;2015-1-1")</f>
        <v>0</v>
      </c>
      <c r="J36" s="66">
        <f>SUMIFS(卡片数据!I:I,卡片数据!$A:$A,"2102*",卡片数据!E:E,"&gt;=2015-1-1")</f>
        <v>0</v>
      </c>
      <c r="K36" s="64">
        <f t="shared" si="4"/>
        <v>0</v>
      </c>
      <c r="L36" s="66">
        <f>SUMIFS(卡片数据!L:L,卡片数据!$A:$A,"2102*",卡片数据!E:E,"&lt;2015-1-1")</f>
        <v>0</v>
      </c>
      <c r="M36" s="66">
        <f>SUMIFS(卡片数据!L:L,卡片数据!$A:$A,"2102*",卡片数据!E:E,"&gt;=2015-1-1")</f>
        <v>0</v>
      </c>
      <c r="N36" s="64">
        <f t="shared" si="5"/>
        <v>0</v>
      </c>
      <c r="O36" s="66">
        <f>SUMIFS(卡片数据!M:M,卡片数据!$A:$A,"2102*",卡片数据!E:E,"&lt;2015-1-1")</f>
        <v>0</v>
      </c>
      <c r="P36" s="66">
        <f>SUMIFS(卡片数据!M:M,卡片数据!$A:$A,"2102*",卡片数据!E:E,"&gt;=2015-1-1")</f>
        <v>0</v>
      </c>
      <c r="Q36" s="64">
        <f t="shared" si="6"/>
        <v>0</v>
      </c>
      <c r="R36" s="66">
        <f t="shared" si="35"/>
        <v>0</v>
      </c>
      <c r="S36" s="66">
        <f t="shared" si="36"/>
        <v>0</v>
      </c>
      <c r="T36" s="64">
        <f t="shared" si="9"/>
        <v>0</v>
      </c>
      <c r="U36" s="66">
        <f t="shared" si="37"/>
        <v>0</v>
      </c>
      <c r="V36" s="66">
        <f t="shared" si="38"/>
        <v>0</v>
      </c>
    </row>
    <row r="37" spans="1:22">
      <c r="A37" s="72" t="s">
        <v>74</v>
      </c>
      <c r="B37" s="62">
        <f t="shared" si="0"/>
        <v>8470.48</v>
      </c>
      <c r="C37" s="66">
        <f>SUMIFS(卡片数据!G:G,卡片数据!$A:$A,"2103*",卡片数据!E:E,"&lt;2015-1-1")</f>
        <v>8470.48</v>
      </c>
      <c r="D37" s="66">
        <f>SUMIFS(卡片数据!G:G,卡片数据!$A:$A,"2103*",卡片数据!E:E,"&gt;=2015-1-1")</f>
        <v>0</v>
      </c>
      <c r="E37" s="62">
        <f t="shared" si="2"/>
        <v>8470.48</v>
      </c>
      <c r="F37" s="66">
        <f>SUMIFS(卡片数据!J:J,卡片数据!$A:$A,"2103*",卡片数据!E:E,"&lt;2015-1-1")</f>
        <v>8470.48</v>
      </c>
      <c r="G37" s="66">
        <f>SUMIFS(卡片数据!J:J,卡片数据!$A:$A,"2103*",卡片数据!E:E,"&gt;=2015-1-1")</f>
        <v>0</v>
      </c>
      <c r="H37" s="64">
        <f t="shared" si="3"/>
        <v>8046.96</v>
      </c>
      <c r="I37" s="66">
        <f>SUMIFS(卡片数据!I:I,卡片数据!$A:$A,"2103*",卡片数据!E:E,"&lt;2015-1-1")</f>
        <v>8046.96</v>
      </c>
      <c r="J37" s="66">
        <f>SUMIFS(卡片数据!I:I,卡片数据!$A:$A,"2103*",卡片数据!E:E,"&gt;=2015-1-1")</f>
        <v>0</v>
      </c>
      <c r="K37" s="64">
        <f t="shared" si="4"/>
        <v>8046.96</v>
      </c>
      <c r="L37" s="66">
        <f>SUMIFS(卡片数据!L:L,卡片数据!$A:$A,"2103*",卡片数据!E:E,"&lt;2015-1-1")</f>
        <v>8046.96</v>
      </c>
      <c r="M37" s="66">
        <f>SUMIFS(卡片数据!L:L,卡片数据!$A:$A,"2103*",卡片数据!E:E,"&gt;=2015-1-1")</f>
        <v>0</v>
      </c>
      <c r="N37" s="64">
        <f t="shared" si="5"/>
        <v>0</v>
      </c>
      <c r="O37" s="66">
        <f>SUMIFS(卡片数据!M:M,卡片数据!$A:$A,"2103*",卡片数据!E:E,"&lt;2015-1-1")</f>
        <v>0</v>
      </c>
      <c r="P37" s="66">
        <f>SUMIFS(卡片数据!M:M,卡片数据!$A:$A,"2103*",卡片数据!E:E,"&gt;=2015-1-1")</f>
        <v>0</v>
      </c>
      <c r="Q37" s="64">
        <f t="shared" si="6"/>
        <v>423.52</v>
      </c>
      <c r="R37" s="66">
        <f t="shared" si="35"/>
        <v>423.52</v>
      </c>
      <c r="S37" s="66">
        <f t="shared" si="36"/>
        <v>0</v>
      </c>
      <c r="T37" s="64">
        <f t="shared" si="9"/>
        <v>423.52</v>
      </c>
      <c r="U37" s="66">
        <f t="shared" si="37"/>
        <v>423.52</v>
      </c>
      <c r="V37" s="66">
        <f t="shared" si="38"/>
        <v>0</v>
      </c>
    </row>
    <row r="38" spans="1:22">
      <c r="A38" s="72" t="s">
        <v>75</v>
      </c>
      <c r="B38" s="62">
        <f t="shared" si="0"/>
        <v>0</v>
      </c>
      <c r="C38" s="66">
        <f>SUMIFS(卡片数据!G:G,卡片数据!$A:$A,"2104*",卡片数据!E:E,"&lt;2015-1-1")</f>
        <v>0</v>
      </c>
      <c r="D38" s="66">
        <f>SUMIFS(卡片数据!G:G,卡片数据!$A:$A,"2104*",卡片数据!E:E,"&gt;=2015-1-1")</f>
        <v>0</v>
      </c>
      <c r="E38" s="62">
        <f t="shared" si="2"/>
        <v>0</v>
      </c>
      <c r="F38" s="66">
        <f>SUMIFS(卡片数据!J:J,卡片数据!$A:$A,"2104*",卡片数据!E:E,"&lt;2015-1-1")</f>
        <v>0</v>
      </c>
      <c r="G38" s="66">
        <f>SUMIFS(卡片数据!J:J,卡片数据!$A:$A,"2104*",卡片数据!E:E,"&gt;=2015-1-1")</f>
        <v>0</v>
      </c>
      <c r="H38" s="64">
        <f t="shared" si="3"/>
        <v>0</v>
      </c>
      <c r="I38" s="66">
        <f>SUMIFS(卡片数据!I:I,卡片数据!$A:$A,"2104*",卡片数据!E:E,"&lt;2015-1-1")</f>
        <v>0</v>
      </c>
      <c r="J38" s="66">
        <f>SUMIFS(卡片数据!I:I,卡片数据!$A:$A,"2104*",卡片数据!E:E,"&gt;=2015-1-1")</f>
        <v>0</v>
      </c>
      <c r="K38" s="64">
        <f t="shared" si="4"/>
        <v>0</v>
      </c>
      <c r="L38" s="66">
        <f>SUMIFS(卡片数据!L:L,卡片数据!$A:$A,"2104*",卡片数据!E:E,"&lt;2015-1-1")</f>
        <v>0</v>
      </c>
      <c r="M38" s="66">
        <f>SUMIFS(卡片数据!L:L,卡片数据!$A:$A,"2104*",卡片数据!E:E,"&gt;=2015-1-1")</f>
        <v>0</v>
      </c>
      <c r="N38" s="64">
        <f t="shared" si="5"/>
        <v>0</v>
      </c>
      <c r="O38" s="66">
        <f>SUMIFS(卡片数据!M:M,卡片数据!$A:$A,"2104*",卡片数据!E:E,"&lt;2015-1-1")</f>
        <v>0</v>
      </c>
      <c r="P38" s="66">
        <f>SUMIFS(卡片数据!M:M,卡片数据!$A:$A,"2104*",卡片数据!E:E,"&gt;=2015-1-1")</f>
        <v>0</v>
      </c>
      <c r="Q38" s="64">
        <f t="shared" si="6"/>
        <v>0</v>
      </c>
      <c r="R38" s="66">
        <f t="shared" si="35"/>
        <v>0</v>
      </c>
      <c r="S38" s="66">
        <f t="shared" si="36"/>
        <v>0</v>
      </c>
      <c r="T38" s="64">
        <f t="shared" si="9"/>
        <v>0</v>
      </c>
      <c r="U38" s="66">
        <f t="shared" si="37"/>
        <v>0</v>
      </c>
      <c r="V38" s="66">
        <f t="shared" si="38"/>
        <v>0</v>
      </c>
    </row>
    <row r="39" spans="1:22">
      <c r="A39" s="72" t="s">
        <v>76</v>
      </c>
      <c r="B39" s="62">
        <f t="shared" si="0"/>
        <v>9990</v>
      </c>
      <c r="C39" s="66">
        <f>SUMIFS(卡片数据!G:G,卡片数据!$A:$A,"2105*",卡片数据!E:E,"&lt;2015-1-1")</f>
        <v>9990</v>
      </c>
      <c r="D39" s="66">
        <f>SUMIFS(卡片数据!G:G,卡片数据!$A:$A,"2105*",卡片数据!E:E,"&gt;=2015-1-1")</f>
        <v>0</v>
      </c>
      <c r="E39" s="62">
        <f t="shared" si="2"/>
        <v>9990</v>
      </c>
      <c r="F39" s="66">
        <f>SUMIFS(卡片数据!J:J,卡片数据!$A:$A,"2105*",卡片数据!E:E,"&lt;2015-1-1")</f>
        <v>9990</v>
      </c>
      <c r="G39" s="66">
        <f>SUMIFS(卡片数据!J:J,卡片数据!$A:$A,"2105*",卡片数据!E:E,"&gt;=2015-1-1")</f>
        <v>0</v>
      </c>
      <c r="H39" s="64">
        <f t="shared" si="3"/>
        <v>9490.5</v>
      </c>
      <c r="I39" s="66">
        <f>SUMIFS(卡片数据!I:I,卡片数据!$A:$A,"2105*",卡片数据!E:E,"&lt;2015-1-1")</f>
        <v>9490.5</v>
      </c>
      <c r="J39" s="66">
        <f>SUMIFS(卡片数据!I:I,卡片数据!$A:$A,"2105*",卡片数据!E:E,"&gt;=2015-1-1")</f>
        <v>0</v>
      </c>
      <c r="K39" s="64">
        <f t="shared" si="4"/>
        <v>9490.5</v>
      </c>
      <c r="L39" s="66">
        <f>SUMIFS(卡片数据!L:L,卡片数据!$A:$A,"2105*",卡片数据!E:E,"&lt;2015-1-1")</f>
        <v>9490.5</v>
      </c>
      <c r="M39" s="66">
        <f>SUMIFS(卡片数据!L:L,卡片数据!$A:$A,"2105*",卡片数据!E:E,"&gt;=2015-1-1")</f>
        <v>0</v>
      </c>
      <c r="N39" s="64">
        <f t="shared" si="5"/>
        <v>0</v>
      </c>
      <c r="O39" s="66">
        <f>SUMIFS(卡片数据!M:M,卡片数据!$A:$A,"2105*",卡片数据!E:E,"&lt;2015-1-1")</f>
        <v>0</v>
      </c>
      <c r="P39" s="66">
        <f>SUMIFS(卡片数据!M:M,卡片数据!$A:$A,"2105*",卡片数据!E:E,"&gt;=2015-1-1")</f>
        <v>0</v>
      </c>
      <c r="Q39" s="64">
        <f t="shared" si="6"/>
        <v>499.5</v>
      </c>
      <c r="R39" s="66">
        <f t="shared" si="35"/>
        <v>499.5</v>
      </c>
      <c r="S39" s="66">
        <f t="shared" si="36"/>
        <v>0</v>
      </c>
      <c r="T39" s="64">
        <f t="shared" si="9"/>
        <v>499.5</v>
      </c>
      <c r="U39" s="66">
        <f t="shared" si="37"/>
        <v>499.5</v>
      </c>
      <c r="V39" s="66">
        <f t="shared" si="38"/>
        <v>0</v>
      </c>
    </row>
    <row r="40" spans="1:22">
      <c r="A40" s="72" t="s">
        <v>77</v>
      </c>
      <c r="B40" s="62">
        <f t="shared" si="0"/>
        <v>0</v>
      </c>
      <c r="C40" s="66">
        <f>SUMIFS(卡片数据!G:G,卡片数据!$A:$A,"2113*",卡片数据!E:E,"&lt;2015-1-1")</f>
        <v>0</v>
      </c>
      <c r="D40" s="66">
        <f>SUMIFS(卡片数据!G:G,卡片数据!$A:$A,"2113*",卡片数据!E:E,"&gt;=2015-1-1")</f>
        <v>0</v>
      </c>
      <c r="E40" s="62">
        <f t="shared" si="2"/>
        <v>0</v>
      </c>
      <c r="F40" s="66">
        <f>SUMIFS(卡片数据!J:J,卡片数据!$A:$A,"2113*",卡片数据!E:E,"&lt;2015-1-1")</f>
        <v>0</v>
      </c>
      <c r="G40" s="66">
        <f>SUMIFS(卡片数据!J:J,卡片数据!$A:$A,"2113*",卡片数据!E:E,"&gt;=2015-1-1")</f>
        <v>0</v>
      </c>
      <c r="H40" s="64">
        <f t="shared" si="3"/>
        <v>0</v>
      </c>
      <c r="I40" s="66">
        <f>SUMIFS(卡片数据!I:I,卡片数据!$A:$A,"2113*",卡片数据!E:E,"&lt;2015-1-1")</f>
        <v>0</v>
      </c>
      <c r="J40" s="66">
        <f>SUMIFS(卡片数据!I:I,卡片数据!$A:$A,"2113*",卡片数据!E:E,"&gt;=2015-1-1")</f>
        <v>0</v>
      </c>
      <c r="K40" s="64">
        <f t="shared" si="4"/>
        <v>0</v>
      </c>
      <c r="L40" s="66">
        <f>SUMIFS(卡片数据!L:L,卡片数据!$A:$A,"2113*",卡片数据!E:E,"&lt;2015-1-1")</f>
        <v>0</v>
      </c>
      <c r="M40" s="66">
        <f>SUMIFS(卡片数据!L:L,卡片数据!$A:$A,"2113*",卡片数据!E:E,"&gt;=2015-1-1")</f>
        <v>0</v>
      </c>
      <c r="N40" s="64">
        <f t="shared" si="5"/>
        <v>0</v>
      </c>
      <c r="O40" s="66">
        <f>SUMIFS(卡片数据!M:M,卡片数据!$A:$A,"2113*",卡片数据!E:E,"&lt;2015-1-1")</f>
        <v>0</v>
      </c>
      <c r="P40" s="66">
        <f>SUMIFS(卡片数据!M:M,卡片数据!$A:$A,"2113*",卡片数据!E:E,"&gt;=2015-1-1")</f>
        <v>0</v>
      </c>
      <c r="Q40" s="64">
        <f t="shared" si="6"/>
        <v>0</v>
      </c>
      <c r="R40" s="66">
        <f t="shared" si="35"/>
        <v>0</v>
      </c>
      <c r="S40" s="66">
        <f t="shared" si="36"/>
        <v>0</v>
      </c>
      <c r="T40" s="64">
        <f t="shared" si="9"/>
        <v>0</v>
      </c>
      <c r="U40" s="66">
        <f t="shared" si="37"/>
        <v>0</v>
      </c>
      <c r="V40" s="66">
        <f t="shared" si="38"/>
        <v>0</v>
      </c>
    </row>
    <row r="41" spans="1:22">
      <c r="A41" s="72" t="s">
        <v>78</v>
      </c>
      <c r="B41" s="62">
        <f t="shared" si="0"/>
        <v>0</v>
      </c>
      <c r="C41" s="66">
        <f>SUMIFS(卡片数据!G:G,卡片数据!$A:$A,"2106*",卡片数据!E:E,"&lt;2015-1-1")</f>
        <v>0</v>
      </c>
      <c r="D41" s="66">
        <f>SUMIFS(卡片数据!G:G,卡片数据!$A:$A,"2106*",卡片数据!E:E,"&gt;=2015-1-1")</f>
        <v>0</v>
      </c>
      <c r="E41" s="62">
        <f t="shared" si="2"/>
        <v>0</v>
      </c>
      <c r="F41" s="66">
        <f>SUMIFS(卡片数据!J:J,卡片数据!$A:$A,"2106*",卡片数据!E:E,"&lt;2015-1-1")</f>
        <v>0</v>
      </c>
      <c r="G41" s="66">
        <f>SUMIFS(卡片数据!J:J,卡片数据!$A:$A,"2106*",卡片数据!E:E,"&gt;=2015-1-1")</f>
        <v>0</v>
      </c>
      <c r="H41" s="64">
        <f t="shared" si="3"/>
        <v>0</v>
      </c>
      <c r="I41" s="66">
        <f>SUMIFS(卡片数据!I:I,卡片数据!$A:$A,"2106*",卡片数据!E:E,"&lt;2015-1-1")</f>
        <v>0</v>
      </c>
      <c r="J41" s="66">
        <f>SUMIFS(卡片数据!I:I,卡片数据!$A:$A,"2106*",卡片数据!E:E,"&gt;=2015-1-1")</f>
        <v>0</v>
      </c>
      <c r="K41" s="64">
        <f t="shared" si="4"/>
        <v>0</v>
      </c>
      <c r="L41" s="66">
        <f>SUMIFS(卡片数据!L:L,卡片数据!$A:$A,"2106*",卡片数据!E:E,"&lt;2015-1-1")</f>
        <v>0</v>
      </c>
      <c r="M41" s="66">
        <f>SUMIFS(卡片数据!L:L,卡片数据!$A:$A,"2106*",卡片数据!E:E,"&gt;=2015-1-1")</f>
        <v>0</v>
      </c>
      <c r="N41" s="64">
        <f t="shared" si="5"/>
        <v>0</v>
      </c>
      <c r="O41" s="66">
        <f>SUMIFS(卡片数据!M:M,卡片数据!$A:$A,"2106*",卡片数据!E:E,"&lt;2015-1-1")</f>
        <v>0</v>
      </c>
      <c r="P41" s="66">
        <f>SUMIFS(卡片数据!M:M,卡片数据!$A:$A,"2106*",卡片数据!E:E,"&gt;=2015-1-1")</f>
        <v>0</v>
      </c>
      <c r="Q41" s="64">
        <f t="shared" si="6"/>
        <v>0</v>
      </c>
      <c r="R41" s="66">
        <f t="shared" si="35"/>
        <v>0</v>
      </c>
      <c r="S41" s="66">
        <f t="shared" si="36"/>
        <v>0</v>
      </c>
      <c r="T41" s="64">
        <f t="shared" si="9"/>
        <v>0</v>
      </c>
      <c r="U41" s="66">
        <f t="shared" si="37"/>
        <v>0</v>
      </c>
      <c r="V41" s="66">
        <f t="shared" si="38"/>
        <v>0</v>
      </c>
    </row>
    <row r="42" spans="1:22">
      <c r="A42" s="72" t="s">
        <v>79</v>
      </c>
      <c r="B42" s="62">
        <f t="shared" si="0"/>
        <v>0</v>
      </c>
      <c r="C42" s="66">
        <f>SUMIFS(卡片数据!G:G,卡片数据!$A:$A,"2107*",卡片数据!E:E,"&lt;2015-1-1")</f>
        <v>0</v>
      </c>
      <c r="D42" s="66">
        <f>SUMIFS(卡片数据!G:G,卡片数据!$A:$A,"2107*",卡片数据!E:E,"&gt;=2015-1-1")</f>
        <v>0</v>
      </c>
      <c r="E42" s="62">
        <f t="shared" si="2"/>
        <v>0</v>
      </c>
      <c r="F42" s="66">
        <f>SUMIFS(卡片数据!J:J,卡片数据!$A:$A,"2107*",卡片数据!E:E,"&lt;2015-1-1")</f>
        <v>0</v>
      </c>
      <c r="G42" s="66">
        <f>SUMIFS(卡片数据!J:J,卡片数据!$A:$A,"2107*",卡片数据!E:E,"&gt;=2015-1-1")</f>
        <v>0</v>
      </c>
      <c r="H42" s="64">
        <f t="shared" si="3"/>
        <v>0</v>
      </c>
      <c r="I42" s="66">
        <f>SUMIFS(卡片数据!I:I,卡片数据!$A:$A,"2107*",卡片数据!E:E,"&lt;2015-1-1")</f>
        <v>0</v>
      </c>
      <c r="J42" s="66">
        <f>SUMIFS(卡片数据!I:I,卡片数据!$A:$A,"2107*",卡片数据!E:E,"&gt;=2015-1-1")</f>
        <v>0</v>
      </c>
      <c r="K42" s="64">
        <f t="shared" si="4"/>
        <v>0</v>
      </c>
      <c r="L42" s="66">
        <f>SUMIFS(卡片数据!L:L,卡片数据!$A:$A,"2107*",卡片数据!E:E,"&lt;2015-1-1")</f>
        <v>0</v>
      </c>
      <c r="M42" s="66">
        <f>SUMIFS(卡片数据!L:L,卡片数据!$A:$A,"2107*",卡片数据!E:E,"&gt;=2015-1-1")</f>
        <v>0</v>
      </c>
      <c r="N42" s="64">
        <f t="shared" si="5"/>
        <v>0</v>
      </c>
      <c r="O42" s="66">
        <f>SUMIFS(卡片数据!M:M,卡片数据!$A:$A,"2107*",卡片数据!E:E,"&lt;2015-1-1")</f>
        <v>0</v>
      </c>
      <c r="P42" s="66">
        <f>SUMIFS(卡片数据!M:M,卡片数据!$A:$A,"2107*",卡片数据!E:E,"&gt;=2015-1-1")</f>
        <v>0</v>
      </c>
      <c r="Q42" s="64">
        <f t="shared" si="6"/>
        <v>0</v>
      </c>
      <c r="R42" s="66">
        <f t="shared" si="35"/>
        <v>0</v>
      </c>
      <c r="S42" s="66">
        <f t="shared" si="36"/>
        <v>0</v>
      </c>
      <c r="T42" s="64">
        <f t="shared" si="9"/>
        <v>0</v>
      </c>
      <c r="U42" s="66">
        <f t="shared" si="37"/>
        <v>0</v>
      </c>
      <c r="V42" s="66">
        <f t="shared" si="38"/>
        <v>0</v>
      </c>
    </row>
    <row r="43" spans="1:22">
      <c r="A43" s="72" t="s">
        <v>80</v>
      </c>
      <c r="B43" s="62">
        <f t="shared" si="0"/>
        <v>196651.69</v>
      </c>
      <c r="C43" s="66">
        <f>SUMIFS(卡片数据!G:G,卡片数据!$A:$A,"2108*",卡片数据!E:E,"&lt;2015-1-1")</f>
        <v>196651.69</v>
      </c>
      <c r="D43" s="66">
        <f>SUMIFS(卡片数据!G:G,卡片数据!$A:$A,"2108*",卡片数据!E:E,"&gt;=2015-1-1")</f>
        <v>0</v>
      </c>
      <c r="E43" s="62">
        <f t="shared" si="2"/>
        <v>196651.69</v>
      </c>
      <c r="F43" s="66">
        <f>SUMIFS(卡片数据!J:J,卡片数据!$A:$A,"2108*",卡片数据!E:E,"&lt;2015-1-1")</f>
        <v>196651.69</v>
      </c>
      <c r="G43" s="66">
        <f>SUMIFS(卡片数据!J:J,卡片数据!$A:$A,"2108*",卡片数据!E:E,"&gt;=2015-1-1")</f>
        <v>0</v>
      </c>
      <c r="H43" s="64">
        <f t="shared" si="3"/>
        <v>186819.12</v>
      </c>
      <c r="I43" s="66">
        <f>SUMIFS(卡片数据!I:I,卡片数据!$A:$A,"2108*",卡片数据!E:E,"&lt;2015-1-1")</f>
        <v>186819.12</v>
      </c>
      <c r="J43" s="66">
        <f>SUMIFS(卡片数据!I:I,卡片数据!$A:$A,"2108*",卡片数据!E:E,"&gt;=2015-1-1")</f>
        <v>0</v>
      </c>
      <c r="K43" s="64">
        <f t="shared" si="4"/>
        <v>186819.12</v>
      </c>
      <c r="L43" s="66">
        <f>SUMIFS(卡片数据!L:L,卡片数据!$A:$A,"2108*",卡片数据!E:E,"&lt;2015-1-1")</f>
        <v>186819.12</v>
      </c>
      <c r="M43" s="66">
        <f>SUMIFS(卡片数据!L:L,卡片数据!$A:$A,"2108*",卡片数据!E:E,"&gt;=2015-1-1")</f>
        <v>0</v>
      </c>
      <c r="N43" s="64">
        <f t="shared" si="5"/>
        <v>0</v>
      </c>
      <c r="O43" s="66">
        <f>SUMIFS(卡片数据!M:M,卡片数据!$A:$A,"2108*",卡片数据!E:E,"&lt;2015-1-1")</f>
        <v>0</v>
      </c>
      <c r="P43" s="66">
        <f>SUMIFS(卡片数据!M:M,卡片数据!$A:$A,"2108*",卡片数据!E:E,"&gt;=2015-1-1")</f>
        <v>0</v>
      </c>
      <c r="Q43" s="64">
        <f t="shared" si="6"/>
        <v>9832.57</v>
      </c>
      <c r="R43" s="66">
        <f t="shared" si="35"/>
        <v>9832.57</v>
      </c>
      <c r="S43" s="66">
        <f t="shared" si="36"/>
        <v>0</v>
      </c>
      <c r="T43" s="64">
        <f t="shared" si="9"/>
        <v>9832.57</v>
      </c>
      <c r="U43" s="66">
        <f t="shared" si="37"/>
        <v>9832.57</v>
      </c>
      <c r="V43" s="66">
        <f t="shared" si="38"/>
        <v>0</v>
      </c>
    </row>
    <row r="44" spans="1:22">
      <c r="A44" s="72" t="s">
        <v>81</v>
      </c>
      <c r="B44" s="62">
        <f t="shared" si="0"/>
        <v>0</v>
      </c>
      <c r="C44" s="66">
        <f>SUMIFS(卡片数据!G:G,卡片数据!$A:$A,"2109*",卡片数据!E:E,"&lt;2015-1-1")</f>
        <v>0</v>
      </c>
      <c r="D44" s="66">
        <f>SUMIFS(卡片数据!G:G,卡片数据!$A:$A,"2109*",卡片数据!E:E,"&gt;=2015-1-1")</f>
        <v>0</v>
      </c>
      <c r="E44" s="62">
        <f t="shared" si="2"/>
        <v>0</v>
      </c>
      <c r="F44" s="66">
        <f>SUMIFS(卡片数据!J:J,卡片数据!$A:$A,"2109*",卡片数据!E:E,"&lt;2015-1-1")</f>
        <v>0</v>
      </c>
      <c r="G44" s="66">
        <f>SUMIFS(卡片数据!J:J,卡片数据!$A:$A,"2109*",卡片数据!E:E,"&gt;=2015-1-1")</f>
        <v>0</v>
      </c>
      <c r="H44" s="64">
        <f t="shared" si="3"/>
        <v>0</v>
      </c>
      <c r="I44" s="66">
        <f>SUMIFS(卡片数据!I:I,卡片数据!$A:$A,"2109*",卡片数据!E:E,"&lt;2015-1-1")</f>
        <v>0</v>
      </c>
      <c r="J44" s="66">
        <f>SUMIFS(卡片数据!I:I,卡片数据!$A:$A,"2109*",卡片数据!E:E,"&gt;=2015-1-1")</f>
        <v>0</v>
      </c>
      <c r="K44" s="64">
        <f t="shared" si="4"/>
        <v>0</v>
      </c>
      <c r="L44" s="66">
        <f>SUMIFS(卡片数据!L:L,卡片数据!$A:$A,"2109*",卡片数据!E:E,"&lt;2015-1-1")</f>
        <v>0</v>
      </c>
      <c r="M44" s="66">
        <f>SUMIFS(卡片数据!L:L,卡片数据!$A:$A,"2109*",卡片数据!E:E,"&gt;=2015-1-1")</f>
        <v>0</v>
      </c>
      <c r="N44" s="64">
        <f t="shared" si="5"/>
        <v>0</v>
      </c>
      <c r="O44" s="66">
        <f>SUMIFS(卡片数据!M:M,卡片数据!$A:$A,"2109*",卡片数据!E:E,"&lt;2015-1-1")</f>
        <v>0</v>
      </c>
      <c r="P44" s="66">
        <f>SUMIFS(卡片数据!M:M,卡片数据!$A:$A,"2109*",卡片数据!E:E,"&gt;=2015-1-1")</f>
        <v>0</v>
      </c>
      <c r="Q44" s="64">
        <f t="shared" si="6"/>
        <v>0</v>
      </c>
      <c r="R44" s="66">
        <f t="shared" si="35"/>
        <v>0</v>
      </c>
      <c r="S44" s="66">
        <f t="shared" si="36"/>
        <v>0</v>
      </c>
      <c r="T44" s="64">
        <f t="shared" si="9"/>
        <v>0</v>
      </c>
      <c r="U44" s="66">
        <f t="shared" si="37"/>
        <v>0</v>
      </c>
      <c r="V44" s="66">
        <f t="shared" si="38"/>
        <v>0</v>
      </c>
    </row>
    <row r="45" spans="1:22">
      <c r="A45" s="72" t="s">
        <v>82</v>
      </c>
      <c r="B45" s="62">
        <f t="shared" si="0"/>
        <v>499964.88</v>
      </c>
      <c r="C45" s="66">
        <f>SUMIFS(卡片数据!G:G,卡片数据!$A:$A,"2110*",卡片数据!E:E,"&lt;2015-1-1")</f>
        <v>499964.88</v>
      </c>
      <c r="D45" s="66">
        <f>SUMIFS(卡片数据!G:G,卡片数据!$A:$A,"2110*",卡片数据!E:E,"&gt;=2015-1-1")</f>
        <v>0</v>
      </c>
      <c r="E45" s="62">
        <f t="shared" si="2"/>
        <v>663488.29</v>
      </c>
      <c r="F45" s="66">
        <f>SUMIFS(卡片数据!J:J,卡片数据!$A:$A,"2110*",卡片数据!E:E,"&lt;2015-1-1")</f>
        <v>413329.89</v>
      </c>
      <c r="G45" s="66">
        <f>SUMIFS(卡片数据!J:J,卡片数据!$A:$A,"2110*",卡片数据!E:E,"&gt;=2015-1-1")</f>
        <v>250158.4</v>
      </c>
      <c r="H45" s="64">
        <f t="shared" si="3"/>
        <v>474966.57</v>
      </c>
      <c r="I45" s="66">
        <f>SUMIFS(卡片数据!I:I,卡片数据!$A:$A,"2110*",卡片数据!E:E,"&lt;2015-1-1")</f>
        <v>474966.57</v>
      </c>
      <c r="J45" s="66">
        <f>SUMIFS(卡片数据!I:I,卡片数据!$A:$A,"2110*",卡片数据!E:E,"&gt;=2015-1-1")</f>
        <v>0</v>
      </c>
      <c r="K45" s="64">
        <f t="shared" si="4"/>
        <v>394313.73</v>
      </c>
      <c r="L45" s="66">
        <f>SUMIFS(卡片数据!L:L,卡片数据!$A:$A,"2110*",卡片数据!E:E,"&lt;2015-1-1")</f>
        <v>392663.37</v>
      </c>
      <c r="M45" s="66">
        <f>SUMIFS(卡片数据!L:L,卡片数据!$A:$A,"2110*",卡片数据!E:E,"&gt;=2015-1-1")</f>
        <v>1650.36</v>
      </c>
      <c r="N45" s="64">
        <f t="shared" si="5"/>
        <v>1650.36</v>
      </c>
      <c r="O45" s="66">
        <f>SUMIFS(卡片数据!M:M,卡片数据!$A:$A,"2110*",卡片数据!E:E,"&lt;2015-1-1")</f>
        <v>0</v>
      </c>
      <c r="P45" s="66">
        <f>SUMIFS(卡片数据!M:M,卡片数据!$A:$A,"2110*",卡片数据!E:E,"&gt;=2015-1-1")</f>
        <v>1650.36</v>
      </c>
      <c r="Q45" s="64">
        <f t="shared" si="6"/>
        <v>24998.31</v>
      </c>
      <c r="R45" s="66">
        <f t="shared" si="35"/>
        <v>24998.31</v>
      </c>
      <c r="S45" s="66">
        <f t="shared" si="36"/>
        <v>0</v>
      </c>
      <c r="T45" s="64">
        <f t="shared" si="9"/>
        <v>269174.56</v>
      </c>
      <c r="U45" s="66">
        <f t="shared" si="37"/>
        <v>20666.52</v>
      </c>
      <c r="V45" s="66">
        <f t="shared" si="38"/>
        <v>248508.04</v>
      </c>
    </row>
    <row r="46" spans="1:22">
      <c r="A46" s="72" t="s">
        <v>83</v>
      </c>
      <c r="B46" s="62">
        <f t="shared" si="0"/>
        <v>14207360.939999999</v>
      </c>
      <c r="C46" s="66">
        <f>SUMIFS(卡片数据!G:G,卡片数据!$A:$A,"2111*",卡片数据!E:E,"&lt;2015-1-1")</f>
        <v>13288822.279999999</v>
      </c>
      <c r="D46" s="66">
        <f>SUMIFS(卡片数据!G:G,卡片数据!$A:$A,"2111*",卡片数据!E:E,"&gt;=2015-1-1")</f>
        <v>918538.66</v>
      </c>
      <c r="E46" s="62">
        <f t="shared" si="2"/>
        <v>14178482.609999999</v>
      </c>
      <c r="F46" s="66">
        <f>SUMIFS(卡片数据!J:J,卡片数据!$A:$A,"2111*",卡片数据!E:E,"&lt;2015-1-1")</f>
        <v>13259943.949999999</v>
      </c>
      <c r="G46" s="66">
        <f>SUMIFS(卡片数据!J:J,卡片数据!$A:$A,"2111*",卡片数据!E:E,"&gt;=2015-1-1")</f>
        <v>918538.66</v>
      </c>
      <c r="H46" s="64">
        <f t="shared" si="3"/>
        <v>12153996.49</v>
      </c>
      <c r="I46" s="66">
        <f>SUMIFS(卡片数据!I:I,卡片数据!$A:$A,"2111*",卡片数据!E:E,"&lt;2015-1-1")</f>
        <v>11957389.76</v>
      </c>
      <c r="J46" s="66">
        <f>SUMIFS(卡片数据!I:I,卡片数据!$A:$A,"2111*",卡片数据!E:E,"&gt;=2015-1-1")</f>
        <v>196606.73</v>
      </c>
      <c r="K46" s="64">
        <f t="shared" si="4"/>
        <v>12309098.609999999</v>
      </c>
      <c r="L46" s="66">
        <f>SUMIFS(卡片数据!L:L,卡片数据!$A:$A,"2111*",卡片数据!E:E,"&lt;2015-1-1")</f>
        <v>12039803.34</v>
      </c>
      <c r="M46" s="66">
        <f>SUMIFS(卡片数据!L:L,卡片数据!$A:$A,"2111*",卡片数据!E:E,"&gt;=2015-1-1")</f>
        <v>269295.27</v>
      </c>
      <c r="N46" s="64">
        <f t="shared" si="5"/>
        <v>182536.52</v>
      </c>
      <c r="O46" s="66">
        <f>SUMIFS(卡片数据!M:M,卡片数据!$A:$A,"2111*",卡片数据!E:E,"&lt;2015-1-1")</f>
        <v>109847.98</v>
      </c>
      <c r="P46" s="66">
        <f>SUMIFS(卡片数据!M:M,卡片数据!$A:$A,"2111*",卡片数据!E:E,"&gt;=2015-1-1")</f>
        <v>72688.539999999994</v>
      </c>
      <c r="Q46" s="64">
        <f t="shared" si="6"/>
        <v>2053364.45</v>
      </c>
      <c r="R46" s="66">
        <f t="shared" si="35"/>
        <v>1331432.52</v>
      </c>
      <c r="S46" s="66">
        <f t="shared" si="36"/>
        <v>721931.93</v>
      </c>
      <c r="T46" s="64">
        <f t="shared" si="9"/>
        <v>1869384</v>
      </c>
      <c r="U46" s="66">
        <f t="shared" si="37"/>
        <v>1220140.6100000001</v>
      </c>
      <c r="V46" s="66">
        <f t="shared" si="38"/>
        <v>649243.39</v>
      </c>
    </row>
    <row r="47" spans="1:22">
      <c r="A47" s="72" t="s">
        <v>84</v>
      </c>
      <c r="B47" s="62">
        <f t="shared" si="0"/>
        <v>2065986.58</v>
      </c>
      <c r="C47" s="66">
        <f>SUMIFS(卡片数据!G:G,卡片数据!$A:$A,"2112*",卡片数据!E:E,"&lt;2015-1-1")</f>
        <v>2065986.58</v>
      </c>
      <c r="D47" s="66">
        <f>SUMIFS(卡片数据!G:G,卡片数据!$A:$A,"2112*",卡片数据!E:E,"&gt;=2015-1-1")</f>
        <v>0</v>
      </c>
      <c r="E47" s="62">
        <f t="shared" si="2"/>
        <v>2065986.58</v>
      </c>
      <c r="F47" s="66">
        <f>SUMIFS(卡片数据!J:J,卡片数据!$A:$A,"2112*",卡片数据!E:E,"&lt;2015-1-1")</f>
        <v>2065986.58</v>
      </c>
      <c r="G47" s="66">
        <f>SUMIFS(卡片数据!J:J,卡片数据!$A:$A,"2112*",卡片数据!E:E,"&gt;=2015-1-1")</f>
        <v>0</v>
      </c>
      <c r="H47" s="64">
        <f t="shared" si="3"/>
        <v>1962686.69</v>
      </c>
      <c r="I47" s="66">
        <f>SUMIFS(卡片数据!I:I,卡片数据!$A:$A,"2112*",卡片数据!E:E,"&lt;2015-1-1")</f>
        <v>1962686.69</v>
      </c>
      <c r="J47" s="66">
        <f>SUMIFS(卡片数据!I:I,卡片数据!$A:$A,"2112*",卡片数据!E:E,"&gt;=2015-1-1")</f>
        <v>0</v>
      </c>
      <c r="K47" s="64">
        <f t="shared" si="4"/>
        <v>1962686.69</v>
      </c>
      <c r="L47" s="66">
        <f>SUMIFS(卡片数据!L:L,卡片数据!$A:$A,"2112*",卡片数据!E:E,"&lt;2015-1-1")</f>
        <v>1962686.69</v>
      </c>
      <c r="M47" s="66">
        <f>SUMIFS(卡片数据!L:L,卡片数据!$A:$A,"2112*",卡片数据!E:E,"&gt;=2015-1-1")</f>
        <v>0</v>
      </c>
      <c r="N47" s="64">
        <f t="shared" si="5"/>
        <v>0</v>
      </c>
      <c r="O47" s="66">
        <f>SUMIFS(卡片数据!M:M,卡片数据!$A:$A,"2112*",卡片数据!E:E,"&lt;2015-1-1")</f>
        <v>0</v>
      </c>
      <c r="P47" s="66">
        <f>SUMIFS(卡片数据!M:M,卡片数据!$A:$A,"2112*",卡片数据!E:E,"&gt;=2015-1-1")</f>
        <v>0</v>
      </c>
      <c r="Q47" s="64">
        <f t="shared" si="6"/>
        <v>103299.89</v>
      </c>
      <c r="R47" s="66">
        <f t="shared" si="35"/>
        <v>103299.89</v>
      </c>
      <c r="S47" s="66">
        <f t="shared" si="36"/>
        <v>0</v>
      </c>
      <c r="T47" s="64">
        <f t="shared" si="9"/>
        <v>103299.89</v>
      </c>
      <c r="U47" s="66">
        <f t="shared" si="37"/>
        <v>103299.89</v>
      </c>
      <c r="V47" s="66">
        <f t="shared" si="38"/>
        <v>0</v>
      </c>
    </row>
    <row r="48" spans="1:22">
      <c r="A48" s="72" t="s">
        <v>85</v>
      </c>
      <c r="B48" s="62">
        <f t="shared" si="0"/>
        <v>4055045.67</v>
      </c>
      <c r="C48" s="66">
        <f>SUMIFS(卡片数据!G:G,卡片数据!$A:$A,"2199*",卡片数据!E:E,"&lt;2015-1-1")</f>
        <v>4055045.67</v>
      </c>
      <c r="D48" s="66">
        <f>SUMIFS(卡片数据!G:G,卡片数据!$A:$A,"2199*",卡片数据!E:E,"&gt;=2015-1-1")</f>
        <v>0</v>
      </c>
      <c r="E48" s="62">
        <f t="shared" si="2"/>
        <v>5466522.5999999996</v>
      </c>
      <c r="F48" s="66">
        <f>SUMIFS(卡片数据!J:J,卡片数据!$A:$A,"2199*",卡片数据!E:E,"&lt;2015-1-1")</f>
        <v>3813886.67</v>
      </c>
      <c r="G48" s="66">
        <f>SUMIFS(卡片数据!J:J,卡片数据!$A:$A,"2199*",卡片数据!E:E,"&gt;=2015-1-1")</f>
        <v>1652635.93</v>
      </c>
      <c r="H48" s="64">
        <f t="shared" si="3"/>
        <v>3444047.44</v>
      </c>
      <c r="I48" s="66">
        <f>SUMIFS(卡片数据!I:I,卡片数据!$A:$A,"2199*",卡片数据!E:E,"&lt;2015-1-1")</f>
        <v>3444047.44</v>
      </c>
      <c r="J48" s="66">
        <f>SUMIFS(卡片数据!I:I,卡片数据!$A:$A,"2199*",卡片数据!E:E,"&gt;=2015-1-1")</f>
        <v>0</v>
      </c>
      <c r="K48" s="64">
        <f t="shared" si="4"/>
        <v>3381005.64</v>
      </c>
      <c r="L48" s="66">
        <f>SUMIFS(卡片数据!L:L,卡片数据!$A:$A,"2199*",卡片数据!E:E,"&lt;2015-1-1")</f>
        <v>3328117.95</v>
      </c>
      <c r="M48" s="66">
        <f>SUMIFS(卡片数据!L:L,卡片数据!$A:$A,"2199*",卡片数据!E:E,"&gt;=2015-1-1")</f>
        <v>52887.69</v>
      </c>
      <c r="N48" s="64">
        <f t="shared" si="5"/>
        <v>166935.95000000001</v>
      </c>
      <c r="O48" s="66">
        <f>SUMIFS(卡片数据!M:M,卡片数据!$A:$A,"2199*",卡片数据!E:E,"&lt;2015-1-1")</f>
        <v>114048.26</v>
      </c>
      <c r="P48" s="66">
        <f>SUMIFS(卡片数据!M:M,卡片数据!$A:$A,"2199*",卡片数据!E:E,"&gt;=2015-1-1")</f>
        <v>52887.69</v>
      </c>
      <c r="Q48" s="64">
        <f t="shared" si="6"/>
        <v>610998.23</v>
      </c>
      <c r="R48" s="66">
        <f t="shared" si="35"/>
        <v>610998.23</v>
      </c>
      <c r="S48" s="66">
        <f t="shared" si="36"/>
        <v>0</v>
      </c>
      <c r="T48" s="64">
        <f t="shared" si="9"/>
        <v>2085516.96</v>
      </c>
      <c r="U48" s="66">
        <f t="shared" si="37"/>
        <v>485768.72</v>
      </c>
      <c r="V48" s="66">
        <f t="shared" si="38"/>
        <v>1599748.24</v>
      </c>
    </row>
    <row r="49" spans="1:22">
      <c r="A49" s="72" t="s">
        <v>39</v>
      </c>
      <c r="B49" s="62">
        <f t="shared" si="0"/>
        <v>1625699.44</v>
      </c>
      <c r="C49" s="66">
        <f>SUMIFS(卡片数据!G:G,卡片数据!$B:$B,"水工机械设备",卡片数据!E:E,"&lt;2015-1-1")</f>
        <v>652371.11</v>
      </c>
      <c r="D49" s="66">
        <f>SUMIFS(卡片数据!G:G,卡片数据!$B:$B,"水工机械设备",卡片数据!E:E,"&gt;=2015-1-1")</f>
        <v>973328.33</v>
      </c>
      <c r="E49" s="62">
        <f t="shared" si="2"/>
        <v>1625699.44</v>
      </c>
      <c r="F49" s="66">
        <f>SUMIFS(卡片数据!J:J,卡片数据!$B:$B,"水工机械设备",卡片数据!E:E,"&lt;2015-1-1")</f>
        <v>652371.11</v>
      </c>
      <c r="G49" s="66">
        <f>SUMIFS(卡片数据!J:J,卡片数据!$B:$B,"水工机械设备",卡片数据!E:E,"&gt;=2015-1-1")</f>
        <v>973328.33</v>
      </c>
      <c r="H49" s="64">
        <f t="shared" si="3"/>
        <v>948682.91</v>
      </c>
      <c r="I49" s="66">
        <f>SUMIFS(卡片数据!I:I,卡片数据!$B:$B,"水工机械设备",卡片数据!E:E,"&lt;2015-1-1")</f>
        <v>619752.51</v>
      </c>
      <c r="J49" s="66">
        <f>SUMIFS(卡片数据!I:I,卡片数据!$B:$B,"水工机械设备",卡片数据!E:E,"&gt;=2015-1-1")</f>
        <v>328930.40000000002</v>
      </c>
      <c r="K49" s="64">
        <f t="shared" si="4"/>
        <v>1040346.83</v>
      </c>
      <c r="L49" s="66">
        <f>SUMIFS(卡片数据!L:L,卡片数据!$B:$B,"水工机械设备",卡片数据!E:E,"&lt;2015-1-1")</f>
        <v>619752.51</v>
      </c>
      <c r="M49" s="66">
        <f>SUMIFS(卡片数据!L:L,卡片数据!$B:$B,"水工机械设备",卡片数据!E:E,"&gt;=2015-1-1")</f>
        <v>420594.32</v>
      </c>
      <c r="N49" s="64">
        <f t="shared" si="5"/>
        <v>91663.92</v>
      </c>
      <c r="O49" s="66">
        <f>SUMIFS(卡片数据!M:M,卡片数据!$B:$B,"水工机械设备",卡片数据!E:E,"&lt;2015-1-1")</f>
        <v>0</v>
      </c>
      <c r="P49" s="66">
        <f>SUMIFS(卡片数据!M:M,卡片数据!$B:$B,"水工机械设备",卡片数据!E:E,"&gt;=2015-1-1")</f>
        <v>91663.92</v>
      </c>
      <c r="Q49" s="64">
        <f t="shared" si="6"/>
        <v>677016.53</v>
      </c>
      <c r="R49" s="66">
        <f t="shared" si="35"/>
        <v>32618.6</v>
      </c>
      <c r="S49" s="66">
        <f t="shared" si="36"/>
        <v>644397.93000000005</v>
      </c>
      <c r="T49" s="64">
        <f t="shared" si="9"/>
        <v>585352.61</v>
      </c>
      <c r="U49" s="66">
        <f t="shared" si="37"/>
        <v>32618.6</v>
      </c>
      <c r="V49" s="66">
        <f t="shared" si="38"/>
        <v>552734.01</v>
      </c>
    </row>
    <row r="50" spans="1:22">
      <c r="A50" s="72" t="s">
        <v>40</v>
      </c>
      <c r="B50" s="62">
        <f t="shared" si="0"/>
        <v>1664256.99</v>
      </c>
      <c r="C50" s="66">
        <f>SUMIFS(卡片数据!G:G,卡片数据!$B:$B,"制造及检修维护设备",卡片数据!E:E,"&lt;2015-1-1")</f>
        <v>1066617.68</v>
      </c>
      <c r="D50" s="66">
        <f>SUMIFS(卡片数据!G:G,卡片数据!$B:$B,"制造及检修维护设备",卡片数据!E:E,"&gt;=2015-1-1")</f>
        <v>597639.31000000006</v>
      </c>
      <c r="E50" s="62">
        <f t="shared" si="2"/>
        <v>1621805.56</v>
      </c>
      <c r="F50" s="66">
        <f>SUMIFS(卡片数据!J:J,卡片数据!$B:$B,"制造及检修维护设备",卡片数据!E:E,"&lt;2015-1-1")</f>
        <v>1014761.93</v>
      </c>
      <c r="G50" s="66">
        <f>SUMIFS(卡片数据!J:J,卡片数据!$B:$B,"制造及检修维护设备",卡片数据!E:E,"&gt;=2015-1-1")</f>
        <v>607043.63</v>
      </c>
      <c r="H50" s="64">
        <f t="shared" si="3"/>
        <v>1087970.3899999999</v>
      </c>
      <c r="I50" s="66">
        <f>SUMIFS(卡片数据!I:I,卡片数据!$B:$B,"制造及检修维护设备",卡片数据!E:E,"&lt;2015-1-1")</f>
        <v>893441.92</v>
      </c>
      <c r="J50" s="66">
        <f>SUMIFS(卡片数据!I:I,卡片数据!$B:$B,"制造及检修维护设备",卡片数据!E:E,"&gt;=2015-1-1")</f>
        <v>194528.47</v>
      </c>
      <c r="K50" s="64">
        <f t="shared" si="4"/>
        <v>1109910.8400000001</v>
      </c>
      <c r="L50" s="66">
        <f>SUMIFS(卡片数据!L:L,卡片数据!$B:$B,"制造及检修维护设备",卡片数据!E:E,"&lt;2015-1-1")</f>
        <v>875277.52</v>
      </c>
      <c r="M50" s="66">
        <f>SUMIFS(卡片数据!L:L,卡片数据!$B:$B,"制造及检修维护设备",卡片数据!E:E,"&gt;=2015-1-1")</f>
        <v>234633.32</v>
      </c>
      <c r="N50" s="64">
        <f t="shared" si="5"/>
        <v>71203.41</v>
      </c>
      <c r="O50" s="66">
        <f>SUMIFS(卡片数据!M:M,卡片数据!$B:$B,"制造及检修维护设备",卡片数据!E:E,"&lt;2015-1-1")</f>
        <v>31098.560000000001</v>
      </c>
      <c r="P50" s="66">
        <f>SUMIFS(卡片数据!M:M,卡片数据!$B:$B,"制造及检修维护设备",卡片数据!E:E,"&gt;=2015-1-1")</f>
        <v>40104.85</v>
      </c>
      <c r="Q50" s="64">
        <f t="shared" si="6"/>
        <v>576286.6</v>
      </c>
      <c r="R50" s="66">
        <f t="shared" si="35"/>
        <v>173175.76</v>
      </c>
      <c r="S50" s="66">
        <f t="shared" si="36"/>
        <v>403110.84</v>
      </c>
      <c r="T50" s="64">
        <f t="shared" si="9"/>
        <v>511894.72</v>
      </c>
      <c r="U50" s="66">
        <f t="shared" si="37"/>
        <v>139484.41</v>
      </c>
      <c r="V50" s="66">
        <f t="shared" si="38"/>
        <v>372410.31</v>
      </c>
    </row>
    <row r="51" spans="1:22">
      <c r="A51" s="72" t="s">
        <v>41</v>
      </c>
      <c r="B51" s="62">
        <f t="shared" si="0"/>
        <v>9662129.1699999999</v>
      </c>
      <c r="C51" s="66">
        <f>SUMIFS(卡片数据!G:G,卡片数据!$B:$B,"生产管理用工器具",卡片数据!E:E,"&lt;2015-1-1")</f>
        <v>9073897.9100000001</v>
      </c>
      <c r="D51" s="66">
        <f>SUMIFS(卡片数据!G:G,卡片数据!$B:$B,"生产管理用工器具",卡片数据!E:E,"&gt;=2015-1-1")</f>
        <v>588231.26</v>
      </c>
      <c r="E51" s="62">
        <f t="shared" si="2"/>
        <v>10215003.52</v>
      </c>
      <c r="F51" s="66">
        <f>SUMIFS(卡片数据!J:J,卡片数据!$B:$B,"生产管理用工器具",卡片数据!E:E,"&lt;2015-1-1")</f>
        <v>9073897.9100000001</v>
      </c>
      <c r="G51" s="66">
        <f>SUMIFS(卡片数据!J:J,卡片数据!$B:$B,"生产管理用工器具",卡片数据!E:E,"&gt;=2015-1-1")</f>
        <v>1141105.6100000001</v>
      </c>
      <c r="H51" s="64">
        <f t="shared" si="3"/>
        <v>8621124.4499999993</v>
      </c>
      <c r="I51" s="66">
        <f>SUMIFS(卡片数据!I:I,卡片数据!$B:$B,"生产管理用工器具",卡片数据!E:E,"&lt;2015-1-1")</f>
        <v>8392448.5999999996</v>
      </c>
      <c r="J51" s="66">
        <f>SUMIFS(卡片数据!I:I,卡片数据!$B:$B,"生产管理用工器具",卡片数据!E:E,"&gt;=2015-1-1")</f>
        <v>228675.85</v>
      </c>
      <c r="K51" s="64">
        <f t="shared" si="4"/>
        <v>8844688.1999999993</v>
      </c>
      <c r="L51" s="66">
        <f>SUMIFS(卡片数据!L:L,卡片数据!$B:$B,"生产管理用工器具",卡片数据!E:E,"&lt;2015-1-1")</f>
        <v>8500435.2699999996</v>
      </c>
      <c r="M51" s="66">
        <f>SUMIFS(卡片数据!L:L,卡片数据!$B:$B,"生产管理用工器具",卡片数据!E:E,"&gt;=2015-1-1")</f>
        <v>344252.93</v>
      </c>
      <c r="N51" s="64">
        <f t="shared" si="5"/>
        <v>223563.75</v>
      </c>
      <c r="O51" s="66">
        <f>SUMIFS(卡片数据!M:M,卡片数据!$B:$B,"生产管理用工器具",卡片数据!E:E,"&lt;2015-1-1")</f>
        <v>107986.67</v>
      </c>
      <c r="P51" s="66">
        <f>SUMIFS(卡片数据!M:M,卡片数据!$B:$B,"生产管理用工器具",卡片数据!E:E,"&gt;=2015-1-1")</f>
        <v>115577.08</v>
      </c>
      <c r="Q51" s="64">
        <f t="shared" si="6"/>
        <v>1041004.72</v>
      </c>
      <c r="R51" s="66">
        <f t="shared" si="35"/>
        <v>681449.31</v>
      </c>
      <c r="S51" s="66">
        <f t="shared" si="36"/>
        <v>359555.41</v>
      </c>
      <c r="T51" s="64">
        <f t="shared" si="9"/>
        <v>1370315.32</v>
      </c>
      <c r="U51" s="66">
        <f t="shared" si="37"/>
        <v>573462.64</v>
      </c>
      <c r="V51" s="66">
        <f t="shared" si="38"/>
        <v>796852.68</v>
      </c>
    </row>
    <row r="52" spans="1:22">
      <c r="A52" s="68" t="s">
        <v>42</v>
      </c>
      <c r="B52" s="62">
        <f t="shared" si="0"/>
        <v>15418237.289999999</v>
      </c>
      <c r="C52" s="63">
        <f>SUM(C53:C57)</f>
        <v>15418237.289999999</v>
      </c>
      <c r="D52" s="63">
        <f t="shared" ref="D52:G52" si="39">SUM(D53:D57)</f>
        <v>0</v>
      </c>
      <c r="E52" s="62">
        <f t="shared" si="2"/>
        <v>14095555.65</v>
      </c>
      <c r="F52" s="63">
        <f t="shared" si="39"/>
        <v>13920818.289999999</v>
      </c>
      <c r="G52" s="63">
        <f t="shared" si="39"/>
        <v>174737.36</v>
      </c>
      <c r="H52" s="64">
        <f t="shared" si="3"/>
        <v>14621710.529999999</v>
      </c>
      <c r="I52" s="63">
        <f t="shared" ref="I52" si="40">SUM(I53:I57)</f>
        <v>14621710.529999999</v>
      </c>
      <c r="J52" s="63">
        <f t="shared" ref="J52" si="41">SUM(J53:J57)</f>
        <v>0</v>
      </c>
      <c r="K52" s="64">
        <f t="shared" si="4"/>
        <v>13225584.18</v>
      </c>
      <c r="L52" s="63">
        <f t="shared" ref="L52" si="42">SUM(L53:L57)</f>
        <v>13220973.060000001</v>
      </c>
      <c r="M52" s="63">
        <f t="shared" ref="M52" si="43">SUM(M53:M57)</f>
        <v>4611.12</v>
      </c>
      <c r="N52" s="64">
        <f t="shared" si="5"/>
        <v>-57273.3</v>
      </c>
      <c r="O52" s="63">
        <f t="shared" ref="O52" si="44">SUM(O53:O57)</f>
        <v>-61884.42</v>
      </c>
      <c r="P52" s="63">
        <f t="shared" ref="P52" si="45">SUM(P53:P57)</f>
        <v>4611.12</v>
      </c>
      <c r="Q52" s="64">
        <f t="shared" si="6"/>
        <v>796526.76</v>
      </c>
      <c r="R52" s="63">
        <f t="shared" ref="R52" si="46">SUM(R53:R57)</f>
        <v>796526.76</v>
      </c>
      <c r="S52" s="63">
        <f t="shared" ref="S52" si="47">SUM(S53:S57)</f>
        <v>0</v>
      </c>
      <c r="T52" s="64">
        <f t="shared" si="9"/>
        <v>869971.47</v>
      </c>
      <c r="U52" s="63">
        <f t="shared" ref="U52" si="48">SUM(U53:U57)</f>
        <v>699845.23</v>
      </c>
      <c r="V52" s="63">
        <f t="shared" ref="V52" si="49">SUM(V53:V57)</f>
        <v>170126.24</v>
      </c>
    </row>
    <row r="53" spans="1:22">
      <c r="A53" s="72" t="s">
        <v>86</v>
      </c>
      <c r="B53" s="62">
        <f t="shared" si="0"/>
        <v>0</v>
      </c>
      <c r="C53" s="66">
        <f>SUMIFS(卡片数据!G:G,卡片数据!$A:$A,"2501*",卡片数据!E:E,"&lt;2015-1-1")</f>
        <v>0</v>
      </c>
      <c r="D53" s="66">
        <f>SUMIFS(卡片数据!G:G,卡片数据!$A:$A,"2501*",卡片数据!E:E,"&gt;=2015-1-1")</f>
        <v>0</v>
      </c>
      <c r="E53" s="62">
        <f t="shared" si="2"/>
        <v>0</v>
      </c>
      <c r="F53" s="66">
        <f>SUMIFS(卡片数据!J:J,卡片数据!$A:$A,"2501*",卡片数据!E:E,"&lt;2015-1-1")</f>
        <v>0</v>
      </c>
      <c r="G53" s="66">
        <f>SUMIFS(卡片数据!J:J,卡片数据!$A:$A,"2501*",卡片数据!E:E,"&gt;=2015-1-1")</f>
        <v>0</v>
      </c>
      <c r="H53" s="64">
        <f t="shared" si="3"/>
        <v>0</v>
      </c>
      <c r="I53" s="66">
        <f>SUMIFS(卡片数据!I:I,卡片数据!$A:$A,"2501*",卡片数据!E:E,"&lt;2015-1-1")</f>
        <v>0</v>
      </c>
      <c r="J53" s="66">
        <f>SUMIFS(卡片数据!I:I,卡片数据!$A:$A,"2501*",卡片数据!E:E,"&gt;=2015-1-1")</f>
        <v>0</v>
      </c>
      <c r="K53" s="64">
        <f t="shared" si="4"/>
        <v>0</v>
      </c>
      <c r="L53" s="66">
        <f>SUMIFS(卡片数据!L:L,卡片数据!$A:$A,"2501*",卡片数据!E:E,"&lt;2015-1-1")</f>
        <v>0</v>
      </c>
      <c r="M53" s="66">
        <f>SUMIFS(卡片数据!L:L,卡片数据!$A:$A,"2501*",卡片数据!E:E,"&gt;=2015-1-1")</f>
        <v>0</v>
      </c>
      <c r="N53" s="64">
        <f t="shared" si="5"/>
        <v>0</v>
      </c>
      <c r="O53" s="66">
        <f>SUMIFS(卡片数据!M:M,卡片数据!$A:$A,"2501*",卡片数据!E:E,"&lt;2015-1-1")</f>
        <v>0</v>
      </c>
      <c r="P53" s="66">
        <f>SUMIFS(卡片数据!M:M,卡片数据!$A:$A,"2501*",卡片数据!E:E,"&gt;=2015-1-1")</f>
        <v>0</v>
      </c>
      <c r="Q53" s="64">
        <f t="shared" si="6"/>
        <v>0</v>
      </c>
      <c r="R53" s="66">
        <f t="shared" ref="R53:R61" si="50">C53-I53</f>
        <v>0</v>
      </c>
      <c r="S53" s="66">
        <f t="shared" ref="S53:S61" si="51">D53-J53</f>
        <v>0</v>
      </c>
      <c r="T53" s="64">
        <f t="shared" si="9"/>
        <v>0</v>
      </c>
      <c r="U53" s="66">
        <f t="shared" ref="U53:U61" si="52">F53-L53</f>
        <v>0</v>
      </c>
      <c r="V53" s="66">
        <f t="shared" ref="V53:V61" si="53">G53-M53</f>
        <v>0</v>
      </c>
    </row>
    <row r="54" spans="1:22">
      <c r="A54" s="72" t="s">
        <v>87</v>
      </c>
      <c r="B54" s="62">
        <f t="shared" si="0"/>
        <v>0</v>
      </c>
      <c r="C54" s="66">
        <f>SUMIFS(卡片数据!G:G,卡片数据!$A:$A,"2502*",卡片数据!E:E,"&lt;2015-1-1")</f>
        <v>0</v>
      </c>
      <c r="D54" s="66">
        <f>SUMIFS(卡片数据!G:G,卡片数据!$A:$A,"2502*",卡片数据!E:E,"&gt;=2015-1-1")</f>
        <v>0</v>
      </c>
      <c r="E54" s="62">
        <f t="shared" si="2"/>
        <v>0</v>
      </c>
      <c r="F54" s="66">
        <f>SUMIFS(卡片数据!J:J,卡片数据!$A:$A,"2502*",卡片数据!E:E,"&lt;2015-1-1")</f>
        <v>0</v>
      </c>
      <c r="G54" s="66">
        <f>SUMIFS(卡片数据!J:J,卡片数据!$A:$A,"2502*",卡片数据!E:E,"&gt;=2015-1-1")</f>
        <v>0</v>
      </c>
      <c r="H54" s="64">
        <f t="shared" si="3"/>
        <v>0</v>
      </c>
      <c r="I54" s="66">
        <f>SUMIFS(卡片数据!I:I,卡片数据!$A:$A,"2502*",卡片数据!E:E,"&lt;2015-1-1")</f>
        <v>0</v>
      </c>
      <c r="J54" s="66">
        <f>SUMIFS(卡片数据!I:I,卡片数据!$A:$A,"2502*",卡片数据!E:E,"&gt;=2015-1-1")</f>
        <v>0</v>
      </c>
      <c r="K54" s="64">
        <f t="shared" si="4"/>
        <v>0</v>
      </c>
      <c r="L54" s="66">
        <f>SUMIFS(卡片数据!L:L,卡片数据!$A:$A,"2502*",卡片数据!E:E,"&lt;2015-1-1")</f>
        <v>0</v>
      </c>
      <c r="M54" s="66">
        <f>SUMIFS(卡片数据!L:L,卡片数据!$A:$A,"2502*",卡片数据!E:E,"&gt;=2015-1-1")</f>
        <v>0</v>
      </c>
      <c r="N54" s="64">
        <f t="shared" si="5"/>
        <v>0</v>
      </c>
      <c r="O54" s="66">
        <f>SUMIFS(卡片数据!M:M,卡片数据!$A:$A,"2502*",卡片数据!E:E,"&lt;2015-1-1")</f>
        <v>0</v>
      </c>
      <c r="P54" s="66">
        <f>SUMIFS(卡片数据!M:M,卡片数据!$A:$A,"2502*",卡片数据!E:E,"&gt;=2015-1-1")</f>
        <v>0</v>
      </c>
      <c r="Q54" s="64">
        <f t="shared" si="6"/>
        <v>0</v>
      </c>
      <c r="R54" s="66">
        <f t="shared" si="50"/>
        <v>0</v>
      </c>
      <c r="S54" s="66">
        <f t="shared" si="51"/>
        <v>0</v>
      </c>
      <c r="T54" s="64">
        <f t="shared" si="9"/>
        <v>0</v>
      </c>
      <c r="U54" s="66">
        <f t="shared" si="52"/>
        <v>0</v>
      </c>
      <c r="V54" s="66">
        <f t="shared" si="53"/>
        <v>0</v>
      </c>
    </row>
    <row r="55" spans="1:22">
      <c r="A55" s="72" t="s">
        <v>88</v>
      </c>
      <c r="B55" s="62">
        <f t="shared" si="0"/>
        <v>15350076.49</v>
      </c>
      <c r="C55" s="66">
        <f>SUMIFS(卡片数据!G:G,卡片数据!$A:$A,"2503*",卡片数据!E:E,"&lt;2015-1-1")</f>
        <v>15350076.49</v>
      </c>
      <c r="D55" s="66">
        <f>SUMIFS(卡片数据!G:G,卡片数据!$A:$A,"2503*",卡片数据!E:E,"&gt;=2015-1-1")</f>
        <v>0</v>
      </c>
      <c r="E55" s="62">
        <f t="shared" si="2"/>
        <v>14027394.85</v>
      </c>
      <c r="F55" s="66">
        <f>SUMIFS(卡片数据!J:J,卡片数据!$A:$A,"2503*",卡片数据!E:E,"&lt;2015-1-1")</f>
        <v>13852657.49</v>
      </c>
      <c r="G55" s="66">
        <f>SUMIFS(卡片数据!J:J,卡片数据!$A:$A,"2503*",卡片数据!E:E,"&gt;=2015-1-1")</f>
        <v>174737.36</v>
      </c>
      <c r="H55" s="64">
        <f t="shared" si="3"/>
        <v>14555495.07</v>
      </c>
      <c r="I55" s="66">
        <f>SUMIFS(卡片数据!I:I,卡片数据!$A:$A,"2503*",卡片数据!E:E,"&lt;2015-1-1")</f>
        <v>14555495.07</v>
      </c>
      <c r="J55" s="66">
        <f>SUMIFS(卡片数据!I:I,卡片数据!$A:$A,"2503*",卡片数据!E:E,"&gt;=2015-1-1")</f>
        <v>0</v>
      </c>
      <c r="K55" s="64">
        <f t="shared" si="4"/>
        <v>13159368.720000001</v>
      </c>
      <c r="L55" s="66">
        <f>SUMIFS(卡片数据!L:L,卡片数据!$A:$A,"2503*",卡片数据!E:E,"&lt;2015-1-1")</f>
        <v>13154757.6</v>
      </c>
      <c r="M55" s="66">
        <f>SUMIFS(卡片数据!L:L,卡片数据!$A:$A,"2503*",卡片数据!E:E,"&gt;=2015-1-1")</f>
        <v>4611.12</v>
      </c>
      <c r="N55" s="64">
        <f t="shared" si="5"/>
        <v>-57273.3</v>
      </c>
      <c r="O55" s="66">
        <f>SUMIFS(卡片数据!M:M,卡片数据!$A:$A,"2503*",卡片数据!E:E,"&lt;2015-1-1")</f>
        <v>-61884.42</v>
      </c>
      <c r="P55" s="66">
        <f>SUMIFS(卡片数据!M:M,卡片数据!$A:$A,"2503*",卡片数据!E:E,"&gt;=2015-1-1")</f>
        <v>4611.12</v>
      </c>
      <c r="Q55" s="64">
        <f t="shared" si="6"/>
        <v>794581.42</v>
      </c>
      <c r="R55" s="66">
        <f t="shared" si="50"/>
        <v>794581.42</v>
      </c>
      <c r="S55" s="66">
        <f t="shared" si="51"/>
        <v>0</v>
      </c>
      <c r="T55" s="64">
        <f t="shared" si="9"/>
        <v>868026.13</v>
      </c>
      <c r="U55" s="66">
        <f t="shared" si="52"/>
        <v>697899.89</v>
      </c>
      <c r="V55" s="66">
        <f t="shared" si="53"/>
        <v>170126.24</v>
      </c>
    </row>
    <row r="56" spans="1:22">
      <c r="A56" s="72" t="s">
        <v>89</v>
      </c>
      <c r="B56" s="62">
        <f t="shared" si="0"/>
        <v>0</v>
      </c>
      <c r="C56" s="66">
        <f>SUMIFS(卡片数据!G:G,卡片数据!$A:$A,"2504*",卡片数据!E:E,"&lt;2015-1-1")</f>
        <v>0</v>
      </c>
      <c r="D56" s="66">
        <f>SUMIFS(卡片数据!G:G,卡片数据!$A:$A,"2504*",卡片数据!E:E,"&gt;=2015-1-1")</f>
        <v>0</v>
      </c>
      <c r="E56" s="62">
        <f t="shared" si="2"/>
        <v>0</v>
      </c>
      <c r="F56" s="66">
        <f>SUMIFS(卡片数据!J:J,卡片数据!$A:$A,"2504*",卡片数据!E:E,"&lt;2015-1-1")</f>
        <v>0</v>
      </c>
      <c r="G56" s="66">
        <f>SUMIFS(卡片数据!J:J,卡片数据!$A:$A,"2504*",卡片数据!E:E,"&gt;=2015-1-1")</f>
        <v>0</v>
      </c>
      <c r="H56" s="64">
        <f t="shared" si="3"/>
        <v>0</v>
      </c>
      <c r="I56" s="66">
        <f>SUMIFS(卡片数据!I:I,卡片数据!$A:$A,"2504*",卡片数据!E:E,"&lt;2015-1-1")</f>
        <v>0</v>
      </c>
      <c r="J56" s="66">
        <f>SUMIFS(卡片数据!I:I,卡片数据!$A:$A,"2504*",卡片数据!E:E,"&gt;=2015-1-1")</f>
        <v>0</v>
      </c>
      <c r="K56" s="64">
        <f t="shared" si="4"/>
        <v>0</v>
      </c>
      <c r="L56" s="66">
        <f>SUMIFS(卡片数据!L:L,卡片数据!$A:$A,"2504*",卡片数据!E:E,"&lt;2015-1-1")</f>
        <v>0</v>
      </c>
      <c r="M56" s="66">
        <f>SUMIFS(卡片数据!L:L,卡片数据!$A:$A,"2504*",卡片数据!E:E,"&gt;=2015-1-1")</f>
        <v>0</v>
      </c>
      <c r="N56" s="64">
        <f t="shared" si="5"/>
        <v>0</v>
      </c>
      <c r="O56" s="66">
        <f>SUMIFS(卡片数据!M:M,卡片数据!$A:$A,"2504*",卡片数据!E:E,"&lt;2015-1-1")</f>
        <v>0</v>
      </c>
      <c r="P56" s="66">
        <f>SUMIFS(卡片数据!M:M,卡片数据!$A:$A,"2504*",卡片数据!E:E,"&gt;=2015-1-1")</f>
        <v>0</v>
      </c>
      <c r="Q56" s="64">
        <f t="shared" si="6"/>
        <v>0</v>
      </c>
      <c r="R56" s="66">
        <f t="shared" si="50"/>
        <v>0</v>
      </c>
      <c r="S56" s="66">
        <f t="shared" si="51"/>
        <v>0</v>
      </c>
      <c r="T56" s="64">
        <f t="shared" si="9"/>
        <v>0</v>
      </c>
      <c r="U56" s="66">
        <f t="shared" si="52"/>
        <v>0</v>
      </c>
      <c r="V56" s="66">
        <f t="shared" si="53"/>
        <v>0</v>
      </c>
    </row>
    <row r="57" spans="1:22">
      <c r="A57" s="72" t="s">
        <v>90</v>
      </c>
      <c r="B57" s="62">
        <f t="shared" si="0"/>
        <v>68160.800000000003</v>
      </c>
      <c r="C57" s="66">
        <f>SUMIFS(卡片数据!G:G,卡片数据!$A:$A,"2599*",卡片数据!E:E,"&lt;2015-1-1")</f>
        <v>68160.800000000003</v>
      </c>
      <c r="D57" s="66">
        <f>SUMIFS(卡片数据!G:G,卡片数据!$A:$A,"2599*",卡片数据!E:E,"&gt;=2015-1-1")</f>
        <v>0</v>
      </c>
      <c r="E57" s="62">
        <f t="shared" si="2"/>
        <v>68160.800000000003</v>
      </c>
      <c r="F57" s="66">
        <f>SUMIFS(卡片数据!J:J,卡片数据!$A:$A,"2599*",卡片数据!E:E,"&lt;2015-1-1")</f>
        <v>68160.800000000003</v>
      </c>
      <c r="G57" s="66">
        <f>SUMIFS(卡片数据!J:J,卡片数据!$A:$A,"2599*",卡片数据!E:E,"&gt;=2015-1-1")</f>
        <v>0</v>
      </c>
      <c r="H57" s="64">
        <f t="shared" si="3"/>
        <v>66215.460000000006</v>
      </c>
      <c r="I57" s="66">
        <f>SUMIFS(卡片数据!I:I,卡片数据!$A:$A,"2599*",卡片数据!E:E,"&lt;2015-1-1")</f>
        <v>66215.460000000006</v>
      </c>
      <c r="J57" s="66">
        <f>SUMIFS(卡片数据!I:I,卡片数据!$A:$A,"2599*",卡片数据!E:E,"&gt;=2015-1-1")</f>
        <v>0</v>
      </c>
      <c r="K57" s="64">
        <f t="shared" si="4"/>
        <v>66215.460000000006</v>
      </c>
      <c r="L57" s="66">
        <f>SUMIFS(卡片数据!L:L,卡片数据!$A:$A,"2599*",卡片数据!E:E,"&lt;2015-1-1")</f>
        <v>66215.460000000006</v>
      </c>
      <c r="M57" s="66">
        <f>SUMIFS(卡片数据!L:L,卡片数据!$A:$A,"2599*",卡片数据!E:E,"&gt;=2015-1-1")</f>
        <v>0</v>
      </c>
      <c r="N57" s="64">
        <f t="shared" si="5"/>
        <v>0</v>
      </c>
      <c r="O57" s="66">
        <f>SUMIFS(卡片数据!M:M,卡片数据!$A:$A,"2599*",卡片数据!E:E,"&lt;2015-1-1")</f>
        <v>0</v>
      </c>
      <c r="P57" s="66">
        <f>SUMIFS(卡片数据!M:M,卡片数据!$A:$A,"2599*",卡片数据!E:E,"&gt;=2015-1-1")</f>
        <v>0</v>
      </c>
      <c r="Q57" s="64">
        <f t="shared" si="6"/>
        <v>1945.34</v>
      </c>
      <c r="R57" s="66">
        <f t="shared" si="50"/>
        <v>1945.34</v>
      </c>
      <c r="S57" s="66">
        <f t="shared" si="51"/>
        <v>0</v>
      </c>
      <c r="T57" s="64">
        <f t="shared" si="9"/>
        <v>1945.34</v>
      </c>
      <c r="U57" s="66">
        <f t="shared" si="52"/>
        <v>1945.34</v>
      </c>
      <c r="V57" s="66">
        <f t="shared" si="53"/>
        <v>0</v>
      </c>
    </row>
    <row r="58" spans="1:22" s="56" customFormat="1">
      <c r="A58" s="74" t="s">
        <v>43</v>
      </c>
      <c r="B58" s="62">
        <f t="shared" si="0"/>
        <v>1389145.92</v>
      </c>
      <c r="C58" s="75">
        <f>SUMIFS(卡片数据!G:G,卡片数据!$B:$B,"辅助生产用设备及器具",卡片数据!E:E,"&lt;2015-1-1")</f>
        <v>1378824.88</v>
      </c>
      <c r="D58" s="75">
        <f>SUMIFS(卡片数据!G:G,卡片数据!$B:$B,"辅助生产用设备及器具",卡片数据!E:E,"&gt;=2015-1-1")</f>
        <v>10321.040000000001</v>
      </c>
      <c r="E58" s="62">
        <f t="shared" si="2"/>
        <v>1389145.92</v>
      </c>
      <c r="F58" s="75">
        <f>SUMIFS(卡片数据!J:J,卡片数据!$B:$B,"辅助生产用设备及器具",卡片数据!E:E,"&lt;2015-1-1")</f>
        <v>1378824.88</v>
      </c>
      <c r="G58" s="75">
        <f>SUMIFS(卡片数据!J:J,卡片数据!$B:$B,"辅助生产用设备及器具",卡片数据!E:E,"&gt;=2015-1-1")</f>
        <v>10321.040000000001</v>
      </c>
      <c r="H58" s="64">
        <f t="shared" si="3"/>
        <v>1231668.76</v>
      </c>
      <c r="I58" s="75">
        <f>SUMIFS(卡片数据!I:I,卡片数据!$B:$B,"辅助生产用设备及器具",卡片数据!E:E,"&lt;2015-1-1")</f>
        <v>1226416.08</v>
      </c>
      <c r="J58" s="75">
        <f>SUMIFS(卡片数据!I:I,卡片数据!$B:$B,"辅助生产用设备及器具",卡片数据!E:E,"&gt;=2015-1-1")</f>
        <v>5252.68</v>
      </c>
      <c r="K58" s="64">
        <f t="shared" si="4"/>
        <v>1318360.57</v>
      </c>
      <c r="L58" s="75">
        <f>SUMIFS(卡片数据!L:L,卡片数据!$B:$B,"辅助生产用设备及器具",卡片数据!E:E,"&lt;2015-1-1")</f>
        <v>1311707.19</v>
      </c>
      <c r="M58" s="75">
        <f>SUMIFS(卡片数据!L:L,卡片数据!$B:$B,"辅助生产用设备及器具",卡片数据!E:E,"&gt;=2015-1-1")</f>
        <v>6653.38</v>
      </c>
      <c r="N58" s="64">
        <f t="shared" si="5"/>
        <v>86691.81</v>
      </c>
      <c r="O58" s="75">
        <f>SUMIFS(卡片数据!M:M,卡片数据!$B:$B,"辅助生产用设备及器具",卡片数据!E:E,"&lt;2015-1-1")</f>
        <v>85291.11</v>
      </c>
      <c r="P58" s="75">
        <f>SUMIFS(卡片数据!M:M,卡片数据!$B:$B,"辅助生产用设备及器具",卡片数据!E:E,"&gt;=2015-1-1")</f>
        <v>1400.7</v>
      </c>
      <c r="Q58" s="64">
        <f t="shared" si="6"/>
        <v>157477.16</v>
      </c>
      <c r="R58" s="75">
        <f t="shared" si="50"/>
        <v>152408.79999999999</v>
      </c>
      <c r="S58" s="75">
        <f t="shared" si="51"/>
        <v>5068.3599999999997</v>
      </c>
      <c r="T58" s="64">
        <f t="shared" si="9"/>
        <v>70785.350000000006</v>
      </c>
      <c r="U58" s="75">
        <f t="shared" si="52"/>
        <v>67117.69</v>
      </c>
      <c r="V58" s="75">
        <f t="shared" si="53"/>
        <v>3667.66</v>
      </c>
    </row>
    <row r="59" spans="1:22">
      <c r="A59" s="72" t="s">
        <v>44</v>
      </c>
      <c r="B59" s="62">
        <f t="shared" si="0"/>
        <v>136589874.65000001</v>
      </c>
      <c r="C59" s="66">
        <f>SUMIFS(卡片数据!G:G,卡片数据!$B:$B,"房屋",卡片数据!E:E,"&lt;2015-1-1")</f>
        <v>134670823.94999999</v>
      </c>
      <c r="D59" s="66">
        <f>SUMIFS(卡片数据!G:G,卡片数据!$B:$B,"房屋",卡片数据!E:E,"&gt;=2015-1-1")</f>
        <v>1919050.7</v>
      </c>
      <c r="E59" s="62">
        <f t="shared" si="2"/>
        <v>136589874.65000001</v>
      </c>
      <c r="F59" s="66">
        <f>SUMIFS(卡片数据!J:J,卡片数据!$B:$B,"房屋",卡片数据!E:E,"&lt;2015-1-1")</f>
        <v>134670823.94999999</v>
      </c>
      <c r="G59" s="66">
        <f>SUMIFS(卡片数据!J:J,卡片数据!$B:$B,"房屋",卡片数据!E:E,"&gt;=2015-1-1")</f>
        <v>1919050.7</v>
      </c>
      <c r="H59" s="64">
        <f t="shared" si="3"/>
        <v>75656333</v>
      </c>
      <c r="I59" s="66">
        <f>SUMIFS(卡片数据!I:I,卡片数据!$B:$B,"房屋",卡片数据!E:E,"&lt;2015-1-1")</f>
        <v>75603159.299999997</v>
      </c>
      <c r="J59" s="66">
        <f>SUMIFS(卡片数据!I:I,卡片数据!$B:$B,"房屋",卡片数据!E:E,"&gt;=2015-1-1")</f>
        <v>53173.7</v>
      </c>
      <c r="K59" s="64">
        <f t="shared" si="4"/>
        <v>79476751.060000002</v>
      </c>
      <c r="L59" s="66">
        <f>SUMIFS(卡片数据!L:L,卡片数据!$B:$B,"房屋",卡片数据!E:E,"&lt;2015-1-1")</f>
        <v>79332422.450000003</v>
      </c>
      <c r="M59" s="66">
        <f>SUMIFS(卡片数据!L:L,卡片数据!$B:$B,"房屋",卡片数据!E:E,"&gt;=2015-1-1")</f>
        <v>144328.60999999999</v>
      </c>
      <c r="N59" s="64">
        <f t="shared" si="5"/>
        <v>3820418.06</v>
      </c>
      <c r="O59" s="66">
        <f>SUMIFS(卡片数据!M:M,卡片数据!$B:$B,"房屋",卡片数据!E:E,"&lt;2015-1-1")</f>
        <v>3729263.15</v>
      </c>
      <c r="P59" s="66">
        <f>SUMIFS(卡片数据!M:M,卡片数据!$B:$B,"房屋",卡片数据!E:E,"&gt;=2015-1-1")</f>
        <v>91154.91</v>
      </c>
      <c r="Q59" s="64">
        <f t="shared" si="6"/>
        <v>60933541.649999999</v>
      </c>
      <c r="R59" s="66">
        <f t="shared" si="50"/>
        <v>59067664.649999999</v>
      </c>
      <c r="S59" s="66">
        <f t="shared" si="51"/>
        <v>1865877</v>
      </c>
      <c r="T59" s="64">
        <f t="shared" si="9"/>
        <v>57113123.590000004</v>
      </c>
      <c r="U59" s="66">
        <f t="shared" si="52"/>
        <v>55338401.5</v>
      </c>
      <c r="V59" s="66">
        <f t="shared" si="53"/>
        <v>1774722.09</v>
      </c>
    </row>
    <row r="60" spans="1:22">
      <c r="A60" s="72" t="s">
        <v>45</v>
      </c>
      <c r="B60" s="62">
        <f t="shared" si="0"/>
        <v>86941920.079999998</v>
      </c>
      <c r="C60" s="66">
        <f>SUMIFS(卡片数据!G:G,卡片数据!$B:$B,"建筑物",卡片数据!E:E,"&lt;2015-1-1")</f>
        <v>84469486.099999994</v>
      </c>
      <c r="D60" s="66">
        <f>SUMIFS(卡片数据!G:G,卡片数据!$B:$B,"建筑物",卡片数据!E:E,"&gt;=2015-1-1")</f>
        <v>2472433.98</v>
      </c>
      <c r="E60" s="62">
        <f t="shared" si="2"/>
        <v>86293709.959999993</v>
      </c>
      <c r="F60" s="66">
        <f>SUMIFS(卡片数据!J:J,卡片数据!$B:$B,"建筑物",卡片数据!E:E,"&lt;2015-1-1")</f>
        <v>83821275.980000004</v>
      </c>
      <c r="G60" s="66">
        <f>SUMIFS(卡片数据!J:J,卡片数据!$B:$B,"建筑物",卡片数据!E:E,"&gt;=2015-1-1")</f>
        <v>2472433.98</v>
      </c>
      <c r="H60" s="64">
        <f t="shared" si="3"/>
        <v>57047358.159999996</v>
      </c>
      <c r="I60" s="66">
        <f>SUMIFS(卡片数据!I:I,卡片数据!$B:$B,"建筑物",卡片数据!E:E,"&lt;2015-1-1")</f>
        <v>56755863.759999998</v>
      </c>
      <c r="J60" s="66">
        <f>SUMIFS(卡片数据!I:I,卡片数据!$B:$B,"建筑物",卡片数据!E:E,"&gt;=2015-1-1")</f>
        <v>291494.40000000002</v>
      </c>
      <c r="K60" s="64">
        <f t="shared" si="4"/>
        <v>60982205.119999997</v>
      </c>
      <c r="L60" s="66">
        <f>SUMIFS(卡片数据!L:L,卡片数据!$B:$B,"建筑物",卡片数据!E:E,"&lt;2015-1-1")</f>
        <v>60613090.909999996</v>
      </c>
      <c r="M60" s="66">
        <f>SUMIFS(卡片数据!L:L,卡片数据!$B:$B,"建筑物",卡片数据!E:E,"&gt;=2015-1-1")</f>
        <v>369114.21</v>
      </c>
      <c r="N60" s="64">
        <f t="shared" si="5"/>
        <v>4328142.04</v>
      </c>
      <c r="O60" s="66">
        <f>SUMIFS(卡片数据!M:M,卡片数据!$B:$B,"建筑物",卡片数据!E:E,"&lt;2015-1-1")</f>
        <v>4250522.2300000004</v>
      </c>
      <c r="P60" s="66">
        <f>SUMIFS(卡片数据!M:M,卡片数据!$B:$B,"建筑物",卡片数据!E:E,"&gt;=2015-1-1")</f>
        <v>77619.81</v>
      </c>
      <c r="Q60" s="64">
        <f t="shared" si="6"/>
        <v>29894561.920000002</v>
      </c>
      <c r="R60" s="66">
        <f t="shared" si="50"/>
        <v>27713622.34</v>
      </c>
      <c r="S60" s="66">
        <f t="shared" si="51"/>
        <v>2180939.58</v>
      </c>
      <c r="T60" s="64">
        <f t="shared" si="9"/>
        <v>25311504.84</v>
      </c>
      <c r="U60" s="66">
        <f t="shared" si="52"/>
        <v>23208185.07</v>
      </c>
      <c r="V60" s="66">
        <f t="shared" si="53"/>
        <v>2103319.77</v>
      </c>
    </row>
    <row r="61" spans="1:22">
      <c r="A61" s="72" t="s">
        <v>46</v>
      </c>
      <c r="B61" s="62">
        <f t="shared" si="0"/>
        <v>246868</v>
      </c>
      <c r="C61" s="66">
        <f>SUMIFS(卡片数据!G:G,卡片数据!$B:$B,"土地",卡片数据!E:E,"&lt;2015-1-1")</f>
        <v>246868</v>
      </c>
      <c r="D61" s="66">
        <f>SUMIFS(卡片数据!G:G,卡片数据!$B:$B,"土地",卡片数据!E:E,"&gt;=2015-1-1")</f>
        <v>0</v>
      </c>
      <c r="E61" s="62">
        <f t="shared" si="2"/>
        <v>246868</v>
      </c>
      <c r="F61" s="66">
        <f>SUMIFS(卡片数据!J:J,卡片数据!$B:$B,"土地",卡片数据!E:E,"&lt;2015-1-1")</f>
        <v>246868</v>
      </c>
      <c r="G61" s="66">
        <f>SUMIFS(卡片数据!J:J,卡片数据!$B:$B,"土地",卡片数据!E:E,"&gt;=2015-1-1")</f>
        <v>0</v>
      </c>
      <c r="H61" s="64">
        <f t="shared" si="3"/>
        <v>0</v>
      </c>
      <c r="I61" s="66">
        <f>SUMIFS(卡片数据!I:I,卡片数据!$B:$B,"土地",卡片数据!E:E,"&lt;2015-1-1")</f>
        <v>0</v>
      </c>
      <c r="J61" s="66">
        <f>SUMIFS(卡片数据!I:I,卡片数据!$B:$B,"土地",卡片数据!E:E,"&gt;=2015-1-1")</f>
        <v>0</v>
      </c>
      <c r="K61" s="64">
        <f t="shared" si="4"/>
        <v>0</v>
      </c>
      <c r="L61" s="66">
        <f>SUMIFS(卡片数据!L:L,卡片数据!$B:$B,"土地",卡片数据!E:E,"&lt;2015-1-1")</f>
        <v>0</v>
      </c>
      <c r="M61" s="66">
        <f>SUMIFS(卡片数据!L:L,卡片数据!$B:$B,"土地",卡片数据!E:E,"&gt;=2015-1-1")</f>
        <v>0</v>
      </c>
      <c r="N61" s="64">
        <f t="shared" si="5"/>
        <v>0</v>
      </c>
      <c r="O61" s="66">
        <f>SUMIFS(卡片数据!M:M,卡片数据!$B:$B,"土地",卡片数据!E:E,"&lt;2015-1-1")</f>
        <v>0</v>
      </c>
      <c r="P61" s="66">
        <f>SUMIFS(卡片数据!M:M,卡片数据!$B:$B,"土地",卡片数据!E:E,"&gt;=2015-1-1")</f>
        <v>0</v>
      </c>
      <c r="Q61" s="64">
        <f t="shared" si="6"/>
        <v>246868</v>
      </c>
      <c r="R61" s="66">
        <f t="shared" si="50"/>
        <v>246868</v>
      </c>
      <c r="S61" s="66">
        <f t="shared" si="51"/>
        <v>0</v>
      </c>
      <c r="T61" s="64">
        <f t="shared" si="9"/>
        <v>246868</v>
      </c>
      <c r="U61" s="66">
        <f t="shared" si="52"/>
        <v>246868</v>
      </c>
      <c r="V61" s="66">
        <f t="shared" si="53"/>
        <v>0</v>
      </c>
    </row>
    <row r="62" spans="1:22">
      <c r="A62" s="74" t="s">
        <v>11</v>
      </c>
      <c r="B62" s="62">
        <f t="shared" si="0"/>
        <v>1935486275.8800001</v>
      </c>
      <c r="C62" s="63">
        <f>C5+C10+C16+C26+C27+C28+C34+C49+C50+C51+C52+C58+C59+C60+C61</f>
        <v>1813727686.47</v>
      </c>
      <c r="D62" s="63">
        <f t="shared" ref="D62:V62" si="54">D5+D10+D16+D26+D27+D28+D34+D49+D50+D51+D52+D58+D59+D60+D61</f>
        <v>121758589.41</v>
      </c>
      <c r="E62" s="64">
        <f t="shared" si="54"/>
        <v>1993159779.96</v>
      </c>
      <c r="F62" s="63">
        <f t="shared" si="54"/>
        <v>1832168989.3499999</v>
      </c>
      <c r="G62" s="63">
        <f t="shared" si="54"/>
        <v>160990790.61000001</v>
      </c>
      <c r="H62" s="64">
        <f t="shared" si="54"/>
        <v>1311090359.96</v>
      </c>
      <c r="I62" s="63">
        <f t="shared" si="54"/>
        <v>1289435681.6099999</v>
      </c>
      <c r="J62" s="63">
        <f t="shared" si="54"/>
        <v>21654678.350000001</v>
      </c>
      <c r="K62" s="64">
        <f t="shared" si="54"/>
        <v>1376528124.2</v>
      </c>
      <c r="L62" s="63">
        <f t="shared" si="54"/>
        <v>1345016589.49</v>
      </c>
      <c r="M62" s="63">
        <f t="shared" si="54"/>
        <v>31511534.710000001</v>
      </c>
      <c r="N62" s="64">
        <f t="shared" si="54"/>
        <v>67119904.099999994</v>
      </c>
      <c r="O62" s="63">
        <f t="shared" si="54"/>
        <v>57263047.740000002</v>
      </c>
      <c r="P62" s="63">
        <f t="shared" si="54"/>
        <v>9856856.3599999994</v>
      </c>
      <c r="Q62" s="64">
        <f t="shared" si="54"/>
        <v>624395915.91999996</v>
      </c>
      <c r="R62" s="63">
        <f t="shared" si="54"/>
        <v>524292004.86000001</v>
      </c>
      <c r="S62" s="63">
        <f t="shared" si="54"/>
        <v>100103911.06</v>
      </c>
      <c r="T62" s="64">
        <f t="shared" si="54"/>
        <v>616631655.75999999</v>
      </c>
      <c r="U62" s="63">
        <f t="shared" si="54"/>
        <v>487152399.86000001</v>
      </c>
      <c r="V62" s="63">
        <f t="shared" si="54"/>
        <v>129479255.90000001</v>
      </c>
    </row>
    <row r="63" spans="1:22">
      <c r="A63" s="72" t="s">
        <v>91</v>
      </c>
      <c r="B63" s="62">
        <f t="shared" si="0"/>
        <v>1371997086.04</v>
      </c>
      <c r="C63" s="70">
        <f>C5+C10+C16+C30+C31+C32+C37+C38+C39+C40+C41+C42+C43+C45+C46+C47+C48+C49+C53+C54+C56</f>
        <v>1275348422.5</v>
      </c>
      <c r="D63" s="70">
        <f>D5+D10+D16+D30+D31+D32+D37+D38+D39+D40+D41+D42+D43+D45+D46+D47+D48+D49+D53+D54+D56</f>
        <v>96648663.540000007</v>
      </c>
      <c r="E63" s="62">
        <f t="shared" si="2"/>
        <v>1424583624.6400001</v>
      </c>
      <c r="F63" s="70">
        <f>F5+F10+F16+F30+F31+F32+F37+F38+F39+F40+F41+F42+F43+F45+F46+F47+F48+F49+F53+F54+F56</f>
        <v>1295407161.8399999</v>
      </c>
      <c r="G63" s="70">
        <f>G5+G10+G16+G30+G31+G32+G37+G38+G39+G40+G41+G42+G43+G45+G46+G47+G48+G49+G53+G54+G56</f>
        <v>129176462.8</v>
      </c>
      <c r="H63" s="64">
        <f t="shared" si="3"/>
        <v>880860309.94000006</v>
      </c>
      <c r="I63" s="70">
        <f>I5+I10+I16+I30+I31+I32+I37+I38+I39+I40+I41+I42+I43+I45+I46+I47+I48+I49+I53+I54+I56</f>
        <v>866901488.49000001</v>
      </c>
      <c r="J63" s="70">
        <f>J5+J10+J16+J30+J31+J32+J37+J38+J39+J40+J41+J42+J43+J45+J46+J47+J48+J49+J53+J54+J56</f>
        <v>13958821.449999999</v>
      </c>
      <c r="K63" s="64">
        <f t="shared" si="4"/>
        <v>929538438.27999997</v>
      </c>
      <c r="L63" s="70">
        <f>L5+L10+L16+L30+L31+L32+L37+L38+L39+L40+L41+L42+L43+L45+L46+L47+L48+L49+L53+L54+L56</f>
        <v>908464945.27999997</v>
      </c>
      <c r="M63" s="70">
        <f>M5+M10+M16+M30+M31+M32+M37+M38+M39+M40+M41+M42+M43+M45+M46+M47+M48+M49+M53+M54+M56</f>
        <v>21073493</v>
      </c>
      <c r="N63" s="64">
        <f t="shared" si="5"/>
        <v>48955947.450000003</v>
      </c>
      <c r="O63" s="70">
        <f>O5+O10+O16+O30+O31+O32+O37+O38+O39+O40+O41+O42+O43+O45+O46+O47+O48+O49+O53+O54+O56</f>
        <v>41841275.899999999</v>
      </c>
      <c r="P63" s="70">
        <f>P5+P10+P16+P30+P31+P32+P37+P38+P39+P40+P41+P42+P43+P45+P46+P47+P48+P49+P53+P54+P56</f>
        <v>7114671.5499999998</v>
      </c>
      <c r="Q63" s="64">
        <f t="shared" si="6"/>
        <v>491136776.10000002</v>
      </c>
      <c r="R63" s="70">
        <f>R5+R10+R16+R30+R31+R32+R37+R38+R39+R40+R41+R42+R43+R45+R46+R47+R48+R49+R53+R54+R56</f>
        <v>408446934.00999999</v>
      </c>
      <c r="S63" s="70">
        <f>S5+S10+S16+S30+S31+S32+S37+S38+S39+S40+S41+S42+S43+S45+S46+S47+S48+S49+S53+S54+S56</f>
        <v>82689842.090000004</v>
      </c>
      <c r="T63" s="64">
        <f t="shared" si="9"/>
        <v>495045186.36000001</v>
      </c>
      <c r="U63" s="70">
        <f>U5+U10+U16+U30+U31+U32+U37+U38+U39+U40+U41+U42+U43+U45+U46+U47+U48+U49+U53+U54+U56</f>
        <v>386942216.56</v>
      </c>
      <c r="V63" s="70">
        <f>V5+V10+V16+V30+V31+V32+V37+V38+V39+V40+V41+V42+V43+V45+V46+V47+V48+V49+V53+V54+V56</f>
        <v>108102969.8</v>
      </c>
    </row>
    <row r="64" spans="1:22">
      <c r="A64" s="72" t="s">
        <v>92</v>
      </c>
      <c r="B64" s="62">
        <f t="shared" si="0"/>
        <v>339710527.11000001</v>
      </c>
      <c r="C64" s="70">
        <f>C26+C27+C29+C33+C35+C36+C44+C50+C51+C55+C57+C58</f>
        <v>318992085.92000002</v>
      </c>
      <c r="D64" s="70">
        <f>D26+D27+D29+D33+D35+D36+D44+D50+D51+D55+D57+D58</f>
        <v>20718441.190000001</v>
      </c>
      <c r="E64" s="62">
        <f t="shared" si="2"/>
        <v>345445702.70999998</v>
      </c>
      <c r="F64" s="70">
        <f>F26+F27+F29+F33+F35+F36+F44+F50+F51+F55+F57+F58</f>
        <v>318022859.57999998</v>
      </c>
      <c r="G64" s="70">
        <f>G26+G27+G29+G33+G35+G36+G44+G50+G51+G55+G57+G58</f>
        <v>27422843.129999999</v>
      </c>
      <c r="H64" s="64">
        <f t="shared" si="3"/>
        <v>297526358.86000001</v>
      </c>
      <c r="I64" s="70">
        <f>I26+I27+I29+I33+I35+I36+I44+I50+I51+I55+I57+I58</f>
        <v>290175170.06</v>
      </c>
      <c r="J64" s="70">
        <f>J26+J27+J29+J33+J35+J36+J44+J50+J51+J55+J57+J58</f>
        <v>7351188.7999999998</v>
      </c>
      <c r="K64" s="64">
        <f t="shared" si="4"/>
        <v>306530729.74000001</v>
      </c>
      <c r="L64" s="70">
        <f>L26+L27+L29+L33+L35+L36+L44+L50+L51+L55+L57+L58</f>
        <v>296606130.85000002</v>
      </c>
      <c r="M64" s="70">
        <f>M26+M27+M29+M33+M35+M36+M44+M50+M51+M55+M57+M58</f>
        <v>9924598.8900000006</v>
      </c>
      <c r="N64" s="64">
        <f t="shared" si="5"/>
        <v>10015396.550000001</v>
      </c>
      <c r="O64" s="70">
        <f>O26+O27+O29+O33+O35+O36+O44+O50+O51+O55+O57+O58</f>
        <v>7441986.46</v>
      </c>
      <c r="P64" s="70">
        <f>P26+P27+P29+P33+P35+P36+P44+P50+P51+P55+P57+P58</f>
        <v>2573410.09</v>
      </c>
      <c r="Q64" s="64">
        <f t="shared" si="6"/>
        <v>42184168.25</v>
      </c>
      <c r="R64" s="70">
        <f>R26+R27+R29+R33+R35+R36+R44+R50+R51+R55+R57+R58</f>
        <v>28816915.859999999</v>
      </c>
      <c r="S64" s="70">
        <f>S26+S27+S29+S33+S35+S36+S44+S50+S51+S55+S57+S58</f>
        <v>13367252.390000001</v>
      </c>
      <c r="T64" s="64">
        <f t="shared" si="9"/>
        <v>38914972.969999999</v>
      </c>
      <c r="U64" s="70">
        <f>U26+U27+U29+U33+U35+U36+U44+U50+U51+U55+U57+U58</f>
        <v>21416728.73</v>
      </c>
      <c r="V64" s="70">
        <f>V26+V27+V29+V33+V35+V36+V44+V50+V51+V55+V57+V58</f>
        <v>17498244.239999998</v>
      </c>
    </row>
    <row r="65" spans="1:22">
      <c r="A65" s="72" t="s">
        <v>93</v>
      </c>
      <c r="B65" s="62">
        <f t="shared" si="0"/>
        <v>223778662.72999999</v>
      </c>
      <c r="C65" s="70">
        <f>C59+C60+C61</f>
        <v>219387178.05000001</v>
      </c>
      <c r="D65" s="70">
        <f t="shared" ref="D65:V65" si="55">D59+D60+D61</f>
        <v>4391484.68</v>
      </c>
      <c r="E65" s="62">
        <f t="shared" si="2"/>
        <v>223130452.61000001</v>
      </c>
      <c r="F65" s="70">
        <f t="shared" si="55"/>
        <v>218738967.93000001</v>
      </c>
      <c r="G65" s="70">
        <f t="shared" si="55"/>
        <v>4391484.68</v>
      </c>
      <c r="H65" s="64">
        <f t="shared" si="3"/>
        <v>132703691.16</v>
      </c>
      <c r="I65" s="70">
        <f t="shared" si="55"/>
        <v>132359023.06</v>
      </c>
      <c r="J65" s="70">
        <f t="shared" si="55"/>
        <v>344668.1</v>
      </c>
      <c r="K65" s="64">
        <f t="shared" si="4"/>
        <v>140458956.18000001</v>
      </c>
      <c r="L65" s="70">
        <f t="shared" si="55"/>
        <v>139945513.36000001</v>
      </c>
      <c r="M65" s="70">
        <f t="shared" si="55"/>
        <v>513442.82</v>
      </c>
      <c r="N65" s="64">
        <f t="shared" si="5"/>
        <v>8148560.0999999996</v>
      </c>
      <c r="O65" s="70">
        <f t="shared" si="55"/>
        <v>7979785.3799999999</v>
      </c>
      <c r="P65" s="70">
        <f t="shared" si="55"/>
        <v>168774.72</v>
      </c>
      <c r="Q65" s="64">
        <f t="shared" si="6"/>
        <v>91074971.569999993</v>
      </c>
      <c r="R65" s="70">
        <f t="shared" si="55"/>
        <v>87028154.989999995</v>
      </c>
      <c r="S65" s="70">
        <f t="shared" si="55"/>
        <v>4046816.58</v>
      </c>
      <c r="T65" s="64">
        <f t="shared" si="9"/>
        <v>82671496.430000007</v>
      </c>
      <c r="U65" s="70">
        <f t="shared" si="55"/>
        <v>78793454.569999993</v>
      </c>
      <c r="V65" s="70">
        <f t="shared" si="55"/>
        <v>3878041.86</v>
      </c>
    </row>
    <row r="66" spans="1:22">
      <c r="B66" s="77"/>
      <c r="E66" s="77"/>
    </row>
    <row r="67" spans="1:22">
      <c r="B67" s="78"/>
      <c r="C67" s="78"/>
      <c r="E67" s="78"/>
    </row>
    <row r="68" spans="1:22">
      <c r="R68" s="78">
        <f>R62+S62-(C62+D62-I62-J62)</f>
        <v>0</v>
      </c>
      <c r="U68" s="78">
        <f>U62+V62-(F62+G62-L62-M62)</f>
        <v>0</v>
      </c>
    </row>
  </sheetData>
  <sheetProtection formatCells="0" formatColumns="0" formatRows="0" insertColumns="0" insertRows="0" insertHyperlinks="0" deleteColumns="0" deleteRows="0" sort="0" autoFilter="0" pivotTables="0"/>
  <mergeCells count="10">
    <mergeCell ref="A1:V1"/>
    <mergeCell ref="R2:V2"/>
    <mergeCell ref="B3:D3"/>
    <mergeCell ref="E3:G3"/>
    <mergeCell ref="H3:J3"/>
    <mergeCell ref="K3:M3"/>
    <mergeCell ref="N3:P3"/>
    <mergeCell ref="Q3:S3"/>
    <mergeCell ref="T3:V3"/>
    <mergeCell ref="A3:A4"/>
  </mergeCells>
  <phoneticPr fontId="3" type="noConversion"/>
  <pageMargins left="0.17" right="0.17" top="0.74803149606299202" bottom="0.74803149606299202" header="0.31496062992126" footer="0.31496062992126"/>
  <pageSetup paperSize="9"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/>
  </sheetPr>
  <dimension ref="A1:X14592"/>
  <sheetViews>
    <sheetView showZeros="0" topLeftCell="N1" workbookViewId="0">
      <selection activeCell="V5" sqref="V5"/>
    </sheetView>
  </sheetViews>
  <sheetFormatPr baseColWidth="10" defaultColWidth="9" defaultRowHeight="14"/>
  <cols>
    <col min="1" max="1" width="15.33203125" style="15" customWidth="1"/>
    <col min="2" max="2" width="36.33203125" style="16" customWidth="1"/>
    <col min="3" max="3" width="17.33203125" style="16" customWidth="1"/>
    <col min="4" max="4" width="7.6640625" style="16" customWidth="1"/>
    <col min="5" max="6" width="11.6640625" style="17" customWidth="1"/>
    <col min="7" max="8" width="13.5" style="18" customWidth="1"/>
    <col min="9" max="10" width="12.5" style="18" customWidth="1"/>
    <col min="11" max="11" width="16.1640625" style="18" customWidth="1"/>
    <col min="12" max="12" width="12.5" style="18" customWidth="1"/>
    <col min="13" max="13" width="15.6640625" style="18" customWidth="1"/>
    <col min="14" max="14" width="14.33203125" style="18" customWidth="1"/>
    <col min="15" max="15" width="14.1640625" style="19" customWidth="1"/>
    <col min="16" max="18" width="14.1640625" style="16" customWidth="1"/>
    <col min="19" max="19" width="12.1640625" style="16" customWidth="1"/>
    <col min="20" max="21" width="12.83203125" style="5" customWidth="1"/>
    <col min="22" max="24" width="24.33203125" style="5" customWidth="1"/>
    <col min="25" max="16384" width="9" style="5"/>
  </cols>
  <sheetData>
    <row r="1" spans="1:24" s="14" customFormat="1" ht="29.25" customHeight="1">
      <c r="A1" s="104" t="s">
        <v>94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37"/>
    </row>
    <row r="2" spans="1:24">
      <c r="A2" s="20" t="s">
        <v>95</v>
      </c>
      <c r="B2" s="21"/>
      <c r="C2" s="21"/>
      <c r="E2" s="22"/>
      <c r="F2" s="22"/>
      <c r="G2" s="23"/>
      <c r="H2" s="23"/>
      <c r="I2" s="105" t="s">
        <v>96</v>
      </c>
      <c r="J2" s="105"/>
      <c r="K2" s="105"/>
      <c r="L2" s="105"/>
      <c r="M2" s="23"/>
      <c r="N2" s="30"/>
      <c r="O2" s="30"/>
      <c r="P2" s="21"/>
      <c r="Q2" s="21"/>
      <c r="R2" s="21" t="s">
        <v>97</v>
      </c>
      <c r="S2" s="21"/>
      <c r="T2" s="38"/>
    </row>
    <row r="3" spans="1:24" ht="12.75" customHeight="1">
      <c r="A3" s="111" t="s">
        <v>98</v>
      </c>
      <c r="B3" s="108" t="s">
        <v>1</v>
      </c>
      <c r="C3" s="108" t="s">
        <v>99</v>
      </c>
      <c r="D3" s="108" t="s">
        <v>100</v>
      </c>
      <c r="E3" s="112" t="s">
        <v>101</v>
      </c>
      <c r="F3" s="113" t="s">
        <v>102</v>
      </c>
      <c r="G3" s="106" t="s">
        <v>2</v>
      </c>
      <c r="H3" s="106"/>
      <c r="I3" s="106"/>
      <c r="J3" s="107" t="s">
        <v>5</v>
      </c>
      <c r="K3" s="107"/>
      <c r="L3" s="107"/>
      <c r="M3" s="107"/>
      <c r="N3" s="108" t="s">
        <v>3</v>
      </c>
      <c r="O3" s="108"/>
      <c r="P3" s="108"/>
      <c r="Q3" s="108" t="s">
        <v>4</v>
      </c>
      <c r="R3" s="108"/>
      <c r="S3" s="108"/>
      <c r="T3" s="109" t="s">
        <v>103</v>
      </c>
      <c r="U3" s="110"/>
      <c r="V3" s="39">
        <v>43830</v>
      </c>
      <c r="W3" s="39">
        <v>44196</v>
      </c>
      <c r="X3" s="39">
        <v>44561</v>
      </c>
    </row>
    <row r="4" spans="1:24" ht="30.75" customHeight="1">
      <c r="A4" s="111"/>
      <c r="B4" s="108"/>
      <c r="C4" s="108"/>
      <c r="D4" s="108"/>
      <c r="E4" s="112"/>
      <c r="F4" s="114"/>
      <c r="G4" s="25" t="s">
        <v>9</v>
      </c>
      <c r="H4" s="26" t="s">
        <v>10</v>
      </c>
      <c r="I4" s="25" t="s">
        <v>20</v>
      </c>
      <c r="J4" s="31" t="s">
        <v>9</v>
      </c>
      <c r="K4" s="32" t="s">
        <v>10</v>
      </c>
      <c r="L4" s="31" t="s">
        <v>20</v>
      </c>
      <c r="M4" s="31" t="s">
        <v>104</v>
      </c>
      <c r="N4" s="33" t="s">
        <v>105</v>
      </c>
      <c r="O4" s="34" t="s">
        <v>9</v>
      </c>
      <c r="P4" s="35" t="s">
        <v>20</v>
      </c>
      <c r="Q4" s="24" t="s">
        <v>105</v>
      </c>
      <c r="R4" s="35" t="s">
        <v>9</v>
      </c>
      <c r="S4" s="35" t="s">
        <v>20</v>
      </c>
      <c r="T4" s="14" t="s">
        <v>9</v>
      </c>
      <c r="U4" s="14" t="s">
        <v>20</v>
      </c>
      <c r="V4" s="40" t="s">
        <v>106</v>
      </c>
      <c r="W4" s="40" t="s">
        <v>107</v>
      </c>
      <c r="X4" s="40" t="s">
        <v>108</v>
      </c>
    </row>
    <row r="5" spans="1:24" ht="12" customHeight="1">
      <c r="A5" s="27" t="s">
        <v>109</v>
      </c>
      <c r="B5" s="28" t="s">
        <v>110</v>
      </c>
      <c r="C5" s="27" t="s">
        <v>111</v>
      </c>
      <c r="D5" s="28" t="s">
        <v>112</v>
      </c>
      <c r="E5" s="29">
        <v>37712</v>
      </c>
      <c r="F5" s="27">
        <v>25</v>
      </c>
      <c r="G5" s="27">
        <v>1537338.81</v>
      </c>
      <c r="H5" s="27">
        <f>IFERROR(IF(ROUND((G5-I5)/G5,2)&lt;=0.05,G5,0),0)</f>
        <v>1537338.81</v>
      </c>
      <c r="I5" s="27">
        <v>1501643.23</v>
      </c>
      <c r="J5" s="27">
        <v>1537338.81</v>
      </c>
      <c r="K5" s="18">
        <f>IFERROR(IF(ROUND((J5-L5)/J5,2)&lt;=0.05,J5,0),0)</f>
        <v>1537338.81</v>
      </c>
      <c r="L5" s="27">
        <v>1460471.87</v>
      </c>
      <c r="M5" s="36">
        <v>-41171.360000000001</v>
      </c>
      <c r="T5" s="41">
        <v>0</v>
      </c>
      <c r="U5" s="41">
        <v>0</v>
      </c>
      <c r="V5" s="42" t="s">
        <v>113</v>
      </c>
      <c r="W5" s="42">
        <v>1537338.81</v>
      </c>
      <c r="X5" s="42">
        <v>1537338.81</v>
      </c>
    </row>
    <row r="6" spans="1:24">
      <c r="A6" s="27" t="s">
        <v>114</v>
      </c>
      <c r="B6" s="28" t="s">
        <v>110</v>
      </c>
      <c r="C6" s="27" t="s">
        <v>115</v>
      </c>
      <c r="D6" s="28" t="s">
        <v>112</v>
      </c>
      <c r="E6" s="29">
        <v>37226</v>
      </c>
      <c r="F6" s="27">
        <v>25</v>
      </c>
      <c r="G6" s="27">
        <v>2616027.08</v>
      </c>
      <c r="H6" s="27">
        <f t="shared" ref="H6:H69" si="0">IFERROR(IF(ROUND((G6-I6)/G6,2)&lt;=0.05,G6,0),0)</f>
        <v>0</v>
      </c>
      <c r="I6" s="27">
        <v>2244968.4700000002</v>
      </c>
      <c r="J6" s="27">
        <v>2616027.08</v>
      </c>
      <c r="K6" s="18">
        <f t="shared" ref="K6:K69" si="1">IFERROR(IF(ROUND((J6-L6)/J6,2)&lt;=0.05,J6,0),0)</f>
        <v>0</v>
      </c>
      <c r="L6" s="27">
        <v>2275000.63</v>
      </c>
      <c r="M6" s="36">
        <v>30032.16</v>
      </c>
      <c r="T6" s="41">
        <v>0</v>
      </c>
      <c r="U6" s="41">
        <v>0</v>
      </c>
      <c r="V6" s="42" t="s">
        <v>113</v>
      </c>
      <c r="W6" s="42">
        <v>0</v>
      </c>
      <c r="X6" s="42">
        <v>0</v>
      </c>
    </row>
    <row r="7" spans="1:24">
      <c r="A7" s="27" t="s">
        <v>116</v>
      </c>
      <c r="B7" s="28" t="s">
        <v>110</v>
      </c>
      <c r="C7" s="27" t="s">
        <v>117</v>
      </c>
      <c r="D7" s="28" t="s">
        <v>118</v>
      </c>
      <c r="E7" s="29">
        <v>38930</v>
      </c>
      <c r="F7" s="27">
        <v>25</v>
      </c>
      <c r="G7" s="27">
        <v>6168304.9800000004</v>
      </c>
      <c r="H7" s="27">
        <f t="shared" si="0"/>
        <v>0</v>
      </c>
      <c r="I7" s="27">
        <v>3021137.34</v>
      </c>
      <c r="J7" s="27">
        <v>6168304.9800000004</v>
      </c>
      <c r="K7" s="18">
        <f t="shared" si="1"/>
        <v>0</v>
      </c>
      <c r="L7" s="27">
        <v>3245249.37</v>
      </c>
      <c r="M7" s="36">
        <v>224112.03</v>
      </c>
      <c r="T7" s="41">
        <v>0</v>
      </c>
      <c r="U7" s="41">
        <v>0</v>
      </c>
      <c r="V7" s="42" t="s">
        <v>113</v>
      </c>
      <c r="W7" s="42">
        <v>0</v>
      </c>
      <c r="X7" s="42">
        <v>0</v>
      </c>
    </row>
    <row r="8" spans="1:24">
      <c r="A8" s="27" t="s">
        <v>119</v>
      </c>
      <c r="B8" s="28" t="s">
        <v>110</v>
      </c>
      <c r="C8" s="27" t="s">
        <v>120</v>
      </c>
      <c r="D8" s="27" t="s">
        <v>112</v>
      </c>
      <c r="E8" s="29">
        <v>37226</v>
      </c>
      <c r="F8" s="27">
        <v>25</v>
      </c>
      <c r="G8" s="27">
        <v>445864.42</v>
      </c>
      <c r="H8" s="27">
        <f t="shared" si="0"/>
        <v>445864.42</v>
      </c>
      <c r="I8" s="27">
        <v>429924.77</v>
      </c>
      <c r="J8" s="27">
        <v>445864.42</v>
      </c>
      <c r="K8" s="18">
        <f t="shared" si="1"/>
        <v>445864.42</v>
      </c>
      <c r="L8" s="27">
        <v>423571.20000000001</v>
      </c>
      <c r="M8" s="36">
        <v>-6353.57</v>
      </c>
      <c r="T8" s="41">
        <v>0</v>
      </c>
      <c r="U8" s="41">
        <v>0</v>
      </c>
      <c r="V8" s="42" t="s">
        <v>113</v>
      </c>
      <c r="W8" s="42">
        <v>445864.42</v>
      </c>
      <c r="X8" s="42">
        <v>445864.42</v>
      </c>
    </row>
    <row r="9" spans="1:24">
      <c r="A9" s="27" t="s">
        <v>121</v>
      </c>
      <c r="B9" s="28" t="s">
        <v>110</v>
      </c>
      <c r="C9" s="27" t="s">
        <v>122</v>
      </c>
      <c r="D9" s="27" t="s">
        <v>118</v>
      </c>
      <c r="E9" s="29">
        <v>33573</v>
      </c>
      <c r="F9" s="27">
        <v>25</v>
      </c>
      <c r="G9" s="27">
        <v>35426689.509999998</v>
      </c>
      <c r="H9" s="27">
        <f t="shared" si="0"/>
        <v>0</v>
      </c>
      <c r="I9" s="27">
        <v>31454536.890000001</v>
      </c>
      <c r="J9" s="27">
        <v>58120689.82</v>
      </c>
      <c r="K9" s="18">
        <f t="shared" si="1"/>
        <v>0</v>
      </c>
      <c r="L9" s="27">
        <v>34633924.390000001</v>
      </c>
      <c r="M9" s="36">
        <v>3179387.5</v>
      </c>
      <c r="N9" s="18" t="s">
        <v>123</v>
      </c>
      <c r="O9" s="19">
        <v>22694000.309999999</v>
      </c>
      <c r="T9" s="41">
        <v>0</v>
      </c>
      <c r="U9" s="41">
        <v>0</v>
      </c>
      <c r="V9" s="42" t="s">
        <v>124</v>
      </c>
      <c r="W9" s="42">
        <v>58120689.82</v>
      </c>
      <c r="X9" s="42">
        <v>58120689.82</v>
      </c>
    </row>
    <row r="10" spans="1:24">
      <c r="A10" s="27" t="s">
        <v>125</v>
      </c>
      <c r="B10" s="28" t="s">
        <v>110</v>
      </c>
      <c r="C10" s="27" t="s">
        <v>126</v>
      </c>
      <c r="D10" s="27" t="s">
        <v>112</v>
      </c>
      <c r="E10" s="29">
        <v>24077</v>
      </c>
      <c r="F10" s="27">
        <v>25</v>
      </c>
      <c r="G10" s="27">
        <v>974147.31</v>
      </c>
      <c r="H10" s="27">
        <f t="shared" si="0"/>
        <v>974147.31</v>
      </c>
      <c r="I10" s="27">
        <v>925439.94</v>
      </c>
      <c r="J10" s="27">
        <v>974147.31</v>
      </c>
      <c r="K10" s="18">
        <f t="shared" si="1"/>
        <v>974147.31</v>
      </c>
      <c r="L10" s="27">
        <v>925439.94</v>
      </c>
      <c r="M10" s="36">
        <v>0</v>
      </c>
      <c r="T10" s="41">
        <v>0</v>
      </c>
      <c r="U10" s="41">
        <v>0</v>
      </c>
      <c r="V10" s="42" t="s">
        <v>113</v>
      </c>
      <c r="W10" s="42">
        <v>974147.31</v>
      </c>
      <c r="X10" s="42">
        <v>974147.31</v>
      </c>
    </row>
    <row r="11" spans="1:24">
      <c r="A11" s="27" t="s">
        <v>127</v>
      </c>
      <c r="B11" s="28" t="s">
        <v>110</v>
      </c>
      <c r="C11" s="27" t="s">
        <v>128</v>
      </c>
      <c r="D11" s="27" t="s">
        <v>112</v>
      </c>
      <c r="E11" s="29">
        <v>25903</v>
      </c>
      <c r="F11" s="27">
        <v>25</v>
      </c>
      <c r="G11" s="27">
        <v>1303072.5</v>
      </c>
      <c r="H11" s="27">
        <f t="shared" si="0"/>
        <v>1303072.5</v>
      </c>
      <c r="I11" s="27">
        <v>1237918.8700000001</v>
      </c>
      <c r="J11" s="27">
        <v>1303072.5</v>
      </c>
      <c r="K11" s="18">
        <f t="shared" si="1"/>
        <v>1303072.5</v>
      </c>
      <c r="L11" s="27">
        <v>1237918.8700000001</v>
      </c>
      <c r="M11" s="36">
        <v>0</v>
      </c>
      <c r="T11" s="41">
        <v>0</v>
      </c>
      <c r="U11" s="41">
        <v>0</v>
      </c>
      <c r="V11" s="42" t="s">
        <v>113</v>
      </c>
      <c r="W11" s="42">
        <v>1303072.5</v>
      </c>
      <c r="X11" s="42">
        <v>1303072.5</v>
      </c>
    </row>
    <row r="12" spans="1:24">
      <c r="A12" s="27" t="s">
        <v>129</v>
      </c>
      <c r="B12" s="28" t="s">
        <v>110</v>
      </c>
      <c r="C12" s="27" t="s">
        <v>130</v>
      </c>
      <c r="D12" s="27" t="s">
        <v>112</v>
      </c>
      <c r="E12" s="29">
        <v>37226</v>
      </c>
      <c r="F12" s="27">
        <v>25</v>
      </c>
      <c r="G12" s="27">
        <v>160927.29</v>
      </c>
      <c r="H12" s="27">
        <f t="shared" si="0"/>
        <v>160927.29</v>
      </c>
      <c r="I12" s="27">
        <v>155174.14000000001</v>
      </c>
      <c r="J12" s="27">
        <v>160927.29</v>
      </c>
      <c r="K12" s="18">
        <f t="shared" si="1"/>
        <v>160927.29</v>
      </c>
      <c r="L12" s="27">
        <v>152880.93</v>
      </c>
      <c r="M12" s="36">
        <v>-2293.21</v>
      </c>
      <c r="T12" s="41">
        <v>0</v>
      </c>
      <c r="U12" s="41">
        <v>0</v>
      </c>
      <c r="V12" s="42" t="s">
        <v>113</v>
      </c>
      <c r="W12" s="42">
        <v>160927.29</v>
      </c>
      <c r="X12" s="42">
        <v>160927.29</v>
      </c>
    </row>
    <row r="13" spans="1:24">
      <c r="A13" s="27" t="s">
        <v>131</v>
      </c>
      <c r="B13" s="28" t="s">
        <v>110</v>
      </c>
      <c r="C13" s="27" t="s">
        <v>132</v>
      </c>
      <c r="D13" s="27" t="s">
        <v>118</v>
      </c>
      <c r="E13" s="29">
        <v>37226</v>
      </c>
      <c r="F13" s="27">
        <v>25</v>
      </c>
      <c r="G13" s="27">
        <v>2064448.77</v>
      </c>
      <c r="H13" s="27">
        <f t="shared" si="0"/>
        <v>2064448.77</v>
      </c>
      <c r="I13" s="27">
        <v>2054000.06</v>
      </c>
      <c r="J13" s="27">
        <v>2064448.77</v>
      </c>
      <c r="K13" s="18">
        <f t="shared" si="1"/>
        <v>2064448.77</v>
      </c>
      <c r="L13" s="27">
        <v>1961226.33</v>
      </c>
      <c r="M13" s="36">
        <v>-92773.73</v>
      </c>
      <c r="T13" s="41">
        <v>0</v>
      </c>
      <c r="U13" s="41">
        <v>0</v>
      </c>
      <c r="V13" s="42" t="s">
        <v>113</v>
      </c>
      <c r="W13" s="42">
        <v>2064448.77</v>
      </c>
      <c r="X13" s="42">
        <v>2064448.77</v>
      </c>
    </row>
    <row r="14" spans="1:24">
      <c r="A14" s="27" t="s">
        <v>133</v>
      </c>
      <c r="B14" s="28" t="s">
        <v>110</v>
      </c>
      <c r="C14" s="27" t="s">
        <v>134</v>
      </c>
      <c r="D14" s="27" t="s">
        <v>112</v>
      </c>
      <c r="E14" s="29">
        <v>39539</v>
      </c>
      <c r="F14" s="27">
        <v>25</v>
      </c>
      <c r="G14" s="27">
        <v>525109.66</v>
      </c>
      <c r="H14" s="27">
        <f t="shared" si="0"/>
        <v>0</v>
      </c>
      <c r="I14" s="27">
        <v>330840.46999999997</v>
      </c>
      <c r="J14" s="27">
        <v>525109.66</v>
      </c>
      <c r="K14" s="18">
        <f t="shared" si="1"/>
        <v>0</v>
      </c>
      <c r="L14" s="27">
        <v>342562.36</v>
      </c>
      <c r="M14" s="36">
        <v>11721.89</v>
      </c>
      <c r="T14" s="41">
        <v>0</v>
      </c>
      <c r="U14" s="41">
        <v>0</v>
      </c>
      <c r="V14" s="42" t="s">
        <v>113</v>
      </c>
      <c r="W14" s="42">
        <v>0</v>
      </c>
      <c r="X14" s="42">
        <v>0</v>
      </c>
    </row>
    <row r="15" spans="1:24">
      <c r="A15" s="27" t="s">
        <v>135</v>
      </c>
      <c r="B15" s="28" t="s">
        <v>110</v>
      </c>
      <c r="C15" s="27" t="s">
        <v>136</v>
      </c>
      <c r="D15" s="27" t="s">
        <v>112</v>
      </c>
      <c r="E15" s="29">
        <v>41271</v>
      </c>
      <c r="F15" s="27">
        <v>25</v>
      </c>
      <c r="G15" s="27">
        <v>840846.84</v>
      </c>
      <c r="H15" s="27">
        <f t="shared" si="0"/>
        <v>0</v>
      </c>
      <c r="I15" s="27">
        <v>392639.04</v>
      </c>
      <c r="J15" s="27">
        <v>840846.84</v>
      </c>
      <c r="K15" s="18">
        <f t="shared" si="1"/>
        <v>0</v>
      </c>
      <c r="L15" s="27">
        <v>414016.17</v>
      </c>
      <c r="M15" s="36">
        <v>21377.13</v>
      </c>
      <c r="T15" s="41">
        <v>0</v>
      </c>
      <c r="U15" s="41">
        <v>0</v>
      </c>
      <c r="V15" s="42" t="s">
        <v>113</v>
      </c>
      <c r="W15" s="42">
        <v>0</v>
      </c>
      <c r="X15" s="42">
        <v>0</v>
      </c>
    </row>
    <row r="16" spans="1:24">
      <c r="A16" s="27" t="s">
        <v>137</v>
      </c>
      <c r="B16" s="28" t="s">
        <v>110</v>
      </c>
      <c r="C16" s="27" t="s">
        <v>138</v>
      </c>
      <c r="D16" s="27" t="s">
        <v>112</v>
      </c>
      <c r="E16" s="29">
        <v>41271</v>
      </c>
      <c r="F16" s="27">
        <v>25</v>
      </c>
      <c r="G16" s="27">
        <v>441447.88</v>
      </c>
      <c r="H16" s="27">
        <f t="shared" si="0"/>
        <v>0</v>
      </c>
      <c r="I16" s="27">
        <v>199791.29</v>
      </c>
      <c r="J16" s="27">
        <v>441447.88</v>
      </c>
      <c r="K16" s="18">
        <f t="shared" si="1"/>
        <v>0</v>
      </c>
      <c r="L16" s="27">
        <v>211348.35</v>
      </c>
      <c r="M16" s="36">
        <v>11557.06</v>
      </c>
      <c r="T16" s="41">
        <v>0</v>
      </c>
      <c r="U16" s="41">
        <v>0</v>
      </c>
      <c r="V16" s="42" t="s">
        <v>113</v>
      </c>
      <c r="W16" s="42">
        <v>0</v>
      </c>
      <c r="X16" s="42">
        <v>0</v>
      </c>
    </row>
    <row r="17" spans="1:24">
      <c r="A17" s="27" t="s">
        <v>139</v>
      </c>
      <c r="B17" s="28" t="s">
        <v>110</v>
      </c>
      <c r="C17" s="27" t="s">
        <v>140</v>
      </c>
      <c r="D17" s="27" t="s">
        <v>112</v>
      </c>
      <c r="E17" s="29">
        <v>33573</v>
      </c>
      <c r="F17" s="27">
        <v>25</v>
      </c>
      <c r="G17" s="27">
        <v>1700000</v>
      </c>
      <c r="H17" s="27">
        <f t="shared" si="0"/>
        <v>1700000</v>
      </c>
      <c r="I17" s="27">
        <v>1615000</v>
      </c>
      <c r="J17" s="27">
        <v>1700000</v>
      </c>
      <c r="K17" s="18">
        <f t="shared" si="1"/>
        <v>1700000</v>
      </c>
      <c r="L17" s="27">
        <v>1615000</v>
      </c>
      <c r="M17" s="36">
        <v>0</v>
      </c>
      <c r="T17" s="41">
        <v>0</v>
      </c>
      <c r="U17" s="41">
        <v>0</v>
      </c>
      <c r="V17" s="42" t="s">
        <v>113</v>
      </c>
      <c r="W17" s="42">
        <v>1700000</v>
      </c>
      <c r="X17" s="42">
        <v>1700000</v>
      </c>
    </row>
    <row r="18" spans="1:24">
      <c r="A18" s="27" t="s">
        <v>141</v>
      </c>
      <c r="B18" s="28" t="s">
        <v>110</v>
      </c>
      <c r="C18" s="27" t="s">
        <v>142</v>
      </c>
      <c r="D18" s="27" t="s">
        <v>112</v>
      </c>
      <c r="E18" s="29">
        <v>41272</v>
      </c>
      <c r="F18" s="27">
        <v>25</v>
      </c>
      <c r="G18" s="27">
        <v>649518.26</v>
      </c>
      <c r="H18" s="27">
        <f t="shared" si="0"/>
        <v>0</v>
      </c>
      <c r="I18" s="27">
        <v>392533.46</v>
      </c>
      <c r="J18" s="27">
        <v>649518.26</v>
      </c>
      <c r="K18" s="18">
        <f t="shared" si="1"/>
        <v>0</v>
      </c>
      <c r="L18" s="27">
        <v>404349.72</v>
      </c>
      <c r="M18" s="36">
        <v>11816.26</v>
      </c>
      <c r="T18" s="41">
        <v>0</v>
      </c>
      <c r="U18" s="41">
        <v>0</v>
      </c>
      <c r="V18" s="42" t="s">
        <v>113</v>
      </c>
      <c r="W18" s="42">
        <v>0</v>
      </c>
      <c r="X18" s="42">
        <v>0</v>
      </c>
    </row>
    <row r="19" spans="1:24">
      <c r="A19" s="27" t="s">
        <v>143</v>
      </c>
      <c r="B19" s="28" t="s">
        <v>110</v>
      </c>
      <c r="C19" s="27" t="s">
        <v>144</v>
      </c>
      <c r="D19" s="27" t="s">
        <v>112</v>
      </c>
      <c r="E19" s="29">
        <v>41271</v>
      </c>
      <c r="F19" s="27">
        <v>25</v>
      </c>
      <c r="G19" s="27">
        <v>840846.85</v>
      </c>
      <c r="H19" s="27">
        <f t="shared" si="0"/>
        <v>0</v>
      </c>
      <c r="I19" s="27">
        <v>392639.04</v>
      </c>
      <c r="J19" s="27">
        <v>840846.85</v>
      </c>
      <c r="K19" s="18">
        <f t="shared" si="1"/>
        <v>0</v>
      </c>
      <c r="L19" s="27">
        <v>414016.17</v>
      </c>
      <c r="M19" s="36">
        <v>21377.13</v>
      </c>
      <c r="T19" s="41">
        <v>0</v>
      </c>
      <c r="U19" s="41">
        <v>0</v>
      </c>
      <c r="V19" s="42" t="s">
        <v>113</v>
      </c>
      <c r="W19" s="42">
        <v>0</v>
      </c>
      <c r="X19" s="42">
        <v>0</v>
      </c>
    </row>
    <row r="20" spans="1:24">
      <c r="A20" s="27" t="s">
        <v>145</v>
      </c>
      <c r="B20" s="28" t="s">
        <v>110</v>
      </c>
      <c r="C20" s="27" t="s">
        <v>146</v>
      </c>
      <c r="D20" s="27" t="s">
        <v>112</v>
      </c>
      <c r="E20" s="29">
        <v>40164</v>
      </c>
      <c r="F20" s="27">
        <v>25</v>
      </c>
      <c r="G20" s="27">
        <v>335241</v>
      </c>
      <c r="H20" s="27">
        <f t="shared" si="0"/>
        <v>335241</v>
      </c>
      <c r="I20" s="27">
        <v>318478.95</v>
      </c>
      <c r="J20" s="27">
        <v>335241</v>
      </c>
      <c r="K20" s="18">
        <f t="shared" si="1"/>
        <v>335241</v>
      </c>
      <c r="L20" s="27">
        <v>318478.95</v>
      </c>
      <c r="M20" s="36">
        <v>0</v>
      </c>
      <c r="T20" s="41">
        <v>0</v>
      </c>
      <c r="U20" s="41">
        <v>0</v>
      </c>
      <c r="V20" s="42" t="s">
        <v>113</v>
      </c>
      <c r="W20" s="42">
        <v>335241</v>
      </c>
      <c r="X20" s="42">
        <v>335241</v>
      </c>
    </row>
    <row r="21" spans="1:24">
      <c r="A21" s="27" t="s">
        <v>147</v>
      </c>
      <c r="B21" s="28" t="s">
        <v>110</v>
      </c>
      <c r="C21" s="27" t="s">
        <v>148</v>
      </c>
      <c r="D21" s="27" t="s">
        <v>112</v>
      </c>
      <c r="E21" s="29">
        <v>40164</v>
      </c>
      <c r="F21" s="27">
        <v>25</v>
      </c>
      <c r="G21" s="27">
        <v>1115836.03</v>
      </c>
      <c r="H21" s="27">
        <f t="shared" si="0"/>
        <v>0</v>
      </c>
      <c r="I21" s="27">
        <v>750823.67</v>
      </c>
      <c r="J21" s="27">
        <v>1115836.03</v>
      </c>
      <c r="K21" s="18">
        <f t="shared" si="1"/>
        <v>0</v>
      </c>
      <c r="L21" s="27">
        <v>789476.24</v>
      </c>
      <c r="M21" s="36">
        <v>38652.57</v>
      </c>
      <c r="T21" s="41">
        <v>0</v>
      </c>
      <c r="U21" s="41">
        <v>0</v>
      </c>
      <c r="V21" s="42" t="s">
        <v>113</v>
      </c>
      <c r="W21" s="42">
        <v>0</v>
      </c>
      <c r="X21" s="42">
        <v>0</v>
      </c>
    </row>
    <row r="22" spans="1:24">
      <c r="A22" s="27" t="s">
        <v>149</v>
      </c>
      <c r="B22" s="28" t="s">
        <v>110</v>
      </c>
      <c r="C22" s="27" t="s">
        <v>150</v>
      </c>
      <c r="D22" s="27" t="s">
        <v>118</v>
      </c>
      <c r="E22" s="29">
        <v>40164</v>
      </c>
      <c r="F22" s="27">
        <v>25</v>
      </c>
      <c r="G22" s="27">
        <v>731292.68</v>
      </c>
      <c r="H22" s="27">
        <f t="shared" si="0"/>
        <v>731292.68</v>
      </c>
      <c r="I22" s="27">
        <v>711133.22</v>
      </c>
      <c r="J22" s="27">
        <v>731292.68</v>
      </c>
      <c r="K22" s="18">
        <f t="shared" si="1"/>
        <v>731292.68</v>
      </c>
      <c r="L22" s="27">
        <v>694728.05</v>
      </c>
      <c r="M22" s="36">
        <v>-16405.169999999998</v>
      </c>
      <c r="T22" s="41">
        <v>0</v>
      </c>
      <c r="U22" s="41">
        <v>0</v>
      </c>
      <c r="V22" s="42" t="s">
        <v>113</v>
      </c>
      <c r="W22" s="42">
        <v>731292.68</v>
      </c>
      <c r="X22" s="42">
        <v>731292.68</v>
      </c>
    </row>
    <row r="23" spans="1:24">
      <c r="A23" s="27" t="s">
        <v>151</v>
      </c>
      <c r="B23" s="28" t="s">
        <v>110</v>
      </c>
      <c r="C23" s="27" t="s">
        <v>152</v>
      </c>
      <c r="D23" s="27" t="s">
        <v>112</v>
      </c>
      <c r="E23" s="29">
        <v>40164</v>
      </c>
      <c r="F23" s="27">
        <v>25</v>
      </c>
      <c r="G23" s="27">
        <v>6202585.4299999997</v>
      </c>
      <c r="H23" s="27">
        <f t="shared" si="0"/>
        <v>0</v>
      </c>
      <c r="I23" s="27">
        <v>3202283.18</v>
      </c>
      <c r="J23" s="27">
        <v>6202585.4299999997</v>
      </c>
      <c r="K23" s="18">
        <f t="shared" si="1"/>
        <v>0</v>
      </c>
      <c r="L23" s="27">
        <v>3381628.05</v>
      </c>
      <c r="M23" s="36">
        <v>179344.87</v>
      </c>
      <c r="T23" s="41">
        <v>0</v>
      </c>
      <c r="U23" s="41">
        <v>0</v>
      </c>
      <c r="V23" s="42" t="s">
        <v>113</v>
      </c>
      <c r="W23" s="42">
        <v>0</v>
      </c>
      <c r="X23" s="42">
        <v>0</v>
      </c>
    </row>
    <row r="24" spans="1:24">
      <c r="A24" s="27" t="s">
        <v>153</v>
      </c>
      <c r="B24" s="28" t="s">
        <v>110</v>
      </c>
      <c r="C24" s="27" t="s">
        <v>154</v>
      </c>
      <c r="D24" s="27" t="s">
        <v>118</v>
      </c>
      <c r="E24" s="29">
        <v>40164</v>
      </c>
      <c r="F24" s="27">
        <v>25</v>
      </c>
      <c r="G24" s="27">
        <v>5152240.03</v>
      </c>
      <c r="H24" s="27">
        <f t="shared" si="0"/>
        <v>0</v>
      </c>
      <c r="I24" s="27">
        <v>3198101.71</v>
      </c>
      <c r="J24" s="27">
        <v>5152240.03</v>
      </c>
      <c r="K24" s="18">
        <f t="shared" si="1"/>
        <v>0</v>
      </c>
      <c r="L24" s="27">
        <v>3315103.53</v>
      </c>
      <c r="M24" s="36">
        <v>117001.82</v>
      </c>
      <c r="T24" s="41">
        <v>0</v>
      </c>
      <c r="U24" s="41">
        <v>0</v>
      </c>
      <c r="V24" s="42" t="s">
        <v>113</v>
      </c>
      <c r="W24" s="42">
        <v>0</v>
      </c>
      <c r="X24" s="42">
        <v>0</v>
      </c>
    </row>
    <row r="25" spans="1:24">
      <c r="A25" s="27" t="s">
        <v>155</v>
      </c>
      <c r="B25" s="28" t="s">
        <v>110</v>
      </c>
      <c r="C25" s="27" t="s">
        <v>156</v>
      </c>
      <c r="D25" s="27" t="s">
        <v>118</v>
      </c>
      <c r="E25" s="29">
        <v>40164</v>
      </c>
      <c r="F25" s="27">
        <v>25</v>
      </c>
      <c r="G25" s="27">
        <v>5152240.04</v>
      </c>
      <c r="H25" s="27">
        <f t="shared" si="0"/>
        <v>0</v>
      </c>
      <c r="I25" s="27">
        <v>3198101.72</v>
      </c>
      <c r="J25" s="27">
        <v>5152240.04</v>
      </c>
      <c r="K25" s="18">
        <f t="shared" si="1"/>
        <v>0</v>
      </c>
      <c r="L25" s="27">
        <v>3315103.54</v>
      </c>
      <c r="M25" s="36">
        <v>117001.82</v>
      </c>
      <c r="T25" s="41">
        <v>0</v>
      </c>
      <c r="U25" s="41">
        <v>0</v>
      </c>
      <c r="V25" s="42" t="s">
        <v>113</v>
      </c>
      <c r="W25" s="42">
        <v>0</v>
      </c>
      <c r="X25" s="42">
        <v>0</v>
      </c>
    </row>
    <row r="26" spans="1:24">
      <c r="A26" s="27" t="s">
        <v>157</v>
      </c>
      <c r="B26" s="28" t="s">
        <v>110</v>
      </c>
      <c r="C26" s="27" t="s">
        <v>158</v>
      </c>
      <c r="D26" s="27" t="s">
        <v>118</v>
      </c>
      <c r="E26" s="29">
        <v>33573</v>
      </c>
      <c r="F26" s="27">
        <v>25</v>
      </c>
      <c r="G26" s="27">
        <v>298050</v>
      </c>
      <c r="H26" s="27">
        <f t="shared" si="0"/>
        <v>298050</v>
      </c>
      <c r="I26" s="27">
        <v>283147.5</v>
      </c>
      <c r="J26" s="27">
        <v>298050</v>
      </c>
      <c r="K26" s="18">
        <f t="shared" si="1"/>
        <v>298050</v>
      </c>
      <c r="L26" s="27">
        <v>283147.5</v>
      </c>
      <c r="M26" s="36">
        <v>0</v>
      </c>
      <c r="T26" s="41">
        <v>0</v>
      </c>
      <c r="U26" s="41">
        <v>0</v>
      </c>
      <c r="V26" s="42" t="s">
        <v>113</v>
      </c>
      <c r="W26" s="42">
        <v>298050</v>
      </c>
      <c r="X26" s="42">
        <v>298050</v>
      </c>
    </row>
    <row r="27" spans="1:24">
      <c r="A27" s="27" t="s">
        <v>159</v>
      </c>
      <c r="B27" s="28" t="s">
        <v>110</v>
      </c>
      <c r="C27" s="27" t="s">
        <v>160</v>
      </c>
      <c r="D27" s="27" t="s">
        <v>118</v>
      </c>
      <c r="E27" s="29">
        <v>33573</v>
      </c>
      <c r="F27" s="27">
        <v>25</v>
      </c>
      <c r="G27" s="27">
        <v>300000</v>
      </c>
      <c r="H27" s="27">
        <f t="shared" si="0"/>
        <v>300000</v>
      </c>
      <c r="I27" s="27">
        <v>285000</v>
      </c>
      <c r="J27" s="27">
        <v>300000</v>
      </c>
      <c r="K27" s="18">
        <f t="shared" si="1"/>
        <v>300000</v>
      </c>
      <c r="L27" s="27">
        <v>285000</v>
      </c>
      <c r="M27" s="36">
        <v>0</v>
      </c>
      <c r="T27" s="41">
        <v>0</v>
      </c>
      <c r="U27" s="41">
        <v>0</v>
      </c>
      <c r="V27" s="42" t="s">
        <v>113</v>
      </c>
      <c r="W27" s="42">
        <v>300000</v>
      </c>
      <c r="X27" s="42">
        <v>300000</v>
      </c>
    </row>
    <row r="28" spans="1:24">
      <c r="A28" s="27" t="s">
        <v>161</v>
      </c>
      <c r="B28" s="28" t="s">
        <v>110</v>
      </c>
      <c r="C28" s="27" t="s">
        <v>162</v>
      </c>
      <c r="D28" s="27" t="s">
        <v>112</v>
      </c>
      <c r="E28" s="29">
        <v>41635</v>
      </c>
      <c r="F28" s="27">
        <v>25</v>
      </c>
      <c r="G28" s="27">
        <v>6242552.1299999999</v>
      </c>
      <c r="H28" s="27">
        <f t="shared" si="0"/>
        <v>0</v>
      </c>
      <c r="I28" s="27">
        <v>3134140.63</v>
      </c>
      <c r="J28" s="27">
        <v>6242552.1299999999</v>
      </c>
      <c r="K28" s="18">
        <f t="shared" si="1"/>
        <v>0</v>
      </c>
      <c r="L28" s="27">
        <v>3273954.82</v>
      </c>
      <c r="M28" s="36">
        <v>139814.19</v>
      </c>
      <c r="T28" s="41">
        <v>0</v>
      </c>
      <c r="U28" s="41">
        <v>0</v>
      </c>
      <c r="V28" s="42" t="s">
        <v>113</v>
      </c>
      <c r="W28" s="42">
        <v>0</v>
      </c>
      <c r="X28" s="42">
        <v>0</v>
      </c>
    </row>
    <row r="29" spans="1:24">
      <c r="A29" s="27" t="s">
        <v>163</v>
      </c>
      <c r="B29" s="28" t="s">
        <v>110</v>
      </c>
      <c r="C29" s="27" t="s">
        <v>164</v>
      </c>
      <c r="D29" s="27" t="s">
        <v>118</v>
      </c>
      <c r="E29" s="29">
        <v>41271</v>
      </c>
      <c r="F29" s="27">
        <v>25</v>
      </c>
      <c r="G29" s="27">
        <v>25258053.699999999</v>
      </c>
      <c r="H29" s="27">
        <f t="shared" si="0"/>
        <v>0</v>
      </c>
      <c r="I29" s="27">
        <v>10735037.710000001</v>
      </c>
      <c r="J29" s="27">
        <v>25171821.16</v>
      </c>
      <c r="K29" s="18">
        <f t="shared" si="1"/>
        <v>0</v>
      </c>
      <c r="L29" s="27">
        <v>11431816.210000001</v>
      </c>
      <c r="M29" s="36">
        <v>696778.5</v>
      </c>
      <c r="N29" s="18" t="s">
        <v>123</v>
      </c>
      <c r="O29" s="19">
        <v>-86232.54</v>
      </c>
      <c r="T29" s="41">
        <v>0</v>
      </c>
      <c r="U29" s="41">
        <v>0</v>
      </c>
      <c r="V29" s="42" t="s">
        <v>113</v>
      </c>
      <c r="W29" s="42">
        <v>0</v>
      </c>
      <c r="X29" s="42">
        <v>0</v>
      </c>
    </row>
    <row r="30" spans="1:24">
      <c r="A30" s="27" t="s">
        <v>165</v>
      </c>
      <c r="B30" s="28" t="s">
        <v>110</v>
      </c>
      <c r="C30" s="27" t="s">
        <v>166</v>
      </c>
      <c r="D30" s="27" t="s">
        <v>118</v>
      </c>
      <c r="E30" s="29">
        <v>40511</v>
      </c>
      <c r="F30" s="27">
        <v>25</v>
      </c>
      <c r="G30" s="27">
        <v>6919980.9100000001</v>
      </c>
      <c r="H30" s="27">
        <f t="shared" si="0"/>
        <v>0</v>
      </c>
      <c r="I30" s="27">
        <v>3523539.78</v>
      </c>
      <c r="J30" s="27">
        <v>6919980.9100000001</v>
      </c>
      <c r="K30" s="18">
        <f t="shared" si="1"/>
        <v>0</v>
      </c>
      <c r="L30" s="27">
        <v>3711259.29</v>
      </c>
      <c r="M30" s="36">
        <v>187719.51</v>
      </c>
      <c r="T30" s="41">
        <v>0</v>
      </c>
      <c r="U30" s="41">
        <v>0</v>
      </c>
      <c r="V30" s="42" t="s">
        <v>113</v>
      </c>
      <c r="W30" s="42">
        <v>0</v>
      </c>
      <c r="X30" s="42">
        <v>0</v>
      </c>
    </row>
    <row r="31" spans="1:24">
      <c r="A31" s="27" t="s">
        <v>167</v>
      </c>
      <c r="B31" s="28" t="s">
        <v>110</v>
      </c>
      <c r="C31" s="27" t="s">
        <v>168</v>
      </c>
      <c r="D31" s="27" t="s">
        <v>118</v>
      </c>
      <c r="E31" s="29">
        <v>40543</v>
      </c>
      <c r="F31" s="27">
        <v>25</v>
      </c>
      <c r="G31" s="27">
        <v>8163375.3799999999</v>
      </c>
      <c r="H31" s="27">
        <f t="shared" si="0"/>
        <v>0</v>
      </c>
      <c r="I31" s="27">
        <v>3689308.89</v>
      </c>
      <c r="J31" s="27">
        <v>8163375.3799999999</v>
      </c>
      <c r="K31" s="18">
        <f t="shared" si="1"/>
        <v>0</v>
      </c>
      <c r="L31" s="27">
        <v>3928479.34</v>
      </c>
      <c r="M31" s="36">
        <v>239170.45</v>
      </c>
      <c r="T31" s="41">
        <v>0</v>
      </c>
      <c r="U31" s="41">
        <v>0</v>
      </c>
      <c r="V31" s="42" t="s">
        <v>113</v>
      </c>
      <c r="W31" s="42">
        <v>0</v>
      </c>
      <c r="X31" s="42">
        <v>0</v>
      </c>
    </row>
    <row r="32" spans="1:24">
      <c r="A32" s="27" t="s">
        <v>169</v>
      </c>
      <c r="B32" s="28" t="s">
        <v>110</v>
      </c>
      <c r="C32" s="27" t="s">
        <v>170</v>
      </c>
      <c r="D32" s="27" t="s">
        <v>118</v>
      </c>
      <c r="E32" s="29">
        <v>41271</v>
      </c>
      <c r="F32" s="27">
        <v>25</v>
      </c>
      <c r="G32" s="27">
        <v>5020988.7300000004</v>
      </c>
      <c r="H32" s="27">
        <f t="shared" si="0"/>
        <v>0</v>
      </c>
      <c r="I32" s="27">
        <v>2684393.4</v>
      </c>
      <c r="J32" s="27">
        <v>5020988.7300000004</v>
      </c>
      <c r="K32" s="18">
        <f t="shared" si="1"/>
        <v>0</v>
      </c>
      <c r="L32" s="27">
        <v>2794158.97</v>
      </c>
      <c r="M32" s="36">
        <v>109765.57</v>
      </c>
      <c r="T32" s="41">
        <v>0</v>
      </c>
      <c r="U32" s="41">
        <v>0</v>
      </c>
      <c r="V32" s="42" t="s">
        <v>113</v>
      </c>
      <c r="W32" s="42">
        <v>0</v>
      </c>
      <c r="X32" s="42">
        <v>0</v>
      </c>
    </row>
    <row r="33" spans="1:24">
      <c r="A33" s="27" t="s">
        <v>171</v>
      </c>
      <c r="B33" s="28" t="s">
        <v>110</v>
      </c>
      <c r="C33" s="27" t="s">
        <v>172</v>
      </c>
      <c r="D33" s="27" t="s">
        <v>118</v>
      </c>
      <c r="E33" s="29">
        <v>41271</v>
      </c>
      <c r="F33" s="27">
        <v>25</v>
      </c>
      <c r="G33" s="27">
        <v>2597388.7599999998</v>
      </c>
      <c r="H33" s="27">
        <f t="shared" si="0"/>
        <v>0</v>
      </c>
      <c r="I33" s="27">
        <v>1147810.26</v>
      </c>
      <c r="J33" s="27">
        <v>2597388.7599999998</v>
      </c>
      <c r="K33" s="18">
        <f t="shared" si="1"/>
        <v>0</v>
      </c>
      <c r="L33" s="27">
        <v>1217268.6299999999</v>
      </c>
      <c r="M33" s="36">
        <v>69458.37</v>
      </c>
      <c r="T33" s="41">
        <v>0</v>
      </c>
      <c r="U33" s="41">
        <v>0</v>
      </c>
      <c r="V33" s="42" t="s">
        <v>113</v>
      </c>
      <c r="W33" s="42">
        <v>0</v>
      </c>
      <c r="X33" s="42">
        <v>0</v>
      </c>
    </row>
    <row r="34" spans="1:24">
      <c r="A34" s="27" t="s">
        <v>173</v>
      </c>
      <c r="B34" s="28" t="s">
        <v>110</v>
      </c>
      <c r="C34" s="27" t="s">
        <v>174</v>
      </c>
      <c r="D34" s="27" t="s">
        <v>112</v>
      </c>
      <c r="E34" s="29">
        <v>41271</v>
      </c>
      <c r="F34" s="27">
        <v>25</v>
      </c>
      <c r="G34" s="27">
        <v>3628805.5</v>
      </c>
      <c r="H34" s="27">
        <f t="shared" si="0"/>
        <v>0</v>
      </c>
      <c r="I34" s="27">
        <v>1562194.3</v>
      </c>
      <c r="J34" s="27">
        <v>3628805.5</v>
      </c>
      <c r="K34" s="18">
        <f t="shared" si="1"/>
        <v>0</v>
      </c>
      <c r="L34" s="27">
        <v>1661413.82</v>
      </c>
      <c r="M34" s="36">
        <v>99219.520000000004</v>
      </c>
      <c r="T34" s="41">
        <v>0</v>
      </c>
      <c r="U34" s="41">
        <v>0</v>
      </c>
      <c r="V34" s="42" t="s">
        <v>113</v>
      </c>
      <c r="W34" s="42">
        <v>0</v>
      </c>
      <c r="X34" s="42">
        <v>0</v>
      </c>
    </row>
    <row r="35" spans="1:24">
      <c r="A35" s="27" t="s">
        <v>175</v>
      </c>
      <c r="B35" s="28" t="s">
        <v>110</v>
      </c>
      <c r="C35" s="27" t="s">
        <v>176</v>
      </c>
      <c r="D35" s="27" t="s">
        <v>112</v>
      </c>
      <c r="E35" s="29">
        <v>41272</v>
      </c>
      <c r="F35" s="27">
        <v>25</v>
      </c>
      <c r="G35" s="27">
        <v>205439.84</v>
      </c>
      <c r="H35" s="27">
        <f t="shared" si="0"/>
        <v>205439.84</v>
      </c>
      <c r="I35" s="27">
        <v>205439.84</v>
      </c>
      <c r="J35" s="27">
        <v>205439.84</v>
      </c>
      <c r="K35" s="18">
        <f t="shared" si="1"/>
        <v>205439.84</v>
      </c>
      <c r="L35" s="27">
        <v>195167.85</v>
      </c>
      <c r="M35" s="36">
        <v>-10271.99</v>
      </c>
      <c r="T35" s="41">
        <v>0</v>
      </c>
      <c r="U35" s="41">
        <v>0</v>
      </c>
      <c r="V35" s="42" t="s">
        <v>113</v>
      </c>
      <c r="W35" s="42">
        <v>205439.84</v>
      </c>
      <c r="X35" s="42">
        <v>205439.84</v>
      </c>
    </row>
    <row r="36" spans="1:24">
      <c r="A36" s="27" t="s">
        <v>177</v>
      </c>
      <c r="B36" s="28" t="s">
        <v>110</v>
      </c>
      <c r="C36" s="27" t="s">
        <v>178</v>
      </c>
      <c r="D36" s="27" t="s">
        <v>112</v>
      </c>
      <c r="E36" s="29">
        <v>33573</v>
      </c>
      <c r="F36" s="27">
        <v>25</v>
      </c>
      <c r="G36" s="27">
        <v>212800</v>
      </c>
      <c r="H36" s="27">
        <f t="shared" si="0"/>
        <v>212800</v>
      </c>
      <c r="I36" s="27">
        <v>202160</v>
      </c>
      <c r="J36" s="27">
        <v>212800</v>
      </c>
      <c r="K36" s="18">
        <f t="shared" si="1"/>
        <v>212800</v>
      </c>
      <c r="L36" s="27">
        <v>202160</v>
      </c>
      <c r="M36" s="36">
        <v>0</v>
      </c>
      <c r="T36" s="41">
        <v>0</v>
      </c>
      <c r="U36" s="41">
        <v>0</v>
      </c>
      <c r="V36" s="42" t="s">
        <v>113</v>
      </c>
      <c r="W36" s="42">
        <v>212800</v>
      </c>
      <c r="X36" s="42">
        <v>212800</v>
      </c>
    </row>
    <row r="37" spans="1:24">
      <c r="A37" s="27" t="s">
        <v>179</v>
      </c>
      <c r="B37" s="28" t="s">
        <v>110</v>
      </c>
      <c r="C37" s="27" t="s">
        <v>180</v>
      </c>
      <c r="D37" s="27" t="s">
        <v>112</v>
      </c>
      <c r="E37" s="29">
        <v>41247</v>
      </c>
      <c r="F37" s="27">
        <v>25</v>
      </c>
      <c r="G37" s="27">
        <v>2698153.29</v>
      </c>
      <c r="H37" s="27">
        <f t="shared" si="0"/>
        <v>0</v>
      </c>
      <c r="I37" s="27">
        <v>859097.7</v>
      </c>
      <c r="J37" s="27">
        <v>2698153.29</v>
      </c>
      <c r="K37" s="18">
        <f t="shared" si="1"/>
        <v>0</v>
      </c>
      <c r="L37" s="27">
        <v>948789.7</v>
      </c>
      <c r="M37" s="36">
        <v>89692</v>
      </c>
      <c r="T37" s="41">
        <v>0</v>
      </c>
      <c r="U37" s="41">
        <v>0</v>
      </c>
      <c r="V37" s="42" t="s">
        <v>113</v>
      </c>
      <c r="W37" s="42">
        <v>0</v>
      </c>
      <c r="X37" s="42">
        <v>0</v>
      </c>
    </row>
    <row r="38" spans="1:24">
      <c r="A38" s="27" t="s">
        <v>181</v>
      </c>
      <c r="B38" s="28" t="s">
        <v>110</v>
      </c>
      <c r="C38" s="27" t="s">
        <v>182</v>
      </c>
      <c r="D38" s="27" t="s">
        <v>112</v>
      </c>
      <c r="E38" s="29">
        <v>41247</v>
      </c>
      <c r="F38" s="27">
        <v>25</v>
      </c>
      <c r="G38" s="27">
        <v>1676108.98</v>
      </c>
      <c r="H38" s="27">
        <f t="shared" si="0"/>
        <v>0</v>
      </c>
      <c r="I38" s="27">
        <v>1176132.6399999999</v>
      </c>
      <c r="J38" s="27">
        <v>1676108.98</v>
      </c>
      <c r="K38" s="18">
        <f t="shared" si="1"/>
        <v>0</v>
      </c>
      <c r="L38" s="27">
        <v>1198036.3700000001</v>
      </c>
      <c r="M38" s="36">
        <v>21903.73</v>
      </c>
      <c r="T38" s="41">
        <v>0</v>
      </c>
      <c r="U38" s="41">
        <v>0</v>
      </c>
      <c r="V38" s="42" t="s">
        <v>113</v>
      </c>
      <c r="W38" s="42">
        <v>0</v>
      </c>
      <c r="X38" s="42">
        <v>0</v>
      </c>
    </row>
    <row r="39" spans="1:24">
      <c r="A39" s="27" t="s">
        <v>183</v>
      </c>
      <c r="B39" s="28" t="s">
        <v>110</v>
      </c>
      <c r="C39" s="27" t="s">
        <v>184</v>
      </c>
      <c r="D39" s="27" t="s">
        <v>112</v>
      </c>
      <c r="E39" s="29">
        <v>41247</v>
      </c>
      <c r="F39" s="27">
        <v>25</v>
      </c>
      <c r="G39" s="27">
        <v>6104651.6600000001</v>
      </c>
      <c r="H39" s="27">
        <f t="shared" si="0"/>
        <v>0</v>
      </c>
      <c r="I39" s="27">
        <v>1865185.32</v>
      </c>
      <c r="J39" s="27">
        <v>6104651.6600000001</v>
      </c>
      <c r="K39" s="18">
        <f t="shared" si="1"/>
        <v>0</v>
      </c>
      <c r="L39" s="27">
        <v>2072250.25</v>
      </c>
      <c r="M39" s="36">
        <v>207064.93</v>
      </c>
      <c r="T39" s="41">
        <v>0</v>
      </c>
      <c r="U39" s="41">
        <v>0</v>
      </c>
      <c r="V39" s="42" t="s">
        <v>113</v>
      </c>
      <c r="W39" s="42">
        <v>0</v>
      </c>
      <c r="X39" s="42">
        <v>0</v>
      </c>
    </row>
    <row r="40" spans="1:24">
      <c r="A40" s="27" t="s">
        <v>185</v>
      </c>
      <c r="B40" s="28" t="s">
        <v>110</v>
      </c>
      <c r="C40" s="27" t="s">
        <v>186</v>
      </c>
      <c r="D40" s="27" t="s">
        <v>112</v>
      </c>
      <c r="E40" s="29">
        <v>41271</v>
      </c>
      <c r="F40" s="27">
        <v>25</v>
      </c>
      <c r="G40" s="27">
        <v>263073.11</v>
      </c>
      <c r="H40" s="27">
        <f t="shared" si="0"/>
        <v>0</v>
      </c>
      <c r="I40" s="27">
        <v>129240.79</v>
      </c>
      <c r="J40" s="27">
        <v>263073.11</v>
      </c>
      <c r="K40" s="18">
        <f t="shared" si="1"/>
        <v>0</v>
      </c>
      <c r="L40" s="27">
        <v>135592.29999999999</v>
      </c>
      <c r="M40" s="36">
        <v>6351.51</v>
      </c>
      <c r="T40" s="41">
        <v>0</v>
      </c>
      <c r="U40" s="41">
        <v>0</v>
      </c>
      <c r="V40" s="42" t="s">
        <v>113</v>
      </c>
      <c r="W40" s="42">
        <v>0</v>
      </c>
      <c r="X40" s="42">
        <v>0</v>
      </c>
    </row>
    <row r="41" spans="1:24">
      <c r="A41" s="27" t="s">
        <v>187</v>
      </c>
      <c r="B41" s="28" t="s">
        <v>110</v>
      </c>
      <c r="C41" s="27" t="s">
        <v>188</v>
      </c>
      <c r="D41" s="27" t="s">
        <v>118</v>
      </c>
      <c r="E41" s="29">
        <v>41270</v>
      </c>
      <c r="F41" s="27">
        <v>25</v>
      </c>
      <c r="G41" s="27">
        <v>8752685.8300000001</v>
      </c>
      <c r="H41" s="27">
        <f t="shared" si="0"/>
        <v>0</v>
      </c>
      <c r="I41" s="27">
        <v>2721567.07</v>
      </c>
      <c r="J41" s="27">
        <v>8752685.8300000001</v>
      </c>
      <c r="K41" s="18">
        <f t="shared" si="1"/>
        <v>0</v>
      </c>
      <c r="L41" s="27">
        <v>3015960.99</v>
      </c>
      <c r="M41" s="36">
        <v>294393.92</v>
      </c>
      <c r="T41" s="41">
        <v>0</v>
      </c>
      <c r="U41" s="41">
        <v>0</v>
      </c>
      <c r="V41" s="42" t="s">
        <v>113</v>
      </c>
      <c r="W41" s="42">
        <v>0</v>
      </c>
      <c r="X41" s="42">
        <v>0</v>
      </c>
    </row>
    <row r="42" spans="1:24">
      <c r="A42" s="27" t="s">
        <v>189</v>
      </c>
      <c r="B42" s="28" t="s">
        <v>110</v>
      </c>
      <c r="C42" s="27" t="s">
        <v>190</v>
      </c>
      <c r="D42" s="27" t="s">
        <v>118</v>
      </c>
      <c r="E42" s="29">
        <v>41270</v>
      </c>
      <c r="F42" s="27">
        <v>25</v>
      </c>
      <c r="G42" s="27">
        <v>9022986.8900000006</v>
      </c>
      <c r="H42" s="27">
        <f t="shared" si="0"/>
        <v>0</v>
      </c>
      <c r="I42" s="27">
        <v>2928868.99</v>
      </c>
      <c r="J42" s="27">
        <v>9022986.8900000006</v>
      </c>
      <c r="K42" s="18">
        <f t="shared" si="1"/>
        <v>0</v>
      </c>
      <c r="L42" s="27">
        <v>3225867.34</v>
      </c>
      <c r="M42" s="36">
        <v>296998.34999999998</v>
      </c>
      <c r="T42" s="41">
        <v>0</v>
      </c>
      <c r="U42" s="41">
        <v>0</v>
      </c>
      <c r="V42" s="42" t="s">
        <v>113</v>
      </c>
      <c r="W42" s="42">
        <v>0</v>
      </c>
      <c r="X42" s="42">
        <v>0</v>
      </c>
    </row>
    <row r="43" spans="1:24">
      <c r="A43" s="27" t="s">
        <v>191</v>
      </c>
      <c r="B43" s="28" t="s">
        <v>110</v>
      </c>
      <c r="C43" s="27" t="s">
        <v>192</v>
      </c>
      <c r="D43" s="27" t="s">
        <v>118</v>
      </c>
      <c r="E43" s="29">
        <v>41270</v>
      </c>
      <c r="F43" s="27">
        <v>25</v>
      </c>
      <c r="G43" s="27">
        <v>17425299.850000001</v>
      </c>
      <c r="H43" s="27">
        <f t="shared" si="0"/>
        <v>0</v>
      </c>
      <c r="I43" s="27">
        <v>6442641.5</v>
      </c>
      <c r="J43" s="27">
        <v>17425299.850000001</v>
      </c>
      <c r="K43" s="18">
        <f t="shared" si="1"/>
        <v>0</v>
      </c>
      <c r="L43" s="27">
        <v>6974820.0999999996</v>
      </c>
      <c r="M43" s="36">
        <v>532178.6</v>
      </c>
      <c r="T43" s="41">
        <v>0</v>
      </c>
      <c r="U43" s="41">
        <v>0</v>
      </c>
      <c r="V43" s="42" t="s">
        <v>113</v>
      </c>
      <c r="W43" s="42">
        <v>0</v>
      </c>
      <c r="X43" s="42">
        <v>0</v>
      </c>
    </row>
    <row r="44" spans="1:24">
      <c r="A44" s="27" t="s">
        <v>193</v>
      </c>
      <c r="B44" s="28" t="s">
        <v>110</v>
      </c>
      <c r="C44" s="27" t="s">
        <v>194</v>
      </c>
      <c r="D44" s="27" t="s">
        <v>118</v>
      </c>
      <c r="E44" s="29">
        <v>41270</v>
      </c>
      <c r="F44" s="27">
        <v>25</v>
      </c>
      <c r="G44" s="27">
        <v>25782790.940000001</v>
      </c>
      <c r="H44" s="27">
        <f t="shared" si="0"/>
        <v>0</v>
      </c>
      <c r="I44" s="27">
        <v>9445001.5099999998</v>
      </c>
      <c r="J44" s="27">
        <v>25747617.699999999</v>
      </c>
      <c r="K44" s="18">
        <f t="shared" si="1"/>
        <v>0</v>
      </c>
      <c r="L44" s="27">
        <v>10236577.98</v>
      </c>
      <c r="M44" s="36">
        <v>791576.47</v>
      </c>
      <c r="N44" s="18" t="s">
        <v>123</v>
      </c>
      <c r="O44" s="19">
        <v>-35173.24</v>
      </c>
      <c r="T44" s="41">
        <v>0</v>
      </c>
      <c r="U44" s="41">
        <v>0</v>
      </c>
      <c r="V44" s="42" t="s">
        <v>113</v>
      </c>
      <c r="W44" s="42">
        <v>0</v>
      </c>
      <c r="X44" s="42">
        <v>0</v>
      </c>
    </row>
    <row r="45" spans="1:24">
      <c r="A45" s="27" t="s">
        <v>195</v>
      </c>
      <c r="B45" s="28" t="s">
        <v>110</v>
      </c>
      <c r="C45" s="27" t="s">
        <v>196</v>
      </c>
      <c r="D45" s="27" t="s">
        <v>112</v>
      </c>
      <c r="E45" s="29">
        <v>40843</v>
      </c>
      <c r="F45" s="27">
        <v>25</v>
      </c>
      <c r="G45" s="27">
        <v>242694.77</v>
      </c>
      <c r="H45" s="27">
        <f t="shared" si="0"/>
        <v>0</v>
      </c>
      <c r="I45" s="27">
        <v>114505.86</v>
      </c>
      <c r="J45" s="27">
        <v>242694.77</v>
      </c>
      <c r="K45" s="18">
        <f t="shared" si="1"/>
        <v>0</v>
      </c>
      <c r="L45" s="27">
        <v>121013.57</v>
      </c>
      <c r="M45" s="36">
        <v>6507.71</v>
      </c>
      <c r="T45" s="41">
        <v>0</v>
      </c>
      <c r="U45" s="41">
        <v>0</v>
      </c>
      <c r="V45" s="42" t="s">
        <v>113</v>
      </c>
      <c r="W45" s="42">
        <v>0</v>
      </c>
      <c r="X45" s="42">
        <v>0</v>
      </c>
    </row>
    <row r="46" spans="1:24">
      <c r="A46" s="27" t="s">
        <v>197</v>
      </c>
      <c r="B46" s="28" t="s">
        <v>110</v>
      </c>
      <c r="C46" s="27" t="s">
        <v>198</v>
      </c>
      <c r="D46" s="27" t="s">
        <v>118</v>
      </c>
      <c r="E46" s="29">
        <v>38930</v>
      </c>
      <c r="F46" s="27">
        <v>25</v>
      </c>
      <c r="G46" s="27">
        <v>887370.17</v>
      </c>
      <c r="H46" s="27">
        <f t="shared" si="0"/>
        <v>0</v>
      </c>
      <c r="I46" s="27">
        <v>578638.89</v>
      </c>
      <c r="J46" s="27">
        <v>887370.17</v>
      </c>
      <c r="K46" s="18">
        <f t="shared" si="1"/>
        <v>0</v>
      </c>
      <c r="L46" s="27">
        <v>599509.64</v>
      </c>
      <c r="M46" s="36">
        <v>20870.75</v>
      </c>
      <c r="T46" s="41">
        <v>0</v>
      </c>
      <c r="U46" s="41">
        <v>0</v>
      </c>
      <c r="V46" s="42" t="s">
        <v>113</v>
      </c>
      <c r="W46" s="42">
        <v>0</v>
      </c>
      <c r="X46" s="42">
        <v>0</v>
      </c>
    </row>
    <row r="47" spans="1:24">
      <c r="A47" s="27" t="s">
        <v>199</v>
      </c>
      <c r="B47" s="28" t="s">
        <v>110</v>
      </c>
      <c r="C47" s="27" t="s">
        <v>172</v>
      </c>
      <c r="D47" s="27" t="s">
        <v>118</v>
      </c>
      <c r="E47" s="29">
        <v>38930</v>
      </c>
      <c r="F47" s="27">
        <v>25</v>
      </c>
      <c r="G47" s="27">
        <v>887370.17</v>
      </c>
      <c r="H47" s="27">
        <f t="shared" si="0"/>
        <v>0</v>
      </c>
      <c r="I47" s="27">
        <v>578638.89</v>
      </c>
      <c r="J47" s="27">
        <v>887370.17</v>
      </c>
      <c r="K47" s="18">
        <f t="shared" si="1"/>
        <v>0</v>
      </c>
      <c r="L47" s="27">
        <v>599509.64</v>
      </c>
      <c r="M47" s="36">
        <v>20870.75</v>
      </c>
      <c r="T47" s="41">
        <v>0</v>
      </c>
      <c r="U47" s="41">
        <v>0</v>
      </c>
      <c r="V47" s="42" t="s">
        <v>113</v>
      </c>
      <c r="W47" s="42">
        <v>0</v>
      </c>
      <c r="X47" s="42">
        <v>0</v>
      </c>
    </row>
    <row r="48" spans="1:24">
      <c r="A48" s="27" t="s">
        <v>200</v>
      </c>
      <c r="B48" s="28" t="s">
        <v>110</v>
      </c>
      <c r="C48" s="27" t="s">
        <v>201</v>
      </c>
      <c r="D48" s="27" t="s">
        <v>112</v>
      </c>
      <c r="E48" s="29">
        <v>40542</v>
      </c>
      <c r="F48" s="27">
        <v>25</v>
      </c>
      <c r="G48" s="27">
        <v>6501594.8600000003</v>
      </c>
      <c r="H48" s="27">
        <f t="shared" si="0"/>
        <v>0</v>
      </c>
      <c r="I48" s="27">
        <v>2760294.76</v>
      </c>
      <c r="J48" s="27">
        <v>6501594.8600000003</v>
      </c>
      <c r="K48" s="18">
        <f t="shared" si="1"/>
        <v>0</v>
      </c>
      <c r="L48" s="27">
        <v>2973808.53</v>
      </c>
      <c r="M48" s="36">
        <v>213513.77</v>
      </c>
      <c r="T48" s="41">
        <v>0</v>
      </c>
      <c r="U48" s="41">
        <v>0</v>
      </c>
      <c r="V48" s="42" t="s">
        <v>113</v>
      </c>
      <c r="W48" s="42">
        <v>0</v>
      </c>
      <c r="X48" s="42">
        <v>0</v>
      </c>
    </row>
    <row r="49" spans="1:24">
      <c r="A49" s="27" t="s">
        <v>202</v>
      </c>
      <c r="B49" s="28" t="s">
        <v>110</v>
      </c>
      <c r="C49" s="27" t="s">
        <v>203</v>
      </c>
      <c r="D49" s="27" t="s">
        <v>112</v>
      </c>
      <c r="E49" s="29">
        <v>32873</v>
      </c>
      <c r="F49" s="27">
        <v>25</v>
      </c>
      <c r="G49" s="27">
        <v>1616611.25</v>
      </c>
      <c r="H49" s="27">
        <f t="shared" si="0"/>
        <v>1616611.25</v>
      </c>
      <c r="I49" s="27">
        <v>1535780.69</v>
      </c>
      <c r="J49" s="27">
        <v>1616611.25</v>
      </c>
      <c r="K49" s="18">
        <f t="shared" si="1"/>
        <v>1616611.25</v>
      </c>
      <c r="L49" s="27">
        <v>1535780.69</v>
      </c>
      <c r="M49" s="36">
        <v>0</v>
      </c>
      <c r="T49" s="41">
        <v>0</v>
      </c>
      <c r="U49" s="41">
        <v>0</v>
      </c>
      <c r="V49" s="42" t="s">
        <v>113</v>
      </c>
      <c r="W49" s="42">
        <v>1616611.25</v>
      </c>
      <c r="X49" s="42">
        <v>1616611.25</v>
      </c>
    </row>
    <row r="50" spans="1:24">
      <c r="A50" s="27" t="s">
        <v>204</v>
      </c>
      <c r="B50" s="28" t="s">
        <v>110</v>
      </c>
      <c r="C50" s="27" t="s">
        <v>205</v>
      </c>
      <c r="D50" s="27" t="s">
        <v>118</v>
      </c>
      <c r="E50" s="29">
        <v>42308</v>
      </c>
      <c r="F50" s="27">
        <v>25</v>
      </c>
      <c r="G50" s="27">
        <v>120845.62</v>
      </c>
      <c r="H50" s="27">
        <f t="shared" si="0"/>
        <v>0</v>
      </c>
      <c r="I50" s="27">
        <v>18624.02</v>
      </c>
      <c r="J50" s="27">
        <v>120845.62</v>
      </c>
      <c r="K50" s="18">
        <f t="shared" si="1"/>
        <v>0</v>
      </c>
      <c r="L50" s="27">
        <v>23029.18</v>
      </c>
      <c r="M50" s="36">
        <v>4405.16</v>
      </c>
      <c r="T50" s="41">
        <v>0</v>
      </c>
      <c r="U50" s="41">
        <v>0</v>
      </c>
      <c r="V50" s="42" t="s">
        <v>113</v>
      </c>
      <c r="W50" s="42">
        <v>0</v>
      </c>
      <c r="X50" s="42">
        <v>0</v>
      </c>
    </row>
    <row r="51" spans="1:24">
      <c r="A51" s="27" t="s">
        <v>206</v>
      </c>
      <c r="B51" s="28" t="s">
        <v>110</v>
      </c>
      <c r="C51" s="27" t="s">
        <v>207</v>
      </c>
      <c r="D51" s="27" t="s">
        <v>112</v>
      </c>
      <c r="E51" s="29">
        <v>31412</v>
      </c>
      <c r="F51" s="27">
        <v>25</v>
      </c>
      <c r="G51" s="27">
        <v>40000</v>
      </c>
      <c r="H51" s="27">
        <f t="shared" si="0"/>
        <v>40000</v>
      </c>
      <c r="I51" s="27">
        <v>38000</v>
      </c>
      <c r="J51" s="27">
        <v>40000</v>
      </c>
      <c r="K51" s="18">
        <f t="shared" si="1"/>
        <v>40000</v>
      </c>
      <c r="L51" s="27">
        <v>38000</v>
      </c>
      <c r="M51" s="36">
        <v>0</v>
      </c>
      <c r="T51" s="41">
        <v>0</v>
      </c>
      <c r="U51" s="41">
        <v>0</v>
      </c>
      <c r="V51" s="42" t="s">
        <v>113</v>
      </c>
      <c r="W51" s="42">
        <v>40000</v>
      </c>
      <c r="X51" s="42">
        <v>40000</v>
      </c>
    </row>
    <row r="52" spans="1:24">
      <c r="A52" s="27" t="s">
        <v>208</v>
      </c>
      <c r="B52" s="28" t="s">
        <v>110</v>
      </c>
      <c r="C52" s="27" t="s">
        <v>209</v>
      </c>
      <c r="D52" s="27" t="s">
        <v>112</v>
      </c>
      <c r="E52" s="29">
        <v>32873</v>
      </c>
      <c r="F52" s="27">
        <v>25</v>
      </c>
      <c r="G52" s="27">
        <v>7250446.7599999998</v>
      </c>
      <c r="H52" s="27">
        <f t="shared" si="0"/>
        <v>7250446.7599999998</v>
      </c>
      <c r="I52" s="27">
        <v>6887924.1299999999</v>
      </c>
      <c r="J52" s="27">
        <v>7250446.7599999998</v>
      </c>
      <c r="K52" s="18">
        <f t="shared" si="1"/>
        <v>7250446.7599999998</v>
      </c>
      <c r="L52" s="27">
        <v>6887924.1299999999</v>
      </c>
      <c r="M52" s="36">
        <v>0</v>
      </c>
      <c r="T52" s="41">
        <v>0</v>
      </c>
      <c r="U52" s="41">
        <v>0</v>
      </c>
      <c r="V52" s="42" t="s">
        <v>113</v>
      </c>
      <c r="W52" s="42">
        <v>7250446.7599999998</v>
      </c>
      <c r="X52" s="42">
        <v>7250446.7599999998</v>
      </c>
    </row>
    <row r="53" spans="1:24">
      <c r="A53" s="27" t="s">
        <v>210</v>
      </c>
      <c r="B53" s="28" t="s">
        <v>110</v>
      </c>
      <c r="C53" s="27" t="s">
        <v>211</v>
      </c>
      <c r="D53" s="27" t="s">
        <v>112</v>
      </c>
      <c r="E53" s="29">
        <v>32508</v>
      </c>
      <c r="F53" s="27">
        <v>25</v>
      </c>
      <c r="G53" s="27">
        <v>1597195.41</v>
      </c>
      <c r="H53" s="27">
        <f t="shared" si="0"/>
        <v>1597195.41</v>
      </c>
      <c r="I53" s="27">
        <v>1517335.64</v>
      </c>
      <c r="J53" s="27">
        <v>1597195.41</v>
      </c>
      <c r="K53" s="18">
        <f t="shared" si="1"/>
        <v>1597195.41</v>
      </c>
      <c r="L53" s="27">
        <v>1517335.64</v>
      </c>
      <c r="M53" s="36">
        <v>0</v>
      </c>
      <c r="T53" s="41">
        <v>0</v>
      </c>
      <c r="U53" s="41">
        <v>0</v>
      </c>
      <c r="V53" s="42" t="s">
        <v>113</v>
      </c>
      <c r="W53" s="42">
        <v>1597195.41</v>
      </c>
      <c r="X53" s="42">
        <v>1597195.41</v>
      </c>
    </row>
    <row r="54" spans="1:24">
      <c r="A54" s="27" t="s">
        <v>212</v>
      </c>
      <c r="B54" s="28" t="s">
        <v>110</v>
      </c>
      <c r="C54" s="27" t="s">
        <v>213</v>
      </c>
      <c r="D54" s="27" t="s">
        <v>112</v>
      </c>
      <c r="E54" s="29">
        <v>34334</v>
      </c>
      <c r="F54" s="27">
        <v>25</v>
      </c>
      <c r="G54" s="27">
        <v>400000</v>
      </c>
      <c r="H54" s="27">
        <f t="shared" si="0"/>
        <v>400000</v>
      </c>
      <c r="I54" s="27">
        <v>380000</v>
      </c>
      <c r="J54" s="27">
        <v>400000</v>
      </c>
      <c r="K54" s="18">
        <f t="shared" si="1"/>
        <v>400000</v>
      </c>
      <c r="L54" s="27">
        <v>380000</v>
      </c>
      <c r="M54" s="36">
        <v>0</v>
      </c>
      <c r="T54" s="41">
        <v>0</v>
      </c>
      <c r="U54" s="41">
        <v>0</v>
      </c>
      <c r="V54" s="42" t="s">
        <v>113</v>
      </c>
      <c r="W54" s="42">
        <v>400000</v>
      </c>
      <c r="X54" s="42">
        <v>400000</v>
      </c>
    </row>
    <row r="55" spans="1:24">
      <c r="A55" s="27" t="s">
        <v>214</v>
      </c>
      <c r="B55" s="28" t="s">
        <v>215</v>
      </c>
      <c r="C55" s="27" t="s">
        <v>216</v>
      </c>
      <c r="D55" s="27" t="s">
        <v>112</v>
      </c>
      <c r="E55" s="29">
        <v>35643</v>
      </c>
      <c r="F55" s="27">
        <v>15</v>
      </c>
      <c r="G55" s="27">
        <v>696015.4</v>
      </c>
      <c r="H55" s="27">
        <f t="shared" si="0"/>
        <v>696015.4</v>
      </c>
      <c r="I55" s="27">
        <v>661214.63</v>
      </c>
      <c r="J55" s="27">
        <v>696015.4</v>
      </c>
      <c r="K55" s="18">
        <f t="shared" si="1"/>
        <v>696015.4</v>
      </c>
      <c r="L55" s="27">
        <v>661214.63</v>
      </c>
      <c r="M55" s="36">
        <v>0</v>
      </c>
      <c r="T55" s="41">
        <v>0</v>
      </c>
      <c r="U55" s="41">
        <v>0</v>
      </c>
      <c r="V55" s="42" t="s">
        <v>113</v>
      </c>
      <c r="W55" s="42">
        <v>696015.4</v>
      </c>
      <c r="X55" s="42">
        <v>696015.4</v>
      </c>
    </row>
    <row r="56" spans="1:24">
      <c r="A56" s="27" t="s">
        <v>217</v>
      </c>
      <c r="B56" s="28" t="s">
        <v>215</v>
      </c>
      <c r="C56" s="27" t="s">
        <v>216</v>
      </c>
      <c r="D56" s="27" t="s">
        <v>118</v>
      </c>
      <c r="E56" s="29">
        <v>38412</v>
      </c>
      <c r="F56" s="27">
        <v>15</v>
      </c>
      <c r="G56" s="27">
        <v>2671290.73</v>
      </c>
      <c r="H56" s="27">
        <f t="shared" si="0"/>
        <v>2671290.73</v>
      </c>
      <c r="I56" s="27">
        <v>2537726.19</v>
      </c>
      <c r="J56" s="27">
        <v>2671290.73</v>
      </c>
      <c r="K56" s="18">
        <f t="shared" si="1"/>
        <v>2671290.73</v>
      </c>
      <c r="L56" s="27">
        <v>2537726.19</v>
      </c>
      <c r="M56" s="36">
        <v>0</v>
      </c>
      <c r="T56" s="41">
        <v>0</v>
      </c>
      <c r="U56" s="41">
        <v>0</v>
      </c>
      <c r="V56" s="42" t="s">
        <v>113</v>
      </c>
      <c r="W56" s="42">
        <v>2671290.73</v>
      </c>
      <c r="X56" s="42">
        <v>2671290.73</v>
      </c>
    </row>
    <row r="57" spans="1:24">
      <c r="A57" s="27" t="s">
        <v>218</v>
      </c>
      <c r="B57" s="28" t="s">
        <v>215</v>
      </c>
      <c r="C57" s="27" t="s">
        <v>219</v>
      </c>
      <c r="D57" s="27" t="s">
        <v>220</v>
      </c>
      <c r="E57" s="29">
        <v>38564</v>
      </c>
      <c r="F57" s="27">
        <v>15</v>
      </c>
      <c r="G57" s="27">
        <v>10885114.279999999</v>
      </c>
      <c r="H57" s="27">
        <f t="shared" si="0"/>
        <v>10885114.279999999</v>
      </c>
      <c r="I57" s="27">
        <v>10340858.57</v>
      </c>
      <c r="J57" s="27">
        <v>10885114.279999999</v>
      </c>
      <c r="K57" s="18">
        <f t="shared" si="1"/>
        <v>10885114.279999999</v>
      </c>
      <c r="L57" s="27">
        <v>10340858.57</v>
      </c>
      <c r="M57" s="36">
        <v>0</v>
      </c>
      <c r="T57" s="41">
        <v>0</v>
      </c>
      <c r="U57" s="41">
        <v>0</v>
      </c>
      <c r="V57" s="42" t="s">
        <v>113</v>
      </c>
      <c r="W57" s="42">
        <v>10885114.279999999</v>
      </c>
      <c r="X57" s="42">
        <v>10885114.279999999</v>
      </c>
    </row>
    <row r="58" spans="1:24">
      <c r="A58" s="27" t="s">
        <v>221</v>
      </c>
      <c r="B58" s="28" t="s">
        <v>215</v>
      </c>
      <c r="C58" s="27" t="s">
        <v>216</v>
      </c>
      <c r="D58" s="27" t="s">
        <v>220</v>
      </c>
      <c r="E58" s="29">
        <v>39387</v>
      </c>
      <c r="F58" s="27">
        <v>15</v>
      </c>
      <c r="G58" s="27">
        <v>13410183.310000001</v>
      </c>
      <c r="H58" s="27">
        <f t="shared" si="0"/>
        <v>0</v>
      </c>
      <c r="I58" s="27">
        <v>11353377.32</v>
      </c>
      <c r="J58" s="27">
        <v>13410183.310000001</v>
      </c>
      <c r="K58" s="18">
        <f t="shared" si="1"/>
        <v>0</v>
      </c>
      <c r="L58" s="27">
        <v>11707325.439999999</v>
      </c>
      <c r="M58" s="36">
        <v>353948.12</v>
      </c>
      <c r="T58" s="41">
        <v>0</v>
      </c>
      <c r="U58" s="41">
        <v>0</v>
      </c>
      <c r="V58" s="42" t="s">
        <v>113</v>
      </c>
      <c r="W58" s="42">
        <v>0</v>
      </c>
      <c r="X58" s="42">
        <v>0</v>
      </c>
    </row>
    <row r="59" spans="1:24">
      <c r="A59" s="27" t="s">
        <v>222</v>
      </c>
      <c r="B59" s="28" t="s">
        <v>215</v>
      </c>
      <c r="C59" s="27" t="s">
        <v>219</v>
      </c>
      <c r="D59" s="27" t="s">
        <v>118</v>
      </c>
      <c r="E59" s="29">
        <v>37408</v>
      </c>
      <c r="F59" s="27">
        <v>15</v>
      </c>
      <c r="G59" s="27">
        <v>1870511.79</v>
      </c>
      <c r="H59" s="27">
        <f t="shared" si="0"/>
        <v>1870511.79</v>
      </c>
      <c r="I59" s="27">
        <v>1776986.2</v>
      </c>
      <c r="J59" s="27">
        <v>1870511.79</v>
      </c>
      <c r="K59" s="18">
        <f t="shared" si="1"/>
        <v>1870511.79</v>
      </c>
      <c r="L59" s="27">
        <v>1776986.2</v>
      </c>
      <c r="M59" s="36">
        <v>0</v>
      </c>
      <c r="T59" s="41">
        <v>0</v>
      </c>
      <c r="U59" s="41">
        <v>0</v>
      </c>
      <c r="V59" s="42" t="s">
        <v>113</v>
      </c>
      <c r="W59" s="42">
        <v>1870511.79</v>
      </c>
      <c r="X59" s="42">
        <v>1870511.79</v>
      </c>
    </row>
    <row r="60" spans="1:24">
      <c r="A60" s="27" t="s">
        <v>223</v>
      </c>
      <c r="B60" s="28" t="s">
        <v>215</v>
      </c>
      <c r="C60" s="27" t="s">
        <v>216</v>
      </c>
      <c r="D60" s="27" t="s">
        <v>112</v>
      </c>
      <c r="E60" s="29">
        <v>39539</v>
      </c>
      <c r="F60" s="27">
        <v>15</v>
      </c>
      <c r="G60" s="27">
        <v>511819.19</v>
      </c>
      <c r="H60" s="27">
        <f t="shared" si="0"/>
        <v>0</v>
      </c>
      <c r="I60" s="27">
        <v>418454.69</v>
      </c>
      <c r="J60" s="27">
        <v>511819.19</v>
      </c>
      <c r="K60" s="18">
        <f t="shared" si="1"/>
        <v>0</v>
      </c>
      <c r="L60" s="27">
        <v>434094.74</v>
      </c>
      <c r="M60" s="36">
        <v>15640.05</v>
      </c>
      <c r="T60" s="41">
        <v>0</v>
      </c>
      <c r="U60" s="41">
        <v>0</v>
      </c>
      <c r="V60" s="42" t="s">
        <v>113</v>
      </c>
      <c r="W60" s="42">
        <v>0</v>
      </c>
      <c r="X60" s="42">
        <v>0</v>
      </c>
    </row>
    <row r="61" spans="1:24">
      <c r="A61" s="27" t="s">
        <v>224</v>
      </c>
      <c r="B61" s="28" t="s">
        <v>215</v>
      </c>
      <c r="C61" s="27" t="s">
        <v>219</v>
      </c>
      <c r="D61" s="27" t="s">
        <v>118</v>
      </c>
      <c r="E61" s="29">
        <v>37226</v>
      </c>
      <c r="F61" s="27">
        <v>15</v>
      </c>
      <c r="G61" s="27">
        <v>2572984.7400000002</v>
      </c>
      <c r="H61" s="27">
        <f t="shared" si="0"/>
        <v>2572984.7400000002</v>
      </c>
      <c r="I61" s="27">
        <v>2444335.5</v>
      </c>
      <c r="J61" s="27">
        <v>2572984.7400000002</v>
      </c>
      <c r="K61" s="18">
        <f t="shared" si="1"/>
        <v>2572984.7400000002</v>
      </c>
      <c r="L61" s="27">
        <v>2444335.5</v>
      </c>
      <c r="M61" s="36">
        <v>0</v>
      </c>
      <c r="T61" s="41">
        <v>0</v>
      </c>
      <c r="U61" s="41">
        <v>0</v>
      </c>
      <c r="V61" s="42" t="s">
        <v>113</v>
      </c>
      <c r="W61" s="42">
        <v>2572984.7400000002</v>
      </c>
      <c r="X61" s="42">
        <v>2572984.7400000002</v>
      </c>
    </row>
    <row r="62" spans="1:24">
      <c r="A62" s="27" t="s">
        <v>225</v>
      </c>
      <c r="B62" s="28" t="s">
        <v>215</v>
      </c>
      <c r="C62" s="27" t="s">
        <v>216</v>
      </c>
      <c r="D62" s="27" t="s">
        <v>118</v>
      </c>
      <c r="E62" s="29">
        <v>40079</v>
      </c>
      <c r="F62" s="27">
        <v>15</v>
      </c>
      <c r="G62" s="27">
        <v>5975722.5999999996</v>
      </c>
      <c r="H62" s="27">
        <f t="shared" si="0"/>
        <v>0</v>
      </c>
      <c r="I62" s="27">
        <v>4712343.1100000003</v>
      </c>
      <c r="J62" s="27">
        <v>5975722.5999999996</v>
      </c>
      <c r="K62" s="18">
        <f t="shared" si="1"/>
        <v>0</v>
      </c>
      <c r="L62" s="27">
        <v>4915415.4000000004</v>
      </c>
      <c r="M62" s="36">
        <v>203072.29</v>
      </c>
      <c r="T62" s="41">
        <v>0</v>
      </c>
      <c r="U62" s="41">
        <v>0</v>
      </c>
      <c r="V62" s="42" t="s">
        <v>113</v>
      </c>
      <c r="W62" s="42">
        <v>0</v>
      </c>
      <c r="X62" s="42">
        <v>0</v>
      </c>
    </row>
    <row r="63" spans="1:24">
      <c r="A63" s="27" t="s">
        <v>226</v>
      </c>
      <c r="B63" s="28" t="s">
        <v>215</v>
      </c>
      <c r="C63" s="27" t="s">
        <v>219</v>
      </c>
      <c r="D63" s="27" t="s">
        <v>118</v>
      </c>
      <c r="E63" s="29">
        <v>40079</v>
      </c>
      <c r="F63" s="27">
        <v>15</v>
      </c>
      <c r="G63" s="27">
        <v>6017932.0300000003</v>
      </c>
      <c r="H63" s="27">
        <f t="shared" si="0"/>
        <v>0</v>
      </c>
      <c r="I63" s="27">
        <v>4746997.34</v>
      </c>
      <c r="J63" s="27">
        <v>6017932.0300000003</v>
      </c>
      <c r="K63" s="18">
        <f t="shared" si="1"/>
        <v>0</v>
      </c>
      <c r="L63" s="27">
        <v>4951215.8899999997</v>
      </c>
      <c r="M63" s="36">
        <v>204218.55</v>
      </c>
      <c r="T63" s="41">
        <v>0</v>
      </c>
      <c r="U63" s="41">
        <v>0</v>
      </c>
      <c r="V63" s="42" t="s">
        <v>113</v>
      </c>
      <c r="W63" s="42">
        <v>0</v>
      </c>
      <c r="X63" s="42">
        <v>0</v>
      </c>
    </row>
    <row r="64" spans="1:24">
      <c r="A64" s="27" t="s">
        <v>227</v>
      </c>
      <c r="B64" s="28" t="s">
        <v>215</v>
      </c>
      <c r="C64" s="27" t="s">
        <v>216</v>
      </c>
      <c r="D64" s="27" t="s">
        <v>112</v>
      </c>
      <c r="E64" s="29">
        <v>40268</v>
      </c>
      <c r="F64" s="27">
        <v>15</v>
      </c>
      <c r="G64" s="27">
        <v>97335.99</v>
      </c>
      <c r="H64" s="27">
        <f t="shared" si="0"/>
        <v>0</v>
      </c>
      <c r="I64" s="27">
        <v>70262.11</v>
      </c>
      <c r="J64" s="27">
        <v>97335.99</v>
      </c>
      <c r="K64" s="18">
        <f t="shared" si="1"/>
        <v>0</v>
      </c>
      <c r="L64" s="27">
        <v>73815.240000000005</v>
      </c>
      <c r="M64" s="36">
        <v>3553.13</v>
      </c>
      <c r="T64" s="41">
        <v>0</v>
      </c>
      <c r="U64" s="41">
        <v>0</v>
      </c>
      <c r="V64" s="42" t="s">
        <v>113</v>
      </c>
      <c r="W64" s="42">
        <v>0</v>
      </c>
      <c r="X64" s="42">
        <v>0</v>
      </c>
    </row>
    <row r="65" spans="1:24">
      <c r="A65" s="27" t="s">
        <v>228</v>
      </c>
      <c r="B65" s="28" t="s">
        <v>215</v>
      </c>
      <c r="C65" s="27" t="s">
        <v>229</v>
      </c>
      <c r="D65" s="27" t="s">
        <v>230</v>
      </c>
      <c r="E65" s="29">
        <v>40268</v>
      </c>
      <c r="F65" s="27">
        <v>12</v>
      </c>
      <c r="G65" s="27">
        <v>4033.56</v>
      </c>
      <c r="H65" s="27">
        <f t="shared" si="0"/>
        <v>4033.56</v>
      </c>
      <c r="I65" s="27">
        <v>4033.56</v>
      </c>
      <c r="J65" s="27">
        <v>4033.56</v>
      </c>
      <c r="K65" s="18">
        <f t="shared" si="1"/>
        <v>4033.56</v>
      </c>
      <c r="L65" s="27">
        <v>4033.56</v>
      </c>
      <c r="M65" s="36">
        <v>0</v>
      </c>
      <c r="T65" s="41">
        <v>0</v>
      </c>
      <c r="U65" s="41">
        <v>0</v>
      </c>
      <c r="V65" s="42" t="s">
        <v>113</v>
      </c>
      <c r="W65" s="42">
        <v>4033.56</v>
      </c>
      <c r="X65" s="42">
        <v>4033.56</v>
      </c>
    </row>
    <row r="66" spans="1:24">
      <c r="A66" s="27" t="s">
        <v>231</v>
      </c>
      <c r="B66" s="28" t="s">
        <v>215</v>
      </c>
      <c r="C66" s="27" t="s">
        <v>232</v>
      </c>
      <c r="D66" s="27" t="s">
        <v>112</v>
      </c>
      <c r="E66" s="29">
        <v>40268</v>
      </c>
      <c r="F66" s="27">
        <v>12</v>
      </c>
      <c r="G66" s="27">
        <v>4033.56</v>
      </c>
      <c r="H66" s="27">
        <f t="shared" si="0"/>
        <v>4033.56</v>
      </c>
      <c r="I66" s="27">
        <v>4033.56</v>
      </c>
      <c r="J66" s="27">
        <v>4033.56</v>
      </c>
      <c r="K66" s="18">
        <f t="shared" si="1"/>
        <v>4033.56</v>
      </c>
      <c r="L66" s="27">
        <v>4033.56</v>
      </c>
      <c r="M66" s="36">
        <v>0</v>
      </c>
      <c r="T66" s="41">
        <v>0</v>
      </c>
      <c r="U66" s="41">
        <v>0</v>
      </c>
      <c r="V66" s="42" t="s">
        <v>113</v>
      </c>
      <c r="W66" s="42">
        <v>4033.56</v>
      </c>
      <c r="X66" s="42">
        <v>4033.56</v>
      </c>
    </row>
    <row r="67" spans="1:24">
      <c r="A67" s="27" t="s">
        <v>233</v>
      </c>
      <c r="B67" s="28" t="s">
        <v>215</v>
      </c>
      <c r="C67" s="27" t="s">
        <v>216</v>
      </c>
      <c r="D67" s="27" t="s">
        <v>112</v>
      </c>
      <c r="E67" s="29">
        <v>40268</v>
      </c>
      <c r="F67" s="27">
        <v>15</v>
      </c>
      <c r="G67" s="27">
        <v>10735210.310000001</v>
      </c>
      <c r="H67" s="27">
        <f t="shared" si="0"/>
        <v>0</v>
      </c>
      <c r="I67" s="27">
        <v>7798414.96</v>
      </c>
      <c r="J67" s="27">
        <v>10673013.18</v>
      </c>
      <c r="K67" s="18">
        <f t="shared" si="1"/>
        <v>0</v>
      </c>
      <c r="L67" s="27">
        <v>8179734.75</v>
      </c>
      <c r="M67" s="36">
        <v>381319.79</v>
      </c>
      <c r="N67" s="18" t="s">
        <v>123</v>
      </c>
      <c r="O67" s="19">
        <v>-62197.13</v>
      </c>
      <c r="T67" s="41">
        <v>0</v>
      </c>
      <c r="U67" s="41">
        <v>0</v>
      </c>
      <c r="V67" s="42" t="s">
        <v>113</v>
      </c>
      <c r="W67" s="42">
        <v>0</v>
      </c>
      <c r="X67" s="42">
        <v>0</v>
      </c>
    </row>
    <row r="68" spans="1:24">
      <c r="A68" s="27" t="s">
        <v>234</v>
      </c>
      <c r="B68" s="28" t="s">
        <v>215</v>
      </c>
      <c r="C68" s="27" t="s">
        <v>216</v>
      </c>
      <c r="D68" s="27" t="s">
        <v>112</v>
      </c>
      <c r="E68" s="29">
        <v>40156</v>
      </c>
      <c r="F68" s="27">
        <v>15</v>
      </c>
      <c r="G68" s="27">
        <v>255168.5</v>
      </c>
      <c r="H68" s="27">
        <f t="shared" si="0"/>
        <v>255168.5</v>
      </c>
      <c r="I68" s="27">
        <v>242410.07</v>
      </c>
      <c r="J68" s="27">
        <v>255168.5</v>
      </c>
      <c r="K68" s="18">
        <f t="shared" si="1"/>
        <v>255168.5</v>
      </c>
      <c r="L68" s="27">
        <v>242410.07</v>
      </c>
      <c r="M68" s="36">
        <v>0</v>
      </c>
      <c r="T68" s="41">
        <v>0</v>
      </c>
      <c r="U68" s="41">
        <v>0</v>
      </c>
      <c r="V68" s="42" t="s">
        <v>113</v>
      </c>
      <c r="W68" s="42">
        <v>255168.5</v>
      </c>
      <c r="X68" s="42">
        <v>255168.5</v>
      </c>
    </row>
    <row r="69" spans="1:24">
      <c r="A69" s="27" t="s">
        <v>235</v>
      </c>
      <c r="B69" s="28" t="s">
        <v>215</v>
      </c>
      <c r="C69" s="27" t="s">
        <v>236</v>
      </c>
      <c r="D69" s="27" t="s">
        <v>112</v>
      </c>
      <c r="E69" s="29">
        <v>40156</v>
      </c>
      <c r="F69" s="27">
        <v>15</v>
      </c>
      <c r="G69" s="27">
        <v>254718.5</v>
      </c>
      <c r="H69" s="27">
        <f t="shared" si="0"/>
        <v>254718.5</v>
      </c>
      <c r="I69" s="27">
        <v>241982.57</v>
      </c>
      <c r="J69" s="27">
        <v>254718.5</v>
      </c>
      <c r="K69" s="18">
        <f t="shared" si="1"/>
        <v>254718.5</v>
      </c>
      <c r="L69" s="27">
        <v>241982.57</v>
      </c>
      <c r="M69" s="36">
        <v>0</v>
      </c>
      <c r="T69" s="41">
        <v>0</v>
      </c>
      <c r="U69" s="41">
        <v>0</v>
      </c>
      <c r="V69" s="42" t="s">
        <v>113</v>
      </c>
      <c r="W69" s="42">
        <v>254718.5</v>
      </c>
      <c r="X69" s="42">
        <v>254718.5</v>
      </c>
    </row>
    <row r="70" spans="1:24">
      <c r="A70" s="27" t="s">
        <v>237</v>
      </c>
      <c r="B70" s="28" t="s">
        <v>215</v>
      </c>
      <c r="C70" s="27" t="s">
        <v>216</v>
      </c>
      <c r="D70" s="27" t="s">
        <v>112</v>
      </c>
      <c r="E70" s="29">
        <v>40164</v>
      </c>
      <c r="F70" s="27">
        <v>15</v>
      </c>
      <c r="G70" s="27">
        <v>224114.83</v>
      </c>
      <c r="H70" s="27">
        <f t="shared" ref="H70:H133" si="2">IFERROR(IF(ROUND((G70-I70)/G70,2)&lt;=0.05,G70,0),0)</f>
        <v>224114.83</v>
      </c>
      <c r="I70" s="27">
        <v>212909.09</v>
      </c>
      <c r="J70" s="27">
        <v>224114.83</v>
      </c>
      <c r="K70" s="18">
        <f t="shared" ref="K70:K133" si="3">IFERROR(IF(ROUND((J70-L70)/J70,2)&lt;=0.05,J70,0),0)</f>
        <v>224114.83</v>
      </c>
      <c r="L70" s="27">
        <v>212909.09</v>
      </c>
      <c r="M70" s="36">
        <v>0</v>
      </c>
      <c r="T70" s="41">
        <v>0</v>
      </c>
      <c r="U70" s="41">
        <v>0</v>
      </c>
      <c r="V70" s="42" t="s">
        <v>113</v>
      </c>
      <c r="W70" s="42">
        <v>224114.83</v>
      </c>
      <c r="X70" s="42">
        <v>224114.83</v>
      </c>
    </row>
    <row r="71" spans="1:24">
      <c r="A71" s="27" t="s">
        <v>238</v>
      </c>
      <c r="B71" s="28" t="s">
        <v>215</v>
      </c>
      <c r="C71" s="27" t="s">
        <v>216</v>
      </c>
      <c r="D71" s="27" t="s">
        <v>112</v>
      </c>
      <c r="E71" s="29">
        <v>40165</v>
      </c>
      <c r="F71" s="27">
        <v>15</v>
      </c>
      <c r="G71" s="27">
        <v>195116.15</v>
      </c>
      <c r="H71" s="27">
        <f t="shared" si="2"/>
        <v>195116.15</v>
      </c>
      <c r="I71" s="27">
        <v>185360.34</v>
      </c>
      <c r="J71" s="27">
        <v>195116.15</v>
      </c>
      <c r="K71" s="18">
        <f t="shared" si="3"/>
        <v>195116.15</v>
      </c>
      <c r="L71" s="27">
        <v>185360.34</v>
      </c>
      <c r="M71" s="36">
        <v>0</v>
      </c>
      <c r="T71" s="41">
        <v>0</v>
      </c>
      <c r="U71" s="41">
        <v>0</v>
      </c>
      <c r="V71" s="42" t="s">
        <v>113</v>
      </c>
      <c r="W71" s="42">
        <v>195116.15</v>
      </c>
      <c r="X71" s="42">
        <v>195116.15</v>
      </c>
    </row>
    <row r="72" spans="1:24">
      <c r="A72" s="27" t="s">
        <v>239</v>
      </c>
      <c r="B72" s="28" t="s">
        <v>215</v>
      </c>
      <c r="C72" s="27" t="s">
        <v>216</v>
      </c>
      <c r="D72" s="27" t="s">
        <v>112</v>
      </c>
      <c r="E72" s="29">
        <v>40165</v>
      </c>
      <c r="F72" s="27">
        <v>15</v>
      </c>
      <c r="G72" s="27">
        <v>200887.26</v>
      </c>
      <c r="H72" s="27">
        <f t="shared" si="2"/>
        <v>200887.26</v>
      </c>
      <c r="I72" s="27">
        <v>190842.9</v>
      </c>
      <c r="J72" s="27">
        <v>200887.26</v>
      </c>
      <c r="K72" s="18">
        <f t="shared" si="3"/>
        <v>200887.26</v>
      </c>
      <c r="L72" s="27">
        <v>190842.9</v>
      </c>
      <c r="M72" s="36">
        <v>0</v>
      </c>
      <c r="T72" s="41">
        <v>0</v>
      </c>
      <c r="U72" s="41">
        <v>0</v>
      </c>
      <c r="V72" s="42" t="s">
        <v>113</v>
      </c>
      <c r="W72" s="42">
        <v>200887.26</v>
      </c>
      <c r="X72" s="42">
        <v>200887.26</v>
      </c>
    </row>
    <row r="73" spans="1:24">
      <c r="A73" s="27" t="s">
        <v>240</v>
      </c>
      <c r="B73" s="28" t="s">
        <v>215</v>
      </c>
      <c r="C73" s="27" t="s">
        <v>216</v>
      </c>
      <c r="D73" s="27" t="s">
        <v>118</v>
      </c>
      <c r="E73" s="29">
        <v>40169</v>
      </c>
      <c r="F73" s="27">
        <v>15</v>
      </c>
      <c r="G73" s="27">
        <v>2957589.73</v>
      </c>
      <c r="H73" s="27">
        <f t="shared" si="2"/>
        <v>2957589.73</v>
      </c>
      <c r="I73" s="27">
        <v>2809710.24</v>
      </c>
      <c r="J73" s="27">
        <v>2957589.73</v>
      </c>
      <c r="K73" s="18">
        <f t="shared" si="3"/>
        <v>2957589.73</v>
      </c>
      <c r="L73" s="27">
        <v>2809710.24</v>
      </c>
      <c r="M73" s="36">
        <v>0</v>
      </c>
      <c r="T73" s="41">
        <v>0</v>
      </c>
      <c r="U73" s="41">
        <v>0</v>
      </c>
      <c r="V73" s="42" t="s">
        <v>113</v>
      </c>
      <c r="W73" s="42">
        <v>2957589.73</v>
      </c>
      <c r="X73" s="42">
        <v>2957589.73</v>
      </c>
    </row>
    <row r="74" spans="1:24">
      <c r="A74" s="27" t="s">
        <v>241</v>
      </c>
      <c r="B74" s="28" t="s">
        <v>215</v>
      </c>
      <c r="C74" s="27" t="s">
        <v>242</v>
      </c>
      <c r="D74" s="27" t="s">
        <v>112</v>
      </c>
      <c r="E74" s="29">
        <v>40169</v>
      </c>
      <c r="F74" s="27">
        <v>15</v>
      </c>
      <c r="G74" s="27">
        <v>30764.98</v>
      </c>
      <c r="H74" s="27">
        <f t="shared" si="2"/>
        <v>30764.98</v>
      </c>
      <c r="I74" s="27">
        <v>29226.73</v>
      </c>
      <c r="J74" s="27">
        <v>30764.98</v>
      </c>
      <c r="K74" s="18">
        <f t="shared" si="3"/>
        <v>30764.98</v>
      </c>
      <c r="L74" s="27">
        <v>29226.73</v>
      </c>
      <c r="M74" s="36">
        <v>0</v>
      </c>
      <c r="T74" s="41">
        <v>0</v>
      </c>
      <c r="U74" s="41">
        <v>0</v>
      </c>
      <c r="V74" s="42" t="s">
        <v>113</v>
      </c>
      <c r="W74" s="42">
        <v>30764.98</v>
      </c>
      <c r="X74" s="42">
        <v>30764.98</v>
      </c>
    </row>
    <row r="75" spans="1:24">
      <c r="A75" s="27" t="s">
        <v>243</v>
      </c>
      <c r="B75" s="28" t="s">
        <v>215</v>
      </c>
      <c r="C75" s="27" t="s">
        <v>244</v>
      </c>
      <c r="D75" s="27" t="s">
        <v>112</v>
      </c>
      <c r="E75" s="29">
        <v>40169</v>
      </c>
      <c r="F75" s="27">
        <v>15</v>
      </c>
      <c r="G75" s="27">
        <v>38680</v>
      </c>
      <c r="H75" s="27">
        <f t="shared" si="2"/>
        <v>38680</v>
      </c>
      <c r="I75" s="27">
        <v>36746</v>
      </c>
      <c r="J75" s="27">
        <v>38680</v>
      </c>
      <c r="K75" s="18">
        <f t="shared" si="3"/>
        <v>38680</v>
      </c>
      <c r="L75" s="27">
        <v>36746</v>
      </c>
      <c r="M75" s="36">
        <v>0</v>
      </c>
      <c r="T75" s="41">
        <v>0</v>
      </c>
      <c r="U75" s="41">
        <v>0</v>
      </c>
      <c r="V75" s="42" t="s">
        <v>113</v>
      </c>
      <c r="W75" s="42">
        <v>38680</v>
      </c>
      <c r="X75" s="42">
        <v>38680</v>
      </c>
    </row>
    <row r="76" spans="1:24">
      <c r="A76" s="27" t="s">
        <v>245</v>
      </c>
      <c r="B76" s="28" t="s">
        <v>215</v>
      </c>
      <c r="C76" s="27" t="s">
        <v>232</v>
      </c>
      <c r="D76" s="27" t="s">
        <v>112</v>
      </c>
      <c r="E76" s="29">
        <v>40170</v>
      </c>
      <c r="F76" s="27">
        <v>15</v>
      </c>
      <c r="G76" s="27">
        <v>6589.4</v>
      </c>
      <c r="H76" s="27">
        <f t="shared" si="2"/>
        <v>6589.4</v>
      </c>
      <c r="I76" s="27">
        <v>6259.93</v>
      </c>
      <c r="J76" s="27">
        <v>6589.4</v>
      </c>
      <c r="K76" s="18">
        <f t="shared" si="3"/>
        <v>6589.4</v>
      </c>
      <c r="L76" s="27">
        <v>6259.93</v>
      </c>
      <c r="M76" s="36">
        <v>0</v>
      </c>
      <c r="T76" s="41">
        <v>0</v>
      </c>
      <c r="U76" s="41">
        <v>0</v>
      </c>
      <c r="V76" s="42" t="s">
        <v>113</v>
      </c>
      <c r="W76" s="42">
        <v>6589.4</v>
      </c>
      <c r="X76" s="42">
        <v>6589.4</v>
      </c>
    </row>
    <row r="77" spans="1:24">
      <c r="A77" s="27" t="s">
        <v>246</v>
      </c>
      <c r="B77" s="28" t="s">
        <v>215</v>
      </c>
      <c r="C77" s="27" t="s">
        <v>247</v>
      </c>
      <c r="D77" s="27" t="s">
        <v>230</v>
      </c>
      <c r="E77" s="29">
        <v>40543</v>
      </c>
      <c r="F77" s="27">
        <v>15</v>
      </c>
      <c r="G77" s="27">
        <v>18903.03</v>
      </c>
      <c r="H77" s="27">
        <f t="shared" si="2"/>
        <v>0</v>
      </c>
      <c r="I77" s="27">
        <v>11672.62</v>
      </c>
      <c r="J77" s="27">
        <v>18903.03</v>
      </c>
      <c r="K77" s="18">
        <f t="shared" si="3"/>
        <v>0</v>
      </c>
      <c r="L77" s="27">
        <v>12570.51</v>
      </c>
      <c r="M77" s="36">
        <v>897.89</v>
      </c>
      <c r="T77" s="41">
        <v>0</v>
      </c>
      <c r="U77" s="41">
        <v>0</v>
      </c>
      <c r="V77" s="42" t="s">
        <v>113</v>
      </c>
      <c r="W77" s="42">
        <v>0</v>
      </c>
      <c r="X77" s="42">
        <v>0</v>
      </c>
    </row>
    <row r="78" spans="1:24">
      <c r="A78" s="27" t="s">
        <v>248</v>
      </c>
      <c r="B78" s="28" t="s">
        <v>215</v>
      </c>
      <c r="C78" s="27" t="s">
        <v>249</v>
      </c>
      <c r="D78" s="27" t="s">
        <v>230</v>
      </c>
      <c r="E78" s="29">
        <v>40543</v>
      </c>
      <c r="F78" s="27">
        <v>15</v>
      </c>
      <c r="G78" s="27">
        <v>18903.03</v>
      </c>
      <c r="H78" s="27">
        <f t="shared" si="2"/>
        <v>0</v>
      </c>
      <c r="I78" s="27">
        <v>11672.62</v>
      </c>
      <c r="J78" s="27">
        <v>18903.03</v>
      </c>
      <c r="K78" s="18">
        <f t="shared" si="3"/>
        <v>0</v>
      </c>
      <c r="L78" s="27">
        <v>12570.51</v>
      </c>
      <c r="M78" s="36">
        <v>897.89</v>
      </c>
      <c r="T78" s="41">
        <v>0</v>
      </c>
      <c r="U78" s="41">
        <v>0</v>
      </c>
      <c r="V78" s="42" t="s">
        <v>113</v>
      </c>
      <c r="W78" s="42">
        <v>0</v>
      </c>
      <c r="X78" s="42">
        <v>0</v>
      </c>
    </row>
    <row r="79" spans="1:24">
      <c r="A79" s="27" t="s">
        <v>250</v>
      </c>
      <c r="B79" s="28" t="s">
        <v>215</v>
      </c>
      <c r="C79" s="27" t="s">
        <v>251</v>
      </c>
      <c r="D79" s="27" t="s">
        <v>112</v>
      </c>
      <c r="E79" s="29">
        <v>40170</v>
      </c>
      <c r="F79" s="27">
        <v>12</v>
      </c>
      <c r="G79" s="27">
        <v>2142.5</v>
      </c>
      <c r="H79" s="27">
        <f t="shared" si="2"/>
        <v>2142.5</v>
      </c>
      <c r="I79" s="27">
        <v>2142.5</v>
      </c>
      <c r="J79" s="27">
        <v>2142.5</v>
      </c>
      <c r="K79" s="18">
        <f t="shared" si="3"/>
        <v>2142.5</v>
      </c>
      <c r="L79" s="27">
        <v>2142.5</v>
      </c>
      <c r="M79" s="36">
        <v>0</v>
      </c>
      <c r="T79" s="41">
        <v>0</v>
      </c>
      <c r="U79" s="41">
        <v>0</v>
      </c>
      <c r="V79" s="42" t="s">
        <v>113</v>
      </c>
      <c r="W79" s="42">
        <v>2142.5</v>
      </c>
      <c r="X79" s="42">
        <v>2142.5</v>
      </c>
    </row>
    <row r="80" spans="1:24">
      <c r="A80" s="27" t="s">
        <v>252</v>
      </c>
      <c r="B80" s="28" t="s">
        <v>215</v>
      </c>
      <c r="C80" s="27" t="s">
        <v>253</v>
      </c>
      <c r="D80" s="27" t="s">
        <v>112</v>
      </c>
      <c r="E80" s="29">
        <v>40170</v>
      </c>
      <c r="F80" s="27">
        <v>12</v>
      </c>
      <c r="G80" s="27">
        <v>4285</v>
      </c>
      <c r="H80" s="27">
        <f t="shared" si="2"/>
        <v>4285</v>
      </c>
      <c r="I80" s="27">
        <v>4285</v>
      </c>
      <c r="J80" s="27">
        <v>4285</v>
      </c>
      <c r="K80" s="18">
        <f t="shared" si="3"/>
        <v>4285</v>
      </c>
      <c r="L80" s="27">
        <v>4285</v>
      </c>
      <c r="M80" s="36">
        <v>0</v>
      </c>
      <c r="T80" s="41">
        <v>0</v>
      </c>
      <c r="U80" s="41">
        <v>0</v>
      </c>
      <c r="V80" s="42" t="s">
        <v>113</v>
      </c>
      <c r="W80" s="42">
        <v>4285</v>
      </c>
      <c r="X80" s="42">
        <v>4285</v>
      </c>
    </row>
    <row r="81" spans="1:24">
      <c r="A81" s="27" t="s">
        <v>254</v>
      </c>
      <c r="B81" s="28" t="s">
        <v>215</v>
      </c>
      <c r="C81" s="27" t="s">
        <v>255</v>
      </c>
      <c r="D81" s="27" t="s">
        <v>112</v>
      </c>
      <c r="E81" s="29">
        <v>40170</v>
      </c>
      <c r="F81" s="27">
        <v>12</v>
      </c>
      <c r="G81" s="27">
        <v>4285</v>
      </c>
      <c r="H81" s="27">
        <f t="shared" si="2"/>
        <v>4285</v>
      </c>
      <c r="I81" s="27">
        <v>4285</v>
      </c>
      <c r="J81" s="27">
        <v>4285</v>
      </c>
      <c r="K81" s="18">
        <f t="shared" si="3"/>
        <v>4285</v>
      </c>
      <c r="L81" s="27">
        <v>4285</v>
      </c>
      <c r="M81" s="36">
        <v>0</v>
      </c>
      <c r="T81" s="41">
        <v>0</v>
      </c>
      <c r="U81" s="41">
        <v>0</v>
      </c>
      <c r="V81" s="42" t="s">
        <v>113</v>
      </c>
      <c r="W81" s="42">
        <v>4285</v>
      </c>
      <c r="X81" s="42">
        <v>4285</v>
      </c>
    </row>
    <row r="82" spans="1:24">
      <c r="A82" s="27" t="s">
        <v>256</v>
      </c>
      <c r="B82" s="28" t="s">
        <v>215</v>
      </c>
      <c r="C82" s="27" t="s">
        <v>257</v>
      </c>
      <c r="D82" s="27" t="s">
        <v>112</v>
      </c>
      <c r="E82" s="29">
        <v>40170</v>
      </c>
      <c r="F82" s="27">
        <v>12</v>
      </c>
      <c r="G82" s="27">
        <v>4285</v>
      </c>
      <c r="H82" s="27">
        <f t="shared" si="2"/>
        <v>4285</v>
      </c>
      <c r="I82" s="27">
        <v>4285</v>
      </c>
      <c r="J82" s="27">
        <v>4285</v>
      </c>
      <c r="K82" s="18">
        <f t="shared" si="3"/>
        <v>4285</v>
      </c>
      <c r="L82" s="27">
        <v>4285</v>
      </c>
      <c r="M82" s="36">
        <v>0</v>
      </c>
      <c r="T82" s="41">
        <v>0</v>
      </c>
      <c r="U82" s="41">
        <v>0</v>
      </c>
      <c r="V82" s="42" t="s">
        <v>113</v>
      </c>
      <c r="W82" s="42">
        <v>4285</v>
      </c>
      <c r="X82" s="42">
        <v>4285</v>
      </c>
    </row>
    <row r="83" spans="1:24">
      <c r="A83" s="27" t="s">
        <v>258</v>
      </c>
      <c r="B83" s="28" t="s">
        <v>215</v>
      </c>
      <c r="C83" s="27" t="s">
        <v>259</v>
      </c>
      <c r="D83" s="27" t="s">
        <v>112</v>
      </c>
      <c r="E83" s="29">
        <v>40170</v>
      </c>
      <c r="F83" s="27">
        <v>12</v>
      </c>
      <c r="G83" s="27">
        <v>4285</v>
      </c>
      <c r="H83" s="27">
        <f t="shared" si="2"/>
        <v>4285</v>
      </c>
      <c r="I83" s="27">
        <v>4285</v>
      </c>
      <c r="J83" s="27">
        <v>4285</v>
      </c>
      <c r="K83" s="18">
        <f t="shared" si="3"/>
        <v>4285</v>
      </c>
      <c r="L83" s="27">
        <v>4285</v>
      </c>
      <c r="M83" s="36">
        <v>0</v>
      </c>
      <c r="T83" s="41">
        <v>0</v>
      </c>
      <c r="U83" s="41">
        <v>0</v>
      </c>
      <c r="V83" s="42" t="s">
        <v>113</v>
      </c>
      <c r="W83" s="42">
        <v>4285</v>
      </c>
      <c r="X83" s="42">
        <v>4285</v>
      </c>
    </row>
    <row r="84" spans="1:24">
      <c r="A84" s="27" t="s">
        <v>260</v>
      </c>
      <c r="B84" s="28" t="s">
        <v>215</v>
      </c>
      <c r="C84" s="27" t="s">
        <v>216</v>
      </c>
      <c r="D84" s="27" t="s">
        <v>112</v>
      </c>
      <c r="E84" s="29">
        <v>35643</v>
      </c>
      <c r="F84" s="27">
        <v>15</v>
      </c>
      <c r="G84" s="27">
        <v>248534.29</v>
      </c>
      <c r="H84" s="27">
        <f t="shared" si="2"/>
        <v>0</v>
      </c>
      <c r="I84" s="27">
        <v>204837.47</v>
      </c>
      <c r="J84" s="27">
        <v>248534.29</v>
      </c>
      <c r="K84" s="18">
        <f t="shared" si="3"/>
        <v>0</v>
      </c>
      <c r="L84" s="27">
        <v>210355.72</v>
      </c>
      <c r="M84" s="36">
        <v>5518.25</v>
      </c>
      <c r="T84" s="41">
        <v>0</v>
      </c>
      <c r="U84" s="41">
        <v>0</v>
      </c>
      <c r="V84" s="42" t="s">
        <v>124</v>
      </c>
      <c r="W84" s="42">
        <v>248534.29</v>
      </c>
      <c r="X84" s="42">
        <v>248534.29</v>
      </c>
    </row>
    <row r="85" spans="1:24">
      <c r="A85" s="27" t="s">
        <v>261</v>
      </c>
      <c r="B85" s="28" t="s">
        <v>215</v>
      </c>
      <c r="C85" s="27" t="s">
        <v>262</v>
      </c>
      <c r="D85" s="27" t="s">
        <v>230</v>
      </c>
      <c r="E85" s="29">
        <v>40268</v>
      </c>
      <c r="F85" s="27">
        <v>15</v>
      </c>
      <c r="G85" s="27">
        <v>116032.66</v>
      </c>
      <c r="H85" s="27">
        <f t="shared" si="2"/>
        <v>0</v>
      </c>
      <c r="I85" s="27">
        <v>108402.85</v>
      </c>
      <c r="J85" s="27">
        <v>116032.66</v>
      </c>
      <c r="K85" s="18">
        <f t="shared" si="3"/>
        <v>0</v>
      </c>
      <c r="L85" s="27">
        <v>108695.36</v>
      </c>
      <c r="M85" s="36">
        <v>292.51</v>
      </c>
      <c r="T85" s="41">
        <v>0</v>
      </c>
      <c r="U85" s="41">
        <v>0</v>
      </c>
      <c r="V85" s="42" t="s">
        <v>113</v>
      </c>
      <c r="W85" s="42">
        <v>0</v>
      </c>
      <c r="X85" s="42">
        <v>0</v>
      </c>
    </row>
    <row r="86" spans="1:24">
      <c r="A86" s="27" t="s">
        <v>263</v>
      </c>
      <c r="B86" s="28" t="s">
        <v>215</v>
      </c>
      <c r="C86" s="27" t="s">
        <v>264</v>
      </c>
      <c r="D86" s="27" t="s">
        <v>112</v>
      </c>
      <c r="E86" s="29">
        <v>40268</v>
      </c>
      <c r="F86" s="27">
        <v>15</v>
      </c>
      <c r="G86" s="27">
        <v>28527.42</v>
      </c>
      <c r="H86" s="27">
        <f t="shared" si="2"/>
        <v>0</v>
      </c>
      <c r="I86" s="27">
        <v>19578.060000000001</v>
      </c>
      <c r="J86" s="27">
        <v>28527.42</v>
      </c>
      <c r="K86" s="18">
        <f t="shared" si="3"/>
        <v>0</v>
      </c>
      <c r="L86" s="27">
        <v>20781.740000000002</v>
      </c>
      <c r="M86" s="36">
        <v>1203.68</v>
      </c>
      <c r="T86" s="41">
        <v>0</v>
      </c>
      <c r="U86" s="41">
        <v>0</v>
      </c>
      <c r="V86" s="42" t="s">
        <v>113</v>
      </c>
      <c r="W86" s="42">
        <v>0</v>
      </c>
      <c r="X86" s="42">
        <v>0</v>
      </c>
    </row>
    <row r="87" spans="1:24">
      <c r="A87" s="27" t="s">
        <v>265</v>
      </c>
      <c r="B87" s="28" t="s">
        <v>215</v>
      </c>
      <c r="C87" s="27" t="s">
        <v>216</v>
      </c>
      <c r="D87" s="27" t="s">
        <v>118</v>
      </c>
      <c r="E87" s="29">
        <v>40543</v>
      </c>
      <c r="F87" s="27">
        <v>15</v>
      </c>
      <c r="G87" s="27">
        <v>5605519.5899999999</v>
      </c>
      <c r="H87" s="27">
        <f t="shared" si="2"/>
        <v>0</v>
      </c>
      <c r="I87" s="27">
        <v>3461148.62</v>
      </c>
      <c r="J87" s="27">
        <v>5605519.5899999999</v>
      </c>
      <c r="K87" s="18">
        <f t="shared" si="3"/>
        <v>0</v>
      </c>
      <c r="L87" s="27">
        <v>3727447.9</v>
      </c>
      <c r="M87" s="36">
        <v>266299.28000000003</v>
      </c>
      <c r="T87" s="41">
        <v>0</v>
      </c>
      <c r="U87" s="41">
        <v>0</v>
      </c>
      <c r="V87" s="42" t="s">
        <v>113</v>
      </c>
      <c r="W87" s="42">
        <v>0</v>
      </c>
      <c r="X87" s="42">
        <v>0</v>
      </c>
    </row>
    <row r="88" spans="1:24">
      <c r="A88" s="27" t="s">
        <v>266</v>
      </c>
      <c r="B88" s="28" t="s">
        <v>215</v>
      </c>
      <c r="C88" s="27" t="s">
        <v>216</v>
      </c>
      <c r="D88" s="27" t="s">
        <v>118</v>
      </c>
      <c r="E88" s="29">
        <v>40544</v>
      </c>
      <c r="F88" s="27">
        <v>15</v>
      </c>
      <c r="G88" s="27">
        <v>2471981.2999999998</v>
      </c>
      <c r="H88" s="27">
        <f t="shared" si="2"/>
        <v>0</v>
      </c>
      <c r="I88" s="27">
        <v>1509789.82</v>
      </c>
      <c r="J88" s="27">
        <v>2471981.2999999998</v>
      </c>
      <c r="K88" s="18">
        <f t="shared" si="3"/>
        <v>0</v>
      </c>
      <c r="L88" s="27">
        <v>1628179.34</v>
      </c>
      <c r="M88" s="36">
        <v>118389.52</v>
      </c>
      <c r="T88" s="41">
        <v>0</v>
      </c>
      <c r="U88" s="41">
        <v>0</v>
      </c>
      <c r="V88" s="42" t="s">
        <v>113</v>
      </c>
      <c r="W88" s="42">
        <v>0</v>
      </c>
      <c r="X88" s="42">
        <v>0</v>
      </c>
    </row>
    <row r="89" spans="1:24">
      <c r="A89" s="27" t="s">
        <v>267</v>
      </c>
      <c r="B89" s="28" t="s">
        <v>215</v>
      </c>
      <c r="C89" s="27" t="s">
        <v>216</v>
      </c>
      <c r="D89" s="27" t="s">
        <v>118</v>
      </c>
      <c r="E89" s="29">
        <v>39417</v>
      </c>
      <c r="F89" s="27">
        <v>15</v>
      </c>
      <c r="G89" s="27">
        <v>2912335.68</v>
      </c>
      <c r="H89" s="27">
        <f t="shared" si="2"/>
        <v>0</v>
      </c>
      <c r="I89" s="27">
        <v>2352670.89</v>
      </c>
      <c r="J89" s="27">
        <v>2912335.68</v>
      </c>
      <c r="K89" s="18">
        <f t="shared" si="3"/>
        <v>0</v>
      </c>
      <c r="L89" s="27">
        <v>2456182.89</v>
      </c>
      <c r="M89" s="36">
        <v>103512</v>
      </c>
      <c r="T89" s="41">
        <v>0</v>
      </c>
      <c r="U89" s="41">
        <v>0</v>
      </c>
      <c r="V89" s="42" t="s">
        <v>113</v>
      </c>
      <c r="W89" s="42">
        <v>0</v>
      </c>
      <c r="X89" s="42">
        <v>0</v>
      </c>
    </row>
    <row r="90" spans="1:24">
      <c r="A90" s="27" t="s">
        <v>268</v>
      </c>
      <c r="B90" s="28" t="s">
        <v>215</v>
      </c>
      <c r="C90" s="27" t="s">
        <v>219</v>
      </c>
      <c r="D90" s="27" t="s">
        <v>118</v>
      </c>
      <c r="E90" s="29">
        <v>39417</v>
      </c>
      <c r="F90" s="27">
        <v>15</v>
      </c>
      <c r="G90" s="27">
        <v>2912335.68</v>
      </c>
      <c r="H90" s="27">
        <f t="shared" si="2"/>
        <v>0</v>
      </c>
      <c r="I90" s="27">
        <v>2352670.89</v>
      </c>
      <c r="J90" s="27">
        <v>2912335.68</v>
      </c>
      <c r="K90" s="18">
        <f t="shared" si="3"/>
        <v>0</v>
      </c>
      <c r="L90" s="27">
        <v>2456182.89</v>
      </c>
      <c r="M90" s="36">
        <v>103512</v>
      </c>
      <c r="T90" s="41">
        <v>0</v>
      </c>
      <c r="U90" s="41">
        <v>0</v>
      </c>
      <c r="V90" s="42" t="s">
        <v>113</v>
      </c>
      <c r="W90" s="42">
        <v>0</v>
      </c>
      <c r="X90" s="42">
        <v>0</v>
      </c>
    </row>
    <row r="91" spans="1:24">
      <c r="A91" s="27" t="s">
        <v>269</v>
      </c>
      <c r="B91" s="28" t="s">
        <v>215</v>
      </c>
      <c r="C91" s="27" t="s">
        <v>270</v>
      </c>
      <c r="D91" s="27" t="s">
        <v>230</v>
      </c>
      <c r="E91" s="29">
        <v>41233</v>
      </c>
      <c r="F91" s="27">
        <v>12</v>
      </c>
      <c r="H91" s="27">
        <f t="shared" si="2"/>
        <v>0</v>
      </c>
      <c r="J91" s="27">
        <v>61896.24</v>
      </c>
      <c r="K91" s="18">
        <f t="shared" si="3"/>
        <v>61896.24</v>
      </c>
      <c r="L91" s="27">
        <v>58801.43</v>
      </c>
      <c r="M91" s="36">
        <v>-3094.81</v>
      </c>
      <c r="N91" s="18" t="s">
        <v>271</v>
      </c>
      <c r="O91" s="19">
        <v>61896.24</v>
      </c>
      <c r="P91" s="16">
        <v>61896.24</v>
      </c>
      <c r="T91" s="41">
        <v>0</v>
      </c>
      <c r="U91" s="41">
        <v>0</v>
      </c>
      <c r="V91" s="42" t="s">
        <v>113</v>
      </c>
      <c r="W91" s="42">
        <v>61896.24</v>
      </c>
      <c r="X91" s="42">
        <v>61896.24</v>
      </c>
    </row>
    <row r="92" spans="1:24">
      <c r="A92" s="27" t="s">
        <v>272</v>
      </c>
      <c r="B92" s="28" t="s">
        <v>215</v>
      </c>
      <c r="C92" s="27" t="s">
        <v>273</v>
      </c>
      <c r="D92" s="27" t="s">
        <v>230</v>
      </c>
      <c r="E92" s="29">
        <v>40268</v>
      </c>
      <c r="F92" s="27">
        <v>15</v>
      </c>
      <c r="G92" s="18">
        <v>190756.61</v>
      </c>
      <c r="H92" s="27">
        <f t="shared" si="2"/>
        <v>0</v>
      </c>
      <c r="I92" s="18">
        <v>138926.25</v>
      </c>
      <c r="J92" s="27">
        <v>190756.61</v>
      </c>
      <c r="K92" s="18">
        <f t="shared" si="3"/>
        <v>0</v>
      </c>
      <c r="L92" s="27">
        <v>145693.04999999999</v>
      </c>
      <c r="M92" s="36">
        <v>6766.8</v>
      </c>
      <c r="T92" s="41">
        <v>0</v>
      </c>
      <c r="U92" s="41">
        <v>0</v>
      </c>
      <c r="V92" s="42" t="s">
        <v>113</v>
      </c>
      <c r="W92" s="42">
        <v>0</v>
      </c>
      <c r="X92" s="42">
        <v>0</v>
      </c>
    </row>
    <row r="93" spans="1:24">
      <c r="A93" s="27" t="s">
        <v>274</v>
      </c>
      <c r="B93" s="28" t="s">
        <v>215</v>
      </c>
      <c r="C93" s="27" t="s">
        <v>270</v>
      </c>
      <c r="D93" s="27" t="s">
        <v>230</v>
      </c>
      <c r="E93" s="29">
        <v>40268</v>
      </c>
      <c r="F93" s="27">
        <v>15</v>
      </c>
      <c r="G93" s="18">
        <v>190756.61</v>
      </c>
      <c r="H93" s="27">
        <f t="shared" si="2"/>
        <v>0</v>
      </c>
      <c r="I93" s="18">
        <v>138926.25</v>
      </c>
      <c r="J93" s="27">
        <v>190756.61</v>
      </c>
      <c r="K93" s="18">
        <f t="shared" si="3"/>
        <v>0</v>
      </c>
      <c r="L93" s="27">
        <v>145693.04999999999</v>
      </c>
      <c r="M93" s="36">
        <v>6766.8</v>
      </c>
      <c r="T93" s="41">
        <v>0</v>
      </c>
      <c r="U93" s="41">
        <v>0</v>
      </c>
      <c r="V93" s="42" t="s">
        <v>113</v>
      </c>
      <c r="W93" s="42">
        <v>0</v>
      </c>
      <c r="X93" s="42">
        <v>0</v>
      </c>
    </row>
    <row r="94" spans="1:24">
      <c r="A94" s="27" t="s">
        <v>275</v>
      </c>
      <c r="B94" s="28" t="s">
        <v>215</v>
      </c>
      <c r="C94" s="27" t="s">
        <v>219</v>
      </c>
      <c r="D94" s="27" t="s">
        <v>112</v>
      </c>
      <c r="E94" s="29">
        <v>41271</v>
      </c>
      <c r="F94" s="27">
        <v>15</v>
      </c>
      <c r="G94" s="18">
        <v>717281.59</v>
      </c>
      <c r="H94" s="27">
        <f t="shared" si="2"/>
        <v>0</v>
      </c>
      <c r="I94" s="18">
        <v>335645.93</v>
      </c>
      <c r="J94" s="27">
        <v>717281.59</v>
      </c>
      <c r="K94" s="18">
        <f t="shared" si="3"/>
        <v>0</v>
      </c>
      <c r="L94" s="27">
        <v>374064.99</v>
      </c>
      <c r="M94" s="36">
        <v>38419.06</v>
      </c>
      <c r="T94" s="41">
        <v>0</v>
      </c>
      <c r="U94" s="41">
        <v>0</v>
      </c>
      <c r="V94" s="42" t="s">
        <v>113</v>
      </c>
      <c r="W94" s="42">
        <v>0</v>
      </c>
      <c r="X94" s="42">
        <v>0</v>
      </c>
    </row>
    <row r="95" spans="1:24">
      <c r="A95" s="27" t="s">
        <v>276</v>
      </c>
      <c r="B95" s="28" t="s">
        <v>215</v>
      </c>
      <c r="C95" s="27" t="s">
        <v>216</v>
      </c>
      <c r="D95" s="27" t="s">
        <v>112</v>
      </c>
      <c r="E95" s="29">
        <v>41271</v>
      </c>
      <c r="F95" s="27">
        <v>15</v>
      </c>
      <c r="G95" s="18">
        <v>714733.95</v>
      </c>
      <c r="H95" s="27">
        <f t="shared" si="2"/>
        <v>0</v>
      </c>
      <c r="I95" s="18">
        <v>334453.77</v>
      </c>
      <c r="J95" s="27">
        <v>714733.95</v>
      </c>
      <c r="K95" s="18">
        <f t="shared" si="3"/>
        <v>0</v>
      </c>
      <c r="L95" s="27">
        <v>372736.38</v>
      </c>
      <c r="M95" s="36">
        <v>38282.61</v>
      </c>
      <c r="T95" s="41">
        <v>0</v>
      </c>
      <c r="U95" s="41">
        <v>0</v>
      </c>
      <c r="V95" s="42" t="s">
        <v>113</v>
      </c>
      <c r="W95" s="42">
        <v>0</v>
      </c>
      <c r="X95" s="42">
        <v>0</v>
      </c>
    </row>
    <row r="96" spans="1:24">
      <c r="A96" s="27" t="s">
        <v>277</v>
      </c>
      <c r="B96" s="28" t="s">
        <v>215</v>
      </c>
      <c r="C96" s="27" t="s">
        <v>219</v>
      </c>
      <c r="D96" s="27" t="s">
        <v>112</v>
      </c>
      <c r="E96" s="29">
        <v>41271</v>
      </c>
      <c r="F96" s="27">
        <v>15</v>
      </c>
      <c r="G96" s="18">
        <v>903960.87</v>
      </c>
      <c r="H96" s="27">
        <f t="shared" si="2"/>
        <v>0</v>
      </c>
      <c r="I96" s="18">
        <v>438177.67</v>
      </c>
      <c r="J96" s="27">
        <v>903960.87</v>
      </c>
      <c r="K96" s="18">
        <f t="shared" si="3"/>
        <v>0</v>
      </c>
      <c r="L96" s="27">
        <v>484909.35</v>
      </c>
      <c r="M96" s="36">
        <v>46731.68</v>
      </c>
      <c r="T96" s="41">
        <v>0</v>
      </c>
      <c r="U96" s="41">
        <v>0</v>
      </c>
      <c r="V96" s="42" t="s">
        <v>113</v>
      </c>
      <c r="W96" s="42">
        <v>0</v>
      </c>
      <c r="X96" s="42">
        <v>0</v>
      </c>
    </row>
    <row r="97" spans="1:24">
      <c r="A97" s="27" t="s">
        <v>278</v>
      </c>
      <c r="B97" s="28" t="s">
        <v>215</v>
      </c>
      <c r="C97" s="27" t="s">
        <v>279</v>
      </c>
      <c r="D97" s="27" t="s">
        <v>230</v>
      </c>
      <c r="E97" s="29">
        <v>41272</v>
      </c>
      <c r="F97" s="27">
        <v>15</v>
      </c>
      <c r="G97" s="18">
        <v>49842.14</v>
      </c>
      <c r="H97" s="27">
        <f t="shared" si="2"/>
        <v>49842.14</v>
      </c>
      <c r="I97" s="18">
        <v>49842.14</v>
      </c>
      <c r="J97" s="27">
        <v>49842.14</v>
      </c>
      <c r="K97" s="18">
        <f t="shared" si="3"/>
        <v>49842.14</v>
      </c>
      <c r="L97" s="27">
        <v>47350.03</v>
      </c>
      <c r="M97" s="36">
        <v>-2492.11</v>
      </c>
      <c r="T97" s="41">
        <v>0</v>
      </c>
      <c r="U97" s="41">
        <v>0</v>
      </c>
      <c r="V97" s="42" t="s">
        <v>113</v>
      </c>
      <c r="W97" s="42">
        <v>49842.14</v>
      </c>
      <c r="X97" s="42">
        <v>49842.14</v>
      </c>
    </row>
    <row r="98" spans="1:24">
      <c r="A98" s="27" t="s">
        <v>280</v>
      </c>
      <c r="B98" s="28" t="s">
        <v>215</v>
      </c>
      <c r="C98" s="27" t="s">
        <v>244</v>
      </c>
      <c r="D98" s="27" t="s">
        <v>112</v>
      </c>
      <c r="E98" s="29">
        <v>41272</v>
      </c>
      <c r="F98" s="27">
        <v>15</v>
      </c>
      <c r="G98" s="18">
        <v>57446.36</v>
      </c>
      <c r="H98" s="27">
        <f t="shared" si="2"/>
        <v>57446.36</v>
      </c>
      <c r="I98" s="18">
        <v>57446.36</v>
      </c>
      <c r="J98" s="27">
        <v>57446.36</v>
      </c>
      <c r="K98" s="18">
        <f t="shared" si="3"/>
        <v>57446.36</v>
      </c>
      <c r="L98" s="27">
        <v>54574.04</v>
      </c>
      <c r="M98" s="36">
        <v>-2872.32</v>
      </c>
      <c r="T98" s="41">
        <v>0</v>
      </c>
      <c r="U98" s="41">
        <v>0</v>
      </c>
      <c r="V98" s="42" t="s">
        <v>113</v>
      </c>
      <c r="W98" s="42">
        <v>57446.36</v>
      </c>
      <c r="X98" s="42">
        <v>57446.36</v>
      </c>
    </row>
    <row r="99" spans="1:24">
      <c r="A99" s="27" t="s">
        <v>281</v>
      </c>
      <c r="B99" s="28" t="s">
        <v>215</v>
      </c>
      <c r="C99" s="27" t="s">
        <v>216</v>
      </c>
      <c r="D99" s="27" t="s">
        <v>220</v>
      </c>
      <c r="E99" s="29">
        <v>41269</v>
      </c>
      <c r="F99" s="27">
        <v>15</v>
      </c>
      <c r="G99" s="18">
        <v>10500929.529999999</v>
      </c>
      <c r="H99" s="27">
        <f t="shared" si="2"/>
        <v>0</v>
      </c>
      <c r="I99" s="18">
        <v>5439416.8700000001</v>
      </c>
      <c r="J99" s="27">
        <v>10500929.529999999</v>
      </c>
      <c r="K99" s="18">
        <f t="shared" si="3"/>
        <v>0</v>
      </c>
      <c r="L99" s="27">
        <v>5943468.6699999999</v>
      </c>
      <c r="M99" s="36">
        <v>504051.8</v>
      </c>
      <c r="T99" s="41">
        <v>0</v>
      </c>
      <c r="U99" s="41">
        <v>0</v>
      </c>
      <c r="V99" s="42" t="s">
        <v>113</v>
      </c>
      <c r="W99" s="42">
        <v>0</v>
      </c>
      <c r="X99" s="42">
        <v>0</v>
      </c>
    </row>
    <row r="100" spans="1:24">
      <c r="A100" s="27" t="s">
        <v>282</v>
      </c>
      <c r="B100" s="28" t="s">
        <v>215</v>
      </c>
      <c r="C100" s="27" t="s">
        <v>219</v>
      </c>
      <c r="D100" s="27" t="s">
        <v>220</v>
      </c>
      <c r="E100" s="29">
        <v>41269</v>
      </c>
      <c r="F100" s="27">
        <v>15</v>
      </c>
      <c r="G100" s="18">
        <v>10500929.52</v>
      </c>
      <c r="H100" s="27">
        <f t="shared" si="2"/>
        <v>0</v>
      </c>
      <c r="I100" s="18">
        <v>5439416.8700000001</v>
      </c>
      <c r="J100" s="27">
        <v>10500929.52</v>
      </c>
      <c r="K100" s="18">
        <f t="shared" si="3"/>
        <v>0</v>
      </c>
      <c r="L100" s="27">
        <v>5943468.6699999999</v>
      </c>
      <c r="M100" s="36">
        <v>504051.8</v>
      </c>
      <c r="T100" s="41">
        <v>0</v>
      </c>
      <c r="U100" s="41">
        <v>0</v>
      </c>
      <c r="V100" s="42" t="s">
        <v>113</v>
      </c>
      <c r="W100" s="42">
        <v>0</v>
      </c>
      <c r="X100" s="42">
        <v>0</v>
      </c>
    </row>
    <row r="101" spans="1:24">
      <c r="A101" s="27" t="s">
        <v>283</v>
      </c>
      <c r="B101" s="28" t="s">
        <v>215</v>
      </c>
      <c r="C101" s="27" t="s">
        <v>284</v>
      </c>
      <c r="D101" s="27" t="s">
        <v>230</v>
      </c>
      <c r="E101" s="29">
        <v>41269</v>
      </c>
      <c r="F101" s="27">
        <v>15</v>
      </c>
      <c r="G101" s="18">
        <v>71952.47</v>
      </c>
      <c r="H101" s="27">
        <f t="shared" si="2"/>
        <v>0</v>
      </c>
      <c r="I101" s="18">
        <v>37254.160000000003</v>
      </c>
      <c r="J101" s="27">
        <v>71952.47</v>
      </c>
      <c r="K101" s="18">
        <f t="shared" si="3"/>
        <v>0</v>
      </c>
      <c r="L101" s="27">
        <v>40709.79</v>
      </c>
      <c r="M101" s="36">
        <v>3455.63</v>
      </c>
      <c r="T101" s="41">
        <v>0</v>
      </c>
      <c r="U101" s="41">
        <v>0</v>
      </c>
      <c r="V101" s="42" t="s">
        <v>113</v>
      </c>
      <c r="W101" s="42">
        <v>0</v>
      </c>
      <c r="X101" s="42">
        <v>0</v>
      </c>
    </row>
    <row r="102" spans="1:24">
      <c r="A102" s="27" t="s">
        <v>285</v>
      </c>
      <c r="B102" s="28" t="s">
        <v>215</v>
      </c>
      <c r="C102" s="27" t="s">
        <v>286</v>
      </c>
      <c r="D102" s="27" t="s">
        <v>230</v>
      </c>
      <c r="E102" s="29">
        <v>41269</v>
      </c>
      <c r="F102" s="27">
        <v>15</v>
      </c>
      <c r="G102" s="18">
        <v>71952.47</v>
      </c>
      <c r="H102" s="27">
        <f t="shared" si="2"/>
        <v>0</v>
      </c>
      <c r="I102" s="18">
        <v>37254.160000000003</v>
      </c>
      <c r="J102" s="27">
        <v>71952.47</v>
      </c>
      <c r="K102" s="18">
        <f t="shared" si="3"/>
        <v>0</v>
      </c>
      <c r="L102" s="27">
        <v>40709.79</v>
      </c>
      <c r="M102" s="36">
        <v>3455.63</v>
      </c>
      <c r="T102" s="41">
        <v>0</v>
      </c>
      <c r="U102" s="41">
        <v>0</v>
      </c>
      <c r="V102" s="42" t="s">
        <v>113</v>
      </c>
      <c r="W102" s="42">
        <v>0</v>
      </c>
      <c r="X102" s="42">
        <v>0</v>
      </c>
    </row>
    <row r="103" spans="1:24">
      <c r="A103" s="27" t="s">
        <v>287</v>
      </c>
      <c r="B103" s="28" t="s">
        <v>215</v>
      </c>
      <c r="C103" s="27" t="s">
        <v>216</v>
      </c>
      <c r="D103" s="27" t="s">
        <v>118</v>
      </c>
      <c r="E103" s="29">
        <v>41270</v>
      </c>
      <c r="F103" s="27">
        <v>15</v>
      </c>
      <c r="G103" s="18">
        <v>3159665.79</v>
      </c>
      <c r="H103" s="27">
        <f t="shared" si="2"/>
        <v>0</v>
      </c>
      <c r="I103" s="18">
        <v>1532057.69</v>
      </c>
      <c r="J103" s="27">
        <v>3159665.79</v>
      </c>
      <c r="K103" s="18">
        <f t="shared" si="3"/>
        <v>0</v>
      </c>
      <c r="L103" s="27">
        <v>1695349.34</v>
      </c>
      <c r="M103" s="36">
        <v>163291.65</v>
      </c>
      <c r="T103" s="41">
        <v>0</v>
      </c>
      <c r="U103" s="41">
        <v>0</v>
      </c>
      <c r="V103" s="42" t="s">
        <v>113</v>
      </c>
      <c r="W103" s="42">
        <v>0</v>
      </c>
      <c r="X103" s="42">
        <v>0</v>
      </c>
    </row>
    <row r="104" spans="1:24">
      <c r="A104" s="27" t="s">
        <v>288</v>
      </c>
      <c r="B104" s="28" t="s">
        <v>215</v>
      </c>
      <c r="C104" s="27" t="s">
        <v>219</v>
      </c>
      <c r="D104" s="27" t="s">
        <v>118</v>
      </c>
      <c r="E104" s="29">
        <v>41270</v>
      </c>
      <c r="F104" s="27">
        <v>15</v>
      </c>
      <c r="G104" s="18">
        <v>3159665.79</v>
      </c>
      <c r="H104" s="27">
        <f t="shared" si="2"/>
        <v>0</v>
      </c>
      <c r="I104" s="18">
        <v>1532057.69</v>
      </c>
      <c r="J104" s="27">
        <v>3159665.79</v>
      </c>
      <c r="K104" s="18">
        <f t="shared" si="3"/>
        <v>0</v>
      </c>
      <c r="L104" s="27">
        <v>1695349.34</v>
      </c>
      <c r="M104" s="36">
        <v>163291.65</v>
      </c>
      <c r="T104" s="41">
        <v>0</v>
      </c>
      <c r="U104" s="41">
        <v>0</v>
      </c>
      <c r="V104" s="42" t="s">
        <v>113</v>
      </c>
      <c r="W104" s="42">
        <v>0</v>
      </c>
      <c r="X104" s="42">
        <v>0</v>
      </c>
    </row>
    <row r="105" spans="1:24">
      <c r="A105" s="27" t="s">
        <v>289</v>
      </c>
      <c r="B105" s="28" t="s">
        <v>215</v>
      </c>
      <c r="C105" s="27" t="s">
        <v>290</v>
      </c>
      <c r="D105" s="27" t="s">
        <v>230</v>
      </c>
      <c r="E105" s="29">
        <v>41270</v>
      </c>
      <c r="F105" s="27">
        <v>15</v>
      </c>
      <c r="G105" s="18">
        <v>247729.28</v>
      </c>
      <c r="H105" s="27">
        <f t="shared" si="2"/>
        <v>0</v>
      </c>
      <c r="I105" s="18">
        <v>120118.89</v>
      </c>
      <c r="J105" s="27">
        <v>247729.28</v>
      </c>
      <c r="K105" s="18">
        <f t="shared" si="3"/>
        <v>0</v>
      </c>
      <c r="L105" s="27">
        <v>132921.54999999999</v>
      </c>
      <c r="M105" s="36">
        <v>12802.66</v>
      </c>
      <c r="T105" s="41">
        <v>0</v>
      </c>
      <c r="U105" s="41">
        <v>0</v>
      </c>
      <c r="V105" s="42" t="s">
        <v>113</v>
      </c>
      <c r="W105" s="42">
        <v>0</v>
      </c>
      <c r="X105" s="42">
        <v>0</v>
      </c>
    </row>
    <row r="106" spans="1:24">
      <c r="A106" s="27" t="s">
        <v>291</v>
      </c>
      <c r="B106" s="28" t="s">
        <v>215</v>
      </c>
      <c r="C106" s="27" t="s">
        <v>292</v>
      </c>
      <c r="D106" s="27" t="s">
        <v>230</v>
      </c>
      <c r="E106" s="29">
        <v>41270</v>
      </c>
      <c r="F106" s="27">
        <v>15</v>
      </c>
      <c r="G106" s="18">
        <v>247729.28</v>
      </c>
      <c r="H106" s="27">
        <f t="shared" si="2"/>
        <v>0</v>
      </c>
      <c r="I106" s="18">
        <v>120118.89</v>
      </c>
      <c r="J106" s="27">
        <v>247729.28</v>
      </c>
      <c r="K106" s="18">
        <f t="shared" si="3"/>
        <v>0</v>
      </c>
      <c r="L106" s="27">
        <v>132921.54999999999</v>
      </c>
      <c r="M106" s="36">
        <v>12802.66</v>
      </c>
      <c r="T106" s="41">
        <v>0</v>
      </c>
      <c r="U106" s="41">
        <v>0</v>
      </c>
      <c r="V106" s="42" t="s">
        <v>113</v>
      </c>
      <c r="W106" s="42">
        <v>0</v>
      </c>
      <c r="X106" s="42">
        <v>0</v>
      </c>
    </row>
    <row r="107" spans="1:24">
      <c r="A107" s="27" t="s">
        <v>293</v>
      </c>
      <c r="B107" s="28" t="s">
        <v>215</v>
      </c>
      <c r="C107" s="27" t="s">
        <v>244</v>
      </c>
      <c r="D107" s="27" t="s">
        <v>112</v>
      </c>
      <c r="E107" s="29">
        <v>40169</v>
      </c>
      <c r="F107" s="27">
        <v>15</v>
      </c>
      <c r="G107" s="18">
        <v>146250.26999999999</v>
      </c>
      <c r="H107" s="27">
        <f t="shared" si="2"/>
        <v>146250.26999999999</v>
      </c>
      <c r="I107" s="18">
        <v>138937.76</v>
      </c>
      <c r="J107" s="27">
        <v>146250.26999999999</v>
      </c>
      <c r="K107" s="18">
        <f t="shared" si="3"/>
        <v>146250.26999999999</v>
      </c>
      <c r="L107" s="27">
        <v>138937.76</v>
      </c>
      <c r="M107" s="36">
        <v>0</v>
      </c>
      <c r="T107" s="41">
        <v>0</v>
      </c>
      <c r="U107" s="41">
        <v>0</v>
      </c>
      <c r="V107" s="42" t="s">
        <v>113</v>
      </c>
      <c r="W107" s="42">
        <v>146250.26999999999</v>
      </c>
      <c r="X107" s="42">
        <v>146250.26999999999</v>
      </c>
    </row>
    <row r="108" spans="1:24">
      <c r="A108" s="27" t="s">
        <v>294</v>
      </c>
      <c r="B108" s="28" t="s">
        <v>215</v>
      </c>
      <c r="C108" s="27" t="s">
        <v>295</v>
      </c>
      <c r="D108" s="27" t="s">
        <v>230</v>
      </c>
      <c r="E108" s="29">
        <v>32142</v>
      </c>
      <c r="F108" s="27">
        <v>15</v>
      </c>
      <c r="G108" s="18">
        <v>1463144.75</v>
      </c>
      <c r="H108" s="27">
        <f t="shared" si="2"/>
        <v>1463144.75</v>
      </c>
      <c r="I108" s="18">
        <v>1389987.51</v>
      </c>
      <c r="J108" s="27">
        <v>1463144.75</v>
      </c>
      <c r="K108" s="18">
        <f t="shared" si="3"/>
        <v>1463144.75</v>
      </c>
      <c r="L108" s="27">
        <v>1389987.51</v>
      </c>
      <c r="M108" s="36">
        <v>0</v>
      </c>
      <c r="T108" s="41">
        <v>0</v>
      </c>
      <c r="U108" s="41">
        <v>0</v>
      </c>
      <c r="V108" s="42" t="s">
        <v>113</v>
      </c>
      <c r="W108" s="42">
        <v>1463144.75</v>
      </c>
      <c r="X108" s="42">
        <v>1463144.75</v>
      </c>
    </row>
    <row r="109" spans="1:24">
      <c r="A109" s="27" t="s">
        <v>296</v>
      </c>
      <c r="B109" s="28" t="s">
        <v>215</v>
      </c>
      <c r="C109" s="27" t="s">
        <v>297</v>
      </c>
      <c r="D109" s="27" t="s">
        <v>230</v>
      </c>
      <c r="E109" s="29">
        <v>35795</v>
      </c>
      <c r="F109" s="27">
        <v>15</v>
      </c>
      <c r="G109" s="18">
        <v>19800</v>
      </c>
      <c r="H109" s="27">
        <f t="shared" si="2"/>
        <v>19800</v>
      </c>
      <c r="I109" s="18">
        <v>18810</v>
      </c>
      <c r="J109" s="27">
        <v>19800</v>
      </c>
      <c r="K109" s="18">
        <f t="shared" si="3"/>
        <v>19800</v>
      </c>
      <c r="L109" s="27">
        <v>18810</v>
      </c>
      <c r="M109" s="36">
        <v>0</v>
      </c>
      <c r="T109" s="41">
        <v>0</v>
      </c>
      <c r="U109" s="41">
        <v>0</v>
      </c>
      <c r="V109" s="42" t="s">
        <v>113</v>
      </c>
      <c r="W109" s="42">
        <v>19800</v>
      </c>
      <c r="X109" s="42">
        <v>19800</v>
      </c>
    </row>
    <row r="110" spans="1:24">
      <c r="A110" s="27" t="s">
        <v>298</v>
      </c>
      <c r="B110" s="28" t="s">
        <v>215</v>
      </c>
      <c r="C110" s="27" t="s">
        <v>299</v>
      </c>
      <c r="D110" s="27" t="s">
        <v>230</v>
      </c>
      <c r="E110" s="29">
        <v>35795</v>
      </c>
      <c r="F110" s="27">
        <v>15</v>
      </c>
      <c r="G110" s="18">
        <v>19800</v>
      </c>
      <c r="H110" s="27">
        <f t="shared" si="2"/>
        <v>19800</v>
      </c>
      <c r="I110" s="18">
        <v>18810</v>
      </c>
      <c r="J110" s="27">
        <v>19800</v>
      </c>
      <c r="K110" s="18">
        <f t="shared" si="3"/>
        <v>19800</v>
      </c>
      <c r="L110" s="27">
        <v>18810</v>
      </c>
      <c r="M110" s="36">
        <v>0</v>
      </c>
      <c r="T110" s="41">
        <v>0</v>
      </c>
      <c r="U110" s="41">
        <v>0</v>
      </c>
      <c r="V110" s="42" t="s">
        <v>113</v>
      </c>
      <c r="W110" s="42">
        <v>19800</v>
      </c>
      <c r="X110" s="42">
        <v>19800</v>
      </c>
    </row>
    <row r="111" spans="1:24">
      <c r="A111" s="27" t="s">
        <v>300</v>
      </c>
      <c r="B111" s="28" t="s">
        <v>215</v>
      </c>
      <c r="C111" s="27" t="s">
        <v>301</v>
      </c>
      <c r="D111" s="27" t="s">
        <v>230</v>
      </c>
      <c r="E111" s="29">
        <v>35795</v>
      </c>
      <c r="F111" s="27">
        <v>15</v>
      </c>
      <c r="G111" s="18">
        <v>373492.66</v>
      </c>
      <c r="H111" s="27">
        <f t="shared" si="2"/>
        <v>373492.66</v>
      </c>
      <c r="I111" s="18">
        <v>354817.59</v>
      </c>
      <c r="J111" s="27">
        <v>373492.66</v>
      </c>
      <c r="K111" s="18">
        <f t="shared" si="3"/>
        <v>373492.66</v>
      </c>
      <c r="L111" s="27">
        <v>354817.59</v>
      </c>
      <c r="M111" s="36">
        <v>0</v>
      </c>
      <c r="T111" s="41">
        <v>0</v>
      </c>
      <c r="U111" s="41">
        <v>0</v>
      </c>
      <c r="V111" s="42" t="s">
        <v>113</v>
      </c>
      <c r="W111" s="42">
        <v>373492.66</v>
      </c>
      <c r="X111" s="42">
        <v>373492.66</v>
      </c>
    </row>
    <row r="112" spans="1:24">
      <c r="A112" s="27" t="s">
        <v>302</v>
      </c>
      <c r="B112" s="28" t="s">
        <v>215</v>
      </c>
      <c r="C112" s="27" t="s">
        <v>301</v>
      </c>
      <c r="D112" s="27" t="s">
        <v>230</v>
      </c>
      <c r="E112" s="29">
        <v>35795</v>
      </c>
      <c r="F112" s="27">
        <v>15</v>
      </c>
      <c r="G112" s="18">
        <v>152692.66</v>
      </c>
      <c r="H112" s="27">
        <f t="shared" si="2"/>
        <v>152692.66</v>
      </c>
      <c r="I112" s="18">
        <v>145058.03</v>
      </c>
      <c r="J112" s="27">
        <v>152692.66</v>
      </c>
      <c r="K112" s="18">
        <f t="shared" si="3"/>
        <v>152692.66</v>
      </c>
      <c r="L112" s="27">
        <v>145058.03</v>
      </c>
      <c r="M112" s="36">
        <v>0</v>
      </c>
      <c r="T112" s="41">
        <v>0</v>
      </c>
      <c r="U112" s="41">
        <v>0</v>
      </c>
      <c r="V112" s="42" t="s">
        <v>113</v>
      </c>
      <c r="W112" s="42">
        <v>152692.66</v>
      </c>
      <c r="X112" s="42">
        <v>152692.66</v>
      </c>
    </row>
    <row r="113" spans="1:24">
      <c r="A113" s="27" t="s">
        <v>303</v>
      </c>
      <c r="B113" s="28" t="s">
        <v>215</v>
      </c>
      <c r="C113" s="27" t="s">
        <v>304</v>
      </c>
      <c r="D113" s="27" t="s">
        <v>230</v>
      </c>
      <c r="E113" s="29">
        <v>35795</v>
      </c>
      <c r="F113" s="27">
        <v>15</v>
      </c>
      <c r="G113" s="18">
        <v>19862.62</v>
      </c>
      <c r="H113" s="27">
        <f t="shared" si="2"/>
        <v>19862.62</v>
      </c>
      <c r="I113" s="18">
        <v>18869.490000000002</v>
      </c>
      <c r="J113" s="27">
        <v>19862.62</v>
      </c>
      <c r="K113" s="18">
        <f t="shared" si="3"/>
        <v>19862.62</v>
      </c>
      <c r="L113" s="27">
        <v>18869.490000000002</v>
      </c>
      <c r="M113" s="36">
        <v>0</v>
      </c>
      <c r="T113" s="41">
        <v>0</v>
      </c>
      <c r="U113" s="41">
        <v>0</v>
      </c>
      <c r="V113" s="42" t="s">
        <v>113</v>
      </c>
      <c r="W113" s="42">
        <v>19862.62</v>
      </c>
      <c r="X113" s="42">
        <v>19862.62</v>
      </c>
    </row>
    <row r="114" spans="1:24">
      <c r="A114" s="27" t="s">
        <v>305</v>
      </c>
      <c r="B114" s="28" t="s">
        <v>215</v>
      </c>
      <c r="C114" s="27" t="s">
        <v>306</v>
      </c>
      <c r="D114" s="27" t="s">
        <v>230</v>
      </c>
      <c r="E114" s="29">
        <v>35795</v>
      </c>
      <c r="F114" s="27">
        <v>15</v>
      </c>
      <c r="G114" s="18">
        <v>19862.62</v>
      </c>
      <c r="H114" s="27">
        <f t="shared" si="2"/>
        <v>19862.62</v>
      </c>
      <c r="I114" s="18">
        <v>18869.490000000002</v>
      </c>
      <c r="J114" s="27">
        <v>19862.62</v>
      </c>
      <c r="K114" s="18">
        <f t="shared" si="3"/>
        <v>19862.62</v>
      </c>
      <c r="L114" s="27">
        <v>18869.490000000002</v>
      </c>
      <c r="M114" s="36">
        <v>0</v>
      </c>
      <c r="T114" s="41">
        <v>0</v>
      </c>
      <c r="U114" s="41">
        <v>0</v>
      </c>
      <c r="V114" s="42" t="s">
        <v>113</v>
      </c>
      <c r="W114" s="42">
        <v>19862.62</v>
      </c>
      <c r="X114" s="42">
        <v>19862.62</v>
      </c>
    </row>
    <row r="115" spans="1:24">
      <c r="A115" s="27" t="s">
        <v>307</v>
      </c>
      <c r="B115" s="28" t="s">
        <v>215</v>
      </c>
      <c r="C115" s="27" t="s">
        <v>308</v>
      </c>
      <c r="D115" s="27" t="s">
        <v>230</v>
      </c>
      <c r="E115" s="29">
        <v>35795</v>
      </c>
      <c r="F115" s="27">
        <v>15</v>
      </c>
      <c r="G115" s="18">
        <v>201601.65</v>
      </c>
      <c r="H115" s="27">
        <f t="shared" si="2"/>
        <v>201601.65</v>
      </c>
      <c r="I115" s="18">
        <v>191521.57</v>
      </c>
      <c r="J115" s="27">
        <v>201601.65</v>
      </c>
      <c r="K115" s="18">
        <f t="shared" si="3"/>
        <v>201601.65</v>
      </c>
      <c r="L115" s="27">
        <v>191521.57</v>
      </c>
      <c r="M115" s="36">
        <v>0</v>
      </c>
      <c r="T115" s="41">
        <v>0</v>
      </c>
      <c r="U115" s="41">
        <v>0</v>
      </c>
      <c r="V115" s="42" t="s">
        <v>113</v>
      </c>
      <c r="W115" s="42">
        <v>201601.65</v>
      </c>
      <c r="X115" s="42">
        <v>201601.65</v>
      </c>
    </row>
    <row r="116" spans="1:24">
      <c r="A116" s="27" t="s">
        <v>309</v>
      </c>
      <c r="B116" s="28" t="s">
        <v>215</v>
      </c>
      <c r="C116" s="27" t="s">
        <v>216</v>
      </c>
      <c r="D116" s="27" t="s">
        <v>112</v>
      </c>
      <c r="E116" s="29">
        <v>32142</v>
      </c>
      <c r="F116" s="27">
        <v>15</v>
      </c>
      <c r="G116" s="18">
        <v>219480</v>
      </c>
      <c r="H116" s="27">
        <f t="shared" si="2"/>
        <v>219480</v>
      </c>
      <c r="I116" s="18">
        <v>208506</v>
      </c>
      <c r="J116" s="27">
        <v>219480</v>
      </c>
      <c r="K116" s="18">
        <f t="shared" si="3"/>
        <v>219480</v>
      </c>
      <c r="L116" s="27">
        <v>208506</v>
      </c>
      <c r="M116" s="36">
        <v>0</v>
      </c>
      <c r="T116" s="41">
        <v>0</v>
      </c>
      <c r="U116" s="41">
        <v>0</v>
      </c>
      <c r="V116" s="42" t="s">
        <v>113</v>
      </c>
      <c r="W116" s="42">
        <v>219480</v>
      </c>
      <c r="X116" s="42">
        <v>219480</v>
      </c>
    </row>
    <row r="117" spans="1:24">
      <c r="A117" s="27" t="s">
        <v>310</v>
      </c>
      <c r="B117" s="28" t="s">
        <v>215</v>
      </c>
      <c r="C117" s="27" t="s">
        <v>216</v>
      </c>
      <c r="D117" s="27" t="s">
        <v>112</v>
      </c>
      <c r="E117" s="29">
        <v>32142</v>
      </c>
      <c r="F117" s="27">
        <v>15</v>
      </c>
      <c r="G117" s="18">
        <v>39600</v>
      </c>
      <c r="H117" s="27">
        <f t="shared" si="2"/>
        <v>39600</v>
      </c>
      <c r="I117" s="18">
        <v>37620</v>
      </c>
      <c r="J117" s="27">
        <v>39600</v>
      </c>
      <c r="K117" s="18">
        <f t="shared" si="3"/>
        <v>39600</v>
      </c>
      <c r="L117" s="27">
        <v>37620</v>
      </c>
      <c r="M117" s="36">
        <v>0</v>
      </c>
      <c r="T117" s="41">
        <v>0</v>
      </c>
      <c r="U117" s="41">
        <v>0</v>
      </c>
      <c r="V117" s="42" t="s">
        <v>113</v>
      </c>
      <c r="W117" s="42">
        <v>39600</v>
      </c>
      <c r="X117" s="42">
        <v>39600</v>
      </c>
    </row>
    <row r="118" spans="1:24">
      <c r="A118" s="27" t="s">
        <v>311</v>
      </c>
      <c r="B118" s="28" t="s">
        <v>215</v>
      </c>
      <c r="C118" s="27" t="s">
        <v>312</v>
      </c>
      <c r="D118" s="27" t="s">
        <v>112</v>
      </c>
      <c r="E118" s="29">
        <v>32142</v>
      </c>
      <c r="F118" s="27">
        <v>15</v>
      </c>
      <c r="G118" s="18">
        <v>444000</v>
      </c>
      <c r="H118" s="27">
        <f t="shared" si="2"/>
        <v>444000</v>
      </c>
      <c r="I118" s="18">
        <v>421800</v>
      </c>
      <c r="J118" s="27">
        <v>444000</v>
      </c>
      <c r="K118" s="18">
        <f t="shared" si="3"/>
        <v>444000</v>
      </c>
      <c r="L118" s="27">
        <v>421800</v>
      </c>
      <c r="M118" s="36">
        <v>0</v>
      </c>
      <c r="T118" s="41">
        <v>0</v>
      </c>
      <c r="U118" s="41">
        <v>0</v>
      </c>
      <c r="V118" s="42" t="s">
        <v>113</v>
      </c>
      <c r="W118" s="42">
        <v>444000</v>
      </c>
      <c r="X118" s="42">
        <v>444000</v>
      </c>
    </row>
    <row r="119" spans="1:24">
      <c r="A119" s="27" t="s">
        <v>313</v>
      </c>
      <c r="B119" s="28" t="s">
        <v>215</v>
      </c>
      <c r="C119" s="27" t="s">
        <v>219</v>
      </c>
      <c r="D119" s="27" t="s">
        <v>112</v>
      </c>
      <c r="E119" s="29">
        <v>32142</v>
      </c>
      <c r="F119" s="27">
        <v>15</v>
      </c>
      <c r="G119" s="18">
        <v>490410</v>
      </c>
      <c r="H119" s="27">
        <f t="shared" si="2"/>
        <v>490410</v>
      </c>
      <c r="I119" s="18">
        <v>465889.5</v>
      </c>
      <c r="J119" s="27">
        <v>490410</v>
      </c>
      <c r="K119" s="18">
        <f t="shared" si="3"/>
        <v>490410</v>
      </c>
      <c r="L119" s="27">
        <v>465889.5</v>
      </c>
      <c r="M119" s="36">
        <v>0</v>
      </c>
      <c r="T119" s="41">
        <v>0</v>
      </c>
      <c r="U119" s="41">
        <v>0</v>
      </c>
      <c r="V119" s="42" t="s">
        <v>113</v>
      </c>
      <c r="W119" s="42">
        <v>490410</v>
      </c>
      <c r="X119" s="42">
        <v>490410</v>
      </c>
    </row>
    <row r="120" spans="1:24">
      <c r="A120" s="27" t="s">
        <v>314</v>
      </c>
      <c r="B120" s="28" t="s">
        <v>215</v>
      </c>
      <c r="C120" s="27" t="s">
        <v>216</v>
      </c>
      <c r="D120" s="27" t="s">
        <v>112</v>
      </c>
      <c r="E120" s="29">
        <v>32142</v>
      </c>
      <c r="F120" s="27">
        <v>15</v>
      </c>
      <c r="G120" s="18">
        <v>396000</v>
      </c>
      <c r="H120" s="27">
        <f t="shared" si="2"/>
        <v>396000</v>
      </c>
      <c r="I120" s="18">
        <v>376199.52</v>
      </c>
      <c r="J120" s="27">
        <v>396000</v>
      </c>
      <c r="K120" s="18">
        <f t="shared" si="3"/>
        <v>396000</v>
      </c>
      <c r="L120" s="27">
        <v>376199.52</v>
      </c>
      <c r="M120" s="36">
        <v>0</v>
      </c>
      <c r="T120" s="41">
        <v>0</v>
      </c>
      <c r="U120" s="41">
        <v>0</v>
      </c>
      <c r="V120" s="42" t="s">
        <v>113</v>
      </c>
      <c r="W120" s="42">
        <v>396000</v>
      </c>
      <c r="X120" s="42">
        <v>396000</v>
      </c>
    </row>
    <row r="121" spans="1:24">
      <c r="A121" s="27" t="s">
        <v>315</v>
      </c>
      <c r="B121" s="28" t="s">
        <v>215</v>
      </c>
      <c r="C121" s="27" t="s">
        <v>316</v>
      </c>
      <c r="D121" s="27" t="s">
        <v>112</v>
      </c>
      <c r="E121" s="29">
        <v>41169</v>
      </c>
      <c r="F121" s="27">
        <v>15</v>
      </c>
      <c r="G121" s="18">
        <v>68930.58</v>
      </c>
      <c r="H121" s="27">
        <f t="shared" si="2"/>
        <v>0</v>
      </c>
      <c r="I121" s="18">
        <v>32270.26</v>
      </c>
      <c r="J121" s="27">
        <v>68930.58</v>
      </c>
      <c r="K121" s="18">
        <f t="shared" si="3"/>
        <v>0</v>
      </c>
      <c r="L121" s="27">
        <v>36066.120000000003</v>
      </c>
      <c r="M121" s="36">
        <v>3795.86</v>
      </c>
      <c r="T121" s="41">
        <v>0</v>
      </c>
      <c r="U121" s="41">
        <v>0</v>
      </c>
      <c r="V121" s="42" t="s">
        <v>113</v>
      </c>
      <c r="W121" s="42">
        <v>0</v>
      </c>
      <c r="X121" s="42">
        <v>0</v>
      </c>
    </row>
    <row r="122" spans="1:24">
      <c r="A122" s="27" t="s">
        <v>317</v>
      </c>
      <c r="B122" s="28" t="s">
        <v>215</v>
      </c>
      <c r="C122" s="27" t="s">
        <v>318</v>
      </c>
      <c r="D122" s="27" t="s">
        <v>230</v>
      </c>
      <c r="E122" s="29">
        <v>41169</v>
      </c>
      <c r="F122" s="27">
        <v>15</v>
      </c>
      <c r="G122" s="18">
        <v>21270</v>
      </c>
      <c r="H122" s="27">
        <f t="shared" si="2"/>
        <v>0</v>
      </c>
      <c r="I122" s="18">
        <v>9957.68</v>
      </c>
      <c r="J122" s="27">
        <v>21270</v>
      </c>
      <c r="K122" s="18">
        <f t="shared" si="3"/>
        <v>0</v>
      </c>
      <c r="L122" s="27">
        <v>11128.97</v>
      </c>
      <c r="M122" s="36">
        <v>1171.29</v>
      </c>
      <c r="T122" s="41">
        <v>0</v>
      </c>
      <c r="U122" s="41">
        <v>0</v>
      </c>
      <c r="V122" s="42" t="s">
        <v>113</v>
      </c>
      <c r="W122" s="42">
        <v>0</v>
      </c>
      <c r="X122" s="42">
        <v>0</v>
      </c>
    </row>
    <row r="123" spans="1:24">
      <c r="A123" s="27" t="s">
        <v>319</v>
      </c>
      <c r="B123" s="28" t="s">
        <v>215</v>
      </c>
      <c r="C123" s="27" t="s">
        <v>216</v>
      </c>
      <c r="D123" s="27" t="s">
        <v>112</v>
      </c>
      <c r="E123" s="29">
        <v>40543</v>
      </c>
      <c r="F123" s="27">
        <v>15</v>
      </c>
      <c r="G123" s="18">
        <v>639500</v>
      </c>
      <c r="H123" s="27">
        <f t="shared" si="2"/>
        <v>0</v>
      </c>
      <c r="I123" s="18">
        <v>496778.25</v>
      </c>
      <c r="J123" s="27">
        <v>639500</v>
      </c>
      <c r="K123" s="18">
        <f t="shared" si="3"/>
        <v>0</v>
      </c>
      <c r="L123" s="27">
        <v>512599.21</v>
      </c>
      <c r="M123" s="36">
        <v>15820.96</v>
      </c>
      <c r="T123" s="41">
        <v>0</v>
      </c>
      <c r="U123" s="41">
        <v>0</v>
      </c>
      <c r="V123" s="42" t="s">
        <v>113</v>
      </c>
      <c r="W123" s="42">
        <v>0</v>
      </c>
      <c r="X123" s="42">
        <v>0</v>
      </c>
    </row>
    <row r="124" spans="1:24">
      <c r="A124" s="27" t="s">
        <v>320</v>
      </c>
      <c r="B124" s="28" t="s">
        <v>215</v>
      </c>
      <c r="C124" s="27" t="s">
        <v>216</v>
      </c>
      <c r="D124" s="27" t="s">
        <v>112</v>
      </c>
      <c r="E124" s="29">
        <v>32142</v>
      </c>
      <c r="F124" s="27">
        <v>15</v>
      </c>
      <c r="G124" s="18">
        <v>241000</v>
      </c>
      <c r="H124" s="27">
        <f t="shared" si="2"/>
        <v>241000</v>
      </c>
      <c r="I124" s="18">
        <v>228950</v>
      </c>
      <c r="J124" s="27">
        <v>241000</v>
      </c>
      <c r="K124" s="18">
        <f t="shared" si="3"/>
        <v>241000</v>
      </c>
      <c r="L124" s="27">
        <v>228950</v>
      </c>
      <c r="M124" s="36">
        <v>0</v>
      </c>
      <c r="T124" s="41">
        <v>0</v>
      </c>
      <c r="U124" s="41">
        <v>0</v>
      </c>
      <c r="V124" s="42" t="s">
        <v>113</v>
      </c>
      <c r="W124" s="42">
        <v>241000</v>
      </c>
      <c r="X124" s="42">
        <v>241000</v>
      </c>
    </row>
    <row r="125" spans="1:24">
      <c r="A125" s="27" t="s">
        <v>321</v>
      </c>
      <c r="B125" s="28" t="s">
        <v>215</v>
      </c>
      <c r="C125" s="27" t="s">
        <v>219</v>
      </c>
      <c r="D125" s="27" t="s">
        <v>112</v>
      </c>
      <c r="E125" s="29">
        <v>32142</v>
      </c>
      <c r="F125" s="27">
        <v>15</v>
      </c>
      <c r="G125" s="18">
        <v>241000</v>
      </c>
      <c r="H125" s="27">
        <f t="shared" si="2"/>
        <v>241000</v>
      </c>
      <c r="I125" s="18">
        <v>228950</v>
      </c>
      <c r="J125" s="27">
        <v>241000</v>
      </c>
      <c r="K125" s="18">
        <f t="shared" si="3"/>
        <v>241000</v>
      </c>
      <c r="L125" s="27">
        <v>228950</v>
      </c>
      <c r="M125" s="36">
        <v>0</v>
      </c>
      <c r="T125" s="41">
        <v>0</v>
      </c>
      <c r="U125" s="41">
        <v>0</v>
      </c>
      <c r="V125" s="42" t="s">
        <v>113</v>
      </c>
      <c r="W125" s="42">
        <v>241000</v>
      </c>
      <c r="X125" s="42">
        <v>241000</v>
      </c>
    </row>
    <row r="126" spans="1:24">
      <c r="A126" s="27" t="s">
        <v>322</v>
      </c>
      <c r="B126" s="28" t="s">
        <v>215</v>
      </c>
      <c r="C126" s="27" t="s">
        <v>236</v>
      </c>
      <c r="D126" s="27" t="s">
        <v>112</v>
      </c>
      <c r="E126" s="29">
        <v>39813</v>
      </c>
      <c r="F126" s="27">
        <v>15</v>
      </c>
      <c r="G126" s="18">
        <v>69740</v>
      </c>
      <c r="H126" s="27">
        <f t="shared" si="2"/>
        <v>69740</v>
      </c>
      <c r="I126" s="18">
        <v>66253</v>
      </c>
      <c r="J126" s="27">
        <v>69740</v>
      </c>
      <c r="K126" s="18">
        <f t="shared" si="3"/>
        <v>69740</v>
      </c>
      <c r="L126" s="27">
        <v>66253</v>
      </c>
      <c r="M126" s="36">
        <v>0</v>
      </c>
      <c r="T126" s="41">
        <v>0</v>
      </c>
      <c r="U126" s="41">
        <v>0</v>
      </c>
      <c r="V126" s="42" t="s">
        <v>113</v>
      </c>
      <c r="W126" s="42">
        <v>69740</v>
      </c>
      <c r="X126" s="42">
        <v>69740</v>
      </c>
    </row>
    <row r="127" spans="1:24">
      <c r="A127" s="27" t="s">
        <v>323</v>
      </c>
      <c r="B127" s="28" t="s">
        <v>215</v>
      </c>
      <c r="C127" s="27" t="s">
        <v>324</v>
      </c>
      <c r="D127" s="27" t="s">
        <v>230</v>
      </c>
      <c r="E127" s="29">
        <v>39813</v>
      </c>
      <c r="F127" s="27">
        <v>15</v>
      </c>
      <c r="G127" s="18">
        <v>21270</v>
      </c>
      <c r="H127" s="27">
        <f t="shared" si="2"/>
        <v>21270</v>
      </c>
      <c r="I127" s="18">
        <v>20206.5</v>
      </c>
      <c r="J127" s="27">
        <v>21270</v>
      </c>
      <c r="K127" s="18">
        <f t="shared" si="3"/>
        <v>21270</v>
      </c>
      <c r="L127" s="27">
        <v>20206.5</v>
      </c>
      <c r="M127" s="36">
        <v>0</v>
      </c>
      <c r="T127" s="41">
        <v>0</v>
      </c>
      <c r="U127" s="41">
        <v>0</v>
      </c>
      <c r="V127" s="42" t="s">
        <v>113</v>
      </c>
      <c r="W127" s="42">
        <v>21270</v>
      </c>
      <c r="X127" s="42">
        <v>21270</v>
      </c>
    </row>
    <row r="128" spans="1:24">
      <c r="A128" s="27" t="s">
        <v>325</v>
      </c>
      <c r="B128" s="28" t="s">
        <v>215</v>
      </c>
      <c r="C128" s="27" t="s">
        <v>216</v>
      </c>
      <c r="D128" s="27" t="s">
        <v>112</v>
      </c>
      <c r="E128" s="29">
        <v>32142</v>
      </c>
      <c r="F128" s="27">
        <v>15</v>
      </c>
      <c r="G128" s="18">
        <v>348000</v>
      </c>
      <c r="H128" s="27">
        <f t="shared" si="2"/>
        <v>348000</v>
      </c>
      <c r="I128" s="18">
        <v>330600</v>
      </c>
      <c r="J128" s="27">
        <v>348000</v>
      </c>
      <c r="K128" s="18">
        <f t="shared" si="3"/>
        <v>348000</v>
      </c>
      <c r="L128" s="27">
        <v>330600</v>
      </c>
      <c r="M128" s="36">
        <v>0</v>
      </c>
      <c r="T128" s="41">
        <v>0</v>
      </c>
      <c r="U128" s="41">
        <v>0</v>
      </c>
      <c r="V128" s="42" t="s">
        <v>113</v>
      </c>
      <c r="W128" s="42">
        <v>348000</v>
      </c>
      <c r="X128" s="42">
        <v>348000</v>
      </c>
    </row>
    <row r="129" spans="1:24">
      <c r="A129" s="27" t="s">
        <v>326</v>
      </c>
      <c r="B129" s="28" t="s">
        <v>215</v>
      </c>
      <c r="C129" s="27" t="s">
        <v>219</v>
      </c>
      <c r="D129" s="27" t="s">
        <v>112</v>
      </c>
      <c r="E129" s="29">
        <v>39813</v>
      </c>
      <c r="F129" s="27">
        <v>15</v>
      </c>
      <c r="G129" s="18">
        <v>548000</v>
      </c>
      <c r="H129" s="27">
        <f t="shared" si="2"/>
        <v>548000</v>
      </c>
      <c r="I129" s="18">
        <v>520599.99</v>
      </c>
      <c r="J129" s="27">
        <v>548000</v>
      </c>
      <c r="K129" s="18">
        <f t="shared" si="3"/>
        <v>548000</v>
      </c>
      <c r="L129" s="27">
        <v>520599.99</v>
      </c>
      <c r="M129" s="36">
        <v>0</v>
      </c>
      <c r="T129" s="41">
        <v>0</v>
      </c>
      <c r="U129" s="41">
        <v>0</v>
      </c>
      <c r="V129" s="42" t="s">
        <v>113</v>
      </c>
      <c r="W129" s="42">
        <v>548000</v>
      </c>
      <c r="X129" s="42">
        <v>548000</v>
      </c>
    </row>
    <row r="130" spans="1:24">
      <c r="A130" s="27" t="s">
        <v>327</v>
      </c>
      <c r="B130" s="28" t="s">
        <v>215</v>
      </c>
      <c r="C130" s="27" t="s">
        <v>236</v>
      </c>
      <c r="D130" s="27" t="s">
        <v>112</v>
      </c>
      <c r="E130" s="29">
        <v>39813</v>
      </c>
      <c r="F130" s="27">
        <v>15</v>
      </c>
      <c r="G130" s="18">
        <v>69740</v>
      </c>
      <c r="H130" s="27">
        <f t="shared" si="2"/>
        <v>69740</v>
      </c>
      <c r="I130" s="18">
        <v>66253</v>
      </c>
      <c r="J130" s="27">
        <v>69740</v>
      </c>
      <c r="K130" s="18">
        <f t="shared" si="3"/>
        <v>69740</v>
      </c>
      <c r="L130" s="27">
        <v>66253</v>
      </c>
      <c r="M130" s="36">
        <v>0</v>
      </c>
      <c r="T130" s="41">
        <v>0</v>
      </c>
      <c r="U130" s="41">
        <v>0</v>
      </c>
      <c r="V130" s="42" t="s">
        <v>113</v>
      </c>
      <c r="W130" s="42">
        <v>69740</v>
      </c>
      <c r="X130" s="42">
        <v>69740</v>
      </c>
    </row>
    <row r="131" spans="1:24">
      <c r="A131" s="27" t="s">
        <v>328</v>
      </c>
      <c r="B131" s="28" t="s">
        <v>215</v>
      </c>
      <c r="C131" s="27" t="s">
        <v>232</v>
      </c>
      <c r="D131" s="27" t="s">
        <v>112</v>
      </c>
      <c r="E131" s="29">
        <v>40543</v>
      </c>
      <c r="F131" s="27">
        <v>15</v>
      </c>
      <c r="G131" s="18">
        <v>68930.58</v>
      </c>
      <c r="H131" s="27">
        <f t="shared" si="2"/>
        <v>0</v>
      </c>
      <c r="I131" s="18">
        <v>53546.85</v>
      </c>
      <c r="J131" s="27">
        <v>68930.58</v>
      </c>
      <c r="K131" s="18">
        <f t="shared" si="3"/>
        <v>0</v>
      </c>
      <c r="L131" s="27">
        <v>55252.160000000003</v>
      </c>
      <c r="M131" s="36">
        <v>1705.31</v>
      </c>
      <c r="T131" s="41">
        <v>0</v>
      </c>
      <c r="U131" s="41">
        <v>0</v>
      </c>
      <c r="V131" s="42" t="s">
        <v>113</v>
      </c>
      <c r="W131" s="42">
        <v>0</v>
      </c>
      <c r="X131" s="42">
        <v>0</v>
      </c>
    </row>
    <row r="132" spans="1:24">
      <c r="A132" s="27" t="s">
        <v>329</v>
      </c>
      <c r="B132" s="28" t="s">
        <v>215</v>
      </c>
      <c r="C132" s="27" t="s">
        <v>262</v>
      </c>
      <c r="D132" s="27" t="s">
        <v>230</v>
      </c>
      <c r="E132" s="29">
        <v>40543</v>
      </c>
      <c r="F132" s="27">
        <v>15</v>
      </c>
      <c r="G132" s="18">
        <v>21270</v>
      </c>
      <c r="H132" s="27">
        <f t="shared" si="2"/>
        <v>0</v>
      </c>
      <c r="I132" s="18">
        <v>16523.02</v>
      </c>
      <c r="J132" s="27">
        <v>21270</v>
      </c>
      <c r="K132" s="18">
        <f t="shared" si="3"/>
        <v>0</v>
      </c>
      <c r="L132" s="27">
        <v>17049.23</v>
      </c>
      <c r="M132" s="36">
        <v>526.21</v>
      </c>
      <c r="T132" s="41">
        <v>0</v>
      </c>
      <c r="U132" s="41">
        <v>0</v>
      </c>
      <c r="V132" s="42" t="s">
        <v>113</v>
      </c>
      <c r="W132" s="42">
        <v>0</v>
      </c>
      <c r="X132" s="42">
        <v>0</v>
      </c>
    </row>
    <row r="133" spans="1:24">
      <c r="A133" s="27" t="s">
        <v>330</v>
      </c>
      <c r="B133" s="28" t="s">
        <v>215</v>
      </c>
      <c r="C133" s="27" t="s">
        <v>236</v>
      </c>
      <c r="D133" s="27" t="s">
        <v>112</v>
      </c>
      <c r="E133" s="29">
        <v>40543</v>
      </c>
      <c r="F133" s="27">
        <v>15</v>
      </c>
      <c r="G133" s="18">
        <v>42000</v>
      </c>
      <c r="H133" s="27">
        <f t="shared" si="2"/>
        <v>0</v>
      </c>
      <c r="I133" s="18">
        <v>32626.560000000001</v>
      </c>
      <c r="J133" s="27">
        <v>42000</v>
      </c>
      <c r="K133" s="18">
        <f t="shared" si="3"/>
        <v>0</v>
      </c>
      <c r="L133" s="27">
        <v>33665.620000000003</v>
      </c>
      <c r="M133" s="36">
        <v>1039.06</v>
      </c>
      <c r="T133" s="41">
        <v>0</v>
      </c>
      <c r="U133" s="41">
        <v>0</v>
      </c>
      <c r="V133" s="42" t="s">
        <v>113</v>
      </c>
      <c r="W133" s="42">
        <v>0</v>
      </c>
      <c r="X133" s="42">
        <v>0</v>
      </c>
    </row>
    <row r="134" spans="1:24">
      <c r="A134" s="27" t="s">
        <v>331</v>
      </c>
      <c r="B134" s="28" t="s">
        <v>215</v>
      </c>
      <c r="C134" s="27" t="s">
        <v>229</v>
      </c>
      <c r="D134" s="27" t="s">
        <v>230</v>
      </c>
      <c r="E134" s="29">
        <v>39813</v>
      </c>
      <c r="F134" s="27">
        <v>15</v>
      </c>
      <c r="G134" s="18">
        <v>21270</v>
      </c>
      <c r="H134" s="27">
        <f t="shared" ref="H134:H197" si="4">IFERROR(IF(ROUND((G134-I134)/G134,2)&lt;=0.05,G134,0),0)</f>
        <v>21270</v>
      </c>
      <c r="I134" s="18">
        <v>20206.5</v>
      </c>
      <c r="J134" s="27">
        <v>21270</v>
      </c>
      <c r="K134" s="18">
        <f t="shared" ref="K134:K197" si="5">IFERROR(IF(ROUND((J134-L134)/J134,2)&lt;=0.05,J134,0),0)</f>
        <v>21270</v>
      </c>
      <c r="L134" s="27">
        <v>20206.5</v>
      </c>
      <c r="M134" s="36">
        <v>0</v>
      </c>
      <c r="T134" s="41">
        <v>0</v>
      </c>
      <c r="U134" s="41">
        <v>0</v>
      </c>
      <c r="V134" s="42" t="s">
        <v>113</v>
      </c>
      <c r="W134" s="42">
        <v>21270</v>
      </c>
      <c r="X134" s="42">
        <v>21270</v>
      </c>
    </row>
    <row r="135" spans="1:24">
      <c r="A135" s="27" t="s">
        <v>332</v>
      </c>
      <c r="B135" s="28" t="s">
        <v>215</v>
      </c>
      <c r="C135" s="27" t="s">
        <v>333</v>
      </c>
      <c r="D135" s="27" t="s">
        <v>230</v>
      </c>
      <c r="E135" s="29">
        <v>40543</v>
      </c>
      <c r="F135" s="27">
        <v>15</v>
      </c>
      <c r="G135" s="18">
        <v>40000</v>
      </c>
      <c r="H135" s="27">
        <f t="shared" si="4"/>
        <v>0</v>
      </c>
      <c r="I135" s="18">
        <v>31072.91</v>
      </c>
      <c r="J135" s="27">
        <v>40000</v>
      </c>
      <c r="K135" s="18">
        <f t="shared" si="5"/>
        <v>0</v>
      </c>
      <c r="L135" s="27">
        <v>32062.49</v>
      </c>
      <c r="M135" s="36">
        <v>989.58</v>
      </c>
      <c r="T135" s="41">
        <v>0</v>
      </c>
      <c r="U135" s="41">
        <v>0</v>
      </c>
      <c r="V135" s="42" t="s">
        <v>113</v>
      </c>
      <c r="W135" s="42">
        <v>0</v>
      </c>
      <c r="X135" s="42">
        <v>0</v>
      </c>
    </row>
    <row r="136" spans="1:24">
      <c r="A136" s="27" t="s">
        <v>334</v>
      </c>
      <c r="B136" s="28" t="s">
        <v>215</v>
      </c>
      <c r="C136" s="27" t="s">
        <v>335</v>
      </c>
      <c r="D136" s="27" t="s">
        <v>112</v>
      </c>
      <c r="E136" s="29">
        <v>32142</v>
      </c>
      <c r="F136" s="27">
        <v>15</v>
      </c>
      <c r="G136" s="18">
        <v>348000</v>
      </c>
      <c r="H136" s="27">
        <f t="shared" si="4"/>
        <v>348000</v>
      </c>
      <c r="I136" s="18">
        <v>330600</v>
      </c>
      <c r="J136" s="27">
        <v>348000</v>
      </c>
      <c r="K136" s="18">
        <f t="shared" si="5"/>
        <v>348000</v>
      </c>
      <c r="L136" s="27">
        <v>330600</v>
      </c>
      <c r="M136" s="36">
        <v>0</v>
      </c>
      <c r="T136" s="41">
        <v>0</v>
      </c>
      <c r="U136" s="41">
        <v>0</v>
      </c>
      <c r="V136" s="42" t="s">
        <v>113</v>
      </c>
      <c r="W136" s="42">
        <v>348000</v>
      </c>
      <c r="X136" s="42">
        <v>348000</v>
      </c>
    </row>
    <row r="137" spans="1:24">
      <c r="A137" s="27" t="s">
        <v>336</v>
      </c>
      <c r="B137" s="28" t="s">
        <v>215</v>
      </c>
      <c r="C137" s="27" t="s">
        <v>337</v>
      </c>
      <c r="D137" s="27" t="s">
        <v>112</v>
      </c>
      <c r="E137" s="29">
        <v>32142</v>
      </c>
      <c r="F137" s="27">
        <v>15</v>
      </c>
      <c r="G137" s="18">
        <v>348000</v>
      </c>
      <c r="H137" s="27">
        <f t="shared" si="4"/>
        <v>348000</v>
      </c>
      <c r="I137" s="18">
        <v>330600</v>
      </c>
      <c r="J137" s="27">
        <v>348000</v>
      </c>
      <c r="K137" s="18">
        <f t="shared" si="5"/>
        <v>348000</v>
      </c>
      <c r="L137" s="27">
        <v>330600</v>
      </c>
      <c r="M137" s="36">
        <v>0</v>
      </c>
      <c r="T137" s="41">
        <v>0</v>
      </c>
      <c r="U137" s="41">
        <v>0</v>
      </c>
      <c r="V137" s="42" t="s">
        <v>113</v>
      </c>
      <c r="W137" s="42">
        <v>348000</v>
      </c>
      <c r="X137" s="42">
        <v>348000</v>
      </c>
    </row>
    <row r="138" spans="1:24">
      <c r="A138" s="27" t="s">
        <v>338</v>
      </c>
      <c r="B138" s="28" t="s">
        <v>215</v>
      </c>
      <c r="C138" s="27" t="s">
        <v>262</v>
      </c>
      <c r="D138" s="27" t="s">
        <v>230</v>
      </c>
      <c r="E138" s="29">
        <v>37742</v>
      </c>
      <c r="F138" s="27">
        <v>15</v>
      </c>
      <c r="G138" s="18">
        <v>8427.41</v>
      </c>
      <c r="H138" s="27">
        <f t="shared" si="4"/>
        <v>8427.41</v>
      </c>
      <c r="I138" s="18">
        <v>8006.04</v>
      </c>
      <c r="J138" s="27">
        <v>8427.41</v>
      </c>
      <c r="K138" s="18">
        <f t="shared" si="5"/>
        <v>8427.41</v>
      </c>
      <c r="L138" s="27">
        <v>8006.04</v>
      </c>
      <c r="M138" s="36">
        <v>0</v>
      </c>
      <c r="T138" s="41">
        <v>0</v>
      </c>
      <c r="U138" s="41">
        <v>0</v>
      </c>
      <c r="V138" s="42" t="s">
        <v>113</v>
      </c>
      <c r="W138" s="42">
        <v>8427.41</v>
      </c>
      <c r="X138" s="42">
        <v>8427.41</v>
      </c>
    </row>
    <row r="139" spans="1:24">
      <c r="A139" s="27" t="s">
        <v>339</v>
      </c>
      <c r="B139" s="28" t="s">
        <v>215</v>
      </c>
      <c r="C139" s="27" t="s">
        <v>340</v>
      </c>
      <c r="D139" s="27" t="s">
        <v>230</v>
      </c>
      <c r="E139" s="29">
        <v>40083</v>
      </c>
      <c r="F139" s="27">
        <v>15</v>
      </c>
      <c r="G139" s="18">
        <v>138480.46</v>
      </c>
      <c r="H139" s="27">
        <f t="shared" si="4"/>
        <v>0</v>
      </c>
      <c r="I139" s="18">
        <v>128936.13</v>
      </c>
      <c r="J139" s="27">
        <v>138480.46</v>
      </c>
      <c r="K139" s="18">
        <f t="shared" si="5"/>
        <v>0</v>
      </c>
      <c r="L139" s="27">
        <v>130591.06</v>
      </c>
      <c r="M139" s="36">
        <v>1654.93</v>
      </c>
      <c r="T139" s="41">
        <v>0</v>
      </c>
      <c r="U139" s="41">
        <v>0</v>
      </c>
      <c r="V139" s="42" t="s">
        <v>113</v>
      </c>
      <c r="W139" s="42">
        <v>0</v>
      </c>
      <c r="X139" s="42">
        <v>0</v>
      </c>
    </row>
    <row r="140" spans="1:24">
      <c r="A140" s="27" t="s">
        <v>341</v>
      </c>
      <c r="B140" s="28" t="s">
        <v>215</v>
      </c>
      <c r="C140" s="27" t="s">
        <v>247</v>
      </c>
      <c r="D140" s="27" t="s">
        <v>230</v>
      </c>
      <c r="E140" s="29">
        <v>40083</v>
      </c>
      <c r="F140" s="27">
        <v>15</v>
      </c>
      <c r="G140" s="18">
        <v>138480.47</v>
      </c>
      <c r="H140" s="27">
        <f t="shared" si="4"/>
        <v>0</v>
      </c>
      <c r="I140" s="18">
        <v>128936.14</v>
      </c>
      <c r="J140" s="27">
        <v>138480.47</v>
      </c>
      <c r="K140" s="18">
        <f t="shared" si="5"/>
        <v>0</v>
      </c>
      <c r="L140" s="27">
        <v>130591.07</v>
      </c>
      <c r="M140" s="36">
        <v>1654.93</v>
      </c>
      <c r="T140" s="41">
        <v>0</v>
      </c>
      <c r="U140" s="41">
        <v>0</v>
      </c>
      <c r="V140" s="42" t="s">
        <v>113</v>
      </c>
      <c r="W140" s="42">
        <v>0</v>
      </c>
      <c r="X140" s="42">
        <v>0</v>
      </c>
    </row>
    <row r="141" spans="1:24">
      <c r="A141" s="27" t="s">
        <v>342</v>
      </c>
      <c r="B141" s="28" t="s">
        <v>215</v>
      </c>
      <c r="C141" s="27" t="s">
        <v>249</v>
      </c>
      <c r="D141" s="27" t="s">
        <v>230</v>
      </c>
      <c r="E141" s="29">
        <v>40171</v>
      </c>
      <c r="F141" s="27">
        <v>15</v>
      </c>
      <c r="G141" s="18">
        <v>115903.67</v>
      </c>
      <c r="H141" s="27">
        <f t="shared" si="4"/>
        <v>115903.67</v>
      </c>
      <c r="I141" s="18">
        <v>110108.49</v>
      </c>
      <c r="J141" s="27">
        <v>115903.67</v>
      </c>
      <c r="K141" s="18">
        <f t="shared" si="5"/>
        <v>115903.67</v>
      </c>
      <c r="L141" s="27">
        <v>110108.49</v>
      </c>
      <c r="M141" s="36">
        <v>0</v>
      </c>
      <c r="T141" s="41">
        <v>0</v>
      </c>
      <c r="U141" s="41">
        <v>0</v>
      </c>
      <c r="V141" s="42" t="s">
        <v>113</v>
      </c>
      <c r="W141" s="42">
        <v>115903.67</v>
      </c>
      <c r="X141" s="42">
        <v>115903.67</v>
      </c>
    </row>
    <row r="142" spans="1:24">
      <c r="A142" s="27" t="s">
        <v>343</v>
      </c>
      <c r="B142" s="28" t="s">
        <v>215</v>
      </c>
      <c r="C142" s="27" t="s">
        <v>247</v>
      </c>
      <c r="D142" s="27" t="s">
        <v>230</v>
      </c>
      <c r="E142" s="29">
        <v>40171</v>
      </c>
      <c r="F142" s="27">
        <v>15</v>
      </c>
      <c r="G142" s="18">
        <v>115903.67999999999</v>
      </c>
      <c r="H142" s="27">
        <f t="shared" si="4"/>
        <v>115903.67999999999</v>
      </c>
      <c r="I142" s="18">
        <v>110108.5</v>
      </c>
      <c r="J142" s="27">
        <v>115903.67999999999</v>
      </c>
      <c r="K142" s="18">
        <f t="shared" si="5"/>
        <v>115903.67999999999</v>
      </c>
      <c r="L142" s="27">
        <v>110108.5</v>
      </c>
      <c r="M142" s="36">
        <v>0</v>
      </c>
      <c r="T142" s="41">
        <v>0</v>
      </c>
      <c r="U142" s="41">
        <v>0</v>
      </c>
      <c r="V142" s="42" t="s">
        <v>113</v>
      </c>
      <c r="W142" s="42">
        <v>115903.67999999999</v>
      </c>
      <c r="X142" s="42">
        <v>115903.67999999999</v>
      </c>
    </row>
    <row r="143" spans="1:24">
      <c r="A143" s="27" t="s">
        <v>344</v>
      </c>
      <c r="B143" s="28" t="s">
        <v>215</v>
      </c>
      <c r="C143" s="27" t="s">
        <v>229</v>
      </c>
      <c r="D143" s="27" t="s">
        <v>230</v>
      </c>
      <c r="E143" s="29">
        <v>40169</v>
      </c>
      <c r="F143" s="27">
        <v>15</v>
      </c>
      <c r="G143" s="18">
        <v>146250.26999999999</v>
      </c>
      <c r="H143" s="27">
        <f t="shared" si="4"/>
        <v>146250.26999999999</v>
      </c>
      <c r="I143" s="18">
        <v>138937.76</v>
      </c>
      <c r="J143" s="27">
        <v>146250.26999999999</v>
      </c>
      <c r="K143" s="18">
        <f t="shared" si="5"/>
        <v>146250.26999999999</v>
      </c>
      <c r="L143" s="27">
        <v>138937.76</v>
      </c>
      <c r="M143" s="36">
        <v>0</v>
      </c>
      <c r="T143" s="41">
        <v>0</v>
      </c>
      <c r="U143" s="41">
        <v>0</v>
      </c>
      <c r="V143" s="42" t="s">
        <v>113</v>
      </c>
      <c r="W143" s="42">
        <v>146250.26999999999</v>
      </c>
      <c r="X143" s="42">
        <v>146250.26999999999</v>
      </c>
    </row>
    <row r="144" spans="1:24">
      <c r="A144" s="27" t="s">
        <v>345</v>
      </c>
      <c r="B144" s="28" t="s">
        <v>215</v>
      </c>
      <c r="C144" s="27" t="s">
        <v>346</v>
      </c>
      <c r="D144" s="27" t="s">
        <v>230</v>
      </c>
      <c r="E144" s="29">
        <v>43069</v>
      </c>
      <c r="F144" s="27">
        <v>15</v>
      </c>
      <c r="G144" s="18">
        <v>399755.7</v>
      </c>
      <c r="H144" s="27">
        <f t="shared" si="4"/>
        <v>0</v>
      </c>
      <c r="I144" s="18">
        <v>27919.78</v>
      </c>
      <c r="J144" s="27">
        <v>399755.7</v>
      </c>
      <c r="K144" s="18">
        <f t="shared" si="5"/>
        <v>0</v>
      </c>
      <c r="L144" s="27">
        <v>53202.28</v>
      </c>
      <c r="M144" s="36">
        <v>25282.5</v>
      </c>
      <c r="T144" s="41">
        <v>0</v>
      </c>
      <c r="U144" s="41">
        <v>0</v>
      </c>
      <c r="V144" s="42" t="s">
        <v>113</v>
      </c>
      <c r="W144" s="42">
        <v>0</v>
      </c>
      <c r="X144" s="42">
        <v>0</v>
      </c>
    </row>
    <row r="145" spans="1:24">
      <c r="A145" s="27" t="s">
        <v>347</v>
      </c>
      <c r="B145" s="28" t="s">
        <v>215</v>
      </c>
      <c r="C145" s="27" t="s">
        <v>244</v>
      </c>
      <c r="D145" s="27" t="s">
        <v>112</v>
      </c>
      <c r="E145" s="29">
        <v>43404</v>
      </c>
      <c r="F145" s="27">
        <v>15</v>
      </c>
      <c r="G145" s="18">
        <v>52338.52</v>
      </c>
      <c r="H145" s="27">
        <f t="shared" si="4"/>
        <v>0</v>
      </c>
      <c r="I145" s="18">
        <v>552.46</v>
      </c>
      <c r="J145" s="27">
        <v>52338.52</v>
      </c>
      <c r="K145" s="18">
        <f t="shared" si="5"/>
        <v>0</v>
      </c>
      <c r="L145" s="27">
        <v>3867.23</v>
      </c>
      <c r="M145" s="36">
        <v>3314.77</v>
      </c>
      <c r="T145" s="41">
        <v>0</v>
      </c>
      <c r="U145" s="41">
        <v>0</v>
      </c>
      <c r="V145" s="42" t="s">
        <v>113</v>
      </c>
      <c r="W145" s="42">
        <v>0</v>
      </c>
      <c r="X145" s="42">
        <v>0</v>
      </c>
    </row>
    <row r="146" spans="1:24">
      <c r="A146" s="27" t="s">
        <v>348</v>
      </c>
      <c r="B146" s="28" t="s">
        <v>215</v>
      </c>
      <c r="C146" s="27" t="s">
        <v>349</v>
      </c>
      <c r="D146" s="27" t="s">
        <v>230</v>
      </c>
      <c r="E146" s="29">
        <v>40268</v>
      </c>
      <c r="F146" s="27">
        <v>15</v>
      </c>
      <c r="G146" s="18">
        <v>43292.17</v>
      </c>
      <c r="H146" s="27">
        <f t="shared" si="4"/>
        <v>0</v>
      </c>
      <c r="I146" s="18">
        <v>31529.279999999999</v>
      </c>
      <c r="J146" s="27">
        <v>43292.17</v>
      </c>
      <c r="K146" s="18">
        <f t="shared" si="5"/>
        <v>0</v>
      </c>
      <c r="L146" s="27">
        <v>33065</v>
      </c>
      <c r="M146" s="36">
        <v>1535.72</v>
      </c>
      <c r="T146" s="41">
        <v>0</v>
      </c>
      <c r="U146" s="41">
        <v>0</v>
      </c>
      <c r="V146" s="42" t="s">
        <v>113</v>
      </c>
      <c r="W146" s="42">
        <v>0</v>
      </c>
      <c r="X146" s="42">
        <v>0</v>
      </c>
    </row>
    <row r="147" spans="1:24">
      <c r="A147" s="27" t="s">
        <v>350</v>
      </c>
      <c r="B147" s="28" t="s">
        <v>215</v>
      </c>
      <c r="C147" s="27" t="s">
        <v>351</v>
      </c>
      <c r="D147" s="27" t="s">
        <v>230</v>
      </c>
      <c r="E147" s="29">
        <v>40268</v>
      </c>
      <c r="F147" s="27">
        <v>15</v>
      </c>
      <c r="G147" s="18">
        <v>43292.17</v>
      </c>
      <c r="H147" s="27">
        <f t="shared" si="4"/>
        <v>0</v>
      </c>
      <c r="I147" s="18">
        <v>31529.279999999999</v>
      </c>
      <c r="J147" s="27">
        <v>43292.17</v>
      </c>
      <c r="K147" s="18">
        <f t="shared" si="5"/>
        <v>0</v>
      </c>
      <c r="L147" s="27">
        <v>33065</v>
      </c>
      <c r="M147" s="36">
        <v>1535.72</v>
      </c>
      <c r="T147" s="41">
        <v>0</v>
      </c>
      <c r="U147" s="41">
        <v>0</v>
      </c>
      <c r="V147" s="42" t="s">
        <v>113</v>
      </c>
      <c r="W147" s="42">
        <v>0</v>
      </c>
      <c r="X147" s="42">
        <v>0</v>
      </c>
    </row>
    <row r="148" spans="1:24">
      <c r="A148" s="27" t="s">
        <v>352</v>
      </c>
      <c r="B148" s="28" t="s">
        <v>215</v>
      </c>
      <c r="C148" s="27" t="s">
        <v>353</v>
      </c>
      <c r="D148" s="27" t="s">
        <v>230</v>
      </c>
      <c r="E148" s="29">
        <v>40268</v>
      </c>
      <c r="F148" s="27">
        <v>15</v>
      </c>
      <c r="G148" s="18">
        <v>53168.22</v>
      </c>
      <c r="H148" s="27">
        <f t="shared" si="4"/>
        <v>0</v>
      </c>
      <c r="I148" s="18">
        <v>38721.919999999998</v>
      </c>
      <c r="J148" s="27">
        <v>53168.22</v>
      </c>
      <c r="K148" s="18">
        <f t="shared" si="5"/>
        <v>0</v>
      </c>
      <c r="L148" s="27">
        <v>40607.980000000003</v>
      </c>
      <c r="M148" s="36">
        <v>1886.06</v>
      </c>
      <c r="T148" s="41">
        <v>0</v>
      </c>
      <c r="U148" s="41">
        <v>0</v>
      </c>
      <c r="V148" s="42" t="s">
        <v>113</v>
      </c>
      <c r="W148" s="42">
        <v>0</v>
      </c>
      <c r="X148" s="42">
        <v>0</v>
      </c>
    </row>
    <row r="149" spans="1:24">
      <c r="A149" s="27" t="s">
        <v>354</v>
      </c>
      <c r="B149" s="28" t="s">
        <v>215</v>
      </c>
      <c r="C149" s="27" t="s">
        <v>355</v>
      </c>
      <c r="D149" s="27" t="s">
        <v>230</v>
      </c>
      <c r="E149" s="29">
        <v>40268</v>
      </c>
      <c r="F149" s="27">
        <v>15</v>
      </c>
      <c r="G149" s="18">
        <v>53168.22</v>
      </c>
      <c r="H149" s="27">
        <f t="shared" si="4"/>
        <v>0</v>
      </c>
      <c r="I149" s="18">
        <v>38721.919999999998</v>
      </c>
      <c r="J149" s="27">
        <v>53168.22</v>
      </c>
      <c r="K149" s="18">
        <f t="shared" si="5"/>
        <v>0</v>
      </c>
      <c r="L149" s="27">
        <v>40607.980000000003</v>
      </c>
      <c r="M149" s="36">
        <v>1886.06</v>
      </c>
      <c r="T149" s="41">
        <v>0</v>
      </c>
      <c r="U149" s="41">
        <v>0</v>
      </c>
      <c r="V149" s="42" t="s">
        <v>113</v>
      </c>
      <c r="W149" s="42">
        <v>0</v>
      </c>
      <c r="X149" s="42">
        <v>0</v>
      </c>
    </row>
    <row r="150" spans="1:24">
      <c r="A150" s="27" t="s">
        <v>356</v>
      </c>
      <c r="B150" s="28" t="s">
        <v>215</v>
      </c>
      <c r="C150" s="27" t="s">
        <v>357</v>
      </c>
      <c r="D150" s="27" t="s">
        <v>230</v>
      </c>
      <c r="E150" s="29">
        <v>41271</v>
      </c>
      <c r="F150" s="27">
        <v>15</v>
      </c>
      <c r="G150" s="18">
        <v>19362.88</v>
      </c>
      <c r="H150" s="27">
        <f t="shared" si="4"/>
        <v>0</v>
      </c>
      <c r="I150" s="18">
        <v>9385.7800000000007</v>
      </c>
      <c r="J150" s="27">
        <v>19362.88</v>
      </c>
      <c r="K150" s="18">
        <f t="shared" si="5"/>
        <v>0</v>
      </c>
      <c r="L150" s="27">
        <v>10386.780000000001</v>
      </c>
      <c r="M150" s="36">
        <v>1001</v>
      </c>
      <c r="T150" s="41">
        <v>0</v>
      </c>
      <c r="U150" s="41">
        <v>0</v>
      </c>
      <c r="V150" s="42" t="s">
        <v>113</v>
      </c>
      <c r="W150" s="42">
        <v>0</v>
      </c>
      <c r="X150" s="42">
        <v>0</v>
      </c>
    </row>
    <row r="151" spans="1:24">
      <c r="A151" s="27" t="s">
        <v>358</v>
      </c>
      <c r="B151" s="28" t="s">
        <v>215</v>
      </c>
      <c r="C151" s="27" t="s">
        <v>359</v>
      </c>
      <c r="D151" s="27" t="s">
        <v>230</v>
      </c>
      <c r="E151" s="29">
        <v>39417</v>
      </c>
      <c r="F151" s="27">
        <v>15</v>
      </c>
      <c r="G151" s="18">
        <v>25790.5</v>
      </c>
      <c r="H151" s="27">
        <f t="shared" si="4"/>
        <v>0</v>
      </c>
      <c r="I151" s="18">
        <v>20726.43</v>
      </c>
      <c r="J151" s="27">
        <v>25790.5</v>
      </c>
      <c r="K151" s="18">
        <f t="shared" si="5"/>
        <v>0</v>
      </c>
      <c r="L151" s="27">
        <v>21670.07</v>
      </c>
      <c r="M151" s="36">
        <v>943.64</v>
      </c>
      <c r="T151" s="41">
        <v>0</v>
      </c>
      <c r="U151" s="41">
        <v>0</v>
      </c>
      <c r="V151" s="42" t="s">
        <v>113</v>
      </c>
      <c r="W151" s="42">
        <v>0</v>
      </c>
      <c r="X151" s="42">
        <v>0</v>
      </c>
    </row>
    <row r="152" spans="1:24">
      <c r="A152" s="27" t="s">
        <v>360</v>
      </c>
      <c r="B152" s="28" t="s">
        <v>215</v>
      </c>
      <c r="C152" s="27" t="s">
        <v>361</v>
      </c>
      <c r="D152" s="27" t="s">
        <v>230</v>
      </c>
      <c r="E152" s="29">
        <v>39417</v>
      </c>
      <c r="F152" s="27">
        <v>15</v>
      </c>
      <c r="G152" s="18">
        <v>25790.5</v>
      </c>
      <c r="H152" s="27">
        <f t="shared" si="4"/>
        <v>0</v>
      </c>
      <c r="I152" s="18">
        <v>20726.43</v>
      </c>
      <c r="J152" s="27">
        <v>25790.5</v>
      </c>
      <c r="K152" s="18">
        <f t="shared" si="5"/>
        <v>0</v>
      </c>
      <c r="L152" s="27">
        <v>21670.07</v>
      </c>
      <c r="M152" s="36">
        <v>943.64</v>
      </c>
      <c r="T152" s="41">
        <v>0</v>
      </c>
      <c r="U152" s="41">
        <v>0</v>
      </c>
      <c r="V152" s="42" t="s">
        <v>113</v>
      </c>
      <c r="W152" s="42">
        <v>0</v>
      </c>
      <c r="X152" s="42">
        <v>0</v>
      </c>
    </row>
    <row r="153" spans="1:24">
      <c r="A153" s="27" t="s">
        <v>362</v>
      </c>
      <c r="B153" s="28" t="s">
        <v>215</v>
      </c>
      <c r="C153" s="27" t="s">
        <v>363</v>
      </c>
      <c r="D153" s="27" t="s">
        <v>230</v>
      </c>
      <c r="E153" s="29">
        <v>39417</v>
      </c>
      <c r="F153" s="27">
        <v>15</v>
      </c>
      <c r="G153" s="18">
        <v>25790.5</v>
      </c>
      <c r="H153" s="27">
        <f t="shared" si="4"/>
        <v>0</v>
      </c>
      <c r="I153" s="18">
        <v>20726.43</v>
      </c>
      <c r="J153" s="27">
        <v>25790.5</v>
      </c>
      <c r="K153" s="18">
        <f t="shared" si="5"/>
        <v>0</v>
      </c>
      <c r="L153" s="27">
        <v>21670.07</v>
      </c>
      <c r="M153" s="36">
        <v>943.64</v>
      </c>
      <c r="T153" s="41">
        <v>0</v>
      </c>
      <c r="U153" s="41">
        <v>0</v>
      </c>
      <c r="V153" s="42" t="s">
        <v>113</v>
      </c>
      <c r="W153" s="42">
        <v>0</v>
      </c>
      <c r="X153" s="42">
        <v>0</v>
      </c>
    </row>
    <row r="154" spans="1:24">
      <c r="A154" s="27" t="s">
        <v>364</v>
      </c>
      <c r="B154" s="28" t="s">
        <v>215</v>
      </c>
      <c r="C154" s="27" t="s">
        <v>365</v>
      </c>
      <c r="D154" s="27" t="s">
        <v>230</v>
      </c>
      <c r="E154" s="29">
        <v>39417</v>
      </c>
      <c r="F154" s="27">
        <v>15</v>
      </c>
      <c r="G154" s="18">
        <v>25790.5</v>
      </c>
      <c r="H154" s="27">
        <f t="shared" si="4"/>
        <v>0</v>
      </c>
      <c r="I154" s="18">
        <v>20726.43</v>
      </c>
      <c r="J154" s="27">
        <v>25790.5</v>
      </c>
      <c r="K154" s="18">
        <f t="shared" si="5"/>
        <v>0</v>
      </c>
      <c r="L154" s="27">
        <v>21670.07</v>
      </c>
      <c r="M154" s="36">
        <v>943.64</v>
      </c>
      <c r="T154" s="41">
        <v>0</v>
      </c>
      <c r="U154" s="41">
        <v>0</v>
      </c>
      <c r="V154" s="42" t="s">
        <v>113</v>
      </c>
      <c r="W154" s="42">
        <v>0</v>
      </c>
      <c r="X154" s="42">
        <v>0</v>
      </c>
    </row>
    <row r="155" spans="1:24">
      <c r="A155" s="27" t="s">
        <v>366</v>
      </c>
      <c r="B155" s="28" t="s">
        <v>215</v>
      </c>
      <c r="C155" s="27" t="s">
        <v>367</v>
      </c>
      <c r="D155" s="27" t="s">
        <v>230</v>
      </c>
      <c r="E155" s="29">
        <v>39417</v>
      </c>
      <c r="F155" s="27">
        <v>15</v>
      </c>
      <c r="G155" s="18">
        <v>25790.5</v>
      </c>
      <c r="H155" s="27">
        <f t="shared" si="4"/>
        <v>0</v>
      </c>
      <c r="I155" s="18">
        <v>20726.43</v>
      </c>
      <c r="J155" s="27">
        <v>25790.5</v>
      </c>
      <c r="K155" s="18">
        <f t="shared" si="5"/>
        <v>0</v>
      </c>
      <c r="L155" s="27">
        <v>21670.07</v>
      </c>
      <c r="M155" s="36">
        <v>943.64</v>
      </c>
      <c r="T155" s="41">
        <v>0</v>
      </c>
      <c r="U155" s="41">
        <v>0</v>
      </c>
      <c r="V155" s="42" t="s">
        <v>113</v>
      </c>
      <c r="W155" s="42">
        <v>0</v>
      </c>
      <c r="X155" s="42">
        <v>0</v>
      </c>
    </row>
    <row r="156" spans="1:24">
      <c r="A156" s="27" t="s">
        <v>368</v>
      </c>
      <c r="B156" s="28" t="s">
        <v>215</v>
      </c>
      <c r="C156" s="27" t="s">
        <v>369</v>
      </c>
      <c r="D156" s="27" t="s">
        <v>230</v>
      </c>
      <c r="E156" s="29">
        <v>39417</v>
      </c>
      <c r="F156" s="27">
        <v>15</v>
      </c>
      <c r="G156" s="18">
        <v>25790.5</v>
      </c>
      <c r="H156" s="27">
        <f t="shared" si="4"/>
        <v>0</v>
      </c>
      <c r="I156" s="18">
        <v>20726.43</v>
      </c>
      <c r="J156" s="27">
        <v>25790.5</v>
      </c>
      <c r="K156" s="18">
        <f t="shared" si="5"/>
        <v>0</v>
      </c>
      <c r="L156" s="27">
        <v>21670.07</v>
      </c>
      <c r="M156" s="36">
        <v>943.64</v>
      </c>
      <c r="T156" s="41">
        <v>0</v>
      </c>
      <c r="U156" s="41">
        <v>0</v>
      </c>
      <c r="V156" s="42" t="s">
        <v>113</v>
      </c>
      <c r="W156" s="42">
        <v>0</v>
      </c>
      <c r="X156" s="42">
        <v>0</v>
      </c>
    </row>
    <row r="157" spans="1:24">
      <c r="A157" s="27" t="s">
        <v>370</v>
      </c>
      <c r="B157" s="28" t="s">
        <v>215</v>
      </c>
      <c r="C157" s="27" t="s">
        <v>371</v>
      </c>
      <c r="D157" s="27" t="s">
        <v>230</v>
      </c>
      <c r="E157" s="29">
        <v>39417</v>
      </c>
      <c r="F157" s="27">
        <v>15</v>
      </c>
      <c r="G157" s="18">
        <v>25790.5</v>
      </c>
      <c r="H157" s="27">
        <f t="shared" si="4"/>
        <v>0</v>
      </c>
      <c r="I157" s="18">
        <v>20726.43</v>
      </c>
      <c r="J157" s="27">
        <v>25790.5</v>
      </c>
      <c r="K157" s="18">
        <f t="shared" si="5"/>
        <v>0</v>
      </c>
      <c r="L157" s="27">
        <v>21670.07</v>
      </c>
      <c r="M157" s="36">
        <v>943.64</v>
      </c>
      <c r="T157" s="41">
        <v>0</v>
      </c>
      <c r="U157" s="41">
        <v>0</v>
      </c>
      <c r="V157" s="42" t="s">
        <v>113</v>
      </c>
      <c r="W157" s="42">
        <v>0</v>
      </c>
      <c r="X157" s="42">
        <v>0</v>
      </c>
    </row>
    <row r="158" spans="1:24">
      <c r="A158" s="27" t="s">
        <v>372</v>
      </c>
      <c r="B158" s="28" t="s">
        <v>215</v>
      </c>
      <c r="C158" s="27" t="s">
        <v>373</v>
      </c>
      <c r="D158" s="27" t="s">
        <v>230</v>
      </c>
      <c r="E158" s="29">
        <v>39417</v>
      </c>
      <c r="F158" s="27">
        <v>15</v>
      </c>
      <c r="G158" s="18">
        <v>25790.49</v>
      </c>
      <c r="H158" s="27">
        <f t="shared" si="4"/>
        <v>0</v>
      </c>
      <c r="I158" s="18">
        <v>20726.419999999998</v>
      </c>
      <c r="J158" s="27">
        <v>25790.49</v>
      </c>
      <c r="K158" s="18">
        <f t="shared" si="5"/>
        <v>0</v>
      </c>
      <c r="L158" s="27">
        <v>21670.06</v>
      </c>
      <c r="M158" s="36">
        <v>943.64</v>
      </c>
      <c r="T158" s="41">
        <v>0</v>
      </c>
      <c r="U158" s="41">
        <v>0</v>
      </c>
      <c r="V158" s="42" t="s">
        <v>113</v>
      </c>
      <c r="W158" s="42">
        <v>0</v>
      </c>
      <c r="X158" s="42">
        <v>0</v>
      </c>
    </row>
    <row r="159" spans="1:24">
      <c r="A159" s="27" t="s">
        <v>374</v>
      </c>
      <c r="B159" s="28" t="s">
        <v>215</v>
      </c>
      <c r="C159" s="27" t="s">
        <v>375</v>
      </c>
      <c r="D159" s="27" t="s">
        <v>230</v>
      </c>
      <c r="E159" s="29">
        <v>39417</v>
      </c>
      <c r="F159" s="27">
        <v>15</v>
      </c>
      <c r="G159" s="18">
        <v>22461.11</v>
      </c>
      <c r="H159" s="27">
        <f t="shared" si="4"/>
        <v>0</v>
      </c>
      <c r="I159" s="18">
        <v>18122.39</v>
      </c>
      <c r="J159" s="27">
        <v>22461.11</v>
      </c>
      <c r="K159" s="18">
        <f t="shared" si="5"/>
        <v>0</v>
      </c>
      <c r="L159" s="27">
        <v>18926.310000000001</v>
      </c>
      <c r="M159" s="36">
        <v>803.92</v>
      </c>
      <c r="T159" s="41">
        <v>0</v>
      </c>
      <c r="U159" s="41">
        <v>0</v>
      </c>
      <c r="V159" s="42" t="s">
        <v>113</v>
      </c>
      <c r="W159" s="42">
        <v>0</v>
      </c>
      <c r="X159" s="42">
        <v>0</v>
      </c>
    </row>
    <row r="160" spans="1:24">
      <c r="A160" s="27" t="s">
        <v>376</v>
      </c>
      <c r="B160" s="28" t="s">
        <v>215</v>
      </c>
      <c r="C160" s="27" t="s">
        <v>377</v>
      </c>
      <c r="D160" s="27" t="s">
        <v>230</v>
      </c>
      <c r="E160" s="29">
        <v>41269</v>
      </c>
      <c r="F160" s="27">
        <v>15</v>
      </c>
      <c r="G160" s="18">
        <v>46429.94</v>
      </c>
      <c r="H160" s="27">
        <f t="shared" si="4"/>
        <v>0</v>
      </c>
      <c r="I160" s="18">
        <v>24039.59</v>
      </c>
      <c r="J160" s="27">
        <v>46429.94</v>
      </c>
      <c r="K160" s="18">
        <f t="shared" si="5"/>
        <v>0</v>
      </c>
      <c r="L160" s="27">
        <v>26269.46</v>
      </c>
      <c r="M160" s="36">
        <v>2229.87</v>
      </c>
      <c r="T160" s="41">
        <v>0</v>
      </c>
      <c r="U160" s="41">
        <v>0</v>
      </c>
      <c r="V160" s="42" t="s">
        <v>113</v>
      </c>
      <c r="W160" s="42">
        <v>0</v>
      </c>
      <c r="X160" s="42">
        <v>0</v>
      </c>
    </row>
    <row r="161" spans="1:24">
      <c r="A161" s="27" t="s">
        <v>378</v>
      </c>
      <c r="B161" s="28" t="s">
        <v>215</v>
      </c>
      <c r="C161" s="27" t="s">
        <v>379</v>
      </c>
      <c r="D161" s="27" t="s">
        <v>230</v>
      </c>
      <c r="E161" s="29">
        <v>41269</v>
      </c>
      <c r="F161" s="27">
        <v>15</v>
      </c>
      <c r="G161" s="18">
        <v>46429.95</v>
      </c>
      <c r="H161" s="27">
        <f t="shared" si="4"/>
        <v>0</v>
      </c>
      <c r="I161" s="18">
        <v>24039.599999999999</v>
      </c>
      <c r="J161" s="27">
        <v>46429.95</v>
      </c>
      <c r="K161" s="18">
        <f t="shared" si="5"/>
        <v>0</v>
      </c>
      <c r="L161" s="27">
        <v>26269.47</v>
      </c>
      <c r="M161" s="36">
        <v>2229.87</v>
      </c>
      <c r="T161" s="41">
        <v>0</v>
      </c>
      <c r="U161" s="41">
        <v>0</v>
      </c>
      <c r="V161" s="42" t="s">
        <v>113</v>
      </c>
      <c r="W161" s="42">
        <v>0</v>
      </c>
      <c r="X161" s="42">
        <v>0</v>
      </c>
    </row>
    <row r="162" spans="1:24">
      <c r="A162" s="27" t="s">
        <v>380</v>
      </c>
      <c r="B162" s="28" t="s">
        <v>215</v>
      </c>
      <c r="C162" s="27" t="s">
        <v>381</v>
      </c>
      <c r="D162" s="27" t="s">
        <v>230</v>
      </c>
      <c r="E162" s="29">
        <v>41269</v>
      </c>
      <c r="F162" s="27">
        <v>15</v>
      </c>
      <c r="G162" s="18">
        <v>46429.95</v>
      </c>
      <c r="H162" s="27">
        <f t="shared" si="4"/>
        <v>0</v>
      </c>
      <c r="I162" s="18">
        <v>24039.599999999999</v>
      </c>
      <c r="J162" s="27">
        <v>46429.95</v>
      </c>
      <c r="K162" s="18">
        <f t="shared" si="5"/>
        <v>0</v>
      </c>
      <c r="L162" s="27">
        <v>26269.47</v>
      </c>
      <c r="M162" s="36">
        <v>2229.87</v>
      </c>
      <c r="T162" s="41">
        <v>0</v>
      </c>
      <c r="U162" s="41">
        <v>0</v>
      </c>
      <c r="V162" s="42" t="s">
        <v>113</v>
      </c>
      <c r="W162" s="42">
        <v>0</v>
      </c>
      <c r="X162" s="42">
        <v>0</v>
      </c>
    </row>
    <row r="163" spans="1:24">
      <c r="A163" s="27" t="s">
        <v>382</v>
      </c>
      <c r="B163" s="28" t="s">
        <v>215</v>
      </c>
      <c r="C163" s="27" t="s">
        <v>383</v>
      </c>
      <c r="D163" s="27" t="s">
        <v>230</v>
      </c>
      <c r="E163" s="29">
        <v>41269</v>
      </c>
      <c r="F163" s="27">
        <v>15</v>
      </c>
      <c r="G163" s="18">
        <v>46429.94</v>
      </c>
      <c r="H163" s="27">
        <f t="shared" si="4"/>
        <v>0</v>
      </c>
      <c r="I163" s="18">
        <v>24039.59</v>
      </c>
      <c r="J163" s="27">
        <v>46429.94</v>
      </c>
      <c r="K163" s="18">
        <f t="shared" si="5"/>
        <v>0</v>
      </c>
      <c r="L163" s="27">
        <v>26269.46</v>
      </c>
      <c r="M163" s="36">
        <v>2229.87</v>
      </c>
      <c r="T163" s="41">
        <v>0</v>
      </c>
      <c r="U163" s="41">
        <v>0</v>
      </c>
      <c r="V163" s="42" t="s">
        <v>113</v>
      </c>
      <c r="W163" s="42">
        <v>0</v>
      </c>
      <c r="X163" s="42">
        <v>0</v>
      </c>
    </row>
    <row r="164" spans="1:24">
      <c r="A164" s="27" t="s">
        <v>384</v>
      </c>
      <c r="B164" s="28" t="s">
        <v>215</v>
      </c>
      <c r="C164" s="27" t="s">
        <v>385</v>
      </c>
      <c r="D164" s="27" t="s">
        <v>230</v>
      </c>
      <c r="E164" s="29">
        <v>41269</v>
      </c>
      <c r="F164" s="27">
        <v>15</v>
      </c>
      <c r="G164" s="18">
        <v>46429.95</v>
      </c>
      <c r="H164" s="27">
        <f t="shared" si="4"/>
        <v>0</v>
      </c>
      <c r="I164" s="18">
        <v>24039.599999999999</v>
      </c>
      <c r="J164" s="27">
        <v>46429.95</v>
      </c>
      <c r="K164" s="18">
        <f t="shared" si="5"/>
        <v>0</v>
      </c>
      <c r="L164" s="27">
        <v>26269.47</v>
      </c>
      <c r="M164" s="36">
        <v>2229.87</v>
      </c>
      <c r="T164" s="41">
        <v>0</v>
      </c>
      <c r="U164" s="41">
        <v>0</v>
      </c>
      <c r="V164" s="42" t="s">
        <v>113</v>
      </c>
      <c r="W164" s="42">
        <v>0</v>
      </c>
      <c r="X164" s="42">
        <v>0</v>
      </c>
    </row>
    <row r="165" spans="1:24">
      <c r="A165" s="27" t="s">
        <v>386</v>
      </c>
      <c r="B165" s="28" t="s">
        <v>215</v>
      </c>
      <c r="C165" s="27" t="s">
        <v>387</v>
      </c>
      <c r="D165" s="27" t="s">
        <v>230</v>
      </c>
      <c r="E165" s="29">
        <v>41269</v>
      </c>
      <c r="F165" s="27">
        <v>15</v>
      </c>
      <c r="G165" s="18">
        <v>46429.95</v>
      </c>
      <c r="H165" s="27">
        <f t="shared" si="4"/>
        <v>0</v>
      </c>
      <c r="I165" s="18">
        <v>24039.599999999999</v>
      </c>
      <c r="J165" s="27">
        <v>46429.95</v>
      </c>
      <c r="K165" s="18">
        <f t="shared" si="5"/>
        <v>0</v>
      </c>
      <c r="L165" s="27">
        <v>26269.47</v>
      </c>
      <c r="M165" s="36">
        <v>2229.87</v>
      </c>
      <c r="T165" s="41">
        <v>0</v>
      </c>
      <c r="U165" s="41">
        <v>0</v>
      </c>
      <c r="V165" s="42" t="s">
        <v>113</v>
      </c>
      <c r="W165" s="42">
        <v>0</v>
      </c>
      <c r="X165" s="42">
        <v>0</v>
      </c>
    </row>
    <row r="166" spans="1:24">
      <c r="A166" s="27" t="s">
        <v>388</v>
      </c>
      <c r="B166" s="28" t="s">
        <v>215</v>
      </c>
      <c r="C166" s="27" t="s">
        <v>389</v>
      </c>
      <c r="D166" s="27" t="s">
        <v>230</v>
      </c>
      <c r="E166" s="29">
        <v>41269</v>
      </c>
      <c r="F166" s="27">
        <v>15</v>
      </c>
      <c r="G166" s="18">
        <v>64572.51</v>
      </c>
      <c r="H166" s="27">
        <f t="shared" si="4"/>
        <v>0</v>
      </c>
      <c r="I166" s="18">
        <v>33433.11</v>
      </c>
      <c r="J166" s="27">
        <v>64572.51</v>
      </c>
      <c r="K166" s="18">
        <f t="shared" si="5"/>
        <v>0</v>
      </c>
      <c r="L166" s="27">
        <v>36534.31</v>
      </c>
      <c r="M166" s="36">
        <v>3101.2</v>
      </c>
      <c r="T166" s="41">
        <v>0</v>
      </c>
      <c r="U166" s="41">
        <v>0</v>
      </c>
      <c r="V166" s="42" t="s">
        <v>113</v>
      </c>
      <c r="W166" s="42">
        <v>0</v>
      </c>
      <c r="X166" s="42">
        <v>0</v>
      </c>
    </row>
    <row r="167" spans="1:24">
      <c r="A167" s="27" t="s">
        <v>390</v>
      </c>
      <c r="B167" s="28" t="s">
        <v>215</v>
      </c>
      <c r="C167" s="27" t="s">
        <v>391</v>
      </c>
      <c r="D167" s="27" t="s">
        <v>230</v>
      </c>
      <c r="E167" s="29">
        <v>41269</v>
      </c>
      <c r="F167" s="27">
        <v>15</v>
      </c>
      <c r="G167" s="18">
        <v>64572.51</v>
      </c>
      <c r="H167" s="27">
        <f t="shared" si="4"/>
        <v>0</v>
      </c>
      <c r="I167" s="18">
        <v>33433.11</v>
      </c>
      <c r="J167" s="27">
        <v>64572.51</v>
      </c>
      <c r="K167" s="18">
        <f t="shared" si="5"/>
        <v>0</v>
      </c>
      <c r="L167" s="27">
        <v>36534.31</v>
      </c>
      <c r="M167" s="36">
        <v>3101.2</v>
      </c>
      <c r="T167" s="41">
        <v>0</v>
      </c>
      <c r="U167" s="41">
        <v>0</v>
      </c>
      <c r="V167" s="42" t="s">
        <v>113</v>
      </c>
      <c r="W167" s="42">
        <v>0</v>
      </c>
      <c r="X167" s="42">
        <v>0</v>
      </c>
    </row>
    <row r="168" spans="1:24">
      <c r="A168" s="27" t="s">
        <v>392</v>
      </c>
      <c r="B168" s="28" t="s">
        <v>215</v>
      </c>
      <c r="C168" s="27" t="s">
        <v>393</v>
      </c>
      <c r="D168" s="27" t="s">
        <v>230</v>
      </c>
      <c r="E168" s="29">
        <v>41269</v>
      </c>
      <c r="F168" s="27">
        <v>15</v>
      </c>
      <c r="G168" s="18">
        <v>64572.51</v>
      </c>
      <c r="H168" s="27">
        <f t="shared" si="4"/>
        <v>0</v>
      </c>
      <c r="I168" s="18">
        <v>33433.11</v>
      </c>
      <c r="J168" s="27">
        <v>64572.51</v>
      </c>
      <c r="K168" s="18">
        <f t="shared" si="5"/>
        <v>0</v>
      </c>
      <c r="L168" s="27">
        <v>36534.31</v>
      </c>
      <c r="M168" s="36">
        <v>3101.2</v>
      </c>
      <c r="T168" s="41">
        <v>0</v>
      </c>
      <c r="U168" s="41">
        <v>0</v>
      </c>
      <c r="V168" s="42" t="s">
        <v>113</v>
      </c>
      <c r="W168" s="42">
        <v>0</v>
      </c>
      <c r="X168" s="42">
        <v>0</v>
      </c>
    </row>
    <row r="169" spans="1:24">
      <c r="A169" s="27" t="s">
        <v>394</v>
      </c>
      <c r="B169" s="28" t="s">
        <v>215</v>
      </c>
      <c r="C169" s="27" t="s">
        <v>395</v>
      </c>
      <c r="D169" s="27" t="s">
        <v>230</v>
      </c>
      <c r="E169" s="29">
        <v>41269</v>
      </c>
      <c r="F169" s="27">
        <v>15</v>
      </c>
      <c r="G169" s="18">
        <v>64572.51</v>
      </c>
      <c r="H169" s="27">
        <f t="shared" si="4"/>
        <v>0</v>
      </c>
      <c r="I169" s="18">
        <v>33433.11</v>
      </c>
      <c r="J169" s="27">
        <v>64572.51</v>
      </c>
      <c r="K169" s="18">
        <f t="shared" si="5"/>
        <v>0</v>
      </c>
      <c r="L169" s="27">
        <v>36534.31</v>
      </c>
      <c r="M169" s="36">
        <v>3101.2</v>
      </c>
      <c r="T169" s="41">
        <v>0</v>
      </c>
      <c r="U169" s="41">
        <v>0</v>
      </c>
      <c r="V169" s="42" t="s">
        <v>113</v>
      </c>
      <c r="W169" s="42">
        <v>0</v>
      </c>
      <c r="X169" s="42">
        <v>0</v>
      </c>
    </row>
    <row r="170" spans="1:24">
      <c r="A170" s="27" t="s">
        <v>396</v>
      </c>
      <c r="B170" s="28" t="s">
        <v>215</v>
      </c>
      <c r="C170" s="27" t="s">
        <v>397</v>
      </c>
      <c r="D170" s="27" t="s">
        <v>230</v>
      </c>
      <c r="E170" s="29">
        <v>41269</v>
      </c>
      <c r="F170" s="27">
        <v>15</v>
      </c>
      <c r="G170" s="18">
        <v>64572.51</v>
      </c>
      <c r="H170" s="27">
        <f t="shared" si="4"/>
        <v>0</v>
      </c>
      <c r="I170" s="18">
        <v>33433.11</v>
      </c>
      <c r="J170" s="27">
        <v>64572.51</v>
      </c>
      <c r="K170" s="18">
        <f t="shared" si="5"/>
        <v>0</v>
      </c>
      <c r="L170" s="27">
        <v>36534.31</v>
      </c>
      <c r="M170" s="36">
        <v>3101.2</v>
      </c>
      <c r="T170" s="41">
        <v>0</v>
      </c>
      <c r="U170" s="41">
        <v>0</v>
      </c>
      <c r="V170" s="42" t="s">
        <v>113</v>
      </c>
      <c r="W170" s="42">
        <v>0</v>
      </c>
      <c r="X170" s="42">
        <v>0</v>
      </c>
    </row>
    <row r="171" spans="1:24">
      <c r="A171" s="27" t="s">
        <v>398</v>
      </c>
      <c r="B171" s="28" t="s">
        <v>215</v>
      </c>
      <c r="C171" s="27" t="s">
        <v>399</v>
      </c>
      <c r="D171" s="27" t="s">
        <v>230</v>
      </c>
      <c r="E171" s="29">
        <v>41269</v>
      </c>
      <c r="F171" s="27">
        <v>15</v>
      </c>
      <c r="G171" s="18">
        <v>64572.51</v>
      </c>
      <c r="H171" s="27">
        <f t="shared" si="4"/>
        <v>0</v>
      </c>
      <c r="I171" s="18">
        <v>33433.11</v>
      </c>
      <c r="J171" s="27">
        <v>64572.51</v>
      </c>
      <c r="K171" s="18">
        <f t="shared" si="5"/>
        <v>0</v>
      </c>
      <c r="L171" s="27">
        <v>36534.31</v>
      </c>
      <c r="M171" s="36">
        <v>3101.2</v>
      </c>
      <c r="T171" s="41">
        <v>0</v>
      </c>
      <c r="U171" s="41">
        <v>0</v>
      </c>
      <c r="V171" s="42" t="s">
        <v>113</v>
      </c>
      <c r="W171" s="42">
        <v>0</v>
      </c>
      <c r="X171" s="42">
        <v>0</v>
      </c>
    </row>
    <row r="172" spans="1:24">
      <c r="A172" s="27" t="s">
        <v>400</v>
      </c>
      <c r="B172" s="28" t="s">
        <v>215</v>
      </c>
      <c r="C172" s="27" t="s">
        <v>401</v>
      </c>
      <c r="D172" s="27" t="s">
        <v>230</v>
      </c>
      <c r="E172" s="29">
        <v>41269</v>
      </c>
      <c r="F172" s="27">
        <v>15</v>
      </c>
      <c r="G172" s="18">
        <v>64572.51</v>
      </c>
      <c r="H172" s="27">
        <f t="shared" si="4"/>
        <v>0</v>
      </c>
      <c r="I172" s="18">
        <v>33433.11</v>
      </c>
      <c r="J172" s="27">
        <v>64572.51</v>
      </c>
      <c r="K172" s="18">
        <f t="shared" si="5"/>
        <v>0</v>
      </c>
      <c r="L172" s="27">
        <v>36534.31</v>
      </c>
      <c r="M172" s="36">
        <v>3101.2</v>
      </c>
      <c r="T172" s="41">
        <v>0</v>
      </c>
      <c r="U172" s="41">
        <v>0</v>
      </c>
      <c r="V172" s="42" t="s">
        <v>113</v>
      </c>
      <c r="W172" s="42">
        <v>0</v>
      </c>
      <c r="X172" s="42">
        <v>0</v>
      </c>
    </row>
    <row r="173" spans="1:24">
      <c r="A173" s="27" t="s">
        <v>402</v>
      </c>
      <c r="B173" s="28" t="s">
        <v>215</v>
      </c>
      <c r="C173" s="27" t="s">
        <v>403</v>
      </c>
      <c r="D173" s="27" t="s">
        <v>230</v>
      </c>
      <c r="E173" s="29">
        <v>41269</v>
      </c>
      <c r="F173" s="27">
        <v>15</v>
      </c>
      <c r="G173" s="18">
        <v>64572.51</v>
      </c>
      <c r="H173" s="27">
        <f t="shared" si="4"/>
        <v>0</v>
      </c>
      <c r="I173" s="18">
        <v>33433.11</v>
      </c>
      <c r="J173" s="27">
        <v>64572.51</v>
      </c>
      <c r="K173" s="18">
        <f t="shared" si="5"/>
        <v>0</v>
      </c>
      <c r="L173" s="27">
        <v>36534.31</v>
      </c>
      <c r="M173" s="36">
        <v>3101.2</v>
      </c>
      <c r="T173" s="41">
        <v>0</v>
      </c>
      <c r="U173" s="41">
        <v>0</v>
      </c>
      <c r="V173" s="42" t="s">
        <v>113</v>
      </c>
      <c r="W173" s="42">
        <v>0</v>
      </c>
      <c r="X173" s="42">
        <v>0</v>
      </c>
    </row>
    <row r="174" spans="1:24">
      <c r="A174" s="27" t="s">
        <v>404</v>
      </c>
      <c r="B174" s="28" t="s">
        <v>215</v>
      </c>
      <c r="C174" s="27" t="s">
        <v>405</v>
      </c>
      <c r="D174" s="27" t="s">
        <v>230</v>
      </c>
      <c r="E174" s="29">
        <v>41269</v>
      </c>
      <c r="F174" s="27">
        <v>15</v>
      </c>
      <c r="G174" s="18">
        <v>64572.51</v>
      </c>
      <c r="H174" s="27">
        <f t="shared" si="4"/>
        <v>0</v>
      </c>
      <c r="I174" s="18">
        <v>33433.11</v>
      </c>
      <c r="J174" s="27">
        <v>64572.51</v>
      </c>
      <c r="K174" s="18">
        <f t="shared" si="5"/>
        <v>0</v>
      </c>
      <c r="L174" s="27">
        <v>36534.31</v>
      </c>
      <c r="M174" s="36">
        <v>3101.2</v>
      </c>
      <c r="T174" s="41">
        <v>0</v>
      </c>
      <c r="U174" s="41">
        <v>0</v>
      </c>
      <c r="V174" s="42" t="s">
        <v>113</v>
      </c>
      <c r="W174" s="42">
        <v>0</v>
      </c>
      <c r="X174" s="42">
        <v>0</v>
      </c>
    </row>
    <row r="175" spans="1:24">
      <c r="A175" s="27" t="s">
        <v>406</v>
      </c>
      <c r="B175" s="28" t="s">
        <v>215</v>
      </c>
      <c r="C175" s="27" t="s">
        <v>407</v>
      </c>
      <c r="D175" s="27" t="s">
        <v>230</v>
      </c>
      <c r="E175" s="29">
        <v>41269</v>
      </c>
      <c r="F175" s="27">
        <v>15</v>
      </c>
      <c r="G175" s="18">
        <v>64572.51</v>
      </c>
      <c r="H175" s="27">
        <f t="shared" si="4"/>
        <v>0</v>
      </c>
      <c r="I175" s="18">
        <v>33433.11</v>
      </c>
      <c r="J175" s="27">
        <v>64572.51</v>
      </c>
      <c r="K175" s="18">
        <f t="shared" si="5"/>
        <v>0</v>
      </c>
      <c r="L175" s="27">
        <v>36534.31</v>
      </c>
      <c r="M175" s="36">
        <v>3101.2</v>
      </c>
      <c r="T175" s="41">
        <v>0</v>
      </c>
      <c r="U175" s="41">
        <v>0</v>
      </c>
      <c r="V175" s="42" t="s">
        <v>113</v>
      </c>
      <c r="W175" s="42">
        <v>0</v>
      </c>
      <c r="X175" s="42">
        <v>0</v>
      </c>
    </row>
    <row r="176" spans="1:24">
      <c r="A176" s="27" t="s">
        <v>408</v>
      </c>
      <c r="B176" s="28" t="s">
        <v>215</v>
      </c>
      <c r="C176" s="27" t="s">
        <v>409</v>
      </c>
      <c r="D176" s="27" t="s">
        <v>230</v>
      </c>
      <c r="E176" s="29">
        <v>39417</v>
      </c>
      <c r="F176" s="27">
        <v>15</v>
      </c>
      <c r="G176" s="18">
        <v>25790.5</v>
      </c>
      <c r="H176" s="27">
        <f t="shared" si="4"/>
        <v>0</v>
      </c>
      <c r="I176" s="18">
        <v>20726.43</v>
      </c>
      <c r="J176" s="27">
        <v>25790.5</v>
      </c>
      <c r="K176" s="18">
        <f t="shared" si="5"/>
        <v>0</v>
      </c>
      <c r="L176" s="27">
        <v>21670.07</v>
      </c>
      <c r="M176" s="36">
        <v>943.64</v>
      </c>
      <c r="T176" s="41">
        <v>0</v>
      </c>
      <c r="U176" s="41">
        <v>0</v>
      </c>
      <c r="V176" s="42" t="s">
        <v>113</v>
      </c>
      <c r="W176" s="42">
        <v>0</v>
      </c>
      <c r="X176" s="42">
        <v>0</v>
      </c>
    </row>
    <row r="177" spans="1:24">
      <c r="A177" s="27" t="s">
        <v>410</v>
      </c>
      <c r="B177" s="28" t="s">
        <v>215</v>
      </c>
      <c r="C177" s="27" t="s">
        <v>411</v>
      </c>
      <c r="D177" s="27" t="s">
        <v>230</v>
      </c>
      <c r="E177" s="29">
        <v>41270</v>
      </c>
      <c r="F177" s="27">
        <v>15</v>
      </c>
      <c r="G177" s="18">
        <v>15821.24</v>
      </c>
      <c r="H177" s="27">
        <f t="shared" si="4"/>
        <v>0</v>
      </c>
      <c r="I177" s="18">
        <v>7671.39</v>
      </c>
      <c r="J177" s="27">
        <v>15821.24</v>
      </c>
      <c r="K177" s="18">
        <f t="shared" si="5"/>
        <v>0</v>
      </c>
      <c r="L177" s="27">
        <v>8489.0300000000007</v>
      </c>
      <c r="M177" s="36">
        <v>817.64</v>
      </c>
      <c r="T177" s="41">
        <v>0</v>
      </c>
      <c r="U177" s="41">
        <v>0</v>
      </c>
      <c r="V177" s="42" t="s">
        <v>113</v>
      </c>
      <c r="W177" s="42">
        <v>0</v>
      </c>
      <c r="X177" s="42">
        <v>0</v>
      </c>
    </row>
    <row r="178" spans="1:24">
      <c r="A178" s="27" t="s">
        <v>412</v>
      </c>
      <c r="B178" s="28" t="s">
        <v>215</v>
      </c>
      <c r="C178" s="27" t="s">
        <v>413</v>
      </c>
      <c r="D178" s="27" t="s">
        <v>230</v>
      </c>
      <c r="E178" s="29">
        <v>41270</v>
      </c>
      <c r="F178" s="27">
        <v>15</v>
      </c>
      <c r="G178" s="18">
        <v>15821.24</v>
      </c>
      <c r="H178" s="27">
        <f t="shared" si="4"/>
        <v>0</v>
      </c>
      <c r="I178" s="18">
        <v>7671.39</v>
      </c>
      <c r="J178" s="27">
        <v>15821.24</v>
      </c>
      <c r="K178" s="18">
        <f t="shared" si="5"/>
        <v>0</v>
      </c>
      <c r="L178" s="27">
        <v>8489.0300000000007</v>
      </c>
      <c r="M178" s="36">
        <v>817.64</v>
      </c>
      <c r="T178" s="41">
        <v>0</v>
      </c>
      <c r="U178" s="41">
        <v>0</v>
      </c>
      <c r="V178" s="42" t="s">
        <v>113</v>
      </c>
      <c r="W178" s="42">
        <v>0</v>
      </c>
      <c r="X178" s="42">
        <v>0</v>
      </c>
    </row>
    <row r="179" spans="1:24">
      <c r="A179" s="27" t="s">
        <v>414</v>
      </c>
      <c r="B179" s="28" t="s">
        <v>215</v>
      </c>
      <c r="C179" s="27" t="s">
        <v>415</v>
      </c>
      <c r="D179" s="27" t="s">
        <v>230</v>
      </c>
      <c r="E179" s="29">
        <v>41270</v>
      </c>
      <c r="F179" s="27">
        <v>15</v>
      </c>
      <c r="G179" s="18">
        <v>15821.24</v>
      </c>
      <c r="H179" s="27">
        <f t="shared" si="4"/>
        <v>0</v>
      </c>
      <c r="I179" s="18">
        <v>7671.39</v>
      </c>
      <c r="J179" s="27">
        <v>15821.24</v>
      </c>
      <c r="K179" s="18">
        <f t="shared" si="5"/>
        <v>0</v>
      </c>
      <c r="L179" s="27">
        <v>8489.0300000000007</v>
      </c>
      <c r="M179" s="36">
        <v>817.64</v>
      </c>
      <c r="T179" s="41">
        <v>0</v>
      </c>
      <c r="U179" s="41">
        <v>0</v>
      </c>
      <c r="V179" s="42" t="s">
        <v>113</v>
      </c>
      <c r="W179" s="42">
        <v>0</v>
      </c>
      <c r="X179" s="42">
        <v>0</v>
      </c>
    </row>
    <row r="180" spans="1:24">
      <c r="A180" s="27" t="s">
        <v>416</v>
      </c>
      <c r="B180" s="28" t="s">
        <v>215</v>
      </c>
      <c r="C180" s="27" t="s">
        <v>417</v>
      </c>
      <c r="D180" s="27" t="s">
        <v>230</v>
      </c>
      <c r="E180" s="29">
        <v>41270</v>
      </c>
      <c r="F180" s="27">
        <v>15</v>
      </c>
      <c r="G180" s="18">
        <v>15821.24</v>
      </c>
      <c r="H180" s="27">
        <f t="shared" si="4"/>
        <v>0</v>
      </c>
      <c r="I180" s="18">
        <v>7671.39</v>
      </c>
      <c r="J180" s="27">
        <v>15821.24</v>
      </c>
      <c r="K180" s="18">
        <f t="shared" si="5"/>
        <v>0</v>
      </c>
      <c r="L180" s="27">
        <v>8489.0300000000007</v>
      </c>
      <c r="M180" s="36">
        <v>817.64</v>
      </c>
      <c r="T180" s="41">
        <v>0</v>
      </c>
      <c r="U180" s="41">
        <v>0</v>
      </c>
      <c r="V180" s="42" t="s">
        <v>113</v>
      </c>
      <c r="W180" s="42">
        <v>0</v>
      </c>
      <c r="X180" s="42">
        <v>0</v>
      </c>
    </row>
    <row r="181" spans="1:24">
      <c r="A181" s="27" t="s">
        <v>418</v>
      </c>
      <c r="B181" s="28" t="s">
        <v>215</v>
      </c>
      <c r="C181" s="27" t="s">
        <v>419</v>
      </c>
      <c r="D181" s="27" t="s">
        <v>230</v>
      </c>
      <c r="E181" s="29">
        <v>41270</v>
      </c>
      <c r="F181" s="27">
        <v>15</v>
      </c>
      <c r="G181" s="18">
        <v>15821.24</v>
      </c>
      <c r="H181" s="27">
        <f t="shared" si="4"/>
        <v>0</v>
      </c>
      <c r="I181" s="18">
        <v>7671.39</v>
      </c>
      <c r="J181" s="27">
        <v>15821.24</v>
      </c>
      <c r="K181" s="18">
        <f t="shared" si="5"/>
        <v>0</v>
      </c>
      <c r="L181" s="27">
        <v>8489.0300000000007</v>
      </c>
      <c r="M181" s="36">
        <v>817.64</v>
      </c>
      <c r="T181" s="41">
        <v>0</v>
      </c>
      <c r="U181" s="41">
        <v>0</v>
      </c>
      <c r="V181" s="42" t="s">
        <v>113</v>
      </c>
      <c r="W181" s="42">
        <v>0</v>
      </c>
      <c r="X181" s="42">
        <v>0</v>
      </c>
    </row>
    <row r="182" spans="1:24">
      <c r="A182" s="27" t="s">
        <v>420</v>
      </c>
      <c r="B182" s="28" t="s">
        <v>215</v>
      </c>
      <c r="C182" s="27" t="s">
        <v>421</v>
      </c>
      <c r="D182" s="27" t="s">
        <v>230</v>
      </c>
      <c r="E182" s="29">
        <v>41270</v>
      </c>
      <c r="F182" s="27">
        <v>15</v>
      </c>
      <c r="G182" s="18">
        <v>15821.24</v>
      </c>
      <c r="H182" s="27">
        <f t="shared" si="4"/>
        <v>0</v>
      </c>
      <c r="I182" s="18">
        <v>7671.39</v>
      </c>
      <c r="J182" s="27">
        <v>15821.24</v>
      </c>
      <c r="K182" s="18">
        <f t="shared" si="5"/>
        <v>0</v>
      </c>
      <c r="L182" s="27">
        <v>8489.0300000000007</v>
      </c>
      <c r="M182" s="36">
        <v>817.64</v>
      </c>
      <c r="T182" s="41">
        <v>0</v>
      </c>
      <c r="U182" s="41">
        <v>0</v>
      </c>
      <c r="V182" s="42" t="s">
        <v>113</v>
      </c>
      <c r="W182" s="42">
        <v>0</v>
      </c>
      <c r="X182" s="42">
        <v>0</v>
      </c>
    </row>
    <row r="183" spans="1:24">
      <c r="A183" s="27" t="s">
        <v>422</v>
      </c>
      <c r="B183" s="28" t="s">
        <v>215</v>
      </c>
      <c r="C183" s="27" t="s">
        <v>423</v>
      </c>
      <c r="D183" s="27" t="s">
        <v>230</v>
      </c>
      <c r="E183" s="29">
        <v>41270</v>
      </c>
      <c r="F183" s="27">
        <v>15</v>
      </c>
      <c r="G183" s="18">
        <v>15821.24</v>
      </c>
      <c r="H183" s="27">
        <f t="shared" si="4"/>
        <v>0</v>
      </c>
      <c r="I183" s="18">
        <v>7671.39</v>
      </c>
      <c r="J183" s="27">
        <v>15821.24</v>
      </c>
      <c r="K183" s="18">
        <f t="shared" si="5"/>
        <v>0</v>
      </c>
      <c r="L183" s="27">
        <v>8489.0300000000007</v>
      </c>
      <c r="M183" s="36">
        <v>817.64</v>
      </c>
      <c r="T183" s="41">
        <v>0</v>
      </c>
      <c r="U183" s="41">
        <v>0</v>
      </c>
      <c r="V183" s="42" t="s">
        <v>113</v>
      </c>
      <c r="W183" s="42">
        <v>0</v>
      </c>
      <c r="X183" s="42">
        <v>0</v>
      </c>
    </row>
    <row r="184" spans="1:24">
      <c r="A184" s="27" t="s">
        <v>424</v>
      </c>
      <c r="B184" s="28" t="s">
        <v>215</v>
      </c>
      <c r="C184" s="27" t="s">
        <v>425</v>
      </c>
      <c r="D184" s="27" t="s">
        <v>230</v>
      </c>
      <c r="E184" s="29">
        <v>41270</v>
      </c>
      <c r="F184" s="27">
        <v>15</v>
      </c>
      <c r="G184" s="18">
        <v>15821.24</v>
      </c>
      <c r="H184" s="27">
        <f t="shared" si="4"/>
        <v>0</v>
      </c>
      <c r="I184" s="18">
        <v>7671.39</v>
      </c>
      <c r="J184" s="27">
        <v>15821.24</v>
      </c>
      <c r="K184" s="18">
        <f t="shared" si="5"/>
        <v>0</v>
      </c>
      <c r="L184" s="27">
        <v>8489.0300000000007</v>
      </c>
      <c r="M184" s="36">
        <v>817.64</v>
      </c>
      <c r="T184" s="41">
        <v>0</v>
      </c>
      <c r="U184" s="41">
        <v>0</v>
      </c>
      <c r="V184" s="42" t="s">
        <v>113</v>
      </c>
      <c r="W184" s="42">
        <v>0</v>
      </c>
      <c r="X184" s="42">
        <v>0</v>
      </c>
    </row>
    <row r="185" spans="1:24">
      <c r="A185" s="27" t="s">
        <v>426</v>
      </c>
      <c r="B185" s="28" t="s">
        <v>215</v>
      </c>
      <c r="C185" s="27" t="s">
        <v>427</v>
      </c>
      <c r="D185" s="27" t="s">
        <v>230</v>
      </c>
      <c r="E185" s="29">
        <v>41270</v>
      </c>
      <c r="F185" s="27">
        <v>15</v>
      </c>
      <c r="G185" s="18">
        <v>15821.24</v>
      </c>
      <c r="H185" s="27">
        <f t="shared" si="4"/>
        <v>0</v>
      </c>
      <c r="I185" s="18">
        <v>7671.39</v>
      </c>
      <c r="J185" s="27">
        <v>15821.24</v>
      </c>
      <c r="K185" s="18">
        <f t="shared" si="5"/>
        <v>0</v>
      </c>
      <c r="L185" s="27">
        <v>8489.0300000000007</v>
      </c>
      <c r="M185" s="36">
        <v>817.64</v>
      </c>
      <c r="T185" s="41">
        <v>0</v>
      </c>
      <c r="U185" s="41">
        <v>0</v>
      </c>
      <c r="V185" s="42" t="s">
        <v>113</v>
      </c>
      <c r="W185" s="42">
        <v>0</v>
      </c>
      <c r="X185" s="42">
        <v>0</v>
      </c>
    </row>
    <row r="186" spans="1:24">
      <c r="A186" s="27" t="s">
        <v>428</v>
      </c>
      <c r="B186" s="28" t="s">
        <v>215</v>
      </c>
      <c r="C186" s="27" t="s">
        <v>429</v>
      </c>
      <c r="D186" s="27" t="s">
        <v>230</v>
      </c>
      <c r="E186" s="29">
        <v>41270</v>
      </c>
      <c r="F186" s="27">
        <v>15</v>
      </c>
      <c r="G186" s="18">
        <v>15821.24</v>
      </c>
      <c r="H186" s="27">
        <f t="shared" si="4"/>
        <v>0</v>
      </c>
      <c r="I186" s="18">
        <v>7671.39</v>
      </c>
      <c r="J186" s="27">
        <v>15821.24</v>
      </c>
      <c r="K186" s="18">
        <f t="shared" si="5"/>
        <v>0</v>
      </c>
      <c r="L186" s="27">
        <v>8489.0300000000007</v>
      </c>
      <c r="M186" s="36">
        <v>817.64</v>
      </c>
      <c r="T186" s="41">
        <v>0</v>
      </c>
      <c r="U186" s="41">
        <v>0</v>
      </c>
      <c r="V186" s="42" t="s">
        <v>113</v>
      </c>
      <c r="W186" s="42">
        <v>0</v>
      </c>
      <c r="X186" s="42">
        <v>0</v>
      </c>
    </row>
    <row r="187" spans="1:24">
      <c r="A187" s="27" t="s">
        <v>430</v>
      </c>
      <c r="B187" s="28" t="s">
        <v>215</v>
      </c>
      <c r="C187" s="27" t="s">
        <v>431</v>
      </c>
      <c r="D187" s="27" t="s">
        <v>230</v>
      </c>
      <c r="E187" s="29">
        <v>41270</v>
      </c>
      <c r="F187" s="27">
        <v>15</v>
      </c>
      <c r="G187" s="18">
        <v>15821.24</v>
      </c>
      <c r="H187" s="27">
        <f t="shared" si="4"/>
        <v>0</v>
      </c>
      <c r="I187" s="18">
        <v>7671.39</v>
      </c>
      <c r="J187" s="27">
        <v>15821.24</v>
      </c>
      <c r="K187" s="18">
        <f t="shared" si="5"/>
        <v>0</v>
      </c>
      <c r="L187" s="27">
        <v>8489.0300000000007</v>
      </c>
      <c r="M187" s="36">
        <v>817.64</v>
      </c>
      <c r="T187" s="41">
        <v>0</v>
      </c>
      <c r="U187" s="41">
        <v>0</v>
      </c>
      <c r="V187" s="42" t="s">
        <v>113</v>
      </c>
      <c r="W187" s="42">
        <v>0</v>
      </c>
      <c r="X187" s="42">
        <v>0</v>
      </c>
    </row>
    <row r="188" spans="1:24">
      <c r="A188" s="27" t="s">
        <v>432</v>
      </c>
      <c r="B188" s="28" t="s">
        <v>215</v>
      </c>
      <c r="C188" s="27" t="s">
        <v>433</v>
      </c>
      <c r="D188" s="27" t="s">
        <v>230</v>
      </c>
      <c r="E188" s="29">
        <v>41270</v>
      </c>
      <c r="F188" s="27">
        <v>15</v>
      </c>
      <c r="G188" s="18">
        <v>15821.24</v>
      </c>
      <c r="H188" s="27">
        <f t="shared" si="4"/>
        <v>0</v>
      </c>
      <c r="I188" s="18">
        <v>7671.39</v>
      </c>
      <c r="J188" s="27">
        <v>15821.24</v>
      </c>
      <c r="K188" s="18">
        <f t="shared" si="5"/>
        <v>0</v>
      </c>
      <c r="L188" s="27">
        <v>8489.0300000000007</v>
      </c>
      <c r="M188" s="36">
        <v>817.64</v>
      </c>
      <c r="T188" s="41">
        <v>0</v>
      </c>
      <c r="U188" s="41">
        <v>0</v>
      </c>
      <c r="V188" s="42" t="s">
        <v>113</v>
      </c>
      <c r="W188" s="42">
        <v>0</v>
      </c>
      <c r="X188" s="42">
        <v>0</v>
      </c>
    </row>
    <row r="189" spans="1:24">
      <c r="A189" s="27" t="s">
        <v>434</v>
      </c>
      <c r="B189" s="28" t="s">
        <v>215</v>
      </c>
      <c r="C189" s="27" t="s">
        <v>351</v>
      </c>
      <c r="D189" s="27" t="s">
        <v>230</v>
      </c>
      <c r="E189" s="29">
        <v>39813</v>
      </c>
      <c r="F189" s="27">
        <v>15</v>
      </c>
      <c r="G189" s="18">
        <v>59701.98</v>
      </c>
      <c r="H189" s="27">
        <f t="shared" si="4"/>
        <v>59701.98</v>
      </c>
      <c r="I189" s="18">
        <v>56716.88</v>
      </c>
      <c r="J189" s="27">
        <v>59701.98</v>
      </c>
      <c r="K189" s="18">
        <f t="shared" si="5"/>
        <v>59701.98</v>
      </c>
      <c r="L189" s="27">
        <v>56716.88</v>
      </c>
      <c r="M189" s="36">
        <v>0</v>
      </c>
      <c r="T189" s="41">
        <v>0</v>
      </c>
      <c r="U189" s="41">
        <v>0</v>
      </c>
      <c r="V189" s="42" t="s">
        <v>113</v>
      </c>
      <c r="W189" s="42">
        <v>59701.98</v>
      </c>
      <c r="X189" s="42">
        <v>59701.98</v>
      </c>
    </row>
    <row r="190" spans="1:24">
      <c r="A190" s="27" t="s">
        <v>435</v>
      </c>
      <c r="B190" s="28" t="s">
        <v>215</v>
      </c>
      <c r="C190" s="27" t="s">
        <v>349</v>
      </c>
      <c r="D190" s="27" t="s">
        <v>230</v>
      </c>
      <c r="E190" s="29">
        <v>39813</v>
      </c>
      <c r="F190" s="27">
        <v>15</v>
      </c>
      <c r="G190" s="18">
        <v>59701.98</v>
      </c>
      <c r="H190" s="27">
        <f t="shared" si="4"/>
        <v>59701.98</v>
      </c>
      <c r="I190" s="18">
        <v>56716.88</v>
      </c>
      <c r="J190" s="27">
        <v>59701.98</v>
      </c>
      <c r="K190" s="18">
        <f t="shared" si="5"/>
        <v>59701.98</v>
      </c>
      <c r="L190" s="27">
        <v>56716.88</v>
      </c>
      <c r="M190" s="36">
        <v>0</v>
      </c>
      <c r="T190" s="41">
        <v>0</v>
      </c>
      <c r="U190" s="41">
        <v>0</v>
      </c>
      <c r="V190" s="42" t="s">
        <v>113</v>
      </c>
      <c r="W190" s="42">
        <v>59701.98</v>
      </c>
      <c r="X190" s="42">
        <v>59701.98</v>
      </c>
    </row>
    <row r="191" spans="1:24">
      <c r="A191" s="27" t="s">
        <v>436</v>
      </c>
      <c r="B191" s="28" t="s">
        <v>215</v>
      </c>
      <c r="C191" s="27" t="s">
        <v>437</v>
      </c>
      <c r="D191" s="27" t="s">
        <v>230</v>
      </c>
      <c r="E191" s="29">
        <v>39813</v>
      </c>
      <c r="F191" s="27">
        <v>15</v>
      </c>
      <c r="G191" s="18">
        <v>84701.98</v>
      </c>
      <c r="H191" s="27">
        <f t="shared" si="4"/>
        <v>84701.98</v>
      </c>
      <c r="I191" s="18">
        <v>80466.880000000005</v>
      </c>
      <c r="J191" s="27">
        <v>84701.98</v>
      </c>
      <c r="K191" s="18">
        <f t="shared" si="5"/>
        <v>84701.98</v>
      </c>
      <c r="L191" s="27">
        <v>80466.880000000005</v>
      </c>
      <c r="M191" s="36">
        <v>0</v>
      </c>
      <c r="T191" s="41">
        <v>0</v>
      </c>
      <c r="U191" s="41">
        <v>0</v>
      </c>
      <c r="V191" s="42" t="s">
        <v>113</v>
      </c>
      <c r="W191" s="42">
        <v>84701.98</v>
      </c>
      <c r="X191" s="42">
        <v>84701.98</v>
      </c>
    </row>
    <row r="192" spans="1:24">
      <c r="A192" s="27" t="s">
        <v>438</v>
      </c>
      <c r="B192" s="28" t="s">
        <v>215</v>
      </c>
      <c r="C192" s="27" t="s">
        <v>439</v>
      </c>
      <c r="D192" s="27" t="s">
        <v>230</v>
      </c>
      <c r="E192" s="29">
        <v>41257</v>
      </c>
      <c r="F192" s="27">
        <v>15</v>
      </c>
      <c r="G192" s="18">
        <v>84701.98</v>
      </c>
      <c r="H192" s="27">
        <f t="shared" si="4"/>
        <v>0</v>
      </c>
      <c r="I192" s="18">
        <v>38221.760000000002</v>
      </c>
      <c r="J192" s="27">
        <v>84701.98</v>
      </c>
      <c r="K192" s="18">
        <f t="shared" si="5"/>
        <v>0</v>
      </c>
      <c r="L192" s="27">
        <v>42915.66</v>
      </c>
      <c r="M192" s="36">
        <v>4693.8999999999996</v>
      </c>
      <c r="T192" s="41">
        <v>0</v>
      </c>
      <c r="U192" s="41">
        <v>0</v>
      </c>
      <c r="V192" s="42" t="s">
        <v>113</v>
      </c>
      <c r="W192" s="42">
        <v>0</v>
      </c>
      <c r="X192" s="42">
        <v>0</v>
      </c>
    </row>
    <row r="193" spans="1:24">
      <c r="A193" s="27" t="s">
        <v>440</v>
      </c>
      <c r="B193" s="28" t="s">
        <v>215</v>
      </c>
      <c r="C193" s="27" t="s">
        <v>375</v>
      </c>
      <c r="D193" s="27" t="s">
        <v>230</v>
      </c>
      <c r="E193" s="29">
        <v>41257</v>
      </c>
      <c r="F193" s="27">
        <v>15</v>
      </c>
      <c r="G193" s="18">
        <v>84701.98</v>
      </c>
      <c r="H193" s="27">
        <f t="shared" si="4"/>
        <v>0</v>
      </c>
      <c r="I193" s="18">
        <v>67793.350000000006</v>
      </c>
      <c r="J193" s="27">
        <v>84701.98</v>
      </c>
      <c r="K193" s="18">
        <f t="shared" si="5"/>
        <v>0</v>
      </c>
      <c r="L193" s="27">
        <v>69201.52</v>
      </c>
      <c r="M193" s="36">
        <v>1408.17</v>
      </c>
      <c r="T193" s="41">
        <v>0</v>
      </c>
      <c r="U193" s="41">
        <v>0</v>
      </c>
      <c r="V193" s="42" t="s">
        <v>113</v>
      </c>
      <c r="W193" s="42">
        <v>0</v>
      </c>
      <c r="X193" s="42">
        <v>0</v>
      </c>
    </row>
    <row r="194" spans="1:24">
      <c r="A194" s="27" t="s">
        <v>441</v>
      </c>
      <c r="B194" s="28" t="s">
        <v>215</v>
      </c>
      <c r="C194" s="27" t="s">
        <v>357</v>
      </c>
      <c r="D194" s="27" t="s">
        <v>230</v>
      </c>
      <c r="E194" s="29">
        <v>41257</v>
      </c>
      <c r="F194" s="27">
        <v>15</v>
      </c>
      <c r="G194" s="18">
        <v>84701.98</v>
      </c>
      <c r="H194" s="27">
        <f t="shared" si="4"/>
        <v>0</v>
      </c>
      <c r="I194" s="18">
        <v>67793.350000000006</v>
      </c>
      <c r="J194" s="27">
        <v>84701.98</v>
      </c>
      <c r="K194" s="18">
        <f t="shared" si="5"/>
        <v>0</v>
      </c>
      <c r="L194" s="27">
        <v>69201.52</v>
      </c>
      <c r="M194" s="36">
        <v>1408.17</v>
      </c>
      <c r="T194" s="41">
        <v>0</v>
      </c>
      <c r="U194" s="41">
        <v>0</v>
      </c>
      <c r="V194" s="42" t="s">
        <v>113</v>
      </c>
      <c r="W194" s="42">
        <v>0</v>
      </c>
      <c r="X194" s="42">
        <v>0</v>
      </c>
    </row>
    <row r="195" spans="1:24">
      <c r="A195" s="27" t="s">
        <v>442</v>
      </c>
      <c r="B195" s="28" t="s">
        <v>215</v>
      </c>
      <c r="C195" s="27" t="s">
        <v>443</v>
      </c>
      <c r="D195" s="27" t="s">
        <v>118</v>
      </c>
      <c r="E195" s="29">
        <v>38200</v>
      </c>
      <c r="F195" s="27">
        <v>12</v>
      </c>
      <c r="G195" s="18">
        <v>2860.41</v>
      </c>
      <c r="H195" s="27">
        <f t="shared" si="4"/>
        <v>2860.41</v>
      </c>
      <c r="I195" s="18">
        <v>2860.41</v>
      </c>
      <c r="J195" s="27">
        <v>2860.41</v>
      </c>
      <c r="K195" s="18">
        <f t="shared" si="5"/>
        <v>2860.41</v>
      </c>
      <c r="L195" s="27">
        <v>2860.41</v>
      </c>
      <c r="M195" s="36">
        <v>0</v>
      </c>
      <c r="T195" s="41">
        <v>0</v>
      </c>
      <c r="U195" s="41">
        <v>0</v>
      </c>
      <c r="V195" s="42" t="s">
        <v>113</v>
      </c>
      <c r="W195" s="42">
        <v>2860.41</v>
      </c>
      <c r="X195" s="42">
        <v>2860.41</v>
      </c>
    </row>
    <row r="196" spans="1:24">
      <c r="A196" s="27" t="s">
        <v>444</v>
      </c>
      <c r="B196" s="28" t="s">
        <v>215</v>
      </c>
      <c r="C196" s="27" t="s">
        <v>445</v>
      </c>
      <c r="D196" s="27" t="s">
        <v>118</v>
      </c>
      <c r="E196" s="29">
        <v>37742</v>
      </c>
      <c r="F196" s="27">
        <v>15</v>
      </c>
      <c r="G196" s="18">
        <v>40888.68</v>
      </c>
      <c r="H196" s="27">
        <f t="shared" si="4"/>
        <v>40888.68</v>
      </c>
      <c r="I196" s="18">
        <v>38844.25</v>
      </c>
      <c r="J196" s="27">
        <v>40888.68</v>
      </c>
      <c r="K196" s="18">
        <f t="shared" si="5"/>
        <v>40888.68</v>
      </c>
      <c r="L196" s="27">
        <v>38844.25</v>
      </c>
      <c r="M196" s="36">
        <v>0</v>
      </c>
      <c r="T196" s="41">
        <v>0</v>
      </c>
      <c r="U196" s="41">
        <v>0</v>
      </c>
      <c r="V196" s="42" t="s">
        <v>113</v>
      </c>
      <c r="W196" s="42">
        <v>40888.68</v>
      </c>
      <c r="X196" s="42">
        <v>40888.68</v>
      </c>
    </row>
    <row r="197" spans="1:24">
      <c r="A197" s="27" t="s">
        <v>446</v>
      </c>
      <c r="B197" s="28" t="s">
        <v>215</v>
      </c>
      <c r="C197" s="27" t="s">
        <v>447</v>
      </c>
      <c r="D197" s="27" t="s">
        <v>118</v>
      </c>
      <c r="E197" s="29">
        <v>38412</v>
      </c>
      <c r="F197" s="27">
        <v>12</v>
      </c>
      <c r="G197" s="18">
        <v>382.92</v>
      </c>
      <c r="H197" s="27">
        <f t="shared" si="4"/>
        <v>382.92</v>
      </c>
      <c r="I197" s="18">
        <v>382.92</v>
      </c>
      <c r="J197" s="27">
        <v>382.92</v>
      </c>
      <c r="K197" s="18">
        <f t="shared" si="5"/>
        <v>382.92</v>
      </c>
      <c r="L197" s="27">
        <v>382.92</v>
      </c>
      <c r="M197" s="36">
        <v>0</v>
      </c>
      <c r="T197" s="41">
        <v>0</v>
      </c>
      <c r="U197" s="41">
        <v>0</v>
      </c>
      <c r="V197" s="42" t="s">
        <v>113</v>
      </c>
      <c r="W197" s="42">
        <v>382.92</v>
      </c>
      <c r="X197" s="42">
        <v>382.92</v>
      </c>
    </row>
    <row r="198" spans="1:24">
      <c r="A198" s="27" t="s">
        <v>448</v>
      </c>
      <c r="B198" s="28" t="s">
        <v>215</v>
      </c>
      <c r="C198" s="27" t="s">
        <v>449</v>
      </c>
      <c r="D198" s="27" t="s">
        <v>220</v>
      </c>
      <c r="E198" s="29">
        <v>38534</v>
      </c>
      <c r="F198" s="27">
        <v>15</v>
      </c>
      <c r="G198" s="18">
        <v>8869.52</v>
      </c>
      <c r="H198" s="27">
        <f t="shared" ref="H198:H261" si="6">IFERROR(IF(ROUND((G198-I198)/G198,2)&lt;=0.05,G198,0),0)</f>
        <v>8869.52</v>
      </c>
      <c r="I198" s="18">
        <v>8426.0400000000009</v>
      </c>
      <c r="J198" s="27">
        <v>8869.52</v>
      </c>
      <c r="K198" s="18">
        <f t="shared" ref="K198:K261" si="7">IFERROR(IF(ROUND((J198-L198)/J198,2)&lt;=0.05,J198,0),0)</f>
        <v>8869.52</v>
      </c>
      <c r="L198" s="27">
        <v>8426.0400000000009</v>
      </c>
      <c r="M198" s="36">
        <v>0</v>
      </c>
      <c r="T198" s="41">
        <v>0</v>
      </c>
      <c r="U198" s="41">
        <v>0</v>
      </c>
      <c r="V198" s="42" t="s">
        <v>113</v>
      </c>
      <c r="W198" s="42">
        <v>8869.52</v>
      </c>
      <c r="X198" s="42">
        <v>8869.52</v>
      </c>
    </row>
    <row r="199" spans="1:24">
      <c r="A199" s="27" t="s">
        <v>450</v>
      </c>
      <c r="B199" s="28" t="s">
        <v>215</v>
      </c>
      <c r="C199" s="27" t="s">
        <v>451</v>
      </c>
      <c r="D199" s="27" t="s">
        <v>118</v>
      </c>
      <c r="E199" s="29">
        <v>38534</v>
      </c>
      <c r="F199" s="27">
        <v>15</v>
      </c>
      <c r="G199" s="18">
        <v>10136.58</v>
      </c>
      <c r="H199" s="27">
        <f t="shared" si="6"/>
        <v>10136.58</v>
      </c>
      <c r="I199" s="18">
        <v>9629.75</v>
      </c>
      <c r="J199" s="27">
        <v>10136.58</v>
      </c>
      <c r="K199" s="18">
        <f t="shared" si="7"/>
        <v>10136.58</v>
      </c>
      <c r="L199" s="27">
        <v>9629.75</v>
      </c>
      <c r="M199" s="36">
        <v>0</v>
      </c>
      <c r="T199" s="41">
        <v>0</v>
      </c>
      <c r="U199" s="41">
        <v>0</v>
      </c>
      <c r="V199" s="42" t="s">
        <v>113</v>
      </c>
      <c r="W199" s="42">
        <v>10136.58</v>
      </c>
      <c r="X199" s="42">
        <v>10136.58</v>
      </c>
    </row>
    <row r="200" spans="1:24">
      <c r="A200" s="27" t="s">
        <v>452</v>
      </c>
      <c r="B200" s="28" t="s">
        <v>215</v>
      </c>
      <c r="C200" s="27" t="s">
        <v>453</v>
      </c>
      <c r="D200" s="27" t="s">
        <v>220</v>
      </c>
      <c r="E200" s="29">
        <v>38534</v>
      </c>
      <c r="F200" s="27">
        <v>15</v>
      </c>
      <c r="G200" s="18">
        <v>6208.65</v>
      </c>
      <c r="H200" s="27">
        <f t="shared" si="6"/>
        <v>6208.65</v>
      </c>
      <c r="I200" s="18">
        <v>5898.22</v>
      </c>
      <c r="J200" s="27">
        <v>6208.65</v>
      </c>
      <c r="K200" s="18">
        <f t="shared" si="7"/>
        <v>6208.65</v>
      </c>
      <c r="L200" s="27">
        <v>5898.22</v>
      </c>
      <c r="M200" s="36">
        <v>0</v>
      </c>
      <c r="T200" s="41">
        <v>0</v>
      </c>
      <c r="U200" s="41">
        <v>0</v>
      </c>
      <c r="V200" s="42" t="s">
        <v>113</v>
      </c>
      <c r="W200" s="42">
        <v>6208.65</v>
      </c>
      <c r="X200" s="42">
        <v>6208.65</v>
      </c>
    </row>
    <row r="201" spans="1:24">
      <c r="A201" s="27" t="s">
        <v>454</v>
      </c>
      <c r="B201" s="28" t="s">
        <v>215</v>
      </c>
      <c r="C201" s="27" t="s">
        <v>455</v>
      </c>
      <c r="D201" s="27" t="s">
        <v>118</v>
      </c>
      <c r="E201" s="29">
        <v>38534</v>
      </c>
      <c r="F201" s="27">
        <v>15</v>
      </c>
      <c r="G201" s="18">
        <v>45467.9</v>
      </c>
      <c r="H201" s="27">
        <f t="shared" si="6"/>
        <v>45467.9</v>
      </c>
      <c r="I201" s="18">
        <v>43194.5</v>
      </c>
      <c r="J201" s="27">
        <v>45467.9</v>
      </c>
      <c r="K201" s="18">
        <f t="shared" si="7"/>
        <v>45467.9</v>
      </c>
      <c r="L201" s="27">
        <v>43194.5</v>
      </c>
      <c r="M201" s="36">
        <v>0</v>
      </c>
      <c r="T201" s="41">
        <v>0</v>
      </c>
      <c r="U201" s="41">
        <v>0</v>
      </c>
      <c r="V201" s="42" t="s">
        <v>113</v>
      </c>
      <c r="W201" s="42">
        <v>45467.9</v>
      </c>
      <c r="X201" s="42">
        <v>45467.9</v>
      </c>
    </row>
    <row r="202" spans="1:24">
      <c r="A202" s="27" t="s">
        <v>456</v>
      </c>
      <c r="B202" s="28" t="s">
        <v>215</v>
      </c>
      <c r="C202" s="27" t="s">
        <v>457</v>
      </c>
      <c r="D202" s="27" t="s">
        <v>230</v>
      </c>
      <c r="E202" s="29">
        <v>38534</v>
      </c>
      <c r="F202" s="27">
        <v>15</v>
      </c>
      <c r="G202" s="18">
        <v>78457.47</v>
      </c>
      <c r="H202" s="27">
        <f t="shared" si="6"/>
        <v>78457.47</v>
      </c>
      <c r="I202" s="18">
        <v>74534.600000000006</v>
      </c>
      <c r="J202" s="27">
        <v>78457.47</v>
      </c>
      <c r="K202" s="18">
        <f t="shared" si="7"/>
        <v>78457.47</v>
      </c>
      <c r="L202" s="27">
        <v>74534.600000000006</v>
      </c>
      <c r="M202" s="36">
        <v>0</v>
      </c>
      <c r="T202" s="41">
        <v>0</v>
      </c>
      <c r="U202" s="41">
        <v>0</v>
      </c>
      <c r="V202" s="42" t="s">
        <v>113</v>
      </c>
      <c r="W202" s="42">
        <v>78457.47</v>
      </c>
      <c r="X202" s="42">
        <v>78457.47</v>
      </c>
    </row>
    <row r="203" spans="1:24">
      <c r="A203" s="27" t="s">
        <v>458</v>
      </c>
      <c r="B203" s="28" t="s">
        <v>215</v>
      </c>
      <c r="C203" s="27" t="s">
        <v>459</v>
      </c>
      <c r="D203" s="27" t="s">
        <v>230</v>
      </c>
      <c r="E203" s="29">
        <v>38534</v>
      </c>
      <c r="F203" s="27">
        <v>15</v>
      </c>
      <c r="G203" s="18">
        <v>191386.23</v>
      </c>
      <c r="H203" s="27">
        <f t="shared" si="6"/>
        <v>191386.23</v>
      </c>
      <c r="I203" s="18">
        <v>181816.92</v>
      </c>
      <c r="J203" s="27">
        <v>191386.23</v>
      </c>
      <c r="K203" s="18">
        <f t="shared" si="7"/>
        <v>191386.23</v>
      </c>
      <c r="L203" s="27">
        <v>181816.92</v>
      </c>
      <c r="M203" s="36">
        <v>0</v>
      </c>
      <c r="T203" s="41">
        <v>0</v>
      </c>
      <c r="U203" s="41">
        <v>0</v>
      </c>
      <c r="V203" s="42" t="s">
        <v>113</v>
      </c>
      <c r="W203" s="42">
        <v>191386.23</v>
      </c>
      <c r="X203" s="42">
        <v>191386.23</v>
      </c>
    </row>
    <row r="204" spans="1:24">
      <c r="A204" s="27" t="s">
        <v>460</v>
      </c>
      <c r="B204" s="28" t="s">
        <v>215</v>
      </c>
      <c r="C204" s="27" t="s">
        <v>461</v>
      </c>
      <c r="D204" s="27" t="s">
        <v>118</v>
      </c>
      <c r="E204" s="29">
        <v>38534</v>
      </c>
      <c r="F204" s="27">
        <v>15</v>
      </c>
      <c r="G204" s="18">
        <v>880459.21</v>
      </c>
      <c r="H204" s="27">
        <f t="shared" si="6"/>
        <v>880459.21</v>
      </c>
      <c r="I204" s="18">
        <v>836436.25</v>
      </c>
      <c r="J204" s="27">
        <v>880459.21</v>
      </c>
      <c r="K204" s="18">
        <f t="shared" si="7"/>
        <v>880459.21</v>
      </c>
      <c r="L204" s="27">
        <v>836436.25</v>
      </c>
      <c r="M204" s="36">
        <v>0</v>
      </c>
      <c r="T204" s="41">
        <v>0</v>
      </c>
      <c r="U204" s="41">
        <v>0</v>
      </c>
      <c r="V204" s="42" t="s">
        <v>113</v>
      </c>
      <c r="W204" s="42">
        <v>880459.21</v>
      </c>
      <c r="X204" s="42">
        <v>880459.21</v>
      </c>
    </row>
    <row r="205" spans="1:24">
      <c r="A205" s="27" t="s">
        <v>462</v>
      </c>
      <c r="B205" s="28" t="s">
        <v>215</v>
      </c>
      <c r="C205" s="27" t="s">
        <v>463</v>
      </c>
      <c r="D205" s="27" t="s">
        <v>118</v>
      </c>
      <c r="E205" s="29">
        <v>39692</v>
      </c>
      <c r="F205" s="27">
        <v>15</v>
      </c>
      <c r="G205" s="18">
        <v>848379.35</v>
      </c>
      <c r="H205" s="27">
        <f t="shared" si="6"/>
        <v>0</v>
      </c>
      <c r="I205" s="18">
        <v>669043.63</v>
      </c>
      <c r="J205" s="27">
        <v>848379.35</v>
      </c>
      <c r="K205" s="18">
        <f t="shared" si="7"/>
        <v>0</v>
      </c>
      <c r="L205" s="27">
        <v>697868.21</v>
      </c>
      <c r="M205" s="36">
        <v>28824.58</v>
      </c>
      <c r="T205" s="41">
        <v>0</v>
      </c>
      <c r="U205" s="41">
        <v>0</v>
      </c>
      <c r="V205" s="42" t="s">
        <v>113</v>
      </c>
      <c r="W205" s="42">
        <v>0</v>
      </c>
      <c r="X205" s="42">
        <v>0</v>
      </c>
    </row>
    <row r="206" spans="1:24">
      <c r="A206" s="27" t="s">
        <v>464</v>
      </c>
      <c r="B206" s="28" t="s">
        <v>215</v>
      </c>
      <c r="C206" s="27" t="s">
        <v>465</v>
      </c>
      <c r="D206" s="27" t="s">
        <v>220</v>
      </c>
      <c r="E206" s="29">
        <v>39387</v>
      </c>
      <c r="F206" s="27">
        <v>15</v>
      </c>
      <c r="G206" s="18">
        <v>17270.75</v>
      </c>
      <c r="H206" s="27">
        <f t="shared" si="6"/>
        <v>0</v>
      </c>
      <c r="I206" s="18">
        <v>14622.26</v>
      </c>
      <c r="J206" s="27">
        <v>17270.75</v>
      </c>
      <c r="K206" s="18">
        <f t="shared" si="7"/>
        <v>0</v>
      </c>
      <c r="L206" s="27">
        <v>15077.99</v>
      </c>
      <c r="M206" s="36">
        <v>455.73</v>
      </c>
      <c r="T206" s="41">
        <v>0</v>
      </c>
      <c r="U206" s="41">
        <v>0</v>
      </c>
      <c r="V206" s="42" t="s">
        <v>113</v>
      </c>
      <c r="W206" s="42">
        <v>0</v>
      </c>
      <c r="X206" s="42">
        <v>0</v>
      </c>
    </row>
    <row r="207" spans="1:24">
      <c r="A207" s="27" t="s">
        <v>466</v>
      </c>
      <c r="B207" s="28" t="s">
        <v>215</v>
      </c>
      <c r="C207" s="27" t="s">
        <v>467</v>
      </c>
      <c r="D207" s="27" t="s">
        <v>118</v>
      </c>
      <c r="E207" s="29">
        <v>39387</v>
      </c>
      <c r="F207" s="27">
        <v>15</v>
      </c>
      <c r="G207" s="18">
        <v>17270.75</v>
      </c>
      <c r="H207" s="27">
        <f t="shared" si="6"/>
        <v>0</v>
      </c>
      <c r="I207" s="18">
        <v>14622.26</v>
      </c>
      <c r="J207" s="27">
        <v>17270.75</v>
      </c>
      <c r="K207" s="18">
        <f t="shared" si="7"/>
        <v>0</v>
      </c>
      <c r="L207" s="27">
        <v>15077.99</v>
      </c>
      <c r="M207" s="36">
        <v>455.73</v>
      </c>
      <c r="T207" s="41">
        <v>0</v>
      </c>
      <c r="U207" s="41">
        <v>0</v>
      </c>
      <c r="V207" s="42" t="s">
        <v>113</v>
      </c>
      <c r="W207" s="42">
        <v>0</v>
      </c>
      <c r="X207" s="42">
        <v>0</v>
      </c>
    </row>
    <row r="208" spans="1:24">
      <c r="A208" s="27" t="s">
        <v>468</v>
      </c>
      <c r="B208" s="28" t="s">
        <v>215</v>
      </c>
      <c r="C208" s="27" t="s">
        <v>469</v>
      </c>
      <c r="D208" s="27" t="s">
        <v>220</v>
      </c>
      <c r="E208" s="29">
        <v>39387</v>
      </c>
      <c r="F208" s="27">
        <v>15</v>
      </c>
      <c r="G208" s="18">
        <v>6784.94</v>
      </c>
      <c r="H208" s="27">
        <f t="shared" si="6"/>
        <v>0</v>
      </c>
      <c r="I208" s="18">
        <v>5744.47</v>
      </c>
      <c r="J208" s="27">
        <v>6784.94</v>
      </c>
      <c r="K208" s="18">
        <f t="shared" si="7"/>
        <v>0</v>
      </c>
      <c r="L208" s="27">
        <v>5923.5</v>
      </c>
      <c r="M208" s="36">
        <v>179.03</v>
      </c>
      <c r="T208" s="41">
        <v>0</v>
      </c>
      <c r="U208" s="41">
        <v>0</v>
      </c>
      <c r="V208" s="42" t="s">
        <v>113</v>
      </c>
      <c r="W208" s="42">
        <v>0</v>
      </c>
      <c r="X208" s="42">
        <v>0</v>
      </c>
    </row>
    <row r="209" spans="1:24">
      <c r="A209" s="27" t="s">
        <v>470</v>
      </c>
      <c r="B209" s="28" t="s">
        <v>215</v>
      </c>
      <c r="C209" s="27" t="s">
        <v>471</v>
      </c>
      <c r="D209" s="27" t="s">
        <v>220</v>
      </c>
      <c r="E209" s="29">
        <v>39387</v>
      </c>
      <c r="F209" s="27">
        <v>15</v>
      </c>
      <c r="G209" s="18">
        <v>69336.429999999993</v>
      </c>
      <c r="H209" s="27">
        <f t="shared" si="6"/>
        <v>0</v>
      </c>
      <c r="I209" s="18">
        <v>58067.81</v>
      </c>
      <c r="J209" s="27">
        <v>69336.429999999993</v>
      </c>
      <c r="K209" s="18">
        <f t="shared" si="7"/>
        <v>0</v>
      </c>
      <c r="L209" s="27">
        <v>60059.76</v>
      </c>
      <c r="M209" s="36">
        <v>1991.95</v>
      </c>
      <c r="T209" s="41">
        <v>0</v>
      </c>
      <c r="U209" s="41">
        <v>0</v>
      </c>
      <c r="V209" s="42" t="s">
        <v>113</v>
      </c>
      <c r="W209" s="42">
        <v>0</v>
      </c>
      <c r="X209" s="42">
        <v>0</v>
      </c>
    </row>
    <row r="210" spans="1:24">
      <c r="A210" s="27" t="s">
        <v>472</v>
      </c>
      <c r="B210" s="28" t="s">
        <v>215</v>
      </c>
      <c r="C210" s="27" t="s">
        <v>473</v>
      </c>
      <c r="D210" s="27" t="s">
        <v>220</v>
      </c>
      <c r="E210" s="29">
        <v>39387</v>
      </c>
      <c r="F210" s="27">
        <v>15</v>
      </c>
      <c r="G210" s="18">
        <v>470265.54</v>
      </c>
      <c r="H210" s="27">
        <f t="shared" si="6"/>
        <v>0</v>
      </c>
      <c r="I210" s="18">
        <v>390308.44</v>
      </c>
      <c r="J210" s="27">
        <v>470265.54</v>
      </c>
      <c r="K210" s="18">
        <f t="shared" si="7"/>
        <v>0</v>
      </c>
      <c r="L210" s="27">
        <v>404719.63</v>
      </c>
      <c r="M210" s="36">
        <v>14411.19</v>
      </c>
      <c r="T210" s="41">
        <v>0</v>
      </c>
      <c r="U210" s="41">
        <v>0</v>
      </c>
      <c r="V210" s="42" t="s">
        <v>113</v>
      </c>
      <c r="W210" s="42">
        <v>0</v>
      </c>
      <c r="X210" s="42">
        <v>0</v>
      </c>
    </row>
    <row r="211" spans="1:24">
      <c r="A211" s="27" t="s">
        <v>474</v>
      </c>
      <c r="B211" s="28" t="s">
        <v>215</v>
      </c>
      <c r="C211" s="27" t="s">
        <v>475</v>
      </c>
      <c r="D211" s="27" t="s">
        <v>220</v>
      </c>
      <c r="E211" s="29">
        <v>39387</v>
      </c>
      <c r="F211" s="27">
        <v>15</v>
      </c>
      <c r="G211" s="18">
        <v>60447.63</v>
      </c>
      <c r="H211" s="27">
        <f t="shared" si="6"/>
        <v>0</v>
      </c>
      <c r="I211" s="18">
        <v>51177.94</v>
      </c>
      <c r="J211" s="27">
        <v>60447.63</v>
      </c>
      <c r="K211" s="18">
        <f t="shared" si="7"/>
        <v>0</v>
      </c>
      <c r="L211" s="27">
        <v>52773</v>
      </c>
      <c r="M211" s="36">
        <v>1595.06</v>
      </c>
      <c r="T211" s="41">
        <v>0</v>
      </c>
      <c r="U211" s="41">
        <v>0</v>
      </c>
      <c r="V211" s="42" t="s">
        <v>113</v>
      </c>
      <c r="W211" s="42">
        <v>0</v>
      </c>
      <c r="X211" s="42">
        <v>0</v>
      </c>
    </row>
    <row r="212" spans="1:24">
      <c r="A212" s="27" t="s">
        <v>476</v>
      </c>
      <c r="B212" s="28" t="s">
        <v>215</v>
      </c>
      <c r="C212" s="27" t="s">
        <v>477</v>
      </c>
      <c r="D212" s="27" t="s">
        <v>118</v>
      </c>
      <c r="E212" s="29">
        <v>39387</v>
      </c>
      <c r="F212" s="27">
        <v>15</v>
      </c>
      <c r="G212" s="18">
        <v>250699.98</v>
      </c>
      <c r="H212" s="27">
        <f t="shared" si="6"/>
        <v>0</v>
      </c>
      <c r="I212" s="18">
        <v>226189.83</v>
      </c>
      <c r="J212" s="27">
        <v>250699.98</v>
      </c>
      <c r="K212" s="18">
        <f t="shared" si="7"/>
        <v>0</v>
      </c>
      <c r="L212" s="27">
        <v>229247.32</v>
      </c>
      <c r="M212" s="36">
        <v>3057.49</v>
      </c>
      <c r="T212" s="41">
        <v>0</v>
      </c>
      <c r="U212" s="41">
        <v>0</v>
      </c>
      <c r="V212" s="42" t="s">
        <v>113</v>
      </c>
      <c r="W212" s="42">
        <v>0</v>
      </c>
      <c r="X212" s="42">
        <v>0</v>
      </c>
    </row>
    <row r="213" spans="1:24">
      <c r="A213" s="27" t="s">
        <v>478</v>
      </c>
      <c r="B213" s="28" t="s">
        <v>215</v>
      </c>
      <c r="C213" s="27" t="s">
        <v>479</v>
      </c>
      <c r="D213" s="27" t="s">
        <v>230</v>
      </c>
      <c r="E213" s="29">
        <v>39387</v>
      </c>
      <c r="F213" s="27">
        <v>15</v>
      </c>
      <c r="G213" s="18">
        <v>76484.759999999995</v>
      </c>
      <c r="H213" s="27">
        <f t="shared" si="6"/>
        <v>0</v>
      </c>
      <c r="I213" s="18">
        <v>64755.75</v>
      </c>
      <c r="J213" s="27">
        <v>76484.759999999995</v>
      </c>
      <c r="K213" s="18">
        <f t="shared" si="7"/>
        <v>0</v>
      </c>
      <c r="L213" s="27">
        <v>66773.990000000005</v>
      </c>
      <c r="M213" s="36">
        <v>2018.24</v>
      </c>
      <c r="T213" s="41">
        <v>0</v>
      </c>
      <c r="U213" s="41">
        <v>0</v>
      </c>
      <c r="V213" s="42" t="s">
        <v>113</v>
      </c>
      <c r="W213" s="42">
        <v>0</v>
      </c>
      <c r="X213" s="42">
        <v>0</v>
      </c>
    </row>
    <row r="214" spans="1:24">
      <c r="A214" s="27" t="s">
        <v>480</v>
      </c>
      <c r="B214" s="28" t="s">
        <v>215</v>
      </c>
      <c r="C214" s="27" t="s">
        <v>481</v>
      </c>
      <c r="D214" s="27" t="s">
        <v>112</v>
      </c>
      <c r="E214" s="29">
        <v>37226</v>
      </c>
      <c r="F214" s="27">
        <v>15</v>
      </c>
      <c r="G214" s="18">
        <v>82179.149999999994</v>
      </c>
      <c r="H214" s="27">
        <f t="shared" si="6"/>
        <v>82179.149999999994</v>
      </c>
      <c r="I214" s="18">
        <v>78070.19</v>
      </c>
      <c r="J214" s="27">
        <v>82179.149999999994</v>
      </c>
      <c r="K214" s="18">
        <f t="shared" si="7"/>
        <v>82179.149999999994</v>
      </c>
      <c r="L214" s="27">
        <v>78070.19</v>
      </c>
      <c r="M214" s="36">
        <v>0</v>
      </c>
      <c r="T214" s="41">
        <v>0</v>
      </c>
      <c r="U214" s="41">
        <v>0</v>
      </c>
      <c r="V214" s="42" t="s">
        <v>113</v>
      </c>
      <c r="W214" s="42">
        <v>82179.149999999994</v>
      </c>
      <c r="X214" s="42">
        <v>82179.149999999994</v>
      </c>
    </row>
    <row r="215" spans="1:24">
      <c r="A215" s="27" t="s">
        <v>482</v>
      </c>
      <c r="B215" s="28" t="s">
        <v>215</v>
      </c>
      <c r="C215" s="27" t="s">
        <v>483</v>
      </c>
      <c r="D215" s="27" t="s">
        <v>230</v>
      </c>
      <c r="E215" s="29">
        <v>37408</v>
      </c>
      <c r="F215" s="27">
        <v>15</v>
      </c>
      <c r="G215" s="18">
        <v>43946.14</v>
      </c>
      <c r="H215" s="27">
        <f t="shared" si="6"/>
        <v>43946.14</v>
      </c>
      <c r="I215" s="18">
        <v>41748.83</v>
      </c>
      <c r="J215" s="27">
        <v>43946.14</v>
      </c>
      <c r="K215" s="18">
        <f t="shared" si="7"/>
        <v>43946.14</v>
      </c>
      <c r="L215" s="27">
        <v>41748.83</v>
      </c>
      <c r="M215" s="36">
        <v>0</v>
      </c>
      <c r="T215" s="41">
        <v>0</v>
      </c>
      <c r="U215" s="41">
        <v>0</v>
      </c>
      <c r="V215" s="42" t="s">
        <v>113</v>
      </c>
      <c r="W215" s="42">
        <v>43946.14</v>
      </c>
      <c r="X215" s="42">
        <v>43946.14</v>
      </c>
    </row>
    <row r="216" spans="1:24">
      <c r="A216" s="27" t="s">
        <v>484</v>
      </c>
      <c r="B216" s="28" t="s">
        <v>215</v>
      </c>
      <c r="C216" s="27" t="s">
        <v>485</v>
      </c>
      <c r="D216" s="27" t="s">
        <v>112</v>
      </c>
      <c r="E216" s="29">
        <v>39539</v>
      </c>
      <c r="F216" s="27">
        <v>15</v>
      </c>
      <c r="G216" s="18">
        <v>48327.23</v>
      </c>
      <c r="H216" s="27">
        <f t="shared" si="6"/>
        <v>0</v>
      </c>
      <c r="I216" s="18">
        <v>39531.72</v>
      </c>
      <c r="J216" s="27">
        <v>48327.23</v>
      </c>
      <c r="K216" s="18">
        <f t="shared" si="7"/>
        <v>0</v>
      </c>
      <c r="L216" s="27">
        <v>41003.83</v>
      </c>
      <c r="M216" s="36">
        <v>1472.11</v>
      </c>
      <c r="T216" s="41">
        <v>0</v>
      </c>
      <c r="U216" s="41">
        <v>0</v>
      </c>
      <c r="V216" s="42" t="s">
        <v>113</v>
      </c>
      <c r="W216" s="42">
        <v>0</v>
      </c>
      <c r="X216" s="42">
        <v>0</v>
      </c>
    </row>
    <row r="217" spans="1:24">
      <c r="A217" s="27" t="s">
        <v>486</v>
      </c>
      <c r="B217" s="28" t="s">
        <v>215</v>
      </c>
      <c r="C217" s="27" t="s">
        <v>249</v>
      </c>
      <c r="D217" s="27" t="s">
        <v>230</v>
      </c>
      <c r="E217" s="29">
        <v>37226</v>
      </c>
      <c r="F217" s="27">
        <v>15</v>
      </c>
      <c r="G217" s="18">
        <v>61231.97</v>
      </c>
      <c r="H217" s="27">
        <f t="shared" si="6"/>
        <v>61231.97</v>
      </c>
      <c r="I217" s="18">
        <v>58170.37</v>
      </c>
      <c r="J217" s="27">
        <v>61231.97</v>
      </c>
      <c r="K217" s="18">
        <f t="shared" si="7"/>
        <v>61231.97</v>
      </c>
      <c r="L217" s="27">
        <v>58170.37</v>
      </c>
      <c r="M217" s="36">
        <v>0</v>
      </c>
      <c r="T217" s="41">
        <v>0</v>
      </c>
      <c r="U217" s="41">
        <v>0</v>
      </c>
      <c r="V217" s="42" t="s">
        <v>113</v>
      </c>
      <c r="W217" s="42">
        <v>61231.97</v>
      </c>
      <c r="X217" s="42">
        <v>61231.97</v>
      </c>
    </row>
    <row r="218" spans="1:24">
      <c r="A218" s="27" t="s">
        <v>487</v>
      </c>
      <c r="B218" s="28" t="s">
        <v>215</v>
      </c>
      <c r="C218" s="27" t="s">
        <v>488</v>
      </c>
      <c r="D218" s="27" t="s">
        <v>112</v>
      </c>
      <c r="E218" s="29">
        <v>40074</v>
      </c>
      <c r="F218" s="27">
        <v>15</v>
      </c>
      <c r="G218" s="18">
        <v>64188.12</v>
      </c>
      <c r="H218" s="27">
        <f t="shared" si="6"/>
        <v>0</v>
      </c>
      <c r="I218" s="18">
        <v>54884.3</v>
      </c>
      <c r="J218" s="27">
        <v>64188.12</v>
      </c>
      <c r="K218" s="18">
        <f t="shared" si="7"/>
        <v>0</v>
      </c>
      <c r="L218" s="27">
        <v>56407.9</v>
      </c>
      <c r="M218" s="36">
        <v>1523.6</v>
      </c>
      <c r="T218" s="41">
        <v>0</v>
      </c>
      <c r="U218" s="41">
        <v>0</v>
      </c>
      <c r="V218" s="42" t="s">
        <v>113</v>
      </c>
      <c r="W218" s="42">
        <v>0</v>
      </c>
      <c r="X218" s="42">
        <v>0</v>
      </c>
    </row>
    <row r="219" spans="1:24">
      <c r="A219" s="27" t="s">
        <v>489</v>
      </c>
      <c r="B219" s="28" t="s">
        <v>215</v>
      </c>
      <c r="C219" s="27" t="s">
        <v>490</v>
      </c>
      <c r="D219" s="27" t="s">
        <v>112</v>
      </c>
      <c r="E219" s="29">
        <v>40074</v>
      </c>
      <c r="F219" s="27">
        <v>15</v>
      </c>
      <c r="G219" s="18">
        <v>52745.73</v>
      </c>
      <c r="H219" s="27">
        <f t="shared" si="6"/>
        <v>0</v>
      </c>
      <c r="I219" s="18">
        <v>43374.46</v>
      </c>
      <c r="J219" s="27">
        <v>52745.73</v>
      </c>
      <c r="K219" s="18">
        <f t="shared" si="7"/>
        <v>0</v>
      </c>
      <c r="L219" s="27">
        <v>45057.96</v>
      </c>
      <c r="M219" s="36">
        <v>1683.5</v>
      </c>
      <c r="T219" s="41">
        <v>0</v>
      </c>
      <c r="U219" s="41">
        <v>0</v>
      </c>
      <c r="V219" s="42" t="s">
        <v>113</v>
      </c>
      <c r="W219" s="42">
        <v>0</v>
      </c>
      <c r="X219" s="42">
        <v>0</v>
      </c>
    </row>
    <row r="220" spans="1:24">
      <c r="A220" s="27" t="s">
        <v>491</v>
      </c>
      <c r="B220" s="28" t="s">
        <v>215</v>
      </c>
      <c r="C220" s="27" t="s">
        <v>492</v>
      </c>
      <c r="D220" s="27" t="s">
        <v>112</v>
      </c>
      <c r="E220" s="29">
        <v>40074</v>
      </c>
      <c r="F220" s="27">
        <v>15</v>
      </c>
      <c r="G220" s="18">
        <v>52745.73</v>
      </c>
      <c r="H220" s="27">
        <f t="shared" si="6"/>
        <v>0</v>
      </c>
      <c r="I220" s="18">
        <v>43374.46</v>
      </c>
      <c r="J220" s="27">
        <v>52745.73</v>
      </c>
      <c r="K220" s="18">
        <f t="shared" si="7"/>
        <v>0</v>
      </c>
      <c r="L220" s="27">
        <v>45057.96</v>
      </c>
      <c r="M220" s="36">
        <v>1683.5</v>
      </c>
      <c r="T220" s="41">
        <v>0</v>
      </c>
      <c r="U220" s="41">
        <v>0</v>
      </c>
      <c r="V220" s="42" t="s">
        <v>113</v>
      </c>
      <c r="W220" s="42">
        <v>0</v>
      </c>
      <c r="X220" s="42">
        <v>0</v>
      </c>
    </row>
    <row r="221" spans="1:24">
      <c r="A221" s="27" t="s">
        <v>493</v>
      </c>
      <c r="B221" s="28" t="s">
        <v>215</v>
      </c>
      <c r="C221" s="27" t="s">
        <v>494</v>
      </c>
      <c r="D221" s="27" t="s">
        <v>112</v>
      </c>
      <c r="E221" s="29">
        <v>40074</v>
      </c>
      <c r="F221" s="27">
        <v>15</v>
      </c>
      <c r="G221" s="18">
        <v>52745.73</v>
      </c>
      <c r="H221" s="27">
        <f t="shared" si="6"/>
        <v>0</v>
      </c>
      <c r="I221" s="18">
        <v>43374.46</v>
      </c>
      <c r="J221" s="27">
        <v>52745.73</v>
      </c>
      <c r="K221" s="18">
        <f t="shared" si="7"/>
        <v>0</v>
      </c>
      <c r="L221" s="27">
        <v>45057.96</v>
      </c>
      <c r="M221" s="36">
        <v>1683.5</v>
      </c>
      <c r="T221" s="41">
        <v>0</v>
      </c>
      <c r="U221" s="41">
        <v>0</v>
      </c>
      <c r="V221" s="42" t="s">
        <v>113</v>
      </c>
      <c r="W221" s="42">
        <v>0</v>
      </c>
      <c r="X221" s="42">
        <v>0</v>
      </c>
    </row>
    <row r="222" spans="1:24">
      <c r="A222" s="27" t="s">
        <v>495</v>
      </c>
      <c r="B222" s="28" t="s">
        <v>215</v>
      </c>
      <c r="C222" s="27" t="s">
        <v>496</v>
      </c>
      <c r="D222" s="27" t="s">
        <v>112</v>
      </c>
      <c r="E222" s="29">
        <v>40074</v>
      </c>
      <c r="F222" s="27">
        <v>15</v>
      </c>
      <c r="G222" s="18">
        <v>105491.46</v>
      </c>
      <c r="H222" s="27">
        <f t="shared" si="6"/>
        <v>0</v>
      </c>
      <c r="I222" s="18">
        <v>90052.93</v>
      </c>
      <c r="J222" s="27">
        <v>105491.46</v>
      </c>
      <c r="K222" s="18">
        <f t="shared" si="7"/>
        <v>0</v>
      </c>
      <c r="L222" s="27">
        <v>92593.919999999998</v>
      </c>
      <c r="M222" s="36">
        <v>2540.9899999999998</v>
      </c>
      <c r="T222" s="41">
        <v>0</v>
      </c>
      <c r="U222" s="41">
        <v>0</v>
      </c>
      <c r="V222" s="42" t="s">
        <v>113</v>
      </c>
      <c r="W222" s="42">
        <v>0</v>
      </c>
      <c r="X222" s="42">
        <v>0</v>
      </c>
    </row>
    <row r="223" spans="1:24">
      <c r="A223" s="27" t="s">
        <v>497</v>
      </c>
      <c r="B223" s="28" t="s">
        <v>215</v>
      </c>
      <c r="C223" s="27" t="s">
        <v>498</v>
      </c>
      <c r="D223" s="27" t="s">
        <v>112</v>
      </c>
      <c r="E223" s="29">
        <v>40079</v>
      </c>
      <c r="F223" s="27">
        <v>15</v>
      </c>
      <c r="G223" s="18">
        <v>8542.52</v>
      </c>
      <c r="H223" s="27">
        <f t="shared" si="6"/>
        <v>0</v>
      </c>
      <c r="I223" s="18">
        <v>6996.45</v>
      </c>
      <c r="J223" s="27">
        <v>8542.52</v>
      </c>
      <c r="K223" s="18">
        <f t="shared" si="7"/>
        <v>0</v>
      </c>
      <c r="L223" s="27">
        <v>7254.67</v>
      </c>
      <c r="M223" s="36">
        <v>258.22000000000003</v>
      </c>
      <c r="T223" s="41">
        <v>0</v>
      </c>
      <c r="U223" s="41">
        <v>0</v>
      </c>
      <c r="V223" s="42" t="s">
        <v>113</v>
      </c>
      <c r="W223" s="42">
        <v>0</v>
      </c>
      <c r="X223" s="42">
        <v>0</v>
      </c>
    </row>
    <row r="224" spans="1:24">
      <c r="A224" s="27" t="s">
        <v>499</v>
      </c>
      <c r="B224" s="28" t="s">
        <v>215</v>
      </c>
      <c r="C224" s="27" t="s">
        <v>500</v>
      </c>
      <c r="D224" s="27" t="s">
        <v>112</v>
      </c>
      <c r="E224" s="29">
        <v>40079</v>
      </c>
      <c r="F224" s="27">
        <v>15</v>
      </c>
      <c r="G224" s="18">
        <v>8542.52</v>
      </c>
      <c r="H224" s="27">
        <f t="shared" si="6"/>
        <v>0</v>
      </c>
      <c r="I224" s="18">
        <v>6996.45</v>
      </c>
      <c r="J224" s="27">
        <v>8542.52</v>
      </c>
      <c r="K224" s="18">
        <f t="shared" si="7"/>
        <v>0</v>
      </c>
      <c r="L224" s="27">
        <v>7254.67</v>
      </c>
      <c r="M224" s="36">
        <v>258.22000000000003</v>
      </c>
      <c r="T224" s="41">
        <v>0</v>
      </c>
      <c r="U224" s="41">
        <v>0</v>
      </c>
      <c r="V224" s="42" t="s">
        <v>113</v>
      </c>
      <c r="W224" s="42">
        <v>0</v>
      </c>
      <c r="X224" s="42">
        <v>0</v>
      </c>
    </row>
    <row r="225" spans="1:24">
      <c r="A225" s="27" t="s">
        <v>501</v>
      </c>
      <c r="B225" s="28" t="s">
        <v>215</v>
      </c>
      <c r="C225" s="27" t="s">
        <v>502</v>
      </c>
      <c r="D225" s="27" t="s">
        <v>112</v>
      </c>
      <c r="E225" s="29">
        <v>40079</v>
      </c>
      <c r="F225" s="27">
        <v>15</v>
      </c>
      <c r="G225" s="18">
        <v>8542.51</v>
      </c>
      <c r="H225" s="27">
        <f t="shared" si="6"/>
        <v>0</v>
      </c>
      <c r="I225" s="18">
        <v>6996.44</v>
      </c>
      <c r="J225" s="27">
        <v>8542.51</v>
      </c>
      <c r="K225" s="18">
        <f t="shared" si="7"/>
        <v>0</v>
      </c>
      <c r="L225" s="27">
        <v>7254.66</v>
      </c>
      <c r="M225" s="36">
        <v>258.22000000000003</v>
      </c>
      <c r="T225" s="41">
        <v>0</v>
      </c>
      <c r="U225" s="41">
        <v>0</v>
      </c>
      <c r="V225" s="42" t="s">
        <v>113</v>
      </c>
      <c r="W225" s="42">
        <v>0</v>
      </c>
      <c r="X225" s="42">
        <v>0</v>
      </c>
    </row>
    <row r="226" spans="1:24">
      <c r="A226" s="27" t="s">
        <v>503</v>
      </c>
      <c r="B226" s="28" t="s">
        <v>215</v>
      </c>
      <c r="C226" s="27" t="s">
        <v>504</v>
      </c>
      <c r="D226" s="27" t="s">
        <v>112</v>
      </c>
      <c r="E226" s="29">
        <v>40079</v>
      </c>
      <c r="F226" s="27">
        <v>15</v>
      </c>
      <c r="G226" s="18">
        <v>6207.43</v>
      </c>
      <c r="H226" s="27">
        <f t="shared" si="6"/>
        <v>0</v>
      </c>
      <c r="I226" s="18">
        <v>5083.9799999999996</v>
      </c>
      <c r="J226" s="27">
        <v>6207.43</v>
      </c>
      <c r="K226" s="18">
        <f t="shared" si="7"/>
        <v>0</v>
      </c>
      <c r="L226" s="27">
        <v>5271.61</v>
      </c>
      <c r="M226" s="36">
        <v>187.63</v>
      </c>
      <c r="T226" s="41">
        <v>0</v>
      </c>
      <c r="U226" s="41">
        <v>0</v>
      </c>
      <c r="V226" s="42" t="s">
        <v>113</v>
      </c>
      <c r="W226" s="42">
        <v>0</v>
      </c>
      <c r="X226" s="42">
        <v>0</v>
      </c>
    </row>
    <row r="227" spans="1:24">
      <c r="A227" s="27" t="s">
        <v>505</v>
      </c>
      <c r="B227" s="28" t="s">
        <v>215</v>
      </c>
      <c r="C227" s="27" t="s">
        <v>506</v>
      </c>
      <c r="D227" s="27" t="s">
        <v>112</v>
      </c>
      <c r="E227" s="29">
        <v>40079</v>
      </c>
      <c r="F227" s="27">
        <v>15</v>
      </c>
      <c r="G227" s="18">
        <v>6207.43</v>
      </c>
      <c r="H227" s="27">
        <f t="shared" si="6"/>
        <v>0</v>
      </c>
      <c r="I227" s="18">
        <v>5083.9799999999996</v>
      </c>
      <c r="J227" s="27">
        <v>6207.43</v>
      </c>
      <c r="K227" s="18">
        <f t="shared" si="7"/>
        <v>0</v>
      </c>
      <c r="L227" s="27">
        <v>5271.61</v>
      </c>
      <c r="M227" s="36">
        <v>187.63</v>
      </c>
      <c r="T227" s="41">
        <v>0</v>
      </c>
      <c r="U227" s="41">
        <v>0</v>
      </c>
      <c r="V227" s="42" t="s">
        <v>113</v>
      </c>
      <c r="W227" s="42">
        <v>0</v>
      </c>
      <c r="X227" s="42">
        <v>0</v>
      </c>
    </row>
    <row r="228" spans="1:24">
      <c r="A228" s="27" t="s">
        <v>507</v>
      </c>
      <c r="B228" s="28" t="s">
        <v>215</v>
      </c>
      <c r="C228" s="27" t="s">
        <v>508</v>
      </c>
      <c r="D228" s="27" t="s">
        <v>112</v>
      </c>
      <c r="E228" s="29">
        <v>40079</v>
      </c>
      <c r="F228" s="27">
        <v>12</v>
      </c>
      <c r="G228" s="18">
        <v>2069.44</v>
      </c>
      <c r="H228" s="27">
        <f t="shared" si="6"/>
        <v>2069.44</v>
      </c>
      <c r="I228" s="18">
        <v>2069.44</v>
      </c>
      <c r="J228" s="27">
        <v>2069.44</v>
      </c>
      <c r="K228" s="18">
        <f t="shared" si="7"/>
        <v>2069.44</v>
      </c>
      <c r="L228" s="27">
        <v>2069.44</v>
      </c>
      <c r="M228" s="36">
        <v>0</v>
      </c>
      <c r="T228" s="41">
        <v>0</v>
      </c>
      <c r="U228" s="41">
        <v>0</v>
      </c>
      <c r="V228" s="42" t="s">
        <v>113</v>
      </c>
      <c r="W228" s="42">
        <v>2069.44</v>
      </c>
      <c r="X228" s="42">
        <v>2069.44</v>
      </c>
    </row>
    <row r="229" spans="1:24">
      <c r="A229" s="27" t="s">
        <v>509</v>
      </c>
      <c r="B229" s="28" t="s">
        <v>215</v>
      </c>
      <c r="C229" s="27" t="s">
        <v>510</v>
      </c>
      <c r="D229" s="27" t="s">
        <v>230</v>
      </c>
      <c r="E229" s="29">
        <v>40079</v>
      </c>
      <c r="F229" s="27">
        <v>12</v>
      </c>
      <c r="G229" s="18">
        <v>481.49</v>
      </c>
      <c r="H229" s="27">
        <f t="shared" si="6"/>
        <v>481.49</v>
      </c>
      <c r="I229" s="18">
        <v>481.49</v>
      </c>
      <c r="J229" s="27">
        <v>481.49</v>
      </c>
      <c r="K229" s="18">
        <f t="shared" si="7"/>
        <v>481.49</v>
      </c>
      <c r="L229" s="27">
        <v>481.49</v>
      </c>
      <c r="M229" s="36">
        <v>0</v>
      </c>
      <c r="T229" s="41">
        <v>0</v>
      </c>
      <c r="U229" s="41">
        <v>0</v>
      </c>
      <c r="V229" s="42" t="s">
        <v>113</v>
      </c>
      <c r="W229" s="42">
        <v>481.49</v>
      </c>
      <c r="X229" s="42">
        <v>481.49</v>
      </c>
    </row>
    <row r="230" spans="1:24">
      <c r="A230" s="27" t="s">
        <v>511</v>
      </c>
      <c r="B230" s="28" t="s">
        <v>215</v>
      </c>
      <c r="C230" s="27" t="s">
        <v>512</v>
      </c>
      <c r="D230" s="27" t="s">
        <v>230</v>
      </c>
      <c r="E230" s="29">
        <v>40079</v>
      </c>
      <c r="F230" s="27">
        <v>12</v>
      </c>
      <c r="G230" s="18">
        <v>481.49</v>
      </c>
      <c r="H230" s="27">
        <f t="shared" si="6"/>
        <v>481.49</v>
      </c>
      <c r="I230" s="18">
        <v>481.49</v>
      </c>
      <c r="J230" s="27">
        <v>481.49</v>
      </c>
      <c r="K230" s="18">
        <f t="shared" si="7"/>
        <v>481.49</v>
      </c>
      <c r="L230" s="27">
        <v>481.49</v>
      </c>
      <c r="M230" s="36">
        <v>0</v>
      </c>
      <c r="T230" s="41">
        <v>0</v>
      </c>
      <c r="U230" s="41">
        <v>0</v>
      </c>
      <c r="V230" s="42" t="s">
        <v>113</v>
      </c>
      <c r="W230" s="42">
        <v>481.49</v>
      </c>
      <c r="X230" s="42">
        <v>481.49</v>
      </c>
    </row>
    <row r="231" spans="1:24">
      <c r="A231" s="27" t="s">
        <v>513</v>
      </c>
      <c r="B231" s="28" t="s">
        <v>215</v>
      </c>
      <c r="C231" s="27" t="s">
        <v>514</v>
      </c>
      <c r="D231" s="27" t="s">
        <v>118</v>
      </c>
      <c r="E231" s="29">
        <v>40079</v>
      </c>
      <c r="F231" s="27">
        <v>15</v>
      </c>
      <c r="G231" s="18">
        <v>147066.76</v>
      </c>
      <c r="H231" s="27">
        <f t="shared" si="6"/>
        <v>147066.76</v>
      </c>
      <c r="I231" s="18">
        <v>139713.42000000001</v>
      </c>
      <c r="J231" s="27">
        <v>147066.76</v>
      </c>
      <c r="K231" s="18">
        <f t="shared" si="7"/>
        <v>147066.76</v>
      </c>
      <c r="L231" s="27">
        <v>139713.42000000001</v>
      </c>
      <c r="M231" s="36">
        <v>0</v>
      </c>
      <c r="T231" s="41">
        <v>0</v>
      </c>
      <c r="U231" s="41">
        <v>0</v>
      </c>
      <c r="V231" s="42" t="s">
        <v>113</v>
      </c>
      <c r="W231" s="42">
        <v>147066.76</v>
      </c>
      <c r="X231" s="42">
        <v>147066.76</v>
      </c>
    </row>
    <row r="232" spans="1:24">
      <c r="A232" s="27" t="s">
        <v>515</v>
      </c>
      <c r="B232" s="28" t="s">
        <v>215</v>
      </c>
      <c r="C232" s="27" t="s">
        <v>516</v>
      </c>
      <c r="D232" s="27" t="s">
        <v>220</v>
      </c>
      <c r="E232" s="29">
        <v>40079</v>
      </c>
      <c r="F232" s="27">
        <v>12</v>
      </c>
      <c r="G232" s="18">
        <v>2280.73</v>
      </c>
      <c r="H232" s="27">
        <f t="shared" si="6"/>
        <v>2280.73</v>
      </c>
      <c r="I232" s="18">
        <v>2280.73</v>
      </c>
      <c r="J232" s="27">
        <v>2280.73</v>
      </c>
      <c r="K232" s="18">
        <f t="shared" si="7"/>
        <v>2280.73</v>
      </c>
      <c r="L232" s="27">
        <v>2280.73</v>
      </c>
      <c r="M232" s="36">
        <v>0</v>
      </c>
      <c r="T232" s="41">
        <v>0</v>
      </c>
      <c r="U232" s="41">
        <v>0</v>
      </c>
      <c r="V232" s="42" t="s">
        <v>113</v>
      </c>
      <c r="W232" s="42">
        <v>2280.73</v>
      </c>
      <c r="X232" s="42">
        <v>2280.73</v>
      </c>
    </row>
    <row r="233" spans="1:24">
      <c r="A233" s="27" t="s">
        <v>517</v>
      </c>
      <c r="B233" s="28" t="s">
        <v>215</v>
      </c>
      <c r="C233" s="27" t="s">
        <v>518</v>
      </c>
      <c r="D233" s="27" t="s">
        <v>118</v>
      </c>
      <c r="E233" s="29">
        <v>40079</v>
      </c>
      <c r="F233" s="27">
        <v>12</v>
      </c>
      <c r="G233" s="18">
        <v>2360.1</v>
      </c>
      <c r="H233" s="27">
        <f t="shared" si="6"/>
        <v>2360.1</v>
      </c>
      <c r="I233" s="18">
        <v>2360.1</v>
      </c>
      <c r="J233" s="27">
        <v>2360.1</v>
      </c>
      <c r="K233" s="18">
        <f t="shared" si="7"/>
        <v>2360.1</v>
      </c>
      <c r="L233" s="27">
        <v>2360.1</v>
      </c>
      <c r="M233" s="36">
        <v>0</v>
      </c>
      <c r="T233" s="41">
        <v>0</v>
      </c>
      <c r="U233" s="41">
        <v>0</v>
      </c>
      <c r="V233" s="42" t="s">
        <v>113</v>
      </c>
      <c r="W233" s="42">
        <v>2360.1</v>
      </c>
      <c r="X233" s="42">
        <v>2360.1</v>
      </c>
    </row>
    <row r="234" spans="1:24">
      <c r="A234" s="27" t="s">
        <v>519</v>
      </c>
      <c r="B234" s="28" t="s">
        <v>215</v>
      </c>
      <c r="C234" s="27" t="s">
        <v>520</v>
      </c>
      <c r="D234" s="27" t="s">
        <v>118</v>
      </c>
      <c r="E234" s="29">
        <v>40079</v>
      </c>
      <c r="F234" s="27">
        <v>12</v>
      </c>
      <c r="G234" s="18">
        <v>2360.1</v>
      </c>
      <c r="H234" s="27">
        <f t="shared" si="6"/>
        <v>2360.1</v>
      </c>
      <c r="I234" s="18">
        <v>2360.1</v>
      </c>
      <c r="J234" s="27">
        <v>2360.1</v>
      </c>
      <c r="K234" s="18">
        <f t="shared" si="7"/>
        <v>2360.1</v>
      </c>
      <c r="L234" s="27">
        <v>2360.1</v>
      </c>
      <c r="M234" s="36">
        <v>0</v>
      </c>
      <c r="T234" s="41">
        <v>0</v>
      </c>
      <c r="U234" s="41">
        <v>0</v>
      </c>
      <c r="V234" s="42" t="s">
        <v>113</v>
      </c>
      <c r="W234" s="42">
        <v>2360.1</v>
      </c>
      <c r="X234" s="42">
        <v>2360.1</v>
      </c>
    </row>
    <row r="235" spans="1:24">
      <c r="A235" s="27" t="s">
        <v>521</v>
      </c>
      <c r="B235" s="28" t="s">
        <v>215</v>
      </c>
      <c r="C235" s="27" t="s">
        <v>522</v>
      </c>
      <c r="D235" s="27" t="s">
        <v>220</v>
      </c>
      <c r="E235" s="29">
        <v>40079</v>
      </c>
      <c r="F235" s="27">
        <v>15</v>
      </c>
      <c r="G235" s="18">
        <v>85550.9</v>
      </c>
      <c r="H235" s="27">
        <f t="shared" si="6"/>
        <v>0</v>
      </c>
      <c r="I235" s="18">
        <v>80170.12</v>
      </c>
      <c r="J235" s="27">
        <v>85550.9</v>
      </c>
      <c r="K235" s="18">
        <f t="shared" si="7"/>
        <v>85550.9</v>
      </c>
      <c r="L235" s="27">
        <v>80866.899999999994</v>
      </c>
      <c r="M235" s="36">
        <v>696.78</v>
      </c>
      <c r="T235" s="41">
        <v>0</v>
      </c>
      <c r="U235" s="41">
        <v>0</v>
      </c>
      <c r="V235" s="42" t="s">
        <v>113</v>
      </c>
      <c r="W235" s="42">
        <v>85550.9</v>
      </c>
      <c r="X235" s="42">
        <v>85550.9</v>
      </c>
    </row>
    <row r="236" spans="1:24">
      <c r="A236" s="27" t="s">
        <v>523</v>
      </c>
      <c r="B236" s="28" t="s">
        <v>215</v>
      </c>
      <c r="C236" s="27" t="s">
        <v>524</v>
      </c>
      <c r="D236" s="27" t="s">
        <v>220</v>
      </c>
      <c r="E236" s="29">
        <v>40079</v>
      </c>
      <c r="F236" s="27">
        <v>15</v>
      </c>
      <c r="G236" s="18">
        <v>86029.18</v>
      </c>
      <c r="H236" s="27">
        <f t="shared" si="6"/>
        <v>0</v>
      </c>
      <c r="I236" s="18">
        <v>80639.149999999994</v>
      </c>
      <c r="J236" s="27">
        <v>86029.18</v>
      </c>
      <c r="K236" s="18">
        <f t="shared" si="7"/>
        <v>86029.18</v>
      </c>
      <c r="L236" s="27">
        <v>81326.67</v>
      </c>
      <c r="M236" s="36">
        <v>687.52</v>
      </c>
      <c r="T236" s="41">
        <v>0</v>
      </c>
      <c r="U236" s="41">
        <v>0</v>
      </c>
      <c r="V236" s="42" t="s">
        <v>113</v>
      </c>
      <c r="W236" s="42">
        <v>86029.18</v>
      </c>
      <c r="X236" s="42">
        <v>86029.18</v>
      </c>
    </row>
    <row r="237" spans="1:24">
      <c r="A237" s="27" t="s">
        <v>525</v>
      </c>
      <c r="B237" s="28" t="s">
        <v>215</v>
      </c>
      <c r="C237" s="27" t="s">
        <v>526</v>
      </c>
      <c r="D237" s="27" t="s">
        <v>220</v>
      </c>
      <c r="E237" s="29">
        <v>40079</v>
      </c>
      <c r="F237" s="27">
        <v>15</v>
      </c>
      <c r="G237" s="18">
        <v>86029.18</v>
      </c>
      <c r="H237" s="27">
        <f t="shared" si="6"/>
        <v>0</v>
      </c>
      <c r="I237" s="18">
        <v>80639.149999999994</v>
      </c>
      <c r="J237" s="27">
        <v>86029.18</v>
      </c>
      <c r="K237" s="18">
        <f t="shared" si="7"/>
        <v>86029.18</v>
      </c>
      <c r="L237" s="27">
        <v>81326.67</v>
      </c>
      <c r="M237" s="36">
        <v>687.52</v>
      </c>
      <c r="T237" s="41">
        <v>0</v>
      </c>
      <c r="U237" s="41">
        <v>0</v>
      </c>
      <c r="V237" s="42" t="s">
        <v>113</v>
      </c>
      <c r="W237" s="42">
        <v>86029.18</v>
      </c>
      <c r="X237" s="42">
        <v>86029.18</v>
      </c>
    </row>
    <row r="238" spans="1:24">
      <c r="A238" s="27" t="s">
        <v>527</v>
      </c>
      <c r="B238" s="28" t="s">
        <v>215</v>
      </c>
      <c r="C238" s="27" t="s">
        <v>528</v>
      </c>
      <c r="D238" s="27" t="s">
        <v>220</v>
      </c>
      <c r="E238" s="29">
        <v>40079</v>
      </c>
      <c r="F238" s="27">
        <v>15</v>
      </c>
      <c r="G238" s="18">
        <v>86029.18</v>
      </c>
      <c r="H238" s="27">
        <f t="shared" si="6"/>
        <v>0</v>
      </c>
      <c r="I238" s="18">
        <v>80639.149999999994</v>
      </c>
      <c r="J238" s="27">
        <v>86029.18</v>
      </c>
      <c r="K238" s="18">
        <f t="shared" si="7"/>
        <v>86029.18</v>
      </c>
      <c r="L238" s="27">
        <v>81326.67</v>
      </c>
      <c r="M238" s="36">
        <v>687.52</v>
      </c>
      <c r="T238" s="41">
        <v>0</v>
      </c>
      <c r="U238" s="41">
        <v>0</v>
      </c>
      <c r="V238" s="42" t="s">
        <v>113</v>
      </c>
      <c r="W238" s="42">
        <v>86029.18</v>
      </c>
      <c r="X238" s="42">
        <v>86029.18</v>
      </c>
    </row>
    <row r="239" spans="1:24">
      <c r="A239" s="27" t="s">
        <v>529</v>
      </c>
      <c r="B239" s="28" t="s">
        <v>215</v>
      </c>
      <c r="C239" s="27" t="s">
        <v>530</v>
      </c>
      <c r="D239" s="27" t="s">
        <v>118</v>
      </c>
      <c r="E239" s="29">
        <v>40079</v>
      </c>
      <c r="F239" s="27">
        <v>15</v>
      </c>
      <c r="G239" s="18">
        <v>7263.84</v>
      </c>
      <c r="H239" s="27">
        <f t="shared" si="6"/>
        <v>0</v>
      </c>
      <c r="I239" s="18">
        <v>5737.55</v>
      </c>
      <c r="J239" s="27">
        <v>7263.84</v>
      </c>
      <c r="K239" s="18">
        <f t="shared" si="7"/>
        <v>0</v>
      </c>
      <c r="L239" s="27">
        <v>5982.41</v>
      </c>
      <c r="M239" s="36">
        <v>244.86</v>
      </c>
      <c r="T239" s="41">
        <v>0</v>
      </c>
      <c r="U239" s="41">
        <v>0</v>
      </c>
      <c r="V239" s="42" t="s">
        <v>113</v>
      </c>
      <c r="W239" s="42">
        <v>0</v>
      </c>
      <c r="X239" s="42">
        <v>0</v>
      </c>
    </row>
    <row r="240" spans="1:24">
      <c r="A240" s="27" t="s">
        <v>531</v>
      </c>
      <c r="B240" s="28" t="s">
        <v>215</v>
      </c>
      <c r="C240" s="27" t="s">
        <v>532</v>
      </c>
      <c r="D240" s="27" t="s">
        <v>118</v>
      </c>
      <c r="E240" s="29">
        <v>40079</v>
      </c>
      <c r="F240" s="27">
        <v>15</v>
      </c>
      <c r="G240" s="18">
        <v>7263.84</v>
      </c>
      <c r="H240" s="27">
        <f t="shared" si="6"/>
        <v>0</v>
      </c>
      <c r="I240" s="18">
        <v>5737.55</v>
      </c>
      <c r="J240" s="27">
        <v>7263.84</v>
      </c>
      <c r="K240" s="18">
        <f t="shared" si="7"/>
        <v>0</v>
      </c>
      <c r="L240" s="27">
        <v>5982.41</v>
      </c>
      <c r="M240" s="36">
        <v>244.86</v>
      </c>
      <c r="T240" s="41">
        <v>0</v>
      </c>
      <c r="U240" s="41">
        <v>0</v>
      </c>
      <c r="V240" s="42" t="s">
        <v>113</v>
      </c>
      <c r="W240" s="42">
        <v>0</v>
      </c>
      <c r="X240" s="42">
        <v>0</v>
      </c>
    </row>
    <row r="241" spans="1:24">
      <c r="A241" s="27" t="s">
        <v>533</v>
      </c>
      <c r="B241" s="28" t="s">
        <v>215</v>
      </c>
      <c r="C241" s="27" t="s">
        <v>534</v>
      </c>
      <c r="D241" s="27" t="s">
        <v>220</v>
      </c>
      <c r="E241" s="29">
        <v>40079</v>
      </c>
      <c r="F241" s="27">
        <v>15</v>
      </c>
      <c r="G241" s="18">
        <v>104345.06</v>
      </c>
      <c r="H241" s="27">
        <f t="shared" si="6"/>
        <v>104345.06</v>
      </c>
      <c r="I241" s="18">
        <v>99127.81</v>
      </c>
      <c r="J241" s="27">
        <v>104345.06</v>
      </c>
      <c r="K241" s="18">
        <f t="shared" si="7"/>
        <v>104345.06</v>
      </c>
      <c r="L241" s="27">
        <v>99127.81</v>
      </c>
      <c r="M241" s="36">
        <v>0</v>
      </c>
      <c r="T241" s="41">
        <v>0</v>
      </c>
      <c r="U241" s="41">
        <v>0</v>
      </c>
      <c r="V241" s="42" t="s">
        <v>113</v>
      </c>
      <c r="W241" s="42">
        <v>104345.06</v>
      </c>
      <c r="X241" s="42">
        <v>104345.06</v>
      </c>
    </row>
    <row r="242" spans="1:24">
      <c r="A242" s="27" t="s">
        <v>535</v>
      </c>
      <c r="B242" s="28" t="s">
        <v>215</v>
      </c>
      <c r="C242" s="27" t="s">
        <v>536</v>
      </c>
      <c r="D242" s="27" t="s">
        <v>220</v>
      </c>
      <c r="E242" s="29">
        <v>40079</v>
      </c>
      <c r="F242" s="27">
        <v>15</v>
      </c>
      <c r="G242" s="18">
        <v>139866.79999999999</v>
      </c>
      <c r="H242" s="27">
        <f t="shared" si="6"/>
        <v>139866.79999999999</v>
      </c>
      <c r="I242" s="18">
        <v>132873.46</v>
      </c>
      <c r="J242" s="27">
        <v>139866.79999999999</v>
      </c>
      <c r="K242" s="18">
        <f t="shared" si="7"/>
        <v>139866.79999999999</v>
      </c>
      <c r="L242" s="27">
        <v>132873.46</v>
      </c>
      <c r="M242" s="36">
        <v>0</v>
      </c>
      <c r="T242" s="41">
        <v>0</v>
      </c>
      <c r="U242" s="41">
        <v>0</v>
      </c>
      <c r="V242" s="42" t="s">
        <v>113</v>
      </c>
      <c r="W242" s="42">
        <v>139866.79999999999</v>
      </c>
      <c r="X242" s="42">
        <v>139866.79999999999</v>
      </c>
    </row>
    <row r="243" spans="1:24">
      <c r="A243" s="27" t="s">
        <v>537</v>
      </c>
      <c r="B243" s="28" t="s">
        <v>215</v>
      </c>
      <c r="C243" s="27" t="s">
        <v>538</v>
      </c>
      <c r="D243" s="27" t="s">
        <v>118</v>
      </c>
      <c r="E243" s="29">
        <v>40079</v>
      </c>
      <c r="F243" s="27">
        <v>12</v>
      </c>
      <c r="G243" s="18">
        <v>3933.49</v>
      </c>
      <c r="H243" s="27">
        <f t="shared" si="6"/>
        <v>3933.49</v>
      </c>
      <c r="I243" s="18">
        <v>3933.49</v>
      </c>
      <c r="J243" s="27">
        <v>3933.49</v>
      </c>
      <c r="K243" s="18">
        <f t="shared" si="7"/>
        <v>3933.49</v>
      </c>
      <c r="L243" s="27">
        <v>3933.49</v>
      </c>
      <c r="M243" s="36">
        <v>0</v>
      </c>
      <c r="T243" s="41">
        <v>0</v>
      </c>
      <c r="U243" s="41">
        <v>0</v>
      </c>
      <c r="V243" s="42" t="s">
        <v>113</v>
      </c>
      <c r="W243" s="42">
        <v>3933.49</v>
      </c>
      <c r="X243" s="42">
        <v>3933.49</v>
      </c>
    </row>
    <row r="244" spans="1:24">
      <c r="A244" s="27" t="s">
        <v>539</v>
      </c>
      <c r="B244" s="28" t="s">
        <v>215</v>
      </c>
      <c r="C244" s="27" t="s">
        <v>540</v>
      </c>
      <c r="D244" s="27" t="s">
        <v>118</v>
      </c>
      <c r="E244" s="29">
        <v>40079</v>
      </c>
      <c r="F244" s="27">
        <v>12</v>
      </c>
      <c r="G244" s="18">
        <v>3933.49</v>
      </c>
      <c r="H244" s="27">
        <f t="shared" si="6"/>
        <v>3933.49</v>
      </c>
      <c r="I244" s="18">
        <v>3933.49</v>
      </c>
      <c r="J244" s="27">
        <v>3933.49</v>
      </c>
      <c r="K244" s="18">
        <f t="shared" si="7"/>
        <v>3933.49</v>
      </c>
      <c r="L244" s="27">
        <v>3933.49</v>
      </c>
      <c r="M244" s="36">
        <v>0</v>
      </c>
      <c r="T244" s="41">
        <v>0</v>
      </c>
      <c r="U244" s="41">
        <v>0</v>
      </c>
      <c r="V244" s="42" t="s">
        <v>113</v>
      </c>
      <c r="W244" s="42">
        <v>3933.49</v>
      </c>
      <c r="X244" s="42">
        <v>3933.49</v>
      </c>
    </row>
    <row r="245" spans="1:24">
      <c r="A245" s="27" t="s">
        <v>541</v>
      </c>
      <c r="B245" s="28" t="s">
        <v>215</v>
      </c>
      <c r="C245" s="27" t="s">
        <v>542</v>
      </c>
      <c r="D245" s="27" t="s">
        <v>220</v>
      </c>
      <c r="E245" s="29">
        <v>40079</v>
      </c>
      <c r="F245" s="27">
        <v>15</v>
      </c>
      <c r="G245" s="18">
        <v>128211.22</v>
      </c>
      <c r="H245" s="27">
        <f t="shared" si="6"/>
        <v>128211.22</v>
      </c>
      <c r="I245" s="18">
        <v>121800.66</v>
      </c>
      <c r="J245" s="27">
        <v>128211.22</v>
      </c>
      <c r="K245" s="18">
        <f t="shared" si="7"/>
        <v>128211.22</v>
      </c>
      <c r="L245" s="27">
        <v>121800.66</v>
      </c>
      <c r="M245" s="36">
        <v>0</v>
      </c>
      <c r="T245" s="41">
        <v>0</v>
      </c>
      <c r="U245" s="41">
        <v>0</v>
      </c>
      <c r="V245" s="42" t="s">
        <v>113</v>
      </c>
      <c r="W245" s="42">
        <v>128211.22</v>
      </c>
      <c r="X245" s="42">
        <v>128211.22</v>
      </c>
    </row>
    <row r="246" spans="1:24">
      <c r="A246" s="27" t="s">
        <v>543</v>
      </c>
      <c r="B246" s="28" t="s">
        <v>215</v>
      </c>
      <c r="C246" s="27" t="s">
        <v>544</v>
      </c>
      <c r="D246" s="27" t="s">
        <v>220</v>
      </c>
      <c r="E246" s="29">
        <v>40079</v>
      </c>
      <c r="F246" s="27">
        <v>15</v>
      </c>
      <c r="G246" s="18">
        <v>128211.22</v>
      </c>
      <c r="H246" s="27">
        <f t="shared" si="6"/>
        <v>128211.22</v>
      </c>
      <c r="I246" s="18">
        <v>121800.66</v>
      </c>
      <c r="J246" s="27">
        <v>128211.22</v>
      </c>
      <c r="K246" s="18">
        <f t="shared" si="7"/>
        <v>128211.22</v>
      </c>
      <c r="L246" s="27">
        <v>121800.66</v>
      </c>
      <c r="M246" s="36">
        <v>0</v>
      </c>
      <c r="T246" s="41">
        <v>0</v>
      </c>
      <c r="U246" s="41">
        <v>0</v>
      </c>
      <c r="V246" s="42" t="s">
        <v>113</v>
      </c>
      <c r="W246" s="42">
        <v>128211.22</v>
      </c>
      <c r="X246" s="42">
        <v>128211.22</v>
      </c>
    </row>
    <row r="247" spans="1:24">
      <c r="A247" s="27" t="s">
        <v>545</v>
      </c>
      <c r="B247" s="28" t="s">
        <v>215</v>
      </c>
      <c r="C247" s="27" t="s">
        <v>546</v>
      </c>
      <c r="D247" s="27" t="s">
        <v>220</v>
      </c>
      <c r="E247" s="29">
        <v>40079</v>
      </c>
      <c r="F247" s="27">
        <v>15</v>
      </c>
      <c r="G247" s="18">
        <v>99627.33</v>
      </c>
      <c r="H247" s="27">
        <f t="shared" si="6"/>
        <v>99627.33</v>
      </c>
      <c r="I247" s="18">
        <v>94645.96</v>
      </c>
      <c r="J247" s="27">
        <v>99627.33</v>
      </c>
      <c r="K247" s="18">
        <f t="shared" si="7"/>
        <v>99627.33</v>
      </c>
      <c r="L247" s="27">
        <v>94645.96</v>
      </c>
      <c r="M247" s="36">
        <v>0</v>
      </c>
      <c r="T247" s="41">
        <v>0</v>
      </c>
      <c r="U247" s="41">
        <v>0</v>
      </c>
      <c r="V247" s="42" t="s">
        <v>113</v>
      </c>
      <c r="W247" s="42">
        <v>99627.33</v>
      </c>
      <c r="X247" s="42">
        <v>99627.33</v>
      </c>
    </row>
    <row r="248" spans="1:24">
      <c r="A248" s="27" t="s">
        <v>547</v>
      </c>
      <c r="B248" s="28" t="s">
        <v>215</v>
      </c>
      <c r="C248" s="27" t="s">
        <v>548</v>
      </c>
      <c r="D248" s="27" t="s">
        <v>220</v>
      </c>
      <c r="E248" s="29">
        <v>40079</v>
      </c>
      <c r="F248" s="27">
        <v>15</v>
      </c>
      <c r="G248" s="18">
        <v>136054.66</v>
      </c>
      <c r="H248" s="27">
        <f t="shared" si="6"/>
        <v>136054.66</v>
      </c>
      <c r="I248" s="18">
        <v>129251.93</v>
      </c>
      <c r="J248" s="27">
        <v>136054.66</v>
      </c>
      <c r="K248" s="18">
        <f t="shared" si="7"/>
        <v>136054.66</v>
      </c>
      <c r="L248" s="27">
        <v>129251.93</v>
      </c>
      <c r="M248" s="36">
        <v>0</v>
      </c>
      <c r="T248" s="41">
        <v>0</v>
      </c>
      <c r="U248" s="41">
        <v>0</v>
      </c>
      <c r="V248" s="42" t="s">
        <v>113</v>
      </c>
      <c r="W248" s="42">
        <v>136054.66</v>
      </c>
      <c r="X248" s="42">
        <v>136054.66</v>
      </c>
    </row>
    <row r="249" spans="1:24">
      <c r="A249" s="27" t="s">
        <v>549</v>
      </c>
      <c r="B249" s="28" t="s">
        <v>215</v>
      </c>
      <c r="C249" s="27" t="s">
        <v>550</v>
      </c>
      <c r="D249" s="27" t="s">
        <v>220</v>
      </c>
      <c r="E249" s="29">
        <v>40079</v>
      </c>
      <c r="F249" s="27">
        <v>15</v>
      </c>
      <c r="G249" s="18">
        <v>128211.22</v>
      </c>
      <c r="H249" s="27">
        <f t="shared" si="6"/>
        <v>128211.22</v>
      </c>
      <c r="I249" s="18">
        <v>121800.66</v>
      </c>
      <c r="J249" s="27">
        <v>128211.22</v>
      </c>
      <c r="K249" s="18">
        <f t="shared" si="7"/>
        <v>128211.22</v>
      </c>
      <c r="L249" s="27">
        <v>121800.66</v>
      </c>
      <c r="M249" s="36">
        <v>0</v>
      </c>
      <c r="T249" s="41">
        <v>0</v>
      </c>
      <c r="U249" s="41">
        <v>0</v>
      </c>
      <c r="V249" s="42" t="s">
        <v>113</v>
      </c>
      <c r="W249" s="42">
        <v>128211.22</v>
      </c>
      <c r="X249" s="42">
        <v>128211.22</v>
      </c>
    </row>
    <row r="250" spans="1:24">
      <c r="A250" s="27" t="s">
        <v>551</v>
      </c>
      <c r="B250" s="28" t="s">
        <v>215</v>
      </c>
      <c r="C250" s="27" t="s">
        <v>552</v>
      </c>
      <c r="D250" s="27" t="s">
        <v>220</v>
      </c>
      <c r="E250" s="29">
        <v>40079</v>
      </c>
      <c r="F250" s="27">
        <v>15</v>
      </c>
      <c r="G250" s="18">
        <v>117388.22</v>
      </c>
      <c r="H250" s="27">
        <f t="shared" si="6"/>
        <v>117388.22</v>
      </c>
      <c r="I250" s="18">
        <v>111518.81</v>
      </c>
      <c r="J250" s="27">
        <v>117388.22</v>
      </c>
      <c r="K250" s="18">
        <f t="shared" si="7"/>
        <v>117388.22</v>
      </c>
      <c r="L250" s="27">
        <v>111518.81</v>
      </c>
      <c r="M250" s="36">
        <v>0</v>
      </c>
      <c r="T250" s="41">
        <v>0</v>
      </c>
      <c r="U250" s="41">
        <v>0</v>
      </c>
      <c r="V250" s="42" t="s">
        <v>113</v>
      </c>
      <c r="W250" s="42">
        <v>117388.22</v>
      </c>
      <c r="X250" s="42">
        <v>117388.22</v>
      </c>
    </row>
    <row r="251" spans="1:24">
      <c r="A251" s="27" t="s">
        <v>553</v>
      </c>
      <c r="B251" s="28" t="s">
        <v>215</v>
      </c>
      <c r="C251" s="27" t="s">
        <v>554</v>
      </c>
      <c r="D251" s="27" t="s">
        <v>112</v>
      </c>
      <c r="E251" s="29">
        <v>40079</v>
      </c>
      <c r="F251" s="27">
        <v>15</v>
      </c>
      <c r="G251" s="18">
        <v>5113.54</v>
      </c>
      <c r="H251" s="27">
        <f t="shared" si="6"/>
        <v>0</v>
      </c>
      <c r="I251" s="18">
        <v>4039.08</v>
      </c>
      <c r="J251" s="27">
        <v>5113.54</v>
      </c>
      <c r="K251" s="18">
        <f t="shared" si="7"/>
        <v>0</v>
      </c>
      <c r="L251" s="27">
        <v>4211.45</v>
      </c>
      <c r="M251" s="36">
        <v>172.37</v>
      </c>
      <c r="T251" s="41">
        <v>0</v>
      </c>
      <c r="U251" s="41">
        <v>0</v>
      </c>
      <c r="V251" s="42" t="s">
        <v>113</v>
      </c>
      <c r="W251" s="42">
        <v>0</v>
      </c>
      <c r="X251" s="42">
        <v>0</v>
      </c>
    </row>
    <row r="252" spans="1:24">
      <c r="A252" s="27" t="s">
        <v>555</v>
      </c>
      <c r="B252" s="28" t="s">
        <v>215</v>
      </c>
      <c r="C252" s="27" t="s">
        <v>556</v>
      </c>
      <c r="D252" s="27" t="s">
        <v>112</v>
      </c>
      <c r="E252" s="29">
        <v>40079</v>
      </c>
      <c r="F252" s="27">
        <v>15</v>
      </c>
      <c r="G252" s="18">
        <v>5113.53</v>
      </c>
      <c r="H252" s="27">
        <f t="shared" si="6"/>
        <v>0</v>
      </c>
      <c r="I252" s="18">
        <v>4039.07</v>
      </c>
      <c r="J252" s="27">
        <v>5113.53</v>
      </c>
      <c r="K252" s="18">
        <f t="shared" si="7"/>
        <v>0</v>
      </c>
      <c r="L252" s="27">
        <v>4211.4399999999996</v>
      </c>
      <c r="M252" s="36">
        <v>172.37</v>
      </c>
      <c r="T252" s="41">
        <v>0</v>
      </c>
      <c r="U252" s="41">
        <v>0</v>
      </c>
      <c r="V252" s="42" t="s">
        <v>113</v>
      </c>
      <c r="W252" s="42">
        <v>0</v>
      </c>
      <c r="X252" s="42">
        <v>0</v>
      </c>
    </row>
    <row r="253" spans="1:24">
      <c r="A253" s="27" t="s">
        <v>557</v>
      </c>
      <c r="B253" s="28" t="s">
        <v>215</v>
      </c>
      <c r="C253" s="27" t="s">
        <v>558</v>
      </c>
      <c r="D253" s="27" t="s">
        <v>112</v>
      </c>
      <c r="E253" s="29">
        <v>40079</v>
      </c>
      <c r="F253" s="27">
        <v>12</v>
      </c>
      <c r="G253" s="18">
        <v>2177.4899999999998</v>
      </c>
      <c r="H253" s="27">
        <f t="shared" si="6"/>
        <v>2177.4899999999998</v>
      </c>
      <c r="I253" s="18">
        <v>2177.4899999999998</v>
      </c>
      <c r="J253" s="27">
        <v>2177.4899999999998</v>
      </c>
      <c r="K253" s="18">
        <f t="shared" si="7"/>
        <v>2177.4899999999998</v>
      </c>
      <c r="L253" s="27">
        <v>2177.4899999999998</v>
      </c>
      <c r="M253" s="36">
        <v>0</v>
      </c>
      <c r="T253" s="41">
        <v>0</v>
      </c>
      <c r="U253" s="41">
        <v>0</v>
      </c>
      <c r="V253" s="42" t="s">
        <v>113</v>
      </c>
      <c r="W253" s="42">
        <v>2177.4899999999998</v>
      </c>
      <c r="X253" s="42">
        <v>2177.4899999999998</v>
      </c>
    </row>
    <row r="254" spans="1:24">
      <c r="A254" s="27" t="s">
        <v>559</v>
      </c>
      <c r="B254" s="28" t="s">
        <v>215</v>
      </c>
      <c r="C254" s="27" t="s">
        <v>560</v>
      </c>
      <c r="D254" s="27" t="s">
        <v>112</v>
      </c>
      <c r="E254" s="29">
        <v>40079</v>
      </c>
      <c r="F254" s="27">
        <v>12</v>
      </c>
      <c r="G254" s="18">
        <v>2177.4899999999998</v>
      </c>
      <c r="H254" s="27">
        <f t="shared" si="6"/>
        <v>2177.4899999999998</v>
      </c>
      <c r="I254" s="18">
        <v>2177.4899999999998</v>
      </c>
      <c r="J254" s="27">
        <v>2177.4899999999998</v>
      </c>
      <c r="K254" s="18">
        <f t="shared" si="7"/>
        <v>2177.4899999999998</v>
      </c>
      <c r="L254" s="27">
        <v>2177.4899999999998</v>
      </c>
      <c r="M254" s="36">
        <v>0</v>
      </c>
      <c r="T254" s="41">
        <v>0</v>
      </c>
      <c r="U254" s="41">
        <v>0</v>
      </c>
      <c r="V254" s="42" t="s">
        <v>113</v>
      </c>
      <c r="W254" s="42">
        <v>2177.4899999999998</v>
      </c>
      <c r="X254" s="42">
        <v>2177.4899999999998</v>
      </c>
    </row>
    <row r="255" spans="1:24">
      <c r="A255" s="27" t="s">
        <v>561</v>
      </c>
      <c r="B255" s="28" t="s">
        <v>215</v>
      </c>
      <c r="C255" s="27" t="s">
        <v>562</v>
      </c>
      <c r="D255" s="27" t="s">
        <v>112</v>
      </c>
      <c r="E255" s="29">
        <v>40079</v>
      </c>
      <c r="F255" s="27">
        <v>12</v>
      </c>
      <c r="G255" s="18">
        <v>2177.4899999999998</v>
      </c>
      <c r="H255" s="27">
        <f t="shared" si="6"/>
        <v>2177.4899999999998</v>
      </c>
      <c r="I255" s="18">
        <v>2177.4899999999998</v>
      </c>
      <c r="J255" s="27">
        <v>2177.4899999999998</v>
      </c>
      <c r="K255" s="18">
        <f t="shared" si="7"/>
        <v>2177.4899999999998</v>
      </c>
      <c r="L255" s="27">
        <v>2177.4899999999998</v>
      </c>
      <c r="M255" s="36">
        <v>0</v>
      </c>
      <c r="T255" s="41">
        <v>0</v>
      </c>
      <c r="U255" s="41">
        <v>0</v>
      </c>
      <c r="V255" s="42" t="s">
        <v>113</v>
      </c>
      <c r="W255" s="42">
        <v>2177.4899999999998</v>
      </c>
      <c r="X255" s="42">
        <v>2177.4899999999998</v>
      </c>
    </row>
    <row r="256" spans="1:24">
      <c r="A256" s="27" t="s">
        <v>563</v>
      </c>
      <c r="B256" s="28" t="s">
        <v>215</v>
      </c>
      <c r="C256" s="27" t="s">
        <v>564</v>
      </c>
      <c r="D256" s="27" t="s">
        <v>112</v>
      </c>
      <c r="E256" s="29">
        <v>40079</v>
      </c>
      <c r="F256" s="27">
        <v>12</v>
      </c>
      <c r="G256" s="18">
        <v>2177.4899999999998</v>
      </c>
      <c r="H256" s="27">
        <f t="shared" si="6"/>
        <v>2177.4899999999998</v>
      </c>
      <c r="I256" s="18">
        <v>2177.4899999999998</v>
      </c>
      <c r="J256" s="27">
        <v>2177.4899999999998</v>
      </c>
      <c r="K256" s="18">
        <f t="shared" si="7"/>
        <v>2177.4899999999998</v>
      </c>
      <c r="L256" s="27">
        <v>2177.4899999999998</v>
      </c>
      <c r="M256" s="36">
        <v>0</v>
      </c>
      <c r="T256" s="41">
        <v>0</v>
      </c>
      <c r="U256" s="41">
        <v>0</v>
      </c>
      <c r="V256" s="42" t="s">
        <v>113</v>
      </c>
      <c r="W256" s="42">
        <v>2177.4899999999998</v>
      </c>
      <c r="X256" s="42">
        <v>2177.4899999999998</v>
      </c>
    </row>
    <row r="257" spans="1:24">
      <c r="A257" s="27" t="s">
        <v>565</v>
      </c>
      <c r="B257" s="28" t="s">
        <v>215</v>
      </c>
      <c r="C257" s="27" t="s">
        <v>566</v>
      </c>
      <c r="D257" s="27" t="s">
        <v>112</v>
      </c>
      <c r="E257" s="29">
        <v>40079</v>
      </c>
      <c r="F257" s="27">
        <v>12</v>
      </c>
      <c r="G257" s="18">
        <v>2177.4899999999998</v>
      </c>
      <c r="H257" s="27">
        <f t="shared" si="6"/>
        <v>2177.4899999999998</v>
      </c>
      <c r="I257" s="18">
        <v>2177.4899999999998</v>
      </c>
      <c r="J257" s="27">
        <v>2177.4899999999998</v>
      </c>
      <c r="K257" s="18">
        <f t="shared" si="7"/>
        <v>2177.4899999999998</v>
      </c>
      <c r="L257" s="27">
        <v>2177.4899999999998</v>
      </c>
      <c r="M257" s="36">
        <v>0</v>
      </c>
      <c r="T257" s="41">
        <v>0</v>
      </c>
      <c r="U257" s="41">
        <v>0</v>
      </c>
      <c r="V257" s="42" t="s">
        <v>113</v>
      </c>
      <c r="W257" s="42">
        <v>2177.4899999999998</v>
      </c>
      <c r="X257" s="42">
        <v>2177.4899999999998</v>
      </c>
    </row>
    <row r="258" spans="1:24">
      <c r="A258" s="27" t="s">
        <v>567</v>
      </c>
      <c r="B258" s="28" t="s">
        <v>215</v>
      </c>
      <c r="C258" s="27" t="s">
        <v>568</v>
      </c>
      <c r="D258" s="27" t="s">
        <v>112</v>
      </c>
      <c r="E258" s="29">
        <v>40079</v>
      </c>
      <c r="F258" s="27">
        <v>12</v>
      </c>
      <c r="G258" s="18">
        <v>2177.5</v>
      </c>
      <c r="H258" s="27">
        <f t="shared" si="6"/>
        <v>2177.5</v>
      </c>
      <c r="I258" s="18">
        <v>2177.5</v>
      </c>
      <c r="J258" s="27">
        <v>2177.5</v>
      </c>
      <c r="K258" s="18">
        <f t="shared" si="7"/>
        <v>2177.5</v>
      </c>
      <c r="L258" s="27">
        <v>2177.5</v>
      </c>
      <c r="M258" s="36">
        <v>0</v>
      </c>
      <c r="T258" s="41">
        <v>0</v>
      </c>
      <c r="U258" s="41">
        <v>0</v>
      </c>
      <c r="V258" s="42" t="s">
        <v>113</v>
      </c>
      <c r="W258" s="42">
        <v>2177.5</v>
      </c>
      <c r="X258" s="42">
        <v>2177.5</v>
      </c>
    </row>
    <row r="259" spans="1:24">
      <c r="A259" s="27" t="s">
        <v>569</v>
      </c>
      <c r="B259" s="28" t="s">
        <v>215</v>
      </c>
      <c r="C259" s="27" t="s">
        <v>570</v>
      </c>
      <c r="D259" s="27" t="s">
        <v>118</v>
      </c>
      <c r="E259" s="29">
        <v>40079</v>
      </c>
      <c r="F259" s="27">
        <v>15</v>
      </c>
      <c r="G259" s="18">
        <v>133699.85</v>
      </c>
      <c r="H259" s="27">
        <f t="shared" si="6"/>
        <v>0</v>
      </c>
      <c r="I259" s="18">
        <v>100039.91</v>
      </c>
      <c r="J259" s="27">
        <v>133699.85</v>
      </c>
      <c r="K259" s="18">
        <f t="shared" si="7"/>
        <v>0</v>
      </c>
      <c r="L259" s="27">
        <v>105718.85</v>
      </c>
      <c r="M259" s="36">
        <v>5678.94</v>
      </c>
      <c r="T259" s="41">
        <v>0</v>
      </c>
      <c r="U259" s="41">
        <v>0</v>
      </c>
      <c r="V259" s="42" t="s">
        <v>113</v>
      </c>
      <c r="W259" s="42">
        <v>0</v>
      </c>
      <c r="X259" s="42">
        <v>0</v>
      </c>
    </row>
    <row r="260" spans="1:24">
      <c r="A260" s="27" t="s">
        <v>571</v>
      </c>
      <c r="B260" s="28" t="s">
        <v>215</v>
      </c>
      <c r="C260" s="27" t="s">
        <v>572</v>
      </c>
      <c r="D260" s="27" t="s">
        <v>118</v>
      </c>
      <c r="E260" s="29">
        <v>40079</v>
      </c>
      <c r="F260" s="27">
        <v>15</v>
      </c>
      <c r="G260" s="18">
        <v>148399.81</v>
      </c>
      <c r="H260" s="27">
        <f t="shared" si="6"/>
        <v>0</v>
      </c>
      <c r="I260" s="18">
        <v>111663.32</v>
      </c>
      <c r="J260" s="27">
        <v>148399.81</v>
      </c>
      <c r="K260" s="18">
        <f t="shared" si="7"/>
        <v>0</v>
      </c>
      <c r="L260" s="27">
        <v>117835.21</v>
      </c>
      <c r="M260" s="36">
        <v>6171.89</v>
      </c>
      <c r="T260" s="41">
        <v>0</v>
      </c>
      <c r="U260" s="41">
        <v>0</v>
      </c>
      <c r="V260" s="42" t="s">
        <v>113</v>
      </c>
      <c r="W260" s="42">
        <v>0</v>
      </c>
      <c r="X260" s="42">
        <v>0</v>
      </c>
    </row>
    <row r="261" spans="1:24">
      <c r="A261" s="27" t="s">
        <v>573</v>
      </c>
      <c r="B261" s="28" t="s">
        <v>215</v>
      </c>
      <c r="C261" s="27" t="s">
        <v>574</v>
      </c>
      <c r="D261" s="27" t="s">
        <v>118</v>
      </c>
      <c r="E261" s="29">
        <v>40079</v>
      </c>
      <c r="F261" s="27">
        <v>15</v>
      </c>
      <c r="G261" s="18">
        <v>148399.81</v>
      </c>
      <c r="H261" s="27">
        <f t="shared" si="6"/>
        <v>0</v>
      </c>
      <c r="I261" s="18">
        <v>111663.32</v>
      </c>
      <c r="J261" s="27">
        <v>148399.81</v>
      </c>
      <c r="K261" s="18">
        <f t="shared" si="7"/>
        <v>0</v>
      </c>
      <c r="L261" s="27">
        <v>117835.21</v>
      </c>
      <c r="M261" s="36">
        <v>6171.89</v>
      </c>
      <c r="T261" s="41">
        <v>0</v>
      </c>
      <c r="U261" s="41">
        <v>0</v>
      </c>
      <c r="V261" s="42" t="s">
        <v>113</v>
      </c>
      <c r="W261" s="42">
        <v>0</v>
      </c>
      <c r="X261" s="42">
        <v>0</v>
      </c>
    </row>
    <row r="262" spans="1:24">
      <c r="A262" s="27" t="s">
        <v>575</v>
      </c>
      <c r="B262" s="28" t="s">
        <v>215</v>
      </c>
      <c r="C262" s="27" t="s">
        <v>576</v>
      </c>
      <c r="D262" s="27" t="s">
        <v>220</v>
      </c>
      <c r="E262" s="29">
        <v>40079</v>
      </c>
      <c r="F262" s="27">
        <v>15</v>
      </c>
      <c r="G262" s="18">
        <v>71043.44</v>
      </c>
      <c r="H262" s="27">
        <f t="shared" ref="H262:H325" si="8">IFERROR(IF(ROUND((G262-I262)/G262,2)&lt;=0.05,G262,0),0)</f>
        <v>71043.44</v>
      </c>
      <c r="I262" s="18">
        <v>67491.27</v>
      </c>
      <c r="J262" s="27">
        <v>71043.44</v>
      </c>
      <c r="K262" s="18">
        <f t="shared" ref="K262:K325" si="9">IFERROR(IF(ROUND((J262-L262)/J262,2)&lt;=0.05,J262,0),0)</f>
        <v>71043.44</v>
      </c>
      <c r="L262" s="27">
        <v>67491.27</v>
      </c>
      <c r="M262" s="36">
        <v>0</v>
      </c>
      <c r="T262" s="41">
        <v>0</v>
      </c>
      <c r="U262" s="41">
        <v>0</v>
      </c>
      <c r="V262" s="42" t="s">
        <v>113</v>
      </c>
      <c r="W262" s="42">
        <v>71043.44</v>
      </c>
      <c r="X262" s="42">
        <v>71043.44</v>
      </c>
    </row>
    <row r="263" spans="1:24">
      <c r="A263" s="27" t="s">
        <v>577</v>
      </c>
      <c r="B263" s="28" t="s">
        <v>215</v>
      </c>
      <c r="C263" s="27" t="s">
        <v>578</v>
      </c>
      <c r="D263" s="27" t="s">
        <v>118</v>
      </c>
      <c r="E263" s="29">
        <v>40079</v>
      </c>
      <c r="F263" s="27">
        <v>15</v>
      </c>
      <c r="G263" s="18">
        <v>148399.81</v>
      </c>
      <c r="H263" s="27">
        <f t="shared" si="8"/>
        <v>0</v>
      </c>
      <c r="I263" s="18">
        <v>111663.32</v>
      </c>
      <c r="J263" s="27">
        <v>148399.81</v>
      </c>
      <c r="K263" s="18">
        <f t="shared" si="9"/>
        <v>0</v>
      </c>
      <c r="L263" s="27">
        <v>117835.21</v>
      </c>
      <c r="M263" s="36">
        <v>6171.89</v>
      </c>
      <c r="T263" s="41">
        <v>0</v>
      </c>
      <c r="U263" s="41">
        <v>0</v>
      </c>
      <c r="V263" s="42" t="s">
        <v>113</v>
      </c>
      <c r="W263" s="42">
        <v>0</v>
      </c>
      <c r="X263" s="42">
        <v>0</v>
      </c>
    </row>
    <row r="264" spans="1:24">
      <c r="A264" s="27" t="s">
        <v>579</v>
      </c>
      <c r="B264" s="28" t="s">
        <v>215</v>
      </c>
      <c r="C264" s="27" t="s">
        <v>580</v>
      </c>
      <c r="D264" s="27" t="s">
        <v>220</v>
      </c>
      <c r="E264" s="29">
        <v>40079</v>
      </c>
      <c r="F264" s="27">
        <v>15</v>
      </c>
      <c r="G264" s="18">
        <v>47043.44</v>
      </c>
      <c r="H264" s="27">
        <f t="shared" si="8"/>
        <v>47043.44</v>
      </c>
      <c r="I264" s="18">
        <v>44691.27</v>
      </c>
      <c r="J264" s="27">
        <v>47043.44</v>
      </c>
      <c r="K264" s="18">
        <f t="shared" si="9"/>
        <v>47043.44</v>
      </c>
      <c r="L264" s="27">
        <v>44691.27</v>
      </c>
      <c r="M264" s="36">
        <v>0</v>
      </c>
      <c r="T264" s="41">
        <v>0</v>
      </c>
      <c r="U264" s="41">
        <v>0</v>
      </c>
      <c r="V264" s="42" t="s">
        <v>113</v>
      </c>
      <c r="W264" s="42">
        <v>47043.44</v>
      </c>
      <c r="X264" s="42">
        <v>47043.44</v>
      </c>
    </row>
    <row r="265" spans="1:24">
      <c r="A265" s="27" t="s">
        <v>581</v>
      </c>
      <c r="B265" s="28" t="s">
        <v>215</v>
      </c>
      <c r="C265" s="27" t="s">
        <v>582</v>
      </c>
      <c r="D265" s="27" t="s">
        <v>118</v>
      </c>
      <c r="E265" s="29">
        <v>40079</v>
      </c>
      <c r="F265" s="27">
        <v>15</v>
      </c>
      <c r="G265" s="18">
        <v>148399.81</v>
      </c>
      <c r="H265" s="27">
        <f t="shared" si="8"/>
        <v>0</v>
      </c>
      <c r="I265" s="18">
        <v>111663.32</v>
      </c>
      <c r="J265" s="27">
        <v>148399.81</v>
      </c>
      <c r="K265" s="18">
        <f t="shared" si="9"/>
        <v>0</v>
      </c>
      <c r="L265" s="27">
        <v>117835.21</v>
      </c>
      <c r="M265" s="36">
        <v>6171.89</v>
      </c>
      <c r="T265" s="41">
        <v>0</v>
      </c>
      <c r="U265" s="41">
        <v>0</v>
      </c>
      <c r="V265" s="42" t="s">
        <v>113</v>
      </c>
      <c r="W265" s="42">
        <v>0</v>
      </c>
      <c r="X265" s="42">
        <v>0</v>
      </c>
    </row>
    <row r="266" spans="1:24">
      <c r="A266" s="27" t="s">
        <v>583</v>
      </c>
      <c r="B266" s="28" t="s">
        <v>215</v>
      </c>
      <c r="C266" s="27" t="s">
        <v>584</v>
      </c>
      <c r="D266" s="27" t="s">
        <v>118</v>
      </c>
      <c r="E266" s="29">
        <v>40079</v>
      </c>
      <c r="F266" s="27">
        <v>15</v>
      </c>
      <c r="G266" s="18">
        <v>34090.239999999998</v>
      </c>
      <c r="H266" s="27">
        <f t="shared" si="8"/>
        <v>0</v>
      </c>
      <c r="I266" s="18">
        <v>26927.16</v>
      </c>
      <c r="J266" s="27">
        <v>34090.239999999998</v>
      </c>
      <c r="K266" s="18">
        <f t="shared" si="9"/>
        <v>0</v>
      </c>
      <c r="L266" s="27">
        <v>28076.33</v>
      </c>
      <c r="M266" s="36">
        <v>1149.17</v>
      </c>
      <c r="T266" s="41">
        <v>0</v>
      </c>
      <c r="U266" s="41">
        <v>0</v>
      </c>
      <c r="V266" s="42" t="s">
        <v>113</v>
      </c>
      <c r="W266" s="42">
        <v>0</v>
      </c>
      <c r="X266" s="42">
        <v>0</v>
      </c>
    </row>
    <row r="267" spans="1:24">
      <c r="A267" s="27" t="s">
        <v>585</v>
      </c>
      <c r="B267" s="28" t="s">
        <v>215</v>
      </c>
      <c r="C267" s="27" t="s">
        <v>586</v>
      </c>
      <c r="D267" s="27" t="s">
        <v>118</v>
      </c>
      <c r="E267" s="29">
        <v>40079</v>
      </c>
      <c r="F267" s="27">
        <v>15</v>
      </c>
      <c r="G267" s="18">
        <v>34090.239999999998</v>
      </c>
      <c r="H267" s="27">
        <f t="shared" si="8"/>
        <v>0</v>
      </c>
      <c r="I267" s="18">
        <v>26927.16</v>
      </c>
      <c r="J267" s="27">
        <v>34090.239999999998</v>
      </c>
      <c r="K267" s="18">
        <f t="shared" si="9"/>
        <v>0</v>
      </c>
      <c r="L267" s="27">
        <v>28076.33</v>
      </c>
      <c r="M267" s="36">
        <v>1149.17</v>
      </c>
      <c r="T267" s="41">
        <v>0</v>
      </c>
      <c r="U267" s="41">
        <v>0</v>
      </c>
      <c r="V267" s="42" t="s">
        <v>113</v>
      </c>
      <c r="W267" s="42">
        <v>0</v>
      </c>
      <c r="X267" s="42">
        <v>0</v>
      </c>
    </row>
    <row r="268" spans="1:24">
      <c r="A268" s="27" t="s">
        <v>587</v>
      </c>
      <c r="B268" s="28" t="s">
        <v>215</v>
      </c>
      <c r="C268" s="27" t="s">
        <v>588</v>
      </c>
      <c r="D268" s="27" t="s">
        <v>118</v>
      </c>
      <c r="E268" s="29">
        <v>40079</v>
      </c>
      <c r="F268" s="27">
        <v>15</v>
      </c>
      <c r="G268" s="18">
        <v>34090.239999999998</v>
      </c>
      <c r="H268" s="27">
        <f t="shared" si="8"/>
        <v>0</v>
      </c>
      <c r="I268" s="18">
        <v>26927.16</v>
      </c>
      <c r="J268" s="27">
        <v>34090.239999999998</v>
      </c>
      <c r="K268" s="18">
        <f t="shared" si="9"/>
        <v>0</v>
      </c>
      <c r="L268" s="27">
        <v>28076.33</v>
      </c>
      <c r="M268" s="36">
        <v>1149.17</v>
      </c>
      <c r="T268" s="41">
        <v>0</v>
      </c>
      <c r="U268" s="41">
        <v>0</v>
      </c>
      <c r="V268" s="42" t="s">
        <v>113</v>
      </c>
      <c r="W268" s="42">
        <v>0</v>
      </c>
      <c r="X268" s="42">
        <v>0</v>
      </c>
    </row>
    <row r="269" spans="1:24">
      <c r="A269" s="27" t="s">
        <v>589</v>
      </c>
      <c r="B269" s="28" t="s">
        <v>215</v>
      </c>
      <c r="C269" s="27" t="s">
        <v>590</v>
      </c>
      <c r="D269" s="27" t="s">
        <v>118</v>
      </c>
      <c r="E269" s="29">
        <v>40079</v>
      </c>
      <c r="F269" s="27">
        <v>15</v>
      </c>
      <c r="G269" s="18">
        <v>34090.239999999998</v>
      </c>
      <c r="H269" s="27">
        <f t="shared" si="8"/>
        <v>0</v>
      </c>
      <c r="I269" s="18">
        <v>26927.16</v>
      </c>
      <c r="J269" s="27">
        <v>34090.239999999998</v>
      </c>
      <c r="K269" s="18">
        <f t="shared" si="9"/>
        <v>0</v>
      </c>
      <c r="L269" s="27">
        <v>28076.33</v>
      </c>
      <c r="M269" s="36">
        <v>1149.17</v>
      </c>
      <c r="T269" s="41">
        <v>0</v>
      </c>
      <c r="U269" s="41">
        <v>0</v>
      </c>
      <c r="V269" s="42" t="s">
        <v>113</v>
      </c>
      <c r="W269" s="42">
        <v>0</v>
      </c>
      <c r="X269" s="42">
        <v>0</v>
      </c>
    </row>
    <row r="270" spans="1:24">
      <c r="A270" s="27" t="s">
        <v>591</v>
      </c>
      <c r="B270" s="28" t="s">
        <v>215</v>
      </c>
      <c r="C270" s="27" t="s">
        <v>592</v>
      </c>
      <c r="D270" s="27" t="s">
        <v>118</v>
      </c>
      <c r="E270" s="29">
        <v>40079</v>
      </c>
      <c r="F270" s="27">
        <v>15</v>
      </c>
      <c r="G270" s="18">
        <v>34090.239999999998</v>
      </c>
      <c r="H270" s="27">
        <f t="shared" si="8"/>
        <v>0</v>
      </c>
      <c r="I270" s="18">
        <v>26927.16</v>
      </c>
      <c r="J270" s="27">
        <v>34090.239999999998</v>
      </c>
      <c r="K270" s="18">
        <f t="shared" si="9"/>
        <v>0</v>
      </c>
      <c r="L270" s="27">
        <v>28076.33</v>
      </c>
      <c r="M270" s="36">
        <v>1149.17</v>
      </c>
      <c r="T270" s="41">
        <v>0</v>
      </c>
      <c r="U270" s="41">
        <v>0</v>
      </c>
      <c r="V270" s="42" t="s">
        <v>113</v>
      </c>
      <c r="W270" s="42">
        <v>0</v>
      </c>
      <c r="X270" s="42">
        <v>0</v>
      </c>
    </row>
    <row r="271" spans="1:24">
      <c r="A271" s="27" t="s">
        <v>593</v>
      </c>
      <c r="B271" s="28" t="s">
        <v>215</v>
      </c>
      <c r="C271" s="27" t="s">
        <v>594</v>
      </c>
      <c r="D271" s="27" t="s">
        <v>118</v>
      </c>
      <c r="E271" s="29">
        <v>40079</v>
      </c>
      <c r="F271" s="27">
        <v>15</v>
      </c>
      <c r="G271" s="18">
        <v>34090.230000000003</v>
      </c>
      <c r="H271" s="27">
        <f t="shared" si="8"/>
        <v>0</v>
      </c>
      <c r="I271" s="18">
        <v>26927.15</v>
      </c>
      <c r="J271" s="27">
        <v>34090.230000000003</v>
      </c>
      <c r="K271" s="18">
        <f t="shared" si="9"/>
        <v>0</v>
      </c>
      <c r="L271" s="27">
        <v>28076.32</v>
      </c>
      <c r="M271" s="36">
        <v>1149.17</v>
      </c>
      <c r="T271" s="41">
        <v>0</v>
      </c>
      <c r="U271" s="41">
        <v>0</v>
      </c>
      <c r="V271" s="42" t="s">
        <v>113</v>
      </c>
      <c r="W271" s="42">
        <v>0</v>
      </c>
      <c r="X271" s="42">
        <v>0</v>
      </c>
    </row>
    <row r="272" spans="1:24">
      <c r="A272" s="27" t="s">
        <v>595</v>
      </c>
      <c r="B272" s="28" t="s">
        <v>215</v>
      </c>
      <c r="C272" s="27" t="s">
        <v>596</v>
      </c>
      <c r="D272" s="27" t="s">
        <v>220</v>
      </c>
      <c r="E272" s="29">
        <v>40079</v>
      </c>
      <c r="F272" s="27">
        <v>15</v>
      </c>
      <c r="G272" s="18">
        <v>106565.16</v>
      </c>
      <c r="H272" s="27">
        <f t="shared" si="8"/>
        <v>106565.16</v>
      </c>
      <c r="I272" s="18">
        <v>101236.9</v>
      </c>
      <c r="J272" s="27">
        <v>106565.16</v>
      </c>
      <c r="K272" s="18">
        <f t="shared" si="9"/>
        <v>106565.16</v>
      </c>
      <c r="L272" s="27">
        <v>101236.9</v>
      </c>
      <c r="M272" s="36">
        <v>0</v>
      </c>
      <c r="T272" s="41">
        <v>0</v>
      </c>
      <c r="U272" s="41">
        <v>0</v>
      </c>
      <c r="V272" s="42" t="s">
        <v>113</v>
      </c>
      <c r="W272" s="42">
        <v>106565.16</v>
      </c>
      <c r="X272" s="42">
        <v>106565.16</v>
      </c>
    </row>
    <row r="273" spans="1:24">
      <c r="A273" s="27" t="s">
        <v>597</v>
      </c>
      <c r="B273" s="28" t="s">
        <v>215</v>
      </c>
      <c r="C273" s="27" t="s">
        <v>598</v>
      </c>
      <c r="D273" s="27" t="s">
        <v>220</v>
      </c>
      <c r="E273" s="29">
        <v>40079</v>
      </c>
      <c r="F273" s="27">
        <v>15</v>
      </c>
      <c r="G273" s="18">
        <v>135149.04999999999</v>
      </c>
      <c r="H273" s="27">
        <f t="shared" si="8"/>
        <v>135149.04999999999</v>
      </c>
      <c r="I273" s="18">
        <v>128391.6</v>
      </c>
      <c r="J273" s="27">
        <v>135149.04999999999</v>
      </c>
      <c r="K273" s="18">
        <f t="shared" si="9"/>
        <v>135149.04999999999</v>
      </c>
      <c r="L273" s="27">
        <v>128391.6</v>
      </c>
      <c r="M273" s="36">
        <v>0</v>
      </c>
      <c r="T273" s="41">
        <v>0</v>
      </c>
      <c r="U273" s="41">
        <v>0</v>
      </c>
      <c r="V273" s="42" t="s">
        <v>113</v>
      </c>
      <c r="W273" s="42">
        <v>135149.04999999999</v>
      </c>
      <c r="X273" s="42">
        <v>135149.04999999999</v>
      </c>
    </row>
    <row r="274" spans="1:24">
      <c r="A274" s="27" t="s">
        <v>599</v>
      </c>
      <c r="B274" s="28" t="s">
        <v>215</v>
      </c>
      <c r="C274" s="27" t="s">
        <v>600</v>
      </c>
      <c r="D274" s="27" t="s">
        <v>220</v>
      </c>
      <c r="E274" s="29">
        <v>40079</v>
      </c>
      <c r="F274" s="27">
        <v>15</v>
      </c>
      <c r="G274" s="18">
        <v>117388.25</v>
      </c>
      <c r="H274" s="27">
        <f t="shared" si="8"/>
        <v>117388.25</v>
      </c>
      <c r="I274" s="18">
        <v>111518.84</v>
      </c>
      <c r="J274" s="27">
        <v>117388.25</v>
      </c>
      <c r="K274" s="18">
        <f t="shared" si="9"/>
        <v>117388.25</v>
      </c>
      <c r="L274" s="27">
        <v>111518.84</v>
      </c>
      <c r="M274" s="36">
        <v>0</v>
      </c>
      <c r="T274" s="41">
        <v>0</v>
      </c>
      <c r="U274" s="41">
        <v>0</v>
      </c>
      <c r="V274" s="42" t="s">
        <v>113</v>
      </c>
      <c r="W274" s="42">
        <v>117388.25</v>
      </c>
      <c r="X274" s="42">
        <v>117388.25</v>
      </c>
    </row>
    <row r="275" spans="1:24">
      <c r="A275" s="27" t="s">
        <v>601</v>
      </c>
      <c r="B275" s="28" t="s">
        <v>215</v>
      </c>
      <c r="C275" s="27" t="s">
        <v>602</v>
      </c>
      <c r="D275" s="27" t="s">
        <v>220</v>
      </c>
      <c r="E275" s="29">
        <v>40079</v>
      </c>
      <c r="F275" s="27">
        <v>15</v>
      </c>
      <c r="G275" s="18">
        <v>51617.5</v>
      </c>
      <c r="H275" s="27">
        <f t="shared" si="8"/>
        <v>51617.5</v>
      </c>
      <c r="I275" s="18">
        <v>49036.62</v>
      </c>
      <c r="J275" s="27">
        <v>51617.5</v>
      </c>
      <c r="K275" s="18">
        <f t="shared" si="9"/>
        <v>51617.5</v>
      </c>
      <c r="L275" s="27">
        <v>49036.62</v>
      </c>
      <c r="M275" s="36">
        <v>0</v>
      </c>
      <c r="T275" s="41">
        <v>0</v>
      </c>
      <c r="U275" s="41">
        <v>0</v>
      </c>
      <c r="V275" s="42" t="s">
        <v>113</v>
      </c>
      <c r="W275" s="42">
        <v>51617.5</v>
      </c>
      <c r="X275" s="42">
        <v>51617.5</v>
      </c>
    </row>
    <row r="276" spans="1:24">
      <c r="A276" s="27" t="s">
        <v>603</v>
      </c>
      <c r="B276" s="28" t="s">
        <v>215</v>
      </c>
      <c r="C276" s="27" t="s">
        <v>604</v>
      </c>
      <c r="D276" s="27" t="s">
        <v>220</v>
      </c>
      <c r="E276" s="29">
        <v>40079</v>
      </c>
      <c r="F276" s="27">
        <v>15</v>
      </c>
      <c r="G276" s="18">
        <v>51617.5</v>
      </c>
      <c r="H276" s="27">
        <f t="shared" si="8"/>
        <v>51617.5</v>
      </c>
      <c r="I276" s="18">
        <v>49036.62</v>
      </c>
      <c r="J276" s="27">
        <v>51617.5</v>
      </c>
      <c r="K276" s="18">
        <f t="shared" si="9"/>
        <v>51617.5</v>
      </c>
      <c r="L276" s="27">
        <v>49036.62</v>
      </c>
      <c r="M276" s="36">
        <v>0</v>
      </c>
      <c r="T276" s="41">
        <v>0</v>
      </c>
      <c r="U276" s="41">
        <v>0</v>
      </c>
      <c r="V276" s="42" t="s">
        <v>113</v>
      </c>
      <c r="W276" s="42">
        <v>51617.5</v>
      </c>
      <c r="X276" s="42">
        <v>51617.5</v>
      </c>
    </row>
    <row r="277" spans="1:24">
      <c r="A277" s="27" t="s">
        <v>605</v>
      </c>
      <c r="B277" s="28" t="s">
        <v>215</v>
      </c>
      <c r="C277" s="27" t="s">
        <v>606</v>
      </c>
      <c r="D277" s="27" t="s">
        <v>220</v>
      </c>
      <c r="E277" s="29">
        <v>40079</v>
      </c>
      <c r="F277" s="27">
        <v>15</v>
      </c>
      <c r="G277" s="18">
        <v>51617.5</v>
      </c>
      <c r="H277" s="27">
        <f t="shared" si="8"/>
        <v>51617.5</v>
      </c>
      <c r="I277" s="18">
        <v>49036.62</v>
      </c>
      <c r="J277" s="27">
        <v>51617.5</v>
      </c>
      <c r="K277" s="18">
        <f t="shared" si="9"/>
        <v>51617.5</v>
      </c>
      <c r="L277" s="27">
        <v>49036.62</v>
      </c>
      <c r="M277" s="36">
        <v>0</v>
      </c>
      <c r="T277" s="41">
        <v>0</v>
      </c>
      <c r="U277" s="41">
        <v>0</v>
      </c>
      <c r="V277" s="42" t="s">
        <v>113</v>
      </c>
      <c r="W277" s="42">
        <v>51617.5</v>
      </c>
      <c r="X277" s="42">
        <v>51617.5</v>
      </c>
    </row>
    <row r="278" spans="1:24">
      <c r="A278" s="27" t="s">
        <v>607</v>
      </c>
      <c r="B278" s="28" t="s">
        <v>215</v>
      </c>
      <c r="C278" s="27" t="s">
        <v>608</v>
      </c>
      <c r="D278" s="27" t="s">
        <v>220</v>
      </c>
      <c r="E278" s="29">
        <v>40079</v>
      </c>
      <c r="F278" s="27">
        <v>15</v>
      </c>
      <c r="G278" s="18">
        <v>51617.52</v>
      </c>
      <c r="H278" s="27">
        <f t="shared" si="8"/>
        <v>51617.52</v>
      </c>
      <c r="I278" s="18">
        <v>49036.639999999999</v>
      </c>
      <c r="J278" s="27">
        <v>51617.52</v>
      </c>
      <c r="K278" s="18">
        <f t="shared" si="9"/>
        <v>51617.52</v>
      </c>
      <c r="L278" s="27">
        <v>49036.639999999999</v>
      </c>
      <c r="M278" s="36">
        <v>0</v>
      </c>
      <c r="T278" s="41">
        <v>0</v>
      </c>
      <c r="U278" s="41">
        <v>0</v>
      </c>
      <c r="V278" s="42" t="s">
        <v>113</v>
      </c>
      <c r="W278" s="42">
        <v>51617.52</v>
      </c>
      <c r="X278" s="42">
        <v>51617.52</v>
      </c>
    </row>
    <row r="279" spans="1:24">
      <c r="A279" s="27" t="s">
        <v>609</v>
      </c>
      <c r="B279" s="28" t="s">
        <v>215</v>
      </c>
      <c r="C279" s="27" t="s">
        <v>610</v>
      </c>
      <c r="D279" s="27" t="s">
        <v>220</v>
      </c>
      <c r="E279" s="29">
        <v>40080</v>
      </c>
      <c r="F279" s="27">
        <v>15</v>
      </c>
      <c r="G279" s="18">
        <v>50784.959999999999</v>
      </c>
      <c r="H279" s="27">
        <f t="shared" si="8"/>
        <v>50784.959999999999</v>
      </c>
      <c r="I279" s="18">
        <v>48245.71</v>
      </c>
      <c r="J279" s="27">
        <v>50784.959999999999</v>
      </c>
      <c r="K279" s="18">
        <f t="shared" si="9"/>
        <v>50784.959999999999</v>
      </c>
      <c r="L279" s="27">
        <v>48245.71</v>
      </c>
      <c r="M279" s="36">
        <v>0</v>
      </c>
      <c r="T279" s="41">
        <v>0</v>
      </c>
      <c r="U279" s="41">
        <v>0</v>
      </c>
      <c r="V279" s="42" t="s">
        <v>113</v>
      </c>
      <c r="W279" s="42">
        <v>50784.959999999999</v>
      </c>
      <c r="X279" s="42">
        <v>50784.959999999999</v>
      </c>
    </row>
    <row r="280" spans="1:24">
      <c r="A280" s="27" t="s">
        <v>611</v>
      </c>
      <c r="B280" s="28" t="s">
        <v>215</v>
      </c>
      <c r="C280" s="27" t="s">
        <v>612</v>
      </c>
      <c r="D280" s="27" t="s">
        <v>220</v>
      </c>
      <c r="E280" s="29">
        <v>40080</v>
      </c>
      <c r="F280" s="27">
        <v>15</v>
      </c>
      <c r="G280" s="18">
        <v>50784.959999999999</v>
      </c>
      <c r="H280" s="27">
        <f t="shared" si="8"/>
        <v>50784.959999999999</v>
      </c>
      <c r="I280" s="18">
        <v>48245.71</v>
      </c>
      <c r="J280" s="27">
        <v>50784.959999999999</v>
      </c>
      <c r="K280" s="18">
        <f t="shared" si="9"/>
        <v>50784.959999999999</v>
      </c>
      <c r="L280" s="27">
        <v>48245.71</v>
      </c>
      <c r="M280" s="36">
        <v>0</v>
      </c>
      <c r="T280" s="41">
        <v>0</v>
      </c>
      <c r="U280" s="41">
        <v>0</v>
      </c>
      <c r="V280" s="42" t="s">
        <v>113</v>
      </c>
      <c r="W280" s="42">
        <v>50784.959999999999</v>
      </c>
      <c r="X280" s="42">
        <v>50784.959999999999</v>
      </c>
    </row>
    <row r="281" spans="1:24">
      <c r="A281" s="27" t="s">
        <v>613</v>
      </c>
      <c r="B281" s="28" t="s">
        <v>215</v>
      </c>
      <c r="C281" s="27" t="s">
        <v>614</v>
      </c>
      <c r="D281" s="27" t="s">
        <v>220</v>
      </c>
      <c r="E281" s="29">
        <v>40080</v>
      </c>
      <c r="F281" s="27">
        <v>15</v>
      </c>
      <c r="G281" s="18">
        <v>50784.959999999999</v>
      </c>
      <c r="H281" s="27">
        <f t="shared" si="8"/>
        <v>50784.959999999999</v>
      </c>
      <c r="I281" s="18">
        <v>48245.71</v>
      </c>
      <c r="J281" s="27">
        <v>50784.959999999999</v>
      </c>
      <c r="K281" s="18">
        <f t="shared" si="9"/>
        <v>50784.959999999999</v>
      </c>
      <c r="L281" s="27">
        <v>48245.71</v>
      </c>
      <c r="M281" s="36">
        <v>0</v>
      </c>
      <c r="T281" s="41">
        <v>0</v>
      </c>
      <c r="U281" s="41">
        <v>0</v>
      </c>
      <c r="V281" s="42" t="s">
        <v>113</v>
      </c>
      <c r="W281" s="42">
        <v>50784.959999999999</v>
      </c>
      <c r="X281" s="42">
        <v>50784.959999999999</v>
      </c>
    </row>
    <row r="282" spans="1:24">
      <c r="A282" s="27" t="s">
        <v>615</v>
      </c>
      <c r="B282" s="28" t="s">
        <v>215</v>
      </c>
      <c r="C282" s="27" t="s">
        <v>616</v>
      </c>
      <c r="D282" s="27" t="s">
        <v>220</v>
      </c>
      <c r="E282" s="29">
        <v>40080</v>
      </c>
      <c r="F282" s="27">
        <v>15</v>
      </c>
      <c r="G282" s="18">
        <v>50784.959999999999</v>
      </c>
      <c r="H282" s="27">
        <f t="shared" si="8"/>
        <v>50784.959999999999</v>
      </c>
      <c r="I282" s="18">
        <v>48245.71</v>
      </c>
      <c r="J282" s="27">
        <v>50784.959999999999</v>
      </c>
      <c r="K282" s="18">
        <f t="shared" si="9"/>
        <v>50784.959999999999</v>
      </c>
      <c r="L282" s="27">
        <v>48245.71</v>
      </c>
      <c r="M282" s="36">
        <v>0</v>
      </c>
      <c r="T282" s="41">
        <v>0</v>
      </c>
      <c r="U282" s="41">
        <v>0</v>
      </c>
      <c r="V282" s="42" t="s">
        <v>113</v>
      </c>
      <c r="W282" s="42">
        <v>50784.959999999999</v>
      </c>
      <c r="X282" s="42">
        <v>50784.959999999999</v>
      </c>
    </row>
    <row r="283" spans="1:24">
      <c r="A283" s="27" t="s">
        <v>617</v>
      </c>
      <c r="B283" s="28" t="s">
        <v>215</v>
      </c>
      <c r="C283" s="27" t="s">
        <v>618</v>
      </c>
      <c r="D283" s="27" t="s">
        <v>220</v>
      </c>
      <c r="E283" s="29">
        <v>40080</v>
      </c>
      <c r="F283" s="27">
        <v>15</v>
      </c>
      <c r="G283" s="18">
        <v>50784.959999999999</v>
      </c>
      <c r="H283" s="27">
        <f t="shared" si="8"/>
        <v>50784.959999999999</v>
      </c>
      <c r="I283" s="18">
        <v>48245.71</v>
      </c>
      <c r="J283" s="27">
        <v>50784.959999999999</v>
      </c>
      <c r="K283" s="18">
        <f t="shared" si="9"/>
        <v>50784.959999999999</v>
      </c>
      <c r="L283" s="27">
        <v>48245.71</v>
      </c>
      <c r="M283" s="36">
        <v>0</v>
      </c>
      <c r="T283" s="41">
        <v>0</v>
      </c>
      <c r="U283" s="41">
        <v>0</v>
      </c>
      <c r="V283" s="42" t="s">
        <v>113</v>
      </c>
      <c r="W283" s="42">
        <v>50784.959999999999</v>
      </c>
      <c r="X283" s="42">
        <v>50784.959999999999</v>
      </c>
    </row>
    <row r="284" spans="1:24">
      <c r="A284" s="27" t="s">
        <v>619</v>
      </c>
      <c r="B284" s="28" t="s">
        <v>215</v>
      </c>
      <c r="C284" s="27" t="s">
        <v>620</v>
      </c>
      <c r="D284" s="27" t="s">
        <v>220</v>
      </c>
      <c r="E284" s="29">
        <v>40080</v>
      </c>
      <c r="F284" s="27">
        <v>15</v>
      </c>
      <c r="G284" s="18">
        <v>50784.99</v>
      </c>
      <c r="H284" s="27">
        <f t="shared" si="8"/>
        <v>50784.99</v>
      </c>
      <c r="I284" s="18">
        <v>48245.74</v>
      </c>
      <c r="J284" s="27">
        <v>50784.99</v>
      </c>
      <c r="K284" s="18">
        <f t="shared" si="9"/>
        <v>50784.99</v>
      </c>
      <c r="L284" s="27">
        <v>48245.74</v>
      </c>
      <c r="M284" s="36">
        <v>0</v>
      </c>
      <c r="T284" s="41">
        <v>0</v>
      </c>
      <c r="U284" s="41">
        <v>0</v>
      </c>
      <c r="V284" s="42" t="s">
        <v>113</v>
      </c>
      <c r="W284" s="42">
        <v>50784.99</v>
      </c>
      <c r="X284" s="42">
        <v>50784.99</v>
      </c>
    </row>
    <row r="285" spans="1:24">
      <c r="A285" s="27" t="s">
        <v>621</v>
      </c>
      <c r="B285" s="28" t="s">
        <v>215</v>
      </c>
      <c r="C285" s="27" t="s">
        <v>622</v>
      </c>
      <c r="D285" s="27" t="s">
        <v>118</v>
      </c>
      <c r="E285" s="29">
        <v>40080</v>
      </c>
      <c r="F285" s="27">
        <v>15</v>
      </c>
      <c r="G285" s="18">
        <v>38023.730000000003</v>
      </c>
      <c r="H285" s="27">
        <f t="shared" si="8"/>
        <v>0</v>
      </c>
      <c r="I285" s="18">
        <v>30034.14</v>
      </c>
      <c r="J285" s="27">
        <v>38023.730000000003</v>
      </c>
      <c r="K285" s="18">
        <f t="shared" si="9"/>
        <v>0</v>
      </c>
      <c r="L285" s="27">
        <v>31315.91</v>
      </c>
      <c r="M285" s="36">
        <v>1281.77</v>
      </c>
      <c r="T285" s="41">
        <v>0</v>
      </c>
      <c r="U285" s="41">
        <v>0</v>
      </c>
      <c r="V285" s="42" t="s">
        <v>113</v>
      </c>
      <c r="W285" s="42">
        <v>0</v>
      </c>
      <c r="X285" s="42">
        <v>0</v>
      </c>
    </row>
    <row r="286" spans="1:24">
      <c r="A286" s="27" t="s">
        <v>623</v>
      </c>
      <c r="B286" s="28" t="s">
        <v>215</v>
      </c>
      <c r="C286" s="27" t="s">
        <v>624</v>
      </c>
      <c r="D286" s="27" t="s">
        <v>118</v>
      </c>
      <c r="E286" s="29">
        <v>40080</v>
      </c>
      <c r="F286" s="27">
        <v>15</v>
      </c>
      <c r="G286" s="18">
        <v>38023.730000000003</v>
      </c>
      <c r="H286" s="27">
        <f t="shared" si="8"/>
        <v>0</v>
      </c>
      <c r="I286" s="18">
        <v>30034.14</v>
      </c>
      <c r="J286" s="27">
        <v>38023.730000000003</v>
      </c>
      <c r="K286" s="18">
        <f t="shared" si="9"/>
        <v>0</v>
      </c>
      <c r="L286" s="27">
        <v>31315.91</v>
      </c>
      <c r="M286" s="36">
        <v>1281.77</v>
      </c>
      <c r="T286" s="41">
        <v>0</v>
      </c>
      <c r="U286" s="41">
        <v>0</v>
      </c>
      <c r="V286" s="42" t="s">
        <v>113</v>
      </c>
      <c r="W286" s="42">
        <v>0</v>
      </c>
      <c r="X286" s="42">
        <v>0</v>
      </c>
    </row>
    <row r="287" spans="1:24">
      <c r="A287" s="27" t="s">
        <v>625</v>
      </c>
      <c r="B287" s="28" t="s">
        <v>215</v>
      </c>
      <c r="C287" s="27" t="s">
        <v>626</v>
      </c>
      <c r="D287" s="27" t="s">
        <v>118</v>
      </c>
      <c r="E287" s="29">
        <v>40080</v>
      </c>
      <c r="F287" s="27">
        <v>15</v>
      </c>
      <c r="G287" s="18">
        <v>38023.730000000003</v>
      </c>
      <c r="H287" s="27">
        <f t="shared" si="8"/>
        <v>0</v>
      </c>
      <c r="I287" s="18">
        <v>30034.14</v>
      </c>
      <c r="J287" s="27">
        <v>38023.730000000003</v>
      </c>
      <c r="K287" s="18">
        <f t="shared" si="9"/>
        <v>0</v>
      </c>
      <c r="L287" s="27">
        <v>31315.91</v>
      </c>
      <c r="M287" s="36">
        <v>1281.77</v>
      </c>
      <c r="T287" s="41">
        <v>0</v>
      </c>
      <c r="U287" s="41">
        <v>0</v>
      </c>
      <c r="V287" s="42" t="s">
        <v>113</v>
      </c>
      <c r="W287" s="42">
        <v>0</v>
      </c>
      <c r="X287" s="42">
        <v>0</v>
      </c>
    </row>
    <row r="288" spans="1:24">
      <c r="A288" s="27" t="s">
        <v>627</v>
      </c>
      <c r="B288" s="28" t="s">
        <v>215</v>
      </c>
      <c r="C288" s="27" t="s">
        <v>628</v>
      </c>
      <c r="D288" s="27" t="s">
        <v>118</v>
      </c>
      <c r="E288" s="29">
        <v>40080</v>
      </c>
      <c r="F288" s="27">
        <v>15</v>
      </c>
      <c r="G288" s="18">
        <v>38023.730000000003</v>
      </c>
      <c r="H288" s="27">
        <f t="shared" si="8"/>
        <v>0</v>
      </c>
      <c r="I288" s="18">
        <v>30034.14</v>
      </c>
      <c r="J288" s="27">
        <v>38023.730000000003</v>
      </c>
      <c r="K288" s="18">
        <f t="shared" si="9"/>
        <v>0</v>
      </c>
      <c r="L288" s="27">
        <v>31315.91</v>
      </c>
      <c r="M288" s="36">
        <v>1281.77</v>
      </c>
      <c r="T288" s="41">
        <v>0</v>
      </c>
      <c r="U288" s="41">
        <v>0</v>
      </c>
      <c r="V288" s="42" t="s">
        <v>113</v>
      </c>
      <c r="W288" s="42">
        <v>0</v>
      </c>
      <c r="X288" s="42">
        <v>0</v>
      </c>
    </row>
    <row r="289" spans="1:24">
      <c r="A289" s="27" t="s">
        <v>629</v>
      </c>
      <c r="B289" s="28" t="s">
        <v>215</v>
      </c>
      <c r="C289" s="27" t="s">
        <v>630</v>
      </c>
      <c r="D289" s="27" t="s">
        <v>118</v>
      </c>
      <c r="E289" s="29">
        <v>40080</v>
      </c>
      <c r="F289" s="27">
        <v>15</v>
      </c>
      <c r="G289" s="18">
        <v>38023.71</v>
      </c>
      <c r="H289" s="27">
        <f t="shared" si="8"/>
        <v>0</v>
      </c>
      <c r="I289" s="18">
        <v>30034.13</v>
      </c>
      <c r="J289" s="27">
        <v>38023.71</v>
      </c>
      <c r="K289" s="18">
        <f t="shared" si="9"/>
        <v>0</v>
      </c>
      <c r="L289" s="27">
        <v>31315.9</v>
      </c>
      <c r="M289" s="36">
        <v>1281.77</v>
      </c>
      <c r="T289" s="41">
        <v>0</v>
      </c>
      <c r="U289" s="41">
        <v>0</v>
      </c>
      <c r="V289" s="42" t="s">
        <v>113</v>
      </c>
      <c r="W289" s="42">
        <v>0</v>
      </c>
      <c r="X289" s="42">
        <v>0</v>
      </c>
    </row>
    <row r="290" spans="1:24">
      <c r="A290" s="27" t="s">
        <v>631</v>
      </c>
      <c r="B290" s="28" t="s">
        <v>215</v>
      </c>
      <c r="C290" s="27" t="s">
        <v>632</v>
      </c>
      <c r="D290" s="27" t="s">
        <v>118</v>
      </c>
      <c r="E290" s="29">
        <v>40080</v>
      </c>
      <c r="F290" s="27">
        <v>15</v>
      </c>
      <c r="G290" s="18">
        <v>25436.560000000001</v>
      </c>
      <c r="H290" s="27">
        <f t="shared" si="8"/>
        <v>0</v>
      </c>
      <c r="I290" s="18">
        <v>20091.810000000001</v>
      </c>
      <c r="J290" s="27">
        <v>25436.560000000001</v>
      </c>
      <c r="K290" s="18">
        <f t="shared" si="9"/>
        <v>0</v>
      </c>
      <c r="L290" s="27">
        <v>20949.27</v>
      </c>
      <c r="M290" s="36">
        <v>857.46</v>
      </c>
      <c r="T290" s="41">
        <v>0</v>
      </c>
      <c r="U290" s="41">
        <v>0</v>
      </c>
      <c r="V290" s="42" t="s">
        <v>113</v>
      </c>
      <c r="W290" s="42">
        <v>0</v>
      </c>
      <c r="X290" s="42">
        <v>0</v>
      </c>
    </row>
    <row r="291" spans="1:24">
      <c r="A291" s="27" t="s">
        <v>633</v>
      </c>
      <c r="B291" s="28" t="s">
        <v>215</v>
      </c>
      <c r="C291" s="27" t="s">
        <v>634</v>
      </c>
      <c r="D291" s="27" t="s">
        <v>118</v>
      </c>
      <c r="E291" s="29">
        <v>40080</v>
      </c>
      <c r="F291" s="27">
        <v>15</v>
      </c>
      <c r="G291" s="18">
        <v>25436.560000000001</v>
      </c>
      <c r="H291" s="27">
        <f t="shared" si="8"/>
        <v>0</v>
      </c>
      <c r="I291" s="18">
        <v>20091.810000000001</v>
      </c>
      <c r="J291" s="27">
        <v>25436.560000000001</v>
      </c>
      <c r="K291" s="18">
        <f t="shared" si="9"/>
        <v>0</v>
      </c>
      <c r="L291" s="27">
        <v>20949.27</v>
      </c>
      <c r="M291" s="36">
        <v>857.46</v>
      </c>
      <c r="T291" s="41">
        <v>0</v>
      </c>
      <c r="U291" s="41">
        <v>0</v>
      </c>
      <c r="V291" s="42" t="s">
        <v>113</v>
      </c>
      <c r="W291" s="42">
        <v>0</v>
      </c>
      <c r="X291" s="42">
        <v>0</v>
      </c>
    </row>
    <row r="292" spans="1:24">
      <c r="A292" s="27" t="s">
        <v>635</v>
      </c>
      <c r="B292" s="28" t="s">
        <v>215</v>
      </c>
      <c r="C292" s="27" t="s">
        <v>636</v>
      </c>
      <c r="D292" s="27" t="s">
        <v>118</v>
      </c>
      <c r="E292" s="29">
        <v>40080</v>
      </c>
      <c r="F292" s="27">
        <v>15</v>
      </c>
      <c r="G292" s="18">
        <v>25436.560000000001</v>
      </c>
      <c r="H292" s="27">
        <f t="shared" si="8"/>
        <v>0</v>
      </c>
      <c r="I292" s="18">
        <v>20091.810000000001</v>
      </c>
      <c r="J292" s="27">
        <v>25436.560000000001</v>
      </c>
      <c r="K292" s="18">
        <f t="shared" si="9"/>
        <v>0</v>
      </c>
      <c r="L292" s="27">
        <v>20949.27</v>
      </c>
      <c r="M292" s="36">
        <v>857.46</v>
      </c>
      <c r="T292" s="41">
        <v>0</v>
      </c>
      <c r="U292" s="41">
        <v>0</v>
      </c>
      <c r="V292" s="42" t="s">
        <v>113</v>
      </c>
      <c r="W292" s="42">
        <v>0</v>
      </c>
      <c r="X292" s="42">
        <v>0</v>
      </c>
    </row>
    <row r="293" spans="1:24">
      <c r="A293" s="27" t="s">
        <v>637</v>
      </c>
      <c r="B293" s="28" t="s">
        <v>215</v>
      </c>
      <c r="C293" s="27" t="s">
        <v>638</v>
      </c>
      <c r="D293" s="27" t="s">
        <v>118</v>
      </c>
      <c r="E293" s="29">
        <v>40080</v>
      </c>
      <c r="F293" s="27">
        <v>15</v>
      </c>
      <c r="G293" s="18">
        <v>25436.560000000001</v>
      </c>
      <c r="H293" s="27">
        <f t="shared" si="8"/>
        <v>0</v>
      </c>
      <c r="I293" s="18">
        <v>20091.810000000001</v>
      </c>
      <c r="J293" s="27">
        <v>25436.560000000001</v>
      </c>
      <c r="K293" s="18">
        <f t="shared" si="9"/>
        <v>0</v>
      </c>
      <c r="L293" s="27">
        <v>20949.27</v>
      </c>
      <c r="M293" s="36">
        <v>857.46</v>
      </c>
      <c r="T293" s="41">
        <v>0</v>
      </c>
      <c r="U293" s="41">
        <v>0</v>
      </c>
      <c r="V293" s="42" t="s">
        <v>113</v>
      </c>
      <c r="W293" s="42">
        <v>0</v>
      </c>
      <c r="X293" s="42">
        <v>0</v>
      </c>
    </row>
    <row r="294" spans="1:24">
      <c r="A294" s="27" t="s">
        <v>639</v>
      </c>
      <c r="B294" s="28" t="s">
        <v>215</v>
      </c>
      <c r="C294" s="27" t="s">
        <v>640</v>
      </c>
      <c r="D294" s="27" t="s">
        <v>118</v>
      </c>
      <c r="E294" s="29">
        <v>40080</v>
      </c>
      <c r="F294" s="27">
        <v>15</v>
      </c>
      <c r="G294" s="18">
        <v>25436.560000000001</v>
      </c>
      <c r="H294" s="27">
        <f t="shared" si="8"/>
        <v>0</v>
      </c>
      <c r="I294" s="18">
        <v>20091.810000000001</v>
      </c>
      <c r="J294" s="27">
        <v>25436.560000000001</v>
      </c>
      <c r="K294" s="18">
        <f t="shared" si="9"/>
        <v>0</v>
      </c>
      <c r="L294" s="27">
        <v>20949.27</v>
      </c>
      <c r="M294" s="36">
        <v>857.46</v>
      </c>
      <c r="T294" s="41">
        <v>0</v>
      </c>
      <c r="U294" s="41">
        <v>0</v>
      </c>
      <c r="V294" s="42" t="s">
        <v>113</v>
      </c>
      <c r="W294" s="42">
        <v>0</v>
      </c>
      <c r="X294" s="42">
        <v>0</v>
      </c>
    </row>
    <row r="295" spans="1:24">
      <c r="A295" s="27" t="s">
        <v>641</v>
      </c>
      <c r="B295" s="28" t="s">
        <v>215</v>
      </c>
      <c r="C295" s="27" t="s">
        <v>642</v>
      </c>
      <c r="D295" s="27" t="s">
        <v>118</v>
      </c>
      <c r="E295" s="29">
        <v>40080</v>
      </c>
      <c r="F295" s="27">
        <v>15</v>
      </c>
      <c r="G295" s="18">
        <v>25436.560000000001</v>
      </c>
      <c r="H295" s="27">
        <f t="shared" si="8"/>
        <v>0</v>
      </c>
      <c r="I295" s="18">
        <v>20091.810000000001</v>
      </c>
      <c r="J295" s="27">
        <v>25436.560000000001</v>
      </c>
      <c r="K295" s="18">
        <f t="shared" si="9"/>
        <v>0</v>
      </c>
      <c r="L295" s="27">
        <v>20949.27</v>
      </c>
      <c r="M295" s="36">
        <v>857.46</v>
      </c>
      <c r="T295" s="41">
        <v>0</v>
      </c>
      <c r="U295" s="41">
        <v>0</v>
      </c>
      <c r="V295" s="42" t="s">
        <v>113</v>
      </c>
      <c r="W295" s="42">
        <v>0</v>
      </c>
      <c r="X295" s="42">
        <v>0</v>
      </c>
    </row>
    <row r="296" spans="1:24">
      <c r="A296" s="27" t="s">
        <v>643</v>
      </c>
      <c r="B296" s="28" t="s">
        <v>215</v>
      </c>
      <c r="C296" s="27" t="s">
        <v>644</v>
      </c>
      <c r="D296" s="27" t="s">
        <v>118</v>
      </c>
      <c r="E296" s="29">
        <v>40080</v>
      </c>
      <c r="F296" s="27">
        <v>15</v>
      </c>
      <c r="G296" s="18">
        <v>25436.560000000001</v>
      </c>
      <c r="H296" s="27">
        <f t="shared" si="8"/>
        <v>0</v>
      </c>
      <c r="I296" s="18">
        <v>20091.810000000001</v>
      </c>
      <c r="J296" s="27">
        <v>25436.560000000001</v>
      </c>
      <c r="K296" s="18">
        <f t="shared" si="9"/>
        <v>0</v>
      </c>
      <c r="L296" s="27">
        <v>20949.27</v>
      </c>
      <c r="M296" s="36">
        <v>857.46</v>
      </c>
      <c r="T296" s="41">
        <v>0</v>
      </c>
      <c r="U296" s="41">
        <v>0</v>
      </c>
      <c r="V296" s="42" t="s">
        <v>113</v>
      </c>
      <c r="W296" s="42">
        <v>0</v>
      </c>
      <c r="X296" s="42">
        <v>0</v>
      </c>
    </row>
    <row r="297" spans="1:24">
      <c r="A297" s="27" t="s">
        <v>645</v>
      </c>
      <c r="B297" s="28" t="s">
        <v>215</v>
      </c>
      <c r="C297" s="27" t="s">
        <v>646</v>
      </c>
      <c r="D297" s="27" t="s">
        <v>118</v>
      </c>
      <c r="E297" s="29">
        <v>40080</v>
      </c>
      <c r="F297" s="27">
        <v>15</v>
      </c>
      <c r="G297" s="18">
        <v>25436.560000000001</v>
      </c>
      <c r="H297" s="27">
        <f t="shared" si="8"/>
        <v>0</v>
      </c>
      <c r="I297" s="18">
        <v>20091.810000000001</v>
      </c>
      <c r="J297" s="27">
        <v>25436.560000000001</v>
      </c>
      <c r="K297" s="18">
        <f t="shared" si="9"/>
        <v>0</v>
      </c>
      <c r="L297" s="27">
        <v>20949.27</v>
      </c>
      <c r="M297" s="36">
        <v>857.46</v>
      </c>
      <c r="T297" s="41">
        <v>0</v>
      </c>
      <c r="U297" s="41">
        <v>0</v>
      </c>
      <c r="V297" s="42" t="s">
        <v>113</v>
      </c>
      <c r="W297" s="42">
        <v>0</v>
      </c>
      <c r="X297" s="42">
        <v>0</v>
      </c>
    </row>
    <row r="298" spans="1:24">
      <c r="A298" s="27" t="s">
        <v>647</v>
      </c>
      <c r="B298" s="28" t="s">
        <v>215</v>
      </c>
      <c r="C298" s="27" t="s">
        <v>648</v>
      </c>
      <c r="D298" s="27" t="s">
        <v>118</v>
      </c>
      <c r="E298" s="29">
        <v>40080</v>
      </c>
      <c r="F298" s="27">
        <v>15</v>
      </c>
      <c r="G298" s="18">
        <v>25436.560000000001</v>
      </c>
      <c r="H298" s="27">
        <f t="shared" si="8"/>
        <v>0</v>
      </c>
      <c r="I298" s="18">
        <v>20091.810000000001</v>
      </c>
      <c r="J298" s="27">
        <v>25436.560000000001</v>
      </c>
      <c r="K298" s="18">
        <f t="shared" si="9"/>
        <v>0</v>
      </c>
      <c r="L298" s="27">
        <v>20949.27</v>
      </c>
      <c r="M298" s="36">
        <v>857.46</v>
      </c>
      <c r="T298" s="41">
        <v>0</v>
      </c>
      <c r="U298" s="41">
        <v>0</v>
      </c>
      <c r="V298" s="42" t="s">
        <v>113</v>
      </c>
      <c r="W298" s="42">
        <v>0</v>
      </c>
      <c r="X298" s="42">
        <v>0</v>
      </c>
    </row>
    <row r="299" spans="1:24">
      <c r="A299" s="27" t="s">
        <v>649</v>
      </c>
      <c r="B299" s="28" t="s">
        <v>215</v>
      </c>
      <c r="C299" s="27" t="s">
        <v>650</v>
      </c>
      <c r="D299" s="27" t="s">
        <v>118</v>
      </c>
      <c r="E299" s="29">
        <v>40080</v>
      </c>
      <c r="F299" s="27">
        <v>15</v>
      </c>
      <c r="G299" s="18">
        <v>25436.58</v>
      </c>
      <c r="H299" s="27">
        <f t="shared" si="8"/>
        <v>0</v>
      </c>
      <c r="I299" s="18">
        <v>20091.830000000002</v>
      </c>
      <c r="J299" s="27">
        <v>25436.58</v>
      </c>
      <c r="K299" s="18">
        <f t="shared" si="9"/>
        <v>0</v>
      </c>
      <c r="L299" s="27">
        <v>20949.29</v>
      </c>
      <c r="M299" s="36">
        <v>857.46</v>
      </c>
      <c r="T299" s="41">
        <v>0</v>
      </c>
      <c r="U299" s="41">
        <v>0</v>
      </c>
      <c r="V299" s="42" t="s">
        <v>113</v>
      </c>
      <c r="W299" s="42">
        <v>0</v>
      </c>
      <c r="X299" s="42">
        <v>0</v>
      </c>
    </row>
    <row r="300" spans="1:24">
      <c r="A300" s="27" t="s">
        <v>651</v>
      </c>
      <c r="B300" s="28" t="s">
        <v>215</v>
      </c>
      <c r="C300" s="27" t="s">
        <v>652</v>
      </c>
      <c r="D300" s="27" t="s">
        <v>118</v>
      </c>
      <c r="E300" s="29">
        <v>40080</v>
      </c>
      <c r="F300" s="27">
        <v>15</v>
      </c>
      <c r="G300" s="18">
        <v>25436.560000000001</v>
      </c>
      <c r="H300" s="27">
        <f t="shared" si="8"/>
        <v>0</v>
      </c>
      <c r="I300" s="18">
        <v>20091.810000000001</v>
      </c>
      <c r="J300" s="27">
        <v>25436.560000000001</v>
      </c>
      <c r="K300" s="18">
        <f t="shared" si="9"/>
        <v>0</v>
      </c>
      <c r="L300" s="27">
        <v>20949.27</v>
      </c>
      <c r="M300" s="36">
        <v>857.46</v>
      </c>
      <c r="T300" s="41">
        <v>0</v>
      </c>
      <c r="U300" s="41">
        <v>0</v>
      </c>
      <c r="V300" s="42" t="s">
        <v>113</v>
      </c>
      <c r="W300" s="42">
        <v>0</v>
      </c>
      <c r="X300" s="42">
        <v>0</v>
      </c>
    </row>
    <row r="301" spans="1:24">
      <c r="A301" s="27" t="s">
        <v>653</v>
      </c>
      <c r="B301" s="28" t="s">
        <v>215</v>
      </c>
      <c r="C301" s="27" t="s">
        <v>654</v>
      </c>
      <c r="D301" s="27" t="s">
        <v>118</v>
      </c>
      <c r="E301" s="29">
        <v>40080</v>
      </c>
      <c r="F301" s="27">
        <v>15</v>
      </c>
      <c r="G301" s="18">
        <v>25436.560000000001</v>
      </c>
      <c r="H301" s="27">
        <f t="shared" si="8"/>
        <v>0</v>
      </c>
      <c r="I301" s="18">
        <v>20091.810000000001</v>
      </c>
      <c r="J301" s="27">
        <v>25436.560000000001</v>
      </c>
      <c r="K301" s="18">
        <f t="shared" si="9"/>
        <v>0</v>
      </c>
      <c r="L301" s="27">
        <v>20949.27</v>
      </c>
      <c r="M301" s="36">
        <v>857.46</v>
      </c>
      <c r="T301" s="41">
        <v>0</v>
      </c>
      <c r="U301" s="41">
        <v>0</v>
      </c>
      <c r="V301" s="42" t="s">
        <v>113</v>
      </c>
      <c r="W301" s="42">
        <v>0</v>
      </c>
      <c r="X301" s="42">
        <v>0</v>
      </c>
    </row>
    <row r="302" spans="1:24">
      <c r="A302" s="27" t="s">
        <v>655</v>
      </c>
      <c r="B302" s="28" t="s">
        <v>215</v>
      </c>
      <c r="C302" s="27" t="s">
        <v>656</v>
      </c>
      <c r="D302" s="27" t="s">
        <v>118</v>
      </c>
      <c r="E302" s="29">
        <v>40080</v>
      </c>
      <c r="F302" s="27">
        <v>15</v>
      </c>
      <c r="G302" s="18">
        <v>25436.560000000001</v>
      </c>
      <c r="H302" s="27">
        <f t="shared" si="8"/>
        <v>0</v>
      </c>
      <c r="I302" s="18">
        <v>20091.810000000001</v>
      </c>
      <c r="J302" s="27">
        <v>25436.560000000001</v>
      </c>
      <c r="K302" s="18">
        <f t="shared" si="9"/>
        <v>0</v>
      </c>
      <c r="L302" s="27">
        <v>20949.27</v>
      </c>
      <c r="M302" s="36">
        <v>857.46</v>
      </c>
      <c r="T302" s="41">
        <v>0</v>
      </c>
      <c r="U302" s="41">
        <v>0</v>
      </c>
      <c r="V302" s="42" t="s">
        <v>113</v>
      </c>
      <c r="W302" s="42">
        <v>0</v>
      </c>
      <c r="X302" s="42">
        <v>0</v>
      </c>
    </row>
    <row r="303" spans="1:24">
      <c r="A303" s="27" t="s">
        <v>657</v>
      </c>
      <c r="B303" s="28" t="s">
        <v>215</v>
      </c>
      <c r="C303" s="27" t="s">
        <v>658</v>
      </c>
      <c r="D303" s="27" t="s">
        <v>118</v>
      </c>
      <c r="E303" s="29">
        <v>40080</v>
      </c>
      <c r="F303" s="27">
        <v>15</v>
      </c>
      <c r="G303" s="18">
        <v>25436.57</v>
      </c>
      <c r="H303" s="27">
        <f t="shared" si="8"/>
        <v>0</v>
      </c>
      <c r="I303" s="18">
        <v>20091.82</v>
      </c>
      <c r="J303" s="27">
        <v>25436.57</v>
      </c>
      <c r="K303" s="18">
        <f t="shared" si="9"/>
        <v>0</v>
      </c>
      <c r="L303" s="27">
        <v>20949.28</v>
      </c>
      <c r="M303" s="36">
        <v>857.46</v>
      </c>
      <c r="T303" s="41">
        <v>0</v>
      </c>
      <c r="U303" s="41">
        <v>0</v>
      </c>
      <c r="V303" s="42" t="s">
        <v>113</v>
      </c>
      <c r="W303" s="42">
        <v>0</v>
      </c>
      <c r="X303" s="42">
        <v>0</v>
      </c>
    </row>
    <row r="304" spans="1:24">
      <c r="A304" s="27" t="s">
        <v>659</v>
      </c>
      <c r="B304" s="28" t="s">
        <v>215</v>
      </c>
      <c r="C304" s="27" t="s">
        <v>660</v>
      </c>
      <c r="D304" s="27" t="s">
        <v>118</v>
      </c>
      <c r="E304" s="29">
        <v>40080</v>
      </c>
      <c r="F304" s="27">
        <v>15</v>
      </c>
      <c r="G304" s="18">
        <v>25436.57</v>
      </c>
      <c r="H304" s="27">
        <f t="shared" si="8"/>
        <v>0</v>
      </c>
      <c r="I304" s="18">
        <v>20091.82</v>
      </c>
      <c r="J304" s="27">
        <v>25436.57</v>
      </c>
      <c r="K304" s="18">
        <f t="shared" si="9"/>
        <v>0</v>
      </c>
      <c r="L304" s="27">
        <v>20949.28</v>
      </c>
      <c r="M304" s="36">
        <v>857.46</v>
      </c>
      <c r="T304" s="41">
        <v>0</v>
      </c>
      <c r="U304" s="41">
        <v>0</v>
      </c>
      <c r="V304" s="42" t="s">
        <v>113</v>
      </c>
      <c r="W304" s="42">
        <v>0</v>
      </c>
      <c r="X304" s="42">
        <v>0</v>
      </c>
    </row>
    <row r="305" spans="1:24">
      <c r="A305" s="27" t="s">
        <v>661</v>
      </c>
      <c r="B305" s="28" t="s">
        <v>215</v>
      </c>
      <c r="C305" s="27" t="s">
        <v>662</v>
      </c>
      <c r="D305" s="27" t="s">
        <v>220</v>
      </c>
      <c r="E305" s="29">
        <v>40081</v>
      </c>
      <c r="F305" s="27">
        <v>15</v>
      </c>
      <c r="G305" s="18">
        <v>50784.97</v>
      </c>
      <c r="H305" s="27">
        <f t="shared" si="8"/>
        <v>50784.97</v>
      </c>
      <c r="I305" s="18">
        <v>48245.72</v>
      </c>
      <c r="J305" s="27">
        <v>50784.97</v>
      </c>
      <c r="K305" s="18">
        <f t="shared" si="9"/>
        <v>50784.97</v>
      </c>
      <c r="L305" s="27">
        <v>48245.72</v>
      </c>
      <c r="M305" s="36">
        <v>0</v>
      </c>
      <c r="T305" s="41">
        <v>0</v>
      </c>
      <c r="U305" s="41">
        <v>0</v>
      </c>
      <c r="V305" s="42" t="s">
        <v>113</v>
      </c>
      <c r="W305" s="42">
        <v>50784.97</v>
      </c>
      <c r="X305" s="42">
        <v>50784.97</v>
      </c>
    </row>
    <row r="306" spans="1:24">
      <c r="A306" s="27" t="s">
        <v>663</v>
      </c>
      <c r="B306" s="28" t="s">
        <v>215</v>
      </c>
      <c r="C306" s="27" t="s">
        <v>664</v>
      </c>
      <c r="D306" s="27" t="s">
        <v>220</v>
      </c>
      <c r="E306" s="29">
        <v>40081</v>
      </c>
      <c r="F306" s="27">
        <v>15</v>
      </c>
      <c r="G306" s="18">
        <v>50784.97</v>
      </c>
      <c r="H306" s="27">
        <f t="shared" si="8"/>
        <v>50784.97</v>
      </c>
      <c r="I306" s="18">
        <v>48245.72</v>
      </c>
      <c r="J306" s="27">
        <v>50784.97</v>
      </c>
      <c r="K306" s="18">
        <f t="shared" si="9"/>
        <v>50784.97</v>
      </c>
      <c r="L306" s="27">
        <v>48245.72</v>
      </c>
      <c r="M306" s="36">
        <v>0</v>
      </c>
      <c r="T306" s="41">
        <v>0</v>
      </c>
      <c r="U306" s="41">
        <v>0</v>
      </c>
      <c r="V306" s="42" t="s">
        <v>113</v>
      </c>
      <c r="W306" s="42">
        <v>50784.97</v>
      </c>
      <c r="X306" s="42">
        <v>50784.97</v>
      </c>
    </row>
    <row r="307" spans="1:24">
      <c r="A307" s="27" t="s">
        <v>665</v>
      </c>
      <c r="B307" s="28" t="s">
        <v>215</v>
      </c>
      <c r="C307" s="27" t="s">
        <v>666</v>
      </c>
      <c r="D307" s="27" t="s">
        <v>220</v>
      </c>
      <c r="E307" s="29">
        <v>40081</v>
      </c>
      <c r="F307" s="27">
        <v>15</v>
      </c>
      <c r="G307" s="18">
        <v>50784.97</v>
      </c>
      <c r="H307" s="27">
        <f t="shared" si="8"/>
        <v>50784.97</v>
      </c>
      <c r="I307" s="18">
        <v>48245.72</v>
      </c>
      <c r="J307" s="27">
        <v>50784.97</v>
      </c>
      <c r="K307" s="18">
        <f t="shared" si="9"/>
        <v>50784.97</v>
      </c>
      <c r="L307" s="27">
        <v>48245.72</v>
      </c>
      <c r="M307" s="36">
        <v>0</v>
      </c>
      <c r="T307" s="41">
        <v>0</v>
      </c>
      <c r="U307" s="41">
        <v>0</v>
      </c>
      <c r="V307" s="42" t="s">
        <v>113</v>
      </c>
      <c r="W307" s="42">
        <v>50784.97</v>
      </c>
      <c r="X307" s="42">
        <v>50784.97</v>
      </c>
    </row>
    <row r="308" spans="1:24">
      <c r="A308" s="27" t="s">
        <v>667</v>
      </c>
      <c r="B308" s="28" t="s">
        <v>215</v>
      </c>
      <c r="C308" s="27" t="s">
        <v>668</v>
      </c>
      <c r="D308" s="27" t="s">
        <v>220</v>
      </c>
      <c r="E308" s="29">
        <v>40081</v>
      </c>
      <c r="F308" s="27">
        <v>15</v>
      </c>
      <c r="G308" s="18">
        <v>50784.97</v>
      </c>
      <c r="H308" s="27">
        <f t="shared" si="8"/>
        <v>50784.97</v>
      </c>
      <c r="I308" s="18">
        <v>48245.72</v>
      </c>
      <c r="J308" s="27">
        <v>50784.97</v>
      </c>
      <c r="K308" s="18">
        <f t="shared" si="9"/>
        <v>50784.97</v>
      </c>
      <c r="L308" s="27">
        <v>48245.72</v>
      </c>
      <c r="M308" s="36">
        <v>0</v>
      </c>
      <c r="T308" s="41">
        <v>0</v>
      </c>
      <c r="U308" s="41">
        <v>0</v>
      </c>
      <c r="V308" s="42" t="s">
        <v>113</v>
      </c>
      <c r="W308" s="42">
        <v>50784.97</v>
      </c>
      <c r="X308" s="42">
        <v>50784.97</v>
      </c>
    </row>
    <row r="309" spans="1:24">
      <c r="A309" s="27" t="s">
        <v>669</v>
      </c>
      <c r="B309" s="28" t="s">
        <v>215</v>
      </c>
      <c r="C309" s="27" t="s">
        <v>670</v>
      </c>
      <c r="D309" s="27" t="s">
        <v>220</v>
      </c>
      <c r="E309" s="29">
        <v>40081</v>
      </c>
      <c r="F309" s="27">
        <v>15</v>
      </c>
      <c r="G309" s="18">
        <v>50784.97</v>
      </c>
      <c r="H309" s="27">
        <f t="shared" si="8"/>
        <v>50784.97</v>
      </c>
      <c r="I309" s="18">
        <v>48245.72</v>
      </c>
      <c r="J309" s="27">
        <v>50784.97</v>
      </c>
      <c r="K309" s="18">
        <f t="shared" si="9"/>
        <v>50784.97</v>
      </c>
      <c r="L309" s="27">
        <v>48245.72</v>
      </c>
      <c r="M309" s="36">
        <v>0</v>
      </c>
      <c r="T309" s="41">
        <v>0</v>
      </c>
      <c r="U309" s="41">
        <v>0</v>
      </c>
      <c r="V309" s="42" t="s">
        <v>113</v>
      </c>
      <c r="W309" s="42">
        <v>50784.97</v>
      </c>
      <c r="X309" s="42">
        <v>50784.97</v>
      </c>
    </row>
    <row r="310" spans="1:24">
      <c r="A310" s="27" t="s">
        <v>671</v>
      </c>
      <c r="B310" s="28" t="s">
        <v>215</v>
      </c>
      <c r="C310" s="27" t="s">
        <v>672</v>
      </c>
      <c r="D310" s="27" t="s">
        <v>220</v>
      </c>
      <c r="E310" s="29">
        <v>40081</v>
      </c>
      <c r="F310" s="27">
        <v>15</v>
      </c>
      <c r="G310" s="18">
        <v>50784.97</v>
      </c>
      <c r="H310" s="27">
        <f t="shared" si="8"/>
        <v>50784.97</v>
      </c>
      <c r="I310" s="18">
        <v>48245.72</v>
      </c>
      <c r="J310" s="27">
        <v>50784.97</v>
      </c>
      <c r="K310" s="18">
        <f t="shared" si="9"/>
        <v>50784.97</v>
      </c>
      <c r="L310" s="27">
        <v>48245.72</v>
      </c>
      <c r="M310" s="36">
        <v>0</v>
      </c>
      <c r="T310" s="41">
        <v>0</v>
      </c>
      <c r="U310" s="41">
        <v>0</v>
      </c>
      <c r="V310" s="42" t="s">
        <v>113</v>
      </c>
      <c r="W310" s="42">
        <v>50784.97</v>
      </c>
      <c r="X310" s="42">
        <v>50784.97</v>
      </c>
    </row>
    <row r="311" spans="1:24">
      <c r="A311" s="27" t="s">
        <v>673</v>
      </c>
      <c r="B311" s="28" t="s">
        <v>215</v>
      </c>
      <c r="C311" s="27" t="s">
        <v>674</v>
      </c>
      <c r="D311" s="27" t="s">
        <v>220</v>
      </c>
      <c r="E311" s="29">
        <v>40081</v>
      </c>
      <c r="F311" s="27">
        <v>15</v>
      </c>
      <c r="G311" s="18">
        <v>50784.97</v>
      </c>
      <c r="H311" s="27">
        <f t="shared" si="8"/>
        <v>50784.97</v>
      </c>
      <c r="I311" s="18">
        <v>48245.72</v>
      </c>
      <c r="J311" s="27">
        <v>50784.97</v>
      </c>
      <c r="K311" s="18">
        <f t="shared" si="9"/>
        <v>50784.97</v>
      </c>
      <c r="L311" s="27">
        <v>48245.72</v>
      </c>
      <c r="M311" s="36">
        <v>0</v>
      </c>
      <c r="T311" s="41">
        <v>0</v>
      </c>
      <c r="U311" s="41">
        <v>0</v>
      </c>
      <c r="V311" s="42" t="s">
        <v>113</v>
      </c>
      <c r="W311" s="42">
        <v>50784.97</v>
      </c>
      <c r="X311" s="42">
        <v>50784.97</v>
      </c>
    </row>
    <row r="312" spans="1:24">
      <c r="A312" s="27" t="s">
        <v>675</v>
      </c>
      <c r="B312" s="28" t="s">
        <v>215</v>
      </c>
      <c r="C312" s="27" t="s">
        <v>676</v>
      </c>
      <c r="D312" s="27" t="s">
        <v>220</v>
      </c>
      <c r="E312" s="29">
        <v>40081</v>
      </c>
      <c r="F312" s="27">
        <v>15</v>
      </c>
      <c r="G312" s="18">
        <v>50784.97</v>
      </c>
      <c r="H312" s="27">
        <f t="shared" si="8"/>
        <v>50784.97</v>
      </c>
      <c r="I312" s="18">
        <v>48245.72</v>
      </c>
      <c r="J312" s="27">
        <v>50784.97</v>
      </c>
      <c r="K312" s="18">
        <f t="shared" si="9"/>
        <v>50784.97</v>
      </c>
      <c r="L312" s="27">
        <v>48245.72</v>
      </c>
      <c r="M312" s="36">
        <v>0</v>
      </c>
      <c r="T312" s="41">
        <v>0</v>
      </c>
      <c r="U312" s="41">
        <v>0</v>
      </c>
      <c r="V312" s="42" t="s">
        <v>113</v>
      </c>
      <c r="W312" s="42">
        <v>50784.97</v>
      </c>
      <c r="X312" s="42">
        <v>50784.97</v>
      </c>
    </row>
    <row r="313" spans="1:24">
      <c r="A313" s="27" t="s">
        <v>677</v>
      </c>
      <c r="B313" s="28" t="s">
        <v>215</v>
      </c>
      <c r="C313" s="27" t="s">
        <v>678</v>
      </c>
      <c r="D313" s="27" t="s">
        <v>220</v>
      </c>
      <c r="E313" s="29">
        <v>40081</v>
      </c>
      <c r="F313" s="27">
        <v>15</v>
      </c>
      <c r="G313" s="18">
        <v>50784.97</v>
      </c>
      <c r="H313" s="27">
        <f t="shared" si="8"/>
        <v>50784.97</v>
      </c>
      <c r="I313" s="18">
        <v>48245.72</v>
      </c>
      <c r="J313" s="27">
        <v>50784.97</v>
      </c>
      <c r="K313" s="18">
        <f t="shared" si="9"/>
        <v>50784.97</v>
      </c>
      <c r="L313" s="27">
        <v>48245.72</v>
      </c>
      <c r="M313" s="36">
        <v>0</v>
      </c>
      <c r="T313" s="41">
        <v>0</v>
      </c>
      <c r="U313" s="41">
        <v>0</v>
      </c>
      <c r="V313" s="42" t="s">
        <v>113</v>
      </c>
      <c r="W313" s="42">
        <v>50784.97</v>
      </c>
      <c r="X313" s="42">
        <v>50784.97</v>
      </c>
    </row>
    <row r="314" spans="1:24">
      <c r="A314" s="27" t="s">
        <v>679</v>
      </c>
      <c r="B314" s="28" t="s">
        <v>215</v>
      </c>
      <c r="C314" s="27" t="s">
        <v>680</v>
      </c>
      <c r="D314" s="27" t="s">
        <v>220</v>
      </c>
      <c r="E314" s="29">
        <v>40081</v>
      </c>
      <c r="F314" s="27">
        <v>15</v>
      </c>
      <c r="G314" s="18">
        <v>28509.97</v>
      </c>
      <c r="H314" s="27">
        <f t="shared" si="8"/>
        <v>0</v>
      </c>
      <c r="I314" s="18">
        <v>26401.85</v>
      </c>
      <c r="J314" s="27">
        <v>28509.97</v>
      </c>
      <c r="K314" s="18">
        <f t="shared" si="9"/>
        <v>0</v>
      </c>
      <c r="L314" s="27">
        <v>26832.98</v>
      </c>
      <c r="M314" s="36">
        <v>431.13</v>
      </c>
      <c r="T314" s="41">
        <v>0</v>
      </c>
      <c r="U314" s="41">
        <v>0</v>
      </c>
      <c r="V314" s="42" t="s">
        <v>113</v>
      </c>
      <c r="W314" s="42">
        <v>0</v>
      </c>
      <c r="X314" s="42">
        <v>0</v>
      </c>
    </row>
    <row r="315" spans="1:24">
      <c r="A315" s="27" t="s">
        <v>681</v>
      </c>
      <c r="B315" s="28" t="s">
        <v>215</v>
      </c>
      <c r="C315" s="27" t="s">
        <v>682</v>
      </c>
      <c r="D315" s="27" t="s">
        <v>220</v>
      </c>
      <c r="E315" s="29">
        <v>40081</v>
      </c>
      <c r="F315" s="27">
        <v>15</v>
      </c>
      <c r="G315" s="18">
        <v>28508.97</v>
      </c>
      <c r="H315" s="27">
        <f t="shared" si="8"/>
        <v>0</v>
      </c>
      <c r="I315" s="18">
        <v>26400.87</v>
      </c>
      <c r="J315" s="27">
        <v>28508.97</v>
      </c>
      <c r="K315" s="18">
        <f t="shared" si="9"/>
        <v>0</v>
      </c>
      <c r="L315" s="27">
        <v>26832.02</v>
      </c>
      <c r="M315" s="36">
        <v>431.15</v>
      </c>
      <c r="T315" s="41">
        <v>0</v>
      </c>
      <c r="U315" s="41">
        <v>0</v>
      </c>
      <c r="V315" s="42" t="s">
        <v>113</v>
      </c>
      <c r="W315" s="42">
        <v>0</v>
      </c>
      <c r="X315" s="42">
        <v>0</v>
      </c>
    </row>
    <row r="316" spans="1:24">
      <c r="A316" s="27" t="s">
        <v>683</v>
      </c>
      <c r="B316" s="28" t="s">
        <v>215</v>
      </c>
      <c r="C316" s="27" t="s">
        <v>684</v>
      </c>
      <c r="D316" s="27" t="s">
        <v>220</v>
      </c>
      <c r="E316" s="29">
        <v>40081</v>
      </c>
      <c r="F316" s="27">
        <v>15</v>
      </c>
      <c r="G316" s="18">
        <v>28507.919999999998</v>
      </c>
      <c r="H316" s="27">
        <f t="shared" si="8"/>
        <v>0</v>
      </c>
      <c r="I316" s="18">
        <v>26399.84</v>
      </c>
      <c r="J316" s="27">
        <v>28507.919999999998</v>
      </c>
      <c r="K316" s="18">
        <f t="shared" si="9"/>
        <v>0</v>
      </c>
      <c r="L316" s="27">
        <v>26831.01</v>
      </c>
      <c r="M316" s="36">
        <v>431.17</v>
      </c>
      <c r="T316" s="41">
        <v>0</v>
      </c>
      <c r="U316" s="41">
        <v>0</v>
      </c>
      <c r="V316" s="42" t="s">
        <v>113</v>
      </c>
      <c r="W316" s="42">
        <v>0</v>
      </c>
      <c r="X316" s="42">
        <v>0</v>
      </c>
    </row>
    <row r="317" spans="1:24">
      <c r="A317" s="27" t="s">
        <v>685</v>
      </c>
      <c r="B317" s="28" t="s">
        <v>215</v>
      </c>
      <c r="C317" s="27" t="s">
        <v>686</v>
      </c>
      <c r="D317" s="27" t="s">
        <v>220</v>
      </c>
      <c r="E317" s="29">
        <v>40082</v>
      </c>
      <c r="F317" s="27">
        <v>15</v>
      </c>
      <c r="G317" s="18">
        <v>74928.639999999999</v>
      </c>
      <c r="H317" s="27">
        <f t="shared" si="8"/>
        <v>74928.639999999999</v>
      </c>
      <c r="I317" s="18">
        <v>71182.210000000006</v>
      </c>
      <c r="J317" s="27">
        <v>74928.639999999999</v>
      </c>
      <c r="K317" s="18">
        <f t="shared" si="9"/>
        <v>74928.639999999999</v>
      </c>
      <c r="L317" s="27">
        <v>71182.210000000006</v>
      </c>
      <c r="M317" s="36">
        <v>0</v>
      </c>
      <c r="T317" s="41">
        <v>0</v>
      </c>
      <c r="U317" s="41">
        <v>0</v>
      </c>
      <c r="V317" s="42" t="s">
        <v>113</v>
      </c>
      <c r="W317" s="42">
        <v>74928.639999999999</v>
      </c>
      <c r="X317" s="42">
        <v>74928.639999999999</v>
      </c>
    </row>
    <row r="318" spans="1:24">
      <c r="A318" s="27" t="s">
        <v>687</v>
      </c>
      <c r="B318" s="28" t="s">
        <v>215</v>
      </c>
      <c r="C318" s="27" t="s">
        <v>688</v>
      </c>
      <c r="D318" s="27" t="s">
        <v>220</v>
      </c>
      <c r="E318" s="29">
        <v>40082</v>
      </c>
      <c r="F318" s="27">
        <v>15</v>
      </c>
      <c r="G318" s="18">
        <v>74928.639999999999</v>
      </c>
      <c r="H318" s="27">
        <f t="shared" si="8"/>
        <v>74928.639999999999</v>
      </c>
      <c r="I318" s="18">
        <v>71182.210000000006</v>
      </c>
      <c r="J318" s="27">
        <v>74928.639999999999</v>
      </c>
      <c r="K318" s="18">
        <f t="shared" si="9"/>
        <v>74928.639999999999</v>
      </c>
      <c r="L318" s="27">
        <v>71182.210000000006</v>
      </c>
      <c r="M318" s="36">
        <v>0</v>
      </c>
      <c r="T318" s="41">
        <v>0</v>
      </c>
      <c r="U318" s="41">
        <v>0</v>
      </c>
      <c r="V318" s="42" t="s">
        <v>113</v>
      </c>
      <c r="W318" s="42">
        <v>74928.639999999999</v>
      </c>
      <c r="X318" s="42">
        <v>74928.639999999999</v>
      </c>
    </row>
    <row r="319" spans="1:24">
      <c r="A319" s="27" t="s">
        <v>689</v>
      </c>
      <c r="B319" s="28" t="s">
        <v>215</v>
      </c>
      <c r="C319" s="27" t="s">
        <v>690</v>
      </c>
      <c r="D319" s="27" t="s">
        <v>220</v>
      </c>
      <c r="E319" s="29">
        <v>40082</v>
      </c>
      <c r="F319" s="27">
        <v>15</v>
      </c>
      <c r="G319" s="18">
        <v>74928.639999999999</v>
      </c>
      <c r="H319" s="27">
        <f t="shared" si="8"/>
        <v>74928.639999999999</v>
      </c>
      <c r="I319" s="18">
        <v>71182.210000000006</v>
      </c>
      <c r="J319" s="27">
        <v>74928.639999999999</v>
      </c>
      <c r="K319" s="18">
        <f t="shared" si="9"/>
        <v>74928.639999999999</v>
      </c>
      <c r="L319" s="27">
        <v>71182.210000000006</v>
      </c>
      <c r="M319" s="36">
        <v>0</v>
      </c>
      <c r="T319" s="41">
        <v>0</v>
      </c>
      <c r="U319" s="41">
        <v>0</v>
      </c>
      <c r="V319" s="42" t="s">
        <v>113</v>
      </c>
      <c r="W319" s="42">
        <v>74928.639999999999</v>
      </c>
      <c r="X319" s="42">
        <v>74928.639999999999</v>
      </c>
    </row>
    <row r="320" spans="1:24">
      <c r="A320" s="27" t="s">
        <v>691</v>
      </c>
      <c r="B320" s="28" t="s">
        <v>215</v>
      </c>
      <c r="C320" s="27" t="s">
        <v>692</v>
      </c>
      <c r="D320" s="27" t="s">
        <v>220</v>
      </c>
      <c r="E320" s="29">
        <v>40082</v>
      </c>
      <c r="F320" s="27">
        <v>15</v>
      </c>
      <c r="G320" s="18">
        <v>74928.639999999999</v>
      </c>
      <c r="H320" s="27">
        <f t="shared" si="8"/>
        <v>74928.639999999999</v>
      </c>
      <c r="I320" s="18">
        <v>71182.210000000006</v>
      </c>
      <c r="J320" s="27">
        <v>74928.639999999999</v>
      </c>
      <c r="K320" s="18">
        <f t="shared" si="9"/>
        <v>74928.639999999999</v>
      </c>
      <c r="L320" s="27">
        <v>71182.210000000006</v>
      </c>
      <c r="M320" s="36">
        <v>0</v>
      </c>
      <c r="T320" s="41">
        <v>0</v>
      </c>
      <c r="U320" s="41">
        <v>0</v>
      </c>
      <c r="V320" s="42" t="s">
        <v>113</v>
      </c>
      <c r="W320" s="42">
        <v>74928.639999999999</v>
      </c>
      <c r="X320" s="42">
        <v>74928.639999999999</v>
      </c>
    </row>
    <row r="321" spans="1:24">
      <c r="A321" s="27" t="s">
        <v>693</v>
      </c>
      <c r="B321" s="28" t="s">
        <v>215</v>
      </c>
      <c r="C321" s="27" t="s">
        <v>694</v>
      </c>
      <c r="D321" s="27" t="s">
        <v>220</v>
      </c>
      <c r="E321" s="29">
        <v>40082</v>
      </c>
      <c r="F321" s="27">
        <v>15</v>
      </c>
      <c r="G321" s="18">
        <v>74928.639999999999</v>
      </c>
      <c r="H321" s="27">
        <f t="shared" si="8"/>
        <v>74928.639999999999</v>
      </c>
      <c r="I321" s="18">
        <v>71182.210000000006</v>
      </c>
      <c r="J321" s="27">
        <v>74928.639999999999</v>
      </c>
      <c r="K321" s="18">
        <f t="shared" si="9"/>
        <v>74928.639999999999</v>
      </c>
      <c r="L321" s="27">
        <v>71182.210000000006</v>
      </c>
      <c r="M321" s="36">
        <v>0</v>
      </c>
      <c r="T321" s="41">
        <v>0</v>
      </c>
      <c r="U321" s="41">
        <v>0</v>
      </c>
      <c r="V321" s="42" t="s">
        <v>113</v>
      </c>
      <c r="W321" s="42">
        <v>74928.639999999999</v>
      </c>
      <c r="X321" s="42">
        <v>74928.639999999999</v>
      </c>
    </row>
    <row r="322" spans="1:24">
      <c r="A322" s="27" t="s">
        <v>695</v>
      </c>
      <c r="B322" s="28" t="s">
        <v>215</v>
      </c>
      <c r="C322" s="27" t="s">
        <v>696</v>
      </c>
      <c r="D322" s="27" t="s">
        <v>220</v>
      </c>
      <c r="E322" s="29">
        <v>40082</v>
      </c>
      <c r="F322" s="27">
        <v>15</v>
      </c>
      <c r="G322" s="18">
        <v>74928.62</v>
      </c>
      <c r="H322" s="27">
        <f t="shared" si="8"/>
        <v>74928.62</v>
      </c>
      <c r="I322" s="18">
        <v>71182.19</v>
      </c>
      <c r="J322" s="27">
        <v>74928.62</v>
      </c>
      <c r="K322" s="18">
        <f t="shared" si="9"/>
        <v>74928.62</v>
      </c>
      <c r="L322" s="27">
        <v>71182.19</v>
      </c>
      <c r="M322" s="36">
        <v>0</v>
      </c>
      <c r="T322" s="41">
        <v>0</v>
      </c>
      <c r="U322" s="41">
        <v>0</v>
      </c>
      <c r="V322" s="42" t="s">
        <v>113</v>
      </c>
      <c r="W322" s="42">
        <v>74928.62</v>
      </c>
      <c r="X322" s="42">
        <v>74928.62</v>
      </c>
    </row>
    <row r="323" spans="1:24">
      <c r="A323" s="27" t="s">
        <v>697</v>
      </c>
      <c r="B323" s="28" t="s">
        <v>215</v>
      </c>
      <c r="C323" s="27" t="s">
        <v>698</v>
      </c>
      <c r="D323" s="27" t="s">
        <v>118</v>
      </c>
      <c r="E323" s="29">
        <v>40082</v>
      </c>
      <c r="F323" s="27">
        <v>15</v>
      </c>
      <c r="G323" s="18">
        <v>440229.61</v>
      </c>
      <c r="H323" s="27">
        <f t="shared" si="8"/>
        <v>440229.61</v>
      </c>
      <c r="I323" s="18">
        <v>418218.13</v>
      </c>
      <c r="J323" s="27">
        <v>440229.61</v>
      </c>
      <c r="K323" s="18">
        <f t="shared" si="9"/>
        <v>440229.61</v>
      </c>
      <c r="L323" s="27">
        <v>418218.13</v>
      </c>
      <c r="M323" s="36">
        <v>0</v>
      </c>
      <c r="T323" s="41">
        <v>0</v>
      </c>
      <c r="U323" s="41">
        <v>0</v>
      </c>
      <c r="V323" s="42" t="s">
        <v>113</v>
      </c>
      <c r="W323" s="42">
        <v>440229.61</v>
      </c>
      <c r="X323" s="42">
        <v>440229.61</v>
      </c>
    </row>
    <row r="324" spans="1:24">
      <c r="A324" s="27" t="s">
        <v>699</v>
      </c>
      <c r="B324" s="28" t="s">
        <v>215</v>
      </c>
      <c r="C324" s="27" t="s">
        <v>700</v>
      </c>
      <c r="D324" s="27" t="s">
        <v>118</v>
      </c>
      <c r="E324" s="29">
        <v>40082</v>
      </c>
      <c r="F324" s="27">
        <v>15</v>
      </c>
      <c r="G324" s="18">
        <v>440229.61</v>
      </c>
      <c r="H324" s="27">
        <f t="shared" si="8"/>
        <v>440229.61</v>
      </c>
      <c r="I324" s="18">
        <v>418218.13</v>
      </c>
      <c r="J324" s="27">
        <v>440229.61</v>
      </c>
      <c r="K324" s="18">
        <f t="shared" si="9"/>
        <v>440229.61</v>
      </c>
      <c r="L324" s="27">
        <v>418218.13</v>
      </c>
      <c r="M324" s="36">
        <v>0</v>
      </c>
      <c r="T324" s="41">
        <v>0</v>
      </c>
      <c r="U324" s="41">
        <v>0</v>
      </c>
      <c r="V324" s="42" t="s">
        <v>113</v>
      </c>
      <c r="W324" s="42">
        <v>440229.61</v>
      </c>
      <c r="X324" s="42">
        <v>440229.61</v>
      </c>
    </row>
    <row r="325" spans="1:24">
      <c r="A325" s="27" t="s">
        <v>701</v>
      </c>
      <c r="B325" s="28" t="s">
        <v>215</v>
      </c>
      <c r="C325" s="27" t="s">
        <v>702</v>
      </c>
      <c r="D325" s="27" t="s">
        <v>118</v>
      </c>
      <c r="E325" s="29">
        <v>40082</v>
      </c>
      <c r="F325" s="27">
        <v>15</v>
      </c>
      <c r="G325" s="18">
        <v>440229.61</v>
      </c>
      <c r="H325" s="27">
        <f t="shared" si="8"/>
        <v>440229.61</v>
      </c>
      <c r="I325" s="18">
        <v>418218.13</v>
      </c>
      <c r="J325" s="27">
        <v>440229.61</v>
      </c>
      <c r="K325" s="18">
        <f t="shared" si="9"/>
        <v>440229.61</v>
      </c>
      <c r="L325" s="27">
        <v>418218.13</v>
      </c>
      <c r="M325" s="36">
        <v>0</v>
      </c>
      <c r="T325" s="41">
        <v>0</v>
      </c>
      <c r="U325" s="41">
        <v>0</v>
      </c>
      <c r="V325" s="42" t="s">
        <v>113</v>
      </c>
      <c r="W325" s="42">
        <v>440229.61</v>
      </c>
      <c r="X325" s="42">
        <v>440229.61</v>
      </c>
    </row>
    <row r="326" spans="1:24">
      <c r="A326" s="27" t="s">
        <v>703</v>
      </c>
      <c r="B326" s="28" t="s">
        <v>215</v>
      </c>
      <c r="C326" s="27" t="s">
        <v>574</v>
      </c>
      <c r="D326" s="27" t="s">
        <v>118</v>
      </c>
      <c r="E326" s="29">
        <v>40082</v>
      </c>
      <c r="F326" s="27">
        <v>15</v>
      </c>
      <c r="G326" s="18">
        <v>486356.18</v>
      </c>
      <c r="H326" s="27">
        <f t="shared" ref="H326:H389" si="10">IFERROR(IF(ROUND((G326-I326)/G326,2)&lt;=0.05,G326,0),0)</f>
        <v>486356.18</v>
      </c>
      <c r="I326" s="18">
        <v>462038.37</v>
      </c>
      <c r="J326" s="27">
        <v>486356.18</v>
      </c>
      <c r="K326" s="18">
        <f t="shared" ref="K326:K389" si="11">IFERROR(IF(ROUND((J326-L326)/J326,2)&lt;=0.05,J326,0),0)</f>
        <v>486356.18</v>
      </c>
      <c r="L326" s="27">
        <v>462038.37</v>
      </c>
      <c r="M326" s="36">
        <v>0</v>
      </c>
      <c r="T326" s="41">
        <v>0</v>
      </c>
      <c r="U326" s="41">
        <v>0</v>
      </c>
      <c r="V326" s="42" t="s">
        <v>113</v>
      </c>
      <c r="W326" s="42">
        <v>486356.18</v>
      </c>
      <c r="X326" s="42">
        <v>486356.18</v>
      </c>
    </row>
    <row r="327" spans="1:24">
      <c r="A327" s="27" t="s">
        <v>704</v>
      </c>
      <c r="B327" s="28" t="s">
        <v>215</v>
      </c>
      <c r="C327" s="27" t="s">
        <v>705</v>
      </c>
      <c r="D327" s="27" t="s">
        <v>118</v>
      </c>
      <c r="E327" s="29">
        <v>40082</v>
      </c>
      <c r="F327" s="27">
        <v>15</v>
      </c>
      <c r="G327" s="18">
        <v>84452.22</v>
      </c>
      <c r="H327" s="27">
        <f t="shared" si="10"/>
        <v>84452.22</v>
      </c>
      <c r="I327" s="18">
        <v>80229.61</v>
      </c>
      <c r="J327" s="27">
        <v>84452.22</v>
      </c>
      <c r="K327" s="18">
        <f t="shared" si="11"/>
        <v>84452.22</v>
      </c>
      <c r="L327" s="27">
        <v>80229.61</v>
      </c>
      <c r="M327" s="36">
        <v>0</v>
      </c>
      <c r="T327" s="41">
        <v>0</v>
      </c>
      <c r="U327" s="41">
        <v>0</v>
      </c>
      <c r="V327" s="42" t="s">
        <v>113</v>
      </c>
      <c r="W327" s="42">
        <v>84452.22</v>
      </c>
      <c r="X327" s="42">
        <v>84452.22</v>
      </c>
    </row>
    <row r="328" spans="1:24">
      <c r="A328" s="27" t="s">
        <v>706</v>
      </c>
      <c r="B328" s="28" t="s">
        <v>215</v>
      </c>
      <c r="C328" s="27" t="s">
        <v>707</v>
      </c>
      <c r="D328" s="27" t="s">
        <v>118</v>
      </c>
      <c r="E328" s="29">
        <v>40082</v>
      </c>
      <c r="F328" s="27">
        <v>15</v>
      </c>
      <c r="G328" s="18">
        <v>35937.11</v>
      </c>
      <c r="H328" s="27">
        <f t="shared" si="10"/>
        <v>35937.11</v>
      </c>
      <c r="I328" s="18">
        <v>34140.25</v>
      </c>
      <c r="J328" s="27">
        <v>35937.11</v>
      </c>
      <c r="K328" s="18">
        <f t="shared" si="11"/>
        <v>35937.11</v>
      </c>
      <c r="L328" s="27">
        <v>34140.25</v>
      </c>
      <c r="M328" s="36">
        <v>0</v>
      </c>
      <c r="T328" s="41">
        <v>0</v>
      </c>
      <c r="U328" s="41">
        <v>0</v>
      </c>
      <c r="V328" s="42" t="s">
        <v>113</v>
      </c>
      <c r="W328" s="42">
        <v>35937.11</v>
      </c>
      <c r="X328" s="42">
        <v>35937.11</v>
      </c>
    </row>
    <row r="329" spans="1:24">
      <c r="A329" s="27" t="s">
        <v>708</v>
      </c>
      <c r="B329" s="28" t="s">
        <v>215</v>
      </c>
      <c r="C329" s="27" t="s">
        <v>709</v>
      </c>
      <c r="D329" s="27" t="s">
        <v>118</v>
      </c>
      <c r="E329" s="29">
        <v>40082</v>
      </c>
      <c r="F329" s="27">
        <v>15</v>
      </c>
      <c r="G329" s="18">
        <v>35937.11</v>
      </c>
      <c r="H329" s="27">
        <f t="shared" si="10"/>
        <v>35937.11</v>
      </c>
      <c r="I329" s="18">
        <v>34140.25</v>
      </c>
      <c r="J329" s="27">
        <v>35937.11</v>
      </c>
      <c r="K329" s="18">
        <f t="shared" si="11"/>
        <v>35937.11</v>
      </c>
      <c r="L329" s="27">
        <v>34140.25</v>
      </c>
      <c r="M329" s="36">
        <v>0</v>
      </c>
      <c r="T329" s="41">
        <v>0</v>
      </c>
      <c r="U329" s="41">
        <v>0</v>
      </c>
      <c r="V329" s="42" t="s">
        <v>113</v>
      </c>
      <c r="W329" s="42">
        <v>35937.11</v>
      </c>
      <c r="X329" s="42">
        <v>35937.11</v>
      </c>
    </row>
    <row r="330" spans="1:24">
      <c r="A330" s="27" t="s">
        <v>710</v>
      </c>
      <c r="B330" s="28" t="s">
        <v>215</v>
      </c>
      <c r="C330" s="27" t="s">
        <v>711</v>
      </c>
      <c r="D330" s="27" t="s">
        <v>118</v>
      </c>
      <c r="E330" s="29">
        <v>40082</v>
      </c>
      <c r="F330" s="27">
        <v>15</v>
      </c>
      <c r="G330" s="18">
        <v>40698.82</v>
      </c>
      <c r="H330" s="27">
        <f t="shared" si="10"/>
        <v>40698.82</v>
      </c>
      <c r="I330" s="18">
        <v>38663.879999999997</v>
      </c>
      <c r="J330" s="27">
        <v>40698.82</v>
      </c>
      <c r="K330" s="18">
        <f t="shared" si="11"/>
        <v>40698.82</v>
      </c>
      <c r="L330" s="27">
        <v>38663.879999999997</v>
      </c>
      <c r="M330" s="36">
        <v>0</v>
      </c>
      <c r="T330" s="41">
        <v>0</v>
      </c>
      <c r="U330" s="41">
        <v>0</v>
      </c>
      <c r="V330" s="42" t="s">
        <v>113</v>
      </c>
      <c r="W330" s="42">
        <v>40698.82</v>
      </c>
      <c r="X330" s="42">
        <v>40698.82</v>
      </c>
    </row>
    <row r="331" spans="1:24">
      <c r="A331" s="27" t="s">
        <v>712</v>
      </c>
      <c r="B331" s="28" t="s">
        <v>215</v>
      </c>
      <c r="C331" s="27" t="s">
        <v>713</v>
      </c>
      <c r="D331" s="27" t="s">
        <v>118</v>
      </c>
      <c r="E331" s="29">
        <v>40082</v>
      </c>
      <c r="F331" s="27">
        <v>15</v>
      </c>
      <c r="G331" s="18">
        <v>64686.8</v>
      </c>
      <c r="H331" s="27">
        <f t="shared" si="10"/>
        <v>64686.8</v>
      </c>
      <c r="I331" s="18">
        <v>61452.46</v>
      </c>
      <c r="J331" s="27">
        <v>64686.8</v>
      </c>
      <c r="K331" s="18">
        <f t="shared" si="11"/>
        <v>64686.8</v>
      </c>
      <c r="L331" s="27">
        <v>61452.46</v>
      </c>
      <c r="M331" s="36">
        <v>0</v>
      </c>
      <c r="T331" s="41">
        <v>0</v>
      </c>
      <c r="U331" s="41">
        <v>0</v>
      </c>
      <c r="V331" s="42" t="s">
        <v>113</v>
      </c>
      <c r="W331" s="42">
        <v>64686.8</v>
      </c>
      <c r="X331" s="42">
        <v>64686.8</v>
      </c>
    </row>
    <row r="332" spans="1:24">
      <c r="A332" s="27" t="s">
        <v>714</v>
      </c>
      <c r="B332" s="28" t="s">
        <v>215</v>
      </c>
      <c r="C332" s="27" t="s">
        <v>715</v>
      </c>
      <c r="D332" s="27" t="s">
        <v>118</v>
      </c>
      <c r="E332" s="29">
        <v>40082</v>
      </c>
      <c r="F332" s="27">
        <v>15</v>
      </c>
      <c r="G332" s="18">
        <v>71340.3</v>
      </c>
      <c r="H332" s="27">
        <f t="shared" si="10"/>
        <v>71340.3</v>
      </c>
      <c r="I332" s="18">
        <v>67773.279999999999</v>
      </c>
      <c r="J332" s="27">
        <v>71340.3</v>
      </c>
      <c r="K332" s="18">
        <f t="shared" si="11"/>
        <v>71340.3</v>
      </c>
      <c r="L332" s="27">
        <v>67773.279999999999</v>
      </c>
      <c r="M332" s="36">
        <v>0</v>
      </c>
      <c r="T332" s="41">
        <v>0</v>
      </c>
      <c r="U332" s="41">
        <v>0</v>
      </c>
      <c r="V332" s="42" t="s">
        <v>113</v>
      </c>
      <c r="W332" s="42">
        <v>71340.3</v>
      </c>
      <c r="X332" s="42">
        <v>71340.3</v>
      </c>
    </row>
    <row r="333" spans="1:24">
      <c r="A333" s="27" t="s">
        <v>716</v>
      </c>
      <c r="B333" s="28" t="s">
        <v>215</v>
      </c>
      <c r="C333" s="27" t="s">
        <v>717</v>
      </c>
      <c r="D333" s="27" t="s">
        <v>118</v>
      </c>
      <c r="E333" s="29">
        <v>40082</v>
      </c>
      <c r="F333" s="27">
        <v>15</v>
      </c>
      <c r="G333" s="18">
        <v>12577.99</v>
      </c>
      <c r="H333" s="27">
        <f t="shared" si="10"/>
        <v>12577.99</v>
      </c>
      <c r="I333" s="18">
        <v>11949.09</v>
      </c>
      <c r="J333" s="27">
        <v>12577.99</v>
      </c>
      <c r="K333" s="18">
        <f t="shared" si="11"/>
        <v>12577.99</v>
      </c>
      <c r="L333" s="27">
        <v>11949.09</v>
      </c>
      <c r="M333" s="36">
        <v>0</v>
      </c>
      <c r="T333" s="41">
        <v>0</v>
      </c>
      <c r="U333" s="41">
        <v>0</v>
      </c>
      <c r="V333" s="42" t="s">
        <v>113</v>
      </c>
      <c r="W333" s="42">
        <v>12577.99</v>
      </c>
      <c r="X333" s="42">
        <v>12577.99</v>
      </c>
    </row>
    <row r="334" spans="1:24">
      <c r="A334" s="27" t="s">
        <v>718</v>
      </c>
      <c r="B334" s="28" t="s">
        <v>215</v>
      </c>
      <c r="C334" s="27" t="s">
        <v>719</v>
      </c>
      <c r="D334" s="27" t="s">
        <v>118</v>
      </c>
      <c r="E334" s="29">
        <v>40082</v>
      </c>
      <c r="F334" s="27">
        <v>15</v>
      </c>
      <c r="G334" s="18">
        <v>37733.97</v>
      </c>
      <c r="H334" s="27">
        <f t="shared" si="10"/>
        <v>37733.97</v>
      </c>
      <c r="I334" s="18">
        <v>35847.269999999997</v>
      </c>
      <c r="J334" s="27">
        <v>37733.97</v>
      </c>
      <c r="K334" s="18">
        <f t="shared" si="11"/>
        <v>37733.97</v>
      </c>
      <c r="L334" s="27">
        <v>35847.269999999997</v>
      </c>
      <c r="M334" s="36">
        <v>0</v>
      </c>
      <c r="T334" s="41">
        <v>0</v>
      </c>
      <c r="U334" s="41">
        <v>0</v>
      </c>
      <c r="V334" s="42" t="s">
        <v>113</v>
      </c>
      <c r="W334" s="42">
        <v>37733.97</v>
      </c>
      <c r="X334" s="42">
        <v>37733.97</v>
      </c>
    </row>
    <row r="335" spans="1:24">
      <c r="A335" s="27" t="s">
        <v>720</v>
      </c>
      <c r="B335" s="28" t="s">
        <v>215</v>
      </c>
      <c r="C335" s="27" t="s">
        <v>721</v>
      </c>
      <c r="D335" s="27" t="s">
        <v>118</v>
      </c>
      <c r="E335" s="29">
        <v>40082</v>
      </c>
      <c r="F335" s="27">
        <v>15</v>
      </c>
      <c r="G335" s="18">
        <v>25155.98</v>
      </c>
      <c r="H335" s="27">
        <f t="shared" si="10"/>
        <v>25155.98</v>
      </c>
      <c r="I335" s="18">
        <v>23898.18</v>
      </c>
      <c r="J335" s="27">
        <v>25155.98</v>
      </c>
      <c r="K335" s="18">
        <f t="shared" si="11"/>
        <v>25155.98</v>
      </c>
      <c r="L335" s="27">
        <v>23898.18</v>
      </c>
      <c r="M335" s="36">
        <v>0</v>
      </c>
      <c r="T335" s="41">
        <v>0</v>
      </c>
      <c r="U335" s="41">
        <v>0</v>
      </c>
      <c r="V335" s="42" t="s">
        <v>113</v>
      </c>
      <c r="W335" s="42">
        <v>25155.98</v>
      </c>
      <c r="X335" s="42">
        <v>25155.98</v>
      </c>
    </row>
    <row r="336" spans="1:24">
      <c r="A336" s="27" t="s">
        <v>722</v>
      </c>
      <c r="B336" s="28" t="s">
        <v>215</v>
      </c>
      <c r="C336" s="27" t="s">
        <v>723</v>
      </c>
      <c r="D336" s="27" t="s">
        <v>118</v>
      </c>
      <c r="E336" s="29">
        <v>40082</v>
      </c>
      <c r="F336" s="27">
        <v>15</v>
      </c>
      <c r="G336" s="18">
        <v>37733.97</v>
      </c>
      <c r="H336" s="27">
        <f t="shared" si="10"/>
        <v>37733.97</v>
      </c>
      <c r="I336" s="18">
        <v>35847.269999999997</v>
      </c>
      <c r="J336" s="27">
        <v>37733.97</v>
      </c>
      <c r="K336" s="18">
        <f t="shared" si="11"/>
        <v>37733.97</v>
      </c>
      <c r="L336" s="27">
        <v>35847.269999999997</v>
      </c>
      <c r="M336" s="36">
        <v>0</v>
      </c>
      <c r="T336" s="41">
        <v>0</v>
      </c>
      <c r="U336" s="41">
        <v>0</v>
      </c>
      <c r="V336" s="42" t="s">
        <v>113</v>
      </c>
      <c r="W336" s="42">
        <v>37733.97</v>
      </c>
      <c r="X336" s="42">
        <v>37733.97</v>
      </c>
    </row>
    <row r="337" spans="1:24">
      <c r="A337" s="27" t="s">
        <v>724</v>
      </c>
      <c r="B337" s="28" t="s">
        <v>215</v>
      </c>
      <c r="C337" s="27" t="s">
        <v>725</v>
      </c>
      <c r="D337" s="27" t="s">
        <v>118</v>
      </c>
      <c r="E337" s="29">
        <v>40082</v>
      </c>
      <c r="F337" s="27">
        <v>15</v>
      </c>
      <c r="G337" s="18">
        <v>25155.98</v>
      </c>
      <c r="H337" s="27">
        <f t="shared" si="10"/>
        <v>25155.98</v>
      </c>
      <c r="I337" s="18">
        <v>23898.18</v>
      </c>
      <c r="J337" s="27">
        <v>25155.98</v>
      </c>
      <c r="K337" s="18">
        <f t="shared" si="11"/>
        <v>25155.98</v>
      </c>
      <c r="L337" s="27">
        <v>23898.18</v>
      </c>
      <c r="M337" s="36">
        <v>0</v>
      </c>
      <c r="T337" s="41">
        <v>0</v>
      </c>
      <c r="U337" s="41">
        <v>0</v>
      </c>
      <c r="V337" s="42" t="s">
        <v>113</v>
      </c>
      <c r="W337" s="42">
        <v>25155.98</v>
      </c>
      <c r="X337" s="42">
        <v>25155.98</v>
      </c>
    </row>
    <row r="338" spans="1:24">
      <c r="A338" s="27" t="s">
        <v>726</v>
      </c>
      <c r="B338" s="28" t="s">
        <v>215</v>
      </c>
      <c r="C338" s="27" t="s">
        <v>727</v>
      </c>
      <c r="D338" s="27" t="s">
        <v>118</v>
      </c>
      <c r="E338" s="29">
        <v>40082</v>
      </c>
      <c r="F338" s="27">
        <v>15</v>
      </c>
      <c r="G338" s="18">
        <v>25155.98</v>
      </c>
      <c r="H338" s="27">
        <f t="shared" si="10"/>
        <v>25155.98</v>
      </c>
      <c r="I338" s="18">
        <v>23898.18</v>
      </c>
      <c r="J338" s="27">
        <v>25155.98</v>
      </c>
      <c r="K338" s="18">
        <f t="shared" si="11"/>
        <v>25155.98</v>
      </c>
      <c r="L338" s="27">
        <v>23898.18</v>
      </c>
      <c r="M338" s="36">
        <v>0</v>
      </c>
      <c r="T338" s="41">
        <v>0</v>
      </c>
      <c r="U338" s="41">
        <v>0</v>
      </c>
      <c r="V338" s="42" t="s">
        <v>113</v>
      </c>
      <c r="W338" s="42">
        <v>25155.98</v>
      </c>
      <c r="X338" s="42">
        <v>25155.98</v>
      </c>
    </row>
    <row r="339" spans="1:24">
      <c r="A339" s="27" t="s">
        <v>728</v>
      </c>
      <c r="B339" s="28" t="s">
        <v>215</v>
      </c>
      <c r="C339" s="27" t="s">
        <v>729</v>
      </c>
      <c r="D339" s="27" t="s">
        <v>118</v>
      </c>
      <c r="E339" s="29">
        <v>40082</v>
      </c>
      <c r="F339" s="27">
        <v>15</v>
      </c>
      <c r="G339" s="18">
        <v>53287.62</v>
      </c>
      <c r="H339" s="27">
        <f t="shared" si="10"/>
        <v>53287.62</v>
      </c>
      <c r="I339" s="18">
        <v>50623.24</v>
      </c>
      <c r="J339" s="27">
        <v>53287.62</v>
      </c>
      <c r="K339" s="18">
        <f t="shared" si="11"/>
        <v>53287.62</v>
      </c>
      <c r="L339" s="27">
        <v>50623.24</v>
      </c>
      <c r="M339" s="36">
        <v>0</v>
      </c>
      <c r="T339" s="41">
        <v>0</v>
      </c>
      <c r="U339" s="41">
        <v>0</v>
      </c>
      <c r="V339" s="42" t="s">
        <v>113</v>
      </c>
      <c r="W339" s="42">
        <v>53287.62</v>
      </c>
      <c r="X339" s="42">
        <v>53287.62</v>
      </c>
    </row>
    <row r="340" spans="1:24">
      <c r="A340" s="27" t="s">
        <v>730</v>
      </c>
      <c r="B340" s="28" t="s">
        <v>215</v>
      </c>
      <c r="C340" s="27" t="s">
        <v>731</v>
      </c>
      <c r="D340" s="27" t="s">
        <v>118</v>
      </c>
      <c r="E340" s="29">
        <v>40082</v>
      </c>
      <c r="F340" s="27">
        <v>15</v>
      </c>
      <c r="G340" s="18">
        <v>29755.98</v>
      </c>
      <c r="H340" s="27">
        <f t="shared" si="10"/>
        <v>29755.98</v>
      </c>
      <c r="I340" s="18">
        <v>28268.18</v>
      </c>
      <c r="J340" s="27">
        <v>29755.98</v>
      </c>
      <c r="K340" s="18">
        <f t="shared" si="11"/>
        <v>29755.98</v>
      </c>
      <c r="L340" s="27">
        <v>28268.18</v>
      </c>
      <c r="M340" s="36">
        <v>0</v>
      </c>
      <c r="T340" s="41">
        <v>0</v>
      </c>
      <c r="U340" s="41">
        <v>0</v>
      </c>
      <c r="V340" s="42" t="s">
        <v>113</v>
      </c>
      <c r="W340" s="42">
        <v>29755.98</v>
      </c>
      <c r="X340" s="42">
        <v>29755.98</v>
      </c>
    </row>
    <row r="341" spans="1:24">
      <c r="A341" s="27" t="s">
        <v>732</v>
      </c>
      <c r="B341" s="28" t="s">
        <v>215</v>
      </c>
      <c r="C341" s="27" t="s">
        <v>733</v>
      </c>
      <c r="D341" s="27" t="s">
        <v>118</v>
      </c>
      <c r="E341" s="29">
        <v>40082</v>
      </c>
      <c r="F341" s="27">
        <v>15</v>
      </c>
      <c r="G341" s="18">
        <v>37733.94</v>
      </c>
      <c r="H341" s="27">
        <f t="shared" si="10"/>
        <v>37733.94</v>
      </c>
      <c r="I341" s="18">
        <v>35847.24</v>
      </c>
      <c r="J341" s="27">
        <v>37733.94</v>
      </c>
      <c r="K341" s="18">
        <f t="shared" si="11"/>
        <v>37733.94</v>
      </c>
      <c r="L341" s="27">
        <v>35847.24</v>
      </c>
      <c r="M341" s="36">
        <v>0</v>
      </c>
      <c r="T341" s="41">
        <v>0</v>
      </c>
      <c r="U341" s="41">
        <v>0</v>
      </c>
      <c r="V341" s="42" t="s">
        <v>113</v>
      </c>
      <c r="W341" s="42">
        <v>37733.94</v>
      </c>
      <c r="X341" s="42">
        <v>37733.94</v>
      </c>
    </row>
    <row r="342" spans="1:24">
      <c r="A342" s="27" t="s">
        <v>734</v>
      </c>
      <c r="B342" s="28" t="s">
        <v>215</v>
      </c>
      <c r="C342" s="27" t="s">
        <v>735</v>
      </c>
      <c r="D342" s="27" t="s">
        <v>118</v>
      </c>
      <c r="E342" s="29">
        <v>40083</v>
      </c>
      <c r="F342" s="27">
        <v>15</v>
      </c>
      <c r="G342" s="18">
        <v>24257.55</v>
      </c>
      <c r="H342" s="27">
        <f t="shared" si="10"/>
        <v>24257.55</v>
      </c>
      <c r="I342" s="18">
        <v>23044.67</v>
      </c>
      <c r="J342" s="27">
        <v>24257.55</v>
      </c>
      <c r="K342" s="18">
        <f t="shared" si="11"/>
        <v>24257.55</v>
      </c>
      <c r="L342" s="27">
        <v>23044.67</v>
      </c>
      <c r="M342" s="36">
        <v>0</v>
      </c>
      <c r="T342" s="41">
        <v>0</v>
      </c>
      <c r="U342" s="41">
        <v>0</v>
      </c>
      <c r="V342" s="42" t="s">
        <v>113</v>
      </c>
      <c r="W342" s="42">
        <v>24257.55</v>
      </c>
      <c r="X342" s="42">
        <v>24257.55</v>
      </c>
    </row>
    <row r="343" spans="1:24">
      <c r="A343" s="27" t="s">
        <v>736</v>
      </c>
      <c r="B343" s="28" t="s">
        <v>215</v>
      </c>
      <c r="C343" s="27" t="s">
        <v>737</v>
      </c>
      <c r="D343" s="27" t="s">
        <v>118</v>
      </c>
      <c r="E343" s="29">
        <v>40083</v>
      </c>
      <c r="F343" s="27">
        <v>15</v>
      </c>
      <c r="G343" s="18">
        <v>24257.55</v>
      </c>
      <c r="H343" s="27">
        <f t="shared" si="10"/>
        <v>24257.55</v>
      </c>
      <c r="I343" s="18">
        <v>23044.67</v>
      </c>
      <c r="J343" s="27">
        <v>24257.55</v>
      </c>
      <c r="K343" s="18">
        <f t="shared" si="11"/>
        <v>24257.55</v>
      </c>
      <c r="L343" s="27">
        <v>23044.67</v>
      </c>
      <c r="M343" s="36">
        <v>0</v>
      </c>
      <c r="T343" s="41">
        <v>0</v>
      </c>
      <c r="U343" s="41">
        <v>0</v>
      </c>
      <c r="V343" s="42" t="s">
        <v>113</v>
      </c>
      <c r="W343" s="42">
        <v>24257.55</v>
      </c>
      <c r="X343" s="42">
        <v>24257.55</v>
      </c>
    </row>
    <row r="344" spans="1:24">
      <c r="A344" s="27" t="s">
        <v>738</v>
      </c>
      <c r="B344" s="28" t="s">
        <v>215</v>
      </c>
      <c r="C344" s="27" t="s">
        <v>739</v>
      </c>
      <c r="D344" s="27" t="s">
        <v>118</v>
      </c>
      <c r="E344" s="29">
        <v>40083</v>
      </c>
      <c r="F344" s="27">
        <v>15</v>
      </c>
      <c r="G344" s="18">
        <v>24257.55</v>
      </c>
      <c r="H344" s="27">
        <f t="shared" si="10"/>
        <v>24257.55</v>
      </c>
      <c r="I344" s="18">
        <v>23044.67</v>
      </c>
      <c r="J344" s="27">
        <v>24257.55</v>
      </c>
      <c r="K344" s="18">
        <f t="shared" si="11"/>
        <v>24257.55</v>
      </c>
      <c r="L344" s="27">
        <v>23044.67</v>
      </c>
      <c r="M344" s="36">
        <v>0</v>
      </c>
      <c r="T344" s="41">
        <v>0</v>
      </c>
      <c r="U344" s="41">
        <v>0</v>
      </c>
      <c r="V344" s="42" t="s">
        <v>113</v>
      </c>
      <c r="W344" s="42">
        <v>24257.55</v>
      </c>
      <c r="X344" s="42">
        <v>24257.55</v>
      </c>
    </row>
    <row r="345" spans="1:24">
      <c r="A345" s="27" t="s">
        <v>740</v>
      </c>
      <c r="B345" s="28" t="s">
        <v>215</v>
      </c>
      <c r="C345" s="27" t="s">
        <v>741</v>
      </c>
      <c r="D345" s="27" t="s">
        <v>118</v>
      </c>
      <c r="E345" s="29">
        <v>40083</v>
      </c>
      <c r="F345" s="27">
        <v>15</v>
      </c>
      <c r="G345" s="18">
        <v>24257.55</v>
      </c>
      <c r="H345" s="27">
        <f t="shared" si="10"/>
        <v>24257.55</v>
      </c>
      <c r="I345" s="18">
        <v>23044.67</v>
      </c>
      <c r="J345" s="27">
        <v>24257.55</v>
      </c>
      <c r="K345" s="18">
        <f t="shared" si="11"/>
        <v>24257.55</v>
      </c>
      <c r="L345" s="27">
        <v>23044.67</v>
      </c>
      <c r="M345" s="36">
        <v>0</v>
      </c>
      <c r="T345" s="41">
        <v>0</v>
      </c>
      <c r="U345" s="41">
        <v>0</v>
      </c>
      <c r="V345" s="42" t="s">
        <v>113</v>
      </c>
      <c r="W345" s="42">
        <v>24257.55</v>
      </c>
      <c r="X345" s="42">
        <v>24257.55</v>
      </c>
    </row>
    <row r="346" spans="1:24">
      <c r="A346" s="27" t="s">
        <v>742</v>
      </c>
      <c r="B346" s="28" t="s">
        <v>215</v>
      </c>
      <c r="C346" s="27" t="s">
        <v>743</v>
      </c>
      <c r="D346" s="27" t="s">
        <v>118</v>
      </c>
      <c r="E346" s="29">
        <v>40083</v>
      </c>
      <c r="F346" s="27">
        <v>15</v>
      </c>
      <c r="G346" s="18">
        <v>24257.55</v>
      </c>
      <c r="H346" s="27">
        <f t="shared" si="10"/>
        <v>24257.55</v>
      </c>
      <c r="I346" s="18">
        <v>23044.67</v>
      </c>
      <c r="J346" s="27">
        <v>24257.55</v>
      </c>
      <c r="K346" s="18">
        <f t="shared" si="11"/>
        <v>24257.55</v>
      </c>
      <c r="L346" s="27">
        <v>23044.67</v>
      </c>
      <c r="M346" s="36">
        <v>0</v>
      </c>
      <c r="T346" s="41">
        <v>0</v>
      </c>
      <c r="U346" s="41">
        <v>0</v>
      </c>
      <c r="V346" s="42" t="s">
        <v>113</v>
      </c>
      <c r="W346" s="42">
        <v>24257.55</v>
      </c>
      <c r="X346" s="42">
        <v>24257.55</v>
      </c>
    </row>
    <row r="347" spans="1:24">
      <c r="A347" s="27" t="s">
        <v>744</v>
      </c>
      <c r="B347" s="28" t="s">
        <v>215</v>
      </c>
      <c r="C347" s="27" t="s">
        <v>745</v>
      </c>
      <c r="D347" s="27" t="s">
        <v>118</v>
      </c>
      <c r="E347" s="29">
        <v>40083</v>
      </c>
      <c r="F347" s="27">
        <v>15</v>
      </c>
      <c r="G347" s="18">
        <v>24257.55</v>
      </c>
      <c r="H347" s="27">
        <f t="shared" si="10"/>
        <v>24257.55</v>
      </c>
      <c r="I347" s="18">
        <v>23044.67</v>
      </c>
      <c r="J347" s="27">
        <v>24257.55</v>
      </c>
      <c r="K347" s="18">
        <f t="shared" si="11"/>
        <v>24257.55</v>
      </c>
      <c r="L347" s="27">
        <v>23044.67</v>
      </c>
      <c r="M347" s="36">
        <v>0</v>
      </c>
      <c r="T347" s="41">
        <v>0</v>
      </c>
      <c r="U347" s="41">
        <v>0</v>
      </c>
      <c r="V347" s="42" t="s">
        <v>113</v>
      </c>
      <c r="W347" s="42">
        <v>24257.55</v>
      </c>
      <c r="X347" s="42">
        <v>24257.55</v>
      </c>
    </row>
    <row r="348" spans="1:24">
      <c r="A348" s="27" t="s">
        <v>746</v>
      </c>
      <c r="B348" s="28" t="s">
        <v>215</v>
      </c>
      <c r="C348" s="27" t="s">
        <v>747</v>
      </c>
      <c r="D348" s="27" t="s">
        <v>118</v>
      </c>
      <c r="E348" s="29">
        <v>40083</v>
      </c>
      <c r="F348" s="27">
        <v>15</v>
      </c>
      <c r="G348" s="18">
        <v>24257.55</v>
      </c>
      <c r="H348" s="27">
        <f t="shared" si="10"/>
        <v>24257.55</v>
      </c>
      <c r="I348" s="18">
        <v>23044.67</v>
      </c>
      <c r="J348" s="27">
        <v>24257.55</v>
      </c>
      <c r="K348" s="18">
        <f t="shared" si="11"/>
        <v>24257.55</v>
      </c>
      <c r="L348" s="27">
        <v>23044.67</v>
      </c>
      <c r="M348" s="36">
        <v>0</v>
      </c>
      <c r="T348" s="41">
        <v>0</v>
      </c>
      <c r="U348" s="41">
        <v>0</v>
      </c>
      <c r="V348" s="42" t="s">
        <v>113</v>
      </c>
      <c r="W348" s="42">
        <v>24257.55</v>
      </c>
      <c r="X348" s="42">
        <v>24257.55</v>
      </c>
    </row>
    <row r="349" spans="1:24">
      <c r="A349" s="27" t="s">
        <v>748</v>
      </c>
      <c r="B349" s="28" t="s">
        <v>215</v>
      </c>
      <c r="C349" s="27" t="s">
        <v>749</v>
      </c>
      <c r="D349" s="27" t="s">
        <v>118</v>
      </c>
      <c r="E349" s="29">
        <v>40083</v>
      </c>
      <c r="F349" s="27">
        <v>15</v>
      </c>
      <c r="G349" s="18">
        <v>24257.55</v>
      </c>
      <c r="H349" s="27">
        <f t="shared" si="10"/>
        <v>24257.55</v>
      </c>
      <c r="I349" s="18">
        <v>23044.67</v>
      </c>
      <c r="J349" s="27">
        <v>24257.55</v>
      </c>
      <c r="K349" s="18">
        <f t="shared" si="11"/>
        <v>24257.55</v>
      </c>
      <c r="L349" s="27">
        <v>23044.67</v>
      </c>
      <c r="M349" s="36">
        <v>0</v>
      </c>
      <c r="T349" s="41">
        <v>0</v>
      </c>
      <c r="U349" s="41">
        <v>0</v>
      </c>
      <c r="V349" s="42" t="s">
        <v>113</v>
      </c>
      <c r="W349" s="42">
        <v>24257.55</v>
      </c>
      <c r="X349" s="42">
        <v>24257.55</v>
      </c>
    </row>
    <row r="350" spans="1:24">
      <c r="A350" s="27" t="s">
        <v>750</v>
      </c>
      <c r="B350" s="28" t="s">
        <v>215</v>
      </c>
      <c r="C350" s="27" t="s">
        <v>644</v>
      </c>
      <c r="D350" s="27" t="s">
        <v>118</v>
      </c>
      <c r="E350" s="29">
        <v>40083</v>
      </c>
      <c r="F350" s="27">
        <v>15</v>
      </c>
      <c r="G350" s="18">
        <v>24257.55</v>
      </c>
      <c r="H350" s="27">
        <f t="shared" si="10"/>
        <v>24257.55</v>
      </c>
      <c r="I350" s="18">
        <v>23044.67</v>
      </c>
      <c r="J350" s="27">
        <v>24257.55</v>
      </c>
      <c r="K350" s="18">
        <f t="shared" si="11"/>
        <v>24257.55</v>
      </c>
      <c r="L350" s="27">
        <v>23044.67</v>
      </c>
      <c r="M350" s="36">
        <v>0</v>
      </c>
      <c r="T350" s="41">
        <v>0</v>
      </c>
      <c r="U350" s="41">
        <v>0</v>
      </c>
      <c r="V350" s="42" t="s">
        <v>113</v>
      </c>
      <c r="W350" s="42">
        <v>24257.55</v>
      </c>
      <c r="X350" s="42">
        <v>24257.55</v>
      </c>
    </row>
    <row r="351" spans="1:24">
      <c r="A351" s="27" t="s">
        <v>751</v>
      </c>
      <c r="B351" s="28" t="s">
        <v>215</v>
      </c>
      <c r="C351" s="27" t="s">
        <v>646</v>
      </c>
      <c r="D351" s="27" t="s">
        <v>118</v>
      </c>
      <c r="E351" s="29">
        <v>40083</v>
      </c>
      <c r="F351" s="27">
        <v>15</v>
      </c>
      <c r="G351" s="18">
        <v>24257.55</v>
      </c>
      <c r="H351" s="27">
        <f t="shared" si="10"/>
        <v>24257.55</v>
      </c>
      <c r="I351" s="18">
        <v>23044.67</v>
      </c>
      <c r="J351" s="27">
        <v>24257.55</v>
      </c>
      <c r="K351" s="18">
        <f t="shared" si="11"/>
        <v>24257.55</v>
      </c>
      <c r="L351" s="27">
        <v>23044.67</v>
      </c>
      <c r="M351" s="36">
        <v>0</v>
      </c>
      <c r="T351" s="41">
        <v>0</v>
      </c>
      <c r="U351" s="41">
        <v>0</v>
      </c>
      <c r="V351" s="42" t="s">
        <v>113</v>
      </c>
      <c r="W351" s="42">
        <v>24257.55</v>
      </c>
      <c r="X351" s="42">
        <v>24257.55</v>
      </c>
    </row>
    <row r="352" spans="1:24">
      <c r="A352" s="27" t="s">
        <v>752</v>
      </c>
      <c r="B352" s="28" t="s">
        <v>215</v>
      </c>
      <c r="C352" s="27" t="s">
        <v>648</v>
      </c>
      <c r="D352" s="27" t="s">
        <v>118</v>
      </c>
      <c r="E352" s="29">
        <v>40083</v>
      </c>
      <c r="F352" s="27">
        <v>15</v>
      </c>
      <c r="G352" s="18">
        <v>24257.55</v>
      </c>
      <c r="H352" s="27">
        <f t="shared" si="10"/>
        <v>24257.55</v>
      </c>
      <c r="I352" s="18">
        <v>23044.67</v>
      </c>
      <c r="J352" s="27">
        <v>24257.55</v>
      </c>
      <c r="K352" s="18">
        <f t="shared" si="11"/>
        <v>24257.55</v>
      </c>
      <c r="L352" s="27">
        <v>23044.67</v>
      </c>
      <c r="M352" s="36">
        <v>0</v>
      </c>
      <c r="T352" s="41">
        <v>0</v>
      </c>
      <c r="U352" s="41">
        <v>0</v>
      </c>
      <c r="V352" s="42" t="s">
        <v>113</v>
      </c>
      <c r="W352" s="42">
        <v>24257.55</v>
      </c>
      <c r="X352" s="42">
        <v>24257.55</v>
      </c>
    </row>
    <row r="353" spans="1:24">
      <c r="A353" s="27" t="s">
        <v>753</v>
      </c>
      <c r="B353" s="28" t="s">
        <v>215</v>
      </c>
      <c r="C353" s="27" t="s">
        <v>754</v>
      </c>
      <c r="D353" s="27" t="s">
        <v>118</v>
      </c>
      <c r="E353" s="29">
        <v>40083</v>
      </c>
      <c r="F353" s="27">
        <v>15</v>
      </c>
      <c r="G353" s="18">
        <v>39687.230000000003</v>
      </c>
      <c r="H353" s="27">
        <f t="shared" si="10"/>
        <v>0</v>
      </c>
      <c r="I353" s="18">
        <v>36909.22</v>
      </c>
      <c r="J353" s="27">
        <v>39687.230000000003</v>
      </c>
      <c r="K353" s="18">
        <f t="shared" si="11"/>
        <v>0</v>
      </c>
      <c r="L353" s="27">
        <v>37410.47</v>
      </c>
      <c r="M353" s="36">
        <v>501.25</v>
      </c>
      <c r="T353" s="41">
        <v>0</v>
      </c>
      <c r="U353" s="41">
        <v>0</v>
      </c>
      <c r="V353" s="42" t="s">
        <v>113</v>
      </c>
      <c r="W353" s="42">
        <v>0</v>
      </c>
      <c r="X353" s="42">
        <v>0</v>
      </c>
    </row>
    <row r="354" spans="1:24">
      <c r="A354" s="27" t="s">
        <v>755</v>
      </c>
      <c r="B354" s="28" t="s">
        <v>215</v>
      </c>
      <c r="C354" s="27" t="s">
        <v>756</v>
      </c>
      <c r="D354" s="27" t="s">
        <v>118</v>
      </c>
      <c r="E354" s="29">
        <v>40083</v>
      </c>
      <c r="F354" s="27">
        <v>15</v>
      </c>
      <c r="G354" s="18">
        <v>65585.23</v>
      </c>
      <c r="H354" s="27">
        <f t="shared" si="10"/>
        <v>65585.23</v>
      </c>
      <c r="I354" s="18">
        <v>62305.97</v>
      </c>
      <c r="J354" s="27">
        <v>65585.23</v>
      </c>
      <c r="K354" s="18">
        <f t="shared" si="11"/>
        <v>65585.23</v>
      </c>
      <c r="L354" s="27">
        <v>62305.97</v>
      </c>
      <c r="M354" s="36">
        <v>0</v>
      </c>
      <c r="T354" s="41">
        <v>0</v>
      </c>
      <c r="U354" s="41">
        <v>0</v>
      </c>
      <c r="V354" s="42" t="s">
        <v>113</v>
      </c>
      <c r="W354" s="42">
        <v>65585.23</v>
      </c>
      <c r="X354" s="42">
        <v>65585.23</v>
      </c>
    </row>
    <row r="355" spans="1:24">
      <c r="A355" s="27" t="s">
        <v>757</v>
      </c>
      <c r="B355" s="28" t="s">
        <v>215</v>
      </c>
      <c r="C355" s="27" t="s">
        <v>758</v>
      </c>
      <c r="D355" s="27" t="s">
        <v>118</v>
      </c>
      <c r="E355" s="29">
        <v>40083</v>
      </c>
      <c r="F355" s="27">
        <v>15</v>
      </c>
      <c r="G355" s="18">
        <v>65585.23</v>
      </c>
      <c r="H355" s="27">
        <f t="shared" si="10"/>
        <v>65585.23</v>
      </c>
      <c r="I355" s="18">
        <v>62305.97</v>
      </c>
      <c r="J355" s="27">
        <v>65585.23</v>
      </c>
      <c r="K355" s="18">
        <f t="shared" si="11"/>
        <v>65585.23</v>
      </c>
      <c r="L355" s="27">
        <v>62305.97</v>
      </c>
      <c r="M355" s="36">
        <v>0</v>
      </c>
      <c r="T355" s="41">
        <v>0</v>
      </c>
      <c r="U355" s="41">
        <v>0</v>
      </c>
      <c r="V355" s="42" t="s">
        <v>113</v>
      </c>
      <c r="W355" s="42">
        <v>65585.23</v>
      </c>
      <c r="X355" s="42">
        <v>65585.23</v>
      </c>
    </row>
    <row r="356" spans="1:24">
      <c r="A356" s="27" t="s">
        <v>759</v>
      </c>
      <c r="B356" s="28" t="s">
        <v>215</v>
      </c>
      <c r="C356" s="27" t="s">
        <v>760</v>
      </c>
      <c r="D356" s="27" t="s">
        <v>118</v>
      </c>
      <c r="E356" s="29">
        <v>40083</v>
      </c>
      <c r="F356" s="27">
        <v>15</v>
      </c>
      <c r="G356" s="18">
        <v>39687.230000000003</v>
      </c>
      <c r="H356" s="27">
        <f t="shared" si="10"/>
        <v>0</v>
      </c>
      <c r="I356" s="18">
        <v>36909.22</v>
      </c>
      <c r="J356" s="27">
        <v>39687.230000000003</v>
      </c>
      <c r="K356" s="18">
        <f t="shared" si="11"/>
        <v>0</v>
      </c>
      <c r="L356" s="27">
        <v>37410.47</v>
      </c>
      <c r="M356" s="36">
        <v>501.25</v>
      </c>
      <c r="T356" s="41">
        <v>0</v>
      </c>
      <c r="U356" s="41">
        <v>0</v>
      </c>
      <c r="V356" s="42" t="s">
        <v>113</v>
      </c>
      <c r="W356" s="42">
        <v>0</v>
      </c>
      <c r="X356" s="42">
        <v>0</v>
      </c>
    </row>
    <row r="357" spans="1:24">
      <c r="A357" s="27" t="s">
        <v>761</v>
      </c>
      <c r="B357" s="28" t="s">
        <v>215</v>
      </c>
      <c r="C357" s="27" t="s">
        <v>762</v>
      </c>
      <c r="D357" s="27" t="s">
        <v>118</v>
      </c>
      <c r="E357" s="29">
        <v>40083</v>
      </c>
      <c r="F357" s="27">
        <v>15</v>
      </c>
      <c r="G357" s="18">
        <v>39687.230000000003</v>
      </c>
      <c r="H357" s="27">
        <f t="shared" si="10"/>
        <v>0</v>
      </c>
      <c r="I357" s="18">
        <v>36909.22</v>
      </c>
      <c r="J357" s="27">
        <v>39687.230000000003</v>
      </c>
      <c r="K357" s="18">
        <f t="shared" si="11"/>
        <v>0</v>
      </c>
      <c r="L357" s="27">
        <v>37410.47</v>
      </c>
      <c r="M357" s="36">
        <v>501.25</v>
      </c>
      <c r="T357" s="41">
        <v>0</v>
      </c>
      <c r="U357" s="41">
        <v>0</v>
      </c>
      <c r="V357" s="42" t="s">
        <v>113</v>
      </c>
      <c r="W357" s="42">
        <v>0</v>
      </c>
      <c r="X357" s="42">
        <v>0</v>
      </c>
    </row>
    <row r="358" spans="1:24">
      <c r="A358" s="27" t="s">
        <v>763</v>
      </c>
      <c r="B358" s="28" t="s">
        <v>215</v>
      </c>
      <c r="C358" s="27" t="s">
        <v>764</v>
      </c>
      <c r="D358" s="27" t="s">
        <v>118</v>
      </c>
      <c r="E358" s="29">
        <v>40083</v>
      </c>
      <c r="F358" s="27">
        <v>15</v>
      </c>
      <c r="G358" s="18">
        <v>39687.21</v>
      </c>
      <c r="H358" s="27">
        <f t="shared" si="10"/>
        <v>0</v>
      </c>
      <c r="I358" s="18">
        <v>36909.199999999997</v>
      </c>
      <c r="J358" s="27">
        <v>39687.21</v>
      </c>
      <c r="K358" s="18">
        <f t="shared" si="11"/>
        <v>0</v>
      </c>
      <c r="L358" s="27">
        <v>37410.449999999997</v>
      </c>
      <c r="M358" s="36">
        <v>501.25</v>
      </c>
      <c r="T358" s="41">
        <v>0</v>
      </c>
      <c r="U358" s="41">
        <v>0</v>
      </c>
      <c r="V358" s="42" t="s">
        <v>113</v>
      </c>
      <c r="W358" s="42">
        <v>0</v>
      </c>
      <c r="X358" s="42">
        <v>0</v>
      </c>
    </row>
    <row r="359" spans="1:24">
      <c r="A359" s="27" t="s">
        <v>765</v>
      </c>
      <c r="B359" s="28" t="s">
        <v>215</v>
      </c>
      <c r="C359" s="27" t="s">
        <v>766</v>
      </c>
      <c r="D359" s="27" t="s">
        <v>118</v>
      </c>
      <c r="E359" s="29">
        <v>40083</v>
      </c>
      <c r="F359" s="27">
        <v>15</v>
      </c>
      <c r="G359" s="18">
        <v>21697.03</v>
      </c>
      <c r="H359" s="27">
        <f t="shared" si="10"/>
        <v>21697.03</v>
      </c>
      <c r="I359" s="18">
        <v>20612.18</v>
      </c>
      <c r="J359" s="27">
        <v>21697.03</v>
      </c>
      <c r="K359" s="18">
        <f t="shared" si="11"/>
        <v>21697.03</v>
      </c>
      <c r="L359" s="27">
        <v>20612.18</v>
      </c>
      <c r="M359" s="36">
        <v>0</v>
      </c>
      <c r="T359" s="41">
        <v>0</v>
      </c>
      <c r="U359" s="41">
        <v>0</v>
      </c>
      <c r="V359" s="42" t="s">
        <v>113</v>
      </c>
      <c r="W359" s="42">
        <v>21697.03</v>
      </c>
      <c r="X359" s="42">
        <v>21697.03</v>
      </c>
    </row>
    <row r="360" spans="1:24">
      <c r="A360" s="27" t="s">
        <v>767</v>
      </c>
      <c r="B360" s="28" t="s">
        <v>215</v>
      </c>
      <c r="C360" s="27" t="s">
        <v>768</v>
      </c>
      <c r="D360" s="27" t="s">
        <v>118</v>
      </c>
      <c r="E360" s="29">
        <v>40083</v>
      </c>
      <c r="F360" s="27">
        <v>15</v>
      </c>
      <c r="G360" s="18">
        <v>21697.03</v>
      </c>
      <c r="H360" s="27">
        <f t="shared" si="10"/>
        <v>21697.03</v>
      </c>
      <c r="I360" s="18">
        <v>20612.18</v>
      </c>
      <c r="J360" s="27">
        <v>21697.03</v>
      </c>
      <c r="K360" s="18">
        <f t="shared" si="11"/>
        <v>21697.03</v>
      </c>
      <c r="L360" s="27">
        <v>20612.18</v>
      </c>
      <c r="M360" s="36">
        <v>0</v>
      </c>
      <c r="T360" s="41">
        <v>0</v>
      </c>
      <c r="U360" s="41">
        <v>0</v>
      </c>
      <c r="V360" s="42" t="s">
        <v>113</v>
      </c>
      <c r="W360" s="42">
        <v>21697.03</v>
      </c>
      <c r="X360" s="42">
        <v>21697.03</v>
      </c>
    </row>
    <row r="361" spans="1:24">
      <c r="A361" s="27" t="s">
        <v>769</v>
      </c>
      <c r="B361" s="28" t="s">
        <v>215</v>
      </c>
      <c r="C361" s="27" t="s">
        <v>770</v>
      </c>
      <c r="D361" s="27" t="s">
        <v>118</v>
      </c>
      <c r="E361" s="29">
        <v>40083</v>
      </c>
      <c r="F361" s="27">
        <v>15</v>
      </c>
      <c r="G361" s="18">
        <v>21697.03</v>
      </c>
      <c r="H361" s="27">
        <f t="shared" si="10"/>
        <v>21697.03</v>
      </c>
      <c r="I361" s="18">
        <v>20612.18</v>
      </c>
      <c r="J361" s="27">
        <v>21697.03</v>
      </c>
      <c r="K361" s="18">
        <f t="shared" si="11"/>
        <v>21697.03</v>
      </c>
      <c r="L361" s="27">
        <v>20612.18</v>
      </c>
      <c r="M361" s="36">
        <v>0</v>
      </c>
      <c r="T361" s="41">
        <v>0</v>
      </c>
      <c r="U361" s="41">
        <v>0</v>
      </c>
      <c r="V361" s="42" t="s">
        <v>113</v>
      </c>
      <c r="W361" s="42">
        <v>21697.03</v>
      </c>
      <c r="X361" s="42">
        <v>21697.03</v>
      </c>
    </row>
    <row r="362" spans="1:24">
      <c r="A362" s="27" t="s">
        <v>771</v>
      </c>
      <c r="B362" s="28" t="s">
        <v>215</v>
      </c>
      <c r="C362" s="27" t="s">
        <v>772</v>
      </c>
      <c r="D362" s="27" t="s">
        <v>118</v>
      </c>
      <c r="E362" s="29">
        <v>40083</v>
      </c>
      <c r="F362" s="27">
        <v>15</v>
      </c>
      <c r="G362" s="18">
        <v>21697.03</v>
      </c>
      <c r="H362" s="27">
        <f t="shared" si="10"/>
        <v>21697.03</v>
      </c>
      <c r="I362" s="18">
        <v>20612.18</v>
      </c>
      <c r="J362" s="27">
        <v>21697.03</v>
      </c>
      <c r="K362" s="18">
        <f t="shared" si="11"/>
        <v>21697.03</v>
      </c>
      <c r="L362" s="27">
        <v>20612.18</v>
      </c>
      <c r="M362" s="36">
        <v>0</v>
      </c>
      <c r="T362" s="41">
        <v>0</v>
      </c>
      <c r="U362" s="41">
        <v>0</v>
      </c>
      <c r="V362" s="42" t="s">
        <v>113</v>
      </c>
      <c r="W362" s="42">
        <v>21697.03</v>
      </c>
      <c r="X362" s="42">
        <v>21697.03</v>
      </c>
    </row>
    <row r="363" spans="1:24">
      <c r="A363" s="27" t="s">
        <v>773</v>
      </c>
      <c r="B363" s="28" t="s">
        <v>215</v>
      </c>
      <c r="C363" s="27" t="s">
        <v>774</v>
      </c>
      <c r="D363" s="27" t="s">
        <v>118</v>
      </c>
      <c r="E363" s="29">
        <v>40083</v>
      </c>
      <c r="F363" s="27">
        <v>15</v>
      </c>
      <c r="G363" s="18">
        <v>21697.03</v>
      </c>
      <c r="H363" s="27">
        <f t="shared" si="10"/>
        <v>21697.03</v>
      </c>
      <c r="I363" s="18">
        <v>20612.18</v>
      </c>
      <c r="J363" s="27">
        <v>21697.03</v>
      </c>
      <c r="K363" s="18">
        <f t="shared" si="11"/>
        <v>21697.03</v>
      </c>
      <c r="L363" s="27">
        <v>20612.18</v>
      </c>
      <c r="M363" s="36">
        <v>0</v>
      </c>
      <c r="T363" s="41">
        <v>0</v>
      </c>
      <c r="U363" s="41">
        <v>0</v>
      </c>
      <c r="V363" s="42" t="s">
        <v>113</v>
      </c>
      <c r="W363" s="42">
        <v>21697.03</v>
      </c>
      <c r="X363" s="42">
        <v>21697.03</v>
      </c>
    </row>
    <row r="364" spans="1:24">
      <c r="A364" s="27" t="s">
        <v>775</v>
      </c>
      <c r="B364" s="28" t="s">
        <v>215</v>
      </c>
      <c r="C364" s="27" t="s">
        <v>776</v>
      </c>
      <c r="D364" s="27" t="s">
        <v>118</v>
      </c>
      <c r="E364" s="29">
        <v>40083</v>
      </c>
      <c r="F364" s="27">
        <v>15</v>
      </c>
      <c r="G364" s="18">
        <v>21697.03</v>
      </c>
      <c r="H364" s="27">
        <f t="shared" si="10"/>
        <v>21697.03</v>
      </c>
      <c r="I364" s="18">
        <v>20612.18</v>
      </c>
      <c r="J364" s="27">
        <v>21697.03</v>
      </c>
      <c r="K364" s="18">
        <f t="shared" si="11"/>
        <v>21697.03</v>
      </c>
      <c r="L364" s="27">
        <v>20612.18</v>
      </c>
      <c r="M364" s="36">
        <v>0</v>
      </c>
      <c r="T364" s="41">
        <v>0</v>
      </c>
      <c r="U364" s="41">
        <v>0</v>
      </c>
      <c r="V364" s="42" t="s">
        <v>113</v>
      </c>
      <c r="W364" s="42">
        <v>21697.03</v>
      </c>
      <c r="X364" s="42">
        <v>21697.03</v>
      </c>
    </row>
    <row r="365" spans="1:24">
      <c r="A365" s="27" t="s">
        <v>777</v>
      </c>
      <c r="B365" s="28" t="s">
        <v>215</v>
      </c>
      <c r="C365" s="27" t="s">
        <v>778</v>
      </c>
      <c r="D365" s="27" t="s">
        <v>118</v>
      </c>
      <c r="E365" s="29">
        <v>40083</v>
      </c>
      <c r="F365" s="27">
        <v>15</v>
      </c>
      <c r="G365" s="18">
        <v>21697.03</v>
      </c>
      <c r="H365" s="27">
        <f t="shared" si="10"/>
        <v>21697.03</v>
      </c>
      <c r="I365" s="18">
        <v>20612.18</v>
      </c>
      <c r="J365" s="27">
        <v>21697.03</v>
      </c>
      <c r="K365" s="18">
        <f t="shared" si="11"/>
        <v>21697.03</v>
      </c>
      <c r="L365" s="27">
        <v>20612.18</v>
      </c>
      <c r="M365" s="36">
        <v>0</v>
      </c>
      <c r="T365" s="41">
        <v>0</v>
      </c>
      <c r="U365" s="41">
        <v>0</v>
      </c>
      <c r="V365" s="42" t="s">
        <v>113</v>
      </c>
      <c r="W365" s="42">
        <v>21697.03</v>
      </c>
      <c r="X365" s="42">
        <v>21697.03</v>
      </c>
    </row>
    <row r="366" spans="1:24">
      <c r="A366" s="27" t="s">
        <v>779</v>
      </c>
      <c r="B366" s="28" t="s">
        <v>215</v>
      </c>
      <c r="C366" s="27" t="s">
        <v>780</v>
      </c>
      <c r="D366" s="27" t="s">
        <v>118</v>
      </c>
      <c r="E366" s="29">
        <v>40083</v>
      </c>
      <c r="F366" s="27">
        <v>15</v>
      </c>
      <c r="G366" s="18">
        <v>21697.040000000001</v>
      </c>
      <c r="H366" s="27">
        <f t="shared" si="10"/>
        <v>21697.040000000001</v>
      </c>
      <c r="I366" s="18">
        <v>20612.189999999999</v>
      </c>
      <c r="J366" s="27">
        <v>21697.040000000001</v>
      </c>
      <c r="K366" s="18">
        <f t="shared" si="11"/>
        <v>21697.040000000001</v>
      </c>
      <c r="L366" s="27">
        <v>20612.189999999999</v>
      </c>
      <c r="M366" s="36">
        <v>0</v>
      </c>
      <c r="T366" s="41">
        <v>0</v>
      </c>
      <c r="U366" s="41">
        <v>0</v>
      </c>
      <c r="V366" s="42" t="s">
        <v>113</v>
      </c>
      <c r="W366" s="42">
        <v>21697.040000000001</v>
      </c>
      <c r="X366" s="42">
        <v>21697.040000000001</v>
      </c>
    </row>
    <row r="367" spans="1:24">
      <c r="A367" s="27" t="s">
        <v>781</v>
      </c>
      <c r="B367" s="28" t="s">
        <v>215</v>
      </c>
      <c r="C367" s="27" t="s">
        <v>782</v>
      </c>
      <c r="D367" s="27" t="s">
        <v>118</v>
      </c>
      <c r="E367" s="29">
        <v>40083</v>
      </c>
      <c r="F367" s="27">
        <v>15</v>
      </c>
      <c r="G367" s="18">
        <v>47201.87</v>
      </c>
      <c r="H367" s="27">
        <f t="shared" si="10"/>
        <v>0</v>
      </c>
      <c r="I367" s="18">
        <v>37283.78</v>
      </c>
      <c r="J367" s="27">
        <v>47201.87</v>
      </c>
      <c r="K367" s="18">
        <f t="shared" si="11"/>
        <v>0</v>
      </c>
      <c r="L367" s="27">
        <v>38874.94</v>
      </c>
      <c r="M367" s="36">
        <v>1591.16</v>
      </c>
      <c r="T367" s="41">
        <v>0</v>
      </c>
      <c r="U367" s="41">
        <v>0</v>
      </c>
      <c r="V367" s="42" t="s">
        <v>113</v>
      </c>
      <c r="W367" s="42">
        <v>0</v>
      </c>
      <c r="X367" s="42">
        <v>0</v>
      </c>
    </row>
    <row r="368" spans="1:24">
      <c r="A368" s="27" t="s">
        <v>783</v>
      </c>
      <c r="B368" s="28" t="s">
        <v>215</v>
      </c>
      <c r="C368" s="27" t="s">
        <v>784</v>
      </c>
      <c r="D368" s="27" t="s">
        <v>118</v>
      </c>
      <c r="E368" s="29">
        <v>40083</v>
      </c>
      <c r="F368" s="27">
        <v>15</v>
      </c>
      <c r="G368" s="18">
        <v>47201.87</v>
      </c>
      <c r="H368" s="27">
        <f t="shared" si="10"/>
        <v>0</v>
      </c>
      <c r="I368" s="18">
        <v>37283.760000000002</v>
      </c>
      <c r="J368" s="27">
        <v>47201.87</v>
      </c>
      <c r="K368" s="18">
        <f t="shared" si="11"/>
        <v>0</v>
      </c>
      <c r="L368" s="27">
        <v>38874.92</v>
      </c>
      <c r="M368" s="36">
        <v>1591.16</v>
      </c>
      <c r="T368" s="41">
        <v>0</v>
      </c>
      <c r="U368" s="41">
        <v>0</v>
      </c>
      <c r="V368" s="42" t="s">
        <v>113</v>
      </c>
      <c r="W368" s="42">
        <v>0</v>
      </c>
      <c r="X368" s="42">
        <v>0</v>
      </c>
    </row>
    <row r="369" spans="1:24">
      <c r="A369" s="27" t="s">
        <v>785</v>
      </c>
      <c r="B369" s="28" t="s">
        <v>215</v>
      </c>
      <c r="C369" s="27" t="s">
        <v>786</v>
      </c>
      <c r="D369" s="27" t="s">
        <v>118</v>
      </c>
      <c r="E369" s="29">
        <v>40083</v>
      </c>
      <c r="F369" s="27">
        <v>15</v>
      </c>
      <c r="G369" s="18">
        <v>47201.87</v>
      </c>
      <c r="H369" s="27">
        <f t="shared" si="10"/>
        <v>0</v>
      </c>
      <c r="I369" s="18">
        <v>37283.769999999997</v>
      </c>
      <c r="J369" s="27">
        <v>47201.87</v>
      </c>
      <c r="K369" s="18">
        <f t="shared" si="11"/>
        <v>0</v>
      </c>
      <c r="L369" s="27">
        <v>38874.93</v>
      </c>
      <c r="M369" s="36">
        <v>1591.16</v>
      </c>
      <c r="T369" s="41">
        <v>0</v>
      </c>
      <c r="U369" s="41">
        <v>0</v>
      </c>
      <c r="V369" s="42" t="s">
        <v>113</v>
      </c>
      <c r="W369" s="42">
        <v>0</v>
      </c>
      <c r="X369" s="42">
        <v>0</v>
      </c>
    </row>
    <row r="370" spans="1:24">
      <c r="A370" s="27" t="s">
        <v>787</v>
      </c>
      <c r="B370" s="28" t="s">
        <v>215</v>
      </c>
      <c r="C370" s="27" t="s">
        <v>788</v>
      </c>
      <c r="D370" s="27" t="s">
        <v>118</v>
      </c>
      <c r="E370" s="29">
        <v>40083</v>
      </c>
      <c r="F370" s="27">
        <v>15</v>
      </c>
      <c r="G370" s="18">
        <v>47201.87</v>
      </c>
      <c r="H370" s="27">
        <f t="shared" si="10"/>
        <v>0</v>
      </c>
      <c r="I370" s="18">
        <v>37283.760000000002</v>
      </c>
      <c r="J370" s="27">
        <v>47201.87</v>
      </c>
      <c r="K370" s="18">
        <f t="shared" si="11"/>
        <v>0</v>
      </c>
      <c r="L370" s="27">
        <v>38874.92</v>
      </c>
      <c r="M370" s="36">
        <v>1591.16</v>
      </c>
      <c r="T370" s="41">
        <v>0</v>
      </c>
      <c r="U370" s="41">
        <v>0</v>
      </c>
      <c r="V370" s="42" t="s">
        <v>113</v>
      </c>
      <c r="W370" s="42">
        <v>0</v>
      </c>
      <c r="X370" s="42">
        <v>0</v>
      </c>
    </row>
    <row r="371" spans="1:24">
      <c r="A371" s="27" t="s">
        <v>789</v>
      </c>
      <c r="B371" s="28" t="s">
        <v>215</v>
      </c>
      <c r="C371" s="27" t="s">
        <v>790</v>
      </c>
      <c r="D371" s="27" t="s">
        <v>118</v>
      </c>
      <c r="E371" s="29">
        <v>40083</v>
      </c>
      <c r="F371" s="27">
        <v>15</v>
      </c>
      <c r="G371" s="18">
        <v>47201.87</v>
      </c>
      <c r="H371" s="27">
        <f t="shared" si="10"/>
        <v>0</v>
      </c>
      <c r="I371" s="18">
        <v>37283.78</v>
      </c>
      <c r="J371" s="27">
        <v>47201.87</v>
      </c>
      <c r="K371" s="18">
        <f t="shared" si="11"/>
        <v>0</v>
      </c>
      <c r="L371" s="27">
        <v>38874.94</v>
      </c>
      <c r="M371" s="36">
        <v>1591.16</v>
      </c>
      <c r="T371" s="41">
        <v>0</v>
      </c>
      <c r="U371" s="41">
        <v>0</v>
      </c>
      <c r="V371" s="42" t="s">
        <v>113</v>
      </c>
      <c r="W371" s="42">
        <v>0</v>
      </c>
      <c r="X371" s="42">
        <v>0</v>
      </c>
    </row>
    <row r="372" spans="1:24">
      <c r="A372" s="27" t="s">
        <v>791</v>
      </c>
      <c r="B372" s="28" t="s">
        <v>215</v>
      </c>
      <c r="C372" s="27" t="s">
        <v>792</v>
      </c>
      <c r="D372" s="27" t="s">
        <v>118</v>
      </c>
      <c r="E372" s="29">
        <v>40083</v>
      </c>
      <c r="F372" s="27">
        <v>15</v>
      </c>
      <c r="G372" s="18">
        <v>47201.87</v>
      </c>
      <c r="H372" s="27">
        <f t="shared" si="10"/>
        <v>0</v>
      </c>
      <c r="I372" s="18">
        <v>37283.760000000002</v>
      </c>
      <c r="J372" s="27">
        <v>47201.87</v>
      </c>
      <c r="K372" s="18">
        <f t="shared" si="11"/>
        <v>0</v>
      </c>
      <c r="L372" s="27">
        <v>38874.92</v>
      </c>
      <c r="M372" s="36">
        <v>1591.16</v>
      </c>
      <c r="T372" s="41">
        <v>0</v>
      </c>
      <c r="U372" s="41">
        <v>0</v>
      </c>
      <c r="V372" s="42" t="s">
        <v>113</v>
      </c>
      <c r="W372" s="42">
        <v>0</v>
      </c>
      <c r="X372" s="42">
        <v>0</v>
      </c>
    </row>
    <row r="373" spans="1:24">
      <c r="A373" s="27" t="s">
        <v>793</v>
      </c>
      <c r="B373" s="28" t="s">
        <v>215</v>
      </c>
      <c r="C373" s="27" t="s">
        <v>794</v>
      </c>
      <c r="D373" s="27" t="s">
        <v>118</v>
      </c>
      <c r="E373" s="29">
        <v>40083</v>
      </c>
      <c r="F373" s="27">
        <v>15</v>
      </c>
      <c r="G373" s="18">
        <v>47201.87</v>
      </c>
      <c r="H373" s="27">
        <f t="shared" si="10"/>
        <v>0</v>
      </c>
      <c r="I373" s="18">
        <v>37283.78</v>
      </c>
      <c r="J373" s="27">
        <v>47201.87</v>
      </c>
      <c r="K373" s="18">
        <f t="shared" si="11"/>
        <v>0</v>
      </c>
      <c r="L373" s="27">
        <v>38874.94</v>
      </c>
      <c r="M373" s="36">
        <v>1591.16</v>
      </c>
      <c r="T373" s="41">
        <v>0</v>
      </c>
      <c r="U373" s="41">
        <v>0</v>
      </c>
      <c r="V373" s="42" t="s">
        <v>113</v>
      </c>
      <c r="W373" s="42">
        <v>0</v>
      </c>
      <c r="X373" s="42">
        <v>0</v>
      </c>
    </row>
    <row r="374" spans="1:24">
      <c r="A374" s="27" t="s">
        <v>795</v>
      </c>
      <c r="B374" s="28" t="s">
        <v>215</v>
      </c>
      <c r="C374" s="27" t="s">
        <v>796</v>
      </c>
      <c r="D374" s="27" t="s">
        <v>118</v>
      </c>
      <c r="E374" s="29">
        <v>40083</v>
      </c>
      <c r="F374" s="27">
        <v>15</v>
      </c>
      <c r="G374" s="18">
        <v>47201.87</v>
      </c>
      <c r="H374" s="27">
        <f t="shared" si="10"/>
        <v>0</v>
      </c>
      <c r="I374" s="18">
        <v>37283.760000000002</v>
      </c>
      <c r="J374" s="27">
        <v>47201.87</v>
      </c>
      <c r="K374" s="18">
        <f t="shared" si="11"/>
        <v>0</v>
      </c>
      <c r="L374" s="27">
        <v>38874.92</v>
      </c>
      <c r="M374" s="36">
        <v>1591.16</v>
      </c>
      <c r="T374" s="41">
        <v>0</v>
      </c>
      <c r="U374" s="41">
        <v>0</v>
      </c>
      <c r="V374" s="42" t="s">
        <v>113</v>
      </c>
      <c r="W374" s="42">
        <v>0</v>
      </c>
      <c r="X374" s="42">
        <v>0</v>
      </c>
    </row>
    <row r="375" spans="1:24">
      <c r="A375" s="27" t="s">
        <v>797</v>
      </c>
      <c r="B375" s="28" t="s">
        <v>215</v>
      </c>
      <c r="C375" s="27" t="s">
        <v>798</v>
      </c>
      <c r="D375" s="27" t="s">
        <v>118</v>
      </c>
      <c r="E375" s="29">
        <v>40083</v>
      </c>
      <c r="F375" s="27">
        <v>15</v>
      </c>
      <c r="G375" s="18">
        <v>5244.65</v>
      </c>
      <c r="H375" s="27">
        <f t="shared" si="10"/>
        <v>0</v>
      </c>
      <c r="I375" s="18">
        <v>4142.6400000000003</v>
      </c>
      <c r="J375" s="27">
        <v>5244.65</v>
      </c>
      <c r="K375" s="18">
        <f t="shared" si="11"/>
        <v>0</v>
      </c>
      <c r="L375" s="27">
        <v>4319.4399999999996</v>
      </c>
      <c r="M375" s="36">
        <v>176.8</v>
      </c>
      <c r="T375" s="41">
        <v>0</v>
      </c>
      <c r="U375" s="41">
        <v>0</v>
      </c>
      <c r="V375" s="42" t="s">
        <v>113</v>
      </c>
      <c r="W375" s="42">
        <v>0</v>
      </c>
      <c r="X375" s="42">
        <v>0</v>
      </c>
    </row>
    <row r="376" spans="1:24">
      <c r="A376" s="27" t="s">
        <v>799</v>
      </c>
      <c r="B376" s="28" t="s">
        <v>215</v>
      </c>
      <c r="C376" s="27" t="s">
        <v>800</v>
      </c>
      <c r="D376" s="27" t="s">
        <v>118</v>
      </c>
      <c r="E376" s="29">
        <v>40083</v>
      </c>
      <c r="F376" s="27">
        <v>15</v>
      </c>
      <c r="G376" s="18">
        <v>5244.65</v>
      </c>
      <c r="H376" s="27">
        <f t="shared" si="10"/>
        <v>0</v>
      </c>
      <c r="I376" s="18">
        <v>4142.6400000000003</v>
      </c>
      <c r="J376" s="27">
        <v>5244.65</v>
      </c>
      <c r="K376" s="18">
        <f t="shared" si="11"/>
        <v>0</v>
      </c>
      <c r="L376" s="27">
        <v>4319.4399999999996</v>
      </c>
      <c r="M376" s="36">
        <v>176.8</v>
      </c>
      <c r="T376" s="41">
        <v>0</v>
      </c>
      <c r="U376" s="41">
        <v>0</v>
      </c>
      <c r="V376" s="42" t="s">
        <v>113</v>
      </c>
      <c r="W376" s="42">
        <v>0</v>
      </c>
      <c r="X376" s="42">
        <v>0</v>
      </c>
    </row>
    <row r="377" spans="1:24">
      <c r="A377" s="27" t="s">
        <v>801</v>
      </c>
      <c r="B377" s="28" t="s">
        <v>215</v>
      </c>
      <c r="C377" s="27" t="s">
        <v>802</v>
      </c>
      <c r="D377" s="27" t="s">
        <v>118</v>
      </c>
      <c r="E377" s="29">
        <v>40083</v>
      </c>
      <c r="F377" s="27">
        <v>15</v>
      </c>
      <c r="G377" s="18">
        <v>5244.65</v>
      </c>
      <c r="H377" s="27">
        <f t="shared" si="10"/>
        <v>0</v>
      </c>
      <c r="I377" s="18">
        <v>4142.6400000000003</v>
      </c>
      <c r="J377" s="27">
        <v>5244.65</v>
      </c>
      <c r="K377" s="18">
        <f t="shared" si="11"/>
        <v>0</v>
      </c>
      <c r="L377" s="27">
        <v>4319.4399999999996</v>
      </c>
      <c r="M377" s="36">
        <v>176.8</v>
      </c>
      <c r="T377" s="41">
        <v>0</v>
      </c>
      <c r="U377" s="41">
        <v>0</v>
      </c>
      <c r="V377" s="42" t="s">
        <v>113</v>
      </c>
      <c r="W377" s="42">
        <v>0</v>
      </c>
      <c r="X377" s="42">
        <v>0</v>
      </c>
    </row>
    <row r="378" spans="1:24">
      <c r="A378" s="27" t="s">
        <v>803</v>
      </c>
      <c r="B378" s="28" t="s">
        <v>215</v>
      </c>
      <c r="C378" s="27" t="s">
        <v>804</v>
      </c>
      <c r="D378" s="27" t="s">
        <v>118</v>
      </c>
      <c r="E378" s="29">
        <v>40083</v>
      </c>
      <c r="F378" s="27">
        <v>15</v>
      </c>
      <c r="G378" s="18">
        <v>5244.65</v>
      </c>
      <c r="H378" s="27">
        <f t="shared" si="10"/>
        <v>0</v>
      </c>
      <c r="I378" s="18">
        <v>4142.6400000000003</v>
      </c>
      <c r="J378" s="27">
        <v>5244.65</v>
      </c>
      <c r="K378" s="18">
        <f t="shared" si="11"/>
        <v>0</v>
      </c>
      <c r="L378" s="27">
        <v>4319.4399999999996</v>
      </c>
      <c r="M378" s="36">
        <v>176.8</v>
      </c>
      <c r="T378" s="41">
        <v>0</v>
      </c>
      <c r="U378" s="41">
        <v>0</v>
      </c>
      <c r="V378" s="42" t="s">
        <v>113</v>
      </c>
      <c r="W378" s="42">
        <v>0</v>
      </c>
      <c r="X378" s="42">
        <v>0</v>
      </c>
    </row>
    <row r="379" spans="1:24">
      <c r="A379" s="27" t="s">
        <v>805</v>
      </c>
      <c r="B379" s="28" t="s">
        <v>215</v>
      </c>
      <c r="C379" s="27" t="s">
        <v>806</v>
      </c>
      <c r="D379" s="27" t="s">
        <v>118</v>
      </c>
      <c r="E379" s="29">
        <v>40083</v>
      </c>
      <c r="F379" s="27">
        <v>15</v>
      </c>
      <c r="G379" s="18">
        <v>5244.65</v>
      </c>
      <c r="H379" s="27">
        <f t="shared" si="10"/>
        <v>0</v>
      </c>
      <c r="I379" s="18">
        <v>4142.6400000000003</v>
      </c>
      <c r="J379" s="27">
        <v>5244.65</v>
      </c>
      <c r="K379" s="18">
        <f t="shared" si="11"/>
        <v>0</v>
      </c>
      <c r="L379" s="27">
        <v>4319.4399999999996</v>
      </c>
      <c r="M379" s="36">
        <v>176.8</v>
      </c>
      <c r="T379" s="41">
        <v>0</v>
      </c>
      <c r="U379" s="41">
        <v>0</v>
      </c>
      <c r="V379" s="42" t="s">
        <v>113</v>
      </c>
      <c r="W379" s="42">
        <v>0</v>
      </c>
      <c r="X379" s="42">
        <v>0</v>
      </c>
    </row>
    <row r="380" spans="1:24">
      <c r="A380" s="27" t="s">
        <v>807</v>
      </c>
      <c r="B380" s="28" t="s">
        <v>215</v>
      </c>
      <c r="C380" s="27" t="s">
        <v>808</v>
      </c>
      <c r="D380" s="27" t="s">
        <v>118</v>
      </c>
      <c r="E380" s="29">
        <v>40083</v>
      </c>
      <c r="F380" s="27">
        <v>15</v>
      </c>
      <c r="G380" s="18">
        <v>5244.65</v>
      </c>
      <c r="H380" s="27">
        <f t="shared" si="10"/>
        <v>0</v>
      </c>
      <c r="I380" s="18">
        <v>4142.6400000000003</v>
      </c>
      <c r="J380" s="27">
        <v>5244.65</v>
      </c>
      <c r="K380" s="18">
        <f t="shared" si="11"/>
        <v>0</v>
      </c>
      <c r="L380" s="27">
        <v>4319.4399999999996</v>
      </c>
      <c r="M380" s="36">
        <v>176.8</v>
      </c>
      <c r="T380" s="41">
        <v>0</v>
      </c>
      <c r="U380" s="41">
        <v>0</v>
      </c>
      <c r="V380" s="42" t="s">
        <v>113</v>
      </c>
      <c r="W380" s="42">
        <v>0</v>
      </c>
      <c r="X380" s="42">
        <v>0</v>
      </c>
    </row>
    <row r="381" spans="1:24">
      <c r="A381" s="27" t="s">
        <v>809</v>
      </c>
      <c r="B381" s="28" t="s">
        <v>215</v>
      </c>
      <c r="C381" s="27" t="s">
        <v>810</v>
      </c>
      <c r="D381" s="27" t="s">
        <v>118</v>
      </c>
      <c r="E381" s="29">
        <v>40083</v>
      </c>
      <c r="F381" s="27">
        <v>15</v>
      </c>
      <c r="G381" s="18">
        <v>5244.65</v>
      </c>
      <c r="H381" s="27">
        <f t="shared" si="10"/>
        <v>0</v>
      </c>
      <c r="I381" s="18">
        <v>4142.6400000000003</v>
      </c>
      <c r="J381" s="27">
        <v>5244.65</v>
      </c>
      <c r="K381" s="18">
        <f t="shared" si="11"/>
        <v>0</v>
      </c>
      <c r="L381" s="27">
        <v>4319.4399999999996</v>
      </c>
      <c r="M381" s="36">
        <v>176.8</v>
      </c>
      <c r="T381" s="41">
        <v>0</v>
      </c>
      <c r="U381" s="41">
        <v>0</v>
      </c>
      <c r="V381" s="42" t="s">
        <v>113</v>
      </c>
      <c r="W381" s="42">
        <v>0</v>
      </c>
      <c r="X381" s="42">
        <v>0</v>
      </c>
    </row>
    <row r="382" spans="1:24">
      <c r="A382" s="27" t="s">
        <v>811</v>
      </c>
      <c r="B382" s="28" t="s">
        <v>215</v>
      </c>
      <c r="C382" s="27" t="s">
        <v>812</v>
      </c>
      <c r="D382" s="27" t="s">
        <v>118</v>
      </c>
      <c r="E382" s="29">
        <v>40083</v>
      </c>
      <c r="F382" s="27">
        <v>15</v>
      </c>
      <c r="G382" s="18">
        <v>5244.65</v>
      </c>
      <c r="H382" s="27">
        <f t="shared" si="10"/>
        <v>0</v>
      </c>
      <c r="I382" s="18">
        <v>4142.6400000000003</v>
      </c>
      <c r="J382" s="27">
        <v>5244.65</v>
      </c>
      <c r="K382" s="18">
        <f t="shared" si="11"/>
        <v>0</v>
      </c>
      <c r="L382" s="27">
        <v>4319.4399999999996</v>
      </c>
      <c r="M382" s="36">
        <v>176.8</v>
      </c>
      <c r="T382" s="41">
        <v>0</v>
      </c>
      <c r="U382" s="41">
        <v>0</v>
      </c>
      <c r="V382" s="42" t="s">
        <v>113</v>
      </c>
      <c r="W382" s="42">
        <v>0</v>
      </c>
      <c r="X382" s="42">
        <v>0</v>
      </c>
    </row>
    <row r="383" spans="1:24">
      <c r="A383" s="27" t="s">
        <v>813</v>
      </c>
      <c r="B383" s="28" t="s">
        <v>215</v>
      </c>
      <c r="C383" s="27" t="s">
        <v>814</v>
      </c>
      <c r="D383" s="27" t="s">
        <v>118</v>
      </c>
      <c r="E383" s="29">
        <v>40083</v>
      </c>
      <c r="F383" s="27">
        <v>15</v>
      </c>
      <c r="G383" s="18">
        <v>5244.65</v>
      </c>
      <c r="H383" s="27">
        <f t="shared" si="10"/>
        <v>0</v>
      </c>
      <c r="I383" s="18">
        <v>4142.6400000000003</v>
      </c>
      <c r="J383" s="27">
        <v>5244.65</v>
      </c>
      <c r="K383" s="18">
        <f t="shared" si="11"/>
        <v>0</v>
      </c>
      <c r="L383" s="27">
        <v>4319.4399999999996</v>
      </c>
      <c r="M383" s="36">
        <v>176.8</v>
      </c>
      <c r="T383" s="41">
        <v>0</v>
      </c>
      <c r="U383" s="41">
        <v>0</v>
      </c>
      <c r="V383" s="42" t="s">
        <v>113</v>
      </c>
      <c r="W383" s="42">
        <v>0</v>
      </c>
      <c r="X383" s="42">
        <v>0</v>
      </c>
    </row>
    <row r="384" spans="1:24">
      <c r="A384" s="27" t="s">
        <v>815</v>
      </c>
      <c r="B384" s="28" t="s">
        <v>215</v>
      </c>
      <c r="C384" s="27" t="s">
        <v>816</v>
      </c>
      <c r="D384" s="27" t="s">
        <v>118</v>
      </c>
      <c r="E384" s="29">
        <v>40083</v>
      </c>
      <c r="F384" s="27">
        <v>15</v>
      </c>
      <c r="G384" s="18">
        <v>5244.65</v>
      </c>
      <c r="H384" s="27">
        <f t="shared" si="10"/>
        <v>0</v>
      </c>
      <c r="I384" s="18">
        <v>4142.6400000000003</v>
      </c>
      <c r="J384" s="27">
        <v>5244.65</v>
      </c>
      <c r="K384" s="18">
        <f t="shared" si="11"/>
        <v>0</v>
      </c>
      <c r="L384" s="27">
        <v>4319.4399999999996</v>
      </c>
      <c r="M384" s="36">
        <v>176.8</v>
      </c>
      <c r="T384" s="41">
        <v>0</v>
      </c>
      <c r="U384" s="41">
        <v>0</v>
      </c>
      <c r="V384" s="42" t="s">
        <v>113</v>
      </c>
      <c r="W384" s="42">
        <v>0</v>
      </c>
      <c r="X384" s="42">
        <v>0</v>
      </c>
    </row>
    <row r="385" spans="1:24">
      <c r="A385" s="27" t="s">
        <v>817</v>
      </c>
      <c r="B385" s="28" t="s">
        <v>215</v>
      </c>
      <c r="C385" s="27" t="s">
        <v>818</v>
      </c>
      <c r="D385" s="27" t="s">
        <v>118</v>
      </c>
      <c r="E385" s="29">
        <v>40083</v>
      </c>
      <c r="F385" s="27">
        <v>15</v>
      </c>
      <c r="G385" s="18">
        <v>5244.65</v>
      </c>
      <c r="H385" s="27">
        <f t="shared" si="10"/>
        <v>0</v>
      </c>
      <c r="I385" s="18">
        <v>4142.6400000000003</v>
      </c>
      <c r="J385" s="27">
        <v>5244.65</v>
      </c>
      <c r="K385" s="18">
        <f t="shared" si="11"/>
        <v>0</v>
      </c>
      <c r="L385" s="27">
        <v>4319.4399999999996</v>
      </c>
      <c r="M385" s="36">
        <v>176.8</v>
      </c>
      <c r="T385" s="41">
        <v>0</v>
      </c>
      <c r="U385" s="41">
        <v>0</v>
      </c>
      <c r="V385" s="42" t="s">
        <v>113</v>
      </c>
      <c r="W385" s="42">
        <v>0</v>
      </c>
      <c r="X385" s="42">
        <v>0</v>
      </c>
    </row>
    <row r="386" spans="1:24">
      <c r="A386" s="27" t="s">
        <v>819</v>
      </c>
      <c r="B386" s="28" t="s">
        <v>215</v>
      </c>
      <c r="C386" s="27" t="s">
        <v>820</v>
      </c>
      <c r="D386" s="27" t="s">
        <v>118</v>
      </c>
      <c r="E386" s="29">
        <v>40083</v>
      </c>
      <c r="F386" s="27">
        <v>15</v>
      </c>
      <c r="G386" s="18">
        <v>5244.68</v>
      </c>
      <c r="H386" s="27">
        <f t="shared" si="10"/>
        <v>0</v>
      </c>
      <c r="I386" s="18">
        <v>4142.67</v>
      </c>
      <c r="J386" s="27">
        <v>5244.68</v>
      </c>
      <c r="K386" s="18">
        <f t="shared" si="11"/>
        <v>0</v>
      </c>
      <c r="L386" s="27">
        <v>4319.47</v>
      </c>
      <c r="M386" s="36">
        <v>176.8</v>
      </c>
      <c r="T386" s="41">
        <v>0</v>
      </c>
      <c r="U386" s="41">
        <v>0</v>
      </c>
      <c r="V386" s="42" t="s">
        <v>113</v>
      </c>
      <c r="W386" s="42">
        <v>0</v>
      </c>
      <c r="X386" s="42">
        <v>0</v>
      </c>
    </row>
    <row r="387" spans="1:24">
      <c r="A387" s="27" t="s">
        <v>821</v>
      </c>
      <c r="B387" s="28" t="s">
        <v>215</v>
      </c>
      <c r="C387" s="27" t="s">
        <v>822</v>
      </c>
      <c r="D387" s="27" t="s">
        <v>230</v>
      </c>
      <c r="E387" s="29">
        <v>40083</v>
      </c>
      <c r="F387" s="27">
        <v>15</v>
      </c>
      <c r="G387" s="18">
        <v>46270.94</v>
      </c>
      <c r="H387" s="27">
        <f t="shared" si="10"/>
        <v>0</v>
      </c>
      <c r="I387" s="18">
        <v>36548.44</v>
      </c>
      <c r="J387" s="27">
        <v>46270.94</v>
      </c>
      <c r="K387" s="18">
        <f t="shared" si="11"/>
        <v>0</v>
      </c>
      <c r="L387" s="27">
        <v>38108.22</v>
      </c>
      <c r="M387" s="36">
        <v>1559.78</v>
      </c>
      <c r="T387" s="41">
        <v>0</v>
      </c>
      <c r="U387" s="41">
        <v>0</v>
      </c>
      <c r="V387" s="42" t="s">
        <v>113</v>
      </c>
      <c r="W387" s="42">
        <v>0</v>
      </c>
      <c r="X387" s="42">
        <v>0</v>
      </c>
    </row>
    <row r="388" spans="1:24">
      <c r="A388" s="27" t="s">
        <v>823</v>
      </c>
      <c r="B388" s="28" t="s">
        <v>215</v>
      </c>
      <c r="C388" s="27" t="s">
        <v>824</v>
      </c>
      <c r="D388" s="27" t="s">
        <v>118</v>
      </c>
      <c r="E388" s="29">
        <v>40083</v>
      </c>
      <c r="F388" s="27">
        <v>15</v>
      </c>
      <c r="G388" s="18">
        <v>47298.14</v>
      </c>
      <c r="H388" s="27">
        <f t="shared" si="10"/>
        <v>0</v>
      </c>
      <c r="I388" s="18">
        <v>37359.81</v>
      </c>
      <c r="J388" s="27">
        <v>47298.14</v>
      </c>
      <c r="K388" s="18">
        <f t="shared" si="11"/>
        <v>0</v>
      </c>
      <c r="L388" s="27">
        <v>38954.21</v>
      </c>
      <c r="M388" s="36">
        <v>1594.4</v>
      </c>
      <c r="T388" s="41">
        <v>0</v>
      </c>
      <c r="U388" s="41">
        <v>0</v>
      </c>
      <c r="V388" s="42" t="s">
        <v>113</v>
      </c>
      <c r="W388" s="42">
        <v>0</v>
      </c>
      <c r="X388" s="42">
        <v>0</v>
      </c>
    </row>
    <row r="389" spans="1:24">
      <c r="A389" s="27" t="s">
        <v>825</v>
      </c>
      <c r="B389" s="28" t="s">
        <v>215</v>
      </c>
      <c r="C389" s="27" t="s">
        <v>826</v>
      </c>
      <c r="D389" s="27" t="s">
        <v>118</v>
      </c>
      <c r="E389" s="29">
        <v>40083</v>
      </c>
      <c r="F389" s="27">
        <v>15</v>
      </c>
      <c r="G389" s="18">
        <v>47298.14</v>
      </c>
      <c r="H389" s="27">
        <f t="shared" si="10"/>
        <v>0</v>
      </c>
      <c r="I389" s="18">
        <v>37359.81</v>
      </c>
      <c r="J389" s="27">
        <v>47298.14</v>
      </c>
      <c r="K389" s="18">
        <f t="shared" si="11"/>
        <v>0</v>
      </c>
      <c r="L389" s="27">
        <v>38954.21</v>
      </c>
      <c r="M389" s="36">
        <v>1594.4</v>
      </c>
      <c r="T389" s="41">
        <v>0</v>
      </c>
      <c r="U389" s="41">
        <v>0</v>
      </c>
      <c r="V389" s="42" t="s">
        <v>113</v>
      </c>
      <c r="W389" s="42">
        <v>0</v>
      </c>
      <c r="X389" s="42">
        <v>0</v>
      </c>
    </row>
    <row r="390" spans="1:24">
      <c r="A390" s="27" t="s">
        <v>827</v>
      </c>
      <c r="B390" s="28" t="s">
        <v>215</v>
      </c>
      <c r="C390" s="27" t="s">
        <v>828</v>
      </c>
      <c r="D390" s="27" t="s">
        <v>118</v>
      </c>
      <c r="E390" s="29">
        <v>40084</v>
      </c>
      <c r="F390" s="27">
        <v>15</v>
      </c>
      <c r="G390" s="18">
        <v>57433.08</v>
      </c>
      <c r="H390" s="27">
        <f t="shared" ref="H390:H453" si="12">IFERROR(IF(ROUND((G390-I390)/G390,2)&lt;=0.05,G390,0),0)</f>
        <v>0</v>
      </c>
      <c r="I390" s="18">
        <v>46596.28</v>
      </c>
      <c r="J390" s="27">
        <v>57433.08</v>
      </c>
      <c r="K390" s="18">
        <f t="shared" ref="K390:K453" si="13">IFERROR(IF(ROUND((J390-L390)/J390,2)&lt;=0.05,J390,0),0)</f>
        <v>0</v>
      </c>
      <c r="L390" s="27">
        <v>48273.15</v>
      </c>
      <c r="M390" s="36">
        <v>1676.87</v>
      </c>
      <c r="T390" s="41">
        <v>0</v>
      </c>
      <c r="U390" s="41">
        <v>0</v>
      </c>
      <c r="V390" s="42" t="s">
        <v>113</v>
      </c>
      <c r="W390" s="42">
        <v>0</v>
      </c>
      <c r="X390" s="42">
        <v>0</v>
      </c>
    </row>
    <row r="391" spans="1:24">
      <c r="A391" s="27" t="s">
        <v>829</v>
      </c>
      <c r="B391" s="28" t="s">
        <v>215</v>
      </c>
      <c r="C391" s="27" t="s">
        <v>830</v>
      </c>
      <c r="D391" s="27" t="s">
        <v>118</v>
      </c>
      <c r="E391" s="29">
        <v>40084</v>
      </c>
      <c r="F391" s="27">
        <v>15</v>
      </c>
      <c r="G391" s="18">
        <v>57433.08</v>
      </c>
      <c r="H391" s="27">
        <f t="shared" si="12"/>
        <v>0</v>
      </c>
      <c r="I391" s="18">
        <v>46596.28</v>
      </c>
      <c r="J391" s="27">
        <v>57433.08</v>
      </c>
      <c r="K391" s="18">
        <f t="shared" si="13"/>
        <v>0</v>
      </c>
      <c r="L391" s="27">
        <v>48273.15</v>
      </c>
      <c r="M391" s="36">
        <v>1676.87</v>
      </c>
      <c r="T391" s="41">
        <v>0</v>
      </c>
      <c r="U391" s="41">
        <v>0</v>
      </c>
      <c r="V391" s="42" t="s">
        <v>113</v>
      </c>
      <c r="W391" s="42">
        <v>0</v>
      </c>
      <c r="X391" s="42">
        <v>0</v>
      </c>
    </row>
    <row r="392" spans="1:24">
      <c r="A392" s="27" t="s">
        <v>831</v>
      </c>
      <c r="B392" s="28" t="s">
        <v>215</v>
      </c>
      <c r="C392" s="27" t="s">
        <v>832</v>
      </c>
      <c r="D392" s="27" t="s">
        <v>118</v>
      </c>
      <c r="E392" s="29">
        <v>40084</v>
      </c>
      <c r="F392" s="27">
        <v>15</v>
      </c>
      <c r="G392" s="18">
        <v>32771.22</v>
      </c>
      <c r="H392" s="27">
        <f t="shared" si="12"/>
        <v>0</v>
      </c>
      <c r="I392" s="18">
        <v>24227.88</v>
      </c>
      <c r="J392" s="27">
        <v>32771.22</v>
      </c>
      <c r="K392" s="18">
        <f t="shared" si="13"/>
        <v>0</v>
      </c>
      <c r="L392" s="27">
        <v>25428.71</v>
      </c>
      <c r="M392" s="36">
        <v>1200.83</v>
      </c>
      <c r="T392" s="41">
        <v>0</v>
      </c>
      <c r="U392" s="41">
        <v>0</v>
      </c>
      <c r="V392" s="42" t="s">
        <v>113</v>
      </c>
      <c r="W392" s="42">
        <v>0</v>
      </c>
      <c r="X392" s="42">
        <v>0</v>
      </c>
    </row>
    <row r="393" spans="1:24">
      <c r="A393" s="27" t="s">
        <v>833</v>
      </c>
      <c r="B393" s="28" t="s">
        <v>215</v>
      </c>
      <c r="C393" s="27" t="s">
        <v>834</v>
      </c>
      <c r="D393" s="27" t="s">
        <v>118</v>
      </c>
      <c r="E393" s="29">
        <v>40084</v>
      </c>
      <c r="F393" s="27">
        <v>15</v>
      </c>
      <c r="G393" s="18">
        <v>32771.22</v>
      </c>
      <c r="H393" s="27">
        <f t="shared" si="12"/>
        <v>0</v>
      </c>
      <c r="I393" s="18">
        <v>24227.88</v>
      </c>
      <c r="J393" s="27">
        <v>32771.22</v>
      </c>
      <c r="K393" s="18">
        <f t="shared" si="13"/>
        <v>0</v>
      </c>
      <c r="L393" s="27">
        <v>25428.71</v>
      </c>
      <c r="M393" s="36">
        <v>1200.83</v>
      </c>
      <c r="T393" s="41">
        <v>0</v>
      </c>
      <c r="U393" s="41">
        <v>0</v>
      </c>
      <c r="V393" s="42" t="s">
        <v>113</v>
      </c>
      <c r="W393" s="42">
        <v>0</v>
      </c>
      <c r="X393" s="42">
        <v>0</v>
      </c>
    </row>
    <row r="394" spans="1:24">
      <c r="A394" s="27" t="s">
        <v>835</v>
      </c>
      <c r="B394" s="28" t="s">
        <v>215</v>
      </c>
      <c r="C394" s="27" t="s">
        <v>836</v>
      </c>
      <c r="D394" s="27" t="s">
        <v>118</v>
      </c>
      <c r="E394" s="29">
        <v>40084</v>
      </c>
      <c r="F394" s="27">
        <v>15</v>
      </c>
      <c r="G394" s="18">
        <v>32771.22</v>
      </c>
      <c r="H394" s="27">
        <f t="shared" si="12"/>
        <v>0</v>
      </c>
      <c r="I394" s="18">
        <v>24227.88</v>
      </c>
      <c r="J394" s="27">
        <v>32771.22</v>
      </c>
      <c r="K394" s="18">
        <f t="shared" si="13"/>
        <v>0</v>
      </c>
      <c r="L394" s="27">
        <v>25428.71</v>
      </c>
      <c r="M394" s="36">
        <v>1200.83</v>
      </c>
      <c r="T394" s="41">
        <v>0</v>
      </c>
      <c r="U394" s="41">
        <v>0</v>
      </c>
      <c r="V394" s="42" t="s">
        <v>113</v>
      </c>
      <c r="W394" s="42">
        <v>0</v>
      </c>
      <c r="X394" s="42">
        <v>0</v>
      </c>
    </row>
    <row r="395" spans="1:24">
      <c r="A395" s="27" t="s">
        <v>837</v>
      </c>
      <c r="B395" s="28" t="s">
        <v>215</v>
      </c>
      <c r="C395" s="27" t="s">
        <v>838</v>
      </c>
      <c r="D395" s="27" t="s">
        <v>118</v>
      </c>
      <c r="E395" s="29">
        <v>40084</v>
      </c>
      <c r="F395" s="27">
        <v>15</v>
      </c>
      <c r="G395" s="18">
        <v>32771.22</v>
      </c>
      <c r="H395" s="27">
        <f t="shared" si="12"/>
        <v>0</v>
      </c>
      <c r="I395" s="18">
        <v>24227.88</v>
      </c>
      <c r="J395" s="27">
        <v>32771.22</v>
      </c>
      <c r="K395" s="18">
        <f t="shared" si="13"/>
        <v>0</v>
      </c>
      <c r="L395" s="27">
        <v>25428.71</v>
      </c>
      <c r="M395" s="36">
        <v>1200.83</v>
      </c>
      <c r="T395" s="41">
        <v>0</v>
      </c>
      <c r="U395" s="41">
        <v>0</v>
      </c>
      <c r="V395" s="42" t="s">
        <v>113</v>
      </c>
      <c r="W395" s="42">
        <v>0</v>
      </c>
      <c r="X395" s="42">
        <v>0</v>
      </c>
    </row>
    <row r="396" spans="1:24">
      <c r="A396" s="27" t="s">
        <v>839</v>
      </c>
      <c r="B396" s="28" t="s">
        <v>215</v>
      </c>
      <c r="C396" s="27" t="s">
        <v>840</v>
      </c>
      <c r="D396" s="27" t="s">
        <v>118</v>
      </c>
      <c r="E396" s="29">
        <v>40084</v>
      </c>
      <c r="F396" s="27">
        <v>15</v>
      </c>
      <c r="G396" s="18">
        <v>32771.22</v>
      </c>
      <c r="H396" s="27">
        <f t="shared" si="12"/>
        <v>0</v>
      </c>
      <c r="I396" s="18">
        <v>24227.88</v>
      </c>
      <c r="J396" s="27">
        <v>32771.22</v>
      </c>
      <c r="K396" s="18">
        <f t="shared" si="13"/>
        <v>0</v>
      </c>
      <c r="L396" s="27">
        <v>25428.71</v>
      </c>
      <c r="M396" s="36">
        <v>1200.83</v>
      </c>
      <c r="T396" s="41">
        <v>0</v>
      </c>
      <c r="U396" s="41">
        <v>0</v>
      </c>
      <c r="V396" s="42" t="s">
        <v>113</v>
      </c>
      <c r="W396" s="42">
        <v>0</v>
      </c>
      <c r="X396" s="42">
        <v>0</v>
      </c>
    </row>
    <row r="397" spans="1:24">
      <c r="A397" s="27" t="s">
        <v>841</v>
      </c>
      <c r="B397" s="28" t="s">
        <v>215</v>
      </c>
      <c r="C397" s="27" t="s">
        <v>842</v>
      </c>
      <c r="D397" s="27" t="s">
        <v>118</v>
      </c>
      <c r="E397" s="29">
        <v>40084</v>
      </c>
      <c r="F397" s="27">
        <v>15</v>
      </c>
      <c r="G397" s="18">
        <v>32771.21</v>
      </c>
      <c r="H397" s="27">
        <f t="shared" si="12"/>
        <v>0</v>
      </c>
      <c r="I397" s="18">
        <v>24227.87</v>
      </c>
      <c r="J397" s="27">
        <v>32771.21</v>
      </c>
      <c r="K397" s="18">
        <f t="shared" si="13"/>
        <v>0</v>
      </c>
      <c r="L397" s="27">
        <v>25428.7</v>
      </c>
      <c r="M397" s="36">
        <v>1200.83</v>
      </c>
      <c r="T397" s="41">
        <v>0</v>
      </c>
      <c r="U397" s="41">
        <v>0</v>
      </c>
      <c r="V397" s="42" t="s">
        <v>113</v>
      </c>
      <c r="W397" s="42">
        <v>0</v>
      </c>
      <c r="X397" s="42">
        <v>0</v>
      </c>
    </row>
    <row r="398" spans="1:24">
      <c r="A398" s="27" t="s">
        <v>843</v>
      </c>
      <c r="B398" s="28" t="s">
        <v>215</v>
      </c>
      <c r="C398" s="27" t="s">
        <v>844</v>
      </c>
      <c r="D398" s="27" t="s">
        <v>230</v>
      </c>
      <c r="E398" s="29">
        <v>40084</v>
      </c>
      <c r="F398" s="27">
        <v>12</v>
      </c>
      <c r="G398" s="18">
        <v>1439.23</v>
      </c>
      <c r="H398" s="27">
        <f t="shared" si="12"/>
        <v>1439.23</v>
      </c>
      <c r="I398" s="18">
        <v>1439.23</v>
      </c>
      <c r="J398" s="27">
        <v>1439.23</v>
      </c>
      <c r="K398" s="18">
        <f t="shared" si="13"/>
        <v>1439.23</v>
      </c>
      <c r="L398" s="27">
        <v>1439.23</v>
      </c>
      <c r="M398" s="36">
        <v>0</v>
      </c>
      <c r="T398" s="41">
        <v>0</v>
      </c>
      <c r="U398" s="41">
        <v>0</v>
      </c>
      <c r="V398" s="42" t="s">
        <v>113</v>
      </c>
      <c r="W398" s="42">
        <v>1439.23</v>
      </c>
      <c r="X398" s="42">
        <v>1439.23</v>
      </c>
    </row>
    <row r="399" spans="1:24">
      <c r="A399" s="27" t="s">
        <v>845</v>
      </c>
      <c r="B399" s="28" t="s">
        <v>215</v>
      </c>
      <c r="C399" s="27" t="s">
        <v>846</v>
      </c>
      <c r="D399" s="27" t="s">
        <v>230</v>
      </c>
      <c r="E399" s="29">
        <v>40084</v>
      </c>
      <c r="F399" s="27">
        <v>12</v>
      </c>
      <c r="G399" s="18">
        <v>1439.23</v>
      </c>
      <c r="H399" s="27">
        <f t="shared" si="12"/>
        <v>1439.23</v>
      </c>
      <c r="I399" s="18">
        <v>1439.23</v>
      </c>
      <c r="J399" s="27">
        <v>1439.23</v>
      </c>
      <c r="K399" s="18">
        <f t="shared" si="13"/>
        <v>1439.23</v>
      </c>
      <c r="L399" s="27">
        <v>1439.23</v>
      </c>
      <c r="M399" s="36">
        <v>0</v>
      </c>
      <c r="T399" s="41">
        <v>0</v>
      </c>
      <c r="U399" s="41">
        <v>0</v>
      </c>
      <c r="V399" s="42" t="s">
        <v>113</v>
      </c>
      <c r="W399" s="42">
        <v>1439.23</v>
      </c>
      <c r="X399" s="42">
        <v>1439.23</v>
      </c>
    </row>
    <row r="400" spans="1:24">
      <c r="A400" s="27" t="s">
        <v>847</v>
      </c>
      <c r="B400" s="28" t="s">
        <v>215</v>
      </c>
      <c r="C400" s="27" t="s">
        <v>848</v>
      </c>
      <c r="D400" s="27" t="s">
        <v>112</v>
      </c>
      <c r="E400" s="29">
        <v>40084</v>
      </c>
      <c r="F400" s="27">
        <v>12</v>
      </c>
      <c r="G400" s="18">
        <v>4546.4399999999996</v>
      </c>
      <c r="H400" s="27">
        <f t="shared" si="12"/>
        <v>4546.4399999999996</v>
      </c>
      <c r="I400" s="18">
        <v>4546.4399999999996</v>
      </c>
      <c r="J400" s="27">
        <v>4546.4399999999996</v>
      </c>
      <c r="K400" s="18">
        <f t="shared" si="13"/>
        <v>4546.4399999999996</v>
      </c>
      <c r="L400" s="27">
        <v>4546.4399999999996</v>
      </c>
      <c r="M400" s="36">
        <v>0</v>
      </c>
      <c r="T400" s="41">
        <v>0</v>
      </c>
      <c r="U400" s="41">
        <v>0</v>
      </c>
      <c r="V400" s="42" t="s">
        <v>113</v>
      </c>
      <c r="W400" s="42">
        <v>4546.4399999999996</v>
      </c>
      <c r="X400" s="42">
        <v>4546.4399999999996</v>
      </c>
    </row>
    <row r="401" spans="1:24">
      <c r="A401" s="27" t="s">
        <v>849</v>
      </c>
      <c r="B401" s="28" t="s">
        <v>215</v>
      </c>
      <c r="C401" s="27" t="s">
        <v>850</v>
      </c>
      <c r="D401" s="27" t="s">
        <v>112</v>
      </c>
      <c r="E401" s="29">
        <v>40084</v>
      </c>
      <c r="F401" s="27">
        <v>12</v>
      </c>
      <c r="G401" s="18">
        <v>4546.45</v>
      </c>
      <c r="H401" s="27">
        <f t="shared" si="12"/>
        <v>4546.45</v>
      </c>
      <c r="I401" s="18">
        <v>4546.45</v>
      </c>
      <c r="J401" s="27">
        <v>4546.45</v>
      </c>
      <c r="K401" s="18">
        <f t="shared" si="13"/>
        <v>4546.45</v>
      </c>
      <c r="L401" s="27">
        <v>4546.45</v>
      </c>
      <c r="M401" s="36">
        <v>0</v>
      </c>
      <c r="T401" s="41">
        <v>0</v>
      </c>
      <c r="U401" s="41">
        <v>0</v>
      </c>
      <c r="V401" s="42" t="s">
        <v>113</v>
      </c>
      <c r="W401" s="42">
        <v>4546.45</v>
      </c>
      <c r="X401" s="42">
        <v>4546.45</v>
      </c>
    </row>
    <row r="402" spans="1:24">
      <c r="A402" s="27" t="s">
        <v>851</v>
      </c>
      <c r="B402" s="28" t="s">
        <v>215</v>
      </c>
      <c r="C402" s="27" t="s">
        <v>852</v>
      </c>
      <c r="D402" s="27" t="s">
        <v>112</v>
      </c>
      <c r="E402" s="29">
        <v>40084</v>
      </c>
      <c r="F402" s="27">
        <v>15</v>
      </c>
      <c r="G402" s="18">
        <v>18511.7</v>
      </c>
      <c r="H402" s="27">
        <f t="shared" si="12"/>
        <v>0</v>
      </c>
      <c r="I402" s="18">
        <v>14883</v>
      </c>
      <c r="J402" s="27">
        <v>18511.7</v>
      </c>
      <c r="K402" s="18">
        <f t="shared" si="13"/>
        <v>0</v>
      </c>
      <c r="L402" s="27">
        <v>15452.08</v>
      </c>
      <c r="M402" s="36">
        <v>569.08000000000004</v>
      </c>
      <c r="T402" s="41">
        <v>0</v>
      </c>
      <c r="U402" s="41">
        <v>0</v>
      </c>
      <c r="V402" s="42" t="s">
        <v>113</v>
      </c>
      <c r="W402" s="42">
        <v>0</v>
      </c>
      <c r="X402" s="42">
        <v>0</v>
      </c>
    </row>
    <row r="403" spans="1:24">
      <c r="A403" s="27" t="s">
        <v>853</v>
      </c>
      <c r="B403" s="28" t="s">
        <v>215</v>
      </c>
      <c r="C403" s="27" t="s">
        <v>854</v>
      </c>
      <c r="D403" s="27" t="s">
        <v>112</v>
      </c>
      <c r="E403" s="29">
        <v>40084</v>
      </c>
      <c r="F403" s="27">
        <v>15</v>
      </c>
      <c r="G403" s="18">
        <v>17477.11</v>
      </c>
      <c r="H403" s="27">
        <f t="shared" si="12"/>
        <v>0</v>
      </c>
      <c r="I403" s="18">
        <v>14039.36</v>
      </c>
      <c r="J403" s="27">
        <v>17477.11</v>
      </c>
      <c r="K403" s="18">
        <f t="shared" si="13"/>
        <v>0</v>
      </c>
      <c r="L403" s="27">
        <v>14579.13</v>
      </c>
      <c r="M403" s="36">
        <v>539.77</v>
      </c>
      <c r="T403" s="41">
        <v>0</v>
      </c>
      <c r="U403" s="41">
        <v>0</v>
      </c>
      <c r="V403" s="42" t="s">
        <v>113</v>
      </c>
      <c r="W403" s="42">
        <v>0</v>
      </c>
      <c r="X403" s="42">
        <v>0</v>
      </c>
    </row>
    <row r="404" spans="1:24">
      <c r="A404" s="27" t="s">
        <v>855</v>
      </c>
      <c r="B404" s="28" t="s">
        <v>215</v>
      </c>
      <c r="C404" s="27" t="s">
        <v>856</v>
      </c>
      <c r="D404" s="27" t="s">
        <v>230</v>
      </c>
      <c r="E404" s="29">
        <v>40084</v>
      </c>
      <c r="F404" s="27">
        <v>15</v>
      </c>
      <c r="G404" s="18">
        <v>51187.8</v>
      </c>
      <c r="H404" s="27">
        <f t="shared" si="12"/>
        <v>0</v>
      </c>
      <c r="I404" s="18">
        <v>39065.17</v>
      </c>
      <c r="J404" s="27">
        <v>51187.8</v>
      </c>
      <c r="K404" s="18">
        <f t="shared" si="13"/>
        <v>0</v>
      </c>
      <c r="L404" s="27">
        <v>41078.480000000003</v>
      </c>
      <c r="M404" s="36">
        <v>2013.31</v>
      </c>
      <c r="T404" s="41">
        <v>0</v>
      </c>
      <c r="U404" s="41">
        <v>0</v>
      </c>
      <c r="V404" s="42" t="s">
        <v>113</v>
      </c>
      <c r="W404" s="42">
        <v>0</v>
      </c>
      <c r="X404" s="42">
        <v>0</v>
      </c>
    </row>
    <row r="405" spans="1:24">
      <c r="A405" s="27" t="s">
        <v>857</v>
      </c>
      <c r="B405" s="28" t="s">
        <v>215</v>
      </c>
      <c r="C405" s="27" t="s">
        <v>858</v>
      </c>
      <c r="D405" s="27" t="s">
        <v>230</v>
      </c>
      <c r="E405" s="29">
        <v>40084</v>
      </c>
      <c r="F405" s="27">
        <v>15</v>
      </c>
      <c r="G405" s="18">
        <v>51187.8</v>
      </c>
      <c r="H405" s="27">
        <f t="shared" si="12"/>
        <v>0</v>
      </c>
      <c r="I405" s="18">
        <v>39065.17</v>
      </c>
      <c r="J405" s="27">
        <v>51187.8</v>
      </c>
      <c r="K405" s="18">
        <f t="shared" si="13"/>
        <v>0</v>
      </c>
      <c r="L405" s="27">
        <v>41078.480000000003</v>
      </c>
      <c r="M405" s="36">
        <v>2013.31</v>
      </c>
      <c r="T405" s="41">
        <v>0</v>
      </c>
      <c r="U405" s="41">
        <v>0</v>
      </c>
      <c r="V405" s="42" t="s">
        <v>113</v>
      </c>
      <c r="W405" s="42">
        <v>0</v>
      </c>
      <c r="X405" s="42">
        <v>0</v>
      </c>
    </row>
    <row r="406" spans="1:24">
      <c r="A406" s="27" t="s">
        <v>859</v>
      </c>
      <c r="B406" s="28" t="s">
        <v>215</v>
      </c>
      <c r="C406" s="27" t="s">
        <v>860</v>
      </c>
      <c r="D406" s="27" t="s">
        <v>230</v>
      </c>
      <c r="E406" s="29">
        <v>40113</v>
      </c>
      <c r="F406" s="27">
        <v>15</v>
      </c>
      <c r="G406" s="18">
        <v>9117.91</v>
      </c>
      <c r="H406" s="27">
        <f t="shared" si="12"/>
        <v>0</v>
      </c>
      <c r="I406" s="18">
        <v>7191.69</v>
      </c>
      <c r="J406" s="27">
        <v>9117.91</v>
      </c>
      <c r="K406" s="18">
        <f t="shared" si="13"/>
        <v>0</v>
      </c>
      <c r="L406" s="27">
        <v>7501.23</v>
      </c>
      <c r="M406" s="36">
        <v>309.54000000000002</v>
      </c>
      <c r="T406" s="41">
        <v>0</v>
      </c>
      <c r="U406" s="41">
        <v>0</v>
      </c>
      <c r="V406" s="42" t="s">
        <v>113</v>
      </c>
      <c r="W406" s="42">
        <v>0</v>
      </c>
      <c r="X406" s="42">
        <v>0</v>
      </c>
    </row>
    <row r="407" spans="1:24">
      <c r="A407" s="27" t="s">
        <v>861</v>
      </c>
      <c r="B407" s="28" t="s">
        <v>215</v>
      </c>
      <c r="C407" s="27" t="s">
        <v>862</v>
      </c>
      <c r="D407" s="27" t="s">
        <v>230</v>
      </c>
      <c r="E407" s="29">
        <v>40113</v>
      </c>
      <c r="F407" s="27">
        <v>12</v>
      </c>
      <c r="G407" s="18">
        <v>1930.85</v>
      </c>
      <c r="H407" s="27">
        <f t="shared" si="12"/>
        <v>1930.85</v>
      </c>
      <c r="I407" s="18">
        <v>1930.85</v>
      </c>
      <c r="J407" s="27">
        <v>1930.85</v>
      </c>
      <c r="K407" s="18">
        <f t="shared" si="13"/>
        <v>1930.85</v>
      </c>
      <c r="L407" s="27">
        <v>1930.85</v>
      </c>
      <c r="M407" s="36">
        <v>0</v>
      </c>
      <c r="T407" s="41">
        <v>0</v>
      </c>
      <c r="U407" s="41">
        <v>0</v>
      </c>
      <c r="V407" s="42" t="s">
        <v>113</v>
      </c>
      <c r="W407" s="42">
        <v>1930.85</v>
      </c>
      <c r="X407" s="42">
        <v>1930.85</v>
      </c>
    </row>
    <row r="408" spans="1:24">
      <c r="A408" s="27" t="s">
        <v>863</v>
      </c>
      <c r="B408" s="28" t="s">
        <v>215</v>
      </c>
      <c r="C408" s="27" t="s">
        <v>864</v>
      </c>
      <c r="D408" s="27" t="s">
        <v>230</v>
      </c>
      <c r="E408" s="29">
        <v>40113</v>
      </c>
      <c r="F408" s="27">
        <v>12</v>
      </c>
      <c r="G408" s="18">
        <v>1930.85</v>
      </c>
      <c r="H408" s="27">
        <f t="shared" si="12"/>
        <v>1930.85</v>
      </c>
      <c r="I408" s="18">
        <v>1930.85</v>
      </c>
      <c r="J408" s="27">
        <v>1930.85</v>
      </c>
      <c r="K408" s="18">
        <f t="shared" si="13"/>
        <v>1930.85</v>
      </c>
      <c r="L408" s="27">
        <v>1930.85</v>
      </c>
      <c r="M408" s="36">
        <v>0</v>
      </c>
      <c r="T408" s="41">
        <v>0</v>
      </c>
      <c r="U408" s="41">
        <v>0</v>
      </c>
      <c r="V408" s="42" t="s">
        <v>113</v>
      </c>
      <c r="W408" s="42">
        <v>1930.85</v>
      </c>
      <c r="X408" s="42">
        <v>1930.85</v>
      </c>
    </row>
    <row r="409" spans="1:24">
      <c r="A409" s="27" t="s">
        <v>865</v>
      </c>
      <c r="B409" s="28" t="s">
        <v>215</v>
      </c>
      <c r="C409" s="27" t="s">
        <v>866</v>
      </c>
      <c r="D409" s="27" t="s">
        <v>230</v>
      </c>
      <c r="E409" s="29">
        <v>40113</v>
      </c>
      <c r="F409" s="27">
        <v>12</v>
      </c>
      <c r="G409" s="18">
        <v>1930.85</v>
      </c>
      <c r="H409" s="27">
        <f t="shared" si="12"/>
        <v>1930.85</v>
      </c>
      <c r="I409" s="18">
        <v>1930.85</v>
      </c>
      <c r="J409" s="27">
        <v>1930.85</v>
      </c>
      <c r="K409" s="18">
        <f t="shared" si="13"/>
        <v>1930.85</v>
      </c>
      <c r="L409" s="27">
        <v>1930.85</v>
      </c>
      <c r="M409" s="36">
        <v>0</v>
      </c>
      <c r="T409" s="41">
        <v>0</v>
      </c>
      <c r="U409" s="41">
        <v>0</v>
      </c>
      <c r="V409" s="42" t="s">
        <v>113</v>
      </c>
      <c r="W409" s="42">
        <v>1930.85</v>
      </c>
      <c r="X409" s="42">
        <v>1930.85</v>
      </c>
    </row>
    <row r="410" spans="1:24">
      <c r="A410" s="27" t="s">
        <v>867</v>
      </c>
      <c r="B410" s="28" t="s">
        <v>215</v>
      </c>
      <c r="C410" s="27" t="s">
        <v>868</v>
      </c>
      <c r="D410" s="27" t="s">
        <v>230</v>
      </c>
      <c r="E410" s="29">
        <v>40113</v>
      </c>
      <c r="F410" s="27">
        <v>15</v>
      </c>
      <c r="G410" s="18">
        <v>9117.91</v>
      </c>
      <c r="H410" s="27">
        <f t="shared" si="12"/>
        <v>0</v>
      </c>
      <c r="I410" s="18">
        <v>7191.69</v>
      </c>
      <c r="J410" s="27">
        <v>9117.91</v>
      </c>
      <c r="K410" s="18">
        <f t="shared" si="13"/>
        <v>0</v>
      </c>
      <c r="L410" s="27">
        <v>7501.23</v>
      </c>
      <c r="M410" s="36">
        <v>309.54000000000002</v>
      </c>
      <c r="T410" s="41">
        <v>0</v>
      </c>
      <c r="U410" s="41">
        <v>0</v>
      </c>
      <c r="V410" s="42" t="s">
        <v>113</v>
      </c>
      <c r="W410" s="42">
        <v>0</v>
      </c>
      <c r="X410" s="42">
        <v>0</v>
      </c>
    </row>
    <row r="411" spans="1:24">
      <c r="A411" s="27" t="s">
        <v>869</v>
      </c>
      <c r="B411" s="28" t="s">
        <v>215</v>
      </c>
      <c r="C411" s="27" t="s">
        <v>870</v>
      </c>
      <c r="D411" s="27" t="s">
        <v>230</v>
      </c>
      <c r="E411" s="29">
        <v>40113</v>
      </c>
      <c r="F411" s="27">
        <v>12</v>
      </c>
      <c r="G411" s="18">
        <v>1930.85</v>
      </c>
      <c r="H411" s="27">
        <f t="shared" si="12"/>
        <v>1930.85</v>
      </c>
      <c r="I411" s="18">
        <v>1930.85</v>
      </c>
      <c r="J411" s="27">
        <v>1930.85</v>
      </c>
      <c r="K411" s="18">
        <f t="shared" si="13"/>
        <v>1930.85</v>
      </c>
      <c r="L411" s="27">
        <v>1930.85</v>
      </c>
      <c r="M411" s="36">
        <v>0</v>
      </c>
      <c r="T411" s="41">
        <v>0</v>
      </c>
      <c r="U411" s="41">
        <v>0</v>
      </c>
      <c r="V411" s="42" t="s">
        <v>113</v>
      </c>
      <c r="W411" s="42">
        <v>1930.85</v>
      </c>
      <c r="X411" s="42">
        <v>1930.85</v>
      </c>
    </row>
    <row r="412" spans="1:24">
      <c r="A412" s="27" t="s">
        <v>871</v>
      </c>
      <c r="B412" s="28" t="s">
        <v>215</v>
      </c>
      <c r="C412" s="27" t="s">
        <v>872</v>
      </c>
      <c r="D412" s="27" t="s">
        <v>230</v>
      </c>
      <c r="E412" s="29">
        <v>40113</v>
      </c>
      <c r="F412" s="27">
        <v>12</v>
      </c>
      <c r="G412" s="18">
        <v>1930.85</v>
      </c>
      <c r="H412" s="27">
        <f t="shared" si="12"/>
        <v>1930.85</v>
      </c>
      <c r="I412" s="18">
        <v>1930.85</v>
      </c>
      <c r="J412" s="27">
        <v>1930.85</v>
      </c>
      <c r="K412" s="18">
        <f t="shared" si="13"/>
        <v>1930.85</v>
      </c>
      <c r="L412" s="27">
        <v>1930.85</v>
      </c>
      <c r="M412" s="36">
        <v>0</v>
      </c>
      <c r="T412" s="41">
        <v>0</v>
      </c>
      <c r="U412" s="41">
        <v>0</v>
      </c>
      <c r="V412" s="42" t="s">
        <v>113</v>
      </c>
      <c r="W412" s="42">
        <v>1930.85</v>
      </c>
      <c r="X412" s="42">
        <v>1930.85</v>
      </c>
    </row>
    <row r="413" spans="1:24">
      <c r="A413" s="27" t="s">
        <v>873</v>
      </c>
      <c r="B413" s="28" t="s">
        <v>215</v>
      </c>
      <c r="C413" s="27" t="s">
        <v>874</v>
      </c>
      <c r="D413" s="27" t="s">
        <v>230</v>
      </c>
      <c r="E413" s="29">
        <v>40113</v>
      </c>
      <c r="F413" s="27">
        <v>12</v>
      </c>
      <c r="G413" s="18">
        <v>1930.85</v>
      </c>
      <c r="H413" s="27">
        <f t="shared" si="12"/>
        <v>1930.85</v>
      </c>
      <c r="I413" s="18">
        <v>1930.85</v>
      </c>
      <c r="J413" s="27">
        <v>1930.85</v>
      </c>
      <c r="K413" s="18">
        <f t="shared" si="13"/>
        <v>1930.85</v>
      </c>
      <c r="L413" s="27">
        <v>1930.85</v>
      </c>
      <c r="M413" s="36">
        <v>0</v>
      </c>
      <c r="T413" s="41">
        <v>0</v>
      </c>
      <c r="U413" s="41">
        <v>0</v>
      </c>
      <c r="V413" s="42" t="s">
        <v>113</v>
      </c>
      <c r="W413" s="42">
        <v>1930.85</v>
      </c>
      <c r="X413" s="42">
        <v>1930.85</v>
      </c>
    </row>
    <row r="414" spans="1:24">
      <c r="A414" s="27" t="s">
        <v>875</v>
      </c>
      <c r="B414" s="28" t="s">
        <v>215</v>
      </c>
      <c r="C414" s="27" t="s">
        <v>876</v>
      </c>
      <c r="D414" s="27" t="s">
        <v>230</v>
      </c>
      <c r="E414" s="29">
        <v>40113</v>
      </c>
      <c r="F414" s="27">
        <v>12</v>
      </c>
      <c r="G414" s="18">
        <v>1930.85</v>
      </c>
      <c r="H414" s="27">
        <f t="shared" si="12"/>
        <v>1930.85</v>
      </c>
      <c r="I414" s="18">
        <v>1930.85</v>
      </c>
      <c r="J414" s="27">
        <v>1930.85</v>
      </c>
      <c r="K414" s="18">
        <f t="shared" si="13"/>
        <v>1930.85</v>
      </c>
      <c r="L414" s="27">
        <v>1930.85</v>
      </c>
      <c r="M414" s="36">
        <v>0</v>
      </c>
      <c r="T414" s="41">
        <v>0</v>
      </c>
      <c r="U414" s="41">
        <v>0</v>
      </c>
      <c r="V414" s="42" t="s">
        <v>113</v>
      </c>
      <c r="W414" s="42">
        <v>1930.85</v>
      </c>
      <c r="X414" s="42">
        <v>1930.85</v>
      </c>
    </row>
    <row r="415" spans="1:24">
      <c r="A415" s="27" t="s">
        <v>877</v>
      </c>
      <c r="B415" s="28" t="s">
        <v>215</v>
      </c>
      <c r="C415" s="27" t="s">
        <v>878</v>
      </c>
      <c r="D415" s="27" t="s">
        <v>230</v>
      </c>
      <c r="E415" s="29">
        <v>40113</v>
      </c>
      <c r="F415" s="27">
        <v>12</v>
      </c>
      <c r="G415" s="18">
        <v>1930.85</v>
      </c>
      <c r="H415" s="27">
        <f t="shared" si="12"/>
        <v>1930.85</v>
      </c>
      <c r="I415" s="18">
        <v>1930.85</v>
      </c>
      <c r="J415" s="27">
        <v>1930.85</v>
      </c>
      <c r="K415" s="18">
        <f t="shared" si="13"/>
        <v>1930.85</v>
      </c>
      <c r="L415" s="27">
        <v>1930.85</v>
      </c>
      <c r="M415" s="36">
        <v>0</v>
      </c>
      <c r="T415" s="41">
        <v>0</v>
      </c>
      <c r="U415" s="41">
        <v>0</v>
      </c>
      <c r="V415" s="42" t="s">
        <v>113</v>
      </c>
      <c r="W415" s="42">
        <v>1930.85</v>
      </c>
      <c r="X415" s="42">
        <v>1930.85</v>
      </c>
    </row>
    <row r="416" spans="1:24">
      <c r="A416" s="27" t="s">
        <v>879</v>
      </c>
      <c r="B416" s="28" t="s">
        <v>215</v>
      </c>
      <c r="C416" s="27" t="s">
        <v>880</v>
      </c>
      <c r="D416" s="27" t="s">
        <v>230</v>
      </c>
      <c r="E416" s="29">
        <v>40113</v>
      </c>
      <c r="F416" s="27">
        <v>12</v>
      </c>
      <c r="G416" s="18">
        <v>1930.85</v>
      </c>
      <c r="H416" s="27">
        <f t="shared" si="12"/>
        <v>1930.85</v>
      </c>
      <c r="I416" s="18">
        <v>1930.85</v>
      </c>
      <c r="J416" s="27">
        <v>1930.85</v>
      </c>
      <c r="K416" s="18">
        <f t="shared" si="13"/>
        <v>1930.85</v>
      </c>
      <c r="L416" s="27">
        <v>1930.85</v>
      </c>
      <c r="M416" s="36">
        <v>0</v>
      </c>
      <c r="T416" s="41">
        <v>0</v>
      </c>
      <c r="U416" s="41">
        <v>0</v>
      </c>
      <c r="V416" s="42" t="s">
        <v>113</v>
      </c>
      <c r="W416" s="42">
        <v>1930.85</v>
      </c>
      <c r="X416" s="42">
        <v>1930.85</v>
      </c>
    </row>
    <row r="417" spans="1:24">
      <c r="A417" s="27" t="s">
        <v>881</v>
      </c>
      <c r="B417" s="28" t="s">
        <v>215</v>
      </c>
      <c r="C417" s="27" t="s">
        <v>882</v>
      </c>
      <c r="D417" s="27" t="s">
        <v>230</v>
      </c>
      <c r="E417" s="29">
        <v>40113</v>
      </c>
      <c r="F417" s="27">
        <v>15</v>
      </c>
      <c r="G417" s="18">
        <v>9117.91</v>
      </c>
      <c r="H417" s="27">
        <f t="shared" si="12"/>
        <v>0</v>
      </c>
      <c r="I417" s="18">
        <v>7191.7</v>
      </c>
      <c r="J417" s="27">
        <v>9117.91</v>
      </c>
      <c r="K417" s="18">
        <f t="shared" si="13"/>
        <v>0</v>
      </c>
      <c r="L417" s="27">
        <v>7501.24</v>
      </c>
      <c r="M417" s="36">
        <v>309.54000000000002</v>
      </c>
      <c r="T417" s="41">
        <v>0</v>
      </c>
      <c r="U417" s="41">
        <v>0</v>
      </c>
      <c r="V417" s="42" t="s">
        <v>113</v>
      </c>
      <c r="W417" s="42">
        <v>0</v>
      </c>
      <c r="X417" s="42">
        <v>0</v>
      </c>
    </row>
    <row r="418" spans="1:24">
      <c r="A418" s="27" t="s">
        <v>883</v>
      </c>
      <c r="B418" s="28" t="s">
        <v>215</v>
      </c>
      <c r="C418" s="27" t="s">
        <v>884</v>
      </c>
      <c r="D418" s="27" t="s">
        <v>230</v>
      </c>
      <c r="E418" s="29">
        <v>40113</v>
      </c>
      <c r="F418" s="27">
        <v>12</v>
      </c>
      <c r="G418" s="18">
        <v>1930.85</v>
      </c>
      <c r="H418" s="27">
        <f t="shared" si="12"/>
        <v>1930.85</v>
      </c>
      <c r="I418" s="18">
        <v>1930.85</v>
      </c>
      <c r="J418" s="27">
        <v>1930.85</v>
      </c>
      <c r="K418" s="18">
        <f t="shared" si="13"/>
        <v>1930.85</v>
      </c>
      <c r="L418" s="27">
        <v>1930.85</v>
      </c>
      <c r="M418" s="36">
        <v>0</v>
      </c>
      <c r="T418" s="41">
        <v>0</v>
      </c>
      <c r="U418" s="41">
        <v>0</v>
      </c>
      <c r="V418" s="42" t="s">
        <v>113</v>
      </c>
      <c r="W418" s="42">
        <v>1930.85</v>
      </c>
      <c r="X418" s="42">
        <v>1930.85</v>
      </c>
    </row>
    <row r="419" spans="1:24">
      <c r="A419" s="27" t="s">
        <v>885</v>
      </c>
      <c r="B419" s="28" t="s">
        <v>215</v>
      </c>
      <c r="C419" s="27" t="s">
        <v>886</v>
      </c>
      <c r="D419" s="27" t="s">
        <v>230</v>
      </c>
      <c r="E419" s="29">
        <v>40113</v>
      </c>
      <c r="F419" s="27">
        <v>12</v>
      </c>
      <c r="G419" s="18">
        <v>1930.85</v>
      </c>
      <c r="H419" s="27">
        <f t="shared" si="12"/>
        <v>1930.85</v>
      </c>
      <c r="I419" s="18">
        <v>1930.85</v>
      </c>
      <c r="J419" s="27">
        <v>1930.85</v>
      </c>
      <c r="K419" s="18">
        <f t="shared" si="13"/>
        <v>1930.85</v>
      </c>
      <c r="L419" s="27">
        <v>1930.85</v>
      </c>
      <c r="M419" s="36">
        <v>0</v>
      </c>
      <c r="T419" s="41">
        <v>0</v>
      </c>
      <c r="U419" s="41">
        <v>0</v>
      </c>
      <c r="V419" s="42" t="s">
        <v>113</v>
      </c>
      <c r="W419" s="42">
        <v>1930.85</v>
      </c>
      <c r="X419" s="42">
        <v>1930.85</v>
      </c>
    </row>
    <row r="420" spans="1:24">
      <c r="A420" s="27" t="s">
        <v>887</v>
      </c>
      <c r="B420" s="28" t="s">
        <v>215</v>
      </c>
      <c r="C420" s="27" t="s">
        <v>888</v>
      </c>
      <c r="D420" s="27" t="s">
        <v>230</v>
      </c>
      <c r="E420" s="29">
        <v>40113</v>
      </c>
      <c r="F420" s="27">
        <v>12</v>
      </c>
      <c r="G420" s="18">
        <v>1930.85</v>
      </c>
      <c r="H420" s="27">
        <f t="shared" si="12"/>
        <v>1930.85</v>
      </c>
      <c r="I420" s="18">
        <v>1930.85</v>
      </c>
      <c r="J420" s="27">
        <v>1930.85</v>
      </c>
      <c r="K420" s="18">
        <f t="shared" si="13"/>
        <v>1930.85</v>
      </c>
      <c r="L420" s="27">
        <v>1930.85</v>
      </c>
      <c r="M420" s="36">
        <v>0</v>
      </c>
      <c r="T420" s="41">
        <v>0</v>
      </c>
      <c r="U420" s="41">
        <v>0</v>
      </c>
      <c r="V420" s="42" t="s">
        <v>113</v>
      </c>
      <c r="W420" s="42">
        <v>1930.85</v>
      </c>
      <c r="X420" s="42">
        <v>1930.85</v>
      </c>
    </row>
    <row r="421" spans="1:24">
      <c r="A421" s="27" t="s">
        <v>889</v>
      </c>
      <c r="B421" s="28" t="s">
        <v>215</v>
      </c>
      <c r="C421" s="27" t="s">
        <v>890</v>
      </c>
      <c r="D421" s="27" t="s">
        <v>230</v>
      </c>
      <c r="E421" s="29">
        <v>40113</v>
      </c>
      <c r="F421" s="27">
        <v>15</v>
      </c>
      <c r="G421" s="18">
        <v>32180.84</v>
      </c>
      <c r="H421" s="27">
        <f t="shared" si="12"/>
        <v>0</v>
      </c>
      <c r="I421" s="18">
        <v>25382.45</v>
      </c>
      <c r="J421" s="27">
        <v>32180.84</v>
      </c>
      <c r="K421" s="18">
        <f t="shared" si="13"/>
        <v>0</v>
      </c>
      <c r="L421" s="27">
        <v>26474.94</v>
      </c>
      <c r="M421" s="36">
        <v>1092.49</v>
      </c>
      <c r="T421" s="41">
        <v>0</v>
      </c>
      <c r="U421" s="41">
        <v>0</v>
      </c>
      <c r="V421" s="42" t="s">
        <v>113</v>
      </c>
      <c r="W421" s="42">
        <v>0</v>
      </c>
      <c r="X421" s="42">
        <v>0</v>
      </c>
    </row>
    <row r="422" spans="1:24">
      <c r="A422" s="27" t="s">
        <v>891</v>
      </c>
      <c r="B422" s="28" t="s">
        <v>215</v>
      </c>
      <c r="C422" s="27" t="s">
        <v>892</v>
      </c>
      <c r="D422" s="27" t="s">
        <v>220</v>
      </c>
      <c r="E422" s="29">
        <v>40112</v>
      </c>
      <c r="F422" s="27">
        <v>15</v>
      </c>
      <c r="G422" s="18">
        <v>96222.76</v>
      </c>
      <c r="H422" s="27">
        <f t="shared" si="12"/>
        <v>0</v>
      </c>
      <c r="I422" s="18">
        <v>81755.570000000007</v>
      </c>
      <c r="J422" s="27">
        <v>96222.76</v>
      </c>
      <c r="K422" s="18">
        <f t="shared" si="13"/>
        <v>0</v>
      </c>
      <c r="L422" s="27">
        <v>84220.94</v>
      </c>
      <c r="M422" s="36">
        <v>2465.37</v>
      </c>
      <c r="T422" s="41">
        <v>0</v>
      </c>
      <c r="U422" s="41">
        <v>0</v>
      </c>
      <c r="V422" s="42" t="s">
        <v>113</v>
      </c>
      <c r="W422" s="42">
        <v>0</v>
      </c>
      <c r="X422" s="42">
        <v>0</v>
      </c>
    </row>
    <row r="423" spans="1:24">
      <c r="A423" s="27" t="s">
        <v>893</v>
      </c>
      <c r="B423" s="28" t="s">
        <v>215</v>
      </c>
      <c r="C423" s="27" t="s">
        <v>894</v>
      </c>
      <c r="D423" s="27" t="s">
        <v>220</v>
      </c>
      <c r="E423" s="29">
        <v>40112</v>
      </c>
      <c r="F423" s="27">
        <v>15</v>
      </c>
      <c r="G423" s="18">
        <v>96222.76</v>
      </c>
      <c r="H423" s="27">
        <f t="shared" si="12"/>
        <v>0</v>
      </c>
      <c r="I423" s="18">
        <v>81858.789999999994</v>
      </c>
      <c r="J423" s="27">
        <v>96222.76</v>
      </c>
      <c r="K423" s="18">
        <f t="shared" si="13"/>
        <v>0</v>
      </c>
      <c r="L423" s="27">
        <v>84297.81</v>
      </c>
      <c r="M423" s="36">
        <v>2439.02</v>
      </c>
      <c r="T423" s="41">
        <v>0</v>
      </c>
      <c r="U423" s="41">
        <v>0</v>
      </c>
      <c r="V423" s="42" t="s">
        <v>113</v>
      </c>
      <c r="W423" s="42">
        <v>0</v>
      </c>
      <c r="X423" s="42">
        <v>0</v>
      </c>
    </row>
    <row r="424" spans="1:24">
      <c r="A424" s="27" t="s">
        <v>895</v>
      </c>
      <c r="B424" s="28" t="s">
        <v>215</v>
      </c>
      <c r="C424" s="27" t="s">
        <v>896</v>
      </c>
      <c r="D424" s="27" t="s">
        <v>220</v>
      </c>
      <c r="E424" s="29">
        <v>40112</v>
      </c>
      <c r="F424" s="27">
        <v>15</v>
      </c>
      <c r="G424" s="18">
        <v>60447.64</v>
      </c>
      <c r="H424" s="27">
        <f t="shared" si="12"/>
        <v>0</v>
      </c>
      <c r="I424" s="18">
        <v>51164.73</v>
      </c>
      <c r="J424" s="27">
        <v>60447.64</v>
      </c>
      <c r="K424" s="18">
        <f t="shared" si="13"/>
        <v>0</v>
      </c>
      <c r="L424" s="27">
        <v>52763.16</v>
      </c>
      <c r="M424" s="36">
        <v>1598.43</v>
      </c>
      <c r="T424" s="41">
        <v>0</v>
      </c>
      <c r="U424" s="41">
        <v>0</v>
      </c>
      <c r="V424" s="42" t="s">
        <v>113</v>
      </c>
      <c r="W424" s="42">
        <v>0</v>
      </c>
      <c r="X424" s="42">
        <v>0</v>
      </c>
    </row>
    <row r="425" spans="1:24">
      <c r="A425" s="27" t="s">
        <v>897</v>
      </c>
      <c r="B425" s="28" t="s">
        <v>215</v>
      </c>
      <c r="C425" s="27" t="s">
        <v>898</v>
      </c>
      <c r="D425" s="27" t="s">
        <v>220</v>
      </c>
      <c r="E425" s="29">
        <v>40112</v>
      </c>
      <c r="F425" s="27">
        <v>15</v>
      </c>
      <c r="G425" s="18">
        <v>60447.64</v>
      </c>
      <c r="H425" s="27">
        <f t="shared" si="12"/>
        <v>0</v>
      </c>
      <c r="I425" s="18">
        <v>51164.73</v>
      </c>
      <c r="J425" s="27">
        <v>60447.64</v>
      </c>
      <c r="K425" s="18">
        <f t="shared" si="13"/>
        <v>0</v>
      </c>
      <c r="L425" s="27">
        <v>52763.16</v>
      </c>
      <c r="M425" s="36">
        <v>1598.43</v>
      </c>
      <c r="T425" s="41">
        <v>0</v>
      </c>
      <c r="U425" s="41">
        <v>0</v>
      </c>
      <c r="V425" s="42" t="s">
        <v>113</v>
      </c>
      <c r="W425" s="42">
        <v>0</v>
      </c>
      <c r="X425" s="42">
        <v>0</v>
      </c>
    </row>
    <row r="426" spans="1:24">
      <c r="A426" s="27" t="s">
        <v>899</v>
      </c>
      <c r="B426" s="28" t="s">
        <v>215</v>
      </c>
      <c r="C426" s="27" t="s">
        <v>900</v>
      </c>
      <c r="D426" s="27" t="s">
        <v>220</v>
      </c>
      <c r="E426" s="29">
        <v>40112</v>
      </c>
      <c r="F426" s="27">
        <v>15</v>
      </c>
      <c r="G426" s="18">
        <v>12336</v>
      </c>
      <c r="H426" s="27">
        <f t="shared" si="12"/>
        <v>0</v>
      </c>
      <c r="I426" s="18">
        <v>10441.56</v>
      </c>
      <c r="J426" s="27">
        <v>12336</v>
      </c>
      <c r="K426" s="18">
        <f t="shared" si="13"/>
        <v>0</v>
      </c>
      <c r="L426" s="27">
        <v>10767.77</v>
      </c>
      <c r="M426" s="36">
        <v>326.20999999999998</v>
      </c>
      <c r="T426" s="41">
        <v>0</v>
      </c>
      <c r="U426" s="41">
        <v>0</v>
      </c>
      <c r="V426" s="42" t="s">
        <v>113</v>
      </c>
      <c r="W426" s="42">
        <v>0</v>
      </c>
      <c r="X426" s="42">
        <v>0</v>
      </c>
    </row>
    <row r="427" spans="1:24">
      <c r="A427" s="27" t="s">
        <v>901</v>
      </c>
      <c r="B427" s="28" t="s">
        <v>215</v>
      </c>
      <c r="C427" s="27" t="s">
        <v>902</v>
      </c>
      <c r="D427" s="27" t="s">
        <v>220</v>
      </c>
      <c r="E427" s="29">
        <v>40112</v>
      </c>
      <c r="F427" s="27">
        <v>15</v>
      </c>
      <c r="G427" s="18">
        <v>12336</v>
      </c>
      <c r="H427" s="27">
        <f t="shared" si="12"/>
        <v>0</v>
      </c>
      <c r="I427" s="18">
        <v>10441.56</v>
      </c>
      <c r="J427" s="27">
        <v>12336</v>
      </c>
      <c r="K427" s="18">
        <f t="shared" si="13"/>
        <v>0</v>
      </c>
      <c r="L427" s="27">
        <v>10767.77</v>
      </c>
      <c r="M427" s="36">
        <v>326.20999999999998</v>
      </c>
      <c r="T427" s="41">
        <v>0</v>
      </c>
      <c r="U427" s="41">
        <v>0</v>
      </c>
      <c r="V427" s="42" t="s">
        <v>113</v>
      </c>
      <c r="W427" s="42">
        <v>0</v>
      </c>
      <c r="X427" s="42">
        <v>0</v>
      </c>
    </row>
    <row r="428" spans="1:24">
      <c r="A428" s="27" t="s">
        <v>903</v>
      </c>
      <c r="B428" s="28" t="s">
        <v>215</v>
      </c>
      <c r="C428" s="27" t="s">
        <v>904</v>
      </c>
      <c r="D428" s="27" t="s">
        <v>220</v>
      </c>
      <c r="E428" s="29">
        <v>40112</v>
      </c>
      <c r="F428" s="27">
        <v>15</v>
      </c>
      <c r="G428" s="18">
        <v>12336.76</v>
      </c>
      <c r="H428" s="27">
        <f t="shared" si="12"/>
        <v>0</v>
      </c>
      <c r="I428" s="18">
        <v>10442.209999999999</v>
      </c>
      <c r="J428" s="27">
        <v>12336.76</v>
      </c>
      <c r="K428" s="18">
        <f t="shared" si="13"/>
        <v>0</v>
      </c>
      <c r="L428" s="27">
        <v>10768.43</v>
      </c>
      <c r="M428" s="36">
        <v>326.22000000000003</v>
      </c>
      <c r="T428" s="41">
        <v>0</v>
      </c>
      <c r="U428" s="41">
        <v>0</v>
      </c>
      <c r="V428" s="42" t="s">
        <v>113</v>
      </c>
      <c r="W428" s="42">
        <v>0</v>
      </c>
      <c r="X428" s="42">
        <v>0</v>
      </c>
    </row>
    <row r="429" spans="1:24">
      <c r="A429" s="27" t="s">
        <v>905</v>
      </c>
      <c r="B429" s="28" t="s">
        <v>215</v>
      </c>
      <c r="C429" s="27" t="s">
        <v>906</v>
      </c>
      <c r="D429" s="27" t="s">
        <v>118</v>
      </c>
      <c r="E429" s="29">
        <v>40112</v>
      </c>
      <c r="F429" s="27">
        <v>15</v>
      </c>
      <c r="G429" s="18">
        <v>25906.12</v>
      </c>
      <c r="H429" s="27">
        <f t="shared" si="12"/>
        <v>0</v>
      </c>
      <c r="I429" s="18">
        <v>21927.73</v>
      </c>
      <c r="J429" s="27">
        <v>25906.12</v>
      </c>
      <c r="K429" s="18">
        <f t="shared" si="13"/>
        <v>0</v>
      </c>
      <c r="L429" s="27">
        <v>22612.77</v>
      </c>
      <c r="M429" s="36">
        <v>685.04</v>
      </c>
      <c r="T429" s="41">
        <v>0</v>
      </c>
      <c r="U429" s="41">
        <v>0</v>
      </c>
      <c r="V429" s="42" t="s">
        <v>113</v>
      </c>
      <c r="W429" s="42">
        <v>0</v>
      </c>
      <c r="X429" s="42">
        <v>0</v>
      </c>
    </row>
    <row r="430" spans="1:24">
      <c r="A430" s="27" t="s">
        <v>907</v>
      </c>
      <c r="B430" s="28" t="s">
        <v>215</v>
      </c>
      <c r="C430" s="27" t="s">
        <v>638</v>
      </c>
      <c r="D430" s="27" t="s">
        <v>118</v>
      </c>
      <c r="E430" s="29">
        <v>40112</v>
      </c>
      <c r="F430" s="27">
        <v>15</v>
      </c>
      <c r="G430" s="18">
        <v>25906.12</v>
      </c>
      <c r="H430" s="27">
        <f t="shared" si="12"/>
        <v>0</v>
      </c>
      <c r="I430" s="18">
        <v>21927.73</v>
      </c>
      <c r="J430" s="27">
        <v>25906.12</v>
      </c>
      <c r="K430" s="18">
        <f t="shared" si="13"/>
        <v>0</v>
      </c>
      <c r="L430" s="27">
        <v>22612.77</v>
      </c>
      <c r="M430" s="36">
        <v>685.04</v>
      </c>
      <c r="T430" s="41">
        <v>0</v>
      </c>
      <c r="U430" s="41">
        <v>0</v>
      </c>
      <c r="V430" s="42" t="s">
        <v>113</v>
      </c>
      <c r="W430" s="42">
        <v>0</v>
      </c>
      <c r="X430" s="42">
        <v>0</v>
      </c>
    </row>
    <row r="431" spans="1:24">
      <c r="A431" s="27" t="s">
        <v>908</v>
      </c>
      <c r="B431" s="28" t="s">
        <v>215</v>
      </c>
      <c r="C431" s="27" t="s">
        <v>640</v>
      </c>
      <c r="D431" s="27" t="s">
        <v>118</v>
      </c>
      <c r="E431" s="29">
        <v>40112</v>
      </c>
      <c r="F431" s="27">
        <v>15</v>
      </c>
      <c r="G431" s="18">
        <v>25906.12</v>
      </c>
      <c r="H431" s="27">
        <f t="shared" si="12"/>
        <v>0</v>
      </c>
      <c r="I431" s="18">
        <v>21927.73</v>
      </c>
      <c r="J431" s="27">
        <v>25906.12</v>
      </c>
      <c r="K431" s="18">
        <f t="shared" si="13"/>
        <v>0</v>
      </c>
      <c r="L431" s="27">
        <v>22612.77</v>
      </c>
      <c r="M431" s="36">
        <v>685.04</v>
      </c>
      <c r="T431" s="41">
        <v>0</v>
      </c>
      <c r="U431" s="41">
        <v>0</v>
      </c>
      <c r="V431" s="42" t="s">
        <v>113</v>
      </c>
      <c r="W431" s="42">
        <v>0</v>
      </c>
      <c r="X431" s="42">
        <v>0</v>
      </c>
    </row>
    <row r="432" spans="1:24">
      <c r="A432" s="27" t="s">
        <v>909</v>
      </c>
      <c r="B432" s="28" t="s">
        <v>215</v>
      </c>
      <c r="C432" s="27" t="s">
        <v>642</v>
      </c>
      <c r="D432" s="27" t="s">
        <v>118</v>
      </c>
      <c r="E432" s="29">
        <v>40112</v>
      </c>
      <c r="F432" s="27">
        <v>15</v>
      </c>
      <c r="G432" s="18">
        <v>25906.15</v>
      </c>
      <c r="H432" s="27">
        <f t="shared" si="12"/>
        <v>0</v>
      </c>
      <c r="I432" s="18">
        <v>21927.75</v>
      </c>
      <c r="J432" s="27">
        <v>25906.15</v>
      </c>
      <c r="K432" s="18">
        <f t="shared" si="13"/>
        <v>0</v>
      </c>
      <c r="L432" s="27">
        <v>22612.79</v>
      </c>
      <c r="M432" s="36">
        <v>685.04</v>
      </c>
      <c r="T432" s="41">
        <v>0</v>
      </c>
      <c r="U432" s="41">
        <v>0</v>
      </c>
      <c r="V432" s="42" t="s">
        <v>113</v>
      </c>
      <c r="W432" s="42">
        <v>0</v>
      </c>
      <c r="X432" s="42">
        <v>0</v>
      </c>
    </row>
    <row r="433" spans="1:24">
      <c r="A433" s="27" t="s">
        <v>910</v>
      </c>
      <c r="B433" s="28" t="s">
        <v>215</v>
      </c>
      <c r="C433" s="27" t="s">
        <v>911</v>
      </c>
      <c r="D433" s="27" t="s">
        <v>118</v>
      </c>
      <c r="E433" s="29">
        <v>40112</v>
      </c>
      <c r="F433" s="27">
        <v>15</v>
      </c>
      <c r="G433" s="18">
        <v>72104.5</v>
      </c>
      <c r="H433" s="27">
        <f t="shared" si="12"/>
        <v>0</v>
      </c>
      <c r="I433" s="18">
        <v>60336.24</v>
      </c>
      <c r="J433" s="27">
        <v>72104.5</v>
      </c>
      <c r="K433" s="18">
        <f t="shared" si="13"/>
        <v>0</v>
      </c>
      <c r="L433" s="27">
        <v>62420.42</v>
      </c>
      <c r="M433" s="36">
        <v>2084.1799999999998</v>
      </c>
      <c r="T433" s="41">
        <v>0</v>
      </c>
      <c r="U433" s="41">
        <v>0</v>
      </c>
      <c r="V433" s="42" t="s">
        <v>113</v>
      </c>
      <c r="W433" s="42">
        <v>0</v>
      </c>
      <c r="X433" s="42">
        <v>0</v>
      </c>
    </row>
    <row r="434" spans="1:24">
      <c r="A434" s="27" t="s">
        <v>912</v>
      </c>
      <c r="B434" s="28" t="s">
        <v>215</v>
      </c>
      <c r="C434" s="27" t="s">
        <v>913</v>
      </c>
      <c r="D434" s="27" t="s">
        <v>230</v>
      </c>
      <c r="E434" s="29">
        <v>40113</v>
      </c>
      <c r="F434" s="27">
        <v>15</v>
      </c>
      <c r="G434" s="18">
        <v>128792.72</v>
      </c>
      <c r="H434" s="27">
        <f t="shared" si="12"/>
        <v>128792.72</v>
      </c>
      <c r="I434" s="18">
        <v>122353.08</v>
      </c>
      <c r="J434" s="27">
        <v>128792.72</v>
      </c>
      <c r="K434" s="18">
        <f t="shared" si="13"/>
        <v>128792.72</v>
      </c>
      <c r="L434" s="27">
        <v>122353.08</v>
      </c>
      <c r="M434" s="36">
        <v>0</v>
      </c>
      <c r="T434" s="41">
        <v>0</v>
      </c>
      <c r="U434" s="41">
        <v>0</v>
      </c>
      <c r="V434" s="42" t="s">
        <v>113</v>
      </c>
      <c r="W434" s="42">
        <v>128792.72</v>
      </c>
      <c r="X434" s="42">
        <v>128792.72</v>
      </c>
    </row>
    <row r="435" spans="1:24">
      <c r="A435" s="27" t="s">
        <v>914</v>
      </c>
      <c r="B435" s="28" t="s">
        <v>215</v>
      </c>
      <c r="C435" s="27" t="s">
        <v>915</v>
      </c>
      <c r="D435" s="27" t="s">
        <v>230</v>
      </c>
      <c r="E435" s="29">
        <v>40113</v>
      </c>
      <c r="F435" s="27">
        <v>15</v>
      </c>
      <c r="G435" s="18">
        <v>152720.35999999999</v>
      </c>
      <c r="H435" s="27">
        <f t="shared" si="12"/>
        <v>152720.35999999999</v>
      </c>
      <c r="I435" s="18">
        <v>145084.34</v>
      </c>
      <c r="J435" s="27">
        <v>152720.35999999999</v>
      </c>
      <c r="K435" s="18">
        <f t="shared" si="13"/>
        <v>152720.35999999999</v>
      </c>
      <c r="L435" s="27">
        <v>145084.34</v>
      </c>
      <c r="M435" s="36">
        <v>0</v>
      </c>
      <c r="T435" s="41">
        <v>0</v>
      </c>
      <c r="U435" s="41">
        <v>0</v>
      </c>
      <c r="V435" s="42" t="s">
        <v>113</v>
      </c>
      <c r="W435" s="42">
        <v>152720.35999999999</v>
      </c>
      <c r="X435" s="42">
        <v>152720.35999999999</v>
      </c>
    </row>
    <row r="436" spans="1:24">
      <c r="A436" s="27" t="s">
        <v>916</v>
      </c>
      <c r="B436" s="28" t="s">
        <v>215</v>
      </c>
      <c r="C436" s="27" t="s">
        <v>917</v>
      </c>
      <c r="D436" s="27" t="s">
        <v>230</v>
      </c>
      <c r="E436" s="29">
        <v>40113</v>
      </c>
      <c r="F436" s="27">
        <v>15</v>
      </c>
      <c r="G436" s="18">
        <v>142018.4</v>
      </c>
      <c r="H436" s="27">
        <f t="shared" si="12"/>
        <v>142018.4</v>
      </c>
      <c r="I436" s="18">
        <v>134917.48000000001</v>
      </c>
      <c r="J436" s="27">
        <v>142018.4</v>
      </c>
      <c r="K436" s="18">
        <f t="shared" si="13"/>
        <v>142018.4</v>
      </c>
      <c r="L436" s="27">
        <v>134917.48000000001</v>
      </c>
      <c r="M436" s="36">
        <v>0</v>
      </c>
      <c r="T436" s="41">
        <v>0</v>
      </c>
      <c r="U436" s="41">
        <v>0</v>
      </c>
      <c r="V436" s="42" t="s">
        <v>113</v>
      </c>
      <c r="W436" s="42">
        <v>142018.4</v>
      </c>
      <c r="X436" s="42">
        <v>142018.4</v>
      </c>
    </row>
    <row r="437" spans="1:24">
      <c r="A437" s="27" t="s">
        <v>918</v>
      </c>
      <c r="B437" s="28" t="s">
        <v>215</v>
      </c>
      <c r="C437" s="27" t="s">
        <v>919</v>
      </c>
      <c r="D437" s="27" t="s">
        <v>230</v>
      </c>
      <c r="E437" s="29">
        <v>40113</v>
      </c>
      <c r="F437" s="27">
        <v>15</v>
      </c>
      <c r="G437" s="18">
        <v>130987.44</v>
      </c>
      <c r="H437" s="27">
        <f t="shared" si="12"/>
        <v>130987.44</v>
      </c>
      <c r="I437" s="18">
        <v>124438.07</v>
      </c>
      <c r="J437" s="27">
        <v>130987.44</v>
      </c>
      <c r="K437" s="18">
        <f t="shared" si="13"/>
        <v>130987.44</v>
      </c>
      <c r="L437" s="27">
        <v>124438.07</v>
      </c>
      <c r="M437" s="36">
        <v>0</v>
      </c>
      <c r="T437" s="41">
        <v>0</v>
      </c>
      <c r="U437" s="41">
        <v>0</v>
      </c>
      <c r="V437" s="42" t="s">
        <v>113</v>
      </c>
      <c r="W437" s="42">
        <v>130987.44</v>
      </c>
      <c r="X437" s="42">
        <v>130987.44</v>
      </c>
    </row>
    <row r="438" spans="1:24">
      <c r="A438" s="27" t="s">
        <v>920</v>
      </c>
      <c r="B438" s="28" t="s">
        <v>215</v>
      </c>
      <c r="C438" s="27" t="s">
        <v>921</v>
      </c>
      <c r="D438" s="27" t="s">
        <v>118</v>
      </c>
      <c r="E438" s="29">
        <v>40112</v>
      </c>
      <c r="F438" s="27">
        <v>15</v>
      </c>
      <c r="G438" s="18">
        <v>151119.09</v>
      </c>
      <c r="H438" s="27">
        <f t="shared" si="12"/>
        <v>0</v>
      </c>
      <c r="I438" s="18">
        <v>127911.82</v>
      </c>
      <c r="J438" s="27">
        <v>151119.09</v>
      </c>
      <c r="K438" s="18">
        <f t="shared" si="13"/>
        <v>0</v>
      </c>
      <c r="L438" s="27">
        <v>131907.9</v>
      </c>
      <c r="M438" s="36">
        <v>3996.08</v>
      </c>
      <c r="T438" s="41">
        <v>0</v>
      </c>
      <c r="U438" s="41">
        <v>0</v>
      </c>
      <c r="V438" s="42" t="s">
        <v>113</v>
      </c>
      <c r="W438" s="42">
        <v>0</v>
      </c>
      <c r="X438" s="42">
        <v>0</v>
      </c>
    </row>
    <row r="439" spans="1:24">
      <c r="A439" s="27" t="s">
        <v>922</v>
      </c>
      <c r="B439" s="28" t="s">
        <v>215</v>
      </c>
      <c r="C439" s="27" t="s">
        <v>923</v>
      </c>
      <c r="D439" s="27" t="s">
        <v>118</v>
      </c>
      <c r="E439" s="29">
        <v>40112</v>
      </c>
      <c r="F439" s="27">
        <v>15</v>
      </c>
      <c r="G439" s="18">
        <v>84100.03</v>
      </c>
      <c r="H439" s="27">
        <f t="shared" si="12"/>
        <v>0</v>
      </c>
      <c r="I439" s="18">
        <v>71184.84</v>
      </c>
      <c r="J439" s="27">
        <v>84100.03</v>
      </c>
      <c r="K439" s="18">
        <f t="shared" si="13"/>
        <v>0</v>
      </c>
      <c r="L439" s="27">
        <v>73408.72</v>
      </c>
      <c r="M439" s="36">
        <v>2223.88</v>
      </c>
      <c r="T439" s="41">
        <v>0</v>
      </c>
      <c r="U439" s="41">
        <v>0</v>
      </c>
      <c r="V439" s="42" t="s">
        <v>113</v>
      </c>
      <c r="W439" s="42">
        <v>0</v>
      </c>
      <c r="X439" s="42">
        <v>0</v>
      </c>
    </row>
    <row r="440" spans="1:24">
      <c r="A440" s="27" t="s">
        <v>924</v>
      </c>
      <c r="B440" s="28" t="s">
        <v>215</v>
      </c>
      <c r="C440" s="27" t="s">
        <v>925</v>
      </c>
      <c r="D440" s="27" t="s">
        <v>118</v>
      </c>
      <c r="E440" s="29">
        <v>40112</v>
      </c>
      <c r="F440" s="27">
        <v>12</v>
      </c>
      <c r="G440" s="18">
        <v>1423.41</v>
      </c>
      <c r="H440" s="27">
        <f t="shared" si="12"/>
        <v>1423.41</v>
      </c>
      <c r="I440" s="18">
        <v>1423.41</v>
      </c>
      <c r="J440" s="27">
        <v>1423.41</v>
      </c>
      <c r="K440" s="18">
        <f t="shared" si="13"/>
        <v>1423.41</v>
      </c>
      <c r="L440" s="27">
        <v>1423.41</v>
      </c>
      <c r="M440" s="36">
        <v>0</v>
      </c>
      <c r="T440" s="41">
        <v>0</v>
      </c>
      <c r="U440" s="41">
        <v>0</v>
      </c>
      <c r="V440" s="42" t="s">
        <v>113</v>
      </c>
      <c r="W440" s="42">
        <v>1423.41</v>
      </c>
      <c r="X440" s="42">
        <v>1423.41</v>
      </c>
    </row>
    <row r="441" spans="1:24">
      <c r="A441" s="27" t="s">
        <v>926</v>
      </c>
      <c r="B441" s="28" t="s">
        <v>215</v>
      </c>
      <c r="C441" s="27" t="s">
        <v>927</v>
      </c>
      <c r="D441" s="27" t="s">
        <v>118</v>
      </c>
      <c r="E441" s="29">
        <v>40112</v>
      </c>
      <c r="F441" s="27">
        <v>12</v>
      </c>
      <c r="G441" s="18">
        <v>1423.41</v>
      </c>
      <c r="H441" s="27">
        <f t="shared" si="12"/>
        <v>1423.41</v>
      </c>
      <c r="I441" s="18">
        <v>1423.41</v>
      </c>
      <c r="J441" s="27">
        <v>1423.41</v>
      </c>
      <c r="K441" s="18">
        <f t="shared" si="13"/>
        <v>1423.41</v>
      </c>
      <c r="L441" s="27">
        <v>1423.41</v>
      </c>
      <c r="M441" s="36">
        <v>0</v>
      </c>
      <c r="T441" s="41">
        <v>0</v>
      </c>
      <c r="U441" s="41">
        <v>0</v>
      </c>
      <c r="V441" s="42" t="s">
        <v>113</v>
      </c>
      <c r="W441" s="42">
        <v>1423.41</v>
      </c>
      <c r="X441" s="42">
        <v>1423.41</v>
      </c>
    </row>
    <row r="442" spans="1:24">
      <c r="A442" s="27" t="s">
        <v>928</v>
      </c>
      <c r="B442" s="28" t="s">
        <v>215</v>
      </c>
      <c r="C442" s="27" t="s">
        <v>929</v>
      </c>
      <c r="D442" s="27" t="s">
        <v>118</v>
      </c>
      <c r="E442" s="29">
        <v>40112</v>
      </c>
      <c r="F442" s="27">
        <v>12</v>
      </c>
      <c r="G442" s="18">
        <v>1423.41</v>
      </c>
      <c r="H442" s="27">
        <f t="shared" si="12"/>
        <v>1423.41</v>
      </c>
      <c r="I442" s="18">
        <v>1423.41</v>
      </c>
      <c r="J442" s="27">
        <v>1423.41</v>
      </c>
      <c r="K442" s="18">
        <f t="shared" si="13"/>
        <v>1423.41</v>
      </c>
      <c r="L442" s="27">
        <v>1423.41</v>
      </c>
      <c r="M442" s="36">
        <v>0</v>
      </c>
      <c r="T442" s="41">
        <v>0</v>
      </c>
      <c r="U442" s="41">
        <v>0</v>
      </c>
      <c r="V442" s="42" t="s">
        <v>113</v>
      </c>
      <c r="W442" s="42">
        <v>1423.41</v>
      </c>
      <c r="X442" s="42">
        <v>1423.41</v>
      </c>
    </row>
    <row r="443" spans="1:24">
      <c r="A443" s="27" t="s">
        <v>930</v>
      </c>
      <c r="B443" s="28" t="s">
        <v>215</v>
      </c>
      <c r="C443" s="27" t="s">
        <v>931</v>
      </c>
      <c r="D443" s="27" t="s">
        <v>118</v>
      </c>
      <c r="E443" s="29">
        <v>40112</v>
      </c>
      <c r="F443" s="27">
        <v>12</v>
      </c>
      <c r="G443" s="18">
        <v>1423.41</v>
      </c>
      <c r="H443" s="27">
        <f t="shared" si="12"/>
        <v>1423.41</v>
      </c>
      <c r="I443" s="18">
        <v>1423.41</v>
      </c>
      <c r="J443" s="27">
        <v>1423.41</v>
      </c>
      <c r="K443" s="18">
        <f t="shared" si="13"/>
        <v>1423.41</v>
      </c>
      <c r="L443" s="27">
        <v>1423.41</v>
      </c>
      <c r="M443" s="36">
        <v>0</v>
      </c>
      <c r="T443" s="41">
        <v>0</v>
      </c>
      <c r="U443" s="41">
        <v>0</v>
      </c>
      <c r="V443" s="42" t="s">
        <v>113</v>
      </c>
      <c r="W443" s="42">
        <v>1423.41</v>
      </c>
      <c r="X443" s="42">
        <v>1423.41</v>
      </c>
    </row>
    <row r="444" spans="1:24">
      <c r="A444" s="27" t="s">
        <v>932</v>
      </c>
      <c r="B444" s="28" t="s">
        <v>215</v>
      </c>
      <c r="C444" s="27" t="s">
        <v>933</v>
      </c>
      <c r="D444" s="27" t="s">
        <v>118</v>
      </c>
      <c r="E444" s="29">
        <v>40112</v>
      </c>
      <c r="F444" s="27">
        <v>12</v>
      </c>
      <c r="G444" s="18">
        <v>1423.41</v>
      </c>
      <c r="H444" s="27">
        <f t="shared" si="12"/>
        <v>1423.41</v>
      </c>
      <c r="I444" s="18">
        <v>1423.41</v>
      </c>
      <c r="J444" s="27">
        <v>1423.41</v>
      </c>
      <c r="K444" s="18">
        <f t="shared" si="13"/>
        <v>1423.41</v>
      </c>
      <c r="L444" s="27">
        <v>1423.41</v>
      </c>
      <c r="M444" s="36">
        <v>0</v>
      </c>
      <c r="T444" s="41">
        <v>0</v>
      </c>
      <c r="U444" s="41">
        <v>0</v>
      </c>
      <c r="V444" s="42" t="s">
        <v>113</v>
      </c>
      <c r="W444" s="42">
        <v>1423.41</v>
      </c>
      <c r="X444" s="42">
        <v>1423.41</v>
      </c>
    </row>
    <row r="445" spans="1:24">
      <c r="A445" s="27" t="s">
        <v>934</v>
      </c>
      <c r="B445" s="28" t="s">
        <v>215</v>
      </c>
      <c r="C445" s="27" t="s">
        <v>935</v>
      </c>
      <c r="D445" s="27" t="s">
        <v>118</v>
      </c>
      <c r="E445" s="29">
        <v>40112</v>
      </c>
      <c r="F445" s="27">
        <v>12</v>
      </c>
      <c r="G445" s="18">
        <v>1423.41</v>
      </c>
      <c r="H445" s="27">
        <f t="shared" si="12"/>
        <v>1423.41</v>
      </c>
      <c r="I445" s="18">
        <v>1423.41</v>
      </c>
      <c r="J445" s="27">
        <v>1423.41</v>
      </c>
      <c r="K445" s="18">
        <f t="shared" si="13"/>
        <v>1423.41</v>
      </c>
      <c r="L445" s="27">
        <v>1423.41</v>
      </c>
      <c r="M445" s="36">
        <v>0</v>
      </c>
      <c r="T445" s="41">
        <v>0</v>
      </c>
      <c r="U445" s="41">
        <v>0</v>
      </c>
      <c r="V445" s="42" t="s">
        <v>113</v>
      </c>
      <c r="W445" s="42">
        <v>1423.41</v>
      </c>
      <c r="X445" s="42">
        <v>1423.41</v>
      </c>
    </row>
    <row r="446" spans="1:24">
      <c r="A446" s="27" t="s">
        <v>936</v>
      </c>
      <c r="B446" s="28" t="s">
        <v>215</v>
      </c>
      <c r="C446" s="27" t="s">
        <v>937</v>
      </c>
      <c r="D446" s="27" t="s">
        <v>118</v>
      </c>
      <c r="E446" s="29">
        <v>40112</v>
      </c>
      <c r="F446" s="27">
        <v>12</v>
      </c>
      <c r="G446" s="18">
        <v>1423.41</v>
      </c>
      <c r="H446" s="27">
        <f t="shared" si="12"/>
        <v>1423.41</v>
      </c>
      <c r="I446" s="18">
        <v>1423.41</v>
      </c>
      <c r="J446" s="27">
        <v>1423.41</v>
      </c>
      <c r="K446" s="18">
        <f t="shared" si="13"/>
        <v>1423.41</v>
      </c>
      <c r="L446" s="27">
        <v>1423.41</v>
      </c>
      <c r="M446" s="36">
        <v>0</v>
      </c>
      <c r="T446" s="41">
        <v>0</v>
      </c>
      <c r="U446" s="41">
        <v>0</v>
      </c>
      <c r="V446" s="42" t="s">
        <v>113</v>
      </c>
      <c r="W446" s="42">
        <v>1423.41</v>
      </c>
      <c r="X446" s="42">
        <v>1423.41</v>
      </c>
    </row>
    <row r="447" spans="1:24">
      <c r="A447" s="27" t="s">
        <v>938</v>
      </c>
      <c r="B447" s="28" t="s">
        <v>215</v>
      </c>
      <c r="C447" s="27" t="s">
        <v>939</v>
      </c>
      <c r="D447" s="27" t="s">
        <v>118</v>
      </c>
      <c r="E447" s="29">
        <v>40112</v>
      </c>
      <c r="F447" s="27">
        <v>12</v>
      </c>
      <c r="G447" s="18">
        <v>1423.41</v>
      </c>
      <c r="H447" s="27">
        <f t="shared" si="12"/>
        <v>1423.41</v>
      </c>
      <c r="I447" s="18">
        <v>1423.41</v>
      </c>
      <c r="J447" s="27">
        <v>1423.41</v>
      </c>
      <c r="K447" s="18">
        <f t="shared" si="13"/>
        <v>1423.41</v>
      </c>
      <c r="L447" s="27">
        <v>1423.41</v>
      </c>
      <c r="M447" s="36">
        <v>0</v>
      </c>
      <c r="T447" s="41">
        <v>0</v>
      </c>
      <c r="U447" s="41">
        <v>0</v>
      </c>
      <c r="V447" s="42" t="s">
        <v>113</v>
      </c>
      <c r="W447" s="42">
        <v>1423.41</v>
      </c>
      <c r="X447" s="42">
        <v>1423.41</v>
      </c>
    </row>
    <row r="448" spans="1:24">
      <c r="A448" s="27" t="s">
        <v>940</v>
      </c>
      <c r="B448" s="28" t="s">
        <v>215</v>
      </c>
      <c r="C448" s="27" t="s">
        <v>941</v>
      </c>
      <c r="D448" s="27" t="s">
        <v>118</v>
      </c>
      <c r="E448" s="29">
        <v>40112</v>
      </c>
      <c r="F448" s="27">
        <v>12</v>
      </c>
      <c r="G448" s="18">
        <v>1423.41</v>
      </c>
      <c r="H448" s="27">
        <f t="shared" si="12"/>
        <v>1423.41</v>
      </c>
      <c r="I448" s="18">
        <v>1423.41</v>
      </c>
      <c r="J448" s="27">
        <v>1423.41</v>
      </c>
      <c r="K448" s="18">
        <f t="shared" si="13"/>
        <v>1423.41</v>
      </c>
      <c r="L448" s="27">
        <v>1423.41</v>
      </c>
      <c r="M448" s="36">
        <v>0</v>
      </c>
      <c r="T448" s="41">
        <v>0</v>
      </c>
      <c r="U448" s="41">
        <v>0</v>
      </c>
      <c r="V448" s="42" t="s">
        <v>113</v>
      </c>
      <c r="W448" s="42">
        <v>1423.41</v>
      </c>
      <c r="X448" s="42">
        <v>1423.41</v>
      </c>
    </row>
    <row r="449" spans="1:24">
      <c r="A449" s="27" t="s">
        <v>942</v>
      </c>
      <c r="B449" s="28" t="s">
        <v>215</v>
      </c>
      <c r="C449" s="27" t="s">
        <v>943</v>
      </c>
      <c r="D449" s="27" t="s">
        <v>118</v>
      </c>
      <c r="E449" s="29">
        <v>40112</v>
      </c>
      <c r="F449" s="27">
        <v>12</v>
      </c>
      <c r="G449" s="18">
        <v>1423.41</v>
      </c>
      <c r="H449" s="27">
        <f t="shared" si="12"/>
        <v>1423.41</v>
      </c>
      <c r="I449" s="18">
        <v>1423.41</v>
      </c>
      <c r="J449" s="27">
        <v>1423.41</v>
      </c>
      <c r="K449" s="18">
        <f t="shared" si="13"/>
        <v>1423.41</v>
      </c>
      <c r="L449" s="27">
        <v>1423.41</v>
      </c>
      <c r="M449" s="36">
        <v>0</v>
      </c>
      <c r="T449" s="41">
        <v>0</v>
      </c>
      <c r="U449" s="41">
        <v>0</v>
      </c>
      <c r="V449" s="42" t="s">
        <v>113</v>
      </c>
      <c r="W449" s="42">
        <v>1423.41</v>
      </c>
      <c r="X449" s="42">
        <v>1423.41</v>
      </c>
    </row>
    <row r="450" spans="1:24">
      <c r="A450" s="27" t="s">
        <v>944</v>
      </c>
      <c r="B450" s="28" t="s">
        <v>215</v>
      </c>
      <c r="C450" s="27" t="s">
        <v>945</v>
      </c>
      <c r="D450" s="27" t="s">
        <v>118</v>
      </c>
      <c r="E450" s="29">
        <v>40112</v>
      </c>
      <c r="F450" s="27">
        <v>12</v>
      </c>
      <c r="G450" s="18">
        <v>1423.41</v>
      </c>
      <c r="H450" s="27">
        <f t="shared" si="12"/>
        <v>1423.41</v>
      </c>
      <c r="I450" s="18">
        <v>1423.41</v>
      </c>
      <c r="J450" s="27">
        <v>1423.41</v>
      </c>
      <c r="K450" s="18">
        <f t="shared" si="13"/>
        <v>1423.41</v>
      </c>
      <c r="L450" s="27">
        <v>1423.41</v>
      </c>
      <c r="M450" s="36">
        <v>0</v>
      </c>
      <c r="T450" s="41">
        <v>0</v>
      </c>
      <c r="U450" s="41">
        <v>0</v>
      </c>
      <c r="V450" s="42" t="s">
        <v>113</v>
      </c>
      <c r="W450" s="42">
        <v>1423.41</v>
      </c>
      <c r="X450" s="42">
        <v>1423.41</v>
      </c>
    </row>
    <row r="451" spans="1:24">
      <c r="A451" s="27" t="s">
        <v>946</v>
      </c>
      <c r="B451" s="28" t="s">
        <v>215</v>
      </c>
      <c r="C451" s="27" t="s">
        <v>947</v>
      </c>
      <c r="D451" s="27" t="s">
        <v>118</v>
      </c>
      <c r="E451" s="29">
        <v>40112</v>
      </c>
      <c r="F451" s="27">
        <v>12</v>
      </c>
      <c r="G451" s="18">
        <v>1423.41</v>
      </c>
      <c r="H451" s="27">
        <f t="shared" si="12"/>
        <v>1423.41</v>
      </c>
      <c r="I451" s="18">
        <v>1423.41</v>
      </c>
      <c r="J451" s="27">
        <v>1423.41</v>
      </c>
      <c r="K451" s="18">
        <f t="shared" si="13"/>
        <v>1423.41</v>
      </c>
      <c r="L451" s="27">
        <v>1423.41</v>
      </c>
      <c r="M451" s="36">
        <v>0</v>
      </c>
      <c r="T451" s="41">
        <v>0</v>
      </c>
      <c r="U451" s="41">
        <v>0</v>
      </c>
      <c r="V451" s="42" t="s">
        <v>113</v>
      </c>
      <c r="W451" s="42">
        <v>1423.41</v>
      </c>
      <c r="X451" s="42">
        <v>1423.41</v>
      </c>
    </row>
    <row r="452" spans="1:24">
      <c r="A452" s="27" t="s">
        <v>948</v>
      </c>
      <c r="B452" s="28" t="s">
        <v>215</v>
      </c>
      <c r="C452" s="27" t="s">
        <v>949</v>
      </c>
      <c r="D452" s="27" t="s">
        <v>118</v>
      </c>
      <c r="E452" s="29">
        <v>40112</v>
      </c>
      <c r="F452" s="27">
        <v>12</v>
      </c>
      <c r="G452" s="18">
        <v>711.73</v>
      </c>
      <c r="H452" s="27">
        <f t="shared" si="12"/>
        <v>711.73</v>
      </c>
      <c r="I452" s="18">
        <v>711.73</v>
      </c>
      <c r="J452" s="27">
        <v>711.73</v>
      </c>
      <c r="K452" s="18">
        <f t="shared" si="13"/>
        <v>711.73</v>
      </c>
      <c r="L452" s="27">
        <v>711.73</v>
      </c>
      <c r="M452" s="36">
        <v>0</v>
      </c>
      <c r="T452" s="41">
        <v>0</v>
      </c>
      <c r="U452" s="41">
        <v>0</v>
      </c>
      <c r="V452" s="42" t="s">
        <v>113</v>
      </c>
      <c r="W452" s="42">
        <v>711.73</v>
      </c>
      <c r="X452" s="42">
        <v>711.73</v>
      </c>
    </row>
    <row r="453" spans="1:24">
      <c r="A453" s="27" t="s">
        <v>950</v>
      </c>
      <c r="B453" s="28" t="s">
        <v>215</v>
      </c>
      <c r="C453" s="27" t="s">
        <v>951</v>
      </c>
      <c r="D453" s="27" t="s">
        <v>230</v>
      </c>
      <c r="E453" s="29">
        <v>40113</v>
      </c>
      <c r="F453" s="27">
        <v>15</v>
      </c>
      <c r="G453" s="18">
        <v>71862.990000000005</v>
      </c>
      <c r="H453" s="27">
        <f t="shared" si="12"/>
        <v>71862.990000000005</v>
      </c>
      <c r="I453" s="18">
        <v>68269.84</v>
      </c>
      <c r="J453" s="27">
        <v>71862.990000000005</v>
      </c>
      <c r="K453" s="18">
        <f t="shared" si="13"/>
        <v>71862.990000000005</v>
      </c>
      <c r="L453" s="27">
        <v>68269.84</v>
      </c>
      <c r="M453" s="36">
        <v>0</v>
      </c>
      <c r="T453" s="41">
        <v>0</v>
      </c>
      <c r="U453" s="41">
        <v>0</v>
      </c>
      <c r="V453" s="42" t="s">
        <v>113</v>
      </c>
      <c r="W453" s="42">
        <v>71862.990000000005</v>
      </c>
      <c r="X453" s="42">
        <v>71862.990000000005</v>
      </c>
    </row>
    <row r="454" spans="1:24">
      <c r="A454" s="27" t="s">
        <v>952</v>
      </c>
      <c r="B454" s="28" t="s">
        <v>215</v>
      </c>
      <c r="C454" s="27" t="s">
        <v>953</v>
      </c>
      <c r="D454" s="27" t="s">
        <v>230</v>
      </c>
      <c r="E454" s="29">
        <v>40113</v>
      </c>
      <c r="F454" s="27">
        <v>15</v>
      </c>
      <c r="G454" s="18">
        <v>48974.95</v>
      </c>
      <c r="H454" s="27">
        <f t="shared" ref="H454:H517" si="14">IFERROR(IF(ROUND((G454-I454)/G454,2)&lt;=0.05,G454,0),0)</f>
        <v>48974.95</v>
      </c>
      <c r="I454" s="18">
        <v>46526.2</v>
      </c>
      <c r="J454" s="27">
        <v>48974.95</v>
      </c>
      <c r="K454" s="18">
        <f t="shared" ref="K454:K517" si="15">IFERROR(IF(ROUND((J454-L454)/J454,2)&lt;=0.05,J454,0),0)</f>
        <v>48974.95</v>
      </c>
      <c r="L454" s="27">
        <v>46526.2</v>
      </c>
      <c r="M454" s="36">
        <v>0</v>
      </c>
      <c r="T454" s="41">
        <v>0</v>
      </c>
      <c r="U454" s="41">
        <v>0</v>
      </c>
      <c r="V454" s="42" t="s">
        <v>113</v>
      </c>
      <c r="W454" s="42">
        <v>48974.95</v>
      </c>
      <c r="X454" s="42">
        <v>48974.95</v>
      </c>
    </row>
    <row r="455" spans="1:24">
      <c r="A455" s="27" t="s">
        <v>954</v>
      </c>
      <c r="B455" s="28" t="s">
        <v>215</v>
      </c>
      <c r="C455" s="27" t="s">
        <v>955</v>
      </c>
      <c r="D455" s="27" t="s">
        <v>230</v>
      </c>
      <c r="E455" s="29">
        <v>40114</v>
      </c>
      <c r="F455" s="27">
        <v>15</v>
      </c>
      <c r="G455" s="18">
        <v>259930.67</v>
      </c>
      <c r="H455" s="27">
        <f t="shared" si="14"/>
        <v>259930.67</v>
      </c>
      <c r="I455" s="18">
        <v>246934.14</v>
      </c>
      <c r="J455" s="27">
        <v>259930.67</v>
      </c>
      <c r="K455" s="18">
        <f t="shared" si="15"/>
        <v>259930.67</v>
      </c>
      <c r="L455" s="27">
        <v>246934.14</v>
      </c>
      <c r="M455" s="36">
        <v>0</v>
      </c>
      <c r="T455" s="41">
        <v>0</v>
      </c>
      <c r="U455" s="41">
        <v>0</v>
      </c>
      <c r="V455" s="42" t="s">
        <v>113</v>
      </c>
      <c r="W455" s="42">
        <v>259930.67</v>
      </c>
      <c r="X455" s="42">
        <v>259930.67</v>
      </c>
    </row>
    <row r="456" spans="1:24">
      <c r="A456" s="27" t="s">
        <v>956</v>
      </c>
      <c r="B456" s="28" t="s">
        <v>215</v>
      </c>
      <c r="C456" s="27" t="s">
        <v>957</v>
      </c>
      <c r="D456" s="27" t="s">
        <v>230</v>
      </c>
      <c r="E456" s="29">
        <v>40113</v>
      </c>
      <c r="F456" s="27">
        <v>15</v>
      </c>
      <c r="G456" s="18">
        <v>121122.32</v>
      </c>
      <c r="H456" s="27">
        <f t="shared" si="14"/>
        <v>121122.32</v>
      </c>
      <c r="I456" s="18">
        <v>115066.2</v>
      </c>
      <c r="J456" s="27">
        <v>121122.32</v>
      </c>
      <c r="K456" s="18">
        <f t="shared" si="15"/>
        <v>121122.32</v>
      </c>
      <c r="L456" s="27">
        <v>115066.2</v>
      </c>
      <c r="M456" s="36">
        <v>0</v>
      </c>
      <c r="T456" s="41">
        <v>0</v>
      </c>
      <c r="U456" s="41">
        <v>0</v>
      </c>
      <c r="V456" s="42" t="s">
        <v>113</v>
      </c>
      <c r="W456" s="42">
        <v>121122.32</v>
      </c>
      <c r="X456" s="42">
        <v>121122.32</v>
      </c>
    </row>
    <row r="457" spans="1:24">
      <c r="A457" s="27" t="s">
        <v>958</v>
      </c>
      <c r="B457" s="28" t="s">
        <v>215</v>
      </c>
      <c r="C457" s="27" t="s">
        <v>959</v>
      </c>
      <c r="D457" s="27" t="s">
        <v>230</v>
      </c>
      <c r="E457" s="29">
        <v>40113</v>
      </c>
      <c r="F457" s="27">
        <v>15</v>
      </c>
      <c r="G457" s="18">
        <v>33106.79</v>
      </c>
      <c r="H457" s="27">
        <f t="shared" si="14"/>
        <v>33106.79</v>
      </c>
      <c r="I457" s="18">
        <v>31451.45</v>
      </c>
      <c r="J457" s="27">
        <v>33106.79</v>
      </c>
      <c r="K457" s="18">
        <f t="shared" si="15"/>
        <v>33106.79</v>
      </c>
      <c r="L457" s="27">
        <v>31451.45</v>
      </c>
      <c r="M457" s="36">
        <v>0</v>
      </c>
      <c r="T457" s="41">
        <v>0</v>
      </c>
      <c r="U457" s="41">
        <v>0</v>
      </c>
      <c r="V457" s="42" t="s">
        <v>113</v>
      </c>
      <c r="W457" s="42">
        <v>33106.79</v>
      </c>
      <c r="X457" s="42">
        <v>33106.79</v>
      </c>
    </row>
    <row r="458" spans="1:24">
      <c r="A458" s="27" t="s">
        <v>960</v>
      </c>
      <c r="B458" s="28" t="s">
        <v>215</v>
      </c>
      <c r="C458" s="27" t="s">
        <v>961</v>
      </c>
      <c r="D458" s="27" t="s">
        <v>230</v>
      </c>
      <c r="E458" s="29">
        <v>40113</v>
      </c>
      <c r="F458" s="27">
        <v>15</v>
      </c>
      <c r="G458" s="18">
        <v>35982.21</v>
      </c>
      <c r="H458" s="27">
        <f t="shared" si="14"/>
        <v>35982.21</v>
      </c>
      <c r="I458" s="18">
        <v>34183.1</v>
      </c>
      <c r="J458" s="27">
        <v>35982.21</v>
      </c>
      <c r="K458" s="18">
        <f t="shared" si="15"/>
        <v>35982.21</v>
      </c>
      <c r="L458" s="27">
        <v>34183.1</v>
      </c>
      <c r="M458" s="36">
        <v>0</v>
      </c>
      <c r="T458" s="41">
        <v>0</v>
      </c>
      <c r="U458" s="41">
        <v>0</v>
      </c>
      <c r="V458" s="42" t="s">
        <v>113</v>
      </c>
      <c r="W458" s="42">
        <v>35982.21</v>
      </c>
      <c r="X458" s="42">
        <v>35982.21</v>
      </c>
    </row>
    <row r="459" spans="1:24">
      <c r="A459" s="27" t="s">
        <v>962</v>
      </c>
      <c r="B459" s="28" t="s">
        <v>215</v>
      </c>
      <c r="C459" s="27" t="s">
        <v>963</v>
      </c>
      <c r="D459" s="27" t="s">
        <v>230</v>
      </c>
      <c r="E459" s="29">
        <v>40113</v>
      </c>
      <c r="F459" s="27">
        <v>15</v>
      </c>
      <c r="G459" s="18">
        <v>26307.72</v>
      </c>
      <c r="H459" s="27">
        <f t="shared" si="14"/>
        <v>26307.72</v>
      </c>
      <c r="I459" s="18">
        <v>24992.33</v>
      </c>
      <c r="J459" s="27">
        <v>26307.72</v>
      </c>
      <c r="K459" s="18">
        <f t="shared" si="15"/>
        <v>26307.72</v>
      </c>
      <c r="L459" s="27">
        <v>24992.33</v>
      </c>
      <c r="M459" s="36">
        <v>0</v>
      </c>
      <c r="T459" s="41">
        <v>0</v>
      </c>
      <c r="U459" s="41">
        <v>0</v>
      </c>
      <c r="V459" s="42" t="s">
        <v>113</v>
      </c>
      <c r="W459" s="42">
        <v>26307.72</v>
      </c>
      <c r="X459" s="42">
        <v>26307.72</v>
      </c>
    </row>
    <row r="460" spans="1:24">
      <c r="A460" s="27" t="s">
        <v>964</v>
      </c>
      <c r="B460" s="28" t="s">
        <v>215</v>
      </c>
      <c r="C460" s="27" t="s">
        <v>965</v>
      </c>
      <c r="D460" s="27" t="s">
        <v>230</v>
      </c>
      <c r="E460" s="29">
        <v>40113</v>
      </c>
      <c r="F460" s="27">
        <v>15</v>
      </c>
      <c r="G460" s="18">
        <v>14405.46</v>
      </c>
      <c r="H460" s="27">
        <f t="shared" si="14"/>
        <v>14405.46</v>
      </c>
      <c r="I460" s="18">
        <v>13685.19</v>
      </c>
      <c r="J460" s="27">
        <v>14405.46</v>
      </c>
      <c r="K460" s="18">
        <f t="shared" si="15"/>
        <v>14405.46</v>
      </c>
      <c r="L460" s="27">
        <v>13685.19</v>
      </c>
      <c r="M460" s="36">
        <v>0</v>
      </c>
      <c r="T460" s="41">
        <v>0</v>
      </c>
      <c r="U460" s="41">
        <v>0</v>
      </c>
      <c r="V460" s="42" t="s">
        <v>113</v>
      </c>
      <c r="W460" s="42">
        <v>14405.46</v>
      </c>
      <c r="X460" s="42">
        <v>14405.46</v>
      </c>
    </row>
    <row r="461" spans="1:24">
      <c r="A461" s="27" t="s">
        <v>966</v>
      </c>
      <c r="B461" s="28" t="s">
        <v>215</v>
      </c>
      <c r="C461" s="27" t="s">
        <v>967</v>
      </c>
      <c r="D461" s="27" t="s">
        <v>230</v>
      </c>
      <c r="E461" s="29">
        <v>40113</v>
      </c>
      <c r="F461" s="27">
        <v>15</v>
      </c>
      <c r="G461" s="18">
        <v>121122.4</v>
      </c>
      <c r="H461" s="27">
        <f t="shared" si="14"/>
        <v>121122.4</v>
      </c>
      <c r="I461" s="18">
        <v>115066.28</v>
      </c>
      <c r="J461" s="27">
        <v>121122.4</v>
      </c>
      <c r="K461" s="18">
        <f t="shared" si="15"/>
        <v>121122.4</v>
      </c>
      <c r="L461" s="27">
        <v>115066.28</v>
      </c>
      <c r="M461" s="36">
        <v>0</v>
      </c>
      <c r="T461" s="41">
        <v>0</v>
      </c>
      <c r="U461" s="41">
        <v>0</v>
      </c>
      <c r="V461" s="42" t="s">
        <v>113</v>
      </c>
      <c r="W461" s="42">
        <v>121122.4</v>
      </c>
      <c r="X461" s="42">
        <v>121122.4</v>
      </c>
    </row>
    <row r="462" spans="1:24">
      <c r="A462" s="27" t="s">
        <v>968</v>
      </c>
      <c r="B462" s="28" t="s">
        <v>215</v>
      </c>
      <c r="C462" s="27" t="s">
        <v>969</v>
      </c>
      <c r="D462" s="27" t="s">
        <v>230</v>
      </c>
      <c r="E462" s="29">
        <v>40113</v>
      </c>
      <c r="F462" s="27">
        <v>15</v>
      </c>
      <c r="G462" s="18">
        <v>66213.58</v>
      </c>
      <c r="H462" s="27">
        <f t="shared" si="14"/>
        <v>66213.58</v>
      </c>
      <c r="I462" s="18">
        <v>62902.9</v>
      </c>
      <c r="J462" s="27">
        <v>66213.58</v>
      </c>
      <c r="K462" s="18">
        <f t="shared" si="15"/>
        <v>66213.58</v>
      </c>
      <c r="L462" s="27">
        <v>62902.9</v>
      </c>
      <c r="M462" s="36">
        <v>0</v>
      </c>
      <c r="T462" s="41">
        <v>0</v>
      </c>
      <c r="U462" s="41">
        <v>0</v>
      </c>
      <c r="V462" s="42" t="s">
        <v>113</v>
      </c>
      <c r="W462" s="42">
        <v>66213.58</v>
      </c>
      <c r="X462" s="42">
        <v>66213.58</v>
      </c>
    </row>
    <row r="463" spans="1:24">
      <c r="A463" s="27" t="s">
        <v>970</v>
      </c>
      <c r="B463" s="28" t="s">
        <v>215</v>
      </c>
      <c r="C463" s="27" t="s">
        <v>971</v>
      </c>
      <c r="D463" s="27" t="s">
        <v>230</v>
      </c>
      <c r="E463" s="29">
        <v>40113</v>
      </c>
      <c r="F463" s="27">
        <v>12</v>
      </c>
      <c r="G463" s="18">
        <v>2503.1999999999998</v>
      </c>
      <c r="H463" s="27">
        <f t="shared" si="14"/>
        <v>2503.1999999999998</v>
      </c>
      <c r="I463" s="18">
        <v>2503.1999999999998</v>
      </c>
      <c r="J463" s="27">
        <v>2503.1999999999998</v>
      </c>
      <c r="K463" s="18">
        <f t="shared" si="15"/>
        <v>2503.1999999999998</v>
      </c>
      <c r="L463" s="27">
        <v>2503.1999999999998</v>
      </c>
      <c r="M463" s="36">
        <v>0</v>
      </c>
      <c r="T463" s="41">
        <v>0</v>
      </c>
      <c r="U463" s="41">
        <v>0</v>
      </c>
      <c r="V463" s="42" t="s">
        <v>113</v>
      </c>
      <c r="W463" s="42">
        <v>2503.1999999999998</v>
      </c>
      <c r="X463" s="42">
        <v>2503.1999999999998</v>
      </c>
    </row>
    <row r="464" spans="1:24">
      <c r="A464" s="27" t="s">
        <v>972</v>
      </c>
      <c r="B464" s="28" t="s">
        <v>215</v>
      </c>
      <c r="C464" s="27" t="s">
        <v>973</v>
      </c>
      <c r="D464" s="27" t="s">
        <v>230</v>
      </c>
      <c r="E464" s="29">
        <v>40113</v>
      </c>
      <c r="F464" s="27">
        <v>12</v>
      </c>
      <c r="G464" s="18">
        <v>2503.1999999999998</v>
      </c>
      <c r="H464" s="27">
        <f t="shared" si="14"/>
        <v>2503.1999999999998</v>
      </c>
      <c r="I464" s="18">
        <v>2503.1999999999998</v>
      </c>
      <c r="J464" s="27">
        <v>2503.1999999999998</v>
      </c>
      <c r="K464" s="18">
        <f t="shared" si="15"/>
        <v>2503.1999999999998</v>
      </c>
      <c r="L464" s="27">
        <v>2503.1999999999998</v>
      </c>
      <c r="M464" s="36">
        <v>0</v>
      </c>
      <c r="T464" s="41">
        <v>0</v>
      </c>
      <c r="U464" s="41">
        <v>0</v>
      </c>
      <c r="V464" s="42" t="s">
        <v>113</v>
      </c>
      <c r="W464" s="42">
        <v>2503.1999999999998</v>
      </c>
      <c r="X464" s="42">
        <v>2503.1999999999998</v>
      </c>
    </row>
    <row r="465" spans="1:24">
      <c r="A465" s="27" t="s">
        <v>974</v>
      </c>
      <c r="B465" s="28" t="s">
        <v>215</v>
      </c>
      <c r="C465" s="27" t="s">
        <v>975</v>
      </c>
      <c r="D465" s="27" t="s">
        <v>230</v>
      </c>
      <c r="E465" s="29">
        <v>40113</v>
      </c>
      <c r="F465" s="27">
        <v>12</v>
      </c>
      <c r="G465" s="18">
        <v>2503.1999999999998</v>
      </c>
      <c r="H465" s="27">
        <f t="shared" si="14"/>
        <v>2503.1999999999998</v>
      </c>
      <c r="I465" s="18">
        <v>2503.1999999999998</v>
      </c>
      <c r="J465" s="27">
        <v>2503.1999999999998</v>
      </c>
      <c r="K465" s="18">
        <f t="shared" si="15"/>
        <v>2503.1999999999998</v>
      </c>
      <c r="L465" s="27">
        <v>2503.1999999999998</v>
      </c>
      <c r="M465" s="36">
        <v>0</v>
      </c>
      <c r="T465" s="41">
        <v>0</v>
      </c>
      <c r="U465" s="41">
        <v>0</v>
      </c>
      <c r="V465" s="42" t="s">
        <v>113</v>
      </c>
      <c r="W465" s="42">
        <v>2503.1999999999998</v>
      </c>
      <c r="X465" s="42">
        <v>2503.1999999999998</v>
      </c>
    </row>
    <row r="466" spans="1:24">
      <c r="A466" s="27" t="s">
        <v>976</v>
      </c>
      <c r="B466" s="28" t="s">
        <v>215</v>
      </c>
      <c r="C466" s="27" t="s">
        <v>977</v>
      </c>
      <c r="D466" s="27" t="s">
        <v>230</v>
      </c>
      <c r="E466" s="29">
        <v>40113</v>
      </c>
      <c r="F466" s="27">
        <v>15</v>
      </c>
      <c r="G466" s="18">
        <v>121122.4</v>
      </c>
      <c r="H466" s="27">
        <f t="shared" si="14"/>
        <v>121122.4</v>
      </c>
      <c r="I466" s="18">
        <v>115066.28</v>
      </c>
      <c r="J466" s="27">
        <v>121122.4</v>
      </c>
      <c r="K466" s="18">
        <f t="shared" si="15"/>
        <v>121122.4</v>
      </c>
      <c r="L466" s="27">
        <v>115066.28</v>
      </c>
      <c r="M466" s="36">
        <v>0</v>
      </c>
      <c r="T466" s="41">
        <v>0</v>
      </c>
      <c r="U466" s="41">
        <v>0</v>
      </c>
      <c r="V466" s="42" t="s">
        <v>113</v>
      </c>
      <c r="W466" s="42">
        <v>121122.4</v>
      </c>
      <c r="X466" s="42">
        <v>121122.4</v>
      </c>
    </row>
    <row r="467" spans="1:24">
      <c r="A467" s="27" t="s">
        <v>978</v>
      </c>
      <c r="B467" s="28" t="s">
        <v>215</v>
      </c>
      <c r="C467" s="27" t="s">
        <v>979</v>
      </c>
      <c r="D467" s="27" t="s">
        <v>230</v>
      </c>
      <c r="E467" s="29">
        <v>40113</v>
      </c>
      <c r="F467" s="27">
        <v>15</v>
      </c>
      <c r="G467" s="18">
        <v>66213.58</v>
      </c>
      <c r="H467" s="27">
        <f t="shared" si="14"/>
        <v>66213.58</v>
      </c>
      <c r="I467" s="18">
        <v>62902.9</v>
      </c>
      <c r="J467" s="27">
        <v>66213.58</v>
      </c>
      <c r="K467" s="18">
        <f t="shared" si="15"/>
        <v>66213.58</v>
      </c>
      <c r="L467" s="27">
        <v>62902.9</v>
      </c>
      <c r="M467" s="36">
        <v>0</v>
      </c>
      <c r="T467" s="41">
        <v>0</v>
      </c>
      <c r="U467" s="41">
        <v>0</v>
      </c>
      <c r="V467" s="42" t="s">
        <v>113</v>
      </c>
      <c r="W467" s="42">
        <v>66213.58</v>
      </c>
      <c r="X467" s="42">
        <v>66213.58</v>
      </c>
    </row>
    <row r="468" spans="1:24">
      <c r="A468" s="27" t="s">
        <v>980</v>
      </c>
      <c r="B468" s="28" t="s">
        <v>215</v>
      </c>
      <c r="C468" s="27" t="s">
        <v>981</v>
      </c>
      <c r="D468" s="27" t="s">
        <v>230</v>
      </c>
      <c r="E468" s="29">
        <v>40113</v>
      </c>
      <c r="F468" s="27">
        <v>12</v>
      </c>
      <c r="G468" s="18">
        <v>2503.1999999999998</v>
      </c>
      <c r="H468" s="27">
        <f t="shared" si="14"/>
        <v>2503.1999999999998</v>
      </c>
      <c r="I468" s="18">
        <v>2503.1999999999998</v>
      </c>
      <c r="J468" s="27">
        <v>2503.1999999999998</v>
      </c>
      <c r="K468" s="18">
        <f t="shared" si="15"/>
        <v>2503.1999999999998</v>
      </c>
      <c r="L468" s="27">
        <v>2503.1999999999998</v>
      </c>
      <c r="M468" s="36">
        <v>0</v>
      </c>
      <c r="T468" s="41">
        <v>0</v>
      </c>
      <c r="U468" s="41">
        <v>0</v>
      </c>
      <c r="V468" s="42" t="s">
        <v>113</v>
      </c>
      <c r="W468" s="42">
        <v>2503.1999999999998</v>
      </c>
      <c r="X468" s="42">
        <v>2503.1999999999998</v>
      </c>
    </row>
    <row r="469" spans="1:24">
      <c r="A469" s="27" t="s">
        <v>982</v>
      </c>
      <c r="B469" s="28" t="s">
        <v>215</v>
      </c>
      <c r="C469" s="27" t="s">
        <v>983</v>
      </c>
      <c r="D469" s="27" t="s">
        <v>230</v>
      </c>
      <c r="E469" s="29">
        <v>40113</v>
      </c>
      <c r="F469" s="27">
        <v>12</v>
      </c>
      <c r="G469" s="18">
        <v>2503.1999999999998</v>
      </c>
      <c r="H469" s="27">
        <f t="shared" si="14"/>
        <v>2503.1999999999998</v>
      </c>
      <c r="I469" s="18">
        <v>2503.1999999999998</v>
      </c>
      <c r="J469" s="27">
        <v>2503.1999999999998</v>
      </c>
      <c r="K469" s="18">
        <f t="shared" si="15"/>
        <v>2503.1999999999998</v>
      </c>
      <c r="L469" s="27">
        <v>2503.1999999999998</v>
      </c>
      <c r="M469" s="36">
        <v>0</v>
      </c>
      <c r="T469" s="41">
        <v>0</v>
      </c>
      <c r="U469" s="41">
        <v>0</v>
      </c>
      <c r="V469" s="42" t="s">
        <v>113</v>
      </c>
      <c r="W469" s="42">
        <v>2503.1999999999998</v>
      </c>
      <c r="X469" s="42">
        <v>2503.1999999999998</v>
      </c>
    </row>
    <row r="470" spans="1:24">
      <c r="A470" s="27" t="s">
        <v>984</v>
      </c>
      <c r="B470" s="28" t="s">
        <v>215</v>
      </c>
      <c r="C470" s="27" t="s">
        <v>985</v>
      </c>
      <c r="D470" s="27" t="s">
        <v>230</v>
      </c>
      <c r="E470" s="29">
        <v>40113</v>
      </c>
      <c r="F470" s="27">
        <v>12</v>
      </c>
      <c r="G470" s="18">
        <v>2503.1999999999998</v>
      </c>
      <c r="H470" s="27">
        <f t="shared" si="14"/>
        <v>2503.1999999999998</v>
      </c>
      <c r="I470" s="18">
        <v>2503.1999999999998</v>
      </c>
      <c r="J470" s="27">
        <v>2503.1999999999998</v>
      </c>
      <c r="K470" s="18">
        <f t="shared" si="15"/>
        <v>2503.1999999999998</v>
      </c>
      <c r="L470" s="27">
        <v>2503.1999999999998</v>
      </c>
      <c r="M470" s="36">
        <v>0</v>
      </c>
      <c r="T470" s="41">
        <v>0</v>
      </c>
      <c r="U470" s="41">
        <v>0</v>
      </c>
      <c r="V470" s="42" t="s">
        <v>113</v>
      </c>
      <c r="W470" s="42">
        <v>2503.1999999999998</v>
      </c>
      <c r="X470" s="42">
        <v>2503.1999999999998</v>
      </c>
    </row>
    <row r="471" spans="1:24">
      <c r="A471" s="27" t="s">
        <v>986</v>
      </c>
      <c r="B471" s="28" t="s">
        <v>215</v>
      </c>
      <c r="C471" s="27" t="s">
        <v>987</v>
      </c>
      <c r="D471" s="27" t="s">
        <v>230</v>
      </c>
      <c r="E471" s="29">
        <v>40113</v>
      </c>
      <c r="F471" s="27">
        <v>15</v>
      </c>
      <c r="G471" s="18">
        <v>456339.5</v>
      </c>
      <c r="H471" s="27">
        <f t="shared" si="14"/>
        <v>456339.5</v>
      </c>
      <c r="I471" s="18">
        <v>433522.52</v>
      </c>
      <c r="J471" s="27">
        <v>456339.5</v>
      </c>
      <c r="K471" s="18">
        <f t="shared" si="15"/>
        <v>456339.5</v>
      </c>
      <c r="L471" s="27">
        <v>433522.52</v>
      </c>
      <c r="M471" s="36">
        <v>0</v>
      </c>
      <c r="T471" s="41">
        <v>0</v>
      </c>
      <c r="U471" s="41">
        <v>0</v>
      </c>
      <c r="V471" s="42" t="s">
        <v>113</v>
      </c>
      <c r="W471" s="42">
        <v>456339.5</v>
      </c>
      <c r="X471" s="42">
        <v>456339.5</v>
      </c>
    </row>
    <row r="472" spans="1:24">
      <c r="A472" s="27" t="s">
        <v>988</v>
      </c>
      <c r="B472" s="28" t="s">
        <v>215</v>
      </c>
      <c r="C472" s="27" t="s">
        <v>989</v>
      </c>
      <c r="D472" s="27" t="s">
        <v>230</v>
      </c>
      <c r="E472" s="29">
        <v>40113</v>
      </c>
      <c r="F472" s="27">
        <v>15</v>
      </c>
      <c r="G472" s="18">
        <v>250354.56</v>
      </c>
      <c r="H472" s="27">
        <f t="shared" si="14"/>
        <v>250354.56</v>
      </c>
      <c r="I472" s="18">
        <v>237836.83</v>
      </c>
      <c r="J472" s="27">
        <v>250354.56</v>
      </c>
      <c r="K472" s="18">
        <f t="shared" si="15"/>
        <v>250354.56</v>
      </c>
      <c r="L472" s="27">
        <v>237836.83</v>
      </c>
      <c r="M472" s="36">
        <v>0</v>
      </c>
      <c r="T472" s="41">
        <v>0</v>
      </c>
      <c r="U472" s="41">
        <v>0</v>
      </c>
      <c r="V472" s="42" t="s">
        <v>113</v>
      </c>
      <c r="W472" s="42">
        <v>250354.56</v>
      </c>
      <c r="X472" s="42">
        <v>250354.56</v>
      </c>
    </row>
    <row r="473" spans="1:24">
      <c r="A473" s="27" t="s">
        <v>990</v>
      </c>
      <c r="B473" s="28" t="s">
        <v>215</v>
      </c>
      <c r="C473" s="27" t="s">
        <v>991</v>
      </c>
      <c r="D473" s="27" t="s">
        <v>230</v>
      </c>
      <c r="E473" s="29">
        <v>38534</v>
      </c>
      <c r="F473" s="27">
        <v>15</v>
      </c>
      <c r="G473" s="18">
        <v>32783.800000000003</v>
      </c>
      <c r="H473" s="27">
        <f t="shared" si="14"/>
        <v>32783.800000000003</v>
      </c>
      <c r="I473" s="18">
        <v>31144.61</v>
      </c>
      <c r="J473" s="27">
        <v>32783.800000000003</v>
      </c>
      <c r="K473" s="18">
        <f t="shared" si="15"/>
        <v>32783.800000000003</v>
      </c>
      <c r="L473" s="27">
        <v>31144.61</v>
      </c>
      <c r="M473" s="36">
        <v>0</v>
      </c>
      <c r="T473" s="41">
        <v>0</v>
      </c>
      <c r="U473" s="41">
        <v>0</v>
      </c>
      <c r="V473" s="42" t="s">
        <v>113</v>
      </c>
      <c r="W473" s="42">
        <v>32783.800000000003</v>
      </c>
      <c r="X473" s="42">
        <v>32783.800000000003</v>
      </c>
    </row>
    <row r="474" spans="1:24">
      <c r="A474" s="27" t="s">
        <v>992</v>
      </c>
      <c r="B474" s="28" t="s">
        <v>215</v>
      </c>
      <c r="C474" s="27" t="s">
        <v>993</v>
      </c>
      <c r="D474" s="27" t="s">
        <v>230</v>
      </c>
      <c r="E474" s="29">
        <v>40113</v>
      </c>
      <c r="F474" s="27">
        <v>15</v>
      </c>
      <c r="G474" s="18">
        <v>16553.400000000001</v>
      </c>
      <c r="H474" s="27">
        <f t="shared" si="14"/>
        <v>16553.400000000001</v>
      </c>
      <c r="I474" s="18">
        <v>15725.73</v>
      </c>
      <c r="J474" s="27">
        <v>16553.400000000001</v>
      </c>
      <c r="K474" s="18">
        <f t="shared" si="15"/>
        <v>16553.400000000001</v>
      </c>
      <c r="L474" s="27">
        <v>15725.73</v>
      </c>
      <c r="M474" s="36">
        <v>0</v>
      </c>
      <c r="T474" s="41">
        <v>0</v>
      </c>
      <c r="U474" s="41">
        <v>0</v>
      </c>
      <c r="V474" s="42" t="s">
        <v>113</v>
      </c>
      <c r="W474" s="42">
        <v>16553.400000000001</v>
      </c>
      <c r="X474" s="42">
        <v>16553.400000000001</v>
      </c>
    </row>
    <row r="475" spans="1:24">
      <c r="A475" s="27" t="s">
        <v>994</v>
      </c>
      <c r="B475" s="28" t="s">
        <v>215</v>
      </c>
      <c r="C475" s="27" t="s">
        <v>995</v>
      </c>
      <c r="D475" s="27" t="s">
        <v>118</v>
      </c>
      <c r="E475" s="29">
        <v>40113</v>
      </c>
      <c r="F475" s="27">
        <v>15</v>
      </c>
      <c r="G475" s="18">
        <v>29911.86</v>
      </c>
      <c r="H475" s="27">
        <f t="shared" si="14"/>
        <v>0</v>
      </c>
      <c r="I475" s="18">
        <v>23592.81</v>
      </c>
      <c r="J475" s="27">
        <v>29911.86</v>
      </c>
      <c r="K475" s="18">
        <f t="shared" si="15"/>
        <v>0</v>
      </c>
      <c r="L475" s="27">
        <v>24608.28</v>
      </c>
      <c r="M475" s="36">
        <v>1015.47</v>
      </c>
      <c r="T475" s="41">
        <v>0</v>
      </c>
      <c r="U475" s="41">
        <v>0</v>
      </c>
      <c r="V475" s="42" t="s">
        <v>113</v>
      </c>
      <c r="W475" s="42">
        <v>0</v>
      </c>
      <c r="X475" s="42">
        <v>0</v>
      </c>
    </row>
    <row r="476" spans="1:24">
      <c r="A476" s="27" t="s">
        <v>996</v>
      </c>
      <c r="B476" s="28" t="s">
        <v>215</v>
      </c>
      <c r="C476" s="27" t="s">
        <v>997</v>
      </c>
      <c r="D476" s="27" t="s">
        <v>118</v>
      </c>
      <c r="E476" s="29">
        <v>40113</v>
      </c>
      <c r="F476" s="27">
        <v>15</v>
      </c>
      <c r="G476" s="18">
        <v>11590.85</v>
      </c>
      <c r="H476" s="27">
        <f t="shared" si="14"/>
        <v>0</v>
      </c>
      <c r="I476" s="18">
        <v>9142.2199999999993</v>
      </c>
      <c r="J476" s="27">
        <v>11590.85</v>
      </c>
      <c r="K476" s="18">
        <f t="shared" si="15"/>
        <v>0</v>
      </c>
      <c r="L476" s="27">
        <v>9535.7099999999991</v>
      </c>
      <c r="M476" s="36">
        <v>393.49</v>
      </c>
      <c r="T476" s="41">
        <v>0</v>
      </c>
      <c r="U476" s="41">
        <v>0</v>
      </c>
      <c r="V476" s="42" t="s">
        <v>113</v>
      </c>
      <c r="W476" s="42">
        <v>0</v>
      </c>
      <c r="X476" s="42">
        <v>0</v>
      </c>
    </row>
    <row r="477" spans="1:24">
      <c r="A477" s="27" t="s">
        <v>998</v>
      </c>
      <c r="B477" s="28" t="s">
        <v>215</v>
      </c>
      <c r="C477" s="27" t="s">
        <v>999</v>
      </c>
      <c r="D477" s="27" t="s">
        <v>118</v>
      </c>
      <c r="E477" s="29">
        <v>40113</v>
      </c>
      <c r="F477" s="27">
        <v>15</v>
      </c>
      <c r="G477" s="18">
        <v>11590.85</v>
      </c>
      <c r="H477" s="27">
        <f t="shared" si="14"/>
        <v>0</v>
      </c>
      <c r="I477" s="18">
        <v>9142.2199999999993</v>
      </c>
      <c r="J477" s="27">
        <v>11590.85</v>
      </c>
      <c r="K477" s="18">
        <f t="shared" si="15"/>
        <v>0</v>
      </c>
      <c r="L477" s="27">
        <v>9535.7099999999991</v>
      </c>
      <c r="M477" s="36">
        <v>393.49</v>
      </c>
      <c r="T477" s="41">
        <v>0</v>
      </c>
      <c r="U477" s="41">
        <v>0</v>
      </c>
      <c r="V477" s="42" t="s">
        <v>113</v>
      </c>
      <c r="W477" s="42">
        <v>0</v>
      </c>
      <c r="X477" s="42">
        <v>0</v>
      </c>
    </row>
    <row r="478" spans="1:24">
      <c r="A478" s="27" t="s">
        <v>1000</v>
      </c>
      <c r="B478" s="28" t="s">
        <v>215</v>
      </c>
      <c r="C478" s="27" t="s">
        <v>1001</v>
      </c>
      <c r="D478" s="27" t="s">
        <v>118</v>
      </c>
      <c r="E478" s="29">
        <v>40113</v>
      </c>
      <c r="F478" s="27">
        <v>15</v>
      </c>
      <c r="G478" s="18">
        <v>11590.85</v>
      </c>
      <c r="H478" s="27">
        <f t="shared" si="14"/>
        <v>0</v>
      </c>
      <c r="I478" s="18">
        <v>9142.2199999999993</v>
      </c>
      <c r="J478" s="27">
        <v>11590.85</v>
      </c>
      <c r="K478" s="18">
        <f t="shared" si="15"/>
        <v>0</v>
      </c>
      <c r="L478" s="27">
        <v>9535.7099999999991</v>
      </c>
      <c r="M478" s="36">
        <v>393.49</v>
      </c>
      <c r="T478" s="41">
        <v>0</v>
      </c>
      <c r="U478" s="41">
        <v>0</v>
      </c>
      <c r="V478" s="42" t="s">
        <v>113</v>
      </c>
      <c r="W478" s="42">
        <v>0</v>
      </c>
      <c r="X478" s="42">
        <v>0</v>
      </c>
    </row>
    <row r="479" spans="1:24">
      <c r="A479" s="27" t="s">
        <v>1002</v>
      </c>
      <c r="B479" s="28" t="s">
        <v>215</v>
      </c>
      <c r="C479" s="27" t="s">
        <v>1003</v>
      </c>
      <c r="D479" s="27" t="s">
        <v>118</v>
      </c>
      <c r="E479" s="29">
        <v>40113</v>
      </c>
      <c r="F479" s="27">
        <v>15</v>
      </c>
      <c r="G479" s="18">
        <v>29911.87</v>
      </c>
      <c r="H479" s="27">
        <f t="shared" si="14"/>
        <v>0</v>
      </c>
      <c r="I479" s="18">
        <v>23592.82</v>
      </c>
      <c r="J479" s="27">
        <v>29911.87</v>
      </c>
      <c r="K479" s="18">
        <f t="shared" si="15"/>
        <v>0</v>
      </c>
      <c r="L479" s="27">
        <v>24608.29</v>
      </c>
      <c r="M479" s="36">
        <v>1015.47</v>
      </c>
      <c r="T479" s="41">
        <v>0</v>
      </c>
      <c r="U479" s="41">
        <v>0</v>
      </c>
      <c r="V479" s="42" t="s">
        <v>113</v>
      </c>
      <c r="W479" s="42">
        <v>0</v>
      </c>
      <c r="X479" s="42">
        <v>0</v>
      </c>
    </row>
    <row r="480" spans="1:24">
      <c r="A480" s="27" t="s">
        <v>1004</v>
      </c>
      <c r="B480" s="28" t="s">
        <v>215</v>
      </c>
      <c r="C480" s="27" t="s">
        <v>1005</v>
      </c>
      <c r="D480" s="27" t="s">
        <v>230</v>
      </c>
      <c r="E480" s="29">
        <v>40113</v>
      </c>
      <c r="F480" s="27">
        <v>15</v>
      </c>
      <c r="G480" s="18">
        <v>71734.38</v>
      </c>
      <c r="H480" s="27">
        <f t="shared" si="14"/>
        <v>0</v>
      </c>
      <c r="I480" s="18">
        <v>61885.9</v>
      </c>
      <c r="J480" s="27">
        <v>71734.38</v>
      </c>
      <c r="K480" s="18">
        <f t="shared" si="15"/>
        <v>0</v>
      </c>
      <c r="L480" s="27">
        <v>63484.65</v>
      </c>
      <c r="M480" s="36">
        <v>1598.75</v>
      </c>
      <c r="T480" s="41">
        <v>0</v>
      </c>
      <c r="U480" s="41">
        <v>0</v>
      </c>
      <c r="V480" s="42" t="s">
        <v>113</v>
      </c>
      <c r="W480" s="42">
        <v>0</v>
      </c>
      <c r="X480" s="42">
        <v>0</v>
      </c>
    </row>
    <row r="481" spans="1:24">
      <c r="A481" s="27" t="s">
        <v>1006</v>
      </c>
      <c r="B481" s="28" t="s">
        <v>215</v>
      </c>
      <c r="C481" s="27" t="s">
        <v>1007</v>
      </c>
      <c r="D481" s="27" t="s">
        <v>230</v>
      </c>
      <c r="E481" s="29">
        <v>40113</v>
      </c>
      <c r="F481" s="27">
        <v>15</v>
      </c>
      <c r="G481" s="18">
        <v>48234.75</v>
      </c>
      <c r="H481" s="27">
        <f t="shared" si="14"/>
        <v>0</v>
      </c>
      <c r="I481" s="18">
        <v>40876.080000000002</v>
      </c>
      <c r="J481" s="27">
        <v>48234.75</v>
      </c>
      <c r="K481" s="18">
        <f t="shared" si="15"/>
        <v>0</v>
      </c>
      <c r="L481" s="27">
        <v>42139.13</v>
      </c>
      <c r="M481" s="36">
        <v>1263.05</v>
      </c>
      <c r="T481" s="41">
        <v>0</v>
      </c>
      <c r="U481" s="41">
        <v>0</v>
      </c>
      <c r="V481" s="42" t="s">
        <v>113</v>
      </c>
      <c r="W481" s="42">
        <v>0</v>
      </c>
      <c r="X481" s="42">
        <v>0</v>
      </c>
    </row>
    <row r="482" spans="1:24">
      <c r="A482" s="27" t="s">
        <v>1008</v>
      </c>
      <c r="B482" s="28" t="s">
        <v>215</v>
      </c>
      <c r="C482" s="27" t="s">
        <v>1009</v>
      </c>
      <c r="D482" s="27" t="s">
        <v>230</v>
      </c>
      <c r="E482" s="29">
        <v>40113</v>
      </c>
      <c r="F482" s="27">
        <v>15</v>
      </c>
      <c r="G482" s="18">
        <v>449390.18</v>
      </c>
      <c r="H482" s="27">
        <f t="shared" si="14"/>
        <v>0</v>
      </c>
      <c r="I482" s="18">
        <v>408457.64</v>
      </c>
      <c r="J482" s="27">
        <v>449390.18</v>
      </c>
      <c r="K482" s="18">
        <f t="shared" si="15"/>
        <v>0</v>
      </c>
      <c r="L482" s="27">
        <v>413171.61</v>
      </c>
      <c r="M482" s="36">
        <v>4713.97</v>
      </c>
      <c r="T482" s="41">
        <v>0</v>
      </c>
      <c r="U482" s="41">
        <v>0</v>
      </c>
      <c r="V482" s="42" t="s">
        <v>113</v>
      </c>
      <c r="W482" s="42">
        <v>0</v>
      </c>
      <c r="X482" s="42">
        <v>0</v>
      </c>
    </row>
    <row r="483" spans="1:24">
      <c r="A483" s="27" t="s">
        <v>1010</v>
      </c>
      <c r="B483" s="28" t="s">
        <v>215</v>
      </c>
      <c r="C483" s="27" t="s">
        <v>1011</v>
      </c>
      <c r="D483" s="27" t="s">
        <v>230</v>
      </c>
      <c r="E483" s="29">
        <v>40113</v>
      </c>
      <c r="F483" s="27">
        <v>15</v>
      </c>
      <c r="G483" s="18">
        <v>165631.01</v>
      </c>
      <c r="H483" s="27">
        <f t="shared" si="14"/>
        <v>0</v>
      </c>
      <c r="I483" s="18">
        <v>147630.01</v>
      </c>
      <c r="J483" s="27">
        <v>165631.01</v>
      </c>
      <c r="K483" s="18">
        <f t="shared" si="15"/>
        <v>0</v>
      </c>
      <c r="L483" s="27">
        <v>150111.57</v>
      </c>
      <c r="M483" s="36">
        <v>2481.56</v>
      </c>
      <c r="T483" s="41">
        <v>0</v>
      </c>
      <c r="U483" s="41">
        <v>0</v>
      </c>
      <c r="V483" s="42" t="s">
        <v>113</v>
      </c>
      <c r="W483" s="42">
        <v>0</v>
      </c>
      <c r="X483" s="42">
        <v>0</v>
      </c>
    </row>
    <row r="484" spans="1:24">
      <c r="A484" s="27" t="s">
        <v>1012</v>
      </c>
      <c r="B484" s="28" t="s">
        <v>215</v>
      </c>
      <c r="C484" s="27" t="s">
        <v>1013</v>
      </c>
      <c r="D484" s="27" t="s">
        <v>112</v>
      </c>
      <c r="E484" s="29">
        <v>40112</v>
      </c>
      <c r="F484" s="27">
        <v>15</v>
      </c>
      <c r="G484" s="18">
        <v>379156.66</v>
      </c>
      <c r="H484" s="27">
        <f t="shared" si="14"/>
        <v>0</v>
      </c>
      <c r="I484" s="18">
        <v>299711.96999999997</v>
      </c>
      <c r="J484" s="27">
        <v>379156.66</v>
      </c>
      <c r="K484" s="18">
        <f t="shared" si="15"/>
        <v>0</v>
      </c>
      <c r="L484" s="27">
        <v>312446.05</v>
      </c>
      <c r="M484" s="36">
        <v>12734.08</v>
      </c>
      <c r="T484" s="41">
        <v>0</v>
      </c>
      <c r="U484" s="41">
        <v>0</v>
      </c>
      <c r="V484" s="42" t="s">
        <v>113</v>
      </c>
      <c r="W484" s="42">
        <v>0</v>
      </c>
      <c r="X484" s="42">
        <v>0</v>
      </c>
    </row>
    <row r="485" spans="1:24">
      <c r="A485" s="27" t="s">
        <v>1014</v>
      </c>
      <c r="B485" s="28" t="s">
        <v>215</v>
      </c>
      <c r="C485" s="27" t="s">
        <v>1015</v>
      </c>
      <c r="D485" s="27" t="s">
        <v>112</v>
      </c>
      <c r="E485" s="29">
        <v>40112</v>
      </c>
      <c r="F485" s="27">
        <v>15</v>
      </c>
      <c r="G485" s="18">
        <v>358371.37</v>
      </c>
      <c r="H485" s="27">
        <f t="shared" si="14"/>
        <v>0</v>
      </c>
      <c r="I485" s="18">
        <v>283317.69</v>
      </c>
      <c r="J485" s="27">
        <v>358371.37</v>
      </c>
      <c r="K485" s="18">
        <f t="shared" si="15"/>
        <v>0</v>
      </c>
      <c r="L485" s="27">
        <v>295346.13</v>
      </c>
      <c r="M485" s="36">
        <v>12028.44</v>
      </c>
      <c r="T485" s="41">
        <v>0</v>
      </c>
      <c r="U485" s="41">
        <v>0</v>
      </c>
      <c r="V485" s="42" t="s">
        <v>113</v>
      </c>
      <c r="W485" s="42">
        <v>0</v>
      </c>
      <c r="X485" s="42">
        <v>0</v>
      </c>
    </row>
    <row r="486" spans="1:24">
      <c r="A486" s="27" t="s">
        <v>1016</v>
      </c>
      <c r="B486" s="28" t="s">
        <v>215</v>
      </c>
      <c r="C486" s="27" t="s">
        <v>1017</v>
      </c>
      <c r="D486" s="27" t="s">
        <v>112</v>
      </c>
      <c r="E486" s="29">
        <v>40112</v>
      </c>
      <c r="F486" s="27">
        <v>15</v>
      </c>
      <c r="G486" s="18">
        <v>94610.27</v>
      </c>
      <c r="H486" s="27">
        <f t="shared" si="14"/>
        <v>0</v>
      </c>
      <c r="I486" s="18">
        <v>74629.64</v>
      </c>
      <c r="J486" s="27">
        <v>94610.27</v>
      </c>
      <c r="K486" s="18">
        <f t="shared" si="15"/>
        <v>0</v>
      </c>
      <c r="L486" s="27">
        <v>77840.19</v>
      </c>
      <c r="M486" s="36">
        <v>3210.55</v>
      </c>
      <c r="T486" s="41">
        <v>0</v>
      </c>
      <c r="U486" s="41">
        <v>0</v>
      </c>
      <c r="V486" s="42" t="s">
        <v>113</v>
      </c>
      <c r="W486" s="42">
        <v>0</v>
      </c>
      <c r="X486" s="42">
        <v>0</v>
      </c>
    </row>
    <row r="487" spans="1:24">
      <c r="A487" s="27" t="s">
        <v>1018</v>
      </c>
      <c r="B487" s="28" t="s">
        <v>215</v>
      </c>
      <c r="C487" s="27" t="s">
        <v>1019</v>
      </c>
      <c r="D487" s="27" t="s">
        <v>112</v>
      </c>
      <c r="E487" s="29">
        <v>40112</v>
      </c>
      <c r="F487" s="27">
        <v>15</v>
      </c>
      <c r="G487" s="18">
        <v>158151.73000000001</v>
      </c>
      <c r="H487" s="27">
        <f t="shared" si="14"/>
        <v>0</v>
      </c>
      <c r="I487" s="18">
        <v>122622.97</v>
      </c>
      <c r="J487" s="27">
        <v>158151.73000000001</v>
      </c>
      <c r="K487" s="18">
        <f t="shared" si="15"/>
        <v>0</v>
      </c>
      <c r="L487" s="27">
        <v>128437.95</v>
      </c>
      <c r="M487" s="36">
        <v>5814.98</v>
      </c>
      <c r="T487" s="41">
        <v>0</v>
      </c>
      <c r="U487" s="41">
        <v>0</v>
      </c>
      <c r="V487" s="42" t="s">
        <v>113</v>
      </c>
      <c r="W487" s="42">
        <v>0</v>
      </c>
      <c r="X487" s="42">
        <v>0</v>
      </c>
    </row>
    <row r="488" spans="1:24">
      <c r="A488" s="27" t="s">
        <v>1020</v>
      </c>
      <c r="B488" s="28" t="s">
        <v>215</v>
      </c>
      <c r="C488" s="27" t="s">
        <v>1021</v>
      </c>
      <c r="D488" s="27" t="s">
        <v>112</v>
      </c>
      <c r="E488" s="29">
        <v>40112</v>
      </c>
      <c r="F488" s="27">
        <v>15</v>
      </c>
      <c r="G488" s="18">
        <v>42469.88</v>
      </c>
      <c r="H488" s="27">
        <f t="shared" si="14"/>
        <v>0</v>
      </c>
      <c r="I488" s="18">
        <v>33497.870000000003</v>
      </c>
      <c r="J488" s="27">
        <v>42469.88</v>
      </c>
      <c r="K488" s="18">
        <f t="shared" si="15"/>
        <v>0</v>
      </c>
      <c r="L488" s="27">
        <v>34939.660000000003</v>
      </c>
      <c r="M488" s="36">
        <v>1441.79</v>
      </c>
      <c r="T488" s="41">
        <v>0</v>
      </c>
      <c r="U488" s="41">
        <v>0</v>
      </c>
      <c r="V488" s="42" t="s">
        <v>113</v>
      </c>
      <c r="W488" s="42">
        <v>0</v>
      </c>
      <c r="X488" s="42">
        <v>0</v>
      </c>
    </row>
    <row r="489" spans="1:24">
      <c r="A489" s="27" t="s">
        <v>1022</v>
      </c>
      <c r="B489" s="28" t="s">
        <v>215</v>
      </c>
      <c r="C489" s="27" t="s">
        <v>1023</v>
      </c>
      <c r="D489" s="27" t="s">
        <v>112</v>
      </c>
      <c r="E489" s="29">
        <v>40112</v>
      </c>
      <c r="F489" s="27">
        <v>15</v>
      </c>
      <c r="G489" s="18">
        <v>210706.87</v>
      </c>
      <c r="H489" s="27">
        <f t="shared" si="14"/>
        <v>0</v>
      </c>
      <c r="I489" s="18">
        <v>166356.56</v>
      </c>
      <c r="J489" s="27">
        <v>210706.87</v>
      </c>
      <c r="K489" s="18">
        <f t="shared" si="15"/>
        <v>0</v>
      </c>
      <c r="L489" s="27">
        <v>173475.5</v>
      </c>
      <c r="M489" s="36">
        <v>7118.94</v>
      </c>
      <c r="T489" s="41">
        <v>0</v>
      </c>
      <c r="U489" s="41">
        <v>0</v>
      </c>
      <c r="V489" s="42" t="s">
        <v>113</v>
      </c>
      <c r="W489" s="42">
        <v>0</v>
      </c>
      <c r="X489" s="42">
        <v>0</v>
      </c>
    </row>
    <row r="490" spans="1:24">
      <c r="A490" s="27" t="s">
        <v>1024</v>
      </c>
      <c r="B490" s="28" t="s">
        <v>215</v>
      </c>
      <c r="C490" s="27" t="s">
        <v>1025</v>
      </c>
      <c r="D490" s="27" t="s">
        <v>112</v>
      </c>
      <c r="E490" s="29">
        <v>40112</v>
      </c>
      <c r="F490" s="27">
        <v>15</v>
      </c>
      <c r="G490" s="18">
        <v>9800.74</v>
      </c>
      <c r="H490" s="27">
        <f t="shared" si="14"/>
        <v>0</v>
      </c>
      <c r="I490" s="18">
        <v>7730.28</v>
      </c>
      <c r="J490" s="27">
        <v>9800.74</v>
      </c>
      <c r="K490" s="18">
        <f t="shared" si="15"/>
        <v>0</v>
      </c>
      <c r="L490" s="27">
        <v>8063</v>
      </c>
      <c r="M490" s="36">
        <v>332.72</v>
      </c>
      <c r="T490" s="41">
        <v>0</v>
      </c>
      <c r="U490" s="41">
        <v>0</v>
      </c>
      <c r="V490" s="42" t="s">
        <v>113</v>
      </c>
      <c r="W490" s="42">
        <v>0</v>
      </c>
      <c r="X490" s="42">
        <v>0</v>
      </c>
    </row>
    <row r="491" spans="1:24">
      <c r="A491" s="27" t="s">
        <v>1026</v>
      </c>
      <c r="B491" s="28" t="s">
        <v>215</v>
      </c>
      <c r="C491" s="27" t="s">
        <v>1027</v>
      </c>
      <c r="D491" s="27" t="s">
        <v>112</v>
      </c>
      <c r="E491" s="29">
        <v>40112</v>
      </c>
      <c r="F491" s="27">
        <v>15</v>
      </c>
      <c r="G491" s="18">
        <v>9800.74</v>
      </c>
      <c r="H491" s="27">
        <f t="shared" si="14"/>
        <v>0</v>
      </c>
      <c r="I491" s="18">
        <v>7730.28</v>
      </c>
      <c r="J491" s="27">
        <v>9800.74</v>
      </c>
      <c r="K491" s="18">
        <f t="shared" si="15"/>
        <v>0</v>
      </c>
      <c r="L491" s="27">
        <v>8063</v>
      </c>
      <c r="M491" s="36">
        <v>332.72</v>
      </c>
      <c r="T491" s="41">
        <v>0</v>
      </c>
      <c r="U491" s="41">
        <v>0</v>
      </c>
      <c r="V491" s="42" t="s">
        <v>113</v>
      </c>
      <c r="W491" s="42">
        <v>0</v>
      </c>
      <c r="X491" s="42">
        <v>0</v>
      </c>
    </row>
    <row r="492" spans="1:24">
      <c r="A492" s="27" t="s">
        <v>1028</v>
      </c>
      <c r="B492" s="28" t="s">
        <v>215</v>
      </c>
      <c r="C492" s="27" t="s">
        <v>1029</v>
      </c>
      <c r="D492" s="27" t="s">
        <v>112</v>
      </c>
      <c r="E492" s="29">
        <v>40112</v>
      </c>
      <c r="F492" s="27">
        <v>15</v>
      </c>
      <c r="G492" s="18">
        <v>206493</v>
      </c>
      <c r="H492" s="27">
        <f t="shared" si="14"/>
        <v>0</v>
      </c>
      <c r="I492" s="18">
        <v>163039.24</v>
      </c>
      <c r="J492" s="27">
        <v>206493</v>
      </c>
      <c r="K492" s="18">
        <f t="shared" si="15"/>
        <v>0</v>
      </c>
      <c r="L492" s="27">
        <v>170013.79</v>
      </c>
      <c r="M492" s="36">
        <v>6974.55</v>
      </c>
      <c r="T492" s="41">
        <v>0</v>
      </c>
      <c r="U492" s="41">
        <v>0</v>
      </c>
      <c r="V492" s="42" t="s">
        <v>113</v>
      </c>
      <c r="W492" s="42">
        <v>0</v>
      </c>
      <c r="X492" s="42">
        <v>0</v>
      </c>
    </row>
    <row r="493" spans="1:24">
      <c r="A493" s="27" t="s">
        <v>1030</v>
      </c>
      <c r="B493" s="28" t="s">
        <v>215</v>
      </c>
      <c r="C493" s="27" t="s">
        <v>1031</v>
      </c>
      <c r="D493" s="27" t="s">
        <v>112</v>
      </c>
      <c r="E493" s="29">
        <v>40112</v>
      </c>
      <c r="F493" s="27">
        <v>15</v>
      </c>
      <c r="G493" s="18">
        <v>250923.02</v>
      </c>
      <c r="H493" s="27">
        <f t="shared" si="14"/>
        <v>0</v>
      </c>
      <c r="I493" s="18">
        <v>198083.16</v>
      </c>
      <c r="J493" s="27">
        <v>250923.02</v>
      </c>
      <c r="K493" s="18">
        <f t="shared" si="15"/>
        <v>0</v>
      </c>
      <c r="L493" s="27">
        <v>206566.05</v>
      </c>
      <c r="M493" s="36">
        <v>8482.89</v>
      </c>
      <c r="T493" s="41">
        <v>0</v>
      </c>
      <c r="U493" s="41">
        <v>0</v>
      </c>
      <c r="V493" s="42" t="s">
        <v>113</v>
      </c>
      <c r="W493" s="42">
        <v>0</v>
      </c>
      <c r="X493" s="42">
        <v>0</v>
      </c>
    </row>
    <row r="494" spans="1:24">
      <c r="A494" s="27" t="s">
        <v>1032</v>
      </c>
      <c r="B494" s="28" t="s">
        <v>215</v>
      </c>
      <c r="C494" s="27" t="s">
        <v>1033</v>
      </c>
      <c r="D494" s="27" t="s">
        <v>112</v>
      </c>
      <c r="E494" s="29">
        <v>40112</v>
      </c>
      <c r="F494" s="27">
        <v>15</v>
      </c>
      <c r="G494" s="18">
        <v>264578.56</v>
      </c>
      <c r="H494" s="27">
        <f t="shared" si="14"/>
        <v>0</v>
      </c>
      <c r="I494" s="18">
        <v>208839.33</v>
      </c>
      <c r="J494" s="27">
        <v>264578.56</v>
      </c>
      <c r="K494" s="18">
        <f t="shared" si="15"/>
        <v>0</v>
      </c>
      <c r="L494" s="27">
        <v>217788.87</v>
      </c>
      <c r="M494" s="36">
        <v>8949.5400000000009</v>
      </c>
      <c r="T494" s="41">
        <v>0</v>
      </c>
      <c r="U494" s="41">
        <v>0</v>
      </c>
      <c r="V494" s="42" t="s">
        <v>113</v>
      </c>
      <c r="W494" s="42">
        <v>0</v>
      </c>
      <c r="X494" s="42">
        <v>0</v>
      </c>
    </row>
    <row r="495" spans="1:24">
      <c r="A495" s="27" t="s">
        <v>1034</v>
      </c>
      <c r="B495" s="28" t="s">
        <v>215</v>
      </c>
      <c r="C495" s="27" t="s">
        <v>1035</v>
      </c>
      <c r="D495" s="27" t="s">
        <v>112</v>
      </c>
      <c r="E495" s="29">
        <v>40112</v>
      </c>
      <c r="F495" s="27">
        <v>15</v>
      </c>
      <c r="G495" s="18">
        <v>180733.32</v>
      </c>
      <c r="H495" s="27">
        <f t="shared" si="14"/>
        <v>0</v>
      </c>
      <c r="I495" s="18">
        <v>142714.16</v>
      </c>
      <c r="J495" s="27">
        <v>180733.32</v>
      </c>
      <c r="K495" s="18">
        <f t="shared" si="15"/>
        <v>0</v>
      </c>
      <c r="L495" s="27">
        <v>148815.74</v>
      </c>
      <c r="M495" s="36">
        <v>6101.58</v>
      </c>
      <c r="T495" s="41">
        <v>0</v>
      </c>
      <c r="U495" s="41">
        <v>0</v>
      </c>
      <c r="V495" s="42" t="s">
        <v>113</v>
      </c>
      <c r="W495" s="42">
        <v>0</v>
      </c>
      <c r="X495" s="42">
        <v>0</v>
      </c>
    </row>
    <row r="496" spans="1:24">
      <c r="A496" s="27" t="s">
        <v>1036</v>
      </c>
      <c r="B496" s="28" t="s">
        <v>215</v>
      </c>
      <c r="C496" s="27" t="s">
        <v>1037</v>
      </c>
      <c r="D496" s="27" t="s">
        <v>230</v>
      </c>
      <c r="E496" s="29">
        <v>40114</v>
      </c>
      <c r="F496" s="27">
        <v>15</v>
      </c>
      <c r="G496" s="18">
        <v>49621.02</v>
      </c>
      <c r="H496" s="27">
        <f t="shared" si="14"/>
        <v>0</v>
      </c>
      <c r="I496" s="18">
        <v>41453.29</v>
      </c>
      <c r="J496" s="27">
        <v>49621.02</v>
      </c>
      <c r="K496" s="18">
        <f t="shared" si="15"/>
        <v>0</v>
      </c>
      <c r="L496" s="27">
        <v>42765.599999999999</v>
      </c>
      <c r="M496" s="36">
        <v>1312.31</v>
      </c>
      <c r="T496" s="41">
        <v>0</v>
      </c>
      <c r="U496" s="41">
        <v>0</v>
      </c>
      <c r="V496" s="42" t="s">
        <v>113</v>
      </c>
      <c r="W496" s="42">
        <v>0</v>
      </c>
      <c r="X496" s="42">
        <v>0</v>
      </c>
    </row>
    <row r="497" spans="1:24">
      <c r="A497" s="27" t="s">
        <v>1038</v>
      </c>
      <c r="B497" s="28" t="s">
        <v>215</v>
      </c>
      <c r="C497" s="27" t="s">
        <v>1039</v>
      </c>
      <c r="D497" s="27" t="s">
        <v>230</v>
      </c>
      <c r="E497" s="29">
        <v>40114</v>
      </c>
      <c r="F497" s="27">
        <v>15</v>
      </c>
      <c r="G497" s="18">
        <v>41624.660000000003</v>
      </c>
      <c r="H497" s="27">
        <f t="shared" si="14"/>
        <v>0</v>
      </c>
      <c r="I497" s="18">
        <v>34122.61</v>
      </c>
      <c r="J497" s="27">
        <v>41624.660000000003</v>
      </c>
      <c r="K497" s="18">
        <f t="shared" si="15"/>
        <v>0</v>
      </c>
      <c r="L497" s="27">
        <v>35373.57</v>
      </c>
      <c r="M497" s="36">
        <v>1250.96</v>
      </c>
      <c r="T497" s="41">
        <v>0</v>
      </c>
      <c r="U497" s="41">
        <v>0</v>
      </c>
      <c r="V497" s="42" t="s">
        <v>113</v>
      </c>
      <c r="W497" s="42">
        <v>0</v>
      </c>
      <c r="X497" s="42">
        <v>0</v>
      </c>
    </row>
    <row r="498" spans="1:24">
      <c r="A498" s="27" t="s">
        <v>1040</v>
      </c>
      <c r="B498" s="28" t="s">
        <v>215</v>
      </c>
      <c r="C498" s="27" t="s">
        <v>1041</v>
      </c>
      <c r="D498" s="27" t="s">
        <v>230</v>
      </c>
      <c r="E498" s="29">
        <v>40114</v>
      </c>
      <c r="F498" s="27">
        <v>15</v>
      </c>
      <c r="G498" s="18">
        <v>170661.15</v>
      </c>
      <c r="H498" s="27">
        <f t="shared" si="14"/>
        <v>0</v>
      </c>
      <c r="I498" s="18">
        <v>139674.60999999999</v>
      </c>
      <c r="J498" s="27">
        <v>170661.15</v>
      </c>
      <c r="K498" s="18">
        <f t="shared" si="15"/>
        <v>0</v>
      </c>
      <c r="L498" s="27">
        <v>144856.18</v>
      </c>
      <c r="M498" s="36">
        <v>5181.57</v>
      </c>
      <c r="T498" s="41">
        <v>0</v>
      </c>
      <c r="U498" s="41">
        <v>0</v>
      </c>
      <c r="V498" s="42" t="s">
        <v>113</v>
      </c>
      <c r="W498" s="42">
        <v>0</v>
      </c>
      <c r="X498" s="42">
        <v>0</v>
      </c>
    </row>
    <row r="499" spans="1:24">
      <c r="A499" s="27" t="s">
        <v>1042</v>
      </c>
      <c r="B499" s="28" t="s">
        <v>215</v>
      </c>
      <c r="C499" s="27" t="s">
        <v>1043</v>
      </c>
      <c r="D499" s="27" t="s">
        <v>230</v>
      </c>
      <c r="E499" s="29">
        <v>40114</v>
      </c>
      <c r="F499" s="27">
        <v>15</v>
      </c>
      <c r="G499" s="18">
        <v>41624.68</v>
      </c>
      <c r="H499" s="27">
        <f t="shared" si="14"/>
        <v>0</v>
      </c>
      <c r="I499" s="18">
        <v>34122.629999999997</v>
      </c>
      <c r="J499" s="27">
        <v>41624.68</v>
      </c>
      <c r="K499" s="18">
        <f t="shared" si="15"/>
        <v>0</v>
      </c>
      <c r="L499" s="27">
        <v>35373.589999999997</v>
      </c>
      <c r="M499" s="36">
        <v>1250.96</v>
      </c>
      <c r="T499" s="41">
        <v>0</v>
      </c>
      <c r="U499" s="41">
        <v>0</v>
      </c>
      <c r="V499" s="42" t="s">
        <v>113</v>
      </c>
      <c r="W499" s="42">
        <v>0</v>
      </c>
      <c r="X499" s="42">
        <v>0</v>
      </c>
    </row>
    <row r="500" spans="1:24">
      <c r="A500" s="27" t="s">
        <v>1044</v>
      </c>
      <c r="B500" s="28" t="s">
        <v>215</v>
      </c>
      <c r="C500" s="27" t="s">
        <v>1045</v>
      </c>
      <c r="D500" s="27" t="s">
        <v>230</v>
      </c>
      <c r="E500" s="29">
        <v>40114</v>
      </c>
      <c r="F500" s="27">
        <v>15</v>
      </c>
      <c r="G500" s="18">
        <v>170661.13</v>
      </c>
      <c r="H500" s="27">
        <f t="shared" si="14"/>
        <v>0</v>
      </c>
      <c r="I500" s="18">
        <v>139674.59</v>
      </c>
      <c r="J500" s="27">
        <v>170661.13</v>
      </c>
      <c r="K500" s="18">
        <f t="shared" si="15"/>
        <v>0</v>
      </c>
      <c r="L500" s="27">
        <v>144856.16</v>
      </c>
      <c r="M500" s="36">
        <v>5181.57</v>
      </c>
      <c r="T500" s="41">
        <v>0</v>
      </c>
      <c r="U500" s="41">
        <v>0</v>
      </c>
      <c r="V500" s="42" t="s">
        <v>113</v>
      </c>
      <c r="W500" s="42">
        <v>0</v>
      </c>
      <c r="X500" s="42">
        <v>0</v>
      </c>
    </row>
    <row r="501" spans="1:24">
      <c r="A501" s="27" t="s">
        <v>1046</v>
      </c>
      <c r="B501" s="28" t="s">
        <v>215</v>
      </c>
      <c r="C501" s="27" t="s">
        <v>1047</v>
      </c>
      <c r="D501" s="27" t="s">
        <v>230</v>
      </c>
      <c r="E501" s="29">
        <v>40114</v>
      </c>
      <c r="F501" s="27">
        <v>15</v>
      </c>
      <c r="G501" s="18">
        <v>170661.13</v>
      </c>
      <c r="H501" s="27">
        <f t="shared" si="14"/>
        <v>0</v>
      </c>
      <c r="I501" s="18">
        <v>139674.59</v>
      </c>
      <c r="J501" s="27">
        <v>170661.13</v>
      </c>
      <c r="K501" s="18">
        <f t="shared" si="15"/>
        <v>0</v>
      </c>
      <c r="L501" s="27">
        <v>144856.16</v>
      </c>
      <c r="M501" s="36">
        <v>5181.57</v>
      </c>
      <c r="T501" s="41">
        <v>0</v>
      </c>
      <c r="U501" s="41">
        <v>0</v>
      </c>
      <c r="V501" s="42" t="s">
        <v>113</v>
      </c>
      <c r="W501" s="42">
        <v>0</v>
      </c>
      <c r="X501" s="42">
        <v>0</v>
      </c>
    </row>
    <row r="502" spans="1:24">
      <c r="A502" s="27" t="s">
        <v>1048</v>
      </c>
      <c r="B502" s="28" t="s">
        <v>215</v>
      </c>
      <c r="C502" s="27" t="s">
        <v>229</v>
      </c>
      <c r="D502" s="27" t="s">
        <v>230</v>
      </c>
      <c r="E502" s="29">
        <v>40114</v>
      </c>
      <c r="F502" s="27">
        <v>15</v>
      </c>
      <c r="G502" s="18">
        <v>42437.01</v>
      </c>
      <c r="H502" s="27">
        <f t="shared" si="14"/>
        <v>0</v>
      </c>
      <c r="I502" s="18">
        <v>34713.53</v>
      </c>
      <c r="J502" s="27">
        <v>42437.01</v>
      </c>
      <c r="K502" s="18">
        <f t="shared" si="15"/>
        <v>0</v>
      </c>
      <c r="L502" s="27">
        <v>36006.21</v>
      </c>
      <c r="M502" s="36">
        <v>1292.68</v>
      </c>
      <c r="T502" s="41">
        <v>0</v>
      </c>
      <c r="U502" s="41">
        <v>0</v>
      </c>
      <c r="V502" s="42" t="s">
        <v>113</v>
      </c>
      <c r="W502" s="42">
        <v>0</v>
      </c>
      <c r="X502" s="42">
        <v>0</v>
      </c>
    </row>
    <row r="503" spans="1:24">
      <c r="A503" s="27" t="s">
        <v>1049</v>
      </c>
      <c r="B503" s="28" t="s">
        <v>215</v>
      </c>
      <c r="C503" s="27" t="s">
        <v>1050</v>
      </c>
      <c r="D503" s="27" t="s">
        <v>230</v>
      </c>
      <c r="E503" s="29">
        <v>40114</v>
      </c>
      <c r="F503" s="27">
        <v>15</v>
      </c>
      <c r="G503" s="18">
        <v>41624.660000000003</v>
      </c>
      <c r="H503" s="27">
        <f t="shared" si="14"/>
        <v>0</v>
      </c>
      <c r="I503" s="18">
        <v>34122.61</v>
      </c>
      <c r="J503" s="27">
        <v>41624.660000000003</v>
      </c>
      <c r="K503" s="18">
        <f t="shared" si="15"/>
        <v>0</v>
      </c>
      <c r="L503" s="27">
        <v>35373.57</v>
      </c>
      <c r="M503" s="36">
        <v>1250.96</v>
      </c>
      <c r="T503" s="41">
        <v>0</v>
      </c>
      <c r="U503" s="41">
        <v>0</v>
      </c>
      <c r="V503" s="42" t="s">
        <v>113</v>
      </c>
      <c r="W503" s="42">
        <v>0</v>
      </c>
      <c r="X503" s="42">
        <v>0</v>
      </c>
    </row>
    <row r="504" spans="1:24">
      <c r="A504" s="27" t="s">
        <v>1051</v>
      </c>
      <c r="B504" s="28" t="s">
        <v>215</v>
      </c>
      <c r="C504" s="27" t="s">
        <v>1052</v>
      </c>
      <c r="D504" s="27" t="s">
        <v>230</v>
      </c>
      <c r="E504" s="29">
        <v>40113</v>
      </c>
      <c r="F504" s="27">
        <v>15</v>
      </c>
      <c r="G504" s="18">
        <v>129569.65</v>
      </c>
      <c r="H504" s="27">
        <f t="shared" si="14"/>
        <v>0</v>
      </c>
      <c r="I504" s="18">
        <v>103650.32</v>
      </c>
      <c r="J504" s="27">
        <v>129569.65</v>
      </c>
      <c r="K504" s="18">
        <f t="shared" si="15"/>
        <v>0</v>
      </c>
      <c r="L504" s="27">
        <v>107743.13</v>
      </c>
      <c r="M504" s="36">
        <v>4092.81</v>
      </c>
      <c r="T504" s="41">
        <v>0</v>
      </c>
      <c r="U504" s="41">
        <v>0</v>
      </c>
      <c r="V504" s="42" t="s">
        <v>113</v>
      </c>
      <c r="W504" s="42">
        <v>0</v>
      </c>
      <c r="X504" s="42">
        <v>0</v>
      </c>
    </row>
    <row r="505" spans="1:24">
      <c r="A505" s="27" t="s">
        <v>1053</v>
      </c>
      <c r="B505" s="28" t="s">
        <v>215</v>
      </c>
      <c r="C505" s="27" t="s">
        <v>953</v>
      </c>
      <c r="D505" s="27" t="s">
        <v>230</v>
      </c>
      <c r="E505" s="29">
        <v>40113</v>
      </c>
      <c r="F505" s="27">
        <v>15</v>
      </c>
      <c r="G505" s="18">
        <v>102156.29</v>
      </c>
      <c r="H505" s="27">
        <f t="shared" si="14"/>
        <v>0</v>
      </c>
      <c r="I505" s="18">
        <v>78862.47</v>
      </c>
      <c r="J505" s="27">
        <v>102156.29</v>
      </c>
      <c r="K505" s="18">
        <f t="shared" si="15"/>
        <v>0</v>
      </c>
      <c r="L505" s="27">
        <v>82691.100000000006</v>
      </c>
      <c r="M505" s="36">
        <v>3828.63</v>
      </c>
      <c r="T505" s="41">
        <v>0</v>
      </c>
      <c r="U505" s="41">
        <v>0</v>
      </c>
      <c r="V505" s="42" t="s">
        <v>113</v>
      </c>
      <c r="W505" s="42">
        <v>0</v>
      </c>
      <c r="X505" s="42">
        <v>0</v>
      </c>
    </row>
    <row r="506" spans="1:24">
      <c r="A506" s="27" t="s">
        <v>1054</v>
      </c>
      <c r="B506" s="28" t="s">
        <v>215</v>
      </c>
      <c r="C506" s="27" t="s">
        <v>1055</v>
      </c>
      <c r="D506" s="27" t="s">
        <v>230</v>
      </c>
      <c r="E506" s="29">
        <v>40113</v>
      </c>
      <c r="F506" s="27">
        <v>15</v>
      </c>
      <c r="G506" s="18">
        <v>133095.01</v>
      </c>
      <c r="H506" s="27">
        <f t="shared" si="14"/>
        <v>0</v>
      </c>
      <c r="I506" s="18">
        <v>103265.18</v>
      </c>
      <c r="J506" s="27">
        <v>133095.01</v>
      </c>
      <c r="K506" s="18">
        <f t="shared" si="15"/>
        <v>0</v>
      </c>
      <c r="L506" s="27">
        <v>108144.14</v>
      </c>
      <c r="M506" s="36">
        <v>4878.96</v>
      </c>
      <c r="T506" s="41">
        <v>0</v>
      </c>
      <c r="U506" s="41">
        <v>0</v>
      </c>
      <c r="V506" s="42" t="s">
        <v>113</v>
      </c>
      <c r="W506" s="42">
        <v>0</v>
      </c>
      <c r="X506" s="42">
        <v>0</v>
      </c>
    </row>
    <row r="507" spans="1:24">
      <c r="A507" s="27" t="s">
        <v>1056</v>
      </c>
      <c r="B507" s="28" t="s">
        <v>215</v>
      </c>
      <c r="C507" s="27" t="s">
        <v>1057</v>
      </c>
      <c r="D507" s="27" t="s">
        <v>230</v>
      </c>
      <c r="E507" s="29">
        <v>40113</v>
      </c>
      <c r="F507" s="27">
        <v>15</v>
      </c>
      <c r="G507" s="18">
        <v>198427.85</v>
      </c>
      <c r="H507" s="27">
        <f t="shared" si="14"/>
        <v>0</v>
      </c>
      <c r="I507" s="18">
        <v>154895.51</v>
      </c>
      <c r="J507" s="27">
        <v>198427.85</v>
      </c>
      <c r="K507" s="18">
        <f t="shared" si="15"/>
        <v>0</v>
      </c>
      <c r="L507" s="27">
        <v>161971.5</v>
      </c>
      <c r="M507" s="36">
        <v>7075.99</v>
      </c>
      <c r="T507" s="41">
        <v>0</v>
      </c>
      <c r="U507" s="41">
        <v>0</v>
      </c>
      <c r="V507" s="42" t="s">
        <v>113</v>
      </c>
      <c r="W507" s="42">
        <v>0</v>
      </c>
      <c r="X507" s="42">
        <v>0</v>
      </c>
    </row>
    <row r="508" spans="1:24">
      <c r="A508" s="27" t="s">
        <v>1058</v>
      </c>
      <c r="B508" s="28" t="s">
        <v>215</v>
      </c>
      <c r="C508" s="27" t="s">
        <v>1059</v>
      </c>
      <c r="D508" s="27" t="s">
        <v>230</v>
      </c>
      <c r="E508" s="29">
        <v>40113</v>
      </c>
      <c r="F508" s="27">
        <v>15</v>
      </c>
      <c r="G508" s="18">
        <v>200811.25</v>
      </c>
      <c r="H508" s="27">
        <f t="shared" si="14"/>
        <v>0</v>
      </c>
      <c r="I508" s="18">
        <v>156728.49</v>
      </c>
      <c r="J508" s="27">
        <v>200811.25</v>
      </c>
      <c r="K508" s="18">
        <f t="shared" si="15"/>
        <v>0</v>
      </c>
      <c r="L508" s="27">
        <v>163895.26999999999</v>
      </c>
      <c r="M508" s="36">
        <v>7166.78</v>
      </c>
      <c r="T508" s="41">
        <v>0</v>
      </c>
      <c r="U508" s="41">
        <v>0</v>
      </c>
      <c r="V508" s="42" t="s">
        <v>113</v>
      </c>
      <c r="W508" s="42">
        <v>0</v>
      </c>
      <c r="X508" s="42">
        <v>0</v>
      </c>
    </row>
    <row r="509" spans="1:24">
      <c r="A509" s="27" t="s">
        <v>1060</v>
      </c>
      <c r="B509" s="28" t="s">
        <v>215</v>
      </c>
      <c r="C509" s="27" t="s">
        <v>1061</v>
      </c>
      <c r="D509" s="27" t="s">
        <v>230</v>
      </c>
      <c r="E509" s="29">
        <v>40113</v>
      </c>
      <c r="F509" s="27">
        <v>15</v>
      </c>
      <c r="G509" s="18">
        <v>248978.23</v>
      </c>
      <c r="H509" s="27">
        <f t="shared" si="14"/>
        <v>0</v>
      </c>
      <c r="I509" s="18">
        <v>195359.87</v>
      </c>
      <c r="J509" s="27">
        <v>248978.23</v>
      </c>
      <c r="K509" s="18">
        <f t="shared" si="15"/>
        <v>0</v>
      </c>
      <c r="L509" s="27">
        <v>204027.12</v>
      </c>
      <c r="M509" s="36">
        <v>8667.25</v>
      </c>
      <c r="T509" s="41">
        <v>0</v>
      </c>
      <c r="U509" s="41">
        <v>0</v>
      </c>
      <c r="V509" s="42" t="s">
        <v>113</v>
      </c>
      <c r="W509" s="42">
        <v>0</v>
      </c>
      <c r="X509" s="42">
        <v>0</v>
      </c>
    </row>
    <row r="510" spans="1:24">
      <c r="A510" s="27" t="s">
        <v>1062</v>
      </c>
      <c r="B510" s="28" t="s">
        <v>215</v>
      </c>
      <c r="C510" s="27" t="s">
        <v>1063</v>
      </c>
      <c r="D510" s="27" t="s">
        <v>230</v>
      </c>
      <c r="E510" s="29">
        <v>40113</v>
      </c>
      <c r="F510" s="27">
        <v>15</v>
      </c>
      <c r="G510" s="18">
        <v>173139.21</v>
      </c>
      <c r="H510" s="27">
        <f t="shared" si="14"/>
        <v>0</v>
      </c>
      <c r="I510" s="18">
        <v>136615.04000000001</v>
      </c>
      <c r="J510" s="27">
        <v>173139.21</v>
      </c>
      <c r="K510" s="18">
        <f t="shared" si="15"/>
        <v>0</v>
      </c>
      <c r="L510" s="27">
        <v>142481.82</v>
      </c>
      <c r="M510" s="36">
        <v>5866.78</v>
      </c>
      <c r="T510" s="41">
        <v>0</v>
      </c>
      <c r="U510" s="41">
        <v>0</v>
      </c>
      <c r="V510" s="42" t="s">
        <v>113</v>
      </c>
      <c r="W510" s="42">
        <v>0</v>
      </c>
      <c r="X510" s="42">
        <v>0</v>
      </c>
    </row>
    <row r="511" spans="1:24">
      <c r="A511" s="27" t="s">
        <v>1064</v>
      </c>
      <c r="B511" s="28" t="s">
        <v>215</v>
      </c>
      <c r="C511" s="27" t="s">
        <v>1065</v>
      </c>
      <c r="D511" s="27" t="s">
        <v>230</v>
      </c>
      <c r="E511" s="29">
        <v>40113</v>
      </c>
      <c r="F511" s="27">
        <v>15</v>
      </c>
      <c r="G511" s="18">
        <v>247411.93</v>
      </c>
      <c r="H511" s="27">
        <f t="shared" si="14"/>
        <v>0</v>
      </c>
      <c r="I511" s="18">
        <v>195556.93</v>
      </c>
      <c r="J511" s="27">
        <v>247411.93</v>
      </c>
      <c r="K511" s="18">
        <f t="shared" si="15"/>
        <v>0</v>
      </c>
      <c r="L511" s="27">
        <v>203869.44</v>
      </c>
      <c r="M511" s="36">
        <v>8312.51</v>
      </c>
      <c r="T511" s="41">
        <v>0</v>
      </c>
      <c r="U511" s="41">
        <v>0</v>
      </c>
      <c r="V511" s="42" t="s">
        <v>113</v>
      </c>
      <c r="W511" s="42">
        <v>0</v>
      </c>
      <c r="X511" s="42">
        <v>0</v>
      </c>
    </row>
    <row r="512" spans="1:24">
      <c r="A512" s="27" t="s">
        <v>1066</v>
      </c>
      <c r="B512" s="28" t="s">
        <v>215</v>
      </c>
      <c r="C512" s="27" t="s">
        <v>1067</v>
      </c>
      <c r="D512" s="27" t="s">
        <v>230</v>
      </c>
      <c r="E512" s="29">
        <v>40113</v>
      </c>
      <c r="F512" s="27">
        <v>15</v>
      </c>
      <c r="G512" s="18">
        <v>126868.27</v>
      </c>
      <c r="H512" s="27">
        <f t="shared" si="14"/>
        <v>0</v>
      </c>
      <c r="I512" s="18">
        <v>100066.6</v>
      </c>
      <c r="J512" s="27">
        <v>126868.27</v>
      </c>
      <c r="K512" s="18">
        <f t="shared" si="15"/>
        <v>0</v>
      </c>
      <c r="L512" s="27">
        <v>104373.6</v>
      </c>
      <c r="M512" s="36">
        <v>4307</v>
      </c>
      <c r="T512" s="41">
        <v>0</v>
      </c>
      <c r="U512" s="41">
        <v>0</v>
      </c>
      <c r="V512" s="42" t="s">
        <v>113</v>
      </c>
      <c r="W512" s="42">
        <v>0</v>
      </c>
      <c r="X512" s="42">
        <v>0</v>
      </c>
    </row>
    <row r="513" spans="1:24">
      <c r="A513" s="27" t="s">
        <v>1068</v>
      </c>
      <c r="B513" s="28" t="s">
        <v>215</v>
      </c>
      <c r="C513" s="27" t="s">
        <v>1069</v>
      </c>
      <c r="D513" s="27" t="s">
        <v>230</v>
      </c>
      <c r="E513" s="29">
        <v>40113</v>
      </c>
      <c r="F513" s="27">
        <v>15</v>
      </c>
      <c r="G513" s="18">
        <v>139467.04999999999</v>
      </c>
      <c r="H513" s="27">
        <f t="shared" si="14"/>
        <v>0</v>
      </c>
      <c r="I513" s="18">
        <v>110056.33</v>
      </c>
      <c r="J513" s="27">
        <v>139467.04999999999</v>
      </c>
      <c r="K513" s="18">
        <f t="shared" si="15"/>
        <v>0</v>
      </c>
      <c r="L513" s="27">
        <v>114779.99</v>
      </c>
      <c r="M513" s="36">
        <v>4723.66</v>
      </c>
      <c r="T513" s="41">
        <v>0</v>
      </c>
      <c r="U513" s="41">
        <v>0</v>
      </c>
      <c r="V513" s="42" t="s">
        <v>113</v>
      </c>
      <c r="W513" s="42">
        <v>0</v>
      </c>
      <c r="X513" s="42">
        <v>0</v>
      </c>
    </row>
    <row r="514" spans="1:24">
      <c r="A514" s="27" t="s">
        <v>1070</v>
      </c>
      <c r="B514" s="28" t="s">
        <v>215</v>
      </c>
      <c r="C514" s="27" t="s">
        <v>1071</v>
      </c>
      <c r="D514" s="27" t="s">
        <v>230</v>
      </c>
      <c r="E514" s="29">
        <v>40113</v>
      </c>
      <c r="F514" s="27">
        <v>15</v>
      </c>
      <c r="G514" s="18">
        <v>121467.05</v>
      </c>
      <c r="H514" s="27">
        <f t="shared" si="14"/>
        <v>0</v>
      </c>
      <c r="I514" s="18">
        <v>95852.160000000003</v>
      </c>
      <c r="J514" s="27">
        <v>121467.05</v>
      </c>
      <c r="K514" s="18">
        <f t="shared" si="15"/>
        <v>0</v>
      </c>
      <c r="L514" s="27">
        <v>99966.17</v>
      </c>
      <c r="M514" s="36">
        <v>4114.01</v>
      </c>
      <c r="T514" s="41">
        <v>0</v>
      </c>
      <c r="U514" s="41">
        <v>0</v>
      </c>
      <c r="V514" s="42" t="s">
        <v>113</v>
      </c>
      <c r="W514" s="42">
        <v>0</v>
      </c>
      <c r="X514" s="42">
        <v>0</v>
      </c>
    </row>
    <row r="515" spans="1:24">
      <c r="A515" s="27" t="s">
        <v>1072</v>
      </c>
      <c r="B515" s="28" t="s">
        <v>215</v>
      </c>
      <c r="C515" s="27" t="s">
        <v>1073</v>
      </c>
      <c r="D515" s="27" t="s">
        <v>230</v>
      </c>
      <c r="E515" s="29">
        <v>40113</v>
      </c>
      <c r="F515" s="27">
        <v>15</v>
      </c>
      <c r="G515" s="18">
        <v>121467.05</v>
      </c>
      <c r="H515" s="27">
        <f t="shared" si="14"/>
        <v>0</v>
      </c>
      <c r="I515" s="18">
        <v>95852.15</v>
      </c>
      <c r="J515" s="27">
        <v>121467.05</v>
      </c>
      <c r="K515" s="18">
        <f t="shared" si="15"/>
        <v>0</v>
      </c>
      <c r="L515" s="27">
        <v>99966.16</v>
      </c>
      <c r="M515" s="36">
        <v>4114.01</v>
      </c>
      <c r="T515" s="41">
        <v>0</v>
      </c>
      <c r="U515" s="41">
        <v>0</v>
      </c>
      <c r="V515" s="42" t="s">
        <v>113</v>
      </c>
      <c r="W515" s="42">
        <v>0</v>
      </c>
      <c r="X515" s="42">
        <v>0</v>
      </c>
    </row>
    <row r="516" spans="1:24">
      <c r="A516" s="27" t="s">
        <v>1074</v>
      </c>
      <c r="B516" s="28" t="s">
        <v>215</v>
      </c>
      <c r="C516" s="27" t="s">
        <v>1075</v>
      </c>
      <c r="D516" s="27" t="s">
        <v>230</v>
      </c>
      <c r="E516" s="29">
        <v>40113</v>
      </c>
      <c r="F516" s="27">
        <v>15</v>
      </c>
      <c r="G516" s="18">
        <v>133777.04999999999</v>
      </c>
      <c r="H516" s="27">
        <f t="shared" si="14"/>
        <v>0</v>
      </c>
      <c r="I516" s="18">
        <v>105562.15</v>
      </c>
      <c r="J516" s="27">
        <v>133777.04999999999</v>
      </c>
      <c r="K516" s="18">
        <f t="shared" si="15"/>
        <v>0</v>
      </c>
      <c r="L516" s="27">
        <v>110093.95</v>
      </c>
      <c r="M516" s="36">
        <v>4531.8</v>
      </c>
      <c r="T516" s="41">
        <v>0</v>
      </c>
      <c r="U516" s="41">
        <v>0</v>
      </c>
      <c r="V516" s="42" t="s">
        <v>113</v>
      </c>
      <c r="W516" s="42">
        <v>0</v>
      </c>
      <c r="X516" s="42">
        <v>0</v>
      </c>
    </row>
    <row r="517" spans="1:24">
      <c r="A517" s="27" t="s">
        <v>1076</v>
      </c>
      <c r="B517" s="28" t="s">
        <v>215</v>
      </c>
      <c r="C517" s="27" t="s">
        <v>1077</v>
      </c>
      <c r="D517" s="27" t="s">
        <v>230</v>
      </c>
      <c r="E517" s="29">
        <v>40113</v>
      </c>
      <c r="F517" s="27">
        <v>15</v>
      </c>
      <c r="G517" s="18">
        <v>140844.04999999999</v>
      </c>
      <c r="H517" s="27">
        <f t="shared" si="14"/>
        <v>0</v>
      </c>
      <c r="I517" s="18">
        <v>111552.49</v>
      </c>
      <c r="J517" s="27">
        <v>140844.04999999999</v>
      </c>
      <c r="K517" s="18">
        <f t="shared" si="15"/>
        <v>0</v>
      </c>
      <c r="L517" s="27">
        <v>116236.57</v>
      </c>
      <c r="M517" s="36">
        <v>4684.08</v>
      </c>
      <c r="T517" s="41">
        <v>0</v>
      </c>
      <c r="U517" s="41">
        <v>0</v>
      </c>
      <c r="V517" s="42" t="s">
        <v>113</v>
      </c>
      <c r="W517" s="42">
        <v>0</v>
      </c>
      <c r="X517" s="42">
        <v>0</v>
      </c>
    </row>
    <row r="518" spans="1:24">
      <c r="A518" s="27" t="s">
        <v>1078</v>
      </c>
      <c r="B518" s="28" t="s">
        <v>215</v>
      </c>
      <c r="C518" s="27" t="s">
        <v>1079</v>
      </c>
      <c r="D518" s="27" t="s">
        <v>230</v>
      </c>
      <c r="E518" s="29">
        <v>40113</v>
      </c>
      <c r="F518" s="27">
        <v>15</v>
      </c>
      <c r="G518" s="18">
        <v>131765.91</v>
      </c>
      <c r="H518" s="27">
        <f t="shared" ref="H518:H581" si="16">IFERROR(IF(ROUND((G518-I518)/G518,2)&lt;=0.05,G518,0),0)</f>
        <v>0</v>
      </c>
      <c r="I518" s="18">
        <v>103980.84</v>
      </c>
      <c r="J518" s="27">
        <v>131765.91</v>
      </c>
      <c r="K518" s="18">
        <f t="shared" ref="K518:K581" si="17">IFERROR(IF(ROUND((J518-L518)/J518,2)&lt;=0.05,J518,0),0)</f>
        <v>0</v>
      </c>
      <c r="L518" s="27">
        <v>108443.32</v>
      </c>
      <c r="M518" s="36">
        <v>4462.4799999999996</v>
      </c>
      <c r="T518" s="41">
        <v>0</v>
      </c>
      <c r="U518" s="41">
        <v>0</v>
      </c>
      <c r="V518" s="42" t="s">
        <v>113</v>
      </c>
      <c r="W518" s="42">
        <v>0</v>
      </c>
      <c r="X518" s="42">
        <v>0</v>
      </c>
    </row>
    <row r="519" spans="1:24">
      <c r="A519" s="27" t="s">
        <v>1080</v>
      </c>
      <c r="B519" s="28" t="s">
        <v>215</v>
      </c>
      <c r="C519" s="27" t="s">
        <v>1081</v>
      </c>
      <c r="D519" s="27" t="s">
        <v>230</v>
      </c>
      <c r="E519" s="29">
        <v>40113</v>
      </c>
      <c r="F519" s="27">
        <v>15</v>
      </c>
      <c r="G519" s="18">
        <v>105175.5</v>
      </c>
      <c r="H519" s="27">
        <f t="shared" si="16"/>
        <v>0</v>
      </c>
      <c r="I519" s="18">
        <v>82756.97</v>
      </c>
      <c r="J519" s="27">
        <v>105175.5</v>
      </c>
      <c r="K519" s="18">
        <f t="shared" si="17"/>
        <v>0</v>
      </c>
      <c r="L519" s="27">
        <v>86369.55</v>
      </c>
      <c r="M519" s="36">
        <v>3612.58</v>
      </c>
      <c r="T519" s="41">
        <v>0</v>
      </c>
      <c r="U519" s="41">
        <v>0</v>
      </c>
      <c r="V519" s="42" t="s">
        <v>113</v>
      </c>
      <c r="W519" s="42">
        <v>0</v>
      </c>
      <c r="X519" s="42">
        <v>0</v>
      </c>
    </row>
    <row r="520" spans="1:24">
      <c r="A520" s="27" t="s">
        <v>1082</v>
      </c>
      <c r="B520" s="28" t="s">
        <v>215</v>
      </c>
      <c r="C520" s="27" t="s">
        <v>1083</v>
      </c>
      <c r="D520" s="27" t="s">
        <v>230</v>
      </c>
      <c r="E520" s="29">
        <v>40113</v>
      </c>
      <c r="F520" s="27">
        <v>15</v>
      </c>
      <c r="G520" s="18">
        <v>145084.25</v>
      </c>
      <c r="H520" s="27">
        <f t="shared" si="16"/>
        <v>0</v>
      </c>
      <c r="I520" s="18">
        <v>114481.07</v>
      </c>
      <c r="J520" s="27">
        <v>145084.25</v>
      </c>
      <c r="K520" s="18">
        <f t="shared" si="17"/>
        <v>0</v>
      </c>
      <c r="L520" s="27">
        <v>119396.64</v>
      </c>
      <c r="M520" s="36">
        <v>4915.57</v>
      </c>
      <c r="T520" s="41">
        <v>0</v>
      </c>
      <c r="U520" s="41">
        <v>0</v>
      </c>
      <c r="V520" s="42" t="s">
        <v>113</v>
      </c>
      <c r="W520" s="42">
        <v>0</v>
      </c>
      <c r="X520" s="42">
        <v>0</v>
      </c>
    </row>
    <row r="521" spans="1:24">
      <c r="A521" s="27" t="s">
        <v>1084</v>
      </c>
      <c r="B521" s="28" t="s">
        <v>215</v>
      </c>
      <c r="C521" s="27" t="s">
        <v>1085</v>
      </c>
      <c r="D521" s="27" t="s">
        <v>230</v>
      </c>
      <c r="E521" s="29">
        <v>40113</v>
      </c>
      <c r="F521" s="27">
        <v>15</v>
      </c>
      <c r="G521" s="18">
        <v>145084.25</v>
      </c>
      <c r="H521" s="27">
        <f t="shared" si="16"/>
        <v>0</v>
      </c>
      <c r="I521" s="18">
        <v>114481.07</v>
      </c>
      <c r="J521" s="27">
        <v>145084.25</v>
      </c>
      <c r="K521" s="18">
        <f t="shared" si="17"/>
        <v>0</v>
      </c>
      <c r="L521" s="27">
        <v>119396.64</v>
      </c>
      <c r="M521" s="36">
        <v>4915.57</v>
      </c>
      <c r="T521" s="41">
        <v>0</v>
      </c>
      <c r="U521" s="41">
        <v>0</v>
      </c>
      <c r="V521" s="42" t="s">
        <v>113</v>
      </c>
      <c r="W521" s="42">
        <v>0</v>
      </c>
      <c r="X521" s="42">
        <v>0</v>
      </c>
    </row>
    <row r="522" spans="1:24">
      <c r="A522" s="27" t="s">
        <v>1086</v>
      </c>
      <c r="B522" s="28" t="s">
        <v>215</v>
      </c>
      <c r="C522" s="27" t="s">
        <v>1087</v>
      </c>
      <c r="D522" s="27" t="s">
        <v>230</v>
      </c>
      <c r="E522" s="29">
        <v>40113</v>
      </c>
      <c r="F522" s="27">
        <v>15</v>
      </c>
      <c r="G522" s="18">
        <v>145084.25</v>
      </c>
      <c r="H522" s="27">
        <f t="shared" si="16"/>
        <v>0</v>
      </c>
      <c r="I522" s="18">
        <v>114481.07</v>
      </c>
      <c r="J522" s="27">
        <v>145084.25</v>
      </c>
      <c r="K522" s="18">
        <f t="shared" si="17"/>
        <v>0</v>
      </c>
      <c r="L522" s="27">
        <v>119396.64</v>
      </c>
      <c r="M522" s="36">
        <v>4915.57</v>
      </c>
      <c r="T522" s="41">
        <v>0</v>
      </c>
      <c r="U522" s="41">
        <v>0</v>
      </c>
      <c r="V522" s="42" t="s">
        <v>113</v>
      </c>
      <c r="W522" s="42">
        <v>0</v>
      </c>
      <c r="X522" s="42">
        <v>0</v>
      </c>
    </row>
    <row r="523" spans="1:24">
      <c r="A523" s="27" t="s">
        <v>1088</v>
      </c>
      <c r="B523" s="28" t="s">
        <v>215</v>
      </c>
      <c r="C523" s="27" t="s">
        <v>1089</v>
      </c>
      <c r="D523" s="27" t="s">
        <v>230</v>
      </c>
      <c r="E523" s="29">
        <v>40113</v>
      </c>
      <c r="F523" s="27">
        <v>15</v>
      </c>
      <c r="G523" s="18">
        <v>105506.11</v>
      </c>
      <c r="H523" s="27">
        <f t="shared" si="16"/>
        <v>0</v>
      </c>
      <c r="I523" s="18">
        <v>83217.320000000007</v>
      </c>
      <c r="J523" s="27">
        <v>105506.11</v>
      </c>
      <c r="K523" s="18">
        <f t="shared" si="17"/>
        <v>0</v>
      </c>
      <c r="L523" s="27">
        <v>86799.11</v>
      </c>
      <c r="M523" s="36">
        <v>3581.79</v>
      </c>
      <c r="T523" s="41">
        <v>0</v>
      </c>
      <c r="U523" s="41">
        <v>0</v>
      </c>
      <c r="V523" s="42" t="s">
        <v>113</v>
      </c>
      <c r="W523" s="42">
        <v>0</v>
      </c>
      <c r="X523" s="42">
        <v>0</v>
      </c>
    </row>
    <row r="524" spans="1:24">
      <c r="A524" s="27" t="s">
        <v>1090</v>
      </c>
      <c r="B524" s="28" t="s">
        <v>215</v>
      </c>
      <c r="C524" s="27" t="s">
        <v>1091</v>
      </c>
      <c r="D524" s="27" t="s">
        <v>230</v>
      </c>
      <c r="E524" s="29">
        <v>40113</v>
      </c>
      <c r="F524" s="27">
        <v>15</v>
      </c>
      <c r="G524" s="18">
        <v>133777.04999999999</v>
      </c>
      <c r="H524" s="27">
        <f t="shared" si="16"/>
        <v>0</v>
      </c>
      <c r="I524" s="18">
        <v>105562.16</v>
      </c>
      <c r="J524" s="27">
        <v>133777.04999999999</v>
      </c>
      <c r="K524" s="18">
        <f t="shared" si="17"/>
        <v>0</v>
      </c>
      <c r="L524" s="27">
        <v>110093.96</v>
      </c>
      <c r="M524" s="36">
        <v>4531.8</v>
      </c>
      <c r="T524" s="41">
        <v>0</v>
      </c>
      <c r="U524" s="41">
        <v>0</v>
      </c>
      <c r="V524" s="42" t="s">
        <v>113</v>
      </c>
      <c r="W524" s="42">
        <v>0</v>
      </c>
      <c r="X524" s="42">
        <v>0</v>
      </c>
    </row>
    <row r="525" spans="1:24">
      <c r="A525" s="27" t="s">
        <v>1092</v>
      </c>
      <c r="B525" s="28" t="s">
        <v>215</v>
      </c>
      <c r="C525" s="27" t="s">
        <v>1093</v>
      </c>
      <c r="D525" s="27" t="s">
        <v>230</v>
      </c>
      <c r="E525" s="29">
        <v>40113</v>
      </c>
      <c r="F525" s="27">
        <v>15</v>
      </c>
      <c r="G525" s="18">
        <v>133777.04999999999</v>
      </c>
      <c r="H525" s="27">
        <f t="shared" si="16"/>
        <v>0</v>
      </c>
      <c r="I525" s="18">
        <v>105562.16</v>
      </c>
      <c r="J525" s="27">
        <v>133777.04999999999</v>
      </c>
      <c r="K525" s="18">
        <f t="shared" si="17"/>
        <v>0</v>
      </c>
      <c r="L525" s="27">
        <v>110093.96</v>
      </c>
      <c r="M525" s="36">
        <v>4531.8</v>
      </c>
      <c r="T525" s="41">
        <v>0</v>
      </c>
      <c r="U525" s="41">
        <v>0</v>
      </c>
      <c r="V525" s="42" t="s">
        <v>113</v>
      </c>
      <c r="W525" s="42">
        <v>0</v>
      </c>
      <c r="X525" s="42">
        <v>0</v>
      </c>
    </row>
    <row r="526" spans="1:24">
      <c r="A526" s="27" t="s">
        <v>1094</v>
      </c>
      <c r="B526" s="28" t="s">
        <v>215</v>
      </c>
      <c r="C526" s="27" t="s">
        <v>1095</v>
      </c>
      <c r="D526" s="27" t="s">
        <v>230</v>
      </c>
      <c r="E526" s="29">
        <v>40113</v>
      </c>
      <c r="F526" s="27">
        <v>15</v>
      </c>
      <c r="G526" s="18">
        <v>133777.04999999999</v>
      </c>
      <c r="H526" s="27">
        <f t="shared" si="16"/>
        <v>0</v>
      </c>
      <c r="I526" s="18">
        <v>105591.94</v>
      </c>
      <c r="J526" s="27">
        <v>133777.04999999999</v>
      </c>
      <c r="K526" s="18">
        <f t="shared" si="17"/>
        <v>0</v>
      </c>
      <c r="L526" s="27">
        <v>110117.47</v>
      </c>
      <c r="M526" s="36">
        <v>4525.53</v>
      </c>
      <c r="T526" s="41">
        <v>0</v>
      </c>
      <c r="U526" s="41">
        <v>0</v>
      </c>
      <c r="V526" s="42" t="s">
        <v>113</v>
      </c>
      <c r="W526" s="42">
        <v>0</v>
      </c>
      <c r="X526" s="42">
        <v>0</v>
      </c>
    </row>
    <row r="527" spans="1:24">
      <c r="A527" s="27" t="s">
        <v>1096</v>
      </c>
      <c r="B527" s="28" t="s">
        <v>215</v>
      </c>
      <c r="C527" s="27" t="s">
        <v>1097</v>
      </c>
      <c r="D527" s="27" t="s">
        <v>230</v>
      </c>
      <c r="E527" s="29">
        <v>40113</v>
      </c>
      <c r="F527" s="27">
        <v>15</v>
      </c>
      <c r="G527" s="18">
        <v>182954.97</v>
      </c>
      <c r="H527" s="27">
        <f t="shared" si="16"/>
        <v>0</v>
      </c>
      <c r="I527" s="18">
        <v>144616.25</v>
      </c>
      <c r="J527" s="27">
        <v>182954.97</v>
      </c>
      <c r="K527" s="18">
        <f t="shared" si="17"/>
        <v>0</v>
      </c>
      <c r="L527" s="27">
        <v>150761.72</v>
      </c>
      <c r="M527" s="36">
        <v>6145.47</v>
      </c>
      <c r="T527" s="41">
        <v>0</v>
      </c>
      <c r="U527" s="41">
        <v>0</v>
      </c>
      <c r="V527" s="42" t="s">
        <v>113</v>
      </c>
      <c r="W527" s="42">
        <v>0</v>
      </c>
      <c r="X527" s="42">
        <v>0</v>
      </c>
    </row>
    <row r="528" spans="1:24">
      <c r="A528" s="27" t="s">
        <v>1098</v>
      </c>
      <c r="B528" s="28" t="s">
        <v>215</v>
      </c>
      <c r="C528" s="27" t="s">
        <v>1099</v>
      </c>
      <c r="D528" s="27" t="s">
        <v>230</v>
      </c>
      <c r="E528" s="29">
        <v>40083</v>
      </c>
      <c r="F528" s="27">
        <v>15</v>
      </c>
      <c r="G528" s="18">
        <v>66931.58</v>
      </c>
      <c r="H528" s="27">
        <f t="shared" si="16"/>
        <v>0</v>
      </c>
      <c r="I528" s="18">
        <v>53274.59</v>
      </c>
      <c r="J528" s="27">
        <v>66931.58</v>
      </c>
      <c r="K528" s="18">
        <f t="shared" si="17"/>
        <v>0</v>
      </c>
      <c r="L528" s="27">
        <v>55445.2</v>
      </c>
      <c r="M528" s="36">
        <v>2170.61</v>
      </c>
      <c r="T528" s="41">
        <v>0</v>
      </c>
      <c r="U528" s="41">
        <v>0</v>
      </c>
      <c r="V528" s="42" t="s">
        <v>113</v>
      </c>
      <c r="W528" s="42">
        <v>0</v>
      </c>
      <c r="X528" s="42">
        <v>0</v>
      </c>
    </row>
    <row r="529" spans="1:24">
      <c r="A529" s="27" t="s">
        <v>1100</v>
      </c>
      <c r="B529" s="28" t="s">
        <v>215</v>
      </c>
      <c r="C529" s="27" t="s">
        <v>1101</v>
      </c>
      <c r="D529" s="27" t="s">
        <v>112</v>
      </c>
      <c r="E529" s="29">
        <v>40268</v>
      </c>
      <c r="F529" s="27">
        <v>15</v>
      </c>
      <c r="G529" s="18">
        <v>9058.67</v>
      </c>
      <c r="H529" s="27">
        <f t="shared" si="16"/>
        <v>9058.67</v>
      </c>
      <c r="I529" s="18">
        <v>9058.67</v>
      </c>
      <c r="J529" s="27">
        <v>9058.67</v>
      </c>
      <c r="K529" s="18">
        <f t="shared" si="17"/>
        <v>9058.67</v>
      </c>
      <c r="L529" s="27">
        <v>8605.74</v>
      </c>
      <c r="M529" s="36">
        <v>-452.93</v>
      </c>
      <c r="T529" s="41">
        <v>0</v>
      </c>
      <c r="U529" s="41">
        <v>0</v>
      </c>
      <c r="V529" s="42" t="s">
        <v>113</v>
      </c>
      <c r="W529" s="42">
        <v>9058.67</v>
      </c>
      <c r="X529" s="42">
        <v>9058.67</v>
      </c>
    </row>
    <row r="530" spans="1:24">
      <c r="A530" s="27" t="s">
        <v>1102</v>
      </c>
      <c r="B530" s="28" t="s">
        <v>215</v>
      </c>
      <c r="C530" s="27" t="s">
        <v>1103</v>
      </c>
      <c r="D530" s="27" t="s">
        <v>112</v>
      </c>
      <c r="E530" s="29">
        <v>40268</v>
      </c>
      <c r="F530" s="27">
        <v>12</v>
      </c>
      <c r="G530" s="18">
        <v>1916.08</v>
      </c>
      <c r="H530" s="27">
        <f t="shared" si="16"/>
        <v>1916.08</v>
      </c>
      <c r="I530" s="18">
        <v>1916.08</v>
      </c>
      <c r="J530" s="27">
        <v>1916.08</v>
      </c>
      <c r="K530" s="18">
        <f t="shared" si="17"/>
        <v>1916.08</v>
      </c>
      <c r="L530" s="27">
        <v>1916.08</v>
      </c>
      <c r="M530" s="36">
        <v>0</v>
      </c>
      <c r="T530" s="41">
        <v>0</v>
      </c>
      <c r="U530" s="41">
        <v>0</v>
      </c>
      <c r="V530" s="42" t="s">
        <v>113</v>
      </c>
      <c r="W530" s="42">
        <v>1916.08</v>
      </c>
      <c r="X530" s="42">
        <v>1916.08</v>
      </c>
    </row>
    <row r="531" spans="1:24">
      <c r="A531" s="27" t="s">
        <v>1104</v>
      </c>
      <c r="B531" s="28" t="s">
        <v>215</v>
      </c>
      <c r="C531" s="27" t="s">
        <v>1105</v>
      </c>
      <c r="D531" s="27" t="s">
        <v>112</v>
      </c>
      <c r="E531" s="29">
        <v>40268</v>
      </c>
      <c r="F531" s="27">
        <v>12</v>
      </c>
      <c r="G531" s="18">
        <v>1916.08</v>
      </c>
      <c r="H531" s="27">
        <f t="shared" si="16"/>
        <v>1916.08</v>
      </c>
      <c r="I531" s="18">
        <v>1916.08</v>
      </c>
      <c r="J531" s="27">
        <v>1916.08</v>
      </c>
      <c r="K531" s="18">
        <f t="shared" si="17"/>
        <v>1916.08</v>
      </c>
      <c r="L531" s="27">
        <v>1916.08</v>
      </c>
      <c r="M531" s="36">
        <v>0</v>
      </c>
      <c r="T531" s="41">
        <v>0</v>
      </c>
      <c r="U531" s="41">
        <v>0</v>
      </c>
      <c r="V531" s="42" t="s">
        <v>113</v>
      </c>
      <c r="W531" s="42">
        <v>1916.08</v>
      </c>
      <c r="X531" s="42">
        <v>1916.08</v>
      </c>
    </row>
    <row r="532" spans="1:24">
      <c r="A532" s="27" t="s">
        <v>1106</v>
      </c>
      <c r="B532" s="28" t="s">
        <v>215</v>
      </c>
      <c r="C532" s="27" t="s">
        <v>1107</v>
      </c>
      <c r="D532" s="27" t="s">
        <v>112</v>
      </c>
      <c r="E532" s="29">
        <v>40268</v>
      </c>
      <c r="F532" s="27">
        <v>15</v>
      </c>
      <c r="G532" s="18">
        <v>49100.61</v>
      </c>
      <c r="H532" s="27">
        <f t="shared" si="16"/>
        <v>0</v>
      </c>
      <c r="I532" s="18">
        <v>43141.2</v>
      </c>
      <c r="J532" s="27">
        <v>49100.61</v>
      </c>
      <c r="K532" s="18">
        <f t="shared" si="17"/>
        <v>0</v>
      </c>
      <c r="L532" s="27">
        <v>43701.9</v>
      </c>
      <c r="M532" s="36">
        <v>560.70000000000005</v>
      </c>
      <c r="T532" s="41">
        <v>0</v>
      </c>
      <c r="U532" s="41">
        <v>0</v>
      </c>
      <c r="V532" s="42" t="s">
        <v>113</v>
      </c>
      <c r="W532" s="42">
        <v>0</v>
      </c>
      <c r="X532" s="42">
        <v>0</v>
      </c>
    </row>
    <row r="533" spans="1:24">
      <c r="A533" s="27" t="s">
        <v>1108</v>
      </c>
      <c r="B533" s="28" t="s">
        <v>215</v>
      </c>
      <c r="C533" s="27" t="s">
        <v>1109</v>
      </c>
      <c r="D533" s="27" t="s">
        <v>112</v>
      </c>
      <c r="E533" s="29">
        <v>40268</v>
      </c>
      <c r="F533" s="27">
        <v>15</v>
      </c>
      <c r="G533" s="18">
        <v>9058.67</v>
      </c>
      <c r="H533" s="27">
        <f t="shared" si="16"/>
        <v>9058.67</v>
      </c>
      <c r="I533" s="18">
        <v>9058.67</v>
      </c>
      <c r="J533" s="27">
        <v>9058.67</v>
      </c>
      <c r="K533" s="18">
        <f t="shared" si="17"/>
        <v>9058.67</v>
      </c>
      <c r="L533" s="27">
        <v>8605.74</v>
      </c>
      <c r="M533" s="36">
        <v>-452.93</v>
      </c>
      <c r="T533" s="41">
        <v>0</v>
      </c>
      <c r="U533" s="41">
        <v>0</v>
      </c>
      <c r="V533" s="42" t="s">
        <v>113</v>
      </c>
      <c r="W533" s="42">
        <v>9058.67</v>
      </c>
      <c r="X533" s="42">
        <v>9058.67</v>
      </c>
    </row>
    <row r="534" spans="1:24">
      <c r="A534" s="27" t="s">
        <v>1110</v>
      </c>
      <c r="B534" s="28" t="s">
        <v>215</v>
      </c>
      <c r="C534" s="27" t="s">
        <v>1111</v>
      </c>
      <c r="D534" s="27" t="s">
        <v>112</v>
      </c>
      <c r="E534" s="29">
        <v>40268</v>
      </c>
      <c r="F534" s="27">
        <v>15</v>
      </c>
      <c r="G534" s="18">
        <v>9058.67</v>
      </c>
      <c r="H534" s="27">
        <f t="shared" si="16"/>
        <v>9058.67</v>
      </c>
      <c r="I534" s="18">
        <v>9058.67</v>
      </c>
      <c r="J534" s="27">
        <v>9058.67</v>
      </c>
      <c r="K534" s="18">
        <f t="shared" si="17"/>
        <v>9058.67</v>
      </c>
      <c r="L534" s="27">
        <v>8605.74</v>
      </c>
      <c r="M534" s="36">
        <v>-452.93</v>
      </c>
      <c r="T534" s="41">
        <v>0</v>
      </c>
      <c r="U534" s="41">
        <v>0</v>
      </c>
      <c r="V534" s="42" t="s">
        <v>113</v>
      </c>
      <c r="W534" s="42">
        <v>9058.67</v>
      </c>
      <c r="X534" s="42">
        <v>9058.67</v>
      </c>
    </row>
    <row r="535" spans="1:24">
      <c r="A535" s="27" t="s">
        <v>1112</v>
      </c>
      <c r="B535" s="28" t="s">
        <v>215</v>
      </c>
      <c r="C535" s="27" t="s">
        <v>1113</v>
      </c>
      <c r="D535" s="27" t="s">
        <v>112</v>
      </c>
      <c r="E535" s="29">
        <v>40268</v>
      </c>
      <c r="F535" s="27">
        <v>15</v>
      </c>
      <c r="G535" s="18">
        <v>9058.67</v>
      </c>
      <c r="H535" s="27">
        <f t="shared" si="16"/>
        <v>9058.67</v>
      </c>
      <c r="I535" s="18">
        <v>9058.67</v>
      </c>
      <c r="J535" s="27">
        <v>9058.67</v>
      </c>
      <c r="K535" s="18">
        <f t="shared" si="17"/>
        <v>9058.67</v>
      </c>
      <c r="L535" s="27">
        <v>8605.74</v>
      </c>
      <c r="M535" s="36">
        <v>-452.93</v>
      </c>
      <c r="T535" s="41">
        <v>0</v>
      </c>
      <c r="U535" s="41">
        <v>0</v>
      </c>
      <c r="V535" s="42" t="s">
        <v>113</v>
      </c>
      <c r="W535" s="42">
        <v>9058.67</v>
      </c>
      <c r="X535" s="42">
        <v>9058.67</v>
      </c>
    </row>
    <row r="536" spans="1:24">
      <c r="A536" s="27" t="s">
        <v>1114</v>
      </c>
      <c r="B536" s="28" t="s">
        <v>215</v>
      </c>
      <c r="C536" s="27" t="s">
        <v>1115</v>
      </c>
      <c r="D536" s="27" t="s">
        <v>112</v>
      </c>
      <c r="E536" s="29">
        <v>40268</v>
      </c>
      <c r="F536" s="27">
        <v>12</v>
      </c>
      <c r="G536" s="18">
        <v>1916.08</v>
      </c>
      <c r="H536" s="27">
        <f t="shared" si="16"/>
        <v>1916.08</v>
      </c>
      <c r="I536" s="18">
        <v>1916.08</v>
      </c>
      <c r="J536" s="27">
        <v>1916.08</v>
      </c>
      <c r="K536" s="18">
        <f t="shared" si="17"/>
        <v>1916.08</v>
      </c>
      <c r="L536" s="27">
        <v>1916.08</v>
      </c>
      <c r="M536" s="36">
        <v>0</v>
      </c>
      <c r="T536" s="41">
        <v>0</v>
      </c>
      <c r="U536" s="41">
        <v>0</v>
      </c>
      <c r="V536" s="42" t="s">
        <v>113</v>
      </c>
      <c r="W536" s="42">
        <v>1916.08</v>
      </c>
      <c r="X536" s="42">
        <v>1916.08</v>
      </c>
    </row>
    <row r="537" spans="1:24">
      <c r="A537" s="27" t="s">
        <v>1116</v>
      </c>
      <c r="B537" s="28" t="s">
        <v>215</v>
      </c>
      <c r="C537" s="27" t="s">
        <v>1117</v>
      </c>
      <c r="D537" s="27" t="s">
        <v>112</v>
      </c>
      <c r="E537" s="29">
        <v>40268</v>
      </c>
      <c r="F537" s="27">
        <v>12</v>
      </c>
      <c r="G537" s="18">
        <v>1916.08</v>
      </c>
      <c r="H537" s="27">
        <f t="shared" si="16"/>
        <v>1916.08</v>
      </c>
      <c r="I537" s="18">
        <v>1916.08</v>
      </c>
      <c r="J537" s="27">
        <v>1916.08</v>
      </c>
      <c r="K537" s="18">
        <f t="shared" si="17"/>
        <v>1916.08</v>
      </c>
      <c r="L537" s="27">
        <v>1916.08</v>
      </c>
      <c r="M537" s="36">
        <v>0</v>
      </c>
      <c r="T537" s="41">
        <v>0</v>
      </c>
      <c r="U537" s="41">
        <v>0</v>
      </c>
      <c r="V537" s="42" t="s">
        <v>113</v>
      </c>
      <c r="W537" s="42">
        <v>1916.08</v>
      </c>
      <c r="X537" s="42">
        <v>1916.08</v>
      </c>
    </row>
    <row r="538" spans="1:24">
      <c r="A538" s="27" t="s">
        <v>1118</v>
      </c>
      <c r="B538" s="28" t="s">
        <v>215</v>
      </c>
      <c r="C538" s="27" t="s">
        <v>1119</v>
      </c>
      <c r="D538" s="27" t="s">
        <v>112</v>
      </c>
      <c r="E538" s="29">
        <v>40268</v>
      </c>
      <c r="F538" s="27">
        <v>12</v>
      </c>
      <c r="G538" s="18">
        <v>1916.08</v>
      </c>
      <c r="H538" s="27">
        <f t="shared" si="16"/>
        <v>1916.08</v>
      </c>
      <c r="I538" s="18">
        <v>1916.08</v>
      </c>
      <c r="J538" s="27">
        <v>1916.08</v>
      </c>
      <c r="K538" s="18">
        <f t="shared" si="17"/>
        <v>1916.08</v>
      </c>
      <c r="L538" s="27">
        <v>1916.08</v>
      </c>
      <c r="M538" s="36">
        <v>0</v>
      </c>
      <c r="T538" s="41">
        <v>0</v>
      </c>
      <c r="U538" s="41">
        <v>0</v>
      </c>
      <c r="V538" s="42" t="s">
        <v>113</v>
      </c>
      <c r="W538" s="42">
        <v>1916.08</v>
      </c>
      <c r="X538" s="42">
        <v>1916.08</v>
      </c>
    </row>
    <row r="539" spans="1:24">
      <c r="A539" s="27" t="s">
        <v>1120</v>
      </c>
      <c r="B539" s="28" t="s">
        <v>215</v>
      </c>
      <c r="C539" s="27" t="s">
        <v>1121</v>
      </c>
      <c r="D539" s="27" t="s">
        <v>112</v>
      </c>
      <c r="E539" s="29">
        <v>40268</v>
      </c>
      <c r="F539" s="27">
        <v>15</v>
      </c>
      <c r="G539" s="18">
        <v>34192.69</v>
      </c>
      <c r="H539" s="27">
        <f t="shared" si="16"/>
        <v>0</v>
      </c>
      <c r="I539" s="18">
        <v>30708.18</v>
      </c>
      <c r="J539" s="27">
        <v>34192.69</v>
      </c>
      <c r="K539" s="18">
        <f t="shared" si="17"/>
        <v>0</v>
      </c>
      <c r="L539" s="27">
        <v>30992.16</v>
      </c>
      <c r="M539" s="36">
        <v>283.98</v>
      </c>
      <c r="T539" s="41">
        <v>0</v>
      </c>
      <c r="U539" s="41">
        <v>0</v>
      </c>
      <c r="V539" s="42" t="s">
        <v>113</v>
      </c>
      <c r="W539" s="42">
        <v>0</v>
      </c>
      <c r="X539" s="42">
        <v>0</v>
      </c>
    </row>
    <row r="540" spans="1:24">
      <c r="A540" s="27" t="s">
        <v>1122</v>
      </c>
      <c r="B540" s="28" t="s">
        <v>215</v>
      </c>
      <c r="C540" s="27" t="s">
        <v>1123</v>
      </c>
      <c r="D540" s="27" t="s">
        <v>112</v>
      </c>
      <c r="E540" s="29">
        <v>40268</v>
      </c>
      <c r="F540" s="27">
        <v>15</v>
      </c>
      <c r="G540" s="18">
        <v>49100.61</v>
      </c>
      <c r="H540" s="27">
        <f t="shared" si="16"/>
        <v>0</v>
      </c>
      <c r="I540" s="18">
        <v>43141.2</v>
      </c>
      <c r="J540" s="27">
        <v>49100.61</v>
      </c>
      <c r="K540" s="18">
        <f t="shared" si="17"/>
        <v>0</v>
      </c>
      <c r="L540" s="27">
        <v>43701.9</v>
      </c>
      <c r="M540" s="36">
        <v>560.70000000000005</v>
      </c>
      <c r="T540" s="41">
        <v>0</v>
      </c>
      <c r="U540" s="41">
        <v>0</v>
      </c>
      <c r="V540" s="42" t="s">
        <v>113</v>
      </c>
      <c r="W540" s="42">
        <v>0</v>
      </c>
      <c r="X540" s="42">
        <v>0</v>
      </c>
    </row>
    <row r="541" spans="1:24">
      <c r="A541" s="27" t="s">
        <v>1124</v>
      </c>
      <c r="B541" s="28" t="s">
        <v>215</v>
      </c>
      <c r="C541" s="27" t="s">
        <v>1125</v>
      </c>
      <c r="D541" s="27" t="s">
        <v>112</v>
      </c>
      <c r="E541" s="29">
        <v>40268</v>
      </c>
      <c r="F541" s="27">
        <v>15</v>
      </c>
      <c r="G541" s="18">
        <v>9058.67</v>
      </c>
      <c r="H541" s="27">
        <f t="shared" si="16"/>
        <v>9058.67</v>
      </c>
      <c r="I541" s="18">
        <v>9058.67</v>
      </c>
      <c r="J541" s="27">
        <v>9058.67</v>
      </c>
      <c r="K541" s="18">
        <f t="shared" si="17"/>
        <v>9058.67</v>
      </c>
      <c r="L541" s="27">
        <v>8605.74</v>
      </c>
      <c r="M541" s="36">
        <v>-452.93</v>
      </c>
      <c r="T541" s="41">
        <v>0</v>
      </c>
      <c r="U541" s="41">
        <v>0</v>
      </c>
      <c r="V541" s="42" t="s">
        <v>113</v>
      </c>
      <c r="W541" s="42">
        <v>9058.67</v>
      </c>
      <c r="X541" s="42">
        <v>9058.67</v>
      </c>
    </row>
    <row r="542" spans="1:24">
      <c r="A542" s="27" t="s">
        <v>1126</v>
      </c>
      <c r="B542" s="28" t="s">
        <v>215</v>
      </c>
      <c r="C542" s="27" t="s">
        <v>1127</v>
      </c>
      <c r="D542" s="27" t="s">
        <v>112</v>
      </c>
      <c r="E542" s="29">
        <v>40268</v>
      </c>
      <c r="F542" s="27">
        <v>15</v>
      </c>
      <c r="G542" s="18">
        <v>9058.67</v>
      </c>
      <c r="H542" s="27">
        <f t="shared" si="16"/>
        <v>9058.67</v>
      </c>
      <c r="I542" s="18">
        <v>9058.67</v>
      </c>
      <c r="J542" s="27">
        <v>9058.67</v>
      </c>
      <c r="K542" s="18">
        <f t="shared" si="17"/>
        <v>9058.67</v>
      </c>
      <c r="L542" s="27">
        <v>8605.74</v>
      </c>
      <c r="M542" s="36">
        <v>-452.93</v>
      </c>
      <c r="T542" s="41">
        <v>0</v>
      </c>
      <c r="U542" s="41">
        <v>0</v>
      </c>
      <c r="V542" s="42" t="s">
        <v>113</v>
      </c>
      <c r="W542" s="42">
        <v>9058.67</v>
      </c>
      <c r="X542" s="42">
        <v>9058.67</v>
      </c>
    </row>
    <row r="543" spans="1:24">
      <c r="A543" s="27" t="s">
        <v>1128</v>
      </c>
      <c r="B543" s="28" t="s">
        <v>215</v>
      </c>
      <c r="C543" s="27" t="s">
        <v>1129</v>
      </c>
      <c r="D543" s="27" t="s">
        <v>112</v>
      </c>
      <c r="E543" s="29">
        <v>40268</v>
      </c>
      <c r="F543" s="27">
        <v>15</v>
      </c>
      <c r="G543" s="18">
        <v>9058.67</v>
      </c>
      <c r="H543" s="27">
        <f t="shared" si="16"/>
        <v>9058.67</v>
      </c>
      <c r="I543" s="18">
        <v>9058.67</v>
      </c>
      <c r="J543" s="27">
        <v>9058.67</v>
      </c>
      <c r="K543" s="18">
        <f t="shared" si="17"/>
        <v>9058.67</v>
      </c>
      <c r="L543" s="27">
        <v>8605.74</v>
      </c>
      <c r="M543" s="36">
        <v>-452.93</v>
      </c>
      <c r="T543" s="41">
        <v>0</v>
      </c>
      <c r="U543" s="41">
        <v>0</v>
      </c>
      <c r="V543" s="42" t="s">
        <v>113</v>
      </c>
      <c r="W543" s="42">
        <v>9058.67</v>
      </c>
      <c r="X543" s="42">
        <v>9058.67</v>
      </c>
    </row>
    <row r="544" spans="1:24">
      <c r="A544" s="27" t="s">
        <v>1130</v>
      </c>
      <c r="B544" s="28" t="s">
        <v>215</v>
      </c>
      <c r="C544" s="27" t="s">
        <v>1131</v>
      </c>
      <c r="D544" s="27" t="s">
        <v>112</v>
      </c>
      <c r="E544" s="29">
        <v>40268</v>
      </c>
      <c r="F544" s="27">
        <v>12</v>
      </c>
      <c r="G544" s="18">
        <v>1916.08</v>
      </c>
      <c r="H544" s="27">
        <f t="shared" si="16"/>
        <v>1916.08</v>
      </c>
      <c r="I544" s="18">
        <v>1916.08</v>
      </c>
      <c r="J544" s="27">
        <v>1916.08</v>
      </c>
      <c r="K544" s="18">
        <f t="shared" si="17"/>
        <v>1916.08</v>
      </c>
      <c r="L544" s="27">
        <v>1916.08</v>
      </c>
      <c r="M544" s="36">
        <v>0</v>
      </c>
      <c r="T544" s="41">
        <v>0</v>
      </c>
      <c r="U544" s="41">
        <v>0</v>
      </c>
      <c r="V544" s="42" t="s">
        <v>113</v>
      </c>
      <c r="W544" s="42">
        <v>1916.08</v>
      </c>
      <c r="X544" s="42">
        <v>1916.08</v>
      </c>
    </row>
    <row r="545" spans="1:24">
      <c r="A545" s="27" t="s">
        <v>1132</v>
      </c>
      <c r="B545" s="28" t="s">
        <v>215</v>
      </c>
      <c r="C545" s="27" t="s">
        <v>1133</v>
      </c>
      <c r="D545" s="27" t="s">
        <v>112</v>
      </c>
      <c r="E545" s="29">
        <v>40268</v>
      </c>
      <c r="F545" s="27">
        <v>12</v>
      </c>
      <c r="G545" s="18">
        <v>1916.08</v>
      </c>
      <c r="H545" s="27">
        <f t="shared" si="16"/>
        <v>1916.08</v>
      </c>
      <c r="I545" s="18">
        <v>1916.08</v>
      </c>
      <c r="J545" s="27">
        <v>1916.08</v>
      </c>
      <c r="K545" s="18">
        <f t="shared" si="17"/>
        <v>1916.08</v>
      </c>
      <c r="L545" s="27">
        <v>1916.08</v>
      </c>
      <c r="M545" s="36">
        <v>0</v>
      </c>
      <c r="T545" s="41">
        <v>0</v>
      </c>
      <c r="U545" s="41">
        <v>0</v>
      </c>
      <c r="V545" s="42" t="s">
        <v>113</v>
      </c>
      <c r="W545" s="42">
        <v>1916.08</v>
      </c>
      <c r="X545" s="42">
        <v>1916.08</v>
      </c>
    </row>
    <row r="546" spans="1:24">
      <c r="A546" s="27" t="s">
        <v>1134</v>
      </c>
      <c r="B546" s="28" t="s">
        <v>215</v>
      </c>
      <c r="C546" s="27" t="s">
        <v>1135</v>
      </c>
      <c r="D546" s="27" t="s">
        <v>112</v>
      </c>
      <c r="E546" s="29">
        <v>40268</v>
      </c>
      <c r="F546" s="27">
        <v>12</v>
      </c>
      <c r="G546" s="18">
        <v>1916.08</v>
      </c>
      <c r="H546" s="27">
        <f t="shared" si="16"/>
        <v>1916.08</v>
      </c>
      <c r="I546" s="18">
        <v>1916.08</v>
      </c>
      <c r="J546" s="27">
        <v>1916.08</v>
      </c>
      <c r="K546" s="18">
        <f t="shared" si="17"/>
        <v>1916.08</v>
      </c>
      <c r="L546" s="27">
        <v>1916.08</v>
      </c>
      <c r="M546" s="36">
        <v>0</v>
      </c>
      <c r="T546" s="41">
        <v>0</v>
      </c>
      <c r="U546" s="41">
        <v>0</v>
      </c>
      <c r="V546" s="42" t="s">
        <v>113</v>
      </c>
      <c r="W546" s="42">
        <v>1916.08</v>
      </c>
      <c r="X546" s="42">
        <v>1916.08</v>
      </c>
    </row>
    <row r="547" spans="1:24">
      <c r="A547" s="27" t="s">
        <v>1136</v>
      </c>
      <c r="B547" s="28" t="s">
        <v>215</v>
      </c>
      <c r="C547" s="27" t="s">
        <v>1137</v>
      </c>
      <c r="D547" s="27" t="s">
        <v>112</v>
      </c>
      <c r="E547" s="29">
        <v>40268</v>
      </c>
      <c r="F547" s="27">
        <v>15</v>
      </c>
      <c r="G547" s="18">
        <v>19572.16</v>
      </c>
      <c r="H547" s="27">
        <f t="shared" si="16"/>
        <v>19572.16</v>
      </c>
      <c r="I547" s="18">
        <v>19572.16</v>
      </c>
      <c r="J547" s="27">
        <v>19572.16</v>
      </c>
      <c r="K547" s="18">
        <f t="shared" si="17"/>
        <v>19572.16</v>
      </c>
      <c r="L547" s="27">
        <v>18593.55</v>
      </c>
      <c r="M547" s="36">
        <v>-978.61</v>
      </c>
      <c r="T547" s="41">
        <v>0</v>
      </c>
      <c r="U547" s="41">
        <v>0</v>
      </c>
      <c r="V547" s="42" t="s">
        <v>113</v>
      </c>
      <c r="W547" s="42">
        <v>19572.16</v>
      </c>
      <c r="X547" s="42">
        <v>19572.16</v>
      </c>
    </row>
    <row r="548" spans="1:24">
      <c r="A548" s="27" t="s">
        <v>1138</v>
      </c>
      <c r="B548" s="28" t="s">
        <v>215</v>
      </c>
      <c r="C548" s="27" t="s">
        <v>1139</v>
      </c>
      <c r="D548" s="27" t="s">
        <v>112</v>
      </c>
      <c r="E548" s="29">
        <v>40268</v>
      </c>
      <c r="F548" s="27">
        <v>15</v>
      </c>
      <c r="G548" s="18">
        <v>9058.67</v>
      </c>
      <c r="H548" s="27">
        <f t="shared" si="16"/>
        <v>9058.67</v>
      </c>
      <c r="I548" s="18">
        <v>9058.67</v>
      </c>
      <c r="J548" s="27">
        <v>9058.67</v>
      </c>
      <c r="K548" s="18">
        <f t="shared" si="17"/>
        <v>9058.67</v>
      </c>
      <c r="L548" s="27">
        <v>8605.74</v>
      </c>
      <c r="M548" s="36">
        <v>-452.93</v>
      </c>
      <c r="T548" s="41">
        <v>0</v>
      </c>
      <c r="U548" s="41">
        <v>0</v>
      </c>
      <c r="V548" s="42" t="s">
        <v>113</v>
      </c>
      <c r="W548" s="42">
        <v>9058.67</v>
      </c>
      <c r="X548" s="42">
        <v>9058.67</v>
      </c>
    </row>
    <row r="549" spans="1:24">
      <c r="A549" s="27" t="s">
        <v>1140</v>
      </c>
      <c r="B549" s="28" t="s">
        <v>215</v>
      </c>
      <c r="C549" s="27" t="s">
        <v>1141</v>
      </c>
      <c r="D549" s="27" t="s">
        <v>112</v>
      </c>
      <c r="E549" s="29">
        <v>40268</v>
      </c>
      <c r="F549" s="27">
        <v>15</v>
      </c>
      <c r="G549" s="18">
        <v>9058.67</v>
      </c>
      <c r="H549" s="27">
        <f t="shared" si="16"/>
        <v>9058.67</v>
      </c>
      <c r="I549" s="18">
        <v>9058.67</v>
      </c>
      <c r="J549" s="27">
        <v>9058.67</v>
      </c>
      <c r="K549" s="18">
        <f t="shared" si="17"/>
        <v>9058.67</v>
      </c>
      <c r="L549" s="27">
        <v>8605.74</v>
      </c>
      <c r="M549" s="36">
        <v>-452.93</v>
      </c>
      <c r="T549" s="41">
        <v>0</v>
      </c>
      <c r="U549" s="41">
        <v>0</v>
      </c>
      <c r="V549" s="42" t="s">
        <v>113</v>
      </c>
      <c r="W549" s="42">
        <v>9058.67</v>
      </c>
      <c r="X549" s="42">
        <v>9058.67</v>
      </c>
    </row>
    <row r="550" spans="1:24">
      <c r="A550" s="27" t="s">
        <v>1142</v>
      </c>
      <c r="B550" s="28" t="s">
        <v>215</v>
      </c>
      <c r="C550" s="27" t="s">
        <v>1143</v>
      </c>
      <c r="D550" s="27" t="s">
        <v>112</v>
      </c>
      <c r="E550" s="29">
        <v>40268</v>
      </c>
      <c r="F550" s="27">
        <v>15</v>
      </c>
      <c r="G550" s="18">
        <v>9058.67</v>
      </c>
      <c r="H550" s="27">
        <f t="shared" si="16"/>
        <v>9058.67</v>
      </c>
      <c r="I550" s="18">
        <v>9058.67</v>
      </c>
      <c r="J550" s="27">
        <v>9058.67</v>
      </c>
      <c r="K550" s="18">
        <f t="shared" si="17"/>
        <v>9058.67</v>
      </c>
      <c r="L550" s="27">
        <v>8605.74</v>
      </c>
      <c r="M550" s="36">
        <v>-452.93</v>
      </c>
      <c r="T550" s="41">
        <v>0</v>
      </c>
      <c r="U550" s="41">
        <v>0</v>
      </c>
      <c r="V550" s="42" t="s">
        <v>113</v>
      </c>
      <c r="W550" s="42">
        <v>9058.67</v>
      </c>
      <c r="X550" s="42">
        <v>9058.67</v>
      </c>
    </row>
    <row r="551" spans="1:24">
      <c r="A551" s="27" t="s">
        <v>1144</v>
      </c>
      <c r="B551" s="28" t="s">
        <v>215</v>
      </c>
      <c r="C551" s="27" t="s">
        <v>1145</v>
      </c>
      <c r="D551" s="27" t="s">
        <v>112</v>
      </c>
      <c r="E551" s="29">
        <v>40268</v>
      </c>
      <c r="F551" s="27">
        <v>12</v>
      </c>
      <c r="G551" s="18">
        <v>805.95</v>
      </c>
      <c r="H551" s="27">
        <f t="shared" si="16"/>
        <v>805.95</v>
      </c>
      <c r="I551" s="18">
        <v>805.95</v>
      </c>
      <c r="J551" s="27">
        <v>805.95</v>
      </c>
      <c r="K551" s="18">
        <f t="shared" si="17"/>
        <v>805.95</v>
      </c>
      <c r="L551" s="27">
        <v>805.95</v>
      </c>
      <c r="M551" s="36">
        <v>0</v>
      </c>
      <c r="T551" s="41">
        <v>0</v>
      </c>
      <c r="U551" s="41">
        <v>0</v>
      </c>
      <c r="V551" s="42" t="s">
        <v>113</v>
      </c>
      <c r="W551" s="42">
        <v>805.95</v>
      </c>
      <c r="X551" s="42">
        <v>805.95</v>
      </c>
    </row>
    <row r="552" spans="1:24">
      <c r="A552" s="27" t="s">
        <v>1146</v>
      </c>
      <c r="B552" s="28" t="s">
        <v>215</v>
      </c>
      <c r="C552" s="27" t="s">
        <v>1147</v>
      </c>
      <c r="D552" s="27" t="s">
        <v>112</v>
      </c>
      <c r="E552" s="29">
        <v>40268</v>
      </c>
      <c r="F552" s="27">
        <v>12</v>
      </c>
      <c r="G552" s="18">
        <v>805.95</v>
      </c>
      <c r="H552" s="27">
        <f t="shared" si="16"/>
        <v>805.95</v>
      </c>
      <c r="I552" s="18">
        <v>805.95</v>
      </c>
      <c r="J552" s="27">
        <v>805.95</v>
      </c>
      <c r="K552" s="18">
        <f t="shared" si="17"/>
        <v>805.95</v>
      </c>
      <c r="L552" s="27">
        <v>805.95</v>
      </c>
      <c r="M552" s="36">
        <v>0</v>
      </c>
      <c r="T552" s="41">
        <v>0</v>
      </c>
      <c r="U552" s="41">
        <v>0</v>
      </c>
      <c r="V552" s="42" t="s">
        <v>113</v>
      </c>
      <c r="W552" s="42">
        <v>805.95</v>
      </c>
      <c r="X552" s="42">
        <v>805.95</v>
      </c>
    </row>
    <row r="553" spans="1:24">
      <c r="A553" s="27" t="s">
        <v>1148</v>
      </c>
      <c r="B553" s="28" t="s">
        <v>215</v>
      </c>
      <c r="C553" s="27" t="s">
        <v>1149</v>
      </c>
      <c r="D553" s="27" t="s">
        <v>112</v>
      </c>
      <c r="E553" s="29">
        <v>40268</v>
      </c>
      <c r="F553" s="27">
        <v>12</v>
      </c>
      <c r="G553" s="18">
        <v>805.95</v>
      </c>
      <c r="H553" s="27">
        <f t="shared" si="16"/>
        <v>805.95</v>
      </c>
      <c r="I553" s="18">
        <v>805.95</v>
      </c>
      <c r="J553" s="27">
        <v>805.95</v>
      </c>
      <c r="K553" s="18">
        <f t="shared" si="17"/>
        <v>805.95</v>
      </c>
      <c r="L553" s="27">
        <v>805.95</v>
      </c>
      <c r="M553" s="36">
        <v>0</v>
      </c>
      <c r="T553" s="41">
        <v>0</v>
      </c>
      <c r="U553" s="41">
        <v>0</v>
      </c>
      <c r="V553" s="42" t="s">
        <v>113</v>
      </c>
      <c r="W553" s="42">
        <v>805.95</v>
      </c>
      <c r="X553" s="42">
        <v>805.95</v>
      </c>
    </row>
    <row r="554" spans="1:24">
      <c r="A554" s="27" t="s">
        <v>1150</v>
      </c>
      <c r="B554" s="28" t="s">
        <v>215</v>
      </c>
      <c r="C554" s="27" t="s">
        <v>1151</v>
      </c>
      <c r="D554" s="27" t="s">
        <v>230</v>
      </c>
      <c r="E554" s="29">
        <v>40165</v>
      </c>
      <c r="F554" s="27">
        <v>15</v>
      </c>
      <c r="G554" s="18">
        <v>31959.33</v>
      </c>
      <c r="H554" s="27">
        <f t="shared" si="16"/>
        <v>0</v>
      </c>
      <c r="I554" s="18">
        <v>29513.13</v>
      </c>
      <c r="J554" s="27">
        <v>31959.33</v>
      </c>
      <c r="K554" s="18">
        <f t="shared" si="17"/>
        <v>0</v>
      </c>
      <c r="L554" s="27">
        <v>29654.5</v>
      </c>
      <c r="M554" s="36">
        <v>141.37</v>
      </c>
      <c r="T554" s="41">
        <v>0</v>
      </c>
      <c r="U554" s="41">
        <v>0</v>
      </c>
      <c r="V554" s="42" t="s">
        <v>113</v>
      </c>
      <c r="W554" s="42">
        <v>0</v>
      </c>
      <c r="X554" s="42">
        <v>0</v>
      </c>
    </row>
    <row r="555" spans="1:24">
      <c r="A555" s="27" t="s">
        <v>1152</v>
      </c>
      <c r="B555" s="28" t="s">
        <v>215</v>
      </c>
      <c r="C555" s="27" t="s">
        <v>1153</v>
      </c>
      <c r="D555" s="27" t="s">
        <v>230</v>
      </c>
      <c r="E555" s="29">
        <v>40165</v>
      </c>
      <c r="F555" s="27">
        <v>15</v>
      </c>
      <c r="G555" s="18">
        <v>21306.32</v>
      </c>
      <c r="H555" s="27">
        <f t="shared" si="16"/>
        <v>0</v>
      </c>
      <c r="I555" s="18">
        <v>19275.830000000002</v>
      </c>
      <c r="J555" s="27">
        <v>21306.32</v>
      </c>
      <c r="K555" s="18">
        <f t="shared" si="17"/>
        <v>0</v>
      </c>
      <c r="L555" s="27">
        <v>19436.689999999999</v>
      </c>
      <c r="M555" s="36">
        <v>160.86000000000001</v>
      </c>
      <c r="T555" s="41">
        <v>0</v>
      </c>
      <c r="U555" s="41">
        <v>0</v>
      </c>
      <c r="V555" s="42" t="s">
        <v>113</v>
      </c>
      <c r="W555" s="42">
        <v>0</v>
      </c>
      <c r="X555" s="42">
        <v>0</v>
      </c>
    </row>
    <row r="556" spans="1:24">
      <c r="A556" s="27" t="s">
        <v>1154</v>
      </c>
      <c r="B556" s="28" t="s">
        <v>215</v>
      </c>
      <c r="C556" s="27" t="s">
        <v>1155</v>
      </c>
      <c r="D556" s="27" t="s">
        <v>230</v>
      </c>
      <c r="E556" s="29">
        <v>40165</v>
      </c>
      <c r="F556" s="27">
        <v>15</v>
      </c>
      <c r="G556" s="18">
        <v>21306.2</v>
      </c>
      <c r="H556" s="27">
        <f t="shared" si="16"/>
        <v>0</v>
      </c>
      <c r="I556" s="18">
        <v>19275.7</v>
      </c>
      <c r="J556" s="27">
        <v>21306.2</v>
      </c>
      <c r="K556" s="18">
        <f t="shared" si="17"/>
        <v>0</v>
      </c>
      <c r="L556" s="27">
        <v>19436.57</v>
      </c>
      <c r="M556" s="36">
        <v>160.87</v>
      </c>
      <c r="T556" s="41">
        <v>0</v>
      </c>
      <c r="U556" s="41">
        <v>0</v>
      </c>
      <c r="V556" s="42" t="s">
        <v>113</v>
      </c>
      <c r="W556" s="42">
        <v>0</v>
      </c>
      <c r="X556" s="42">
        <v>0</v>
      </c>
    </row>
    <row r="557" spans="1:24">
      <c r="A557" s="27" t="s">
        <v>1156</v>
      </c>
      <c r="B557" s="28" t="s">
        <v>215</v>
      </c>
      <c r="C557" s="27" t="s">
        <v>1157</v>
      </c>
      <c r="D557" s="27" t="s">
        <v>230</v>
      </c>
      <c r="E557" s="29">
        <v>40165</v>
      </c>
      <c r="F557" s="27">
        <v>15</v>
      </c>
      <c r="G557" s="18">
        <v>21306.32</v>
      </c>
      <c r="H557" s="27">
        <f t="shared" si="16"/>
        <v>0</v>
      </c>
      <c r="I557" s="18">
        <v>19275.830000000002</v>
      </c>
      <c r="J557" s="27">
        <v>21306.32</v>
      </c>
      <c r="K557" s="18">
        <f t="shared" si="17"/>
        <v>0</v>
      </c>
      <c r="L557" s="27">
        <v>19436.689999999999</v>
      </c>
      <c r="M557" s="36">
        <v>160.86000000000001</v>
      </c>
      <c r="T557" s="41">
        <v>0</v>
      </c>
      <c r="U557" s="41">
        <v>0</v>
      </c>
      <c r="V557" s="42" t="s">
        <v>113</v>
      </c>
      <c r="W557" s="42">
        <v>0</v>
      </c>
      <c r="X557" s="42">
        <v>0</v>
      </c>
    </row>
    <row r="558" spans="1:24">
      <c r="A558" s="27" t="s">
        <v>1158</v>
      </c>
      <c r="B558" s="28" t="s">
        <v>215</v>
      </c>
      <c r="C558" s="27" t="s">
        <v>1159</v>
      </c>
      <c r="D558" s="27" t="s">
        <v>230</v>
      </c>
      <c r="E558" s="29">
        <v>40165</v>
      </c>
      <c r="F558" s="27">
        <v>15</v>
      </c>
      <c r="G558" s="18">
        <v>10653.13</v>
      </c>
      <c r="H558" s="27">
        <f t="shared" si="16"/>
        <v>0</v>
      </c>
      <c r="I558" s="18">
        <v>9446.36</v>
      </c>
      <c r="J558" s="27">
        <v>10653.13</v>
      </c>
      <c r="K558" s="18">
        <f t="shared" si="17"/>
        <v>0</v>
      </c>
      <c r="L558" s="27">
        <v>9558.7099999999991</v>
      </c>
      <c r="M558" s="36">
        <v>112.35</v>
      </c>
      <c r="T558" s="41">
        <v>0</v>
      </c>
      <c r="U558" s="41">
        <v>0</v>
      </c>
      <c r="V558" s="42" t="s">
        <v>113</v>
      </c>
      <c r="W558" s="42">
        <v>0</v>
      </c>
      <c r="X558" s="42">
        <v>0</v>
      </c>
    </row>
    <row r="559" spans="1:24">
      <c r="A559" s="27" t="s">
        <v>1160</v>
      </c>
      <c r="B559" s="28" t="s">
        <v>215</v>
      </c>
      <c r="C559" s="27" t="s">
        <v>1161</v>
      </c>
      <c r="D559" s="27" t="s">
        <v>230</v>
      </c>
      <c r="E559" s="29">
        <v>40165</v>
      </c>
      <c r="F559" s="27">
        <v>15</v>
      </c>
      <c r="G559" s="18">
        <v>10653.13</v>
      </c>
      <c r="H559" s="27">
        <f t="shared" si="16"/>
        <v>0</v>
      </c>
      <c r="I559" s="18">
        <v>9446.36</v>
      </c>
      <c r="J559" s="27">
        <v>10653.13</v>
      </c>
      <c r="K559" s="18">
        <f t="shared" si="17"/>
        <v>0</v>
      </c>
      <c r="L559" s="27">
        <v>9558.7099999999991</v>
      </c>
      <c r="M559" s="36">
        <v>112.35</v>
      </c>
      <c r="T559" s="41">
        <v>0</v>
      </c>
      <c r="U559" s="41">
        <v>0</v>
      </c>
      <c r="V559" s="42" t="s">
        <v>113</v>
      </c>
      <c r="W559" s="42">
        <v>0</v>
      </c>
      <c r="X559" s="42">
        <v>0</v>
      </c>
    </row>
    <row r="560" spans="1:24">
      <c r="A560" s="27" t="s">
        <v>1162</v>
      </c>
      <c r="B560" s="28" t="s">
        <v>215</v>
      </c>
      <c r="C560" s="27" t="s">
        <v>1163</v>
      </c>
      <c r="D560" s="27" t="s">
        <v>230</v>
      </c>
      <c r="E560" s="29">
        <v>40165</v>
      </c>
      <c r="F560" s="27">
        <v>15</v>
      </c>
      <c r="G560" s="18">
        <v>10653.13</v>
      </c>
      <c r="H560" s="27">
        <f t="shared" si="16"/>
        <v>0</v>
      </c>
      <c r="I560" s="18">
        <v>9446.36</v>
      </c>
      <c r="J560" s="27">
        <v>10653.13</v>
      </c>
      <c r="K560" s="18">
        <f t="shared" si="17"/>
        <v>0</v>
      </c>
      <c r="L560" s="27">
        <v>9558.7099999999991</v>
      </c>
      <c r="M560" s="36">
        <v>112.35</v>
      </c>
      <c r="T560" s="41">
        <v>0</v>
      </c>
      <c r="U560" s="41">
        <v>0</v>
      </c>
      <c r="V560" s="42" t="s">
        <v>113</v>
      </c>
      <c r="W560" s="42">
        <v>0</v>
      </c>
      <c r="X560" s="42">
        <v>0</v>
      </c>
    </row>
    <row r="561" spans="1:24">
      <c r="A561" s="27" t="s">
        <v>1164</v>
      </c>
      <c r="B561" s="28" t="s">
        <v>215</v>
      </c>
      <c r="C561" s="27" t="s">
        <v>844</v>
      </c>
      <c r="D561" s="27" t="s">
        <v>230</v>
      </c>
      <c r="E561" s="29">
        <v>40268</v>
      </c>
      <c r="F561" s="27">
        <v>12</v>
      </c>
      <c r="G561" s="18">
        <v>1918.39</v>
      </c>
      <c r="H561" s="27">
        <f t="shared" si="16"/>
        <v>1918.39</v>
      </c>
      <c r="I561" s="18">
        <v>1918.39</v>
      </c>
      <c r="J561" s="27">
        <v>1918.39</v>
      </c>
      <c r="K561" s="18">
        <f t="shared" si="17"/>
        <v>1918.39</v>
      </c>
      <c r="L561" s="27">
        <v>1918.39</v>
      </c>
      <c r="M561" s="36">
        <v>0</v>
      </c>
      <c r="T561" s="41">
        <v>0</v>
      </c>
      <c r="U561" s="41">
        <v>0</v>
      </c>
      <c r="V561" s="42" t="s">
        <v>113</v>
      </c>
      <c r="W561" s="42">
        <v>1918.39</v>
      </c>
      <c r="X561" s="42">
        <v>1918.39</v>
      </c>
    </row>
    <row r="562" spans="1:24">
      <c r="A562" s="27" t="s">
        <v>1165</v>
      </c>
      <c r="B562" s="28" t="s">
        <v>215</v>
      </c>
      <c r="C562" s="27" t="s">
        <v>846</v>
      </c>
      <c r="D562" s="27" t="s">
        <v>230</v>
      </c>
      <c r="E562" s="29">
        <v>40268</v>
      </c>
      <c r="F562" s="27">
        <v>12</v>
      </c>
      <c r="G562" s="18">
        <v>1918.39</v>
      </c>
      <c r="H562" s="27">
        <f t="shared" si="16"/>
        <v>1918.39</v>
      </c>
      <c r="I562" s="18">
        <v>1918.39</v>
      </c>
      <c r="J562" s="27">
        <v>1918.39</v>
      </c>
      <c r="K562" s="18">
        <f t="shared" si="17"/>
        <v>1918.39</v>
      </c>
      <c r="L562" s="27">
        <v>1918.39</v>
      </c>
      <c r="M562" s="36">
        <v>0</v>
      </c>
      <c r="T562" s="41">
        <v>0</v>
      </c>
      <c r="U562" s="41">
        <v>0</v>
      </c>
      <c r="V562" s="42" t="s">
        <v>113</v>
      </c>
      <c r="W562" s="42">
        <v>1918.39</v>
      </c>
      <c r="X562" s="42">
        <v>1918.39</v>
      </c>
    </row>
    <row r="563" spans="1:24">
      <c r="A563" s="27" t="s">
        <v>1166</v>
      </c>
      <c r="B563" s="28" t="s">
        <v>215</v>
      </c>
      <c r="C563" s="27" t="s">
        <v>1167</v>
      </c>
      <c r="D563" s="27" t="s">
        <v>230</v>
      </c>
      <c r="E563" s="29">
        <v>40268</v>
      </c>
      <c r="F563" s="27">
        <v>12</v>
      </c>
      <c r="G563" s="18">
        <v>1918.39</v>
      </c>
      <c r="H563" s="27">
        <f t="shared" si="16"/>
        <v>1918.39</v>
      </c>
      <c r="I563" s="18">
        <v>1918.39</v>
      </c>
      <c r="J563" s="27">
        <v>1918.39</v>
      </c>
      <c r="K563" s="18">
        <f t="shared" si="17"/>
        <v>1918.39</v>
      </c>
      <c r="L563" s="27">
        <v>1918.39</v>
      </c>
      <c r="M563" s="36">
        <v>0</v>
      </c>
      <c r="T563" s="41">
        <v>0</v>
      </c>
      <c r="U563" s="41">
        <v>0</v>
      </c>
      <c r="V563" s="42" t="s">
        <v>113</v>
      </c>
      <c r="W563" s="42">
        <v>1918.39</v>
      </c>
      <c r="X563" s="42">
        <v>1918.39</v>
      </c>
    </row>
    <row r="564" spans="1:24">
      <c r="A564" s="27" t="s">
        <v>1168</v>
      </c>
      <c r="B564" s="28" t="s">
        <v>215</v>
      </c>
      <c r="C564" s="27" t="s">
        <v>1169</v>
      </c>
      <c r="D564" s="27" t="s">
        <v>230</v>
      </c>
      <c r="E564" s="29">
        <v>40268</v>
      </c>
      <c r="F564" s="27">
        <v>15</v>
      </c>
      <c r="G564" s="18">
        <v>46063.67</v>
      </c>
      <c r="H564" s="27">
        <f t="shared" si="16"/>
        <v>0</v>
      </c>
      <c r="I564" s="18">
        <v>31308.29</v>
      </c>
      <c r="J564" s="27">
        <v>46063.67</v>
      </c>
      <c r="K564" s="18">
        <f t="shared" si="17"/>
        <v>0</v>
      </c>
      <c r="L564" s="27">
        <v>33300.639999999999</v>
      </c>
      <c r="M564" s="36">
        <v>1992.35</v>
      </c>
      <c r="T564" s="41">
        <v>0</v>
      </c>
      <c r="U564" s="41">
        <v>0</v>
      </c>
      <c r="V564" s="42" t="s">
        <v>113</v>
      </c>
      <c r="W564" s="42">
        <v>0</v>
      </c>
      <c r="X564" s="42">
        <v>0</v>
      </c>
    </row>
    <row r="565" spans="1:24">
      <c r="A565" s="27" t="s">
        <v>1170</v>
      </c>
      <c r="B565" s="28" t="s">
        <v>215</v>
      </c>
      <c r="C565" s="27" t="s">
        <v>1171</v>
      </c>
      <c r="D565" s="27" t="s">
        <v>230</v>
      </c>
      <c r="E565" s="29">
        <v>40268</v>
      </c>
      <c r="F565" s="27">
        <v>15</v>
      </c>
      <c r="G565" s="18">
        <v>46063.67</v>
      </c>
      <c r="H565" s="27">
        <f t="shared" si="16"/>
        <v>0</v>
      </c>
      <c r="I565" s="18">
        <v>31308.29</v>
      </c>
      <c r="J565" s="27">
        <v>46063.67</v>
      </c>
      <c r="K565" s="18">
        <f t="shared" si="17"/>
        <v>0</v>
      </c>
      <c r="L565" s="27">
        <v>33300.639999999999</v>
      </c>
      <c r="M565" s="36">
        <v>1992.35</v>
      </c>
      <c r="T565" s="41">
        <v>0</v>
      </c>
      <c r="U565" s="41">
        <v>0</v>
      </c>
      <c r="V565" s="42" t="s">
        <v>113</v>
      </c>
      <c r="W565" s="42">
        <v>0</v>
      </c>
      <c r="X565" s="42">
        <v>0</v>
      </c>
    </row>
    <row r="566" spans="1:24">
      <c r="A566" s="27" t="s">
        <v>1172</v>
      </c>
      <c r="B566" s="28" t="s">
        <v>215</v>
      </c>
      <c r="C566" s="27" t="s">
        <v>1173</v>
      </c>
      <c r="D566" s="27" t="s">
        <v>230</v>
      </c>
      <c r="E566" s="29">
        <v>40268</v>
      </c>
      <c r="F566" s="27">
        <v>15</v>
      </c>
      <c r="G566" s="18">
        <v>55276.15</v>
      </c>
      <c r="H566" s="27">
        <f t="shared" si="16"/>
        <v>0</v>
      </c>
      <c r="I566" s="18">
        <v>37935.43</v>
      </c>
      <c r="J566" s="27">
        <v>55276.15</v>
      </c>
      <c r="K566" s="18">
        <f t="shared" si="17"/>
        <v>0</v>
      </c>
      <c r="L566" s="27">
        <v>40267.74</v>
      </c>
      <c r="M566" s="36">
        <v>2332.31</v>
      </c>
      <c r="T566" s="41">
        <v>0</v>
      </c>
      <c r="U566" s="41">
        <v>0</v>
      </c>
      <c r="V566" s="42" t="s">
        <v>113</v>
      </c>
      <c r="W566" s="42">
        <v>0</v>
      </c>
      <c r="X566" s="42">
        <v>0</v>
      </c>
    </row>
    <row r="567" spans="1:24">
      <c r="A567" s="27" t="s">
        <v>1174</v>
      </c>
      <c r="B567" s="28" t="s">
        <v>215</v>
      </c>
      <c r="C567" s="27" t="s">
        <v>1175</v>
      </c>
      <c r="D567" s="27" t="s">
        <v>230</v>
      </c>
      <c r="E567" s="29">
        <v>40268</v>
      </c>
      <c r="F567" s="27">
        <v>15</v>
      </c>
      <c r="G567" s="18">
        <v>79816.89</v>
      </c>
      <c r="H567" s="27">
        <f t="shared" si="16"/>
        <v>0</v>
      </c>
      <c r="I567" s="18">
        <v>54777.49</v>
      </c>
      <c r="J567" s="27">
        <v>79816.89</v>
      </c>
      <c r="K567" s="18">
        <f t="shared" si="17"/>
        <v>0</v>
      </c>
      <c r="L567" s="27">
        <v>58145.26</v>
      </c>
      <c r="M567" s="36">
        <v>3367.77</v>
      </c>
      <c r="T567" s="41">
        <v>0</v>
      </c>
      <c r="U567" s="41">
        <v>0</v>
      </c>
      <c r="V567" s="42" t="s">
        <v>113</v>
      </c>
      <c r="W567" s="42">
        <v>0</v>
      </c>
      <c r="X567" s="42">
        <v>0</v>
      </c>
    </row>
    <row r="568" spans="1:24">
      <c r="A568" s="27" t="s">
        <v>1176</v>
      </c>
      <c r="B568" s="28" t="s">
        <v>215</v>
      </c>
      <c r="C568" s="27" t="s">
        <v>1177</v>
      </c>
      <c r="D568" s="27" t="s">
        <v>112</v>
      </c>
      <c r="E568" s="29">
        <v>40156</v>
      </c>
      <c r="F568" s="27">
        <v>15</v>
      </c>
      <c r="G568" s="18">
        <v>11215</v>
      </c>
      <c r="H568" s="27">
        <f t="shared" si="16"/>
        <v>11215</v>
      </c>
      <c r="I568" s="18">
        <v>10654.25</v>
      </c>
      <c r="J568" s="27">
        <v>11215</v>
      </c>
      <c r="K568" s="18">
        <f t="shared" si="17"/>
        <v>11215</v>
      </c>
      <c r="L568" s="27">
        <v>10654.25</v>
      </c>
      <c r="M568" s="36">
        <v>0</v>
      </c>
      <c r="T568" s="41">
        <v>0</v>
      </c>
      <c r="U568" s="41">
        <v>0</v>
      </c>
      <c r="V568" s="42" t="s">
        <v>113</v>
      </c>
      <c r="W568" s="42">
        <v>11215</v>
      </c>
      <c r="X568" s="42">
        <v>11215</v>
      </c>
    </row>
    <row r="569" spans="1:24">
      <c r="A569" s="27" t="s">
        <v>1178</v>
      </c>
      <c r="B569" s="28" t="s">
        <v>215</v>
      </c>
      <c r="C569" s="27" t="s">
        <v>1179</v>
      </c>
      <c r="D569" s="27" t="s">
        <v>112</v>
      </c>
      <c r="E569" s="29">
        <v>40156</v>
      </c>
      <c r="F569" s="27">
        <v>15</v>
      </c>
      <c r="G569" s="18">
        <v>51450.5</v>
      </c>
      <c r="H569" s="27">
        <f t="shared" si="16"/>
        <v>51450.5</v>
      </c>
      <c r="I569" s="18">
        <v>48877.97</v>
      </c>
      <c r="J569" s="27">
        <v>51450.5</v>
      </c>
      <c r="K569" s="18">
        <f t="shared" si="17"/>
        <v>51450.5</v>
      </c>
      <c r="L569" s="27">
        <v>48877.97</v>
      </c>
      <c r="M569" s="36">
        <v>0</v>
      </c>
      <c r="T569" s="41">
        <v>0</v>
      </c>
      <c r="U569" s="41">
        <v>0</v>
      </c>
      <c r="V569" s="42" t="s">
        <v>113</v>
      </c>
      <c r="W569" s="42">
        <v>51450.5</v>
      </c>
      <c r="X569" s="42">
        <v>51450.5</v>
      </c>
    </row>
    <row r="570" spans="1:24">
      <c r="A570" s="27" t="s">
        <v>1180</v>
      </c>
      <c r="B570" s="28" t="s">
        <v>215</v>
      </c>
      <c r="C570" s="27" t="s">
        <v>1181</v>
      </c>
      <c r="D570" s="27" t="s">
        <v>112</v>
      </c>
      <c r="E570" s="29">
        <v>40156</v>
      </c>
      <c r="F570" s="27">
        <v>15</v>
      </c>
      <c r="G570" s="18">
        <v>6860</v>
      </c>
      <c r="H570" s="27">
        <f t="shared" si="16"/>
        <v>6860</v>
      </c>
      <c r="I570" s="18">
        <v>6517</v>
      </c>
      <c r="J570" s="27">
        <v>6860</v>
      </c>
      <c r="K570" s="18">
        <f t="shared" si="17"/>
        <v>6860</v>
      </c>
      <c r="L570" s="27">
        <v>6517</v>
      </c>
      <c r="M570" s="36">
        <v>0</v>
      </c>
      <c r="T570" s="41">
        <v>0</v>
      </c>
      <c r="U570" s="41">
        <v>0</v>
      </c>
      <c r="V570" s="42" t="s">
        <v>113</v>
      </c>
      <c r="W570" s="42">
        <v>6860</v>
      </c>
      <c r="X570" s="42">
        <v>6860</v>
      </c>
    </row>
    <row r="571" spans="1:24">
      <c r="A571" s="27" t="s">
        <v>1182</v>
      </c>
      <c r="B571" s="28" t="s">
        <v>215</v>
      </c>
      <c r="C571" s="27" t="s">
        <v>1183</v>
      </c>
      <c r="D571" s="27" t="s">
        <v>112</v>
      </c>
      <c r="E571" s="29">
        <v>40156</v>
      </c>
      <c r="F571" s="27">
        <v>15</v>
      </c>
      <c r="G571" s="18">
        <v>6860</v>
      </c>
      <c r="H571" s="27">
        <f t="shared" si="16"/>
        <v>6860</v>
      </c>
      <c r="I571" s="18">
        <v>6517</v>
      </c>
      <c r="J571" s="27">
        <v>6860</v>
      </c>
      <c r="K571" s="18">
        <f t="shared" si="17"/>
        <v>6860</v>
      </c>
      <c r="L571" s="27">
        <v>6517</v>
      </c>
      <c r="M571" s="36">
        <v>0</v>
      </c>
      <c r="T571" s="41">
        <v>0</v>
      </c>
      <c r="U571" s="41">
        <v>0</v>
      </c>
      <c r="V571" s="42" t="s">
        <v>113</v>
      </c>
      <c r="W571" s="42">
        <v>6860</v>
      </c>
      <c r="X571" s="42">
        <v>6860</v>
      </c>
    </row>
    <row r="572" spans="1:24">
      <c r="A572" s="27" t="s">
        <v>1184</v>
      </c>
      <c r="B572" s="28" t="s">
        <v>215</v>
      </c>
      <c r="C572" s="27" t="s">
        <v>1185</v>
      </c>
      <c r="D572" s="27" t="s">
        <v>112</v>
      </c>
      <c r="E572" s="29">
        <v>40156</v>
      </c>
      <c r="F572" s="27">
        <v>15</v>
      </c>
      <c r="G572" s="18">
        <v>6860</v>
      </c>
      <c r="H572" s="27">
        <f t="shared" si="16"/>
        <v>6860</v>
      </c>
      <c r="I572" s="18">
        <v>6517</v>
      </c>
      <c r="J572" s="27">
        <v>6860</v>
      </c>
      <c r="K572" s="18">
        <f t="shared" si="17"/>
        <v>6860</v>
      </c>
      <c r="L572" s="27">
        <v>6517</v>
      </c>
      <c r="M572" s="36">
        <v>0</v>
      </c>
      <c r="T572" s="41">
        <v>0</v>
      </c>
      <c r="U572" s="41">
        <v>0</v>
      </c>
      <c r="V572" s="42" t="s">
        <v>113</v>
      </c>
      <c r="W572" s="42">
        <v>6860</v>
      </c>
      <c r="X572" s="42">
        <v>6860</v>
      </c>
    </row>
    <row r="573" spans="1:24">
      <c r="A573" s="27" t="s">
        <v>1186</v>
      </c>
      <c r="B573" s="28" t="s">
        <v>215</v>
      </c>
      <c r="C573" s="27" t="s">
        <v>1011</v>
      </c>
      <c r="D573" s="27" t="s">
        <v>230</v>
      </c>
      <c r="E573" s="29">
        <v>40156</v>
      </c>
      <c r="F573" s="27">
        <v>15</v>
      </c>
      <c r="G573" s="18">
        <v>31697</v>
      </c>
      <c r="H573" s="27">
        <f t="shared" si="16"/>
        <v>31697</v>
      </c>
      <c r="I573" s="18">
        <v>30112.15</v>
      </c>
      <c r="J573" s="27">
        <v>31697</v>
      </c>
      <c r="K573" s="18">
        <f t="shared" si="17"/>
        <v>31697</v>
      </c>
      <c r="L573" s="27">
        <v>30112.15</v>
      </c>
      <c r="M573" s="36">
        <v>0</v>
      </c>
      <c r="T573" s="41">
        <v>0</v>
      </c>
      <c r="U573" s="41">
        <v>0</v>
      </c>
      <c r="V573" s="42" t="s">
        <v>113</v>
      </c>
      <c r="W573" s="42">
        <v>31697</v>
      </c>
      <c r="X573" s="42">
        <v>31697</v>
      </c>
    </row>
    <row r="574" spans="1:24">
      <c r="A574" s="27" t="s">
        <v>1187</v>
      </c>
      <c r="B574" s="28" t="s">
        <v>215</v>
      </c>
      <c r="C574" s="27" t="s">
        <v>1188</v>
      </c>
      <c r="D574" s="27" t="s">
        <v>230</v>
      </c>
      <c r="E574" s="29">
        <v>40156</v>
      </c>
      <c r="F574" s="27">
        <v>15</v>
      </c>
      <c r="G574" s="18">
        <v>198459.16</v>
      </c>
      <c r="H574" s="27">
        <f t="shared" si="16"/>
        <v>198459.16</v>
      </c>
      <c r="I574" s="18">
        <v>188536.2</v>
      </c>
      <c r="J574" s="27">
        <v>198459.16</v>
      </c>
      <c r="K574" s="18">
        <f t="shared" si="17"/>
        <v>198459.16</v>
      </c>
      <c r="L574" s="27">
        <v>188536.2</v>
      </c>
      <c r="M574" s="36">
        <v>0</v>
      </c>
      <c r="T574" s="41">
        <v>0</v>
      </c>
      <c r="U574" s="41">
        <v>0</v>
      </c>
      <c r="V574" s="42" t="s">
        <v>113</v>
      </c>
      <c r="W574" s="42">
        <v>198459.16</v>
      </c>
      <c r="X574" s="42">
        <v>198459.16</v>
      </c>
    </row>
    <row r="575" spans="1:24">
      <c r="A575" s="27" t="s">
        <v>1189</v>
      </c>
      <c r="B575" s="28" t="s">
        <v>215</v>
      </c>
      <c r="C575" s="27" t="s">
        <v>1190</v>
      </c>
      <c r="D575" s="27" t="s">
        <v>230</v>
      </c>
      <c r="E575" s="29">
        <v>40156</v>
      </c>
      <c r="F575" s="27">
        <v>15</v>
      </c>
      <c r="G575" s="18">
        <v>61121.599999999999</v>
      </c>
      <c r="H575" s="27">
        <f t="shared" si="16"/>
        <v>61121.599999999999</v>
      </c>
      <c r="I575" s="18">
        <v>58065.52</v>
      </c>
      <c r="J575" s="27">
        <v>61121.599999999999</v>
      </c>
      <c r="K575" s="18">
        <f t="shared" si="17"/>
        <v>61121.599999999999</v>
      </c>
      <c r="L575" s="27">
        <v>58065.52</v>
      </c>
      <c r="M575" s="36">
        <v>0</v>
      </c>
      <c r="T575" s="41">
        <v>0</v>
      </c>
      <c r="U575" s="41">
        <v>0</v>
      </c>
      <c r="V575" s="42" t="s">
        <v>113</v>
      </c>
      <c r="W575" s="42">
        <v>61121.599999999999</v>
      </c>
      <c r="X575" s="42">
        <v>61121.599999999999</v>
      </c>
    </row>
    <row r="576" spans="1:24">
      <c r="A576" s="27" t="s">
        <v>1191</v>
      </c>
      <c r="B576" s="28" t="s">
        <v>215</v>
      </c>
      <c r="C576" s="27" t="s">
        <v>1192</v>
      </c>
      <c r="D576" s="27" t="s">
        <v>230</v>
      </c>
      <c r="E576" s="29">
        <v>40156</v>
      </c>
      <c r="F576" s="27">
        <v>15</v>
      </c>
      <c r="G576" s="18">
        <v>61121.599999999999</v>
      </c>
      <c r="H576" s="27">
        <f t="shared" si="16"/>
        <v>61121.599999999999</v>
      </c>
      <c r="I576" s="18">
        <v>58065.52</v>
      </c>
      <c r="J576" s="27">
        <v>61121.599999999999</v>
      </c>
      <c r="K576" s="18">
        <f t="shared" si="17"/>
        <v>61121.599999999999</v>
      </c>
      <c r="L576" s="27">
        <v>58065.52</v>
      </c>
      <c r="M576" s="36">
        <v>0</v>
      </c>
      <c r="T576" s="41">
        <v>0</v>
      </c>
      <c r="U576" s="41">
        <v>0</v>
      </c>
      <c r="V576" s="42" t="s">
        <v>113</v>
      </c>
      <c r="W576" s="42">
        <v>61121.599999999999</v>
      </c>
      <c r="X576" s="42">
        <v>61121.599999999999</v>
      </c>
    </row>
    <row r="577" spans="1:24">
      <c r="A577" s="27" t="s">
        <v>1193</v>
      </c>
      <c r="B577" s="28" t="s">
        <v>215</v>
      </c>
      <c r="C577" s="27" t="s">
        <v>1047</v>
      </c>
      <c r="D577" s="27" t="s">
        <v>230</v>
      </c>
      <c r="E577" s="29">
        <v>40156</v>
      </c>
      <c r="F577" s="27">
        <v>15</v>
      </c>
      <c r="G577" s="18">
        <v>55009.48</v>
      </c>
      <c r="H577" s="27">
        <f t="shared" si="16"/>
        <v>55009.48</v>
      </c>
      <c r="I577" s="18">
        <v>52259.01</v>
      </c>
      <c r="J577" s="27">
        <v>55009.48</v>
      </c>
      <c r="K577" s="18">
        <f t="shared" si="17"/>
        <v>55009.48</v>
      </c>
      <c r="L577" s="27">
        <v>52259.01</v>
      </c>
      <c r="M577" s="36">
        <v>0</v>
      </c>
      <c r="T577" s="41">
        <v>0</v>
      </c>
      <c r="U577" s="41">
        <v>0</v>
      </c>
      <c r="V577" s="42" t="s">
        <v>113</v>
      </c>
      <c r="W577" s="42">
        <v>55009.48</v>
      </c>
      <c r="X577" s="42">
        <v>55009.48</v>
      </c>
    </row>
    <row r="578" spans="1:24">
      <c r="A578" s="27" t="s">
        <v>1194</v>
      </c>
      <c r="B578" s="28" t="s">
        <v>215</v>
      </c>
      <c r="C578" s="27" t="s">
        <v>1195</v>
      </c>
      <c r="D578" s="27" t="s">
        <v>230</v>
      </c>
      <c r="E578" s="29">
        <v>40156</v>
      </c>
      <c r="F578" s="27">
        <v>15</v>
      </c>
      <c r="G578" s="18">
        <v>32936</v>
      </c>
      <c r="H578" s="27">
        <f t="shared" si="16"/>
        <v>32936</v>
      </c>
      <c r="I578" s="18">
        <v>31289.200000000001</v>
      </c>
      <c r="J578" s="27">
        <v>32936</v>
      </c>
      <c r="K578" s="18">
        <f t="shared" si="17"/>
        <v>32936</v>
      </c>
      <c r="L578" s="27">
        <v>31289.200000000001</v>
      </c>
      <c r="M578" s="36">
        <v>0</v>
      </c>
      <c r="T578" s="41">
        <v>0</v>
      </c>
      <c r="U578" s="41">
        <v>0</v>
      </c>
      <c r="V578" s="42" t="s">
        <v>113</v>
      </c>
      <c r="W578" s="42">
        <v>32936</v>
      </c>
      <c r="X578" s="42">
        <v>32936</v>
      </c>
    </row>
    <row r="579" spans="1:24">
      <c r="A579" s="27" t="s">
        <v>1196</v>
      </c>
      <c r="B579" s="28" t="s">
        <v>215</v>
      </c>
      <c r="C579" s="27" t="s">
        <v>229</v>
      </c>
      <c r="D579" s="27" t="s">
        <v>230</v>
      </c>
      <c r="E579" s="29">
        <v>40156</v>
      </c>
      <c r="F579" s="27">
        <v>15</v>
      </c>
      <c r="G579" s="18">
        <v>14952</v>
      </c>
      <c r="H579" s="27">
        <f t="shared" si="16"/>
        <v>14952</v>
      </c>
      <c r="I579" s="18">
        <v>14204.4</v>
      </c>
      <c r="J579" s="27">
        <v>14952</v>
      </c>
      <c r="K579" s="18">
        <f t="shared" si="17"/>
        <v>14952</v>
      </c>
      <c r="L579" s="27">
        <v>14204.4</v>
      </c>
      <c r="M579" s="36">
        <v>0</v>
      </c>
      <c r="T579" s="41">
        <v>0</v>
      </c>
      <c r="U579" s="41">
        <v>0</v>
      </c>
      <c r="V579" s="42" t="s">
        <v>113</v>
      </c>
      <c r="W579" s="42">
        <v>14952</v>
      </c>
      <c r="X579" s="42">
        <v>14952</v>
      </c>
    </row>
    <row r="580" spans="1:24">
      <c r="A580" s="27" t="s">
        <v>1197</v>
      </c>
      <c r="B580" s="28" t="s">
        <v>215</v>
      </c>
      <c r="C580" s="27" t="s">
        <v>1198</v>
      </c>
      <c r="D580" s="27" t="s">
        <v>230</v>
      </c>
      <c r="E580" s="29">
        <v>40156</v>
      </c>
      <c r="F580" s="27">
        <v>15</v>
      </c>
      <c r="G580" s="18">
        <v>93295</v>
      </c>
      <c r="H580" s="27">
        <f t="shared" si="16"/>
        <v>93295</v>
      </c>
      <c r="I580" s="18">
        <v>88630.25</v>
      </c>
      <c r="J580" s="27">
        <v>93295</v>
      </c>
      <c r="K580" s="18">
        <f t="shared" si="17"/>
        <v>93295</v>
      </c>
      <c r="L580" s="27">
        <v>88630.25</v>
      </c>
      <c r="M580" s="36">
        <v>0</v>
      </c>
      <c r="T580" s="41">
        <v>0</v>
      </c>
      <c r="U580" s="41">
        <v>0</v>
      </c>
      <c r="V580" s="42" t="s">
        <v>113</v>
      </c>
      <c r="W580" s="42">
        <v>93295</v>
      </c>
      <c r="X580" s="42">
        <v>93295</v>
      </c>
    </row>
    <row r="581" spans="1:24">
      <c r="A581" s="27" t="s">
        <v>1199</v>
      </c>
      <c r="B581" s="28" t="s">
        <v>215</v>
      </c>
      <c r="C581" s="27" t="s">
        <v>1200</v>
      </c>
      <c r="D581" s="27" t="s">
        <v>112</v>
      </c>
      <c r="E581" s="29">
        <v>40156</v>
      </c>
      <c r="F581" s="27">
        <v>15</v>
      </c>
      <c r="G581" s="18">
        <v>133653</v>
      </c>
      <c r="H581" s="27">
        <f t="shared" si="16"/>
        <v>133653</v>
      </c>
      <c r="I581" s="18">
        <v>126970.35</v>
      </c>
      <c r="J581" s="27">
        <v>133653</v>
      </c>
      <c r="K581" s="18">
        <f t="shared" si="17"/>
        <v>133653</v>
      </c>
      <c r="L581" s="27">
        <v>126970.35</v>
      </c>
      <c r="M581" s="36">
        <v>0</v>
      </c>
      <c r="T581" s="41">
        <v>0</v>
      </c>
      <c r="U581" s="41">
        <v>0</v>
      </c>
      <c r="V581" s="42" t="s">
        <v>113</v>
      </c>
      <c r="W581" s="42">
        <v>133653</v>
      </c>
      <c r="X581" s="42">
        <v>133653</v>
      </c>
    </row>
    <row r="582" spans="1:24">
      <c r="A582" s="27" t="s">
        <v>1201</v>
      </c>
      <c r="B582" s="28" t="s">
        <v>215</v>
      </c>
      <c r="C582" s="27" t="s">
        <v>1202</v>
      </c>
      <c r="D582" s="27" t="s">
        <v>230</v>
      </c>
      <c r="E582" s="29">
        <v>39417</v>
      </c>
      <c r="F582" s="27">
        <v>15</v>
      </c>
      <c r="G582" s="18">
        <v>77710.92</v>
      </c>
      <c r="H582" s="27">
        <f t="shared" ref="H582:H645" si="18">IFERROR(IF(ROUND((G582-I582)/G582,2)&lt;=0.05,G582,0),0)</f>
        <v>0</v>
      </c>
      <c r="I582" s="18">
        <v>63364.11</v>
      </c>
      <c r="J582" s="27">
        <v>77710.92</v>
      </c>
      <c r="K582" s="18">
        <f t="shared" ref="K582:K645" si="19">IFERROR(IF(ROUND((J582-L582)/J582,2)&lt;=0.05,J582,0),0)</f>
        <v>0</v>
      </c>
      <c r="L582" s="27">
        <v>65979.429999999993</v>
      </c>
      <c r="M582" s="36">
        <v>2615.3200000000002</v>
      </c>
      <c r="T582" s="41">
        <v>0</v>
      </c>
      <c r="U582" s="41">
        <v>0</v>
      </c>
      <c r="V582" s="42" t="s">
        <v>113</v>
      </c>
      <c r="W582" s="42">
        <v>0</v>
      </c>
      <c r="X582" s="42">
        <v>0</v>
      </c>
    </row>
    <row r="583" spans="1:24">
      <c r="A583" s="27" t="s">
        <v>1203</v>
      </c>
      <c r="B583" s="28" t="s">
        <v>215</v>
      </c>
      <c r="C583" s="27" t="s">
        <v>1204</v>
      </c>
      <c r="D583" s="27" t="s">
        <v>230</v>
      </c>
      <c r="E583" s="29">
        <v>40170</v>
      </c>
      <c r="F583" s="27">
        <v>15</v>
      </c>
      <c r="G583" s="18">
        <v>150745.53</v>
      </c>
      <c r="H583" s="27">
        <f t="shared" si="18"/>
        <v>150745.53</v>
      </c>
      <c r="I583" s="18">
        <v>143208.25</v>
      </c>
      <c r="J583" s="27">
        <v>150745.53</v>
      </c>
      <c r="K583" s="18">
        <f t="shared" si="19"/>
        <v>150745.53</v>
      </c>
      <c r="L583" s="27">
        <v>143208.25</v>
      </c>
      <c r="M583" s="36">
        <v>0</v>
      </c>
      <c r="T583" s="41">
        <v>0</v>
      </c>
      <c r="U583" s="41">
        <v>0</v>
      </c>
      <c r="V583" s="42" t="s">
        <v>113</v>
      </c>
      <c r="W583" s="42">
        <v>150745.53</v>
      </c>
      <c r="X583" s="42">
        <v>150745.53</v>
      </c>
    </row>
    <row r="584" spans="1:24">
      <c r="A584" s="27" t="s">
        <v>1205</v>
      </c>
      <c r="B584" s="28" t="s">
        <v>215</v>
      </c>
      <c r="C584" s="27" t="s">
        <v>1206</v>
      </c>
      <c r="D584" s="27" t="s">
        <v>230</v>
      </c>
      <c r="E584" s="29">
        <v>40170</v>
      </c>
      <c r="F584" s="27">
        <v>15</v>
      </c>
      <c r="G584" s="18">
        <v>91481.65</v>
      </c>
      <c r="H584" s="27">
        <f t="shared" si="18"/>
        <v>91481.65</v>
      </c>
      <c r="I584" s="18">
        <v>86907.57</v>
      </c>
      <c r="J584" s="27">
        <v>91481.65</v>
      </c>
      <c r="K584" s="18">
        <f t="shared" si="19"/>
        <v>91481.65</v>
      </c>
      <c r="L584" s="27">
        <v>86907.57</v>
      </c>
      <c r="M584" s="36">
        <v>0</v>
      </c>
      <c r="T584" s="41">
        <v>0</v>
      </c>
      <c r="U584" s="41">
        <v>0</v>
      </c>
      <c r="V584" s="42" t="s">
        <v>113</v>
      </c>
      <c r="W584" s="42">
        <v>91481.65</v>
      </c>
      <c r="X584" s="42">
        <v>91481.65</v>
      </c>
    </row>
    <row r="585" spans="1:24">
      <c r="A585" s="27" t="s">
        <v>1207</v>
      </c>
      <c r="B585" s="28" t="s">
        <v>215</v>
      </c>
      <c r="C585" s="27" t="s">
        <v>1208</v>
      </c>
      <c r="D585" s="27" t="s">
        <v>230</v>
      </c>
      <c r="E585" s="29">
        <v>39417</v>
      </c>
      <c r="F585" s="27">
        <v>15</v>
      </c>
      <c r="G585" s="18">
        <v>70514.41</v>
      </c>
      <c r="H585" s="27">
        <f t="shared" si="18"/>
        <v>0</v>
      </c>
      <c r="I585" s="18">
        <v>56668.6</v>
      </c>
      <c r="J585" s="27">
        <v>70514.41</v>
      </c>
      <c r="K585" s="18">
        <f t="shared" si="19"/>
        <v>0</v>
      </c>
      <c r="L585" s="27">
        <v>59248.62</v>
      </c>
      <c r="M585" s="36">
        <v>2580.02</v>
      </c>
      <c r="T585" s="41">
        <v>0</v>
      </c>
      <c r="U585" s="41">
        <v>0</v>
      </c>
      <c r="V585" s="42" t="s">
        <v>113</v>
      </c>
      <c r="W585" s="42">
        <v>0</v>
      </c>
      <c r="X585" s="42">
        <v>0</v>
      </c>
    </row>
    <row r="586" spans="1:24">
      <c r="A586" s="27" t="s">
        <v>1209</v>
      </c>
      <c r="B586" s="28" t="s">
        <v>215</v>
      </c>
      <c r="C586" s="27" t="s">
        <v>1210</v>
      </c>
      <c r="D586" s="27" t="s">
        <v>230</v>
      </c>
      <c r="E586" s="29">
        <v>39417</v>
      </c>
      <c r="F586" s="27">
        <v>15</v>
      </c>
      <c r="G586" s="18">
        <v>69464.41</v>
      </c>
      <c r="H586" s="27">
        <f t="shared" si="18"/>
        <v>0</v>
      </c>
      <c r="I586" s="18">
        <v>55824.77</v>
      </c>
      <c r="J586" s="27">
        <v>69464.41</v>
      </c>
      <c r="K586" s="18">
        <f t="shared" si="19"/>
        <v>0</v>
      </c>
      <c r="L586" s="27">
        <v>58366.38</v>
      </c>
      <c r="M586" s="36">
        <v>2541.61</v>
      </c>
      <c r="T586" s="41">
        <v>0</v>
      </c>
      <c r="U586" s="41">
        <v>0</v>
      </c>
      <c r="V586" s="42" t="s">
        <v>113</v>
      </c>
      <c r="W586" s="42">
        <v>0</v>
      </c>
      <c r="X586" s="42">
        <v>0</v>
      </c>
    </row>
    <row r="587" spans="1:24">
      <c r="A587" s="27" t="s">
        <v>1211</v>
      </c>
      <c r="B587" s="28" t="s">
        <v>215</v>
      </c>
      <c r="C587" s="27" t="s">
        <v>1212</v>
      </c>
      <c r="D587" s="27" t="s">
        <v>230</v>
      </c>
      <c r="E587" s="29">
        <v>40164</v>
      </c>
      <c r="F587" s="27">
        <v>15</v>
      </c>
      <c r="G587" s="18">
        <v>10326.77</v>
      </c>
      <c r="H587" s="27">
        <f t="shared" si="18"/>
        <v>10326.77</v>
      </c>
      <c r="I587" s="18">
        <v>9810.43</v>
      </c>
      <c r="J587" s="27">
        <v>10326.77</v>
      </c>
      <c r="K587" s="18">
        <f t="shared" si="19"/>
        <v>10326.77</v>
      </c>
      <c r="L587" s="27">
        <v>9810.43</v>
      </c>
      <c r="M587" s="36">
        <v>0</v>
      </c>
      <c r="T587" s="41">
        <v>0</v>
      </c>
      <c r="U587" s="41">
        <v>0</v>
      </c>
      <c r="V587" s="42" t="s">
        <v>113</v>
      </c>
      <c r="W587" s="42">
        <v>10326.77</v>
      </c>
      <c r="X587" s="42">
        <v>10326.77</v>
      </c>
    </row>
    <row r="588" spans="1:24">
      <c r="A588" s="27" t="s">
        <v>1213</v>
      </c>
      <c r="B588" s="28" t="s">
        <v>215</v>
      </c>
      <c r="C588" s="27" t="s">
        <v>1214</v>
      </c>
      <c r="D588" s="27" t="s">
        <v>112</v>
      </c>
      <c r="E588" s="29">
        <v>40165</v>
      </c>
      <c r="F588" s="27">
        <v>15</v>
      </c>
      <c r="G588" s="18">
        <v>34459.11</v>
      </c>
      <c r="H588" s="27">
        <f t="shared" si="18"/>
        <v>34459.11</v>
      </c>
      <c r="I588" s="18">
        <v>32736.15</v>
      </c>
      <c r="J588" s="27">
        <v>34459.11</v>
      </c>
      <c r="K588" s="18">
        <f t="shared" si="19"/>
        <v>34459.11</v>
      </c>
      <c r="L588" s="27">
        <v>32736.15</v>
      </c>
      <c r="M588" s="36">
        <v>0</v>
      </c>
      <c r="T588" s="41">
        <v>0</v>
      </c>
      <c r="U588" s="41">
        <v>0</v>
      </c>
      <c r="V588" s="42" t="s">
        <v>113</v>
      </c>
      <c r="W588" s="42">
        <v>34459.11</v>
      </c>
      <c r="X588" s="42">
        <v>34459.11</v>
      </c>
    </row>
    <row r="589" spans="1:24">
      <c r="A589" s="27" t="s">
        <v>1215</v>
      </c>
      <c r="B589" s="28" t="s">
        <v>215</v>
      </c>
      <c r="C589" s="27" t="s">
        <v>498</v>
      </c>
      <c r="D589" s="27" t="s">
        <v>112</v>
      </c>
      <c r="E589" s="29">
        <v>40165</v>
      </c>
      <c r="F589" s="27">
        <v>12</v>
      </c>
      <c r="G589" s="18">
        <v>1488.67</v>
      </c>
      <c r="H589" s="27">
        <f t="shared" si="18"/>
        <v>1488.67</v>
      </c>
      <c r="I589" s="18">
        <v>1488.67</v>
      </c>
      <c r="J589" s="27">
        <v>1488.67</v>
      </c>
      <c r="K589" s="18">
        <f t="shared" si="19"/>
        <v>1488.67</v>
      </c>
      <c r="L589" s="27">
        <v>1488.67</v>
      </c>
      <c r="M589" s="36">
        <v>0</v>
      </c>
      <c r="T589" s="41">
        <v>0</v>
      </c>
      <c r="U589" s="41">
        <v>0</v>
      </c>
      <c r="V589" s="42" t="s">
        <v>113</v>
      </c>
      <c r="W589" s="42">
        <v>1488.67</v>
      </c>
      <c r="X589" s="42">
        <v>1488.67</v>
      </c>
    </row>
    <row r="590" spans="1:24">
      <c r="A590" s="27" t="s">
        <v>1216</v>
      </c>
      <c r="B590" s="28" t="s">
        <v>215</v>
      </c>
      <c r="C590" s="27" t="s">
        <v>500</v>
      </c>
      <c r="D590" s="27" t="s">
        <v>112</v>
      </c>
      <c r="E590" s="29">
        <v>40165</v>
      </c>
      <c r="F590" s="27">
        <v>12</v>
      </c>
      <c r="G590" s="18">
        <v>1488.66</v>
      </c>
      <c r="H590" s="27">
        <f t="shared" si="18"/>
        <v>1488.66</v>
      </c>
      <c r="I590" s="18">
        <v>1488.66</v>
      </c>
      <c r="J590" s="27">
        <v>1488.66</v>
      </c>
      <c r="K590" s="18">
        <f t="shared" si="19"/>
        <v>1488.66</v>
      </c>
      <c r="L590" s="27">
        <v>1488.66</v>
      </c>
      <c r="M590" s="36">
        <v>0</v>
      </c>
      <c r="T590" s="41">
        <v>0</v>
      </c>
      <c r="U590" s="41">
        <v>0</v>
      </c>
      <c r="V590" s="42" t="s">
        <v>113</v>
      </c>
      <c r="W590" s="42">
        <v>1488.66</v>
      </c>
      <c r="X590" s="42">
        <v>1488.66</v>
      </c>
    </row>
    <row r="591" spans="1:24">
      <c r="A591" s="27" t="s">
        <v>1217</v>
      </c>
      <c r="B591" s="28" t="s">
        <v>215</v>
      </c>
      <c r="C591" s="27" t="s">
        <v>502</v>
      </c>
      <c r="D591" s="27" t="s">
        <v>112</v>
      </c>
      <c r="E591" s="29">
        <v>40165</v>
      </c>
      <c r="F591" s="27">
        <v>12</v>
      </c>
      <c r="G591" s="18">
        <v>1488.66</v>
      </c>
      <c r="H591" s="27">
        <f t="shared" si="18"/>
        <v>1488.66</v>
      </c>
      <c r="I591" s="18">
        <v>1488.66</v>
      </c>
      <c r="J591" s="27">
        <v>1488.66</v>
      </c>
      <c r="K591" s="18">
        <f t="shared" si="19"/>
        <v>1488.66</v>
      </c>
      <c r="L591" s="27">
        <v>1488.66</v>
      </c>
      <c r="M591" s="36">
        <v>0</v>
      </c>
      <c r="T591" s="41">
        <v>0</v>
      </c>
      <c r="U591" s="41">
        <v>0</v>
      </c>
      <c r="V591" s="42" t="s">
        <v>113</v>
      </c>
      <c r="W591" s="42">
        <v>1488.66</v>
      </c>
      <c r="X591" s="42">
        <v>1488.66</v>
      </c>
    </row>
    <row r="592" spans="1:24">
      <c r="A592" s="27" t="s">
        <v>1218</v>
      </c>
      <c r="B592" s="28" t="s">
        <v>215</v>
      </c>
      <c r="C592" s="27" t="s">
        <v>1219</v>
      </c>
      <c r="D592" s="27" t="s">
        <v>112</v>
      </c>
      <c r="E592" s="29">
        <v>40165</v>
      </c>
      <c r="F592" s="27">
        <v>12</v>
      </c>
      <c r="G592" s="18">
        <v>4465.99</v>
      </c>
      <c r="H592" s="27">
        <f t="shared" si="18"/>
        <v>4465.99</v>
      </c>
      <c r="I592" s="18">
        <v>4465.99</v>
      </c>
      <c r="J592" s="27">
        <v>4465.99</v>
      </c>
      <c r="K592" s="18">
        <f t="shared" si="19"/>
        <v>4465.99</v>
      </c>
      <c r="L592" s="27">
        <v>4465.99</v>
      </c>
      <c r="M592" s="36">
        <v>0</v>
      </c>
      <c r="T592" s="41">
        <v>0</v>
      </c>
      <c r="U592" s="41">
        <v>0</v>
      </c>
      <c r="V592" s="42" t="s">
        <v>113</v>
      </c>
      <c r="W592" s="42">
        <v>4465.99</v>
      </c>
      <c r="X592" s="42">
        <v>4465.99</v>
      </c>
    </row>
    <row r="593" spans="1:24">
      <c r="A593" s="27" t="s">
        <v>1220</v>
      </c>
      <c r="B593" s="28" t="s">
        <v>215</v>
      </c>
      <c r="C593" s="27" t="s">
        <v>1221</v>
      </c>
      <c r="D593" s="27" t="s">
        <v>112</v>
      </c>
      <c r="E593" s="29">
        <v>40165</v>
      </c>
      <c r="F593" s="27">
        <v>12</v>
      </c>
      <c r="G593" s="18">
        <v>4465.99</v>
      </c>
      <c r="H593" s="27">
        <f t="shared" si="18"/>
        <v>4465.99</v>
      </c>
      <c r="I593" s="18">
        <v>4465.99</v>
      </c>
      <c r="J593" s="27">
        <v>4465.99</v>
      </c>
      <c r="K593" s="18">
        <f t="shared" si="19"/>
        <v>4465.99</v>
      </c>
      <c r="L593" s="27">
        <v>4465.99</v>
      </c>
      <c r="M593" s="36">
        <v>0</v>
      </c>
      <c r="T593" s="41">
        <v>0</v>
      </c>
      <c r="U593" s="41">
        <v>0</v>
      </c>
      <c r="V593" s="42" t="s">
        <v>113</v>
      </c>
      <c r="W593" s="42">
        <v>4465.99</v>
      </c>
      <c r="X593" s="42">
        <v>4465.99</v>
      </c>
    </row>
    <row r="594" spans="1:24">
      <c r="A594" s="27" t="s">
        <v>1222</v>
      </c>
      <c r="B594" s="28" t="s">
        <v>215</v>
      </c>
      <c r="C594" s="27" t="s">
        <v>1223</v>
      </c>
      <c r="D594" s="27" t="s">
        <v>112</v>
      </c>
      <c r="E594" s="29">
        <v>40165</v>
      </c>
      <c r="F594" s="27">
        <v>12</v>
      </c>
      <c r="G594" s="18">
        <v>4465.99</v>
      </c>
      <c r="H594" s="27">
        <f t="shared" si="18"/>
        <v>4465.99</v>
      </c>
      <c r="I594" s="18">
        <v>4465.99</v>
      </c>
      <c r="J594" s="27">
        <v>4465.99</v>
      </c>
      <c r="K594" s="18">
        <f t="shared" si="19"/>
        <v>4465.99</v>
      </c>
      <c r="L594" s="27">
        <v>4465.99</v>
      </c>
      <c r="M594" s="36">
        <v>0</v>
      </c>
      <c r="T594" s="41">
        <v>0</v>
      </c>
      <c r="U594" s="41">
        <v>0</v>
      </c>
      <c r="V594" s="42" t="s">
        <v>113</v>
      </c>
      <c r="W594" s="42">
        <v>4465.99</v>
      </c>
      <c r="X594" s="42">
        <v>4465.99</v>
      </c>
    </row>
    <row r="595" spans="1:24">
      <c r="A595" s="27" t="s">
        <v>1224</v>
      </c>
      <c r="B595" s="28" t="s">
        <v>215</v>
      </c>
      <c r="C595" s="27" t="s">
        <v>1225</v>
      </c>
      <c r="D595" s="27" t="s">
        <v>230</v>
      </c>
      <c r="E595" s="29">
        <v>40268</v>
      </c>
      <c r="F595" s="27">
        <v>15</v>
      </c>
      <c r="G595" s="18">
        <v>46063.67</v>
      </c>
      <c r="H595" s="27">
        <f t="shared" si="18"/>
        <v>0</v>
      </c>
      <c r="I595" s="18">
        <v>31308.3</v>
      </c>
      <c r="J595" s="27">
        <v>46063.67</v>
      </c>
      <c r="K595" s="18">
        <f t="shared" si="19"/>
        <v>0</v>
      </c>
      <c r="L595" s="27">
        <v>33300.65</v>
      </c>
      <c r="M595" s="36">
        <v>1992.35</v>
      </c>
      <c r="T595" s="41">
        <v>0</v>
      </c>
      <c r="U595" s="41">
        <v>0</v>
      </c>
      <c r="V595" s="42" t="s">
        <v>113</v>
      </c>
      <c r="W595" s="42">
        <v>0</v>
      </c>
      <c r="X595" s="42">
        <v>0</v>
      </c>
    </row>
    <row r="596" spans="1:24">
      <c r="A596" s="27" t="s">
        <v>1226</v>
      </c>
      <c r="B596" s="28" t="s">
        <v>215</v>
      </c>
      <c r="C596" s="27" t="s">
        <v>1227</v>
      </c>
      <c r="D596" s="27" t="s">
        <v>230</v>
      </c>
      <c r="E596" s="29">
        <v>40268</v>
      </c>
      <c r="F596" s="27">
        <v>15</v>
      </c>
      <c r="G596" s="18">
        <v>46063.66</v>
      </c>
      <c r="H596" s="27">
        <f t="shared" si="18"/>
        <v>0</v>
      </c>
      <c r="I596" s="18">
        <v>31308.29</v>
      </c>
      <c r="J596" s="27">
        <v>46063.66</v>
      </c>
      <c r="K596" s="18">
        <f t="shared" si="19"/>
        <v>0</v>
      </c>
      <c r="L596" s="27">
        <v>33300.639999999999</v>
      </c>
      <c r="M596" s="36">
        <v>1992.35</v>
      </c>
      <c r="T596" s="41">
        <v>0</v>
      </c>
      <c r="U596" s="41">
        <v>0</v>
      </c>
      <c r="V596" s="42" t="s">
        <v>113</v>
      </c>
      <c r="W596" s="42">
        <v>0</v>
      </c>
      <c r="X596" s="42">
        <v>0</v>
      </c>
    </row>
    <row r="597" spans="1:24">
      <c r="A597" s="27" t="s">
        <v>1228</v>
      </c>
      <c r="B597" s="28" t="s">
        <v>215</v>
      </c>
      <c r="C597" s="27" t="s">
        <v>1229</v>
      </c>
      <c r="D597" s="27" t="s">
        <v>230</v>
      </c>
      <c r="E597" s="29">
        <v>40165</v>
      </c>
      <c r="F597" s="27">
        <v>15</v>
      </c>
      <c r="G597" s="18">
        <v>67629.45</v>
      </c>
      <c r="H597" s="27">
        <f t="shared" si="18"/>
        <v>67629.45</v>
      </c>
      <c r="I597" s="18">
        <v>64247.98</v>
      </c>
      <c r="J597" s="27">
        <v>67629.45</v>
      </c>
      <c r="K597" s="18">
        <f t="shared" si="19"/>
        <v>67629.45</v>
      </c>
      <c r="L597" s="27">
        <v>64247.98</v>
      </c>
      <c r="M597" s="36">
        <v>0</v>
      </c>
      <c r="T597" s="41">
        <v>0</v>
      </c>
      <c r="U597" s="41">
        <v>0</v>
      </c>
      <c r="V597" s="42" t="s">
        <v>113</v>
      </c>
      <c r="W597" s="42">
        <v>67629.45</v>
      </c>
      <c r="X597" s="42">
        <v>67629.45</v>
      </c>
    </row>
    <row r="598" spans="1:24">
      <c r="A598" s="27" t="s">
        <v>1230</v>
      </c>
      <c r="B598" s="28" t="s">
        <v>215</v>
      </c>
      <c r="C598" s="27" t="s">
        <v>1231</v>
      </c>
      <c r="D598" s="27" t="s">
        <v>230</v>
      </c>
      <c r="E598" s="29">
        <v>40165</v>
      </c>
      <c r="F598" s="27">
        <v>15</v>
      </c>
      <c r="G598" s="18">
        <v>9661.35</v>
      </c>
      <c r="H598" s="27">
        <f t="shared" si="18"/>
        <v>9661.35</v>
      </c>
      <c r="I598" s="18">
        <v>9178.2800000000007</v>
      </c>
      <c r="J598" s="27">
        <v>9661.35</v>
      </c>
      <c r="K598" s="18">
        <f t="shared" si="19"/>
        <v>9661.35</v>
      </c>
      <c r="L598" s="27">
        <v>9178.2800000000007</v>
      </c>
      <c r="M598" s="36">
        <v>0</v>
      </c>
      <c r="T598" s="41">
        <v>0</v>
      </c>
      <c r="U598" s="41">
        <v>0</v>
      </c>
      <c r="V598" s="42" t="s">
        <v>113</v>
      </c>
      <c r="W598" s="42">
        <v>9661.35</v>
      </c>
      <c r="X598" s="42">
        <v>9661.35</v>
      </c>
    </row>
    <row r="599" spans="1:24">
      <c r="A599" s="27" t="s">
        <v>1232</v>
      </c>
      <c r="B599" s="28" t="s">
        <v>215</v>
      </c>
      <c r="C599" s="27" t="s">
        <v>1233</v>
      </c>
      <c r="D599" s="27" t="s">
        <v>230</v>
      </c>
      <c r="E599" s="29">
        <v>40165</v>
      </c>
      <c r="F599" s="27">
        <v>15</v>
      </c>
      <c r="G599" s="18">
        <v>77290.8</v>
      </c>
      <c r="H599" s="27">
        <f t="shared" si="18"/>
        <v>77290.8</v>
      </c>
      <c r="I599" s="18">
        <v>73426.259999999995</v>
      </c>
      <c r="J599" s="27">
        <v>77290.8</v>
      </c>
      <c r="K599" s="18">
        <f t="shared" si="19"/>
        <v>77290.8</v>
      </c>
      <c r="L599" s="27">
        <v>73426.259999999995</v>
      </c>
      <c r="M599" s="36">
        <v>0</v>
      </c>
      <c r="T599" s="41">
        <v>0</v>
      </c>
      <c r="U599" s="41">
        <v>0</v>
      </c>
      <c r="V599" s="42" t="s">
        <v>113</v>
      </c>
      <c r="W599" s="42">
        <v>77290.8</v>
      </c>
      <c r="X599" s="42">
        <v>77290.8</v>
      </c>
    </row>
    <row r="600" spans="1:24">
      <c r="A600" s="27" t="s">
        <v>1234</v>
      </c>
      <c r="B600" s="28" t="s">
        <v>215</v>
      </c>
      <c r="C600" s="27" t="s">
        <v>1235</v>
      </c>
      <c r="D600" s="27" t="s">
        <v>230</v>
      </c>
      <c r="E600" s="29">
        <v>40165</v>
      </c>
      <c r="F600" s="27">
        <v>15</v>
      </c>
      <c r="G600" s="18">
        <v>19322.7</v>
      </c>
      <c r="H600" s="27">
        <f t="shared" si="18"/>
        <v>19322.7</v>
      </c>
      <c r="I600" s="18">
        <v>18356.560000000001</v>
      </c>
      <c r="J600" s="27">
        <v>19322.7</v>
      </c>
      <c r="K600" s="18">
        <f t="shared" si="19"/>
        <v>19322.7</v>
      </c>
      <c r="L600" s="27">
        <v>18356.560000000001</v>
      </c>
      <c r="M600" s="36">
        <v>0</v>
      </c>
      <c r="T600" s="41">
        <v>0</v>
      </c>
      <c r="U600" s="41">
        <v>0</v>
      </c>
      <c r="V600" s="42" t="s">
        <v>113</v>
      </c>
      <c r="W600" s="42">
        <v>19322.7</v>
      </c>
      <c r="X600" s="42">
        <v>19322.7</v>
      </c>
    </row>
    <row r="601" spans="1:24">
      <c r="A601" s="27" t="s">
        <v>1236</v>
      </c>
      <c r="B601" s="28" t="s">
        <v>215</v>
      </c>
      <c r="C601" s="27" t="s">
        <v>1237</v>
      </c>
      <c r="D601" s="27" t="s">
        <v>230</v>
      </c>
      <c r="E601" s="29">
        <v>40165</v>
      </c>
      <c r="F601" s="27">
        <v>15</v>
      </c>
      <c r="G601" s="18">
        <v>106274.85</v>
      </c>
      <c r="H601" s="27">
        <f t="shared" si="18"/>
        <v>106274.85</v>
      </c>
      <c r="I601" s="18">
        <v>100961.11</v>
      </c>
      <c r="J601" s="27">
        <v>106274.85</v>
      </c>
      <c r="K601" s="18">
        <f t="shared" si="19"/>
        <v>106274.85</v>
      </c>
      <c r="L601" s="27">
        <v>100961.11</v>
      </c>
      <c r="M601" s="36">
        <v>0</v>
      </c>
      <c r="T601" s="41">
        <v>0</v>
      </c>
      <c r="U601" s="41">
        <v>0</v>
      </c>
      <c r="V601" s="42" t="s">
        <v>113</v>
      </c>
      <c r="W601" s="42">
        <v>106274.85</v>
      </c>
      <c r="X601" s="42">
        <v>106274.85</v>
      </c>
    </row>
    <row r="602" spans="1:24">
      <c r="A602" s="27" t="s">
        <v>1238</v>
      </c>
      <c r="B602" s="28" t="s">
        <v>215</v>
      </c>
      <c r="C602" s="27" t="s">
        <v>1239</v>
      </c>
      <c r="D602" s="27" t="s">
        <v>230</v>
      </c>
      <c r="E602" s="29">
        <v>40165</v>
      </c>
      <c r="F602" s="27">
        <v>15</v>
      </c>
      <c r="G602" s="18">
        <v>9661.35</v>
      </c>
      <c r="H602" s="27">
        <f t="shared" si="18"/>
        <v>9661.35</v>
      </c>
      <c r="I602" s="18">
        <v>9178.2800000000007</v>
      </c>
      <c r="J602" s="27">
        <v>9661.35</v>
      </c>
      <c r="K602" s="18">
        <f t="shared" si="19"/>
        <v>9661.35</v>
      </c>
      <c r="L602" s="27">
        <v>9178.2800000000007</v>
      </c>
      <c r="M602" s="36">
        <v>0</v>
      </c>
      <c r="T602" s="41">
        <v>0</v>
      </c>
      <c r="U602" s="41">
        <v>0</v>
      </c>
      <c r="V602" s="42" t="s">
        <v>113</v>
      </c>
      <c r="W602" s="42">
        <v>9661.35</v>
      </c>
      <c r="X602" s="42">
        <v>9661.35</v>
      </c>
    </row>
    <row r="603" spans="1:24">
      <c r="A603" s="27" t="s">
        <v>1240</v>
      </c>
      <c r="B603" s="28" t="s">
        <v>215</v>
      </c>
      <c r="C603" s="27" t="s">
        <v>1011</v>
      </c>
      <c r="D603" s="27" t="s">
        <v>230</v>
      </c>
      <c r="E603" s="29">
        <v>40165</v>
      </c>
      <c r="F603" s="27">
        <v>15</v>
      </c>
      <c r="G603" s="18">
        <v>77290.8</v>
      </c>
      <c r="H603" s="27">
        <f t="shared" si="18"/>
        <v>77290.8</v>
      </c>
      <c r="I603" s="18">
        <v>73426.259999999995</v>
      </c>
      <c r="J603" s="27">
        <v>77290.8</v>
      </c>
      <c r="K603" s="18">
        <f t="shared" si="19"/>
        <v>77290.8</v>
      </c>
      <c r="L603" s="27">
        <v>73426.259999999995</v>
      </c>
      <c r="M603" s="36">
        <v>0</v>
      </c>
      <c r="T603" s="41">
        <v>0</v>
      </c>
      <c r="U603" s="41">
        <v>0</v>
      </c>
      <c r="V603" s="42" t="s">
        <v>113</v>
      </c>
      <c r="W603" s="42">
        <v>77290.8</v>
      </c>
      <c r="X603" s="42">
        <v>77290.8</v>
      </c>
    </row>
    <row r="604" spans="1:24">
      <c r="A604" s="27" t="s">
        <v>1241</v>
      </c>
      <c r="B604" s="28" t="s">
        <v>215</v>
      </c>
      <c r="C604" s="27" t="s">
        <v>1242</v>
      </c>
      <c r="D604" s="27" t="s">
        <v>230</v>
      </c>
      <c r="E604" s="29">
        <v>40165</v>
      </c>
      <c r="F604" s="27">
        <v>15</v>
      </c>
      <c r="G604" s="18">
        <v>57290.5</v>
      </c>
      <c r="H604" s="27">
        <f t="shared" si="18"/>
        <v>57290.5</v>
      </c>
      <c r="I604" s="18">
        <v>54425.97</v>
      </c>
      <c r="J604" s="27">
        <v>57290.5</v>
      </c>
      <c r="K604" s="18">
        <f t="shared" si="19"/>
        <v>57290.5</v>
      </c>
      <c r="L604" s="27">
        <v>54425.97</v>
      </c>
      <c r="M604" s="36">
        <v>0</v>
      </c>
      <c r="T604" s="41">
        <v>0</v>
      </c>
      <c r="U604" s="41">
        <v>0</v>
      </c>
      <c r="V604" s="42" t="s">
        <v>113</v>
      </c>
      <c r="W604" s="42">
        <v>57290.5</v>
      </c>
      <c r="X604" s="42">
        <v>57290.5</v>
      </c>
    </row>
    <row r="605" spans="1:24">
      <c r="A605" s="27" t="s">
        <v>1243</v>
      </c>
      <c r="B605" s="28" t="s">
        <v>215</v>
      </c>
      <c r="C605" s="27" t="s">
        <v>229</v>
      </c>
      <c r="D605" s="27" t="s">
        <v>230</v>
      </c>
      <c r="E605" s="29">
        <v>40165</v>
      </c>
      <c r="F605" s="27">
        <v>15</v>
      </c>
      <c r="G605" s="18">
        <v>9661.35</v>
      </c>
      <c r="H605" s="27">
        <f t="shared" si="18"/>
        <v>9661.35</v>
      </c>
      <c r="I605" s="18">
        <v>9178.2800000000007</v>
      </c>
      <c r="J605" s="27">
        <v>9661.35</v>
      </c>
      <c r="K605" s="18">
        <f t="shared" si="19"/>
        <v>9661.35</v>
      </c>
      <c r="L605" s="27">
        <v>9178.2800000000007</v>
      </c>
      <c r="M605" s="36">
        <v>0</v>
      </c>
      <c r="T605" s="41">
        <v>0</v>
      </c>
      <c r="U605" s="41">
        <v>0</v>
      </c>
      <c r="V605" s="42" t="s">
        <v>113</v>
      </c>
      <c r="W605" s="42">
        <v>9661.35</v>
      </c>
      <c r="X605" s="42">
        <v>9661.35</v>
      </c>
    </row>
    <row r="606" spans="1:24">
      <c r="A606" s="27" t="s">
        <v>1244</v>
      </c>
      <c r="B606" s="28" t="s">
        <v>215</v>
      </c>
      <c r="C606" s="27" t="s">
        <v>1245</v>
      </c>
      <c r="D606" s="27" t="s">
        <v>230</v>
      </c>
      <c r="E606" s="29">
        <v>40165</v>
      </c>
      <c r="F606" s="27">
        <v>15</v>
      </c>
      <c r="G606" s="18">
        <v>97718.98</v>
      </c>
      <c r="H606" s="27">
        <f t="shared" si="18"/>
        <v>97718.98</v>
      </c>
      <c r="I606" s="18">
        <v>92833.03</v>
      </c>
      <c r="J606" s="27">
        <v>97718.98</v>
      </c>
      <c r="K606" s="18">
        <f t="shared" si="19"/>
        <v>97718.98</v>
      </c>
      <c r="L606" s="27">
        <v>92833.03</v>
      </c>
      <c r="M606" s="36">
        <v>0</v>
      </c>
      <c r="T606" s="41">
        <v>0</v>
      </c>
      <c r="U606" s="41">
        <v>0</v>
      </c>
      <c r="V606" s="42" t="s">
        <v>113</v>
      </c>
      <c r="W606" s="42">
        <v>97718.98</v>
      </c>
      <c r="X606" s="42">
        <v>97718.98</v>
      </c>
    </row>
    <row r="607" spans="1:24">
      <c r="A607" s="27" t="s">
        <v>1246</v>
      </c>
      <c r="B607" s="28" t="s">
        <v>215</v>
      </c>
      <c r="C607" s="27" t="s">
        <v>485</v>
      </c>
      <c r="D607" s="27" t="s">
        <v>112</v>
      </c>
      <c r="E607" s="29">
        <v>40165</v>
      </c>
      <c r="F607" s="27">
        <v>15</v>
      </c>
      <c r="G607" s="18">
        <v>34599.5</v>
      </c>
      <c r="H607" s="27">
        <f t="shared" si="18"/>
        <v>34599.5</v>
      </c>
      <c r="I607" s="18">
        <v>32869.519999999997</v>
      </c>
      <c r="J607" s="27">
        <v>34599.5</v>
      </c>
      <c r="K607" s="18">
        <f t="shared" si="19"/>
        <v>34599.5</v>
      </c>
      <c r="L607" s="27">
        <v>32869.519999999997</v>
      </c>
      <c r="M607" s="36">
        <v>0</v>
      </c>
      <c r="T607" s="41">
        <v>0</v>
      </c>
      <c r="U607" s="41">
        <v>0</v>
      </c>
      <c r="V607" s="42" t="s">
        <v>113</v>
      </c>
      <c r="W607" s="42">
        <v>34599.5</v>
      </c>
      <c r="X607" s="42">
        <v>34599.5</v>
      </c>
    </row>
    <row r="608" spans="1:24">
      <c r="A608" s="27" t="s">
        <v>1247</v>
      </c>
      <c r="B608" s="28" t="s">
        <v>215</v>
      </c>
      <c r="C608" s="27" t="s">
        <v>1248</v>
      </c>
      <c r="D608" s="27" t="s">
        <v>112</v>
      </c>
      <c r="E608" s="29">
        <v>40165</v>
      </c>
      <c r="F608" s="27">
        <v>12</v>
      </c>
      <c r="G608" s="18">
        <v>1494.73</v>
      </c>
      <c r="H608" s="27">
        <f t="shared" si="18"/>
        <v>1494.73</v>
      </c>
      <c r="I608" s="18">
        <v>1494.73</v>
      </c>
      <c r="J608" s="27">
        <v>1494.73</v>
      </c>
      <c r="K608" s="18">
        <f t="shared" si="19"/>
        <v>1494.73</v>
      </c>
      <c r="L608" s="27">
        <v>1494.73</v>
      </c>
      <c r="M608" s="36">
        <v>0</v>
      </c>
      <c r="T608" s="41">
        <v>0</v>
      </c>
      <c r="U608" s="41">
        <v>0</v>
      </c>
      <c r="V608" s="42" t="s">
        <v>113</v>
      </c>
      <c r="W608" s="42">
        <v>1494.73</v>
      </c>
      <c r="X608" s="42">
        <v>1494.73</v>
      </c>
    </row>
    <row r="609" spans="1:24">
      <c r="A609" s="27" t="s">
        <v>1249</v>
      </c>
      <c r="B609" s="28" t="s">
        <v>215</v>
      </c>
      <c r="C609" s="27" t="s">
        <v>1250</v>
      </c>
      <c r="D609" s="27" t="s">
        <v>112</v>
      </c>
      <c r="E609" s="29">
        <v>40165</v>
      </c>
      <c r="F609" s="27">
        <v>12</v>
      </c>
      <c r="G609" s="18">
        <v>1494.73</v>
      </c>
      <c r="H609" s="27">
        <f t="shared" si="18"/>
        <v>1494.73</v>
      </c>
      <c r="I609" s="18">
        <v>1494.73</v>
      </c>
      <c r="J609" s="27">
        <v>1494.73</v>
      </c>
      <c r="K609" s="18">
        <f t="shared" si="19"/>
        <v>1494.73</v>
      </c>
      <c r="L609" s="27">
        <v>1494.73</v>
      </c>
      <c r="M609" s="36">
        <v>0</v>
      </c>
      <c r="T609" s="41">
        <v>0</v>
      </c>
      <c r="U609" s="41">
        <v>0</v>
      </c>
      <c r="V609" s="42" t="s">
        <v>113</v>
      </c>
      <c r="W609" s="42">
        <v>1494.73</v>
      </c>
      <c r="X609" s="42">
        <v>1494.73</v>
      </c>
    </row>
    <row r="610" spans="1:24">
      <c r="A610" s="27" t="s">
        <v>1251</v>
      </c>
      <c r="B610" s="28" t="s">
        <v>215</v>
      </c>
      <c r="C610" s="27" t="s">
        <v>1252</v>
      </c>
      <c r="D610" s="27" t="s">
        <v>112</v>
      </c>
      <c r="E610" s="29">
        <v>40165</v>
      </c>
      <c r="F610" s="27">
        <v>12</v>
      </c>
      <c r="G610" s="18">
        <v>1494.73</v>
      </c>
      <c r="H610" s="27">
        <f t="shared" si="18"/>
        <v>1494.73</v>
      </c>
      <c r="I610" s="18">
        <v>1494.73</v>
      </c>
      <c r="J610" s="27">
        <v>1494.73</v>
      </c>
      <c r="K610" s="18">
        <f t="shared" si="19"/>
        <v>1494.73</v>
      </c>
      <c r="L610" s="27">
        <v>1494.73</v>
      </c>
      <c r="M610" s="36">
        <v>0</v>
      </c>
      <c r="T610" s="41">
        <v>0</v>
      </c>
      <c r="U610" s="41">
        <v>0</v>
      </c>
      <c r="V610" s="42" t="s">
        <v>113</v>
      </c>
      <c r="W610" s="42">
        <v>1494.73</v>
      </c>
      <c r="X610" s="42">
        <v>1494.73</v>
      </c>
    </row>
    <row r="611" spans="1:24">
      <c r="A611" s="27" t="s">
        <v>1253</v>
      </c>
      <c r="B611" s="28" t="s">
        <v>215</v>
      </c>
      <c r="C611" s="27" t="s">
        <v>1254</v>
      </c>
      <c r="D611" s="27" t="s">
        <v>230</v>
      </c>
      <c r="E611" s="29">
        <v>40165</v>
      </c>
      <c r="F611" s="27">
        <v>15</v>
      </c>
      <c r="G611" s="18">
        <v>76121.81</v>
      </c>
      <c r="H611" s="27">
        <f t="shared" si="18"/>
        <v>76121.81</v>
      </c>
      <c r="I611" s="18">
        <v>72315.72</v>
      </c>
      <c r="J611" s="27">
        <v>76121.81</v>
      </c>
      <c r="K611" s="18">
        <f t="shared" si="19"/>
        <v>76121.81</v>
      </c>
      <c r="L611" s="27">
        <v>72315.72</v>
      </c>
      <c r="M611" s="36">
        <v>0</v>
      </c>
      <c r="T611" s="41">
        <v>0</v>
      </c>
      <c r="U611" s="41">
        <v>0</v>
      </c>
      <c r="V611" s="42" t="s">
        <v>113</v>
      </c>
      <c r="W611" s="42">
        <v>76121.81</v>
      </c>
      <c r="X611" s="42">
        <v>76121.81</v>
      </c>
    </row>
    <row r="612" spans="1:24">
      <c r="A612" s="27" t="s">
        <v>1255</v>
      </c>
      <c r="B612" s="28" t="s">
        <v>215</v>
      </c>
      <c r="C612" s="27" t="s">
        <v>1256</v>
      </c>
      <c r="D612" s="27" t="s">
        <v>230</v>
      </c>
      <c r="E612" s="29">
        <v>40165</v>
      </c>
      <c r="F612" s="27">
        <v>15</v>
      </c>
      <c r="G612" s="18">
        <v>12135.47</v>
      </c>
      <c r="H612" s="27">
        <f t="shared" si="18"/>
        <v>12135.47</v>
      </c>
      <c r="I612" s="18">
        <v>11528.7</v>
      </c>
      <c r="J612" s="27">
        <v>12135.47</v>
      </c>
      <c r="K612" s="18">
        <f t="shared" si="19"/>
        <v>12135.47</v>
      </c>
      <c r="L612" s="27">
        <v>11528.7</v>
      </c>
      <c r="M612" s="36">
        <v>0</v>
      </c>
      <c r="T612" s="41">
        <v>0</v>
      </c>
      <c r="U612" s="41">
        <v>0</v>
      </c>
      <c r="V612" s="42" t="s">
        <v>113</v>
      </c>
      <c r="W612" s="42">
        <v>12135.47</v>
      </c>
      <c r="X612" s="42">
        <v>12135.47</v>
      </c>
    </row>
    <row r="613" spans="1:24">
      <c r="A613" s="27" t="s">
        <v>1257</v>
      </c>
      <c r="B613" s="28" t="s">
        <v>215</v>
      </c>
      <c r="C613" s="27" t="s">
        <v>1258</v>
      </c>
      <c r="D613" s="27" t="s">
        <v>230</v>
      </c>
      <c r="E613" s="29">
        <v>40165</v>
      </c>
      <c r="F613" s="27">
        <v>15</v>
      </c>
      <c r="G613" s="18">
        <v>76121.81</v>
      </c>
      <c r="H613" s="27">
        <f t="shared" si="18"/>
        <v>76121.81</v>
      </c>
      <c r="I613" s="18">
        <v>72315.72</v>
      </c>
      <c r="J613" s="27">
        <v>76121.81</v>
      </c>
      <c r="K613" s="18">
        <f t="shared" si="19"/>
        <v>76121.81</v>
      </c>
      <c r="L613" s="27">
        <v>72315.72</v>
      </c>
      <c r="M613" s="36">
        <v>0</v>
      </c>
      <c r="T613" s="41">
        <v>0</v>
      </c>
      <c r="U613" s="41">
        <v>0</v>
      </c>
      <c r="V613" s="42" t="s">
        <v>113</v>
      </c>
      <c r="W613" s="42">
        <v>76121.81</v>
      </c>
      <c r="X613" s="42">
        <v>76121.81</v>
      </c>
    </row>
    <row r="614" spans="1:24">
      <c r="A614" s="27" t="s">
        <v>1259</v>
      </c>
      <c r="B614" s="28" t="s">
        <v>215</v>
      </c>
      <c r="C614" s="27" t="s">
        <v>1237</v>
      </c>
      <c r="D614" s="27" t="s">
        <v>230</v>
      </c>
      <c r="E614" s="29">
        <v>40165</v>
      </c>
      <c r="F614" s="27">
        <v>15</v>
      </c>
      <c r="G614" s="18">
        <v>109219.23</v>
      </c>
      <c r="H614" s="27">
        <f t="shared" si="18"/>
        <v>109219.23</v>
      </c>
      <c r="I614" s="18">
        <v>103758.27</v>
      </c>
      <c r="J614" s="27">
        <v>109219.23</v>
      </c>
      <c r="K614" s="18">
        <f t="shared" si="19"/>
        <v>109219.23</v>
      </c>
      <c r="L614" s="27">
        <v>103758.27</v>
      </c>
      <c r="M614" s="36">
        <v>0</v>
      </c>
      <c r="T614" s="41">
        <v>0</v>
      </c>
      <c r="U614" s="41">
        <v>0</v>
      </c>
      <c r="V614" s="42" t="s">
        <v>113</v>
      </c>
      <c r="W614" s="42">
        <v>109219.23</v>
      </c>
      <c r="X614" s="42">
        <v>109219.23</v>
      </c>
    </row>
    <row r="615" spans="1:24">
      <c r="A615" s="27" t="s">
        <v>1260</v>
      </c>
      <c r="B615" s="28" t="s">
        <v>215</v>
      </c>
      <c r="C615" s="27" t="s">
        <v>1261</v>
      </c>
      <c r="D615" s="27" t="s">
        <v>230</v>
      </c>
      <c r="E615" s="29">
        <v>40165</v>
      </c>
      <c r="F615" s="27">
        <v>15</v>
      </c>
      <c r="G615" s="18">
        <v>36406.410000000003</v>
      </c>
      <c r="H615" s="27">
        <f t="shared" si="18"/>
        <v>36406.410000000003</v>
      </c>
      <c r="I615" s="18">
        <v>34586.089999999997</v>
      </c>
      <c r="J615" s="27">
        <v>36406.410000000003</v>
      </c>
      <c r="K615" s="18">
        <f t="shared" si="19"/>
        <v>36406.410000000003</v>
      </c>
      <c r="L615" s="27">
        <v>34586.089999999997</v>
      </c>
      <c r="M615" s="36">
        <v>0</v>
      </c>
      <c r="T615" s="41">
        <v>0</v>
      </c>
      <c r="U615" s="41">
        <v>0</v>
      </c>
      <c r="V615" s="42" t="s">
        <v>113</v>
      </c>
      <c r="W615" s="42">
        <v>36406.410000000003</v>
      </c>
      <c r="X615" s="42">
        <v>36406.410000000003</v>
      </c>
    </row>
    <row r="616" spans="1:24">
      <c r="A616" s="27" t="s">
        <v>1262</v>
      </c>
      <c r="B616" s="28" t="s">
        <v>215</v>
      </c>
      <c r="C616" s="27" t="s">
        <v>1263</v>
      </c>
      <c r="D616" s="27" t="s">
        <v>230</v>
      </c>
      <c r="E616" s="29">
        <v>40165</v>
      </c>
      <c r="F616" s="27">
        <v>15</v>
      </c>
      <c r="G616" s="18">
        <v>76121.81</v>
      </c>
      <c r="H616" s="27">
        <f t="shared" si="18"/>
        <v>76121.81</v>
      </c>
      <c r="I616" s="18">
        <v>72315.72</v>
      </c>
      <c r="J616" s="27">
        <v>76121.81</v>
      </c>
      <c r="K616" s="18">
        <f t="shared" si="19"/>
        <v>76121.81</v>
      </c>
      <c r="L616" s="27">
        <v>72315.72</v>
      </c>
      <c r="M616" s="36">
        <v>0</v>
      </c>
      <c r="T616" s="41">
        <v>0</v>
      </c>
      <c r="U616" s="41">
        <v>0</v>
      </c>
      <c r="V616" s="42" t="s">
        <v>113</v>
      </c>
      <c r="W616" s="42">
        <v>76121.81</v>
      </c>
      <c r="X616" s="42">
        <v>76121.81</v>
      </c>
    </row>
    <row r="617" spans="1:24">
      <c r="A617" s="27" t="s">
        <v>1264</v>
      </c>
      <c r="B617" s="28" t="s">
        <v>215</v>
      </c>
      <c r="C617" s="27" t="s">
        <v>1265</v>
      </c>
      <c r="D617" s="27" t="s">
        <v>230</v>
      </c>
      <c r="E617" s="29">
        <v>40165</v>
      </c>
      <c r="F617" s="27">
        <v>15</v>
      </c>
      <c r="G617" s="18">
        <v>12135.47</v>
      </c>
      <c r="H617" s="27">
        <f t="shared" si="18"/>
        <v>12135.47</v>
      </c>
      <c r="I617" s="18">
        <v>11528.7</v>
      </c>
      <c r="J617" s="27">
        <v>12135.47</v>
      </c>
      <c r="K617" s="18">
        <f t="shared" si="19"/>
        <v>12135.47</v>
      </c>
      <c r="L617" s="27">
        <v>11528.7</v>
      </c>
      <c r="M617" s="36">
        <v>0</v>
      </c>
      <c r="T617" s="41">
        <v>0</v>
      </c>
      <c r="U617" s="41">
        <v>0</v>
      </c>
      <c r="V617" s="42" t="s">
        <v>113</v>
      </c>
      <c r="W617" s="42">
        <v>12135.47</v>
      </c>
      <c r="X617" s="42">
        <v>12135.47</v>
      </c>
    </row>
    <row r="618" spans="1:24">
      <c r="A618" s="27" t="s">
        <v>1266</v>
      </c>
      <c r="B618" s="28" t="s">
        <v>215</v>
      </c>
      <c r="C618" s="27" t="s">
        <v>1267</v>
      </c>
      <c r="D618" s="27" t="s">
        <v>230</v>
      </c>
      <c r="E618" s="29">
        <v>40165</v>
      </c>
      <c r="F618" s="27">
        <v>15</v>
      </c>
      <c r="G618" s="18">
        <v>78880.570000000007</v>
      </c>
      <c r="H618" s="27">
        <f t="shared" si="18"/>
        <v>78880.570000000007</v>
      </c>
      <c r="I618" s="18">
        <v>74936.539999999994</v>
      </c>
      <c r="J618" s="27">
        <v>78880.570000000007</v>
      </c>
      <c r="K618" s="18">
        <f t="shared" si="19"/>
        <v>78880.570000000007</v>
      </c>
      <c r="L618" s="27">
        <v>74936.539999999994</v>
      </c>
      <c r="M618" s="36">
        <v>0</v>
      </c>
      <c r="T618" s="41">
        <v>0</v>
      </c>
      <c r="U618" s="41">
        <v>0</v>
      </c>
      <c r="V618" s="42" t="s">
        <v>113</v>
      </c>
      <c r="W618" s="42">
        <v>78880.570000000007</v>
      </c>
      <c r="X618" s="42">
        <v>78880.570000000007</v>
      </c>
    </row>
    <row r="619" spans="1:24">
      <c r="A619" s="27" t="s">
        <v>1268</v>
      </c>
      <c r="B619" s="28" t="s">
        <v>215</v>
      </c>
      <c r="C619" s="27" t="s">
        <v>1269</v>
      </c>
      <c r="D619" s="27" t="s">
        <v>118</v>
      </c>
      <c r="E619" s="29">
        <v>40168</v>
      </c>
      <c r="F619" s="27">
        <v>12</v>
      </c>
      <c r="G619" s="18">
        <v>854.15</v>
      </c>
      <c r="H619" s="27">
        <f t="shared" si="18"/>
        <v>854.15</v>
      </c>
      <c r="I619" s="18">
        <v>854.15</v>
      </c>
      <c r="J619" s="27">
        <v>854.15</v>
      </c>
      <c r="K619" s="18">
        <f t="shared" si="19"/>
        <v>854.15</v>
      </c>
      <c r="L619" s="27">
        <v>854.15</v>
      </c>
      <c r="M619" s="36">
        <v>0</v>
      </c>
      <c r="T619" s="41">
        <v>0</v>
      </c>
      <c r="U619" s="41">
        <v>0</v>
      </c>
      <c r="V619" s="42" t="s">
        <v>113</v>
      </c>
      <c r="W619" s="42">
        <v>854.15</v>
      </c>
      <c r="X619" s="42">
        <v>854.15</v>
      </c>
    </row>
    <row r="620" spans="1:24">
      <c r="A620" s="27" t="s">
        <v>1270</v>
      </c>
      <c r="B620" s="28" t="s">
        <v>215</v>
      </c>
      <c r="C620" s="27" t="s">
        <v>540</v>
      </c>
      <c r="D620" s="27" t="s">
        <v>118</v>
      </c>
      <c r="E620" s="29">
        <v>40168</v>
      </c>
      <c r="F620" s="27">
        <v>12</v>
      </c>
      <c r="G620" s="18">
        <v>4061.22</v>
      </c>
      <c r="H620" s="27">
        <f t="shared" si="18"/>
        <v>4061.22</v>
      </c>
      <c r="I620" s="18">
        <v>4061.22</v>
      </c>
      <c r="J620" s="27">
        <v>4061.22</v>
      </c>
      <c r="K620" s="18">
        <f t="shared" si="19"/>
        <v>4061.22</v>
      </c>
      <c r="L620" s="27">
        <v>4061.22</v>
      </c>
      <c r="M620" s="36">
        <v>0</v>
      </c>
      <c r="T620" s="41">
        <v>0</v>
      </c>
      <c r="U620" s="41">
        <v>0</v>
      </c>
      <c r="V620" s="42" t="s">
        <v>113</v>
      </c>
      <c r="W620" s="42">
        <v>4061.22</v>
      </c>
      <c r="X620" s="42">
        <v>4061.22</v>
      </c>
    </row>
    <row r="621" spans="1:24">
      <c r="A621" s="27" t="s">
        <v>1271</v>
      </c>
      <c r="B621" s="28" t="s">
        <v>215</v>
      </c>
      <c r="C621" s="27" t="s">
        <v>1272</v>
      </c>
      <c r="D621" s="27" t="s">
        <v>112</v>
      </c>
      <c r="E621" s="29">
        <v>40168</v>
      </c>
      <c r="F621" s="27">
        <v>15</v>
      </c>
      <c r="G621" s="18">
        <v>6794.55</v>
      </c>
      <c r="H621" s="27">
        <f t="shared" si="18"/>
        <v>6794.55</v>
      </c>
      <c r="I621" s="18">
        <v>6454.82</v>
      </c>
      <c r="J621" s="27">
        <v>6794.55</v>
      </c>
      <c r="K621" s="18">
        <f t="shared" si="19"/>
        <v>6794.55</v>
      </c>
      <c r="L621" s="27">
        <v>6454.82</v>
      </c>
      <c r="M621" s="36">
        <v>0</v>
      </c>
      <c r="T621" s="41">
        <v>0</v>
      </c>
      <c r="U621" s="41">
        <v>0</v>
      </c>
      <c r="V621" s="42" t="s">
        <v>113</v>
      </c>
      <c r="W621" s="42">
        <v>6794.55</v>
      </c>
      <c r="X621" s="42">
        <v>6794.55</v>
      </c>
    </row>
    <row r="622" spans="1:24">
      <c r="A622" s="27" t="s">
        <v>1273</v>
      </c>
      <c r="B622" s="28" t="s">
        <v>215</v>
      </c>
      <c r="C622" s="27" t="s">
        <v>1274</v>
      </c>
      <c r="D622" s="27" t="s">
        <v>112</v>
      </c>
      <c r="E622" s="29">
        <v>40168</v>
      </c>
      <c r="F622" s="27">
        <v>15</v>
      </c>
      <c r="G622" s="18">
        <v>22620.33</v>
      </c>
      <c r="H622" s="27">
        <f t="shared" si="18"/>
        <v>22620.33</v>
      </c>
      <c r="I622" s="18">
        <v>21489.31</v>
      </c>
      <c r="J622" s="27">
        <v>22620.33</v>
      </c>
      <c r="K622" s="18">
        <f t="shared" si="19"/>
        <v>22620.33</v>
      </c>
      <c r="L622" s="27">
        <v>21489.31</v>
      </c>
      <c r="M622" s="36">
        <v>0</v>
      </c>
      <c r="T622" s="41">
        <v>0</v>
      </c>
      <c r="U622" s="41">
        <v>0</v>
      </c>
      <c r="V622" s="42" t="s">
        <v>113</v>
      </c>
      <c r="W622" s="42">
        <v>22620.33</v>
      </c>
      <c r="X622" s="42">
        <v>22620.33</v>
      </c>
    </row>
    <row r="623" spans="1:24">
      <c r="A623" s="27" t="s">
        <v>1275</v>
      </c>
      <c r="B623" s="28" t="s">
        <v>215</v>
      </c>
      <c r="C623" s="27" t="s">
        <v>1276</v>
      </c>
      <c r="D623" s="27" t="s">
        <v>112</v>
      </c>
      <c r="E623" s="29">
        <v>40168</v>
      </c>
      <c r="F623" s="27">
        <v>15</v>
      </c>
      <c r="G623" s="18">
        <v>5516.09</v>
      </c>
      <c r="H623" s="27">
        <f t="shared" si="18"/>
        <v>5516.09</v>
      </c>
      <c r="I623" s="18">
        <v>5240.29</v>
      </c>
      <c r="J623" s="27">
        <v>5516.09</v>
      </c>
      <c r="K623" s="18">
        <f t="shared" si="19"/>
        <v>5516.09</v>
      </c>
      <c r="L623" s="27">
        <v>5240.29</v>
      </c>
      <c r="M623" s="36">
        <v>0</v>
      </c>
      <c r="T623" s="41">
        <v>0</v>
      </c>
      <c r="U623" s="41">
        <v>0</v>
      </c>
      <c r="V623" s="42" t="s">
        <v>113</v>
      </c>
      <c r="W623" s="42">
        <v>5516.09</v>
      </c>
      <c r="X623" s="42">
        <v>5516.09</v>
      </c>
    </row>
    <row r="624" spans="1:24">
      <c r="A624" s="27" t="s">
        <v>1277</v>
      </c>
      <c r="B624" s="28" t="s">
        <v>215</v>
      </c>
      <c r="C624" s="27" t="s">
        <v>798</v>
      </c>
      <c r="D624" s="27" t="s">
        <v>118</v>
      </c>
      <c r="E624" s="29">
        <v>40168</v>
      </c>
      <c r="F624" s="27">
        <v>12</v>
      </c>
      <c r="G624" s="18">
        <v>3681.99</v>
      </c>
      <c r="H624" s="27">
        <f t="shared" si="18"/>
        <v>3681.99</v>
      </c>
      <c r="I624" s="18">
        <v>3681.99</v>
      </c>
      <c r="J624" s="27">
        <v>3681.99</v>
      </c>
      <c r="K624" s="18">
        <f t="shared" si="19"/>
        <v>3681.99</v>
      </c>
      <c r="L624" s="27">
        <v>3681.99</v>
      </c>
      <c r="M624" s="36">
        <v>0</v>
      </c>
      <c r="T624" s="41">
        <v>0</v>
      </c>
      <c r="U624" s="41">
        <v>0</v>
      </c>
      <c r="V624" s="42" t="s">
        <v>113</v>
      </c>
      <c r="W624" s="42">
        <v>3681.99</v>
      </c>
      <c r="X624" s="42">
        <v>3681.99</v>
      </c>
    </row>
    <row r="625" spans="1:24">
      <c r="A625" s="27" t="s">
        <v>1278</v>
      </c>
      <c r="B625" s="28" t="s">
        <v>215</v>
      </c>
      <c r="C625" s="27" t="s">
        <v>800</v>
      </c>
      <c r="D625" s="27" t="s">
        <v>118</v>
      </c>
      <c r="E625" s="29">
        <v>40168</v>
      </c>
      <c r="F625" s="27">
        <v>12</v>
      </c>
      <c r="G625" s="18">
        <v>3681.99</v>
      </c>
      <c r="H625" s="27">
        <f t="shared" si="18"/>
        <v>3681.99</v>
      </c>
      <c r="I625" s="18">
        <v>3681.99</v>
      </c>
      <c r="J625" s="27">
        <v>3681.99</v>
      </c>
      <c r="K625" s="18">
        <f t="shared" si="19"/>
        <v>3681.99</v>
      </c>
      <c r="L625" s="27">
        <v>3681.99</v>
      </c>
      <c r="M625" s="36">
        <v>0</v>
      </c>
      <c r="T625" s="41">
        <v>0</v>
      </c>
      <c r="U625" s="41">
        <v>0</v>
      </c>
      <c r="V625" s="42" t="s">
        <v>113</v>
      </c>
      <c r="W625" s="42">
        <v>3681.99</v>
      </c>
      <c r="X625" s="42">
        <v>3681.99</v>
      </c>
    </row>
    <row r="626" spans="1:24">
      <c r="A626" s="27" t="s">
        <v>1279</v>
      </c>
      <c r="B626" s="28" t="s">
        <v>215</v>
      </c>
      <c r="C626" s="27" t="s">
        <v>802</v>
      </c>
      <c r="D626" s="27" t="s">
        <v>118</v>
      </c>
      <c r="E626" s="29">
        <v>40168</v>
      </c>
      <c r="F626" s="27">
        <v>12</v>
      </c>
      <c r="G626" s="18">
        <v>3681.99</v>
      </c>
      <c r="H626" s="27">
        <f t="shared" si="18"/>
        <v>3681.99</v>
      </c>
      <c r="I626" s="18">
        <v>3681.99</v>
      </c>
      <c r="J626" s="27">
        <v>3681.99</v>
      </c>
      <c r="K626" s="18">
        <f t="shared" si="19"/>
        <v>3681.99</v>
      </c>
      <c r="L626" s="27">
        <v>3681.99</v>
      </c>
      <c r="M626" s="36">
        <v>0</v>
      </c>
      <c r="T626" s="41">
        <v>0</v>
      </c>
      <c r="U626" s="41">
        <v>0</v>
      </c>
      <c r="V626" s="42" t="s">
        <v>113</v>
      </c>
      <c r="W626" s="42">
        <v>3681.99</v>
      </c>
      <c r="X626" s="42">
        <v>3681.99</v>
      </c>
    </row>
    <row r="627" spans="1:24">
      <c r="A627" s="27" t="s">
        <v>1280</v>
      </c>
      <c r="B627" s="28" t="s">
        <v>215</v>
      </c>
      <c r="C627" s="27" t="s">
        <v>538</v>
      </c>
      <c r="D627" s="27" t="s">
        <v>118</v>
      </c>
      <c r="E627" s="29">
        <v>40168</v>
      </c>
      <c r="F627" s="27">
        <v>12</v>
      </c>
      <c r="G627" s="18">
        <v>3681.99</v>
      </c>
      <c r="H627" s="27">
        <f t="shared" si="18"/>
        <v>3681.99</v>
      </c>
      <c r="I627" s="18">
        <v>3681.99</v>
      </c>
      <c r="J627" s="27">
        <v>3681.99</v>
      </c>
      <c r="K627" s="18">
        <f t="shared" si="19"/>
        <v>3681.99</v>
      </c>
      <c r="L627" s="27">
        <v>3681.99</v>
      </c>
      <c r="M627" s="36">
        <v>0</v>
      </c>
      <c r="T627" s="41">
        <v>0</v>
      </c>
      <c r="U627" s="41">
        <v>0</v>
      </c>
      <c r="V627" s="42" t="s">
        <v>113</v>
      </c>
      <c r="W627" s="42">
        <v>3681.99</v>
      </c>
      <c r="X627" s="42">
        <v>3681.99</v>
      </c>
    </row>
    <row r="628" spans="1:24">
      <c r="A628" s="27" t="s">
        <v>1281</v>
      </c>
      <c r="B628" s="28" t="s">
        <v>215</v>
      </c>
      <c r="C628" s="27" t="s">
        <v>1282</v>
      </c>
      <c r="D628" s="27" t="s">
        <v>112</v>
      </c>
      <c r="E628" s="29">
        <v>40168</v>
      </c>
      <c r="F628" s="27">
        <v>15</v>
      </c>
      <c r="G628" s="18">
        <v>5311.87</v>
      </c>
      <c r="H628" s="27">
        <f t="shared" si="18"/>
        <v>5311.87</v>
      </c>
      <c r="I628" s="18">
        <v>5046.28</v>
      </c>
      <c r="J628" s="27">
        <v>5311.87</v>
      </c>
      <c r="K628" s="18">
        <f t="shared" si="19"/>
        <v>5311.87</v>
      </c>
      <c r="L628" s="27">
        <v>5046.28</v>
      </c>
      <c r="M628" s="36">
        <v>0</v>
      </c>
      <c r="T628" s="41">
        <v>0</v>
      </c>
      <c r="U628" s="41">
        <v>0</v>
      </c>
      <c r="V628" s="42" t="s">
        <v>113</v>
      </c>
      <c r="W628" s="42">
        <v>5311.87</v>
      </c>
      <c r="X628" s="42">
        <v>5311.87</v>
      </c>
    </row>
    <row r="629" spans="1:24">
      <c r="A629" s="27" t="s">
        <v>1283</v>
      </c>
      <c r="B629" s="28" t="s">
        <v>215</v>
      </c>
      <c r="C629" s="27" t="s">
        <v>1284</v>
      </c>
      <c r="D629" s="27" t="s">
        <v>112</v>
      </c>
      <c r="E629" s="29">
        <v>40168</v>
      </c>
      <c r="F629" s="27">
        <v>15</v>
      </c>
      <c r="G629" s="18">
        <v>17137.05</v>
      </c>
      <c r="H629" s="27">
        <f t="shared" si="18"/>
        <v>17137.05</v>
      </c>
      <c r="I629" s="18">
        <v>16280.2</v>
      </c>
      <c r="J629" s="27">
        <v>17137.05</v>
      </c>
      <c r="K629" s="18">
        <f t="shared" si="19"/>
        <v>17137.05</v>
      </c>
      <c r="L629" s="27">
        <v>16280.2</v>
      </c>
      <c r="M629" s="36">
        <v>0</v>
      </c>
      <c r="T629" s="41">
        <v>0</v>
      </c>
      <c r="U629" s="41">
        <v>0</v>
      </c>
      <c r="V629" s="42" t="s">
        <v>113</v>
      </c>
      <c r="W629" s="42">
        <v>17137.05</v>
      </c>
      <c r="X629" s="42">
        <v>17137.05</v>
      </c>
    </row>
    <row r="630" spans="1:24">
      <c r="A630" s="27" t="s">
        <v>1285</v>
      </c>
      <c r="B630" s="28" t="s">
        <v>215</v>
      </c>
      <c r="C630" s="27" t="s">
        <v>1286</v>
      </c>
      <c r="D630" s="27" t="s">
        <v>118</v>
      </c>
      <c r="E630" s="29">
        <v>40168</v>
      </c>
      <c r="F630" s="27">
        <v>12</v>
      </c>
      <c r="G630" s="18">
        <v>3681.99</v>
      </c>
      <c r="H630" s="27">
        <f t="shared" si="18"/>
        <v>3681.99</v>
      </c>
      <c r="I630" s="18">
        <v>3681.99</v>
      </c>
      <c r="J630" s="27">
        <v>3681.99</v>
      </c>
      <c r="K630" s="18">
        <f t="shared" si="19"/>
        <v>3681.99</v>
      </c>
      <c r="L630" s="27">
        <v>3681.99</v>
      </c>
      <c r="M630" s="36">
        <v>0</v>
      </c>
      <c r="T630" s="41">
        <v>0</v>
      </c>
      <c r="U630" s="41">
        <v>0</v>
      </c>
      <c r="V630" s="42" t="s">
        <v>113</v>
      </c>
      <c r="W630" s="42">
        <v>3681.99</v>
      </c>
      <c r="X630" s="42">
        <v>3681.99</v>
      </c>
    </row>
    <row r="631" spans="1:24">
      <c r="A631" s="27" t="s">
        <v>1287</v>
      </c>
      <c r="B631" s="28" t="s">
        <v>215</v>
      </c>
      <c r="C631" s="27" t="s">
        <v>1288</v>
      </c>
      <c r="D631" s="27" t="s">
        <v>118</v>
      </c>
      <c r="E631" s="29">
        <v>40168</v>
      </c>
      <c r="F631" s="27">
        <v>12</v>
      </c>
      <c r="G631" s="18">
        <v>3681.99</v>
      </c>
      <c r="H631" s="27">
        <f t="shared" si="18"/>
        <v>3681.99</v>
      </c>
      <c r="I631" s="18">
        <v>3681.99</v>
      </c>
      <c r="J631" s="27">
        <v>3681.99</v>
      </c>
      <c r="K631" s="18">
        <f t="shared" si="19"/>
        <v>3681.99</v>
      </c>
      <c r="L631" s="27">
        <v>3681.99</v>
      </c>
      <c r="M631" s="36">
        <v>0</v>
      </c>
      <c r="T631" s="41">
        <v>0</v>
      </c>
      <c r="U631" s="41">
        <v>0</v>
      </c>
      <c r="V631" s="42" t="s">
        <v>113</v>
      </c>
      <c r="W631" s="42">
        <v>3681.99</v>
      </c>
      <c r="X631" s="42">
        <v>3681.99</v>
      </c>
    </row>
    <row r="632" spans="1:24">
      <c r="A632" s="27" t="s">
        <v>1289</v>
      </c>
      <c r="B632" s="28" t="s">
        <v>215</v>
      </c>
      <c r="C632" s="27" t="s">
        <v>1290</v>
      </c>
      <c r="D632" s="27" t="s">
        <v>118</v>
      </c>
      <c r="E632" s="29">
        <v>40169</v>
      </c>
      <c r="F632" s="27">
        <v>12</v>
      </c>
      <c r="G632" s="18">
        <v>3681.99</v>
      </c>
      <c r="H632" s="27">
        <f t="shared" si="18"/>
        <v>3681.99</v>
      </c>
      <c r="I632" s="18">
        <v>3681.99</v>
      </c>
      <c r="J632" s="27">
        <v>3681.99</v>
      </c>
      <c r="K632" s="18">
        <f t="shared" si="19"/>
        <v>3681.99</v>
      </c>
      <c r="L632" s="27">
        <v>3681.99</v>
      </c>
      <c r="M632" s="36">
        <v>0</v>
      </c>
      <c r="T632" s="41">
        <v>0</v>
      </c>
      <c r="U632" s="41">
        <v>0</v>
      </c>
      <c r="V632" s="42" t="s">
        <v>113</v>
      </c>
      <c r="W632" s="42">
        <v>3681.99</v>
      </c>
      <c r="X632" s="42">
        <v>3681.99</v>
      </c>
    </row>
    <row r="633" spans="1:24">
      <c r="A633" s="27" t="s">
        <v>1291</v>
      </c>
      <c r="B633" s="28" t="s">
        <v>215</v>
      </c>
      <c r="C633" s="27" t="s">
        <v>1292</v>
      </c>
      <c r="D633" s="27" t="s">
        <v>230</v>
      </c>
      <c r="E633" s="29">
        <v>40168</v>
      </c>
      <c r="F633" s="27">
        <v>15</v>
      </c>
      <c r="G633" s="18">
        <v>6555.04</v>
      </c>
      <c r="H633" s="27">
        <f t="shared" si="18"/>
        <v>6555.04</v>
      </c>
      <c r="I633" s="18">
        <v>6227.29</v>
      </c>
      <c r="J633" s="27">
        <v>6555.04</v>
      </c>
      <c r="K633" s="18">
        <f t="shared" si="19"/>
        <v>6555.04</v>
      </c>
      <c r="L633" s="27">
        <v>6227.29</v>
      </c>
      <c r="M633" s="36">
        <v>0</v>
      </c>
      <c r="T633" s="41">
        <v>0</v>
      </c>
      <c r="U633" s="41">
        <v>0</v>
      </c>
      <c r="V633" s="42" t="s">
        <v>113</v>
      </c>
      <c r="W633" s="42">
        <v>6555.04</v>
      </c>
      <c r="X633" s="42">
        <v>6555.04</v>
      </c>
    </row>
    <row r="634" spans="1:24">
      <c r="A634" s="27" t="s">
        <v>1293</v>
      </c>
      <c r="B634" s="28" t="s">
        <v>215</v>
      </c>
      <c r="C634" s="27" t="s">
        <v>1294</v>
      </c>
      <c r="D634" s="27" t="s">
        <v>230</v>
      </c>
      <c r="E634" s="29">
        <v>40168</v>
      </c>
      <c r="F634" s="27">
        <v>15</v>
      </c>
      <c r="G634" s="18">
        <v>8254.83</v>
      </c>
      <c r="H634" s="27">
        <f t="shared" si="18"/>
        <v>8254.83</v>
      </c>
      <c r="I634" s="18">
        <v>7842.09</v>
      </c>
      <c r="J634" s="27">
        <v>8254.83</v>
      </c>
      <c r="K634" s="18">
        <f t="shared" si="19"/>
        <v>8254.83</v>
      </c>
      <c r="L634" s="27">
        <v>7842.09</v>
      </c>
      <c r="M634" s="36">
        <v>0</v>
      </c>
      <c r="T634" s="41">
        <v>0</v>
      </c>
      <c r="U634" s="41">
        <v>0</v>
      </c>
      <c r="V634" s="42" t="s">
        <v>113</v>
      </c>
      <c r="W634" s="42">
        <v>8254.83</v>
      </c>
      <c r="X634" s="42">
        <v>8254.83</v>
      </c>
    </row>
    <row r="635" spans="1:24">
      <c r="A635" s="27" t="s">
        <v>1295</v>
      </c>
      <c r="B635" s="28" t="s">
        <v>215</v>
      </c>
      <c r="C635" s="27" t="s">
        <v>1296</v>
      </c>
      <c r="D635" s="27" t="s">
        <v>230</v>
      </c>
      <c r="E635" s="29">
        <v>40169</v>
      </c>
      <c r="F635" s="27">
        <v>12</v>
      </c>
      <c r="G635" s="18">
        <v>4310.83</v>
      </c>
      <c r="H635" s="27">
        <f t="shared" si="18"/>
        <v>4310.83</v>
      </c>
      <c r="I635" s="18">
        <v>4310.83</v>
      </c>
      <c r="J635" s="27">
        <v>4310.83</v>
      </c>
      <c r="K635" s="18">
        <f t="shared" si="19"/>
        <v>4310.83</v>
      </c>
      <c r="L635" s="27">
        <v>4310.83</v>
      </c>
      <c r="M635" s="36">
        <v>0</v>
      </c>
      <c r="T635" s="41">
        <v>0</v>
      </c>
      <c r="U635" s="41">
        <v>0</v>
      </c>
      <c r="V635" s="42" t="s">
        <v>113</v>
      </c>
      <c r="W635" s="42">
        <v>4310.83</v>
      </c>
      <c r="X635" s="42">
        <v>4310.83</v>
      </c>
    </row>
    <row r="636" spans="1:24">
      <c r="A636" s="27" t="s">
        <v>1297</v>
      </c>
      <c r="B636" s="28" t="s">
        <v>215</v>
      </c>
      <c r="C636" s="27" t="s">
        <v>1298</v>
      </c>
      <c r="D636" s="27" t="s">
        <v>230</v>
      </c>
      <c r="E636" s="29">
        <v>40168</v>
      </c>
      <c r="F636" s="27">
        <v>15</v>
      </c>
      <c r="G636" s="18">
        <v>16208.38</v>
      </c>
      <c r="H636" s="27">
        <f t="shared" si="18"/>
        <v>16208.38</v>
      </c>
      <c r="I636" s="18">
        <v>15397.96</v>
      </c>
      <c r="J636" s="27">
        <v>16208.38</v>
      </c>
      <c r="K636" s="18">
        <f t="shared" si="19"/>
        <v>16208.38</v>
      </c>
      <c r="L636" s="27">
        <v>15397.96</v>
      </c>
      <c r="M636" s="36">
        <v>0</v>
      </c>
      <c r="T636" s="41">
        <v>0</v>
      </c>
      <c r="U636" s="41">
        <v>0</v>
      </c>
      <c r="V636" s="42" t="s">
        <v>113</v>
      </c>
      <c r="W636" s="42">
        <v>16208.38</v>
      </c>
      <c r="X636" s="42">
        <v>16208.38</v>
      </c>
    </row>
    <row r="637" spans="1:24">
      <c r="A637" s="27" t="s">
        <v>1299</v>
      </c>
      <c r="B637" s="28" t="s">
        <v>215</v>
      </c>
      <c r="C637" s="27" t="s">
        <v>1300</v>
      </c>
      <c r="D637" s="27" t="s">
        <v>230</v>
      </c>
      <c r="E637" s="29">
        <v>40169</v>
      </c>
      <c r="F637" s="27">
        <v>15</v>
      </c>
      <c r="G637" s="18">
        <v>16208.37</v>
      </c>
      <c r="H637" s="27">
        <f t="shared" si="18"/>
        <v>16208.37</v>
      </c>
      <c r="I637" s="18">
        <v>15397.95</v>
      </c>
      <c r="J637" s="27">
        <v>16208.37</v>
      </c>
      <c r="K637" s="18">
        <f t="shared" si="19"/>
        <v>16208.37</v>
      </c>
      <c r="L637" s="27">
        <v>15397.95</v>
      </c>
      <c r="M637" s="36">
        <v>0</v>
      </c>
      <c r="T637" s="41">
        <v>0</v>
      </c>
      <c r="U637" s="41">
        <v>0</v>
      </c>
      <c r="V637" s="42" t="s">
        <v>113</v>
      </c>
      <c r="W637" s="42">
        <v>16208.37</v>
      </c>
      <c r="X637" s="42">
        <v>16208.37</v>
      </c>
    </row>
    <row r="638" spans="1:24">
      <c r="A638" s="27" t="s">
        <v>1301</v>
      </c>
      <c r="B638" s="28" t="s">
        <v>215</v>
      </c>
      <c r="C638" s="27" t="s">
        <v>1302</v>
      </c>
      <c r="D638" s="27" t="s">
        <v>118</v>
      </c>
      <c r="E638" s="29">
        <v>40168</v>
      </c>
      <c r="F638" s="27">
        <v>15</v>
      </c>
      <c r="G638" s="18">
        <v>111261.1</v>
      </c>
      <c r="H638" s="27">
        <f t="shared" si="18"/>
        <v>111261.1</v>
      </c>
      <c r="I638" s="18">
        <v>105698.04</v>
      </c>
      <c r="J638" s="27">
        <v>111261.1</v>
      </c>
      <c r="K638" s="18">
        <f t="shared" si="19"/>
        <v>111261.1</v>
      </c>
      <c r="L638" s="27">
        <v>105698.04</v>
      </c>
      <c r="M638" s="36">
        <v>0</v>
      </c>
      <c r="T638" s="41">
        <v>0</v>
      </c>
      <c r="U638" s="41">
        <v>0</v>
      </c>
      <c r="V638" s="42" t="s">
        <v>113</v>
      </c>
      <c r="W638" s="42">
        <v>111261.1</v>
      </c>
      <c r="X638" s="42">
        <v>111261.1</v>
      </c>
    </row>
    <row r="639" spans="1:24">
      <c r="A639" s="27" t="s">
        <v>1303</v>
      </c>
      <c r="B639" s="28" t="s">
        <v>215</v>
      </c>
      <c r="C639" s="27" t="s">
        <v>1304</v>
      </c>
      <c r="D639" s="27" t="s">
        <v>118</v>
      </c>
      <c r="E639" s="29">
        <v>40169</v>
      </c>
      <c r="F639" s="27">
        <v>15</v>
      </c>
      <c r="G639" s="18">
        <v>21610.85</v>
      </c>
      <c r="H639" s="27">
        <f t="shared" si="18"/>
        <v>21610.85</v>
      </c>
      <c r="I639" s="18">
        <v>20530.310000000001</v>
      </c>
      <c r="J639" s="27">
        <v>21610.85</v>
      </c>
      <c r="K639" s="18">
        <f t="shared" si="19"/>
        <v>21610.85</v>
      </c>
      <c r="L639" s="27">
        <v>20530.310000000001</v>
      </c>
      <c r="M639" s="36">
        <v>0</v>
      </c>
      <c r="T639" s="41">
        <v>0</v>
      </c>
      <c r="U639" s="41">
        <v>0</v>
      </c>
      <c r="V639" s="42" t="s">
        <v>113</v>
      </c>
      <c r="W639" s="42">
        <v>21610.85</v>
      </c>
      <c r="X639" s="42">
        <v>21610.85</v>
      </c>
    </row>
    <row r="640" spans="1:24">
      <c r="A640" s="27" t="s">
        <v>1305</v>
      </c>
      <c r="B640" s="28" t="s">
        <v>215</v>
      </c>
      <c r="C640" s="27" t="s">
        <v>1306</v>
      </c>
      <c r="D640" s="27" t="s">
        <v>118</v>
      </c>
      <c r="E640" s="29">
        <v>40169</v>
      </c>
      <c r="F640" s="27">
        <v>12</v>
      </c>
      <c r="G640" s="18">
        <v>1053.1500000000001</v>
      </c>
      <c r="H640" s="27">
        <f t="shared" si="18"/>
        <v>1053.1500000000001</v>
      </c>
      <c r="I640" s="18">
        <v>1053.1500000000001</v>
      </c>
      <c r="J640" s="27">
        <v>1053.1500000000001</v>
      </c>
      <c r="K640" s="18">
        <f t="shared" si="19"/>
        <v>1053.1500000000001</v>
      </c>
      <c r="L640" s="27">
        <v>1053.1500000000001</v>
      </c>
      <c r="M640" s="36">
        <v>0</v>
      </c>
      <c r="T640" s="41">
        <v>0</v>
      </c>
      <c r="U640" s="41">
        <v>0</v>
      </c>
      <c r="V640" s="42" t="s">
        <v>113</v>
      </c>
      <c r="W640" s="42">
        <v>1053.1500000000001</v>
      </c>
      <c r="X640" s="42">
        <v>1053.1500000000001</v>
      </c>
    </row>
    <row r="641" spans="1:24">
      <c r="A641" s="27" t="s">
        <v>1307</v>
      </c>
      <c r="B641" s="28" t="s">
        <v>215</v>
      </c>
      <c r="C641" s="27" t="s">
        <v>1308</v>
      </c>
      <c r="D641" s="27" t="s">
        <v>118</v>
      </c>
      <c r="E641" s="29">
        <v>40169</v>
      </c>
      <c r="F641" s="27">
        <v>15</v>
      </c>
      <c r="G641" s="18">
        <v>25846.799999999999</v>
      </c>
      <c r="H641" s="27">
        <f t="shared" si="18"/>
        <v>25846.799999999999</v>
      </c>
      <c r="I641" s="18">
        <v>24554.46</v>
      </c>
      <c r="J641" s="27">
        <v>25846.799999999999</v>
      </c>
      <c r="K641" s="18">
        <f t="shared" si="19"/>
        <v>25846.799999999999</v>
      </c>
      <c r="L641" s="27">
        <v>24554.46</v>
      </c>
      <c r="M641" s="36">
        <v>0</v>
      </c>
      <c r="T641" s="41">
        <v>0</v>
      </c>
      <c r="U641" s="41">
        <v>0</v>
      </c>
      <c r="V641" s="42" t="s">
        <v>113</v>
      </c>
      <c r="W641" s="42">
        <v>25846.799999999999</v>
      </c>
      <c r="X641" s="42">
        <v>25846.799999999999</v>
      </c>
    </row>
    <row r="642" spans="1:24">
      <c r="A642" s="27" t="s">
        <v>1309</v>
      </c>
      <c r="B642" s="28" t="s">
        <v>215</v>
      </c>
      <c r="C642" s="27" t="s">
        <v>1310</v>
      </c>
      <c r="D642" s="27" t="s">
        <v>118</v>
      </c>
      <c r="E642" s="29">
        <v>40169</v>
      </c>
      <c r="F642" s="27">
        <v>15</v>
      </c>
      <c r="G642" s="18">
        <v>25846.799999999999</v>
      </c>
      <c r="H642" s="27">
        <f t="shared" si="18"/>
        <v>25846.799999999999</v>
      </c>
      <c r="I642" s="18">
        <v>24554.46</v>
      </c>
      <c r="J642" s="27">
        <v>25846.799999999999</v>
      </c>
      <c r="K642" s="18">
        <f t="shared" si="19"/>
        <v>25846.799999999999</v>
      </c>
      <c r="L642" s="27">
        <v>24554.46</v>
      </c>
      <c r="M642" s="36">
        <v>0</v>
      </c>
      <c r="T642" s="41">
        <v>0</v>
      </c>
      <c r="U642" s="41">
        <v>0</v>
      </c>
      <c r="V642" s="42" t="s">
        <v>113</v>
      </c>
      <c r="W642" s="42">
        <v>25846.799999999999</v>
      </c>
      <c r="X642" s="42">
        <v>25846.799999999999</v>
      </c>
    </row>
    <row r="643" spans="1:24">
      <c r="A643" s="27" t="s">
        <v>1311</v>
      </c>
      <c r="B643" s="28" t="s">
        <v>215</v>
      </c>
      <c r="C643" s="27" t="s">
        <v>1312</v>
      </c>
      <c r="D643" s="27" t="s">
        <v>118</v>
      </c>
      <c r="E643" s="29">
        <v>40169</v>
      </c>
      <c r="F643" s="27">
        <v>15</v>
      </c>
      <c r="G643" s="18">
        <v>25846.799999999999</v>
      </c>
      <c r="H643" s="27">
        <f t="shared" si="18"/>
        <v>25846.799999999999</v>
      </c>
      <c r="I643" s="18">
        <v>24554.46</v>
      </c>
      <c r="J643" s="27">
        <v>25846.799999999999</v>
      </c>
      <c r="K643" s="18">
        <f t="shared" si="19"/>
        <v>25846.799999999999</v>
      </c>
      <c r="L643" s="27">
        <v>24554.46</v>
      </c>
      <c r="M643" s="36">
        <v>0</v>
      </c>
      <c r="T643" s="41">
        <v>0</v>
      </c>
      <c r="U643" s="41">
        <v>0</v>
      </c>
      <c r="V643" s="42" t="s">
        <v>113</v>
      </c>
      <c r="W643" s="42">
        <v>25846.799999999999</v>
      </c>
      <c r="X643" s="42">
        <v>25846.799999999999</v>
      </c>
    </row>
    <row r="644" spans="1:24">
      <c r="A644" s="27" t="s">
        <v>1313</v>
      </c>
      <c r="B644" s="28" t="s">
        <v>215</v>
      </c>
      <c r="C644" s="27" t="s">
        <v>1314</v>
      </c>
      <c r="D644" s="27" t="s">
        <v>118</v>
      </c>
      <c r="E644" s="29">
        <v>40169</v>
      </c>
      <c r="F644" s="27">
        <v>15</v>
      </c>
      <c r="G644" s="18">
        <v>24718.68</v>
      </c>
      <c r="H644" s="27">
        <f t="shared" si="18"/>
        <v>24718.68</v>
      </c>
      <c r="I644" s="18">
        <v>23482.75</v>
      </c>
      <c r="J644" s="27">
        <v>24718.68</v>
      </c>
      <c r="K644" s="18">
        <f t="shared" si="19"/>
        <v>24718.68</v>
      </c>
      <c r="L644" s="27">
        <v>23482.75</v>
      </c>
      <c r="M644" s="36">
        <v>0</v>
      </c>
      <c r="T644" s="41">
        <v>0</v>
      </c>
      <c r="U644" s="41">
        <v>0</v>
      </c>
      <c r="V644" s="42" t="s">
        <v>113</v>
      </c>
      <c r="W644" s="42">
        <v>24718.68</v>
      </c>
      <c r="X644" s="42">
        <v>24718.68</v>
      </c>
    </row>
    <row r="645" spans="1:24">
      <c r="A645" s="27" t="s">
        <v>1315</v>
      </c>
      <c r="B645" s="28" t="s">
        <v>215</v>
      </c>
      <c r="C645" s="27" t="s">
        <v>1316</v>
      </c>
      <c r="D645" s="27" t="s">
        <v>118</v>
      </c>
      <c r="E645" s="29">
        <v>40169</v>
      </c>
      <c r="F645" s="27">
        <v>15</v>
      </c>
      <c r="G645" s="18">
        <v>10200.6</v>
      </c>
      <c r="H645" s="27">
        <f t="shared" si="18"/>
        <v>10200.6</v>
      </c>
      <c r="I645" s="18">
        <v>9690.57</v>
      </c>
      <c r="J645" s="27">
        <v>10200.6</v>
      </c>
      <c r="K645" s="18">
        <f t="shared" si="19"/>
        <v>10200.6</v>
      </c>
      <c r="L645" s="27">
        <v>9690.57</v>
      </c>
      <c r="M645" s="36">
        <v>0</v>
      </c>
      <c r="T645" s="41">
        <v>0</v>
      </c>
      <c r="U645" s="41">
        <v>0</v>
      </c>
      <c r="V645" s="42" t="s">
        <v>113</v>
      </c>
      <c r="W645" s="42">
        <v>10200.6</v>
      </c>
      <c r="X645" s="42">
        <v>10200.6</v>
      </c>
    </row>
    <row r="646" spans="1:24">
      <c r="A646" s="27" t="s">
        <v>1317</v>
      </c>
      <c r="B646" s="28" t="s">
        <v>215</v>
      </c>
      <c r="C646" s="27" t="s">
        <v>1318</v>
      </c>
      <c r="D646" s="27" t="s">
        <v>118</v>
      </c>
      <c r="E646" s="29">
        <v>40169</v>
      </c>
      <c r="F646" s="27">
        <v>15</v>
      </c>
      <c r="G646" s="18">
        <v>8550.15</v>
      </c>
      <c r="H646" s="27">
        <f t="shared" ref="H646:H709" si="20">IFERROR(IF(ROUND((G646-I646)/G646,2)&lt;=0.05,G646,0),0)</f>
        <v>8550.15</v>
      </c>
      <c r="I646" s="18">
        <v>8122.64</v>
      </c>
      <c r="J646" s="27">
        <v>8550.15</v>
      </c>
      <c r="K646" s="18">
        <f t="shared" ref="K646:K709" si="21">IFERROR(IF(ROUND((J646-L646)/J646,2)&lt;=0.05,J646,0),0)</f>
        <v>8550.15</v>
      </c>
      <c r="L646" s="27">
        <v>8122.64</v>
      </c>
      <c r="M646" s="36">
        <v>0</v>
      </c>
      <c r="T646" s="41">
        <v>0</v>
      </c>
      <c r="U646" s="41">
        <v>0</v>
      </c>
      <c r="V646" s="42" t="s">
        <v>113</v>
      </c>
      <c r="W646" s="42">
        <v>8550.15</v>
      </c>
      <c r="X646" s="42">
        <v>8550.15</v>
      </c>
    </row>
    <row r="647" spans="1:24">
      <c r="A647" s="27" t="s">
        <v>1319</v>
      </c>
      <c r="B647" s="28" t="s">
        <v>215</v>
      </c>
      <c r="C647" s="27" t="s">
        <v>1320</v>
      </c>
      <c r="D647" s="27" t="s">
        <v>118</v>
      </c>
      <c r="E647" s="29">
        <v>40169</v>
      </c>
      <c r="F647" s="27">
        <v>15</v>
      </c>
      <c r="G647" s="18">
        <v>10200.6</v>
      </c>
      <c r="H647" s="27">
        <f t="shared" si="20"/>
        <v>10200.6</v>
      </c>
      <c r="I647" s="18">
        <v>9690.57</v>
      </c>
      <c r="J647" s="27">
        <v>10200.6</v>
      </c>
      <c r="K647" s="18">
        <f t="shared" si="21"/>
        <v>10200.6</v>
      </c>
      <c r="L647" s="27">
        <v>9690.57</v>
      </c>
      <c r="M647" s="36">
        <v>0</v>
      </c>
      <c r="T647" s="41">
        <v>0</v>
      </c>
      <c r="U647" s="41">
        <v>0</v>
      </c>
      <c r="V647" s="42" t="s">
        <v>113</v>
      </c>
      <c r="W647" s="42">
        <v>10200.6</v>
      </c>
      <c r="X647" s="42">
        <v>10200.6</v>
      </c>
    </row>
    <row r="648" spans="1:24">
      <c r="A648" s="27" t="s">
        <v>1321</v>
      </c>
      <c r="B648" s="28" t="s">
        <v>215</v>
      </c>
      <c r="C648" s="27" t="s">
        <v>1322</v>
      </c>
      <c r="D648" s="27" t="s">
        <v>118</v>
      </c>
      <c r="E648" s="29">
        <v>40169</v>
      </c>
      <c r="F648" s="27">
        <v>15</v>
      </c>
      <c r="G648" s="18">
        <v>42383.040000000001</v>
      </c>
      <c r="H648" s="27">
        <f t="shared" si="20"/>
        <v>42383.040000000001</v>
      </c>
      <c r="I648" s="18">
        <v>40263.89</v>
      </c>
      <c r="J648" s="27">
        <v>42383.040000000001</v>
      </c>
      <c r="K648" s="18">
        <f t="shared" si="21"/>
        <v>42383.040000000001</v>
      </c>
      <c r="L648" s="27">
        <v>40263.89</v>
      </c>
      <c r="M648" s="36">
        <v>0</v>
      </c>
      <c r="T648" s="41">
        <v>0</v>
      </c>
      <c r="U648" s="41">
        <v>0</v>
      </c>
      <c r="V648" s="42" t="s">
        <v>113</v>
      </c>
      <c r="W648" s="42">
        <v>42383.040000000001</v>
      </c>
      <c r="X648" s="42">
        <v>42383.040000000001</v>
      </c>
    </row>
    <row r="649" spans="1:24">
      <c r="A649" s="27" t="s">
        <v>1323</v>
      </c>
      <c r="B649" s="28" t="s">
        <v>215</v>
      </c>
      <c r="C649" s="27" t="s">
        <v>1324</v>
      </c>
      <c r="D649" s="27" t="s">
        <v>118</v>
      </c>
      <c r="E649" s="29">
        <v>40169</v>
      </c>
      <c r="F649" s="27">
        <v>15</v>
      </c>
      <c r="G649" s="18">
        <v>15208.2</v>
      </c>
      <c r="H649" s="27">
        <f t="shared" si="20"/>
        <v>15208.2</v>
      </c>
      <c r="I649" s="18">
        <v>14447.79</v>
      </c>
      <c r="J649" s="27">
        <v>15208.2</v>
      </c>
      <c r="K649" s="18">
        <f t="shared" si="21"/>
        <v>15208.2</v>
      </c>
      <c r="L649" s="27">
        <v>14447.79</v>
      </c>
      <c r="M649" s="36">
        <v>0</v>
      </c>
      <c r="T649" s="41">
        <v>0</v>
      </c>
      <c r="U649" s="41">
        <v>0</v>
      </c>
      <c r="V649" s="42" t="s">
        <v>113</v>
      </c>
      <c r="W649" s="42">
        <v>15208.2</v>
      </c>
      <c r="X649" s="42">
        <v>15208.2</v>
      </c>
    </row>
    <row r="650" spans="1:24">
      <c r="A650" s="27" t="s">
        <v>1325</v>
      </c>
      <c r="B650" s="28" t="s">
        <v>215</v>
      </c>
      <c r="C650" s="27" t="s">
        <v>1326</v>
      </c>
      <c r="D650" s="27" t="s">
        <v>118</v>
      </c>
      <c r="E650" s="29">
        <v>40169</v>
      </c>
      <c r="F650" s="27">
        <v>15</v>
      </c>
      <c r="G650" s="18">
        <v>15208.2</v>
      </c>
      <c r="H650" s="27">
        <f t="shared" si="20"/>
        <v>15208.2</v>
      </c>
      <c r="I650" s="18">
        <v>14447.79</v>
      </c>
      <c r="J650" s="27">
        <v>15208.2</v>
      </c>
      <c r="K650" s="18">
        <f t="shared" si="21"/>
        <v>15208.2</v>
      </c>
      <c r="L650" s="27">
        <v>14447.79</v>
      </c>
      <c r="M650" s="36">
        <v>0</v>
      </c>
      <c r="T650" s="41">
        <v>0</v>
      </c>
      <c r="U650" s="41">
        <v>0</v>
      </c>
      <c r="V650" s="42" t="s">
        <v>113</v>
      </c>
      <c r="W650" s="42">
        <v>15208.2</v>
      </c>
      <c r="X650" s="42">
        <v>15208.2</v>
      </c>
    </row>
    <row r="651" spans="1:24">
      <c r="A651" s="27" t="s">
        <v>1327</v>
      </c>
      <c r="B651" s="28" t="s">
        <v>215</v>
      </c>
      <c r="C651" s="27" t="s">
        <v>1328</v>
      </c>
      <c r="D651" s="27" t="s">
        <v>118</v>
      </c>
      <c r="E651" s="29">
        <v>40169</v>
      </c>
      <c r="F651" s="27">
        <v>15</v>
      </c>
      <c r="G651" s="18">
        <v>15208.2</v>
      </c>
      <c r="H651" s="27">
        <f t="shared" si="20"/>
        <v>15208.2</v>
      </c>
      <c r="I651" s="18">
        <v>14447.79</v>
      </c>
      <c r="J651" s="27">
        <v>15208.2</v>
      </c>
      <c r="K651" s="18">
        <f t="shared" si="21"/>
        <v>15208.2</v>
      </c>
      <c r="L651" s="27">
        <v>14447.79</v>
      </c>
      <c r="M651" s="36">
        <v>0</v>
      </c>
      <c r="T651" s="41">
        <v>0</v>
      </c>
      <c r="U651" s="41">
        <v>0</v>
      </c>
      <c r="V651" s="42" t="s">
        <v>113</v>
      </c>
      <c r="W651" s="42">
        <v>15208.2</v>
      </c>
      <c r="X651" s="42">
        <v>15208.2</v>
      </c>
    </row>
    <row r="652" spans="1:24">
      <c r="A652" s="27" t="s">
        <v>1329</v>
      </c>
      <c r="B652" s="28" t="s">
        <v>215</v>
      </c>
      <c r="C652" s="27" t="s">
        <v>1330</v>
      </c>
      <c r="D652" s="27" t="s">
        <v>118</v>
      </c>
      <c r="E652" s="29">
        <v>40169</v>
      </c>
      <c r="F652" s="27">
        <v>15</v>
      </c>
      <c r="G652" s="18">
        <v>15208.2</v>
      </c>
      <c r="H652" s="27">
        <f t="shared" si="20"/>
        <v>15208.2</v>
      </c>
      <c r="I652" s="18">
        <v>14447.79</v>
      </c>
      <c r="J652" s="27">
        <v>15208.2</v>
      </c>
      <c r="K652" s="18">
        <f t="shared" si="21"/>
        <v>15208.2</v>
      </c>
      <c r="L652" s="27">
        <v>14447.79</v>
      </c>
      <c r="M652" s="36">
        <v>0</v>
      </c>
      <c r="T652" s="41">
        <v>0</v>
      </c>
      <c r="U652" s="41">
        <v>0</v>
      </c>
      <c r="V652" s="42" t="s">
        <v>113</v>
      </c>
      <c r="W652" s="42">
        <v>15208.2</v>
      </c>
      <c r="X652" s="42">
        <v>15208.2</v>
      </c>
    </row>
    <row r="653" spans="1:24">
      <c r="A653" s="27" t="s">
        <v>1331</v>
      </c>
      <c r="B653" s="28" t="s">
        <v>215</v>
      </c>
      <c r="C653" s="27" t="s">
        <v>1332</v>
      </c>
      <c r="D653" s="27" t="s">
        <v>118</v>
      </c>
      <c r="E653" s="29">
        <v>40169</v>
      </c>
      <c r="F653" s="27">
        <v>15</v>
      </c>
      <c r="G653" s="18">
        <v>15208.2</v>
      </c>
      <c r="H653" s="27">
        <f t="shared" si="20"/>
        <v>15208.2</v>
      </c>
      <c r="I653" s="18">
        <v>14447.79</v>
      </c>
      <c r="J653" s="27">
        <v>15208.2</v>
      </c>
      <c r="K653" s="18">
        <f t="shared" si="21"/>
        <v>15208.2</v>
      </c>
      <c r="L653" s="27">
        <v>14447.79</v>
      </c>
      <c r="M653" s="36">
        <v>0</v>
      </c>
      <c r="T653" s="41">
        <v>0</v>
      </c>
      <c r="U653" s="41">
        <v>0</v>
      </c>
      <c r="V653" s="42" t="s">
        <v>113</v>
      </c>
      <c r="W653" s="42">
        <v>15208.2</v>
      </c>
      <c r="X653" s="42">
        <v>15208.2</v>
      </c>
    </row>
    <row r="654" spans="1:24">
      <c r="A654" s="27" t="s">
        <v>1333</v>
      </c>
      <c r="B654" s="28" t="s">
        <v>215</v>
      </c>
      <c r="C654" s="27" t="s">
        <v>1334</v>
      </c>
      <c r="D654" s="27" t="s">
        <v>118</v>
      </c>
      <c r="E654" s="29">
        <v>40169</v>
      </c>
      <c r="F654" s="27">
        <v>15</v>
      </c>
      <c r="G654" s="18">
        <v>15208.2</v>
      </c>
      <c r="H654" s="27">
        <f t="shared" si="20"/>
        <v>15208.2</v>
      </c>
      <c r="I654" s="18">
        <v>14447.79</v>
      </c>
      <c r="J654" s="27">
        <v>15208.2</v>
      </c>
      <c r="K654" s="18">
        <f t="shared" si="21"/>
        <v>15208.2</v>
      </c>
      <c r="L654" s="27">
        <v>14447.79</v>
      </c>
      <c r="M654" s="36">
        <v>0</v>
      </c>
      <c r="T654" s="41">
        <v>0</v>
      </c>
      <c r="U654" s="41">
        <v>0</v>
      </c>
      <c r="V654" s="42" t="s">
        <v>113</v>
      </c>
      <c r="W654" s="42">
        <v>15208.2</v>
      </c>
      <c r="X654" s="42">
        <v>15208.2</v>
      </c>
    </row>
    <row r="655" spans="1:24">
      <c r="A655" s="27" t="s">
        <v>1335</v>
      </c>
      <c r="B655" s="28" t="s">
        <v>215</v>
      </c>
      <c r="C655" s="27" t="s">
        <v>796</v>
      </c>
      <c r="D655" s="27" t="s">
        <v>118</v>
      </c>
      <c r="E655" s="29">
        <v>40169</v>
      </c>
      <c r="F655" s="27">
        <v>15</v>
      </c>
      <c r="G655" s="18">
        <v>55520.639999999999</v>
      </c>
      <c r="H655" s="27">
        <f t="shared" si="20"/>
        <v>55520.639999999999</v>
      </c>
      <c r="I655" s="18">
        <v>52744.61</v>
      </c>
      <c r="J655" s="27">
        <v>55520.639999999999</v>
      </c>
      <c r="K655" s="18">
        <f t="shared" si="21"/>
        <v>55520.639999999999</v>
      </c>
      <c r="L655" s="27">
        <v>52744.61</v>
      </c>
      <c r="M655" s="36">
        <v>0</v>
      </c>
      <c r="T655" s="41">
        <v>0</v>
      </c>
      <c r="U655" s="41">
        <v>0</v>
      </c>
      <c r="V655" s="42" t="s">
        <v>113</v>
      </c>
      <c r="W655" s="42">
        <v>55520.639999999999</v>
      </c>
      <c r="X655" s="42">
        <v>55520.639999999999</v>
      </c>
    </row>
    <row r="656" spans="1:24">
      <c r="A656" s="27" t="s">
        <v>1336</v>
      </c>
      <c r="B656" s="28" t="s">
        <v>215</v>
      </c>
      <c r="C656" s="27" t="s">
        <v>792</v>
      </c>
      <c r="D656" s="27" t="s">
        <v>118</v>
      </c>
      <c r="E656" s="29">
        <v>40169</v>
      </c>
      <c r="F656" s="27">
        <v>15</v>
      </c>
      <c r="G656" s="18">
        <v>55520.639999999999</v>
      </c>
      <c r="H656" s="27">
        <f t="shared" si="20"/>
        <v>55520.639999999999</v>
      </c>
      <c r="I656" s="18">
        <v>52744.61</v>
      </c>
      <c r="J656" s="27">
        <v>55520.639999999999</v>
      </c>
      <c r="K656" s="18">
        <f t="shared" si="21"/>
        <v>55520.639999999999</v>
      </c>
      <c r="L656" s="27">
        <v>52744.61</v>
      </c>
      <c r="M656" s="36">
        <v>0</v>
      </c>
      <c r="T656" s="41">
        <v>0</v>
      </c>
      <c r="U656" s="41">
        <v>0</v>
      </c>
      <c r="V656" s="42" t="s">
        <v>113</v>
      </c>
      <c r="W656" s="42">
        <v>55520.639999999999</v>
      </c>
      <c r="X656" s="42">
        <v>55520.639999999999</v>
      </c>
    </row>
    <row r="657" spans="1:24">
      <c r="A657" s="27" t="s">
        <v>1337</v>
      </c>
      <c r="B657" s="28" t="s">
        <v>215</v>
      </c>
      <c r="C657" s="27" t="s">
        <v>794</v>
      </c>
      <c r="D657" s="27" t="s">
        <v>118</v>
      </c>
      <c r="E657" s="29">
        <v>40169</v>
      </c>
      <c r="F657" s="27">
        <v>15</v>
      </c>
      <c r="G657" s="18">
        <v>55520.639999999999</v>
      </c>
      <c r="H657" s="27">
        <f t="shared" si="20"/>
        <v>55520.639999999999</v>
      </c>
      <c r="I657" s="18">
        <v>52744.61</v>
      </c>
      <c r="J657" s="27">
        <v>55520.639999999999</v>
      </c>
      <c r="K657" s="18">
        <f t="shared" si="21"/>
        <v>55520.639999999999</v>
      </c>
      <c r="L657" s="27">
        <v>52744.61</v>
      </c>
      <c r="M657" s="36">
        <v>0</v>
      </c>
      <c r="T657" s="41">
        <v>0</v>
      </c>
      <c r="U657" s="41">
        <v>0</v>
      </c>
      <c r="V657" s="42" t="s">
        <v>113</v>
      </c>
      <c r="W657" s="42">
        <v>55520.639999999999</v>
      </c>
      <c r="X657" s="42">
        <v>55520.639999999999</v>
      </c>
    </row>
    <row r="658" spans="1:24">
      <c r="A658" s="27" t="s">
        <v>1338</v>
      </c>
      <c r="B658" s="28" t="s">
        <v>215</v>
      </c>
      <c r="C658" s="27" t="s">
        <v>806</v>
      </c>
      <c r="D658" s="27" t="s">
        <v>118</v>
      </c>
      <c r="E658" s="29">
        <v>40169</v>
      </c>
      <c r="F658" s="27">
        <v>15</v>
      </c>
      <c r="G658" s="18">
        <v>16827.310000000001</v>
      </c>
      <c r="H658" s="27">
        <f t="shared" si="20"/>
        <v>16827.310000000001</v>
      </c>
      <c r="I658" s="18">
        <v>15985.94</v>
      </c>
      <c r="J658" s="27">
        <v>16827.310000000001</v>
      </c>
      <c r="K658" s="18">
        <f t="shared" si="21"/>
        <v>16827.310000000001</v>
      </c>
      <c r="L658" s="27">
        <v>15985.94</v>
      </c>
      <c r="M658" s="36">
        <v>0</v>
      </c>
      <c r="T658" s="41">
        <v>0</v>
      </c>
      <c r="U658" s="41">
        <v>0</v>
      </c>
      <c r="V658" s="42" t="s">
        <v>113</v>
      </c>
      <c r="W658" s="42">
        <v>16827.310000000001</v>
      </c>
      <c r="X658" s="42">
        <v>16827.310000000001</v>
      </c>
    </row>
    <row r="659" spans="1:24">
      <c r="A659" s="27" t="s">
        <v>1339</v>
      </c>
      <c r="B659" s="28" t="s">
        <v>215</v>
      </c>
      <c r="C659" s="27" t="s">
        <v>804</v>
      </c>
      <c r="D659" s="27" t="s">
        <v>118</v>
      </c>
      <c r="E659" s="29">
        <v>40169</v>
      </c>
      <c r="F659" s="27">
        <v>15</v>
      </c>
      <c r="G659" s="18">
        <v>16827.310000000001</v>
      </c>
      <c r="H659" s="27">
        <f t="shared" si="20"/>
        <v>16827.310000000001</v>
      </c>
      <c r="I659" s="18">
        <v>15985.94</v>
      </c>
      <c r="J659" s="27">
        <v>16827.310000000001</v>
      </c>
      <c r="K659" s="18">
        <f t="shared" si="21"/>
        <v>16827.310000000001</v>
      </c>
      <c r="L659" s="27">
        <v>15985.94</v>
      </c>
      <c r="M659" s="36">
        <v>0</v>
      </c>
      <c r="T659" s="41">
        <v>0</v>
      </c>
      <c r="U659" s="41">
        <v>0</v>
      </c>
      <c r="V659" s="42" t="s">
        <v>113</v>
      </c>
      <c r="W659" s="42">
        <v>16827.310000000001</v>
      </c>
      <c r="X659" s="42">
        <v>16827.310000000001</v>
      </c>
    </row>
    <row r="660" spans="1:24">
      <c r="A660" s="27" t="s">
        <v>1340</v>
      </c>
      <c r="B660" s="28" t="s">
        <v>215</v>
      </c>
      <c r="C660" s="27" t="s">
        <v>1341</v>
      </c>
      <c r="D660" s="27" t="s">
        <v>230</v>
      </c>
      <c r="E660" s="29">
        <v>40169</v>
      </c>
      <c r="F660" s="27">
        <v>15</v>
      </c>
      <c r="G660" s="18">
        <v>34486.5</v>
      </c>
      <c r="H660" s="27">
        <f t="shared" si="20"/>
        <v>34486.5</v>
      </c>
      <c r="I660" s="18">
        <v>32762.17</v>
      </c>
      <c r="J660" s="27">
        <v>34486.5</v>
      </c>
      <c r="K660" s="18">
        <f t="shared" si="21"/>
        <v>34486.5</v>
      </c>
      <c r="L660" s="27">
        <v>32762.17</v>
      </c>
      <c r="M660" s="36">
        <v>0</v>
      </c>
      <c r="T660" s="41">
        <v>0</v>
      </c>
      <c r="U660" s="41">
        <v>0</v>
      </c>
      <c r="V660" s="42" t="s">
        <v>113</v>
      </c>
      <c r="W660" s="42">
        <v>34486.5</v>
      </c>
      <c r="X660" s="42">
        <v>34486.5</v>
      </c>
    </row>
    <row r="661" spans="1:24">
      <c r="A661" s="27" t="s">
        <v>1342</v>
      </c>
      <c r="B661" s="28" t="s">
        <v>215</v>
      </c>
      <c r="C661" s="27" t="s">
        <v>1343</v>
      </c>
      <c r="D661" s="27" t="s">
        <v>230</v>
      </c>
      <c r="E661" s="29">
        <v>40169</v>
      </c>
      <c r="F661" s="27">
        <v>15</v>
      </c>
      <c r="G661" s="18">
        <v>18661.32</v>
      </c>
      <c r="H661" s="27">
        <f t="shared" si="20"/>
        <v>18661.32</v>
      </c>
      <c r="I661" s="18">
        <v>17728.25</v>
      </c>
      <c r="J661" s="27">
        <v>18661.32</v>
      </c>
      <c r="K661" s="18">
        <f t="shared" si="21"/>
        <v>18661.32</v>
      </c>
      <c r="L661" s="27">
        <v>17728.25</v>
      </c>
      <c r="M661" s="36">
        <v>0</v>
      </c>
      <c r="T661" s="41">
        <v>0</v>
      </c>
      <c r="U661" s="41">
        <v>0</v>
      </c>
      <c r="V661" s="42" t="s">
        <v>113</v>
      </c>
      <c r="W661" s="42">
        <v>18661.32</v>
      </c>
      <c r="X661" s="42">
        <v>18661.32</v>
      </c>
    </row>
    <row r="662" spans="1:24">
      <c r="A662" s="27" t="s">
        <v>1344</v>
      </c>
      <c r="B662" s="28" t="s">
        <v>215</v>
      </c>
      <c r="C662" s="27" t="s">
        <v>1345</v>
      </c>
      <c r="D662" s="27" t="s">
        <v>230</v>
      </c>
      <c r="E662" s="29">
        <v>40169</v>
      </c>
      <c r="F662" s="27">
        <v>15</v>
      </c>
      <c r="G662" s="18">
        <v>34486.5</v>
      </c>
      <c r="H662" s="27">
        <f t="shared" si="20"/>
        <v>34486.5</v>
      </c>
      <c r="I662" s="18">
        <v>32762.17</v>
      </c>
      <c r="J662" s="27">
        <v>34486.5</v>
      </c>
      <c r="K662" s="18">
        <f t="shared" si="21"/>
        <v>34486.5</v>
      </c>
      <c r="L662" s="27">
        <v>32762.17</v>
      </c>
      <c r="M662" s="36">
        <v>0</v>
      </c>
      <c r="T662" s="41">
        <v>0</v>
      </c>
      <c r="U662" s="41">
        <v>0</v>
      </c>
      <c r="V662" s="42" t="s">
        <v>113</v>
      </c>
      <c r="W662" s="42">
        <v>34486.5</v>
      </c>
      <c r="X662" s="42">
        <v>34486.5</v>
      </c>
    </row>
    <row r="663" spans="1:24">
      <c r="A663" s="27" t="s">
        <v>1346</v>
      </c>
      <c r="B663" s="28" t="s">
        <v>215</v>
      </c>
      <c r="C663" s="27" t="s">
        <v>1347</v>
      </c>
      <c r="D663" s="27" t="s">
        <v>118</v>
      </c>
      <c r="E663" s="29">
        <v>40169</v>
      </c>
      <c r="F663" s="27">
        <v>15</v>
      </c>
      <c r="G663" s="18">
        <v>16827.32</v>
      </c>
      <c r="H663" s="27">
        <f t="shared" si="20"/>
        <v>16827.32</v>
      </c>
      <c r="I663" s="18">
        <v>15985.95</v>
      </c>
      <c r="J663" s="27">
        <v>16827.32</v>
      </c>
      <c r="K663" s="18">
        <f t="shared" si="21"/>
        <v>16827.32</v>
      </c>
      <c r="L663" s="27">
        <v>15985.95</v>
      </c>
      <c r="M663" s="36">
        <v>0</v>
      </c>
      <c r="T663" s="41">
        <v>0</v>
      </c>
      <c r="U663" s="41">
        <v>0</v>
      </c>
      <c r="V663" s="42" t="s">
        <v>113</v>
      </c>
      <c r="W663" s="42">
        <v>16827.32</v>
      </c>
      <c r="X663" s="42">
        <v>16827.32</v>
      </c>
    </row>
    <row r="664" spans="1:24">
      <c r="A664" s="43" t="s">
        <v>1348</v>
      </c>
      <c r="B664" s="44" t="s">
        <v>215</v>
      </c>
      <c r="C664" s="43" t="s">
        <v>1349</v>
      </c>
      <c r="D664" s="43" t="s">
        <v>230</v>
      </c>
      <c r="E664" s="45">
        <v>40169</v>
      </c>
      <c r="F664" s="43">
        <v>15</v>
      </c>
      <c r="G664" s="18">
        <v>4000</v>
      </c>
      <c r="H664" s="27">
        <f t="shared" si="20"/>
        <v>4000</v>
      </c>
      <c r="I664" s="18">
        <v>3839.73</v>
      </c>
      <c r="J664" s="43">
        <v>4000</v>
      </c>
      <c r="K664" s="18">
        <f t="shared" si="21"/>
        <v>4000</v>
      </c>
      <c r="L664" s="43">
        <v>4000</v>
      </c>
      <c r="M664" s="46">
        <v>160.27000000000001</v>
      </c>
      <c r="T664" s="41">
        <v>0</v>
      </c>
      <c r="U664" s="41">
        <v>0</v>
      </c>
      <c r="V664" s="42" t="s">
        <v>113</v>
      </c>
      <c r="W664" s="42">
        <v>4000</v>
      </c>
      <c r="X664" s="42">
        <v>4000</v>
      </c>
    </row>
    <row r="665" spans="1:24">
      <c r="A665" s="27" t="s">
        <v>1350</v>
      </c>
      <c r="B665" s="28" t="s">
        <v>215</v>
      </c>
      <c r="C665" s="27" t="s">
        <v>1351</v>
      </c>
      <c r="D665" s="27" t="s">
        <v>112</v>
      </c>
      <c r="E665" s="29">
        <v>40169</v>
      </c>
      <c r="F665" s="27">
        <v>12</v>
      </c>
      <c r="G665" s="18">
        <v>394.26</v>
      </c>
      <c r="H665" s="27">
        <f t="shared" si="20"/>
        <v>394.26</v>
      </c>
      <c r="I665" s="18">
        <v>394.26</v>
      </c>
      <c r="J665" s="27">
        <v>394.26</v>
      </c>
      <c r="K665" s="18">
        <f t="shared" si="21"/>
        <v>394.26</v>
      </c>
      <c r="L665" s="27">
        <v>394.26</v>
      </c>
      <c r="M665" s="36">
        <v>0</v>
      </c>
      <c r="T665" s="41">
        <v>0</v>
      </c>
      <c r="U665" s="41">
        <v>0</v>
      </c>
      <c r="V665" s="42" t="s">
        <v>113</v>
      </c>
      <c r="W665" s="42">
        <v>394.26</v>
      </c>
      <c r="X665" s="42">
        <v>394.26</v>
      </c>
    </row>
    <row r="666" spans="1:24">
      <c r="A666" s="27" t="s">
        <v>1352</v>
      </c>
      <c r="B666" s="28" t="s">
        <v>215</v>
      </c>
      <c r="C666" s="27" t="s">
        <v>1353</v>
      </c>
      <c r="D666" s="27" t="s">
        <v>112</v>
      </c>
      <c r="E666" s="29">
        <v>40169</v>
      </c>
      <c r="F666" s="27">
        <v>12</v>
      </c>
      <c r="G666" s="18">
        <v>394.26</v>
      </c>
      <c r="H666" s="27">
        <f t="shared" si="20"/>
        <v>394.26</v>
      </c>
      <c r="I666" s="18">
        <v>394.26</v>
      </c>
      <c r="J666" s="27">
        <v>394.26</v>
      </c>
      <c r="K666" s="18">
        <f t="shared" si="21"/>
        <v>394.26</v>
      </c>
      <c r="L666" s="27">
        <v>394.26</v>
      </c>
      <c r="M666" s="36">
        <v>0</v>
      </c>
      <c r="T666" s="41">
        <v>0</v>
      </c>
      <c r="U666" s="41">
        <v>0</v>
      </c>
      <c r="V666" s="42" t="s">
        <v>113</v>
      </c>
      <c r="W666" s="42">
        <v>394.26</v>
      </c>
      <c r="X666" s="42">
        <v>394.26</v>
      </c>
    </row>
    <row r="667" spans="1:24">
      <c r="A667" s="27" t="s">
        <v>1354</v>
      </c>
      <c r="B667" s="28" t="s">
        <v>215</v>
      </c>
      <c r="C667" s="27" t="s">
        <v>1355</v>
      </c>
      <c r="D667" s="27" t="s">
        <v>112</v>
      </c>
      <c r="E667" s="29">
        <v>40169</v>
      </c>
      <c r="F667" s="27">
        <v>12</v>
      </c>
      <c r="G667" s="18">
        <v>394.26</v>
      </c>
      <c r="H667" s="27">
        <f t="shared" si="20"/>
        <v>394.26</v>
      </c>
      <c r="I667" s="18">
        <v>394.26</v>
      </c>
      <c r="J667" s="27">
        <v>394.26</v>
      </c>
      <c r="K667" s="18">
        <f t="shared" si="21"/>
        <v>394.26</v>
      </c>
      <c r="L667" s="27">
        <v>394.26</v>
      </c>
      <c r="M667" s="36">
        <v>0</v>
      </c>
      <c r="T667" s="41">
        <v>0</v>
      </c>
      <c r="U667" s="41">
        <v>0</v>
      </c>
      <c r="V667" s="42" t="s">
        <v>113</v>
      </c>
      <c r="W667" s="42">
        <v>394.26</v>
      </c>
      <c r="X667" s="42">
        <v>394.26</v>
      </c>
    </row>
    <row r="668" spans="1:24">
      <c r="A668" s="27" t="s">
        <v>1356</v>
      </c>
      <c r="B668" s="28" t="s">
        <v>215</v>
      </c>
      <c r="C668" s="27" t="s">
        <v>1357</v>
      </c>
      <c r="D668" s="27" t="s">
        <v>112</v>
      </c>
      <c r="E668" s="29">
        <v>40169</v>
      </c>
      <c r="F668" s="27">
        <v>12</v>
      </c>
      <c r="G668" s="18">
        <v>394.26</v>
      </c>
      <c r="H668" s="27">
        <f t="shared" si="20"/>
        <v>394.26</v>
      </c>
      <c r="I668" s="18">
        <v>394.26</v>
      </c>
      <c r="J668" s="27">
        <v>394.26</v>
      </c>
      <c r="K668" s="18">
        <f t="shared" si="21"/>
        <v>394.26</v>
      </c>
      <c r="L668" s="27">
        <v>394.26</v>
      </c>
      <c r="M668" s="36">
        <v>0</v>
      </c>
      <c r="T668" s="41">
        <v>0</v>
      </c>
      <c r="U668" s="41">
        <v>0</v>
      </c>
      <c r="V668" s="42" t="s">
        <v>113</v>
      </c>
      <c r="W668" s="42">
        <v>394.26</v>
      </c>
      <c r="X668" s="42">
        <v>394.26</v>
      </c>
    </row>
    <row r="669" spans="1:24">
      <c r="A669" s="27" t="s">
        <v>1358</v>
      </c>
      <c r="B669" s="28" t="s">
        <v>215</v>
      </c>
      <c r="C669" s="27" t="s">
        <v>1359</v>
      </c>
      <c r="D669" s="27" t="s">
        <v>112</v>
      </c>
      <c r="E669" s="29">
        <v>40169</v>
      </c>
      <c r="F669" s="27">
        <v>12</v>
      </c>
      <c r="G669" s="18">
        <v>394.26</v>
      </c>
      <c r="H669" s="27">
        <f t="shared" si="20"/>
        <v>394.26</v>
      </c>
      <c r="I669" s="18">
        <v>394.26</v>
      </c>
      <c r="J669" s="27">
        <v>394.26</v>
      </c>
      <c r="K669" s="18">
        <f t="shared" si="21"/>
        <v>394.26</v>
      </c>
      <c r="L669" s="27">
        <v>394.26</v>
      </c>
      <c r="M669" s="36">
        <v>0</v>
      </c>
      <c r="T669" s="41">
        <v>0</v>
      </c>
      <c r="U669" s="41">
        <v>0</v>
      </c>
      <c r="V669" s="42" t="s">
        <v>113</v>
      </c>
      <c r="W669" s="42">
        <v>394.26</v>
      </c>
      <c r="X669" s="42">
        <v>394.26</v>
      </c>
    </row>
    <row r="670" spans="1:24">
      <c r="A670" s="27" t="s">
        <v>1360</v>
      </c>
      <c r="B670" s="28" t="s">
        <v>215</v>
      </c>
      <c r="C670" s="27" t="s">
        <v>1361</v>
      </c>
      <c r="D670" s="27" t="s">
        <v>112</v>
      </c>
      <c r="E670" s="29">
        <v>40169</v>
      </c>
      <c r="F670" s="27">
        <v>12</v>
      </c>
      <c r="G670" s="18">
        <v>788.48</v>
      </c>
      <c r="H670" s="27">
        <f t="shared" si="20"/>
        <v>788.48</v>
      </c>
      <c r="I670" s="18">
        <v>788.48</v>
      </c>
      <c r="J670" s="27">
        <v>788.48</v>
      </c>
      <c r="K670" s="18">
        <f t="shared" si="21"/>
        <v>788.48</v>
      </c>
      <c r="L670" s="27">
        <v>788.48</v>
      </c>
      <c r="M670" s="36">
        <v>0</v>
      </c>
      <c r="T670" s="41">
        <v>0</v>
      </c>
      <c r="U670" s="41">
        <v>0</v>
      </c>
      <c r="V670" s="42" t="s">
        <v>113</v>
      </c>
      <c r="W670" s="42">
        <v>788.48</v>
      </c>
      <c r="X670" s="42">
        <v>788.48</v>
      </c>
    </row>
    <row r="671" spans="1:24">
      <c r="A671" s="27" t="s">
        <v>1362</v>
      </c>
      <c r="B671" s="28" t="s">
        <v>215</v>
      </c>
      <c r="C671" s="27" t="s">
        <v>1363</v>
      </c>
      <c r="D671" s="27" t="s">
        <v>230</v>
      </c>
      <c r="E671" s="29">
        <v>40169</v>
      </c>
      <c r="F671" s="27">
        <v>12</v>
      </c>
      <c r="G671" s="18">
        <v>788.48</v>
      </c>
      <c r="H671" s="27">
        <f t="shared" si="20"/>
        <v>788.48</v>
      </c>
      <c r="I671" s="18">
        <v>788.48</v>
      </c>
      <c r="J671" s="27">
        <v>788.48</v>
      </c>
      <c r="K671" s="18">
        <f t="shared" si="21"/>
        <v>788.48</v>
      </c>
      <c r="L671" s="27">
        <v>788.48</v>
      </c>
      <c r="M671" s="36">
        <v>0</v>
      </c>
      <c r="T671" s="41">
        <v>0</v>
      </c>
      <c r="U671" s="41">
        <v>0</v>
      </c>
      <c r="V671" s="42" t="s">
        <v>113</v>
      </c>
      <c r="W671" s="42">
        <v>788.48</v>
      </c>
      <c r="X671" s="42">
        <v>788.48</v>
      </c>
    </row>
    <row r="672" spans="1:24">
      <c r="A672" s="27" t="s">
        <v>1364</v>
      </c>
      <c r="B672" s="28" t="s">
        <v>215</v>
      </c>
      <c r="C672" s="27" t="s">
        <v>1365</v>
      </c>
      <c r="D672" s="27" t="s">
        <v>230</v>
      </c>
      <c r="E672" s="29">
        <v>40169</v>
      </c>
      <c r="F672" s="27">
        <v>12</v>
      </c>
      <c r="G672" s="18">
        <v>788.48</v>
      </c>
      <c r="H672" s="27">
        <f t="shared" si="20"/>
        <v>788.48</v>
      </c>
      <c r="I672" s="18">
        <v>788.48</v>
      </c>
      <c r="J672" s="27">
        <v>788.48</v>
      </c>
      <c r="K672" s="18">
        <f t="shared" si="21"/>
        <v>788.48</v>
      </c>
      <c r="L672" s="27">
        <v>788.48</v>
      </c>
      <c r="M672" s="36">
        <v>0</v>
      </c>
      <c r="T672" s="41">
        <v>0</v>
      </c>
      <c r="U672" s="41">
        <v>0</v>
      </c>
      <c r="V672" s="42" t="s">
        <v>113</v>
      </c>
      <c r="W672" s="42">
        <v>788.48</v>
      </c>
      <c r="X672" s="42">
        <v>788.48</v>
      </c>
    </row>
    <row r="673" spans="1:24">
      <c r="A673" s="27" t="s">
        <v>1366</v>
      </c>
      <c r="B673" s="28" t="s">
        <v>215</v>
      </c>
      <c r="C673" s="27" t="s">
        <v>1367</v>
      </c>
      <c r="D673" s="27" t="s">
        <v>230</v>
      </c>
      <c r="E673" s="29">
        <v>40169</v>
      </c>
      <c r="F673" s="27">
        <v>12</v>
      </c>
      <c r="G673" s="18">
        <v>788.48</v>
      </c>
      <c r="H673" s="27">
        <f t="shared" si="20"/>
        <v>788.48</v>
      </c>
      <c r="I673" s="18">
        <v>788.48</v>
      </c>
      <c r="J673" s="27">
        <v>788.48</v>
      </c>
      <c r="K673" s="18">
        <f t="shared" si="21"/>
        <v>788.48</v>
      </c>
      <c r="L673" s="27">
        <v>788.48</v>
      </c>
      <c r="M673" s="36">
        <v>0</v>
      </c>
      <c r="T673" s="41">
        <v>0</v>
      </c>
      <c r="U673" s="41">
        <v>0</v>
      </c>
      <c r="V673" s="42" t="s">
        <v>113</v>
      </c>
      <c r="W673" s="42">
        <v>788.48</v>
      </c>
      <c r="X673" s="42">
        <v>788.48</v>
      </c>
    </row>
    <row r="674" spans="1:24">
      <c r="A674" s="27" t="s">
        <v>1368</v>
      </c>
      <c r="B674" s="28" t="s">
        <v>215</v>
      </c>
      <c r="C674" s="27" t="s">
        <v>1369</v>
      </c>
      <c r="D674" s="27" t="s">
        <v>112</v>
      </c>
      <c r="E674" s="29">
        <v>40169</v>
      </c>
      <c r="F674" s="27">
        <v>15</v>
      </c>
      <c r="G674" s="18">
        <v>126179.9</v>
      </c>
      <c r="H674" s="27">
        <f t="shared" si="20"/>
        <v>0</v>
      </c>
      <c r="I674" s="18">
        <v>114125.8</v>
      </c>
      <c r="J674" s="27">
        <v>126179.9</v>
      </c>
      <c r="K674" s="18">
        <f t="shared" si="21"/>
        <v>0</v>
      </c>
      <c r="L674" s="27">
        <v>115562.08</v>
      </c>
      <c r="M674" s="36">
        <v>1436.28</v>
      </c>
      <c r="T674" s="41">
        <v>0</v>
      </c>
      <c r="U674" s="41">
        <v>0</v>
      </c>
      <c r="V674" s="42" t="s">
        <v>113</v>
      </c>
      <c r="W674" s="42">
        <v>0</v>
      </c>
      <c r="X674" s="42">
        <v>0</v>
      </c>
    </row>
    <row r="675" spans="1:24">
      <c r="A675" s="27" t="s">
        <v>1370</v>
      </c>
      <c r="B675" s="28" t="s">
        <v>215</v>
      </c>
      <c r="C675" s="27" t="s">
        <v>1371</v>
      </c>
      <c r="D675" s="27" t="s">
        <v>112</v>
      </c>
      <c r="E675" s="29">
        <v>40169</v>
      </c>
      <c r="F675" s="27">
        <v>15</v>
      </c>
      <c r="G675" s="18">
        <v>44879.07</v>
      </c>
      <c r="H675" s="27">
        <f t="shared" si="20"/>
        <v>0</v>
      </c>
      <c r="I675" s="18">
        <v>36920.300000000003</v>
      </c>
      <c r="J675" s="27">
        <v>44879.07</v>
      </c>
      <c r="K675" s="18">
        <f t="shared" si="21"/>
        <v>0</v>
      </c>
      <c r="L675" s="27">
        <v>38349.01</v>
      </c>
      <c r="M675" s="36">
        <v>1428.71</v>
      </c>
      <c r="T675" s="41">
        <v>0</v>
      </c>
      <c r="U675" s="41">
        <v>0</v>
      </c>
      <c r="V675" s="42" t="s">
        <v>113</v>
      </c>
      <c r="W675" s="42">
        <v>0</v>
      </c>
      <c r="X675" s="42">
        <v>0</v>
      </c>
    </row>
    <row r="676" spans="1:24">
      <c r="A676" s="27" t="s">
        <v>1372</v>
      </c>
      <c r="B676" s="28" t="s">
        <v>215</v>
      </c>
      <c r="C676" s="27" t="s">
        <v>216</v>
      </c>
      <c r="D676" s="27" t="s">
        <v>112</v>
      </c>
      <c r="E676" s="29">
        <v>40169</v>
      </c>
      <c r="F676" s="27">
        <v>15</v>
      </c>
      <c r="G676" s="18">
        <v>224136.39</v>
      </c>
      <c r="H676" s="27">
        <f t="shared" si="20"/>
        <v>224136.39</v>
      </c>
      <c r="I676" s="18">
        <v>212929.57</v>
      </c>
      <c r="J676" s="27">
        <v>224136.39</v>
      </c>
      <c r="K676" s="18">
        <f t="shared" si="21"/>
        <v>224136.39</v>
      </c>
      <c r="L676" s="27">
        <v>212929.57</v>
      </c>
      <c r="M676" s="36">
        <v>0</v>
      </c>
      <c r="T676" s="41">
        <v>0</v>
      </c>
      <c r="U676" s="41">
        <v>0</v>
      </c>
      <c r="V676" s="42" t="s">
        <v>113</v>
      </c>
      <c r="W676" s="42">
        <v>224136.39</v>
      </c>
      <c r="X676" s="42">
        <v>224136.39</v>
      </c>
    </row>
    <row r="677" spans="1:24">
      <c r="A677" s="27" t="s">
        <v>1373</v>
      </c>
      <c r="B677" s="28" t="s">
        <v>215</v>
      </c>
      <c r="C677" s="27" t="s">
        <v>219</v>
      </c>
      <c r="D677" s="27" t="s">
        <v>112</v>
      </c>
      <c r="E677" s="29">
        <v>40169</v>
      </c>
      <c r="F677" s="27">
        <v>15</v>
      </c>
      <c r="G677" s="18">
        <v>200000.01</v>
      </c>
      <c r="H677" s="27">
        <f t="shared" si="20"/>
        <v>200000.01</v>
      </c>
      <c r="I677" s="18">
        <v>190000.01</v>
      </c>
      <c r="J677" s="27">
        <v>200000.01</v>
      </c>
      <c r="K677" s="18">
        <f t="shared" si="21"/>
        <v>200000.01</v>
      </c>
      <c r="L677" s="27">
        <v>190000.01</v>
      </c>
      <c r="M677" s="36">
        <v>0</v>
      </c>
      <c r="T677" s="41">
        <v>0</v>
      </c>
      <c r="U677" s="41">
        <v>0</v>
      </c>
      <c r="V677" s="42" t="s">
        <v>113</v>
      </c>
      <c r="W677" s="42">
        <v>200000.01</v>
      </c>
      <c r="X677" s="42">
        <v>200000.01</v>
      </c>
    </row>
    <row r="678" spans="1:24">
      <c r="A678" s="27" t="s">
        <v>1374</v>
      </c>
      <c r="B678" s="28" t="s">
        <v>215</v>
      </c>
      <c r="C678" s="27" t="s">
        <v>1369</v>
      </c>
      <c r="D678" s="27" t="s">
        <v>112</v>
      </c>
      <c r="E678" s="29">
        <v>40169</v>
      </c>
      <c r="F678" s="27">
        <v>12</v>
      </c>
      <c r="G678" s="18">
        <v>3099.56</v>
      </c>
      <c r="H678" s="27">
        <f t="shared" si="20"/>
        <v>3099.56</v>
      </c>
      <c r="I678" s="18">
        <v>3099.56</v>
      </c>
      <c r="J678" s="27">
        <v>3099.56</v>
      </c>
      <c r="K678" s="18">
        <f t="shared" si="21"/>
        <v>3099.56</v>
      </c>
      <c r="L678" s="27">
        <v>3099.56</v>
      </c>
      <c r="M678" s="36">
        <v>0</v>
      </c>
      <c r="T678" s="41">
        <v>0</v>
      </c>
      <c r="U678" s="41">
        <v>0</v>
      </c>
      <c r="V678" s="42" t="s">
        <v>113</v>
      </c>
      <c r="W678" s="42">
        <v>3099.56</v>
      </c>
      <c r="X678" s="42">
        <v>3099.56</v>
      </c>
    </row>
    <row r="679" spans="1:24">
      <c r="A679" s="27" t="s">
        <v>1375</v>
      </c>
      <c r="B679" s="28" t="s">
        <v>215</v>
      </c>
      <c r="C679" s="27" t="s">
        <v>1371</v>
      </c>
      <c r="D679" s="27" t="s">
        <v>112</v>
      </c>
      <c r="E679" s="29">
        <v>40169</v>
      </c>
      <c r="F679" s="27">
        <v>15</v>
      </c>
      <c r="G679" s="18">
        <v>6199.58</v>
      </c>
      <c r="H679" s="27">
        <f t="shared" si="20"/>
        <v>6199.58</v>
      </c>
      <c r="I679" s="18">
        <v>5889.6</v>
      </c>
      <c r="J679" s="27">
        <v>6199.58</v>
      </c>
      <c r="K679" s="18">
        <f t="shared" si="21"/>
        <v>6199.58</v>
      </c>
      <c r="L679" s="27">
        <v>5889.6</v>
      </c>
      <c r="M679" s="36">
        <v>0</v>
      </c>
      <c r="T679" s="41">
        <v>0</v>
      </c>
      <c r="U679" s="41">
        <v>0</v>
      </c>
      <c r="V679" s="42" t="s">
        <v>113</v>
      </c>
      <c r="W679" s="42">
        <v>6199.58</v>
      </c>
      <c r="X679" s="42">
        <v>6199.58</v>
      </c>
    </row>
    <row r="680" spans="1:24">
      <c r="A680" s="27" t="s">
        <v>1376</v>
      </c>
      <c r="B680" s="28" t="s">
        <v>215</v>
      </c>
      <c r="C680" s="27" t="s">
        <v>1377</v>
      </c>
      <c r="D680" s="27" t="s">
        <v>112</v>
      </c>
      <c r="E680" s="29">
        <v>40169</v>
      </c>
      <c r="F680" s="27">
        <v>12</v>
      </c>
      <c r="G680" s="18">
        <v>3099.58</v>
      </c>
      <c r="H680" s="27">
        <f t="shared" si="20"/>
        <v>3099.58</v>
      </c>
      <c r="I680" s="18">
        <v>3099.58</v>
      </c>
      <c r="J680" s="27">
        <v>3099.58</v>
      </c>
      <c r="K680" s="18">
        <f t="shared" si="21"/>
        <v>3099.58</v>
      </c>
      <c r="L680" s="27">
        <v>3099.58</v>
      </c>
      <c r="M680" s="36">
        <v>0</v>
      </c>
      <c r="T680" s="41">
        <v>0</v>
      </c>
      <c r="U680" s="41">
        <v>0</v>
      </c>
      <c r="V680" s="42" t="s">
        <v>113</v>
      </c>
      <c r="W680" s="42">
        <v>3099.58</v>
      </c>
      <c r="X680" s="42">
        <v>3099.58</v>
      </c>
    </row>
    <row r="681" spans="1:24">
      <c r="A681" s="27" t="s">
        <v>1378</v>
      </c>
      <c r="B681" s="28" t="s">
        <v>215</v>
      </c>
      <c r="C681" s="27" t="s">
        <v>1379</v>
      </c>
      <c r="D681" s="27" t="s">
        <v>230</v>
      </c>
      <c r="E681" s="29">
        <v>40169</v>
      </c>
      <c r="F681" s="27">
        <v>15</v>
      </c>
      <c r="G681" s="18">
        <v>97268.18</v>
      </c>
      <c r="H681" s="27">
        <f t="shared" si="20"/>
        <v>0</v>
      </c>
      <c r="I681" s="18">
        <v>84466.41</v>
      </c>
      <c r="J681" s="27">
        <v>97268.18</v>
      </c>
      <c r="K681" s="18">
        <f t="shared" si="21"/>
        <v>0</v>
      </c>
      <c r="L681" s="27">
        <v>86451</v>
      </c>
      <c r="M681" s="36">
        <v>1984.59</v>
      </c>
      <c r="T681" s="41">
        <v>0</v>
      </c>
      <c r="U681" s="41">
        <v>0</v>
      </c>
      <c r="V681" s="42" t="s">
        <v>113</v>
      </c>
      <c r="W681" s="42">
        <v>0</v>
      </c>
      <c r="X681" s="42">
        <v>0</v>
      </c>
    </row>
    <row r="682" spans="1:24">
      <c r="A682" s="27" t="s">
        <v>1380</v>
      </c>
      <c r="B682" s="28" t="s">
        <v>215</v>
      </c>
      <c r="C682" s="27" t="s">
        <v>1381</v>
      </c>
      <c r="D682" s="27" t="s">
        <v>230</v>
      </c>
      <c r="E682" s="29">
        <v>40169</v>
      </c>
      <c r="F682" s="27">
        <v>15</v>
      </c>
      <c r="G682" s="18">
        <v>196556.4</v>
      </c>
      <c r="H682" s="27">
        <f t="shared" si="20"/>
        <v>0</v>
      </c>
      <c r="I682" s="18">
        <v>171907.75</v>
      </c>
      <c r="J682" s="27">
        <v>196556.4</v>
      </c>
      <c r="K682" s="18">
        <f t="shared" si="21"/>
        <v>0</v>
      </c>
      <c r="L682" s="27">
        <v>175612.96</v>
      </c>
      <c r="M682" s="36">
        <v>3705.21</v>
      </c>
      <c r="T682" s="41">
        <v>0</v>
      </c>
      <c r="U682" s="41">
        <v>0</v>
      </c>
      <c r="V682" s="42" t="s">
        <v>113</v>
      </c>
      <c r="W682" s="42">
        <v>0</v>
      </c>
      <c r="X682" s="42">
        <v>0</v>
      </c>
    </row>
    <row r="683" spans="1:24">
      <c r="A683" s="27" t="s">
        <v>1382</v>
      </c>
      <c r="B683" s="28" t="s">
        <v>215</v>
      </c>
      <c r="C683" s="27" t="s">
        <v>1383</v>
      </c>
      <c r="D683" s="27" t="s">
        <v>230</v>
      </c>
      <c r="E683" s="29">
        <v>40169</v>
      </c>
      <c r="F683" s="27">
        <v>15</v>
      </c>
      <c r="G683" s="18">
        <v>185682.87</v>
      </c>
      <c r="H683" s="27">
        <f t="shared" si="20"/>
        <v>0</v>
      </c>
      <c r="I683" s="18">
        <v>164739.82999999999</v>
      </c>
      <c r="J683" s="27">
        <v>185682.87</v>
      </c>
      <c r="K683" s="18">
        <f t="shared" si="21"/>
        <v>0</v>
      </c>
      <c r="L683" s="27">
        <v>167654.56</v>
      </c>
      <c r="M683" s="36">
        <v>2914.73</v>
      </c>
      <c r="T683" s="41">
        <v>0</v>
      </c>
      <c r="U683" s="41">
        <v>0</v>
      </c>
      <c r="V683" s="42" t="s">
        <v>113</v>
      </c>
      <c r="W683" s="42">
        <v>0</v>
      </c>
      <c r="X683" s="42">
        <v>0</v>
      </c>
    </row>
    <row r="684" spans="1:24">
      <c r="A684" s="27" t="s">
        <v>1384</v>
      </c>
      <c r="B684" s="28" t="s">
        <v>215</v>
      </c>
      <c r="C684" s="27" t="s">
        <v>1385</v>
      </c>
      <c r="D684" s="27" t="s">
        <v>230</v>
      </c>
      <c r="E684" s="29">
        <v>40169</v>
      </c>
      <c r="F684" s="27">
        <v>15</v>
      </c>
      <c r="G684" s="18">
        <v>158549.87</v>
      </c>
      <c r="H684" s="27">
        <f t="shared" si="20"/>
        <v>0</v>
      </c>
      <c r="I684" s="18">
        <v>137878.17000000001</v>
      </c>
      <c r="J684" s="27">
        <v>158549.87</v>
      </c>
      <c r="K684" s="18">
        <f t="shared" si="21"/>
        <v>0</v>
      </c>
      <c r="L684" s="27">
        <v>141064.22</v>
      </c>
      <c r="M684" s="36">
        <v>3186.05</v>
      </c>
      <c r="T684" s="41">
        <v>0</v>
      </c>
      <c r="U684" s="41">
        <v>0</v>
      </c>
      <c r="V684" s="42" t="s">
        <v>113</v>
      </c>
      <c r="W684" s="42">
        <v>0</v>
      </c>
      <c r="X684" s="42">
        <v>0</v>
      </c>
    </row>
    <row r="685" spans="1:24">
      <c r="A685" s="27" t="s">
        <v>1386</v>
      </c>
      <c r="B685" s="28" t="s">
        <v>215</v>
      </c>
      <c r="C685" s="27" t="s">
        <v>1387</v>
      </c>
      <c r="D685" s="27" t="s">
        <v>230</v>
      </c>
      <c r="E685" s="29">
        <v>40169</v>
      </c>
      <c r="F685" s="27">
        <v>15</v>
      </c>
      <c r="G685" s="18">
        <v>158549.87</v>
      </c>
      <c r="H685" s="27">
        <f t="shared" si="20"/>
        <v>0</v>
      </c>
      <c r="I685" s="18">
        <v>137878.17000000001</v>
      </c>
      <c r="J685" s="27">
        <v>158549.87</v>
      </c>
      <c r="K685" s="18">
        <f t="shared" si="21"/>
        <v>0</v>
      </c>
      <c r="L685" s="27">
        <v>141064.22</v>
      </c>
      <c r="M685" s="36">
        <v>3186.05</v>
      </c>
      <c r="T685" s="41">
        <v>0</v>
      </c>
      <c r="U685" s="41">
        <v>0</v>
      </c>
      <c r="V685" s="42" t="s">
        <v>113</v>
      </c>
      <c r="W685" s="42">
        <v>0</v>
      </c>
      <c r="X685" s="42">
        <v>0</v>
      </c>
    </row>
    <row r="686" spans="1:24">
      <c r="A686" s="27" t="s">
        <v>1388</v>
      </c>
      <c r="B686" s="28" t="s">
        <v>215</v>
      </c>
      <c r="C686" s="27" t="s">
        <v>1389</v>
      </c>
      <c r="D686" s="27" t="s">
        <v>230</v>
      </c>
      <c r="E686" s="29">
        <v>40169</v>
      </c>
      <c r="F686" s="27">
        <v>15</v>
      </c>
      <c r="G686" s="18">
        <v>167094.87</v>
      </c>
      <c r="H686" s="27">
        <f t="shared" si="20"/>
        <v>0</v>
      </c>
      <c r="I686" s="18">
        <v>139631.24</v>
      </c>
      <c r="J686" s="27">
        <v>167094.87</v>
      </c>
      <c r="K686" s="18">
        <f t="shared" si="21"/>
        <v>0</v>
      </c>
      <c r="L686" s="27">
        <v>144408.46</v>
      </c>
      <c r="M686" s="36">
        <v>4777.22</v>
      </c>
      <c r="T686" s="41">
        <v>0</v>
      </c>
      <c r="U686" s="41">
        <v>0</v>
      </c>
      <c r="V686" s="42" t="s">
        <v>113</v>
      </c>
      <c r="W686" s="42">
        <v>0</v>
      </c>
      <c r="X686" s="42">
        <v>0</v>
      </c>
    </row>
    <row r="687" spans="1:24">
      <c r="A687" s="27" t="s">
        <v>1390</v>
      </c>
      <c r="B687" s="28" t="s">
        <v>215</v>
      </c>
      <c r="C687" s="27" t="s">
        <v>1391</v>
      </c>
      <c r="D687" s="27" t="s">
        <v>118</v>
      </c>
      <c r="E687" s="29">
        <v>40170</v>
      </c>
      <c r="F687" s="27">
        <v>12</v>
      </c>
      <c r="G687" s="18">
        <v>2569.81</v>
      </c>
      <c r="H687" s="27">
        <f t="shared" si="20"/>
        <v>2569.81</v>
      </c>
      <c r="I687" s="18">
        <v>2569.81</v>
      </c>
      <c r="J687" s="27">
        <v>2569.81</v>
      </c>
      <c r="K687" s="18">
        <f t="shared" si="21"/>
        <v>2569.81</v>
      </c>
      <c r="L687" s="27">
        <v>2569.81</v>
      </c>
      <c r="M687" s="36">
        <v>0</v>
      </c>
      <c r="T687" s="41">
        <v>0</v>
      </c>
      <c r="U687" s="41">
        <v>0</v>
      </c>
      <c r="V687" s="42" t="s">
        <v>113</v>
      </c>
      <c r="W687" s="42">
        <v>2569.81</v>
      </c>
      <c r="X687" s="42">
        <v>2569.81</v>
      </c>
    </row>
    <row r="688" spans="1:24">
      <c r="A688" s="27" t="s">
        <v>1392</v>
      </c>
      <c r="B688" s="28" t="s">
        <v>215</v>
      </c>
      <c r="C688" s="27" t="s">
        <v>850</v>
      </c>
      <c r="D688" s="27" t="s">
        <v>112</v>
      </c>
      <c r="E688" s="29">
        <v>40170</v>
      </c>
      <c r="F688" s="27">
        <v>15</v>
      </c>
      <c r="G688" s="18">
        <v>7813.41</v>
      </c>
      <c r="H688" s="27">
        <f t="shared" si="20"/>
        <v>7813.41</v>
      </c>
      <c r="I688" s="18">
        <v>7422.74</v>
      </c>
      <c r="J688" s="27">
        <v>7813.41</v>
      </c>
      <c r="K688" s="18">
        <f t="shared" si="21"/>
        <v>7813.41</v>
      </c>
      <c r="L688" s="27">
        <v>7422.74</v>
      </c>
      <c r="M688" s="36">
        <v>0</v>
      </c>
      <c r="T688" s="41">
        <v>0</v>
      </c>
      <c r="U688" s="41">
        <v>0</v>
      </c>
      <c r="V688" s="42" t="s">
        <v>113</v>
      </c>
      <c r="W688" s="42">
        <v>7813.41</v>
      </c>
      <c r="X688" s="42">
        <v>7813.41</v>
      </c>
    </row>
    <row r="689" spans="1:24">
      <c r="A689" s="27" t="s">
        <v>1393</v>
      </c>
      <c r="B689" s="28" t="s">
        <v>215</v>
      </c>
      <c r="C689" s="27" t="s">
        <v>1394</v>
      </c>
      <c r="D689" s="27" t="s">
        <v>230</v>
      </c>
      <c r="E689" s="29">
        <v>40170</v>
      </c>
      <c r="F689" s="27">
        <v>12</v>
      </c>
      <c r="G689" s="18">
        <v>2703.05</v>
      </c>
      <c r="H689" s="27">
        <f t="shared" si="20"/>
        <v>2703.05</v>
      </c>
      <c r="I689" s="18">
        <v>2703.05</v>
      </c>
      <c r="J689" s="27">
        <v>2703.05</v>
      </c>
      <c r="K689" s="18">
        <f t="shared" si="21"/>
        <v>2703.05</v>
      </c>
      <c r="L689" s="27">
        <v>2703.05</v>
      </c>
      <c r="M689" s="36">
        <v>0</v>
      </c>
      <c r="T689" s="41">
        <v>0</v>
      </c>
      <c r="U689" s="41">
        <v>0</v>
      </c>
      <c r="V689" s="42" t="s">
        <v>113</v>
      </c>
      <c r="W689" s="42">
        <v>2703.05</v>
      </c>
      <c r="X689" s="42">
        <v>2703.05</v>
      </c>
    </row>
    <row r="690" spans="1:24">
      <c r="A690" s="27" t="s">
        <v>1395</v>
      </c>
      <c r="B690" s="28" t="s">
        <v>215</v>
      </c>
      <c r="C690" s="27" t="s">
        <v>1396</v>
      </c>
      <c r="D690" s="27" t="s">
        <v>112</v>
      </c>
      <c r="E690" s="29">
        <v>40170</v>
      </c>
      <c r="F690" s="27">
        <v>12</v>
      </c>
      <c r="G690" s="18">
        <v>2703.01</v>
      </c>
      <c r="H690" s="27">
        <f t="shared" si="20"/>
        <v>2703.01</v>
      </c>
      <c r="I690" s="18">
        <v>2703.01</v>
      </c>
      <c r="J690" s="27">
        <v>2703.01</v>
      </c>
      <c r="K690" s="18">
        <f t="shared" si="21"/>
        <v>2703.01</v>
      </c>
      <c r="L690" s="27">
        <v>2703.01</v>
      </c>
      <c r="M690" s="36">
        <v>0</v>
      </c>
      <c r="T690" s="41">
        <v>0</v>
      </c>
      <c r="U690" s="41">
        <v>0</v>
      </c>
      <c r="V690" s="42" t="s">
        <v>113</v>
      </c>
      <c r="W690" s="42">
        <v>2703.01</v>
      </c>
      <c r="X690" s="42">
        <v>2703.01</v>
      </c>
    </row>
    <row r="691" spans="1:24">
      <c r="A691" s="27" t="s">
        <v>1397</v>
      </c>
      <c r="B691" s="28" t="s">
        <v>215</v>
      </c>
      <c r="C691" s="27" t="s">
        <v>1398</v>
      </c>
      <c r="D691" s="27" t="s">
        <v>230</v>
      </c>
      <c r="E691" s="29">
        <v>40170</v>
      </c>
      <c r="F691" s="27">
        <v>12</v>
      </c>
      <c r="G691" s="18">
        <v>2703.01</v>
      </c>
      <c r="H691" s="27">
        <f t="shared" si="20"/>
        <v>2703.01</v>
      </c>
      <c r="I691" s="18">
        <v>2703.01</v>
      </c>
      <c r="J691" s="27">
        <v>2703.01</v>
      </c>
      <c r="K691" s="18">
        <f t="shared" si="21"/>
        <v>2703.01</v>
      </c>
      <c r="L691" s="27">
        <v>2703.01</v>
      </c>
      <c r="M691" s="36">
        <v>0</v>
      </c>
      <c r="T691" s="41">
        <v>0</v>
      </c>
      <c r="U691" s="41">
        <v>0</v>
      </c>
      <c r="V691" s="42" t="s">
        <v>113</v>
      </c>
      <c r="W691" s="42">
        <v>2703.01</v>
      </c>
      <c r="X691" s="42">
        <v>2703.01</v>
      </c>
    </row>
    <row r="692" spans="1:24">
      <c r="A692" s="27" t="s">
        <v>1399</v>
      </c>
      <c r="B692" s="28" t="s">
        <v>215</v>
      </c>
      <c r="C692" s="27" t="s">
        <v>1400</v>
      </c>
      <c r="D692" s="27" t="s">
        <v>230</v>
      </c>
      <c r="E692" s="29">
        <v>40170</v>
      </c>
      <c r="F692" s="27">
        <v>12</v>
      </c>
      <c r="G692" s="18">
        <v>2703.01</v>
      </c>
      <c r="H692" s="27">
        <f t="shared" si="20"/>
        <v>2703.01</v>
      </c>
      <c r="I692" s="18">
        <v>2703.01</v>
      </c>
      <c r="J692" s="27">
        <v>2703.01</v>
      </c>
      <c r="K692" s="18">
        <f t="shared" si="21"/>
        <v>2703.01</v>
      </c>
      <c r="L692" s="27">
        <v>2703.01</v>
      </c>
      <c r="M692" s="36">
        <v>0</v>
      </c>
      <c r="T692" s="41">
        <v>0</v>
      </c>
      <c r="U692" s="41">
        <v>0</v>
      </c>
      <c r="V692" s="42" t="s">
        <v>113</v>
      </c>
      <c r="W692" s="42">
        <v>2703.01</v>
      </c>
      <c r="X692" s="42">
        <v>2703.01</v>
      </c>
    </row>
    <row r="693" spans="1:24">
      <c r="A693" s="27" t="s">
        <v>1401</v>
      </c>
      <c r="B693" s="28" t="s">
        <v>215</v>
      </c>
      <c r="C693" s="27" t="s">
        <v>1402</v>
      </c>
      <c r="D693" s="27" t="s">
        <v>112</v>
      </c>
      <c r="E693" s="29">
        <v>40170</v>
      </c>
      <c r="F693" s="27">
        <v>12</v>
      </c>
      <c r="G693" s="18">
        <v>2703.01</v>
      </c>
      <c r="H693" s="27">
        <f t="shared" si="20"/>
        <v>2703.01</v>
      </c>
      <c r="I693" s="18">
        <v>2703.01</v>
      </c>
      <c r="J693" s="27">
        <v>2703.01</v>
      </c>
      <c r="K693" s="18">
        <f t="shared" si="21"/>
        <v>2703.01</v>
      </c>
      <c r="L693" s="27">
        <v>2703.01</v>
      </c>
      <c r="M693" s="36">
        <v>0</v>
      </c>
      <c r="T693" s="41">
        <v>0</v>
      </c>
      <c r="U693" s="41">
        <v>0</v>
      </c>
      <c r="V693" s="42" t="s">
        <v>113</v>
      </c>
      <c r="W693" s="42">
        <v>2703.01</v>
      </c>
      <c r="X693" s="42">
        <v>2703.01</v>
      </c>
    </row>
    <row r="694" spans="1:24">
      <c r="A694" s="27" t="s">
        <v>1403</v>
      </c>
      <c r="B694" s="28" t="s">
        <v>215</v>
      </c>
      <c r="C694" s="27" t="s">
        <v>1404</v>
      </c>
      <c r="D694" s="27" t="s">
        <v>112</v>
      </c>
      <c r="E694" s="29">
        <v>40170</v>
      </c>
      <c r="F694" s="27">
        <v>12</v>
      </c>
      <c r="G694" s="18">
        <v>2703.01</v>
      </c>
      <c r="H694" s="27">
        <f t="shared" si="20"/>
        <v>2703.01</v>
      </c>
      <c r="I694" s="18">
        <v>2703.01</v>
      </c>
      <c r="J694" s="27">
        <v>2703.01</v>
      </c>
      <c r="K694" s="18">
        <f t="shared" si="21"/>
        <v>2703.01</v>
      </c>
      <c r="L694" s="27">
        <v>2703.01</v>
      </c>
      <c r="M694" s="36">
        <v>0</v>
      </c>
      <c r="T694" s="41">
        <v>0</v>
      </c>
      <c r="U694" s="41">
        <v>0</v>
      </c>
      <c r="V694" s="42" t="s">
        <v>113</v>
      </c>
      <c r="W694" s="42">
        <v>2703.01</v>
      </c>
      <c r="X694" s="42">
        <v>2703.01</v>
      </c>
    </row>
    <row r="695" spans="1:24">
      <c r="A695" s="27" t="s">
        <v>1405</v>
      </c>
      <c r="B695" s="28" t="s">
        <v>215</v>
      </c>
      <c r="C695" s="27" t="s">
        <v>1406</v>
      </c>
      <c r="D695" s="27" t="s">
        <v>118</v>
      </c>
      <c r="E695" s="29">
        <v>40170</v>
      </c>
      <c r="F695" s="27">
        <v>15</v>
      </c>
      <c r="G695" s="18">
        <v>321187.75</v>
      </c>
      <c r="H695" s="27">
        <f t="shared" si="20"/>
        <v>321187.75</v>
      </c>
      <c r="I695" s="18">
        <v>305128.36</v>
      </c>
      <c r="J695" s="27">
        <v>321187.75</v>
      </c>
      <c r="K695" s="18">
        <f t="shared" si="21"/>
        <v>321187.75</v>
      </c>
      <c r="L695" s="27">
        <v>305128.36</v>
      </c>
      <c r="M695" s="36">
        <v>0</v>
      </c>
      <c r="T695" s="41">
        <v>0</v>
      </c>
      <c r="U695" s="41">
        <v>0</v>
      </c>
      <c r="V695" s="42" t="s">
        <v>113</v>
      </c>
      <c r="W695" s="42">
        <v>321187.75</v>
      </c>
      <c r="X695" s="42">
        <v>321187.75</v>
      </c>
    </row>
    <row r="696" spans="1:24">
      <c r="A696" s="27" t="s">
        <v>1407</v>
      </c>
      <c r="B696" s="28" t="s">
        <v>215</v>
      </c>
      <c r="C696" s="27" t="s">
        <v>574</v>
      </c>
      <c r="D696" s="27" t="s">
        <v>118</v>
      </c>
      <c r="E696" s="29">
        <v>40170</v>
      </c>
      <c r="F696" s="27">
        <v>15</v>
      </c>
      <c r="G696" s="18">
        <v>321187.74</v>
      </c>
      <c r="H696" s="27">
        <f t="shared" si="20"/>
        <v>321187.74</v>
      </c>
      <c r="I696" s="18">
        <v>305128.34999999998</v>
      </c>
      <c r="J696" s="27">
        <v>321187.74</v>
      </c>
      <c r="K696" s="18">
        <f t="shared" si="21"/>
        <v>321187.74</v>
      </c>
      <c r="L696" s="27">
        <v>305128.34999999998</v>
      </c>
      <c r="M696" s="36">
        <v>0</v>
      </c>
      <c r="T696" s="41">
        <v>0</v>
      </c>
      <c r="U696" s="41">
        <v>0</v>
      </c>
      <c r="V696" s="42" t="s">
        <v>113</v>
      </c>
      <c r="W696" s="42">
        <v>321187.74</v>
      </c>
      <c r="X696" s="42">
        <v>321187.74</v>
      </c>
    </row>
    <row r="697" spans="1:24">
      <c r="A697" s="27" t="s">
        <v>1408</v>
      </c>
      <c r="B697" s="28" t="s">
        <v>215</v>
      </c>
      <c r="C697" s="27" t="s">
        <v>1409</v>
      </c>
      <c r="D697" s="27" t="s">
        <v>118</v>
      </c>
      <c r="E697" s="29">
        <v>40170</v>
      </c>
      <c r="F697" s="27">
        <v>15</v>
      </c>
      <c r="G697" s="18">
        <v>321187.74</v>
      </c>
      <c r="H697" s="27">
        <f t="shared" si="20"/>
        <v>321187.74</v>
      </c>
      <c r="I697" s="18">
        <v>305128.34999999998</v>
      </c>
      <c r="J697" s="27">
        <v>321187.74</v>
      </c>
      <c r="K697" s="18">
        <f t="shared" si="21"/>
        <v>321187.74</v>
      </c>
      <c r="L697" s="27">
        <v>305128.34999999998</v>
      </c>
      <c r="M697" s="36">
        <v>0</v>
      </c>
      <c r="T697" s="41">
        <v>0</v>
      </c>
      <c r="U697" s="41">
        <v>0</v>
      </c>
      <c r="V697" s="42" t="s">
        <v>113</v>
      </c>
      <c r="W697" s="42">
        <v>321187.74</v>
      </c>
      <c r="X697" s="42">
        <v>321187.74</v>
      </c>
    </row>
    <row r="698" spans="1:24">
      <c r="A698" s="27" t="s">
        <v>1410</v>
      </c>
      <c r="B698" s="28" t="s">
        <v>215</v>
      </c>
      <c r="C698" s="27" t="s">
        <v>1411</v>
      </c>
      <c r="D698" s="27" t="s">
        <v>118</v>
      </c>
      <c r="E698" s="29">
        <v>40170</v>
      </c>
      <c r="F698" s="27">
        <v>15</v>
      </c>
      <c r="G698" s="18">
        <v>321187.74</v>
      </c>
      <c r="H698" s="27">
        <f t="shared" si="20"/>
        <v>321187.74</v>
      </c>
      <c r="I698" s="18">
        <v>305128.34999999998</v>
      </c>
      <c r="J698" s="27">
        <v>321187.74</v>
      </c>
      <c r="K698" s="18">
        <f t="shared" si="21"/>
        <v>321187.74</v>
      </c>
      <c r="L698" s="27">
        <v>305128.34999999998</v>
      </c>
      <c r="M698" s="36">
        <v>0</v>
      </c>
      <c r="T698" s="41">
        <v>0</v>
      </c>
      <c r="U698" s="41">
        <v>0</v>
      </c>
      <c r="V698" s="42" t="s">
        <v>113</v>
      </c>
      <c r="W698" s="42">
        <v>321187.74</v>
      </c>
      <c r="X698" s="42">
        <v>321187.74</v>
      </c>
    </row>
    <row r="699" spans="1:24">
      <c r="A699" s="27" t="s">
        <v>1412</v>
      </c>
      <c r="B699" s="28" t="s">
        <v>215</v>
      </c>
      <c r="C699" s="27" t="s">
        <v>646</v>
      </c>
      <c r="D699" s="27" t="s">
        <v>118</v>
      </c>
      <c r="E699" s="29">
        <v>40170</v>
      </c>
      <c r="F699" s="27">
        <v>12</v>
      </c>
      <c r="G699" s="18">
        <v>2514.31</v>
      </c>
      <c r="H699" s="27">
        <f t="shared" si="20"/>
        <v>2514.31</v>
      </c>
      <c r="I699" s="18">
        <v>2514.31</v>
      </c>
      <c r="J699" s="27">
        <v>2514.31</v>
      </c>
      <c r="K699" s="18">
        <f t="shared" si="21"/>
        <v>2514.31</v>
      </c>
      <c r="L699" s="27">
        <v>2514.31</v>
      </c>
      <c r="M699" s="36">
        <v>0</v>
      </c>
      <c r="T699" s="41">
        <v>0</v>
      </c>
      <c r="U699" s="41">
        <v>0</v>
      </c>
      <c r="V699" s="42" t="s">
        <v>113</v>
      </c>
      <c r="W699" s="42">
        <v>2514.31</v>
      </c>
      <c r="X699" s="42">
        <v>2514.31</v>
      </c>
    </row>
    <row r="700" spans="1:24">
      <c r="A700" s="27" t="s">
        <v>1413</v>
      </c>
      <c r="B700" s="28" t="s">
        <v>215</v>
      </c>
      <c r="C700" s="27" t="s">
        <v>644</v>
      </c>
      <c r="D700" s="27" t="s">
        <v>118</v>
      </c>
      <c r="E700" s="29">
        <v>40170</v>
      </c>
      <c r="F700" s="27">
        <v>12</v>
      </c>
      <c r="G700" s="18">
        <v>2514.27</v>
      </c>
      <c r="H700" s="27">
        <f t="shared" si="20"/>
        <v>2514.27</v>
      </c>
      <c r="I700" s="18">
        <v>2514.27</v>
      </c>
      <c r="J700" s="27">
        <v>2514.27</v>
      </c>
      <c r="K700" s="18">
        <f t="shared" si="21"/>
        <v>2514.27</v>
      </c>
      <c r="L700" s="27">
        <v>2514.27</v>
      </c>
      <c r="M700" s="36">
        <v>0</v>
      </c>
      <c r="T700" s="41">
        <v>0</v>
      </c>
      <c r="U700" s="41">
        <v>0</v>
      </c>
      <c r="V700" s="42" t="s">
        <v>113</v>
      </c>
      <c r="W700" s="42">
        <v>2514.27</v>
      </c>
      <c r="X700" s="42">
        <v>2514.27</v>
      </c>
    </row>
    <row r="701" spans="1:24">
      <c r="A701" s="27" t="s">
        <v>1414</v>
      </c>
      <c r="B701" s="28" t="s">
        <v>215</v>
      </c>
      <c r="C701" s="27" t="s">
        <v>648</v>
      </c>
      <c r="D701" s="27" t="s">
        <v>118</v>
      </c>
      <c r="E701" s="29">
        <v>40170</v>
      </c>
      <c r="F701" s="27">
        <v>12</v>
      </c>
      <c r="G701" s="18">
        <v>2514.27</v>
      </c>
      <c r="H701" s="27">
        <f t="shared" si="20"/>
        <v>2514.27</v>
      </c>
      <c r="I701" s="18">
        <v>2514.27</v>
      </c>
      <c r="J701" s="27">
        <v>2514.27</v>
      </c>
      <c r="K701" s="18">
        <f t="shared" si="21"/>
        <v>2514.27</v>
      </c>
      <c r="L701" s="27">
        <v>2514.27</v>
      </c>
      <c r="M701" s="36">
        <v>0</v>
      </c>
      <c r="T701" s="41">
        <v>0</v>
      </c>
      <c r="U701" s="41">
        <v>0</v>
      </c>
      <c r="V701" s="42" t="s">
        <v>113</v>
      </c>
      <c r="W701" s="42">
        <v>2514.27</v>
      </c>
      <c r="X701" s="42">
        <v>2514.27</v>
      </c>
    </row>
    <row r="702" spans="1:24">
      <c r="A702" s="27" t="s">
        <v>1415</v>
      </c>
      <c r="B702" s="28" t="s">
        <v>215</v>
      </c>
      <c r="C702" s="27" t="s">
        <v>1416</v>
      </c>
      <c r="D702" s="27" t="s">
        <v>118</v>
      </c>
      <c r="E702" s="29">
        <v>40170</v>
      </c>
      <c r="F702" s="27">
        <v>15</v>
      </c>
      <c r="G702" s="18">
        <v>5027.2700000000004</v>
      </c>
      <c r="H702" s="27">
        <f t="shared" si="20"/>
        <v>5027.2700000000004</v>
      </c>
      <c r="I702" s="18">
        <v>4775.91</v>
      </c>
      <c r="J702" s="27">
        <v>5027.2700000000004</v>
      </c>
      <c r="K702" s="18">
        <f t="shared" si="21"/>
        <v>5027.2700000000004</v>
      </c>
      <c r="L702" s="27">
        <v>4775.91</v>
      </c>
      <c r="M702" s="36">
        <v>0</v>
      </c>
      <c r="T702" s="41">
        <v>0</v>
      </c>
      <c r="U702" s="41">
        <v>0</v>
      </c>
      <c r="V702" s="42" t="s">
        <v>113</v>
      </c>
      <c r="W702" s="42">
        <v>5027.2700000000004</v>
      </c>
      <c r="X702" s="42">
        <v>5027.2700000000004</v>
      </c>
    </row>
    <row r="703" spans="1:24">
      <c r="A703" s="27" t="s">
        <v>1417</v>
      </c>
      <c r="B703" s="28" t="s">
        <v>215</v>
      </c>
      <c r="C703" s="27" t="s">
        <v>1418</v>
      </c>
      <c r="D703" s="27" t="s">
        <v>118</v>
      </c>
      <c r="E703" s="29">
        <v>40170</v>
      </c>
      <c r="F703" s="27">
        <v>15</v>
      </c>
      <c r="G703" s="18">
        <v>5027.2700000000004</v>
      </c>
      <c r="H703" s="27">
        <f t="shared" si="20"/>
        <v>5027.2700000000004</v>
      </c>
      <c r="I703" s="18">
        <v>4775.91</v>
      </c>
      <c r="J703" s="27">
        <v>5027.2700000000004</v>
      </c>
      <c r="K703" s="18">
        <f t="shared" si="21"/>
        <v>5027.2700000000004</v>
      </c>
      <c r="L703" s="27">
        <v>4775.91</v>
      </c>
      <c r="M703" s="36">
        <v>0</v>
      </c>
      <c r="T703" s="41">
        <v>0</v>
      </c>
      <c r="U703" s="41">
        <v>0</v>
      </c>
      <c r="V703" s="42" t="s">
        <v>113</v>
      </c>
      <c r="W703" s="42">
        <v>5027.2700000000004</v>
      </c>
      <c r="X703" s="42">
        <v>5027.2700000000004</v>
      </c>
    </row>
    <row r="704" spans="1:24">
      <c r="A704" s="27" t="s">
        <v>1419</v>
      </c>
      <c r="B704" s="28" t="s">
        <v>215</v>
      </c>
      <c r="C704" s="27" t="s">
        <v>1420</v>
      </c>
      <c r="D704" s="27" t="s">
        <v>118</v>
      </c>
      <c r="E704" s="29">
        <v>40170</v>
      </c>
      <c r="F704" s="27">
        <v>15</v>
      </c>
      <c r="G704" s="18">
        <v>5027.2700000000004</v>
      </c>
      <c r="H704" s="27">
        <f t="shared" si="20"/>
        <v>5027.2700000000004</v>
      </c>
      <c r="I704" s="18">
        <v>4775.91</v>
      </c>
      <c r="J704" s="27">
        <v>5027.2700000000004</v>
      </c>
      <c r="K704" s="18">
        <f t="shared" si="21"/>
        <v>5027.2700000000004</v>
      </c>
      <c r="L704" s="27">
        <v>4775.91</v>
      </c>
      <c r="M704" s="36">
        <v>0</v>
      </c>
      <c r="T704" s="41">
        <v>0</v>
      </c>
      <c r="U704" s="41">
        <v>0</v>
      </c>
      <c r="V704" s="42" t="s">
        <v>113</v>
      </c>
      <c r="W704" s="42">
        <v>5027.2700000000004</v>
      </c>
      <c r="X704" s="42">
        <v>5027.2700000000004</v>
      </c>
    </row>
    <row r="705" spans="1:24">
      <c r="A705" s="27" t="s">
        <v>1421</v>
      </c>
      <c r="B705" s="28" t="s">
        <v>215</v>
      </c>
      <c r="C705" s="27" t="s">
        <v>1422</v>
      </c>
      <c r="D705" s="27" t="s">
        <v>118</v>
      </c>
      <c r="E705" s="29">
        <v>40170</v>
      </c>
      <c r="F705" s="27">
        <v>15</v>
      </c>
      <c r="G705" s="18">
        <v>5027.2700000000004</v>
      </c>
      <c r="H705" s="27">
        <f t="shared" si="20"/>
        <v>5027.2700000000004</v>
      </c>
      <c r="I705" s="18">
        <v>4775.91</v>
      </c>
      <c r="J705" s="27">
        <v>5027.2700000000004</v>
      </c>
      <c r="K705" s="18">
        <f t="shared" si="21"/>
        <v>5027.2700000000004</v>
      </c>
      <c r="L705" s="27">
        <v>4775.91</v>
      </c>
      <c r="M705" s="36">
        <v>0</v>
      </c>
      <c r="T705" s="41">
        <v>0</v>
      </c>
      <c r="U705" s="41">
        <v>0</v>
      </c>
      <c r="V705" s="42" t="s">
        <v>113</v>
      </c>
      <c r="W705" s="42">
        <v>5027.2700000000004</v>
      </c>
      <c r="X705" s="42">
        <v>5027.2700000000004</v>
      </c>
    </row>
    <row r="706" spans="1:24">
      <c r="A706" s="27" t="s">
        <v>1423</v>
      </c>
      <c r="B706" s="28" t="s">
        <v>215</v>
      </c>
      <c r="C706" s="27" t="s">
        <v>1424</v>
      </c>
      <c r="D706" s="27" t="s">
        <v>118</v>
      </c>
      <c r="E706" s="29">
        <v>40170</v>
      </c>
      <c r="F706" s="27">
        <v>15</v>
      </c>
      <c r="G706" s="18">
        <v>5027.2700000000004</v>
      </c>
      <c r="H706" s="27">
        <f t="shared" si="20"/>
        <v>5027.2700000000004</v>
      </c>
      <c r="I706" s="18">
        <v>4775.91</v>
      </c>
      <c r="J706" s="27">
        <v>5027.2700000000004</v>
      </c>
      <c r="K706" s="18">
        <f t="shared" si="21"/>
        <v>5027.2700000000004</v>
      </c>
      <c r="L706" s="27">
        <v>4775.91</v>
      </c>
      <c r="M706" s="36">
        <v>0</v>
      </c>
      <c r="T706" s="41">
        <v>0</v>
      </c>
      <c r="U706" s="41">
        <v>0</v>
      </c>
      <c r="V706" s="42" t="s">
        <v>113</v>
      </c>
      <c r="W706" s="42">
        <v>5027.2700000000004</v>
      </c>
      <c r="X706" s="42">
        <v>5027.2700000000004</v>
      </c>
    </row>
    <row r="707" spans="1:24">
      <c r="A707" s="27" t="s">
        <v>1425</v>
      </c>
      <c r="B707" s="28" t="s">
        <v>215</v>
      </c>
      <c r="C707" s="27" t="s">
        <v>1426</v>
      </c>
      <c r="D707" s="27" t="s">
        <v>118</v>
      </c>
      <c r="E707" s="29">
        <v>40170</v>
      </c>
      <c r="F707" s="27">
        <v>15</v>
      </c>
      <c r="G707" s="18">
        <v>5027.2700000000004</v>
      </c>
      <c r="H707" s="27">
        <f t="shared" si="20"/>
        <v>5027.2700000000004</v>
      </c>
      <c r="I707" s="18">
        <v>4775.91</v>
      </c>
      <c r="J707" s="27">
        <v>5027.2700000000004</v>
      </c>
      <c r="K707" s="18">
        <f t="shared" si="21"/>
        <v>5027.2700000000004</v>
      </c>
      <c r="L707" s="27">
        <v>4775.91</v>
      </c>
      <c r="M707" s="36">
        <v>0</v>
      </c>
      <c r="T707" s="41">
        <v>0</v>
      </c>
      <c r="U707" s="41">
        <v>0</v>
      </c>
      <c r="V707" s="42" t="s">
        <v>113</v>
      </c>
      <c r="W707" s="42">
        <v>5027.2700000000004</v>
      </c>
      <c r="X707" s="42">
        <v>5027.2700000000004</v>
      </c>
    </row>
    <row r="708" spans="1:24">
      <c r="A708" s="27" t="s">
        <v>1427</v>
      </c>
      <c r="B708" s="28" t="s">
        <v>215</v>
      </c>
      <c r="C708" s="27" t="s">
        <v>1428</v>
      </c>
      <c r="D708" s="27" t="s">
        <v>118</v>
      </c>
      <c r="E708" s="29">
        <v>40170</v>
      </c>
      <c r="F708" s="27">
        <v>15</v>
      </c>
      <c r="G708" s="18">
        <v>5027.2700000000004</v>
      </c>
      <c r="H708" s="27">
        <f t="shared" si="20"/>
        <v>5027.2700000000004</v>
      </c>
      <c r="I708" s="18">
        <v>4775.91</v>
      </c>
      <c r="J708" s="27">
        <v>5027.2700000000004</v>
      </c>
      <c r="K708" s="18">
        <f t="shared" si="21"/>
        <v>5027.2700000000004</v>
      </c>
      <c r="L708" s="27">
        <v>4775.91</v>
      </c>
      <c r="M708" s="36">
        <v>0</v>
      </c>
      <c r="T708" s="41">
        <v>0</v>
      </c>
      <c r="U708" s="41">
        <v>0</v>
      </c>
      <c r="V708" s="42" t="s">
        <v>113</v>
      </c>
      <c r="W708" s="42">
        <v>5027.2700000000004</v>
      </c>
      <c r="X708" s="42">
        <v>5027.2700000000004</v>
      </c>
    </row>
    <row r="709" spans="1:24">
      <c r="A709" s="27" t="s">
        <v>1429</v>
      </c>
      <c r="B709" s="28" t="s">
        <v>215</v>
      </c>
      <c r="C709" s="27" t="s">
        <v>1430</v>
      </c>
      <c r="D709" s="27" t="s">
        <v>118</v>
      </c>
      <c r="E709" s="29">
        <v>40170</v>
      </c>
      <c r="F709" s="27">
        <v>15</v>
      </c>
      <c r="G709" s="18">
        <v>6477.19</v>
      </c>
      <c r="H709" s="27">
        <f t="shared" si="20"/>
        <v>6477.19</v>
      </c>
      <c r="I709" s="18">
        <v>6153.33</v>
      </c>
      <c r="J709" s="27">
        <v>6477.19</v>
      </c>
      <c r="K709" s="18">
        <f t="shared" si="21"/>
        <v>6477.19</v>
      </c>
      <c r="L709" s="27">
        <v>6153.33</v>
      </c>
      <c r="M709" s="36">
        <v>0</v>
      </c>
      <c r="T709" s="41">
        <v>0</v>
      </c>
      <c r="U709" s="41">
        <v>0</v>
      </c>
      <c r="V709" s="42" t="s">
        <v>113</v>
      </c>
      <c r="W709" s="42">
        <v>6477.19</v>
      </c>
      <c r="X709" s="42">
        <v>6477.19</v>
      </c>
    </row>
    <row r="710" spans="1:24">
      <c r="A710" s="27" t="s">
        <v>1431</v>
      </c>
      <c r="B710" s="28" t="s">
        <v>215</v>
      </c>
      <c r="C710" s="27" t="s">
        <v>1432</v>
      </c>
      <c r="D710" s="27" t="s">
        <v>118</v>
      </c>
      <c r="E710" s="29">
        <v>40170</v>
      </c>
      <c r="F710" s="27">
        <v>15</v>
      </c>
      <c r="G710" s="18">
        <v>6477.19</v>
      </c>
      <c r="H710" s="27">
        <f t="shared" ref="H710:H773" si="22">IFERROR(IF(ROUND((G710-I710)/G710,2)&lt;=0.05,G710,0),0)</f>
        <v>6477.19</v>
      </c>
      <c r="I710" s="18">
        <v>6153.33</v>
      </c>
      <c r="J710" s="27">
        <v>6477.19</v>
      </c>
      <c r="K710" s="18">
        <f t="shared" ref="K710:K773" si="23">IFERROR(IF(ROUND((J710-L710)/J710,2)&lt;=0.05,J710,0),0)</f>
        <v>6477.19</v>
      </c>
      <c r="L710" s="27">
        <v>6153.33</v>
      </c>
      <c r="M710" s="36">
        <v>0</v>
      </c>
      <c r="T710" s="41">
        <v>0</v>
      </c>
      <c r="U710" s="41">
        <v>0</v>
      </c>
      <c r="V710" s="42" t="s">
        <v>113</v>
      </c>
      <c r="W710" s="42">
        <v>6477.19</v>
      </c>
      <c r="X710" s="42">
        <v>6477.19</v>
      </c>
    </row>
    <row r="711" spans="1:24">
      <c r="A711" s="27" t="s">
        <v>1433</v>
      </c>
      <c r="B711" s="28" t="s">
        <v>215</v>
      </c>
      <c r="C711" s="27" t="s">
        <v>1434</v>
      </c>
      <c r="D711" s="27" t="s">
        <v>118</v>
      </c>
      <c r="E711" s="29">
        <v>40170</v>
      </c>
      <c r="F711" s="27">
        <v>15</v>
      </c>
      <c r="G711" s="18">
        <v>6477.19</v>
      </c>
      <c r="H711" s="27">
        <f t="shared" si="22"/>
        <v>6477.19</v>
      </c>
      <c r="I711" s="18">
        <v>6153.33</v>
      </c>
      <c r="J711" s="27">
        <v>6477.19</v>
      </c>
      <c r="K711" s="18">
        <f t="shared" si="23"/>
        <v>6477.19</v>
      </c>
      <c r="L711" s="27">
        <v>6153.33</v>
      </c>
      <c r="M711" s="36">
        <v>0</v>
      </c>
      <c r="T711" s="41">
        <v>0</v>
      </c>
      <c r="U711" s="41">
        <v>0</v>
      </c>
      <c r="V711" s="42" t="s">
        <v>113</v>
      </c>
      <c r="W711" s="42">
        <v>6477.19</v>
      </c>
      <c r="X711" s="42">
        <v>6477.19</v>
      </c>
    </row>
    <row r="712" spans="1:24">
      <c r="A712" s="27" t="s">
        <v>1435</v>
      </c>
      <c r="B712" s="28" t="s">
        <v>215</v>
      </c>
      <c r="C712" s="27" t="s">
        <v>1436</v>
      </c>
      <c r="D712" s="27" t="s">
        <v>118</v>
      </c>
      <c r="E712" s="29">
        <v>40170</v>
      </c>
      <c r="F712" s="27">
        <v>15</v>
      </c>
      <c r="G712" s="18">
        <v>11145.18</v>
      </c>
      <c r="H712" s="27">
        <f t="shared" si="22"/>
        <v>11145.18</v>
      </c>
      <c r="I712" s="18">
        <v>10587.92</v>
      </c>
      <c r="J712" s="27">
        <v>11145.18</v>
      </c>
      <c r="K712" s="18">
        <f t="shared" si="23"/>
        <v>11145.18</v>
      </c>
      <c r="L712" s="27">
        <v>10587.92</v>
      </c>
      <c r="M712" s="36">
        <v>0</v>
      </c>
      <c r="T712" s="41">
        <v>0</v>
      </c>
      <c r="U712" s="41">
        <v>0</v>
      </c>
      <c r="V712" s="42" t="s">
        <v>113</v>
      </c>
      <c r="W712" s="42">
        <v>11145.18</v>
      </c>
      <c r="X712" s="42">
        <v>11145.18</v>
      </c>
    </row>
    <row r="713" spans="1:24">
      <c r="A713" s="27" t="s">
        <v>1437</v>
      </c>
      <c r="B713" s="28" t="s">
        <v>215</v>
      </c>
      <c r="C713" s="27" t="s">
        <v>1438</v>
      </c>
      <c r="D713" s="27" t="s">
        <v>118</v>
      </c>
      <c r="E713" s="29">
        <v>40170</v>
      </c>
      <c r="F713" s="27">
        <v>15</v>
      </c>
      <c r="G713" s="18">
        <v>11145.18</v>
      </c>
      <c r="H713" s="27">
        <f t="shared" si="22"/>
        <v>11145.18</v>
      </c>
      <c r="I713" s="18">
        <v>10587.92</v>
      </c>
      <c r="J713" s="27">
        <v>11145.18</v>
      </c>
      <c r="K713" s="18">
        <f t="shared" si="23"/>
        <v>11145.18</v>
      </c>
      <c r="L713" s="27">
        <v>10587.92</v>
      </c>
      <c r="M713" s="36">
        <v>0</v>
      </c>
      <c r="T713" s="41">
        <v>0</v>
      </c>
      <c r="U713" s="41">
        <v>0</v>
      </c>
      <c r="V713" s="42" t="s">
        <v>113</v>
      </c>
      <c r="W713" s="42">
        <v>11145.18</v>
      </c>
      <c r="X713" s="42">
        <v>11145.18</v>
      </c>
    </row>
    <row r="714" spans="1:24">
      <c r="A714" s="27" t="s">
        <v>1439</v>
      </c>
      <c r="B714" s="28" t="s">
        <v>215</v>
      </c>
      <c r="C714" s="27" t="s">
        <v>1440</v>
      </c>
      <c r="D714" s="27" t="s">
        <v>118</v>
      </c>
      <c r="E714" s="29">
        <v>40170</v>
      </c>
      <c r="F714" s="27">
        <v>15</v>
      </c>
      <c r="G714" s="18">
        <v>11145.18</v>
      </c>
      <c r="H714" s="27">
        <f t="shared" si="22"/>
        <v>11145.18</v>
      </c>
      <c r="I714" s="18">
        <v>10587.92</v>
      </c>
      <c r="J714" s="27">
        <v>11145.18</v>
      </c>
      <c r="K714" s="18">
        <f t="shared" si="23"/>
        <v>11145.18</v>
      </c>
      <c r="L714" s="27">
        <v>10587.92</v>
      </c>
      <c r="M714" s="36">
        <v>0</v>
      </c>
      <c r="T714" s="41">
        <v>0</v>
      </c>
      <c r="U714" s="41">
        <v>0</v>
      </c>
      <c r="V714" s="42" t="s">
        <v>113</v>
      </c>
      <c r="W714" s="42">
        <v>11145.18</v>
      </c>
      <c r="X714" s="42">
        <v>11145.18</v>
      </c>
    </row>
    <row r="715" spans="1:24">
      <c r="A715" s="27" t="s">
        <v>1441</v>
      </c>
      <c r="B715" s="28" t="s">
        <v>215</v>
      </c>
      <c r="C715" s="27" t="s">
        <v>1015</v>
      </c>
      <c r="D715" s="27" t="s">
        <v>112</v>
      </c>
      <c r="E715" s="29">
        <v>40170</v>
      </c>
      <c r="F715" s="27">
        <v>15</v>
      </c>
      <c r="G715" s="18">
        <v>451313.32</v>
      </c>
      <c r="H715" s="27">
        <f t="shared" si="22"/>
        <v>451313.32</v>
      </c>
      <c r="I715" s="18">
        <v>428747.65</v>
      </c>
      <c r="J715" s="27">
        <v>451313.32</v>
      </c>
      <c r="K715" s="18">
        <f t="shared" si="23"/>
        <v>451313.32</v>
      </c>
      <c r="L715" s="27">
        <v>428747.65</v>
      </c>
      <c r="M715" s="36">
        <v>0</v>
      </c>
      <c r="T715" s="41">
        <v>0</v>
      </c>
      <c r="U715" s="41">
        <v>0</v>
      </c>
      <c r="V715" s="42" t="s">
        <v>113</v>
      </c>
      <c r="W715" s="42">
        <v>451313.32</v>
      </c>
      <c r="X715" s="42">
        <v>451313.32</v>
      </c>
    </row>
    <row r="716" spans="1:24">
      <c r="A716" s="27" t="s">
        <v>1442</v>
      </c>
      <c r="B716" s="28" t="s">
        <v>215</v>
      </c>
      <c r="C716" s="27" t="s">
        <v>1443</v>
      </c>
      <c r="D716" s="27" t="s">
        <v>112</v>
      </c>
      <c r="E716" s="29">
        <v>40170</v>
      </c>
      <c r="F716" s="27">
        <v>15</v>
      </c>
      <c r="G716" s="18">
        <v>253147.23</v>
      </c>
      <c r="H716" s="27">
        <f t="shared" si="22"/>
        <v>253147.23</v>
      </c>
      <c r="I716" s="18">
        <v>240489.87</v>
      </c>
      <c r="J716" s="27">
        <v>253147.23</v>
      </c>
      <c r="K716" s="18">
        <f t="shared" si="23"/>
        <v>253147.23</v>
      </c>
      <c r="L716" s="27">
        <v>240489.87</v>
      </c>
      <c r="M716" s="36">
        <v>0</v>
      </c>
      <c r="T716" s="41">
        <v>0</v>
      </c>
      <c r="U716" s="41">
        <v>0</v>
      </c>
      <c r="V716" s="42" t="s">
        <v>113</v>
      </c>
      <c r="W716" s="42">
        <v>253147.23</v>
      </c>
      <c r="X716" s="42">
        <v>253147.23</v>
      </c>
    </row>
    <row r="717" spans="1:24">
      <c r="A717" s="27" t="s">
        <v>1444</v>
      </c>
      <c r="B717" s="28" t="s">
        <v>215</v>
      </c>
      <c r="C717" s="27" t="s">
        <v>1019</v>
      </c>
      <c r="D717" s="27" t="s">
        <v>112</v>
      </c>
      <c r="E717" s="29">
        <v>40170</v>
      </c>
      <c r="F717" s="27">
        <v>15</v>
      </c>
      <c r="G717" s="18">
        <v>290226.02</v>
      </c>
      <c r="H717" s="27">
        <f t="shared" si="22"/>
        <v>290226.02</v>
      </c>
      <c r="I717" s="18">
        <v>275714.71999999997</v>
      </c>
      <c r="J717" s="27">
        <v>290226.02</v>
      </c>
      <c r="K717" s="18">
        <f t="shared" si="23"/>
        <v>290226.02</v>
      </c>
      <c r="L717" s="27">
        <v>275714.71999999997</v>
      </c>
      <c r="M717" s="36">
        <v>0</v>
      </c>
      <c r="T717" s="41">
        <v>0</v>
      </c>
      <c r="U717" s="41">
        <v>0</v>
      </c>
      <c r="V717" s="42" t="s">
        <v>113</v>
      </c>
      <c r="W717" s="42">
        <v>290226.02</v>
      </c>
      <c r="X717" s="42">
        <v>290226.02</v>
      </c>
    </row>
    <row r="718" spans="1:24">
      <c r="A718" s="27" t="s">
        <v>1445</v>
      </c>
      <c r="B718" s="28" t="s">
        <v>215</v>
      </c>
      <c r="C718" s="27" t="s">
        <v>1446</v>
      </c>
      <c r="D718" s="27" t="s">
        <v>112</v>
      </c>
      <c r="E718" s="29">
        <v>40170</v>
      </c>
      <c r="F718" s="27">
        <v>15</v>
      </c>
      <c r="G718" s="18">
        <v>127291.46</v>
      </c>
      <c r="H718" s="27">
        <f t="shared" si="22"/>
        <v>127291.46</v>
      </c>
      <c r="I718" s="18">
        <v>120926.89</v>
      </c>
      <c r="J718" s="27">
        <v>127291.46</v>
      </c>
      <c r="K718" s="18">
        <f t="shared" si="23"/>
        <v>127291.46</v>
      </c>
      <c r="L718" s="27">
        <v>120926.89</v>
      </c>
      <c r="M718" s="36">
        <v>0</v>
      </c>
      <c r="T718" s="41">
        <v>0</v>
      </c>
      <c r="U718" s="41">
        <v>0</v>
      </c>
      <c r="V718" s="42" t="s">
        <v>113</v>
      </c>
      <c r="W718" s="42">
        <v>127291.46</v>
      </c>
      <c r="X718" s="42">
        <v>127291.46</v>
      </c>
    </row>
    <row r="719" spans="1:24">
      <c r="A719" s="27" t="s">
        <v>1447</v>
      </c>
      <c r="B719" s="28" t="s">
        <v>215</v>
      </c>
      <c r="C719" s="27" t="s">
        <v>1448</v>
      </c>
      <c r="D719" s="27" t="s">
        <v>230</v>
      </c>
      <c r="E719" s="29">
        <v>40170</v>
      </c>
      <c r="F719" s="27">
        <v>15</v>
      </c>
      <c r="G719" s="18">
        <v>103999.62</v>
      </c>
      <c r="H719" s="27">
        <f t="shared" si="22"/>
        <v>103999.62</v>
      </c>
      <c r="I719" s="18">
        <v>98799.64</v>
      </c>
      <c r="J719" s="27">
        <v>103999.62</v>
      </c>
      <c r="K719" s="18">
        <f t="shared" si="23"/>
        <v>103999.62</v>
      </c>
      <c r="L719" s="27">
        <v>98799.64</v>
      </c>
      <c r="M719" s="36">
        <v>0</v>
      </c>
      <c r="T719" s="41">
        <v>0</v>
      </c>
      <c r="U719" s="41">
        <v>0</v>
      </c>
      <c r="V719" s="42" t="s">
        <v>113</v>
      </c>
      <c r="W719" s="42">
        <v>103999.62</v>
      </c>
      <c r="X719" s="42">
        <v>103999.62</v>
      </c>
    </row>
    <row r="720" spans="1:24">
      <c r="A720" s="27" t="s">
        <v>1449</v>
      </c>
      <c r="B720" s="28" t="s">
        <v>215</v>
      </c>
      <c r="C720" s="27" t="s">
        <v>1450</v>
      </c>
      <c r="D720" s="27" t="s">
        <v>230</v>
      </c>
      <c r="E720" s="29">
        <v>40170</v>
      </c>
      <c r="F720" s="27">
        <v>15</v>
      </c>
      <c r="G720" s="18">
        <v>104443.62</v>
      </c>
      <c r="H720" s="27">
        <f t="shared" si="22"/>
        <v>104443.62</v>
      </c>
      <c r="I720" s="18">
        <v>99221.440000000002</v>
      </c>
      <c r="J720" s="27">
        <v>104443.62</v>
      </c>
      <c r="K720" s="18">
        <f t="shared" si="23"/>
        <v>104443.62</v>
      </c>
      <c r="L720" s="27">
        <v>99221.440000000002</v>
      </c>
      <c r="M720" s="36">
        <v>0</v>
      </c>
      <c r="T720" s="41">
        <v>0</v>
      </c>
      <c r="U720" s="41">
        <v>0</v>
      </c>
      <c r="V720" s="42" t="s">
        <v>113</v>
      </c>
      <c r="W720" s="42">
        <v>104443.62</v>
      </c>
      <c r="X720" s="42">
        <v>104443.62</v>
      </c>
    </row>
    <row r="721" spans="1:24">
      <c r="A721" s="27" t="s">
        <v>1451</v>
      </c>
      <c r="B721" s="28" t="s">
        <v>215</v>
      </c>
      <c r="C721" s="27" t="s">
        <v>1452</v>
      </c>
      <c r="D721" s="27" t="s">
        <v>230</v>
      </c>
      <c r="E721" s="29">
        <v>40170</v>
      </c>
      <c r="F721" s="27">
        <v>15</v>
      </c>
      <c r="G721" s="18">
        <v>104443.62</v>
      </c>
      <c r="H721" s="27">
        <f t="shared" si="22"/>
        <v>104443.62</v>
      </c>
      <c r="I721" s="18">
        <v>99221.440000000002</v>
      </c>
      <c r="J721" s="27">
        <v>104443.62</v>
      </c>
      <c r="K721" s="18">
        <f t="shared" si="23"/>
        <v>104443.62</v>
      </c>
      <c r="L721" s="27">
        <v>99221.440000000002</v>
      </c>
      <c r="M721" s="36">
        <v>0</v>
      </c>
      <c r="T721" s="41">
        <v>0</v>
      </c>
      <c r="U721" s="41">
        <v>0</v>
      </c>
      <c r="V721" s="42" t="s">
        <v>113</v>
      </c>
      <c r="W721" s="42">
        <v>104443.62</v>
      </c>
      <c r="X721" s="42">
        <v>104443.62</v>
      </c>
    </row>
    <row r="722" spans="1:24">
      <c r="A722" s="27" t="s">
        <v>1453</v>
      </c>
      <c r="B722" s="28" t="s">
        <v>215</v>
      </c>
      <c r="C722" s="27" t="s">
        <v>1454</v>
      </c>
      <c r="D722" s="27" t="s">
        <v>230</v>
      </c>
      <c r="E722" s="29">
        <v>40170</v>
      </c>
      <c r="F722" s="27">
        <v>15</v>
      </c>
      <c r="G722" s="18">
        <v>104443.62</v>
      </c>
      <c r="H722" s="27">
        <f t="shared" si="22"/>
        <v>104443.62</v>
      </c>
      <c r="I722" s="18">
        <v>99221.440000000002</v>
      </c>
      <c r="J722" s="27">
        <v>104443.62</v>
      </c>
      <c r="K722" s="18">
        <f t="shared" si="23"/>
        <v>104443.62</v>
      </c>
      <c r="L722" s="27">
        <v>99221.440000000002</v>
      </c>
      <c r="M722" s="36">
        <v>0</v>
      </c>
      <c r="T722" s="41">
        <v>0</v>
      </c>
      <c r="U722" s="41">
        <v>0</v>
      </c>
      <c r="V722" s="42" t="s">
        <v>113</v>
      </c>
      <c r="W722" s="42">
        <v>104443.62</v>
      </c>
      <c r="X722" s="42">
        <v>104443.62</v>
      </c>
    </row>
    <row r="723" spans="1:24">
      <c r="A723" s="27" t="s">
        <v>1455</v>
      </c>
      <c r="B723" s="28" t="s">
        <v>215</v>
      </c>
      <c r="C723" s="27" t="s">
        <v>1456</v>
      </c>
      <c r="D723" s="27" t="s">
        <v>230</v>
      </c>
      <c r="E723" s="29">
        <v>40170</v>
      </c>
      <c r="F723" s="27">
        <v>15</v>
      </c>
      <c r="G723" s="18">
        <v>48949.07</v>
      </c>
      <c r="H723" s="27">
        <f t="shared" si="22"/>
        <v>48949.07</v>
      </c>
      <c r="I723" s="18">
        <v>46501.62</v>
      </c>
      <c r="J723" s="27">
        <v>48949.07</v>
      </c>
      <c r="K723" s="18">
        <f t="shared" si="23"/>
        <v>48949.07</v>
      </c>
      <c r="L723" s="27">
        <v>46501.62</v>
      </c>
      <c r="M723" s="36">
        <v>0</v>
      </c>
      <c r="T723" s="41">
        <v>0</v>
      </c>
      <c r="U723" s="41">
        <v>0</v>
      </c>
      <c r="V723" s="42" t="s">
        <v>113</v>
      </c>
      <c r="W723" s="42">
        <v>48949.07</v>
      </c>
      <c r="X723" s="42">
        <v>48949.07</v>
      </c>
    </row>
    <row r="724" spans="1:24">
      <c r="A724" s="27" t="s">
        <v>1457</v>
      </c>
      <c r="B724" s="28" t="s">
        <v>215</v>
      </c>
      <c r="C724" s="27" t="s">
        <v>1057</v>
      </c>
      <c r="D724" s="27" t="s">
        <v>230</v>
      </c>
      <c r="E724" s="29">
        <v>40170</v>
      </c>
      <c r="F724" s="27">
        <v>15</v>
      </c>
      <c r="G724" s="18">
        <v>45247.4</v>
      </c>
      <c r="H724" s="27">
        <f t="shared" si="22"/>
        <v>45247.4</v>
      </c>
      <c r="I724" s="18">
        <v>42985.03</v>
      </c>
      <c r="J724" s="27">
        <v>45247.4</v>
      </c>
      <c r="K724" s="18">
        <f t="shared" si="23"/>
        <v>45247.4</v>
      </c>
      <c r="L724" s="27">
        <v>42985.03</v>
      </c>
      <c r="M724" s="36">
        <v>0</v>
      </c>
      <c r="T724" s="41">
        <v>0</v>
      </c>
      <c r="U724" s="41">
        <v>0</v>
      </c>
      <c r="V724" s="42" t="s">
        <v>113</v>
      </c>
      <c r="W724" s="42">
        <v>45247.4</v>
      </c>
      <c r="X724" s="42">
        <v>45247.4</v>
      </c>
    </row>
    <row r="725" spans="1:24">
      <c r="A725" s="27" t="s">
        <v>1458</v>
      </c>
      <c r="B725" s="28" t="s">
        <v>215</v>
      </c>
      <c r="C725" s="27" t="s">
        <v>955</v>
      </c>
      <c r="D725" s="27" t="s">
        <v>230</v>
      </c>
      <c r="E725" s="29">
        <v>37226</v>
      </c>
      <c r="F725" s="27">
        <v>15</v>
      </c>
      <c r="G725" s="18">
        <v>56381.24</v>
      </c>
      <c r="H725" s="27">
        <f t="shared" si="22"/>
        <v>56381.24</v>
      </c>
      <c r="I725" s="18">
        <v>53562.18</v>
      </c>
      <c r="J725" s="27">
        <v>56381.24</v>
      </c>
      <c r="K725" s="18">
        <f t="shared" si="23"/>
        <v>56381.24</v>
      </c>
      <c r="L725" s="27">
        <v>53562.18</v>
      </c>
      <c r="M725" s="36">
        <v>0</v>
      </c>
      <c r="T725" s="41">
        <v>0</v>
      </c>
      <c r="U725" s="41">
        <v>0</v>
      </c>
      <c r="V725" s="42" t="s">
        <v>113</v>
      </c>
      <c r="W725" s="42">
        <v>56381.24</v>
      </c>
      <c r="X725" s="42">
        <v>56381.24</v>
      </c>
    </row>
    <row r="726" spans="1:24">
      <c r="A726" s="27" t="s">
        <v>1459</v>
      </c>
      <c r="B726" s="28" t="s">
        <v>215</v>
      </c>
      <c r="C726" s="27" t="s">
        <v>1460</v>
      </c>
      <c r="D726" s="27" t="s">
        <v>230</v>
      </c>
      <c r="E726" s="29">
        <v>40170</v>
      </c>
      <c r="F726" s="27">
        <v>15</v>
      </c>
      <c r="G726" s="18">
        <v>77058.78</v>
      </c>
      <c r="H726" s="27">
        <f t="shared" si="22"/>
        <v>77058.78</v>
      </c>
      <c r="I726" s="18">
        <v>73205.84</v>
      </c>
      <c r="J726" s="27">
        <v>77058.78</v>
      </c>
      <c r="K726" s="18">
        <f t="shared" si="23"/>
        <v>77058.78</v>
      </c>
      <c r="L726" s="27">
        <v>73205.84</v>
      </c>
      <c r="M726" s="36">
        <v>0</v>
      </c>
      <c r="T726" s="41">
        <v>0</v>
      </c>
      <c r="U726" s="41">
        <v>0</v>
      </c>
      <c r="V726" s="42" t="s">
        <v>113</v>
      </c>
      <c r="W726" s="42">
        <v>77058.78</v>
      </c>
      <c r="X726" s="42">
        <v>77058.78</v>
      </c>
    </row>
    <row r="727" spans="1:24">
      <c r="A727" s="27" t="s">
        <v>1461</v>
      </c>
      <c r="B727" s="28" t="s">
        <v>215</v>
      </c>
      <c r="C727" s="27" t="s">
        <v>1462</v>
      </c>
      <c r="D727" s="27" t="s">
        <v>230</v>
      </c>
      <c r="E727" s="29">
        <v>40170</v>
      </c>
      <c r="F727" s="27">
        <v>15</v>
      </c>
      <c r="G727" s="18">
        <v>167692.75</v>
      </c>
      <c r="H727" s="27">
        <f t="shared" si="22"/>
        <v>167692.75</v>
      </c>
      <c r="I727" s="18">
        <v>159308.10999999999</v>
      </c>
      <c r="J727" s="27">
        <v>167692.75</v>
      </c>
      <c r="K727" s="18">
        <f t="shared" si="23"/>
        <v>167692.75</v>
      </c>
      <c r="L727" s="27">
        <v>159308.10999999999</v>
      </c>
      <c r="M727" s="36">
        <v>0</v>
      </c>
      <c r="T727" s="41">
        <v>0</v>
      </c>
      <c r="U727" s="41">
        <v>0</v>
      </c>
      <c r="V727" s="42" t="s">
        <v>113</v>
      </c>
      <c r="W727" s="42">
        <v>167692.75</v>
      </c>
      <c r="X727" s="42">
        <v>167692.75</v>
      </c>
    </row>
    <row r="728" spans="1:24">
      <c r="A728" s="27" t="s">
        <v>1463</v>
      </c>
      <c r="B728" s="28" t="s">
        <v>215</v>
      </c>
      <c r="C728" s="27" t="s">
        <v>1464</v>
      </c>
      <c r="D728" s="27" t="s">
        <v>230</v>
      </c>
      <c r="E728" s="29">
        <v>40170</v>
      </c>
      <c r="F728" s="27">
        <v>15</v>
      </c>
      <c r="G728" s="18">
        <v>55255.69</v>
      </c>
      <c r="H728" s="27">
        <f t="shared" si="22"/>
        <v>55255.69</v>
      </c>
      <c r="I728" s="18">
        <v>52492.91</v>
      </c>
      <c r="J728" s="27">
        <v>55255.69</v>
      </c>
      <c r="K728" s="18">
        <f t="shared" si="23"/>
        <v>55255.69</v>
      </c>
      <c r="L728" s="27">
        <v>52492.91</v>
      </c>
      <c r="M728" s="36">
        <v>0</v>
      </c>
      <c r="T728" s="41">
        <v>0</v>
      </c>
      <c r="U728" s="41">
        <v>0</v>
      </c>
      <c r="V728" s="42" t="s">
        <v>113</v>
      </c>
      <c r="W728" s="42">
        <v>55255.69</v>
      </c>
      <c r="X728" s="42">
        <v>55255.69</v>
      </c>
    </row>
    <row r="729" spans="1:24">
      <c r="A729" s="27" t="s">
        <v>1465</v>
      </c>
      <c r="B729" s="28" t="s">
        <v>215</v>
      </c>
      <c r="C729" s="27" t="s">
        <v>1466</v>
      </c>
      <c r="D729" s="27" t="s">
        <v>230</v>
      </c>
      <c r="E729" s="29">
        <v>40170</v>
      </c>
      <c r="F729" s="27">
        <v>15</v>
      </c>
      <c r="G729" s="18">
        <v>33161.01</v>
      </c>
      <c r="H729" s="27">
        <f t="shared" si="22"/>
        <v>33161.01</v>
      </c>
      <c r="I729" s="18">
        <v>31502.959999999999</v>
      </c>
      <c r="J729" s="27">
        <v>33161.01</v>
      </c>
      <c r="K729" s="18">
        <f t="shared" si="23"/>
        <v>33161.01</v>
      </c>
      <c r="L729" s="27">
        <v>31502.959999999999</v>
      </c>
      <c r="M729" s="36">
        <v>0</v>
      </c>
      <c r="T729" s="41">
        <v>0</v>
      </c>
      <c r="U729" s="41">
        <v>0</v>
      </c>
      <c r="V729" s="42" t="s">
        <v>113</v>
      </c>
      <c r="W729" s="42">
        <v>33161.01</v>
      </c>
      <c r="X729" s="42">
        <v>33161.01</v>
      </c>
    </row>
    <row r="730" spans="1:24">
      <c r="A730" s="27" t="s">
        <v>1467</v>
      </c>
      <c r="B730" s="28" t="s">
        <v>215</v>
      </c>
      <c r="C730" s="27" t="s">
        <v>1468</v>
      </c>
      <c r="D730" s="27" t="s">
        <v>230</v>
      </c>
      <c r="E730" s="29">
        <v>40170</v>
      </c>
      <c r="F730" s="27">
        <v>15</v>
      </c>
      <c r="G730" s="18">
        <v>13160.24</v>
      </c>
      <c r="H730" s="27">
        <f t="shared" si="22"/>
        <v>13160.24</v>
      </c>
      <c r="I730" s="18">
        <v>12502.23</v>
      </c>
      <c r="J730" s="27">
        <v>13160.24</v>
      </c>
      <c r="K730" s="18">
        <f t="shared" si="23"/>
        <v>13160.24</v>
      </c>
      <c r="L730" s="27">
        <v>12502.23</v>
      </c>
      <c r="M730" s="36">
        <v>0</v>
      </c>
      <c r="T730" s="41">
        <v>0</v>
      </c>
      <c r="U730" s="41">
        <v>0</v>
      </c>
      <c r="V730" s="42" t="s">
        <v>113</v>
      </c>
      <c r="W730" s="42">
        <v>13160.24</v>
      </c>
      <c r="X730" s="42">
        <v>13160.24</v>
      </c>
    </row>
    <row r="731" spans="1:24">
      <c r="A731" s="27" t="s">
        <v>1469</v>
      </c>
      <c r="B731" s="28" t="s">
        <v>215</v>
      </c>
      <c r="C731" s="27" t="s">
        <v>1470</v>
      </c>
      <c r="D731" s="27" t="s">
        <v>230</v>
      </c>
      <c r="E731" s="29">
        <v>40170</v>
      </c>
      <c r="F731" s="27">
        <v>15</v>
      </c>
      <c r="G731" s="18">
        <v>13160.24</v>
      </c>
      <c r="H731" s="27">
        <f t="shared" si="22"/>
        <v>13160.24</v>
      </c>
      <c r="I731" s="18">
        <v>12502.23</v>
      </c>
      <c r="J731" s="27">
        <v>13160.24</v>
      </c>
      <c r="K731" s="18">
        <f t="shared" si="23"/>
        <v>13160.24</v>
      </c>
      <c r="L731" s="27">
        <v>12502.23</v>
      </c>
      <c r="M731" s="36">
        <v>0</v>
      </c>
      <c r="T731" s="41">
        <v>0</v>
      </c>
      <c r="U731" s="41">
        <v>0</v>
      </c>
      <c r="V731" s="42" t="s">
        <v>113</v>
      </c>
      <c r="W731" s="42">
        <v>13160.24</v>
      </c>
      <c r="X731" s="42">
        <v>13160.24</v>
      </c>
    </row>
    <row r="732" spans="1:24">
      <c r="A732" s="27" t="s">
        <v>1471</v>
      </c>
      <c r="B732" s="28" t="s">
        <v>215</v>
      </c>
      <c r="C732" s="27" t="s">
        <v>1472</v>
      </c>
      <c r="D732" s="27" t="s">
        <v>230</v>
      </c>
      <c r="E732" s="29">
        <v>40170</v>
      </c>
      <c r="F732" s="27">
        <v>12</v>
      </c>
      <c r="G732" s="18">
        <v>1177.3599999999999</v>
      </c>
      <c r="H732" s="27">
        <f t="shared" si="22"/>
        <v>1177.3599999999999</v>
      </c>
      <c r="I732" s="18">
        <v>1177.3599999999999</v>
      </c>
      <c r="J732" s="27">
        <v>1177.3599999999999</v>
      </c>
      <c r="K732" s="18">
        <f t="shared" si="23"/>
        <v>1177.3599999999999</v>
      </c>
      <c r="L732" s="27">
        <v>1177.3599999999999</v>
      </c>
      <c r="M732" s="36">
        <v>0</v>
      </c>
      <c r="T732" s="41">
        <v>0</v>
      </c>
      <c r="U732" s="41">
        <v>0</v>
      </c>
      <c r="V732" s="42" t="s">
        <v>113</v>
      </c>
      <c r="W732" s="42">
        <v>1177.3599999999999</v>
      </c>
      <c r="X732" s="42">
        <v>1177.3599999999999</v>
      </c>
    </row>
    <row r="733" spans="1:24">
      <c r="A733" s="27" t="s">
        <v>1473</v>
      </c>
      <c r="B733" s="28" t="s">
        <v>215</v>
      </c>
      <c r="C733" s="27" t="s">
        <v>1474</v>
      </c>
      <c r="D733" s="27" t="s">
        <v>230</v>
      </c>
      <c r="E733" s="29">
        <v>40170</v>
      </c>
      <c r="F733" s="27">
        <v>12</v>
      </c>
      <c r="G733" s="18">
        <v>1177.3699999999999</v>
      </c>
      <c r="H733" s="27">
        <f t="shared" si="22"/>
        <v>1177.3699999999999</v>
      </c>
      <c r="I733" s="18">
        <v>1177.3699999999999</v>
      </c>
      <c r="J733" s="27">
        <v>1177.3699999999999</v>
      </c>
      <c r="K733" s="18">
        <f t="shared" si="23"/>
        <v>1177.3699999999999</v>
      </c>
      <c r="L733" s="27">
        <v>1177.3699999999999</v>
      </c>
      <c r="M733" s="36">
        <v>0</v>
      </c>
      <c r="T733" s="41">
        <v>0</v>
      </c>
      <c r="U733" s="41">
        <v>0</v>
      </c>
      <c r="V733" s="42" t="s">
        <v>113</v>
      </c>
      <c r="W733" s="42">
        <v>1177.3699999999999</v>
      </c>
      <c r="X733" s="42">
        <v>1177.3699999999999</v>
      </c>
    </row>
    <row r="734" spans="1:24">
      <c r="A734" s="27" t="s">
        <v>1475</v>
      </c>
      <c r="B734" s="28" t="s">
        <v>215</v>
      </c>
      <c r="C734" s="27" t="s">
        <v>1476</v>
      </c>
      <c r="D734" s="27" t="s">
        <v>230</v>
      </c>
      <c r="E734" s="29">
        <v>40170</v>
      </c>
      <c r="F734" s="27">
        <v>12</v>
      </c>
      <c r="G734" s="18">
        <v>1177.3699999999999</v>
      </c>
      <c r="H734" s="27">
        <f t="shared" si="22"/>
        <v>1177.3699999999999</v>
      </c>
      <c r="I734" s="18">
        <v>1177.3699999999999</v>
      </c>
      <c r="J734" s="27">
        <v>1177.3699999999999</v>
      </c>
      <c r="K734" s="18">
        <f t="shared" si="23"/>
        <v>1177.3699999999999</v>
      </c>
      <c r="L734" s="27">
        <v>1177.3699999999999</v>
      </c>
      <c r="M734" s="36">
        <v>0</v>
      </c>
      <c r="T734" s="41">
        <v>0</v>
      </c>
      <c r="U734" s="41">
        <v>0</v>
      </c>
      <c r="V734" s="42" t="s">
        <v>113</v>
      </c>
      <c r="W734" s="42">
        <v>1177.3699999999999</v>
      </c>
      <c r="X734" s="42">
        <v>1177.3699999999999</v>
      </c>
    </row>
    <row r="735" spans="1:24">
      <c r="A735" s="27" t="s">
        <v>1477</v>
      </c>
      <c r="B735" s="28" t="s">
        <v>215</v>
      </c>
      <c r="C735" s="27" t="s">
        <v>560</v>
      </c>
      <c r="D735" s="27" t="s">
        <v>112</v>
      </c>
      <c r="E735" s="29">
        <v>40170</v>
      </c>
      <c r="F735" s="27">
        <v>12</v>
      </c>
      <c r="G735" s="18">
        <v>1774.46</v>
      </c>
      <c r="H735" s="27">
        <f t="shared" si="22"/>
        <v>1774.46</v>
      </c>
      <c r="I735" s="18">
        <v>1774.46</v>
      </c>
      <c r="J735" s="27">
        <v>1774.46</v>
      </c>
      <c r="K735" s="18">
        <f t="shared" si="23"/>
        <v>1774.46</v>
      </c>
      <c r="L735" s="27">
        <v>1774.46</v>
      </c>
      <c r="M735" s="36">
        <v>0</v>
      </c>
      <c r="T735" s="41">
        <v>0</v>
      </c>
      <c r="U735" s="41">
        <v>0</v>
      </c>
      <c r="V735" s="42" t="s">
        <v>113</v>
      </c>
      <c r="W735" s="42">
        <v>1774.46</v>
      </c>
      <c r="X735" s="42">
        <v>1774.46</v>
      </c>
    </row>
    <row r="736" spans="1:24">
      <c r="A736" s="27" t="s">
        <v>1478</v>
      </c>
      <c r="B736" s="28" t="s">
        <v>215</v>
      </c>
      <c r="C736" s="27" t="s">
        <v>558</v>
      </c>
      <c r="D736" s="27" t="s">
        <v>112</v>
      </c>
      <c r="E736" s="29">
        <v>40170</v>
      </c>
      <c r="F736" s="27">
        <v>12</v>
      </c>
      <c r="G736" s="18">
        <v>1774.46</v>
      </c>
      <c r="H736" s="27">
        <f t="shared" si="22"/>
        <v>1774.46</v>
      </c>
      <c r="I736" s="18">
        <v>1774.46</v>
      </c>
      <c r="J736" s="27">
        <v>1774.46</v>
      </c>
      <c r="K736" s="18">
        <f t="shared" si="23"/>
        <v>1774.46</v>
      </c>
      <c r="L736" s="27">
        <v>1774.46</v>
      </c>
      <c r="M736" s="36">
        <v>0</v>
      </c>
      <c r="T736" s="41">
        <v>0</v>
      </c>
      <c r="U736" s="41">
        <v>0</v>
      </c>
      <c r="V736" s="42" t="s">
        <v>113</v>
      </c>
      <c r="W736" s="42">
        <v>1774.46</v>
      </c>
      <c r="X736" s="42">
        <v>1774.46</v>
      </c>
    </row>
    <row r="737" spans="1:24">
      <c r="A737" s="27" t="s">
        <v>1479</v>
      </c>
      <c r="B737" s="28" t="s">
        <v>215</v>
      </c>
      <c r="C737" s="27" t="s">
        <v>562</v>
      </c>
      <c r="D737" s="27" t="s">
        <v>112</v>
      </c>
      <c r="E737" s="29">
        <v>40170</v>
      </c>
      <c r="F737" s="27">
        <v>12</v>
      </c>
      <c r="G737" s="18">
        <v>1774.46</v>
      </c>
      <c r="H737" s="27">
        <f t="shared" si="22"/>
        <v>1774.46</v>
      </c>
      <c r="I737" s="18">
        <v>1774.46</v>
      </c>
      <c r="J737" s="27">
        <v>1774.46</v>
      </c>
      <c r="K737" s="18">
        <f t="shared" si="23"/>
        <v>1774.46</v>
      </c>
      <c r="L737" s="27">
        <v>1774.46</v>
      </c>
      <c r="M737" s="36">
        <v>0</v>
      </c>
      <c r="T737" s="41">
        <v>0</v>
      </c>
      <c r="U737" s="41">
        <v>0</v>
      </c>
      <c r="V737" s="42" t="s">
        <v>113</v>
      </c>
      <c r="W737" s="42">
        <v>1774.46</v>
      </c>
      <c r="X737" s="42">
        <v>1774.46</v>
      </c>
    </row>
    <row r="738" spans="1:24">
      <c r="A738" s="27" t="s">
        <v>1480</v>
      </c>
      <c r="B738" s="28" t="s">
        <v>215</v>
      </c>
      <c r="C738" s="27" t="s">
        <v>570</v>
      </c>
      <c r="D738" s="27" t="s">
        <v>118</v>
      </c>
      <c r="E738" s="29">
        <v>40170</v>
      </c>
      <c r="F738" s="27">
        <v>15</v>
      </c>
      <c r="G738" s="18">
        <v>79472.61</v>
      </c>
      <c r="H738" s="27">
        <f t="shared" si="22"/>
        <v>0</v>
      </c>
      <c r="I738" s="18">
        <v>70798.710000000006</v>
      </c>
      <c r="J738" s="27">
        <v>79472.61</v>
      </c>
      <c r="K738" s="18">
        <f t="shared" si="23"/>
        <v>0</v>
      </c>
      <c r="L738" s="27">
        <v>74558.929999999993</v>
      </c>
      <c r="M738" s="36">
        <v>3760.22</v>
      </c>
      <c r="T738" s="41">
        <v>0</v>
      </c>
      <c r="U738" s="41">
        <v>0</v>
      </c>
      <c r="V738" s="42" t="s">
        <v>113</v>
      </c>
      <c r="W738" s="42">
        <v>0</v>
      </c>
      <c r="X738" s="42">
        <v>0</v>
      </c>
    </row>
    <row r="739" spans="1:24">
      <c r="A739" s="27" t="s">
        <v>1481</v>
      </c>
      <c r="B739" s="28" t="s">
        <v>215</v>
      </c>
      <c r="C739" s="27" t="s">
        <v>1482</v>
      </c>
      <c r="D739" s="27" t="s">
        <v>118</v>
      </c>
      <c r="E739" s="29">
        <v>40170</v>
      </c>
      <c r="F739" s="27">
        <v>15</v>
      </c>
      <c r="G739" s="18">
        <v>79472.61</v>
      </c>
      <c r="H739" s="27">
        <f t="shared" si="22"/>
        <v>0</v>
      </c>
      <c r="I739" s="18">
        <v>70798.710000000006</v>
      </c>
      <c r="J739" s="27">
        <v>79472.61</v>
      </c>
      <c r="K739" s="18">
        <f t="shared" si="23"/>
        <v>0</v>
      </c>
      <c r="L739" s="27">
        <v>74558.929999999993</v>
      </c>
      <c r="M739" s="36">
        <v>3760.22</v>
      </c>
      <c r="T739" s="41">
        <v>0</v>
      </c>
      <c r="U739" s="41">
        <v>0</v>
      </c>
      <c r="V739" s="42" t="s">
        <v>113</v>
      </c>
      <c r="W739" s="42">
        <v>0</v>
      </c>
      <c r="X739" s="42">
        <v>0</v>
      </c>
    </row>
    <row r="740" spans="1:24">
      <c r="A740" s="27" t="s">
        <v>1483</v>
      </c>
      <c r="B740" s="28" t="s">
        <v>215</v>
      </c>
      <c r="C740" s="27" t="s">
        <v>1484</v>
      </c>
      <c r="D740" s="27" t="s">
        <v>230</v>
      </c>
      <c r="E740" s="29">
        <v>40170</v>
      </c>
      <c r="F740" s="27">
        <v>15</v>
      </c>
      <c r="G740" s="18">
        <v>26743.08</v>
      </c>
      <c r="H740" s="27">
        <f t="shared" si="22"/>
        <v>26743.08</v>
      </c>
      <c r="I740" s="18">
        <v>25405.93</v>
      </c>
      <c r="J740" s="27">
        <v>26743.08</v>
      </c>
      <c r="K740" s="18">
        <f t="shared" si="23"/>
        <v>26743.08</v>
      </c>
      <c r="L740" s="27">
        <v>25405.93</v>
      </c>
      <c r="M740" s="36">
        <v>0</v>
      </c>
      <c r="T740" s="41">
        <v>0</v>
      </c>
      <c r="U740" s="41">
        <v>0</v>
      </c>
      <c r="V740" s="42" t="s">
        <v>113</v>
      </c>
      <c r="W740" s="42">
        <v>26743.08</v>
      </c>
      <c r="X740" s="42">
        <v>26743.08</v>
      </c>
    </row>
    <row r="741" spans="1:24">
      <c r="A741" s="27" t="s">
        <v>1485</v>
      </c>
      <c r="B741" s="28" t="s">
        <v>215</v>
      </c>
      <c r="C741" s="27" t="s">
        <v>1486</v>
      </c>
      <c r="D741" s="27" t="s">
        <v>230</v>
      </c>
      <c r="E741" s="29">
        <v>40170</v>
      </c>
      <c r="F741" s="27">
        <v>15</v>
      </c>
      <c r="G741" s="18">
        <v>33583.57</v>
      </c>
      <c r="H741" s="27">
        <f t="shared" si="22"/>
        <v>33583.57</v>
      </c>
      <c r="I741" s="18">
        <v>31904.39</v>
      </c>
      <c r="J741" s="27">
        <v>33583.57</v>
      </c>
      <c r="K741" s="18">
        <f t="shared" si="23"/>
        <v>33583.57</v>
      </c>
      <c r="L741" s="27">
        <v>31904.39</v>
      </c>
      <c r="M741" s="36">
        <v>0</v>
      </c>
      <c r="T741" s="41">
        <v>0</v>
      </c>
      <c r="U741" s="41">
        <v>0</v>
      </c>
      <c r="V741" s="42" t="s">
        <v>113</v>
      </c>
      <c r="W741" s="42">
        <v>33583.57</v>
      </c>
      <c r="X741" s="42">
        <v>33583.57</v>
      </c>
    </row>
    <row r="742" spans="1:24">
      <c r="A742" s="27" t="s">
        <v>1487</v>
      </c>
      <c r="B742" s="28" t="s">
        <v>215</v>
      </c>
      <c r="C742" s="27" t="s">
        <v>590</v>
      </c>
      <c r="D742" s="27" t="s">
        <v>118</v>
      </c>
      <c r="E742" s="29">
        <v>40170</v>
      </c>
      <c r="F742" s="27">
        <v>12</v>
      </c>
      <c r="G742" s="18">
        <v>2485.09</v>
      </c>
      <c r="H742" s="27">
        <f t="shared" si="22"/>
        <v>2485.09</v>
      </c>
      <c r="I742" s="18">
        <v>2485.09</v>
      </c>
      <c r="J742" s="27">
        <v>2485.09</v>
      </c>
      <c r="K742" s="18">
        <f t="shared" si="23"/>
        <v>2485.09</v>
      </c>
      <c r="L742" s="27">
        <v>2485.09</v>
      </c>
      <c r="M742" s="36">
        <v>0</v>
      </c>
      <c r="T742" s="41">
        <v>0</v>
      </c>
      <c r="U742" s="41">
        <v>0</v>
      </c>
      <c r="V742" s="42" t="s">
        <v>113</v>
      </c>
      <c r="W742" s="42">
        <v>2485.09</v>
      </c>
      <c r="X742" s="42">
        <v>2485.09</v>
      </c>
    </row>
    <row r="743" spans="1:24">
      <c r="A743" s="27" t="s">
        <v>1488</v>
      </c>
      <c r="B743" s="28" t="s">
        <v>215</v>
      </c>
      <c r="C743" s="27" t="s">
        <v>588</v>
      </c>
      <c r="D743" s="27" t="s">
        <v>118</v>
      </c>
      <c r="E743" s="29">
        <v>40170</v>
      </c>
      <c r="F743" s="27">
        <v>12</v>
      </c>
      <c r="G743" s="18">
        <v>2485.09</v>
      </c>
      <c r="H743" s="27">
        <f t="shared" si="22"/>
        <v>2485.09</v>
      </c>
      <c r="I743" s="18">
        <v>2485.09</v>
      </c>
      <c r="J743" s="27">
        <v>2485.09</v>
      </c>
      <c r="K743" s="18">
        <f t="shared" si="23"/>
        <v>2485.09</v>
      </c>
      <c r="L743" s="27">
        <v>2485.09</v>
      </c>
      <c r="M743" s="36">
        <v>0</v>
      </c>
      <c r="T743" s="41">
        <v>0</v>
      </c>
      <c r="U743" s="41">
        <v>0</v>
      </c>
      <c r="V743" s="42" t="s">
        <v>113</v>
      </c>
      <c r="W743" s="42">
        <v>2485.09</v>
      </c>
      <c r="X743" s="42">
        <v>2485.09</v>
      </c>
    </row>
    <row r="744" spans="1:24">
      <c r="A744" s="27" t="s">
        <v>1489</v>
      </c>
      <c r="B744" s="28" t="s">
        <v>215</v>
      </c>
      <c r="C744" s="27" t="s">
        <v>1490</v>
      </c>
      <c r="D744" s="27" t="s">
        <v>118</v>
      </c>
      <c r="E744" s="29">
        <v>40170</v>
      </c>
      <c r="F744" s="27">
        <v>12</v>
      </c>
      <c r="G744" s="18">
        <v>2485.09</v>
      </c>
      <c r="H744" s="27">
        <f t="shared" si="22"/>
        <v>2485.09</v>
      </c>
      <c r="I744" s="18">
        <v>2485.09</v>
      </c>
      <c r="J744" s="27">
        <v>2485.09</v>
      </c>
      <c r="K744" s="18">
        <f t="shared" si="23"/>
        <v>2485.09</v>
      </c>
      <c r="L744" s="27">
        <v>2485.09</v>
      </c>
      <c r="M744" s="36">
        <v>0</v>
      </c>
      <c r="T744" s="41">
        <v>0</v>
      </c>
      <c r="U744" s="41">
        <v>0</v>
      </c>
      <c r="V744" s="42" t="s">
        <v>113</v>
      </c>
      <c r="W744" s="42">
        <v>2485.09</v>
      </c>
      <c r="X744" s="42">
        <v>2485.09</v>
      </c>
    </row>
    <row r="745" spans="1:24">
      <c r="A745" s="27" t="s">
        <v>1491</v>
      </c>
      <c r="B745" s="28" t="s">
        <v>215</v>
      </c>
      <c r="C745" s="27" t="s">
        <v>1492</v>
      </c>
      <c r="D745" s="27" t="s">
        <v>118</v>
      </c>
      <c r="E745" s="29">
        <v>40170</v>
      </c>
      <c r="F745" s="27">
        <v>12</v>
      </c>
      <c r="G745" s="18">
        <v>2485.09</v>
      </c>
      <c r="H745" s="27">
        <f t="shared" si="22"/>
        <v>2485.09</v>
      </c>
      <c r="I745" s="18">
        <v>2485.09</v>
      </c>
      <c r="J745" s="27">
        <v>2485.09</v>
      </c>
      <c r="K745" s="18">
        <f t="shared" si="23"/>
        <v>2485.09</v>
      </c>
      <c r="L745" s="27">
        <v>2485.09</v>
      </c>
      <c r="M745" s="36">
        <v>0</v>
      </c>
      <c r="T745" s="41">
        <v>0</v>
      </c>
      <c r="U745" s="41">
        <v>0</v>
      </c>
      <c r="V745" s="42" t="s">
        <v>113</v>
      </c>
      <c r="W745" s="42">
        <v>2485.09</v>
      </c>
      <c r="X745" s="42">
        <v>2485.09</v>
      </c>
    </row>
    <row r="746" spans="1:24">
      <c r="A746" s="27" t="s">
        <v>1493</v>
      </c>
      <c r="B746" s="28" t="s">
        <v>215</v>
      </c>
      <c r="C746" s="27" t="s">
        <v>1494</v>
      </c>
      <c r="D746" s="27" t="s">
        <v>118</v>
      </c>
      <c r="E746" s="29">
        <v>40170</v>
      </c>
      <c r="F746" s="27">
        <v>15</v>
      </c>
      <c r="G746" s="18">
        <v>15792.09</v>
      </c>
      <c r="H746" s="27">
        <f t="shared" si="22"/>
        <v>15792.09</v>
      </c>
      <c r="I746" s="18">
        <v>15002.49</v>
      </c>
      <c r="J746" s="27">
        <v>15792.09</v>
      </c>
      <c r="K746" s="18">
        <f t="shared" si="23"/>
        <v>15792.09</v>
      </c>
      <c r="L746" s="27">
        <v>15002.49</v>
      </c>
      <c r="M746" s="36">
        <v>0</v>
      </c>
      <c r="T746" s="41">
        <v>0</v>
      </c>
      <c r="U746" s="41">
        <v>0</v>
      </c>
      <c r="V746" s="42" t="s">
        <v>113</v>
      </c>
      <c r="W746" s="42">
        <v>15792.09</v>
      </c>
      <c r="X746" s="42">
        <v>15792.09</v>
      </c>
    </row>
    <row r="747" spans="1:24">
      <c r="A747" s="27" t="s">
        <v>1495</v>
      </c>
      <c r="B747" s="28" t="s">
        <v>215</v>
      </c>
      <c r="C747" s="27" t="s">
        <v>1013</v>
      </c>
      <c r="D747" s="27" t="s">
        <v>112</v>
      </c>
      <c r="E747" s="29">
        <v>40170</v>
      </c>
      <c r="F747" s="27">
        <v>15</v>
      </c>
      <c r="G747" s="18">
        <v>276732.59000000003</v>
      </c>
      <c r="H747" s="27">
        <f t="shared" si="22"/>
        <v>276732.59000000003</v>
      </c>
      <c r="I747" s="18">
        <v>262895.96000000002</v>
      </c>
      <c r="J747" s="27">
        <v>276732.59000000003</v>
      </c>
      <c r="K747" s="18">
        <f t="shared" si="23"/>
        <v>276732.59000000003</v>
      </c>
      <c r="L747" s="27">
        <v>262895.96000000002</v>
      </c>
      <c r="M747" s="36">
        <v>0</v>
      </c>
      <c r="T747" s="41">
        <v>0</v>
      </c>
      <c r="U747" s="41">
        <v>0</v>
      </c>
      <c r="V747" s="42" t="s">
        <v>113</v>
      </c>
      <c r="W747" s="42">
        <v>276732.59000000003</v>
      </c>
      <c r="X747" s="42">
        <v>276732.59000000003</v>
      </c>
    </row>
    <row r="748" spans="1:24">
      <c r="A748" s="27" t="s">
        <v>1496</v>
      </c>
      <c r="B748" s="28" t="s">
        <v>215</v>
      </c>
      <c r="C748" s="27" t="s">
        <v>1497</v>
      </c>
      <c r="D748" s="27" t="s">
        <v>112</v>
      </c>
      <c r="E748" s="29">
        <v>40170</v>
      </c>
      <c r="F748" s="27">
        <v>15</v>
      </c>
      <c r="G748" s="18">
        <v>2045210.44</v>
      </c>
      <c r="H748" s="27">
        <f t="shared" si="22"/>
        <v>2045210.44</v>
      </c>
      <c r="I748" s="18">
        <v>1942949.92</v>
      </c>
      <c r="J748" s="27">
        <v>2045210.44</v>
      </c>
      <c r="K748" s="18">
        <f t="shared" si="23"/>
        <v>2045210.44</v>
      </c>
      <c r="L748" s="27">
        <v>1942949.92</v>
      </c>
      <c r="M748" s="36">
        <v>0</v>
      </c>
      <c r="T748" s="41">
        <v>0</v>
      </c>
      <c r="U748" s="41">
        <v>0</v>
      </c>
      <c r="V748" s="42" t="s">
        <v>113</v>
      </c>
      <c r="W748" s="42">
        <v>2045210.44</v>
      </c>
      <c r="X748" s="42">
        <v>2045210.44</v>
      </c>
    </row>
    <row r="749" spans="1:24">
      <c r="A749" s="27" t="s">
        <v>1498</v>
      </c>
      <c r="B749" s="28" t="s">
        <v>215</v>
      </c>
      <c r="C749" s="27" t="s">
        <v>1023</v>
      </c>
      <c r="D749" s="27" t="s">
        <v>112</v>
      </c>
      <c r="E749" s="29">
        <v>40170</v>
      </c>
      <c r="F749" s="27">
        <v>15</v>
      </c>
      <c r="G749" s="18">
        <v>34720.300000000003</v>
      </c>
      <c r="H749" s="27">
        <f t="shared" si="22"/>
        <v>0</v>
      </c>
      <c r="I749" s="18">
        <v>32252.61</v>
      </c>
      <c r="J749" s="27">
        <v>34720.300000000003</v>
      </c>
      <c r="K749" s="18">
        <f t="shared" si="23"/>
        <v>34720.300000000003</v>
      </c>
      <c r="L749" s="27">
        <v>32837.949999999997</v>
      </c>
      <c r="M749" s="36">
        <v>585.34</v>
      </c>
      <c r="T749" s="41">
        <v>0</v>
      </c>
      <c r="U749" s="41">
        <v>0</v>
      </c>
      <c r="V749" s="42" t="s">
        <v>113</v>
      </c>
      <c r="W749" s="42">
        <v>34720.300000000003</v>
      </c>
      <c r="X749" s="42">
        <v>34720.300000000003</v>
      </c>
    </row>
    <row r="750" spans="1:24">
      <c r="A750" s="27" t="s">
        <v>1499</v>
      </c>
      <c r="B750" s="28" t="s">
        <v>215</v>
      </c>
      <c r="C750" s="27" t="s">
        <v>1011</v>
      </c>
      <c r="D750" s="27" t="s">
        <v>230</v>
      </c>
      <c r="E750" s="29">
        <v>40170</v>
      </c>
      <c r="F750" s="27">
        <v>15</v>
      </c>
      <c r="G750" s="18">
        <v>18050.77</v>
      </c>
      <c r="H750" s="27">
        <f t="shared" si="22"/>
        <v>18050.77</v>
      </c>
      <c r="I750" s="18">
        <v>17112.07</v>
      </c>
      <c r="J750" s="27">
        <v>18050.77</v>
      </c>
      <c r="K750" s="18">
        <f t="shared" si="23"/>
        <v>18050.77</v>
      </c>
      <c r="L750" s="27">
        <v>17141</v>
      </c>
      <c r="M750" s="36">
        <v>28.93</v>
      </c>
      <c r="T750" s="41">
        <v>0</v>
      </c>
      <c r="U750" s="41">
        <v>0</v>
      </c>
      <c r="V750" s="42" t="s">
        <v>113</v>
      </c>
      <c r="W750" s="42">
        <v>18050.77</v>
      </c>
      <c r="X750" s="42">
        <v>18050.77</v>
      </c>
    </row>
    <row r="751" spans="1:24">
      <c r="A751" s="27" t="s">
        <v>1500</v>
      </c>
      <c r="B751" s="28" t="s">
        <v>215</v>
      </c>
      <c r="C751" s="27" t="s">
        <v>1501</v>
      </c>
      <c r="D751" s="27" t="s">
        <v>230</v>
      </c>
      <c r="E751" s="29">
        <v>40170</v>
      </c>
      <c r="F751" s="27">
        <v>15</v>
      </c>
      <c r="G751" s="18">
        <v>47739.17</v>
      </c>
      <c r="H751" s="27">
        <f t="shared" si="22"/>
        <v>47739.17</v>
      </c>
      <c r="I751" s="18">
        <v>45352.21</v>
      </c>
      <c r="J751" s="27">
        <v>47739.17</v>
      </c>
      <c r="K751" s="18">
        <f t="shared" si="23"/>
        <v>47739.17</v>
      </c>
      <c r="L751" s="27">
        <v>45352.21</v>
      </c>
      <c r="M751" s="36">
        <v>0</v>
      </c>
      <c r="T751" s="41">
        <v>0</v>
      </c>
      <c r="U751" s="41">
        <v>0</v>
      </c>
      <c r="V751" s="42" t="s">
        <v>113</v>
      </c>
      <c r="W751" s="42">
        <v>47739.17</v>
      </c>
      <c r="X751" s="42">
        <v>47739.17</v>
      </c>
    </row>
    <row r="752" spans="1:24">
      <c r="A752" s="27" t="s">
        <v>1502</v>
      </c>
      <c r="B752" s="28" t="s">
        <v>215</v>
      </c>
      <c r="C752" s="27" t="s">
        <v>1503</v>
      </c>
      <c r="D752" s="27" t="s">
        <v>230</v>
      </c>
      <c r="E752" s="29">
        <v>40170</v>
      </c>
      <c r="F752" s="27">
        <v>15</v>
      </c>
      <c r="G752" s="18">
        <v>74218.509999999995</v>
      </c>
      <c r="H752" s="27">
        <f t="shared" si="22"/>
        <v>74218.509999999995</v>
      </c>
      <c r="I752" s="18">
        <v>70507.58</v>
      </c>
      <c r="J752" s="27">
        <v>74218.509999999995</v>
      </c>
      <c r="K752" s="18">
        <f t="shared" si="23"/>
        <v>74218.509999999995</v>
      </c>
      <c r="L752" s="27">
        <v>70507.58</v>
      </c>
      <c r="M752" s="36">
        <v>0</v>
      </c>
      <c r="T752" s="41">
        <v>0</v>
      </c>
      <c r="U752" s="41">
        <v>0</v>
      </c>
      <c r="V752" s="42" t="s">
        <v>113</v>
      </c>
      <c r="W752" s="42">
        <v>74218.509999999995</v>
      </c>
      <c r="X752" s="42">
        <v>74218.509999999995</v>
      </c>
    </row>
    <row r="753" spans="1:24">
      <c r="A753" s="27" t="s">
        <v>1504</v>
      </c>
      <c r="B753" s="28" t="s">
        <v>215</v>
      </c>
      <c r="C753" s="27" t="s">
        <v>1505</v>
      </c>
      <c r="D753" s="27" t="s">
        <v>230</v>
      </c>
      <c r="E753" s="29">
        <v>40170</v>
      </c>
      <c r="F753" s="27">
        <v>15</v>
      </c>
      <c r="G753" s="18">
        <v>51811.17</v>
      </c>
      <c r="H753" s="27">
        <f t="shared" si="22"/>
        <v>51811.17</v>
      </c>
      <c r="I753" s="18">
        <v>49220.61</v>
      </c>
      <c r="J753" s="27">
        <v>51811.17</v>
      </c>
      <c r="K753" s="18">
        <f t="shared" si="23"/>
        <v>51811.17</v>
      </c>
      <c r="L753" s="27">
        <v>49220.61</v>
      </c>
      <c r="M753" s="36">
        <v>0</v>
      </c>
      <c r="T753" s="41">
        <v>0</v>
      </c>
      <c r="U753" s="41">
        <v>0</v>
      </c>
      <c r="V753" s="42" t="s">
        <v>113</v>
      </c>
      <c r="W753" s="42">
        <v>51811.17</v>
      </c>
      <c r="X753" s="42">
        <v>51811.17</v>
      </c>
    </row>
    <row r="754" spans="1:24">
      <c r="A754" s="27" t="s">
        <v>1506</v>
      </c>
      <c r="B754" s="28" t="s">
        <v>215</v>
      </c>
      <c r="C754" s="27" t="s">
        <v>848</v>
      </c>
      <c r="D754" s="27" t="s">
        <v>112</v>
      </c>
      <c r="E754" s="29">
        <v>40170</v>
      </c>
      <c r="F754" s="27">
        <v>12</v>
      </c>
      <c r="G754" s="18">
        <v>1602.06</v>
      </c>
      <c r="H754" s="27">
        <f t="shared" si="22"/>
        <v>1602.06</v>
      </c>
      <c r="I754" s="18">
        <v>1602.06</v>
      </c>
      <c r="J754" s="27">
        <v>1602.06</v>
      </c>
      <c r="K754" s="18">
        <f t="shared" si="23"/>
        <v>1602.06</v>
      </c>
      <c r="L754" s="27">
        <v>1602.06</v>
      </c>
      <c r="M754" s="36">
        <v>0</v>
      </c>
      <c r="T754" s="41">
        <v>0</v>
      </c>
      <c r="U754" s="41">
        <v>0</v>
      </c>
      <c r="V754" s="42" t="s">
        <v>113</v>
      </c>
      <c r="W754" s="42">
        <v>1602.06</v>
      </c>
      <c r="X754" s="42">
        <v>1602.06</v>
      </c>
    </row>
    <row r="755" spans="1:24">
      <c r="A755" s="27" t="s">
        <v>1507</v>
      </c>
      <c r="B755" s="28" t="s">
        <v>215</v>
      </c>
      <c r="C755" s="27" t="s">
        <v>1508</v>
      </c>
      <c r="D755" s="27" t="s">
        <v>230</v>
      </c>
      <c r="E755" s="29">
        <v>40170</v>
      </c>
      <c r="F755" s="27">
        <v>15</v>
      </c>
      <c r="G755" s="18">
        <v>88290.97</v>
      </c>
      <c r="H755" s="27">
        <f t="shared" si="22"/>
        <v>88290.97</v>
      </c>
      <c r="I755" s="18">
        <v>83876.42</v>
      </c>
      <c r="J755" s="27">
        <v>88290.97</v>
      </c>
      <c r="K755" s="18">
        <f t="shared" si="23"/>
        <v>88290.97</v>
      </c>
      <c r="L755" s="27">
        <v>83876.42</v>
      </c>
      <c r="M755" s="36">
        <v>0</v>
      </c>
      <c r="T755" s="41">
        <v>0</v>
      </c>
      <c r="U755" s="41">
        <v>0</v>
      </c>
      <c r="V755" s="42" t="s">
        <v>113</v>
      </c>
      <c r="W755" s="42">
        <v>88290.97</v>
      </c>
      <c r="X755" s="42">
        <v>88290.97</v>
      </c>
    </row>
    <row r="756" spans="1:24">
      <c r="A756" s="27" t="s">
        <v>1509</v>
      </c>
      <c r="B756" s="28" t="s">
        <v>215</v>
      </c>
      <c r="C756" s="27" t="s">
        <v>1510</v>
      </c>
      <c r="D756" s="27" t="s">
        <v>230</v>
      </c>
      <c r="E756" s="29">
        <v>40170</v>
      </c>
      <c r="F756" s="27">
        <v>15</v>
      </c>
      <c r="G756" s="18">
        <v>47304.959999999999</v>
      </c>
      <c r="H756" s="27">
        <f t="shared" si="22"/>
        <v>47304.959999999999</v>
      </c>
      <c r="I756" s="18">
        <v>44939.71</v>
      </c>
      <c r="J756" s="27">
        <v>47304.959999999999</v>
      </c>
      <c r="K756" s="18">
        <f t="shared" si="23"/>
        <v>47304.959999999999</v>
      </c>
      <c r="L756" s="27">
        <v>44939.71</v>
      </c>
      <c r="M756" s="36">
        <v>0</v>
      </c>
      <c r="T756" s="41">
        <v>0</v>
      </c>
      <c r="U756" s="41">
        <v>0</v>
      </c>
      <c r="V756" s="42" t="s">
        <v>113</v>
      </c>
      <c r="W756" s="42">
        <v>47304.959999999999</v>
      </c>
      <c r="X756" s="42">
        <v>47304.959999999999</v>
      </c>
    </row>
    <row r="757" spans="1:24">
      <c r="A757" s="27" t="s">
        <v>1511</v>
      </c>
      <c r="B757" s="28" t="s">
        <v>215</v>
      </c>
      <c r="C757" s="27" t="s">
        <v>1512</v>
      </c>
      <c r="D757" s="27" t="s">
        <v>230</v>
      </c>
      <c r="E757" s="29">
        <v>40170</v>
      </c>
      <c r="F757" s="27">
        <v>15</v>
      </c>
      <c r="G757" s="18">
        <v>47304.959999999999</v>
      </c>
      <c r="H757" s="27">
        <f t="shared" si="22"/>
        <v>47304.959999999999</v>
      </c>
      <c r="I757" s="18">
        <v>44939.71</v>
      </c>
      <c r="J757" s="27">
        <v>47304.959999999999</v>
      </c>
      <c r="K757" s="18">
        <f t="shared" si="23"/>
        <v>47304.959999999999</v>
      </c>
      <c r="L757" s="27">
        <v>44939.71</v>
      </c>
      <c r="M757" s="36">
        <v>0</v>
      </c>
      <c r="T757" s="41">
        <v>0</v>
      </c>
      <c r="U757" s="41">
        <v>0</v>
      </c>
      <c r="V757" s="42" t="s">
        <v>113</v>
      </c>
      <c r="W757" s="42">
        <v>47304.959999999999</v>
      </c>
      <c r="X757" s="42">
        <v>47304.959999999999</v>
      </c>
    </row>
    <row r="758" spans="1:24">
      <c r="A758" s="27" t="s">
        <v>1513</v>
      </c>
      <c r="B758" s="28" t="s">
        <v>215</v>
      </c>
      <c r="C758" s="27" t="s">
        <v>1514</v>
      </c>
      <c r="D758" s="27" t="s">
        <v>230</v>
      </c>
      <c r="E758" s="29">
        <v>40170</v>
      </c>
      <c r="F758" s="27">
        <v>15</v>
      </c>
      <c r="G758" s="18">
        <v>300322.7</v>
      </c>
      <c r="H758" s="27">
        <f t="shared" si="22"/>
        <v>300322.7</v>
      </c>
      <c r="I758" s="18">
        <v>285306.56</v>
      </c>
      <c r="J758" s="27">
        <v>300322.7</v>
      </c>
      <c r="K758" s="18">
        <f t="shared" si="23"/>
        <v>300322.7</v>
      </c>
      <c r="L758" s="27">
        <v>285306.56</v>
      </c>
      <c r="M758" s="36">
        <v>0</v>
      </c>
      <c r="T758" s="41">
        <v>0</v>
      </c>
      <c r="U758" s="41">
        <v>0</v>
      </c>
      <c r="V758" s="42" t="s">
        <v>113</v>
      </c>
      <c r="W758" s="42">
        <v>300322.7</v>
      </c>
      <c r="X758" s="42">
        <v>300322.7</v>
      </c>
    </row>
    <row r="759" spans="1:24">
      <c r="A759" s="27" t="s">
        <v>1515</v>
      </c>
      <c r="B759" s="28" t="s">
        <v>215</v>
      </c>
      <c r="C759" s="27" t="s">
        <v>1516</v>
      </c>
      <c r="D759" s="27" t="s">
        <v>230</v>
      </c>
      <c r="E759" s="29">
        <v>40170</v>
      </c>
      <c r="F759" s="27">
        <v>15</v>
      </c>
      <c r="G759" s="18">
        <v>47304.959999999999</v>
      </c>
      <c r="H759" s="27">
        <f t="shared" si="22"/>
        <v>47304.959999999999</v>
      </c>
      <c r="I759" s="18">
        <v>44939.71</v>
      </c>
      <c r="J759" s="27">
        <v>47304.959999999999</v>
      </c>
      <c r="K759" s="18">
        <f t="shared" si="23"/>
        <v>47304.959999999999</v>
      </c>
      <c r="L759" s="27">
        <v>44939.71</v>
      </c>
      <c r="M759" s="36">
        <v>0</v>
      </c>
      <c r="T759" s="41">
        <v>0</v>
      </c>
      <c r="U759" s="41">
        <v>0</v>
      </c>
      <c r="V759" s="42" t="s">
        <v>113</v>
      </c>
      <c r="W759" s="42">
        <v>47304.959999999999</v>
      </c>
      <c r="X759" s="42">
        <v>47304.959999999999</v>
      </c>
    </row>
    <row r="760" spans="1:24">
      <c r="A760" s="27" t="s">
        <v>1517</v>
      </c>
      <c r="B760" s="28" t="s">
        <v>215</v>
      </c>
      <c r="C760" s="27" t="s">
        <v>1518</v>
      </c>
      <c r="D760" s="27" t="s">
        <v>230</v>
      </c>
      <c r="E760" s="29">
        <v>40170</v>
      </c>
      <c r="F760" s="27">
        <v>15</v>
      </c>
      <c r="G760" s="18">
        <v>47304.959999999999</v>
      </c>
      <c r="H760" s="27">
        <f t="shared" si="22"/>
        <v>47304.959999999999</v>
      </c>
      <c r="I760" s="18">
        <v>44939.71</v>
      </c>
      <c r="J760" s="27">
        <v>47304.959999999999</v>
      </c>
      <c r="K760" s="18">
        <f t="shared" si="23"/>
        <v>47304.959999999999</v>
      </c>
      <c r="L760" s="27">
        <v>44939.71</v>
      </c>
      <c r="M760" s="36">
        <v>0</v>
      </c>
      <c r="T760" s="41">
        <v>0</v>
      </c>
      <c r="U760" s="41">
        <v>0</v>
      </c>
      <c r="V760" s="42" t="s">
        <v>113</v>
      </c>
      <c r="W760" s="42">
        <v>47304.959999999999</v>
      </c>
      <c r="X760" s="42">
        <v>47304.959999999999</v>
      </c>
    </row>
    <row r="761" spans="1:24">
      <c r="A761" s="27" t="s">
        <v>1519</v>
      </c>
      <c r="B761" s="28" t="s">
        <v>215</v>
      </c>
      <c r="C761" s="27" t="s">
        <v>1520</v>
      </c>
      <c r="D761" s="27" t="s">
        <v>112</v>
      </c>
      <c r="E761" s="29">
        <v>40171</v>
      </c>
      <c r="F761" s="27">
        <v>15</v>
      </c>
      <c r="G761" s="18">
        <v>6600.17</v>
      </c>
      <c r="H761" s="27">
        <f t="shared" si="22"/>
        <v>6600.17</v>
      </c>
      <c r="I761" s="18">
        <v>6270.16</v>
      </c>
      <c r="J761" s="27">
        <v>6600.17</v>
      </c>
      <c r="K761" s="18">
        <f t="shared" si="23"/>
        <v>6600.17</v>
      </c>
      <c r="L761" s="27">
        <v>6270.16</v>
      </c>
      <c r="M761" s="36">
        <v>0</v>
      </c>
      <c r="T761" s="41">
        <v>0</v>
      </c>
      <c r="U761" s="41">
        <v>0</v>
      </c>
      <c r="V761" s="42" t="s">
        <v>113</v>
      </c>
      <c r="W761" s="42">
        <v>6600.17</v>
      </c>
      <c r="X761" s="42">
        <v>6600.17</v>
      </c>
    </row>
    <row r="762" spans="1:24">
      <c r="A762" s="27" t="s">
        <v>1521</v>
      </c>
      <c r="B762" s="28" t="s">
        <v>215</v>
      </c>
      <c r="C762" s="27" t="s">
        <v>1522</v>
      </c>
      <c r="D762" s="27" t="s">
        <v>112</v>
      </c>
      <c r="E762" s="29">
        <v>40171</v>
      </c>
      <c r="F762" s="27">
        <v>15</v>
      </c>
      <c r="G762" s="18">
        <v>6600.17</v>
      </c>
      <c r="H762" s="27">
        <f t="shared" si="22"/>
        <v>6600.17</v>
      </c>
      <c r="I762" s="18">
        <v>6270.16</v>
      </c>
      <c r="J762" s="27">
        <v>6600.17</v>
      </c>
      <c r="K762" s="18">
        <f t="shared" si="23"/>
        <v>6600.17</v>
      </c>
      <c r="L762" s="27">
        <v>6270.16</v>
      </c>
      <c r="M762" s="36">
        <v>0</v>
      </c>
      <c r="T762" s="41">
        <v>0</v>
      </c>
      <c r="U762" s="41">
        <v>0</v>
      </c>
      <c r="V762" s="42" t="s">
        <v>113</v>
      </c>
      <c r="W762" s="42">
        <v>6600.17</v>
      </c>
      <c r="X762" s="42">
        <v>6600.17</v>
      </c>
    </row>
    <row r="763" spans="1:24">
      <c r="A763" s="27" t="s">
        <v>1523</v>
      </c>
      <c r="B763" s="28" t="s">
        <v>215</v>
      </c>
      <c r="C763" s="27" t="s">
        <v>1524</v>
      </c>
      <c r="D763" s="27" t="s">
        <v>112</v>
      </c>
      <c r="E763" s="29">
        <v>40171</v>
      </c>
      <c r="F763" s="27">
        <v>15</v>
      </c>
      <c r="G763" s="18">
        <v>6600.17</v>
      </c>
      <c r="H763" s="27">
        <f t="shared" si="22"/>
        <v>6600.17</v>
      </c>
      <c r="I763" s="18">
        <v>6270.16</v>
      </c>
      <c r="J763" s="27">
        <v>6600.17</v>
      </c>
      <c r="K763" s="18">
        <f t="shared" si="23"/>
        <v>6600.17</v>
      </c>
      <c r="L763" s="27">
        <v>6270.16</v>
      </c>
      <c r="M763" s="36">
        <v>0</v>
      </c>
      <c r="T763" s="41">
        <v>0</v>
      </c>
      <c r="U763" s="41">
        <v>0</v>
      </c>
      <c r="V763" s="42" t="s">
        <v>113</v>
      </c>
      <c r="W763" s="42">
        <v>6600.17</v>
      </c>
      <c r="X763" s="42">
        <v>6600.17</v>
      </c>
    </row>
    <row r="764" spans="1:24">
      <c r="A764" s="27" t="s">
        <v>1525</v>
      </c>
      <c r="B764" s="28" t="s">
        <v>215</v>
      </c>
      <c r="C764" s="27" t="s">
        <v>1526</v>
      </c>
      <c r="D764" s="27" t="s">
        <v>112</v>
      </c>
      <c r="E764" s="29">
        <v>40171</v>
      </c>
      <c r="F764" s="27">
        <v>12</v>
      </c>
      <c r="G764" s="18">
        <v>1650.17</v>
      </c>
      <c r="H764" s="27">
        <f t="shared" si="22"/>
        <v>1650.17</v>
      </c>
      <c r="I764" s="18">
        <v>1650.17</v>
      </c>
      <c r="J764" s="27">
        <v>1650.17</v>
      </c>
      <c r="K764" s="18">
        <f t="shared" si="23"/>
        <v>1650.17</v>
      </c>
      <c r="L764" s="27">
        <v>1650.17</v>
      </c>
      <c r="M764" s="36">
        <v>0</v>
      </c>
      <c r="T764" s="41">
        <v>0</v>
      </c>
      <c r="U764" s="41">
        <v>0</v>
      </c>
      <c r="V764" s="42" t="s">
        <v>113</v>
      </c>
      <c r="W764" s="42">
        <v>1650.17</v>
      </c>
      <c r="X764" s="42">
        <v>1650.17</v>
      </c>
    </row>
    <row r="765" spans="1:24">
      <c r="A765" s="27" t="s">
        <v>1527</v>
      </c>
      <c r="B765" s="28" t="s">
        <v>215</v>
      </c>
      <c r="C765" s="27" t="s">
        <v>1528</v>
      </c>
      <c r="D765" s="27" t="s">
        <v>230</v>
      </c>
      <c r="E765" s="29">
        <v>40171</v>
      </c>
      <c r="F765" s="27">
        <v>12</v>
      </c>
      <c r="G765" s="18">
        <v>2857.38</v>
      </c>
      <c r="H765" s="27">
        <f t="shared" si="22"/>
        <v>2857.38</v>
      </c>
      <c r="I765" s="18">
        <v>2857.38</v>
      </c>
      <c r="J765" s="27">
        <v>2857.38</v>
      </c>
      <c r="K765" s="18">
        <f t="shared" si="23"/>
        <v>2857.38</v>
      </c>
      <c r="L765" s="27">
        <v>2857.38</v>
      </c>
      <c r="M765" s="36">
        <v>0</v>
      </c>
      <c r="T765" s="41">
        <v>0</v>
      </c>
      <c r="U765" s="41">
        <v>0</v>
      </c>
      <c r="V765" s="42" t="s">
        <v>113</v>
      </c>
      <c r="W765" s="42">
        <v>2857.38</v>
      </c>
      <c r="X765" s="42">
        <v>2857.38</v>
      </c>
    </row>
    <row r="766" spans="1:24">
      <c r="A766" s="27" t="s">
        <v>1529</v>
      </c>
      <c r="B766" s="28" t="s">
        <v>215</v>
      </c>
      <c r="C766" s="27" t="s">
        <v>1530</v>
      </c>
      <c r="D766" s="27" t="s">
        <v>230</v>
      </c>
      <c r="E766" s="29">
        <v>40171</v>
      </c>
      <c r="F766" s="27">
        <v>12</v>
      </c>
      <c r="G766" s="18">
        <v>4690.76</v>
      </c>
      <c r="H766" s="27">
        <f t="shared" si="22"/>
        <v>4690.76</v>
      </c>
      <c r="I766" s="18">
        <v>4690.76</v>
      </c>
      <c r="J766" s="27">
        <v>4690.76</v>
      </c>
      <c r="K766" s="18">
        <f t="shared" si="23"/>
        <v>4690.76</v>
      </c>
      <c r="L766" s="27">
        <v>4690.76</v>
      </c>
      <c r="M766" s="36">
        <v>0</v>
      </c>
      <c r="T766" s="41">
        <v>0</v>
      </c>
      <c r="U766" s="41">
        <v>0</v>
      </c>
      <c r="V766" s="42" t="s">
        <v>113</v>
      </c>
      <c r="W766" s="42">
        <v>4690.76</v>
      </c>
      <c r="X766" s="42">
        <v>4690.76</v>
      </c>
    </row>
    <row r="767" spans="1:24">
      <c r="A767" s="27" t="s">
        <v>1531</v>
      </c>
      <c r="B767" s="28" t="s">
        <v>215</v>
      </c>
      <c r="C767" s="27" t="s">
        <v>1532</v>
      </c>
      <c r="D767" s="27" t="s">
        <v>112</v>
      </c>
      <c r="E767" s="29">
        <v>40171</v>
      </c>
      <c r="F767" s="27">
        <v>12</v>
      </c>
      <c r="G767" s="18">
        <v>3666.76</v>
      </c>
      <c r="H767" s="27">
        <f t="shared" si="22"/>
        <v>3666.76</v>
      </c>
      <c r="I767" s="18">
        <v>3666.76</v>
      </c>
      <c r="J767" s="27">
        <v>3666.76</v>
      </c>
      <c r="K767" s="18">
        <f t="shared" si="23"/>
        <v>3666.76</v>
      </c>
      <c r="L767" s="27">
        <v>3666.76</v>
      </c>
      <c r="M767" s="36">
        <v>0</v>
      </c>
      <c r="T767" s="41">
        <v>0</v>
      </c>
      <c r="U767" s="41">
        <v>0</v>
      </c>
      <c r="V767" s="42" t="s">
        <v>113</v>
      </c>
      <c r="W767" s="42">
        <v>3666.76</v>
      </c>
      <c r="X767" s="42">
        <v>3666.76</v>
      </c>
    </row>
    <row r="768" spans="1:24">
      <c r="A768" s="27" t="s">
        <v>1533</v>
      </c>
      <c r="B768" s="28" t="s">
        <v>215</v>
      </c>
      <c r="C768" s="27" t="s">
        <v>1534</v>
      </c>
      <c r="D768" s="27" t="s">
        <v>112</v>
      </c>
      <c r="E768" s="29">
        <v>40171</v>
      </c>
      <c r="F768" s="27">
        <v>15</v>
      </c>
      <c r="G768" s="18">
        <v>5745.35</v>
      </c>
      <c r="H768" s="27">
        <f t="shared" si="22"/>
        <v>5745.35</v>
      </c>
      <c r="I768" s="18">
        <v>5458.08</v>
      </c>
      <c r="J768" s="27">
        <v>5745.35</v>
      </c>
      <c r="K768" s="18">
        <f t="shared" si="23"/>
        <v>5745.35</v>
      </c>
      <c r="L768" s="27">
        <v>5458.08</v>
      </c>
      <c r="M768" s="36">
        <v>0</v>
      </c>
      <c r="T768" s="41">
        <v>0</v>
      </c>
      <c r="U768" s="41">
        <v>0</v>
      </c>
      <c r="V768" s="42" t="s">
        <v>113</v>
      </c>
      <c r="W768" s="42">
        <v>5745.35</v>
      </c>
      <c r="X768" s="42">
        <v>5745.35</v>
      </c>
    </row>
    <row r="769" spans="1:24">
      <c r="A769" s="27" t="s">
        <v>1535</v>
      </c>
      <c r="B769" s="28" t="s">
        <v>215</v>
      </c>
      <c r="C769" s="27" t="s">
        <v>1536</v>
      </c>
      <c r="D769" s="27" t="s">
        <v>112</v>
      </c>
      <c r="E769" s="29">
        <v>40171</v>
      </c>
      <c r="F769" s="27">
        <v>15</v>
      </c>
      <c r="G769" s="18">
        <v>9412.11</v>
      </c>
      <c r="H769" s="27">
        <f t="shared" si="22"/>
        <v>9412.11</v>
      </c>
      <c r="I769" s="18">
        <v>8941.5</v>
      </c>
      <c r="J769" s="27">
        <v>9412.11</v>
      </c>
      <c r="K769" s="18">
        <f t="shared" si="23"/>
        <v>9412.11</v>
      </c>
      <c r="L769" s="27">
        <v>8941.5</v>
      </c>
      <c r="M769" s="36">
        <v>0</v>
      </c>
      <c r="T769" s="41">
        <v>0</v>
      </c>
      <c r="U769" s="41">
        <v>0</v>
      </c>
      <c r="V769" s="42" t="s">
        <v>113</v>
      </c>
      <c r="W769" s="42">
        <v>9412.11</v>
      </c>
      <c r="X769" s="42">
        <v>9412.11</v>
      </c>
    </row>
    <row r="770" spans="1:24">
      <c r="A770" s="27" t="s">
        <v>1537</v>
      </c>
      <c r="B770" s="28" t="s">
        <v>215</v>
      </c>
      <c r="C770" s="27" t="s">
        <v>1538</v>
      </c>
      <c r="D770" s="27" t="s">
        <v>112</v>
      </c>
      <c r="E770" s="29">
        <v>40171</v>
      </c>
      <c r="F770" s="27">
        <v>15</v>
      </c>
      <c r="G770" s="18">
        <v>9412.11</v>
      </c>
      <c r="H770" s="27">
        <f t="shared" si="22"/>
        <v>9412.11</v>
      </c>
      <c r="I770" s="18">
        <v>8941.5</v>
      </c>
      <c r="J770" s="27">
        <v>9412.11</v>
      </c>
      <c r="K770" s="18">
        <f t="shared" si="23"/>
        <v>9412.11</v>
      </c>
      <c r="L770" s="27">
        <v>8941.5</v>
      </c>
      <c r="M770" s="36">
        <v>0</v>
      </c>
      <c r="T770" s="41">
        <v>0</v>
      </c>
      <c r="U770" s="41">
        <v>0</v>
      </c>
      <c r="V770" s="42" t="s">
        <v>113</v>
      </c>
      <c r="W770" s="42">
        <v>9412.11</v>
      </c>
      <c r="X770" s="42">
        <v>9412.11</v>
      </c>
    </row>
    <row r="771" spans="1:24">
      <c r="A771" s="27" t="s">
        <v>1539</v>
      </c>
      <c r="B771" s="28" t="s">
        <v>215</v>
      </c>
      <c r="C771" s="27" t="s">
        <v>1540</v>
      </c>
      <c r="D771" s="27" t="s">
        <v>112</v>
      </c>
      <c r="E771" s="29">
        <v>40171</v>
      </c>
      <c r="F771" s="27">
        <v>15</v>
      </c>
      <c r="G771" s="18">
        <v>7333.52</v>
      </c>
      <c r="H771" s="27">
        <f t="shared" si="22"/>
        <v>7333.52</v>
      </c>
      <c r="I771" s="18">
        <v>6966.84</v>
      </c>
      <c r="J771" s="27">
        <v>7333.52</v>
      </c>
      <c r="K771" s="18">
        <f t="shared" si="23"/>
        <v>7333.52</v>
      </c>
      <c r="L771" s="27">
        <v>6966.84</v>
      </c>
      <c r="M771" s="36">
        <v>0</v>
      </c>
      <c r="T771" s="41">
        <v>0</v>
      </c>
      <c r="U771" s="41">
        <v>0</v>
      </c>
      <c r="V771" s="42" t="s">
        <v>113</v>
      </c>
      <c r="W771" s="42">
        <v>7333.52</v>
      </c>
      <c r="X771" s="42">
        <v>7333.52</v>
      </c>
    </row>
    <row r="772" spans="1:24">
      <c r="A772" s="27" t="s">
        <v>1541</v>
      </c>
      <c r="B772" s="28" t="s">
        <v>215</v>
      </c>
      <c r="C772" s="27" t="s">
        <v>1542</v>
      </c>
      <c r="D772" s="27" t="s">
        <v>112</v>
      </c>
      <c r="E772" s="29">
        <v>40171</v>
      </c>
      <c r="F772" s="27">
        <v>15</v>
      </c>
      <c r="G772" s="18">
        <v>7333.52</v>
      </c>
      <c r="H772" s="27">
        <f t="shared" si="22"/>
        <v>7333.52</v>
      </c>
      <c r="I772" s="18">
        <v>6966.84</v>
      </c>
      <c r="J772" s="27">
        <v>7333.52</v>
      </c>
      <c r="K772" s="18">
        <f t="shared" si="23"/>
        <v>7333.52</v>
      </c>
      <c r="L772" s="27">
        <v>6966.84</v>
      </c>
      <c r="M772" s="36">
        <v>0</v>
      </c>
      <c r="T772" s="41">
        <v>0</v>
      </c>
      <c r="U772" s="41">
        <v>0</v>
      </c>
      <c r="V772" s="42" t="s">
        <v>113</v>
      </c>
      <c r="W772" s="42">
        <v>7333.52</v>
      </c>
      <c r="X772" s="42">
        <v>7333.52</v>
      </c>
    </row>
    <row r="773" spans="1:24">
      <c r="A773" s="27" t="s">
        <v>1543</v>
      </c>
      <c r="B773" s="28" t="s">
        <v>215</v>
      </c>
      <c r="C773" s="27" t="s">
        <v>1544</v>
      </c>
      <c r="D773" s="27" t="s">
        <v>112</v>
      </c>
      <c r="E773" s="29">
        <v>40171</v>
      </c>
      <c r="F773" s="27">
        <v>12</v>
      </c>
      <c r="G773" s="18">
        <v>3667.02</v>
      </c>
      <c r="H773" s="27">
        <f t="shared" si="22"/>
        <v>3667.02</v>
      </c>
      <c r="I773" s="18">
        <v>3667.02</v>
      </c>
      <c r="J773" s="27">
        <v>3667.02</v>
      </c>
      <c r="K773" s="18">
        <f t="shared" si="23"/>
        <v>3667.02</v>
      </c>
      <c r="L773" s="27">
        <v>3667.02</v>
      </c>
      <c r="M773" s="36">
        <v>0</v>
      </c>
      <c r="T773" s="41">
        <v>0</v>
      </c>
      <c r="U773" s="41">
        <v>0</v>
      </c>
      <c r="V773" s="42" t="s">
        <v>113</v>
      </c>
      <c r="W773" s="42">
        <v>3667.02</v>
      </c>
      <c r="X773" s="42">
        <v>3667.02</v>
      </c>
    </row>
    <row r="774" spans="1:24">
      <c r="A774" s="27" t="s">
        <v>1545</v>
      </c>
      <c r="B774" s="28" t="s">
        <v>215</v>
      </c>
      <c r="C774" s="27" t="s">
        <v>1546</v>
      </c>
      <c r="D774" s="27" t="s">
        <v>112</v>
      </c>
      <c r="E774" s="29">
        <v>40171</v>
      </c>
      <c r="F774" s="27">
        <v>15</v>
      </c>
      <c r="G774" s="18">
        <v>12554.46</v>
      </c>
      <c r="H774" s="27">
        <f t="shared" ref="H774:H837" si="24">IFERROR(IF(ROUND((G774-I774)/G774,2)&lt;=0.05,G774,0),0)</f>
        <v>12554.46</v>
      </c>
      <c r="I774" s="18">
        <v>11926.74</v>
      </c>
      <c r="J774" s="27">
        <v>12554.46</v>
      </c>
      <c r="K774" s="18">
        <f t="shared" ref="K774:K837" si="25">IFERROR(IF(ROUND((J774-L774)/J774,2)&lt;=0.05,J774,0),0)</f>
        <v>12554.46</v>
      </c>
      <c r="L774" s="27">
        <v>11926.74</v>
      </c>
      <c r="M774" s="36">
        <v>0</v>
      </c>
      <c r="T774" s="41">
        <v>0</v>
      </c>
      <c r="U774" s="41">
        <v>0</v>
      </c>
      <c r="V774" s="42" t="s">
        <v>113</v>
      </c>
      <c r="W774" s="42">
        <v>12554.46</v>
      </c>
      <c r="X774" s="42">
        <v>12554.46</v>
      </c>
    </row>
    <row r="775" spans="1:24">
      <c r="A775" s="27" t="s">
        <v>1547</v>
      </c>
      <c r="B775" s="28" t="s">
        <v>215</v>
      </c>
      <c r="C775" s="27" t="s">
        <v>1548</v>
      </c>
      <c r="D775" s="27" t="s">
        <v>112</v>
      </c>
      <c r="E775" s="29">
        <v>40171</v>
      </c>
      <c r="F775" s="27">
        <v>15</v>
      </c>
      <c r="G775" s="18">
        <v>12554.46</v>
      </c>
      <c r="H775" s="27">
        <f t="shared" si="24"/>
        <v>12554.46</v>
      </c>
      <c r="I775" s="18">
        <v>11926.74</v>
      </c>
      <c r="J775" s="27">
        <v>12554.46</v>
      </c>
      <c r="K775" s="18">
        <f t="shared" si="25"/>
        <v>12554.46</v>
      </c>
      <c r="L775" s="27">
        <v>11926.74</v>
      </c>
      <c r="M775" s="36">
        <v>0</v>
      </c>
      <c r="T775" s="41">
        <v>0</v>
      </c>
      <c r="U775" s="41">
        <v>0</v>
      </c>
      <c r="V775" s="42" t="s">
        <v>113</v>
      </c>
      <c r="W775" s="42">
        <v>12554.46</v>
      </c>
      <c r="X775" s="42">
        <v>12554.46</v>
      </c>
    </row>
    <row r="776" spans="1:24">
      <c r="A776" s="27" t="s">
        <v>1549</v>
      </c>
      <c r="B776" s="28" t="s">
        <v>215</v>
      </c>
      <c r="C776" s="27" t="s">
        <v>1550</v>
      </c>
      <c r="D776" s="27" t="s">
        <v>112</v>
      </c>
      <c r="E776" s="29">
        <v>40171</v>
      </c>
      <c r="F776" s="27">
        <v>15</v>
      </c>
      <c r="G776" s="18">
        <v>12554.46</v>
      </c>
      <c r="H776" s="27">
        <f t="shared" si="24"/>
        <v>12554.46</v>
      </c>
      <c r="I776" s="18">
        <v>11926.74</v>
      </c>
      <c r="J776" s="27">
        <v>12554.46</v>
      </c>
      <c r="K776" s="18">
        <f t="shared" si="25"/>
        <v>12554.46</v>
      </c>
      <c r="L776" s="27">
        <v>11926.74</v>
      </c>
      <c r="M776" s="36">
        <v>0</v>
      </c>
      <c r="T776" s="41">
        <v>0</v>
      </c>
      <c r="U776" s="41">
        <v>0</v>
      </c>
      <c r="V776" s="42" t="s">
        <v>113</v>
      </c>
      <c r="W776" s="42">
        <v>12554.46</v>
      </c>
      <c r="X776" s="42">
        <v>12554.46</v>
      </c>
    </row>
    <row r="777" spans="1:24">
      <c r="A777" s="27" t="s">
        <v>1551</v>
      </c>
      <c r="B777" s="28" t="s">
        <v>215</v>
      </c>
      <c r="C777" s="27" t="s">
        <v>1552</v>
      </c>
      <c r="D777" s="27" t="s">
        <v>112</v>
      </c>
      <c r="E777" s="29">
        <v>40171</v>
      </c>
      <c r="F777" s="27">
        <v>15</v>
      </c>
      <c r="G777" s="18">
        <v>12554.46</v>
      </c>
      <c r="H777" s="27">
        <f t="shared" si="24"/>
        <v>12554.46</v>
      </c>
      <c r="I777" s="18">
        <v>11926.74</v>
      </c>
      <c r="J777" s="27">
        <v>12554.46</v>
      </c>
      <c r="K777" s="18">
        <f t="shared" si="25"/>
        <v>12554.46</v>
      </c>
      <c r="L777" s="27">
        <v>11926.74</v>
      </c>
      <c r="M777" s="36">
        <v>0</v>
      </c>
      <c r="T777" s="41">
        <v>0</v>
      </c>
      <c r="U777" s="41">
        <v>0</v>
      </c>
      <c r="V777" s="42" t="s">
        <v>113</v>
      </c>
      <c r="W777" s="42">
        <v>12554.46</v>
      </c>
      <c r="X777" s="42">
        <v>12554.46</v>
      </c>
    </row>
    <row r="778" spans="1:24">
      <c r="A778" s="27" t="s">
        <v>1553</v>
      </c>
      <c r="B778" s="28" t="s">
        <v>215</v>
      </c>
      <c r="C778" s="27" t="s">
        <v>1554</v>
      </c>
      <c r="D778" s="27" t="s">
        <v>112</v>
      </c>
      <c r="E778" s="29">
        <v>40171</v>
      </c>
      <c r="F778" s="27">
        <v>15</v>
      </c>
      <c r="G778" s="18">
        <v>12554.46</v>
      </c>
      <c r="H778" s="27">
        <f t="shared" si="24"/>
        <v>12554.46</v>
      </c>
      <c r="I778" s="18">
        <v>11926.74</v>
      </c>
      <c r="J778" s="27">
        <v>12554.46</v>
      </c>
      <c r="K778" s="18">
        <f t="shared" si="25"/>
        <v>12554.46</v>
      </c>
      <c r="L778" s="27">
        <v>11926.74</v>
      </c>
      <c r="M778" s="36">
        <v>0</v>
      </c>
      <c r="T778" s="41">
        <v>0</v>
      </c>
      <c r="U778" s="41">
        <v>0</v>
      </c>
      <c r="V778" s="42" t="s">
        <v>113</v>
      </c>
      <c r="W778" s="42">
        <v>12554.46</v>
      </c>
      <c r="X778" s="42">
        <v>12554.46</v>
      </c>
    </row>
    <row r="779" spans="1:24">
      <c r="A779" s="27" t="s">
        <v>1555</v>
      </c>
      <c r="B779" s="28" t="s">
        <v>215</v>
      </c>
      <c r="C779" s="27" t="s">
        <v>1556</v>
      </c>
      <c r="D779" s="27" t="s">
        <v>112</v>
      </c>
      <c r="E779" s="29">
        <v>40171</v>
      </c>
      <c r="F779" s="27">
        <v>15</v>
      </c>
      <c r="G779" s="18">
        <v>12554.46</v>
      </c>
      <c r="H779" s="27">
        <f t="shared" si="24"/>
        <v>12554.46</v>
      </c>
      <c r="I779" s="18">
        <v>11926.74</v>
      </c>
      <c r="J779" s="27">
        <v>12554.46</v>
      </c>
      <c r="K779" s="18">
        <f t="shared" si="25"/>
        <v>12554.46</v>
      </c>
      <c r="L779" s="27">
        <v>11926.74</v>
      </c>
      <c r="M779" s="36">
        <v>0</v>
      </c>
      <c r="T779" s="41">
        <v>0</v>
      </c>
      <c r="U779" s="41">
        <v>0</v>
      </c>
      <c r="V779" s="42" t="s">
        <v>113</v>
      </c>
      <c r="W779" s="42">
        <v>12554.46</v>
      </c>
      <c r="X779" s="42">
        <v>12554.46</v>
      </c>
    </row>
    <row r="780" spans="1:24">
      <c r="A780" s="27" t="s">
        <v>1557</v>
      </c>
      <c r="B780" s="28" t="s">
        <v>215</v>
      </c>
      <c r="C780" s="27" t="s">
        <v>1558</v>
      </c>
      <c r="D780" s="27" t="s">
        <v>112</v>
      </c>
      <c r="E780" s="29">
        <v>40171</v>
      </c>
      <c r="F780" s="27">
        <v>15</v>
      </c>
      <c r="G780" s="18">
        <v>12554.46</v>
      </c>
      <c r="H780" s="27">
        <f t="shared" si="24"/>
        <v>12554.46</v>
      </c>
      <c r="I780" s="18">
        <v>11926.74</v>
      </c>
      <c r="J780" s="27">
        <v>12554.46</v>
      </c>
      <c r="K780" s="18">
        <f t="shared" si="25"/>
        <v>12554.46</v>
      </c>
      <c r="L780" s="27">
        <v>11926.74</v>
      </c>
      <c r="M780" s="36">
        <v>0</v>
      </c>
      <c r="T780" s="41">
        <v>0</v>
      </c>
      <c r="U780" s="41">
        <v>0</v>
      </c>
      <c r="V780" s="42" t="s">
        <v>113</v>
      </c>
      <c r="W780" s="42">
        <v>12554.46</v>
      </c>
      <c r="X780" s="42">
        <v>12554.46</v>
      </c>
    </row>
    <row r="781" spans="1:24">
      <c r="A781" s="27" t="s">
        <v>1559</v>
      </c>
      <c r="B781" s="28" t="s">
        <v>215</v>
      </c>
      <c r="C781" s="27" t="s">
        <v>1560</v>
      </c>
      <c r="D781" s="27" t="s">
        <v>112</v>
      </c>
      <c r="E781" s="29">
        <v>40171</v>
      </c>
      <c r="F781" s="27">
        <v>15</v>
      </c>
      <c r="G781" s="18">
        <v>12554.46</v>
      </c>
      <c r="H781" s="27">
        <f t="shared" si="24"/>
        <v>12554.46</v>
      </c>
      <c r="I781" s="18">
        <v>11926.74</v>
      </c>
      <c r="J781" s="27">
        <v>12554.46</v>
      </c>
      <c r="K781" s="18">
        <f t="shared" si="25"/>
        <v>12554.46</v>
      </c>
      <c r="L781" s="27">
        <v>11926.74</v>
      </c>
      <c r="M781" s="36">
        <v>0</v>
      </c>
      <c r="T781" s="41">
        <v>0</v>
      </c>
      <c r="U781" s="41">
        <v>0</v>
      </c>
      <c r="V781" s="42" t="s">
        <v>113</v>
      </c>
      <c r="W781" s="42">
        <v>12554.46</v>
      </c>
      <c r="X781" s="42">
        <v>12554.46</v>
      </c>
    </row>
    <row r="782" spans="1:24">
      <c r="A782" s="27" t="s">
        <v>1561</v>
      </c>
      <c r="B782" s="28" t="s">
        <v>215</v>
      </c>
      <c r="C782" s="27" t="s">
        <v>564</v>
      </c>
      <c r="D782" s="27" t="s">
        <v>112</v>
      </c>
      <c r="E782" s="29">
        <v>40171</v>
      </c>
      <c r="F782" s="27">
        <v>15</v>
      </c>
      <c r="G782" s="18">
        <v>12554.46</v>
      </c>
      <c r="H782" s="27">
        <f t="shared" si="24"/>
        <v>12554.46</v>
      </c>
      <c r="I782" s="18">
        <v>11926.74</v>
      </c>
      <c r="J782" s="27">
        <v>12554.46</v>
      </c>
      <c r="K782" s="18">
        <f t="shared" si="25"/>
        <v>12554.46</v>
      </c>
      <c r="L782" s="27">
        <v>11926.74</v>
      </c>
      <c r="M782" s="36">
        <v>0</v>
      </c>
      <c r="T782" s="41">
        <v>0</v>
      </c>
      <c r="U782" s="41">
        <v>0</v>
      </c>
      <c r="V782" s="42" t="s">
        <v>113</v>
      </c>
      <c r="W782" s="42">
        <v>12554.46</v>
      </c>
      <c r="X782" s="42">
        <v>12554.46</v>
      </c>
    </row>
    <row r="783" spans="1:24">
      <c r="A783" s="27" t="s">
        <v>1562</v>
      </c>
      <c r="B783" s="28" t="s">
        <v>215</v>
      </c>
      <c r="C783" s="27" t="s">
        <v>1563</v>
      </c>
      <c r="D783" s="27" t="s">
        <v>112</v>
      </c>
      <c r="E783" s="29">
        <v>40171</v>
      </c>
      <c r="F783" s="27">
        <v>15</v>
      </c>
      <c r="G783" s="18">
        <v>12554.46</v>
      </c>
      <c r="H783" s="27">
        <f t="shared" si="24"/>
        <v>12554.46</v>
      </c>
      <c r="I783" s="18">
        <v>11926.74</v>
      </c>
      <c r="J783" s="27">
        <v>12554.46</v>
      </c>
      <c r="K783" s="18">
        <f t="shared" si="25"/>
        <v>12554.46</v>
      </c>
      <c r="L783" s="27">
        <v>11926.74</v>
      </c>
      <c r="M783" s="36">
        <v>0</v>
      </c>
      <c r="T783" s="41">
        <v>0</v>
      </c>
      <c r="U783" s="41">
        <v>0</v>
      </c>
      <c r="V783" s="42" t="s">
        <v>113</v>
      </c>
      <c r="W783" s="42">
        <v>12554.46</v>
      </c>
      <c r="X783" s="42">
        <v>12554.46</v>
      </c>
    </row>
    <row r="784" spans="1:24">
      <c r="A784" s="27" t="s">
        <v>1564</v>
      </c>
      <c r="B784" s="28" t="s">
        <v>215</v>
      </c>
      <c r="C784" s="27" t="s">
        <v>1565</v>
      </c>
      <c r="D784" s="27" t="s">
        <v>112</v>
      </c>
      <c r="E784" s="29">
        <v>40171</v>
      </c>
      <c r="F784" s="27">
        <v>15</v>
      </c>
      <c r="G784" s="18">
        <v>12554.46</v>
      </c>
      <c r="H784" s="27">
        <f t="shared" si="24"/>
        <v>12554.46</v>
      </c>
      <c r="I784" s="18">
        <v>11926.74</v>
      </c>
      <c r="J784" s="27">
        <v>12554.46</v>
      </c>
      <c r="K784" s="18">
        <f t="shared" si="25"/>
        <v>12554.46</v>
      </c>
      <c r="L784" s="27">
        <v>11926.74</v>
      </c>
      <c r="M784" s="36">
        <v>0</v>
      </c>
      <c r="T784" s="41">
        <v>0</v>
      </c>
      <c r="U784" s="41">
        <v>0</v>
      </c>
      <c r="V784" s="42" t="s">
        <v>113</v>
      </c>
      <c r="W784" s="42">
        <v>12554.46</v>
      </c>
      <c r="X784" s="42">
        <v>12554.46</v>
      </c>
    </row>
    <row r="785" spans="1:24">
      <c r="A785" s="27" t="s">
        <v>1566</v>
      </c>
      <c r="B785" s="28" t="s">
        <v>215</v>
      </c>
      <c r="C785" s="27" t="s">
        <v>1567</v>
      </c>
      <c r="D785" s="27" t="s">
        <v>118</v>
      </c>
      <c r="E785" s="29">
        <v>40171</v>
      </c>
      <c r="F785" s="27">
        <v>15</v>
      </c>
      <c r="G785" s="18">
        <v>337680.57</v>
      </c>
      <c r="H785" s="27">
        <f t="shared" si="24"/>
        <v>337680.57</v>
      </c>
      <c r="I785" s="18">
        <v>320796.53999999998</v>
      </c>
      <c r="J785" s="27">
        <v>337680.57</v>
      </c>
      <c r="K785" s="18">
        <f t="shared" si="25"/>
        <v>337680.57</v>
      </c>
      <c r="L785" s="27">
        <v>320796.53999999998</v>
      </c>
      <c r="M785" s="36">
        <v>0</v>
      </c>
      <c r="T785" s="41">
        <v>0</v>
      </c>
      <c r="U785" s="41">
        <v>0</v>
      </c>
      <c r="V785" s="42" t="s">
        <v>113</v>
      </c>
      <c r="W785" s="42">
        <v>337680.57</v>
      </c>
      <c r="X785" s="42">
        <v>337680.57</v>
      </c>
    </row>
    <row r="786" spans="1:24">
      <c r="A786" s="27" t="s">
        <v>1568</v>
      </c>
      <c r="B786" s="28" t="s">
        <v>215</v>
      </c>
      <c r="C786" s="27" t="s">
        <v>1569</v>
      </c>
      <c r="D786" s="27" t="s">
        <v>118</v>
      </c>
      <c r="E786" s="29">
        <v>40171</v>
      </c>
      <c r="F786" s="27">
        <v>12</v>
      </c>
      <c r="G786" s="18">
        <v>2835.83</v>
      </c>
      <c r="H786" s="27">
        <f t="shared" si="24"/>
        <v>2835.83</v>
      </c>
      <c r="I786" s="18">
        <v>2835.83</v>
      </c>
      <c r="J786" s="27">
        <v>2835.83</v>
      </c>
      <c r="K786" s="18">
        <f t="shared" si="25"/>
        <v>2835.83</v>
      </c>
      <c r="L786" s="27">
        <v>2835.83</v>
      </c>
      <c r="M786" s="36">
        <v>0</v>
      </c>
      <c r="T786" s="41">
        <v>0</v>
      </c>
      <c r="U786" s="41">
        <v>0</v>
      </c>
      <c r="V786" s="42" t="s">
        <v>113</v>
      </c>
      <c r="W786" s="42">
        <v>2835.83</v>
      </c>
      <c r="X786" s="42">
        <v>2835.83</v>
      </c>
    </row>
    <row r="787" spans="1:24">
      <c r="A787" s="27" t="s">
        <v>1570</v>
      </c>
      <c r="B787" s="28" t="s">
        <v>215</v>
      </c>
      <c r="C787" s="27" t="s">
        <v>1571</v>
      </c>
      <c r="D787" s="27" t="s">
        <v>118</v>
      </c>
      <c r="E787" s="29">
        <v>40171</v>
      </c>
      <c r="F787" s="27">
        <v>12</v>
      </c>
      <c r="G787" s="18">
        <v>2835.81</v>
      </c>
      <c r="H787" s="27">
        <f t="shared" si="24"/>
        <v>2835.81</v>
      </c>
      <c r="I787" s="18">
        <v>2835.81</v>
      </c>
      <c r="J787" s="27">
        <v>2835.81</v>
      </c>
      <c r="K787" s="18">
        <f t="shared" si="25"/>
        <v>2835.81</v>
      </c>
      <c r="L787" s="27">
        <v>2835.81</v>
      </c>
      <c r="M787" s="36">
        <v>0</v>
      </c>
      <c r="T787" s="41">
        <v>0</v>
      </c>
      <c r="U787" s="41">
        <v>0</v>
      </c>
      <c r="V787" s="42" t="s">
        <v>113</v>
      </c>
      <c r="W787" s="42">
        <v>2835.81</v>
      </c>
      <c r="X787" s="42">
        <v>2835.81</v>
      </c>
    </row>
    <row r="788" spans="1:24">
      <c r="A788" s="27" t="s">
        <v>1572</v>
      </c>
      <c r="B788" s="28" t="s">
        <v>215</v>
      </c>
      <c r="C788" s="27" t="s">
        <v>1573</v>
      </c>
      <c r="D788" s="27" t="s">
        <v>118</v>
      </c>
      <c r="E788" s="29">
        <v>40171</v>
      </c>
      <c r="F788" s="27">
        <v>12</v>
      </c>
      <c r="G788" s="18">
        <v>2835.81</v>
      </c>
      <c r="H788" s="27">
        <f t="shared" si="24"/>
        <v>2835.81</v>
      </c>
      <c r="I788" s="18">
        <v>2835.81</v>
      </c>
      <c r="J788" s="27">
        <v>2835.81</v>
      </c>
      <c r="K788" s="18">
        <f t="shared" si="25"/>
        <v>2835.81</v>
      </c>
      <c r="L788" s="27">
        <v>2835.81</v>
      </c>
      <c r="M788" s="36">
        <v>0</v>
      </c>
      <c r="T788" s="41">
        <v>0</v>
      </c>
      <c r="U788" s="41">
        <v>0</v>
      </c>
      <c r="V788" s="42" t="s">
        <v>113</v>
      </c>
      <c r="W788" s="42">
        <v>2835.81</v>
      </c>
      <c r="X788" s="42">
        <v>2835.81</v>
      </c>
    </row>
    <row r="789" spans="1:24">
      <c r="A789" s="27" t="s">
        <v>1574</v>
      </c>
      <c r="B789" s="28" t="s">
        <v>215</v>
      </c>
      <c r="C789" s="27" t="s">
        <v>1575</v>
      </c>
      <c r="D789" s="27" t="s">
        <v>118</v>
      </c>
      <c r="E789" s="29">
        <v>40171</v>
      </c>
      <c r="F789" s="27">
        <v>15</v>
      </c>
      <c r="G789" s="18">
        <v>44164.57</v>
      </c>
      <c r="H789" s="27">
        <f t="shared" si="24"/>
        <v>44164.57</v>
      </c>
      <c r="I789" s="18">
        <v>41956.34</v>
      </c>
      <c r="J789" s="27">
        <v>44164.57</v>
      </c>
      <c r="K789" s="18">
        <f t="shared" si="25"/>
        <v>44164.57</v>
      </c>
      <c r="L789" s="27">
        <v>41956.34</v>
      </c>
      <c r="M789" s="36">
        <v>0</v>
      </c>
      <c r="T789" s="41">
        <v>0</v>
      </c>
      <c r="U789" s="41">
        <v>0</v>
      </c>
      <c r="V789" s="42" t="s">
        <v>113</v>
      </c>
      <c r="W789" s="42">
        <v>44164.57</v>
      </c>
      <c r="X789" s="42">
        <v>44164.57</v>
      </c>
    </row>
    <row r="790" spans="1:24">
      <c r="A790" s="27" t="s">
        <v>1576</v>
      </c>
      <c r="B790" s="28" t="s">
        <v>215</v>
      </c>
      <c r="C790" s="27" t="s">
        <v>586</v>
      </c>
      <c r="D790" s="27" t="s">
        <v>118</v>
      </c>
      <c r="E790" s="29">
        <v>40171</v>
      </c>
      <c r="F790" s="27">
        <v>15</v>
      </c>
      <c r="G790" s="18">
        <v>5670.81</v>
      </c>
      <c r="H790" s="27">
        <f t="shared" si="24"/>
        <v>5670.81</v>
      </c>
      <c r="I790" s="18">
        <v>5387.27</v>
      </c>
      <c r="J790" s="27">
        <v>5670.81</v>
      </c>
      <c r="K790" s="18">
        <f t="shared" si="25"/>
        <v>5670.81</v>
      </c>
      <c r="L790" s="27">
        <v>5387.27</v>
      </c>
      <c r="M790" s="36">
        <v>0</v>
      </c>
      <c r="T790" s="41">
        <v>0</v>
      </c>
      <c r="U790" s="41">
        <v>0</v>
      </c>
      <c r="V790" s="42" t="s">
        <v>113</v>
      </c>
      <c r="W790" s="42">
        <v>5670.81</v>
      </c>
      <c r="X790" s="42">
        <v>5670.81</v>
      </c>
    </row>
    <row r="791" spans="1:24">
      <c r="A791" s="27" t="s">
        <v>1577</v>
      </c>
      <c r="B791" s="28" t="s">
        <v>215</v>
      </c>
      <c r="C791" s="27" t="s">
        <v>584</v>
      </c>
      <c r="D791" s="27" t="s">
        <v>118</v>
      </c>
      <c r="E791" s="29">
        <v>40171</v>
      </c>
      <c r="F791" s="27">
        <v>15</v>
      </c>
      <c r="G791" s="18">
        <v>5670.81</v>
      </c>
      <c r="H791" s="27">
        <f t="shared" si="24"/>
        <v>5670.81</v>
      </c>
      <c r="I791" s="18">
        <v>5387.27</v>
      </c>
      <c r="J791" s="27">
        <v>5670.81</v>
      </c>
      <c r="K791" s="18">
        <f t="shared" si="25"/>
        <v>5670.81</v>
      </c>
      <c r="L791" s="27">
        <v>5387.27</v>
      </c>
      <c r="M791" s="36">
        <v>0</v>
      </c>
      <c r="T791" s="41">
        <v>0</v>
      </c>
      <c r="U791" s="41">
        <v>0</v>
      </c>
      <c r="V791" s="42" t="s">
        <v>113</v>
      </c>
      <c r="W791" s="42">
        <v>5670.81</v>
      </c>
      <c r="X791" s="42">
        <v>5670.81</v>
      </c>
    </row>
    <row r="792" spans="1:24">
      <c r="A792" s="27" t="s">
        <v>1578</v>
      </c>
      <c r="B792" s="28" t="s">
        <v>215</v>
      </c>
      <c r="C792" s="27" t="s">
        <v>1579</v>
      </c>
      <c r="D792" s="27" t="s">
        <v>118</v>
      </c>
      <c r="E792" s="29">
        <v>40171</v>
      </c>
      <c r="F792" s="27">
        <v>12</v>
      </c>
      <c r="G792" s="18">
        <v>2332.08</v>
      </c>
      <c r="H792" s="27">
        <f t="shared" si="24"/>
        <v>2332.08</v>
      </c>
      <c r="I792" s="18">
        <v>2332.08</v>
      </c>
      <c r="J792" s="27">
        <v>2332.08</v>
      </c>
      <c r="K792" s="18">
        <f t="shared" si="25"/>
        <v>2332.08</v>
      </c>
      <c r="L792" s="27">
        <v>2332.08</v>
      </c>
      <c r="M792" s="36">
        <v>0</v>
      </c>
      <c r="T792" s="41">
        <v>0</v>
      </c>
      <c r="U792" s="41">
        <v>0</v>
      </c>
      <c r="V792" s="42" t="s">
        <v>113</v>
      </c>
      <c r="W792" s="42">
        <v>2332.08</v>
      </c>
      <c r="X792" s="42">
        <v>2332.08</v>
      </c>
    </row>
    <row r="793" spans="1:24">
      <c r="A793" s="27" t="s">
        <v>1580</v>
      </c>
      <c r="B793" s="28" t="s">
        <v>215</v>
      </c>
      <c r="C793" s="27" t="s">
        <v>590</v>
      </c>
      <c r="D793" s="27" t="s">
        <v>118</v>
      </c>
      <c r="E793" s="29">
        <v>40171</v>
      </c>
      <c r="F793" s="27">
        <v>12</v>
      </c>
      <c r="G793" s="18">
        <v>2332.33</v>
      </c>
      <c r="H793" s="27">
        <f t="shared" si="24"/>
        <v>2332.33</v>
      </c>
      <c r="I793" s="18">
        <v>2332.33</v>
      </c>
      <c r="J793" s="27">
        <v>2332.33</v>
      </c>
      <c r="K793" s="18">
        <f t="shared" si="25"/>
        <v>2332.33</v>
      </c>
      <c r="L793" s="27">
        <v>2332.33</v>
      </c>
      <c r="M793" s="36">
        <v>0</v>
      </c>
      <c r="T793" s="41">
        <v>0</v>
      </c>
      <c r="U793" s="41">
        <v>0</v>
      </c>
      <c r="V793" s="42" t="s">
        <v>113</v>
      </c>
      <c r="W793" s="42">
        <v>2332.33</v>
      </c>
      <c r="X793" s="42">
        <v>2332.33</v>
      </c>
    </row>
    <row r="794" spans="1:24">
      <c r="A794" s="27" t="s">
        <v>1581</v>
      </c>
      <c r="B794" s="28" t="s">
        <v>215</v>
      </c>
      <c r="C794" s="27" t="s">
        <v>1582</v>
      </c>
      <c r="D794" s="27" t="s">
        <v>118</v>
      </c>
      <c r="E794" s="29">
        <v>40171</v>
      </c>
      <c r="F794" s="27">
        <v>15</v>
      </c>
      <c r="G794" s="18">
        <v>27051.01</v>
      </c>
      <c r="H794" s="27">
        <f t="shared" si="24"/>
        <v>27051.01</v>
      </c>
      <c r="I794" s="18">
        <v>25698.46</v>
      </c>
      <c r="J794" s="27">
        <v>27051.01</v>
      </c>
      <c r="K794" s="18">
        <f t="shared" si="25"/>
        <v>27051.01</v>
      </c>
      <c r="L794" s="27">
        <v>25698.46</v>
      </c>
      <c r="M794" s="36">
        <v>0</v>
      </c>
      <c r="T794" s="41">
        <v>0</v>
      </c>
      <c r="U794" s="41">
        <v>0</v>
      </c>
      <c r="V794" s="42" t="s">
        <v>113</v>
      </c>
      <c r="W794" s="42">
        <v>27051.01</v>
      </c>
      <c r="X794" s="42">
        <v>27051.01</v>
      </c>
    </row>
    <row r="795" spans="1:24">
      <c r="A795" s="27" t="s">
        <v>1583</v>
      </c>
      <c r="B795" s="28" t="s">
        <v>215</v>
      </c>
      <c r="C795" s="27" t="s">
        <v>1584</v>
      </c>
      <c r="D795" s="27" t="s">
        <v>118</v>
      </c>
      <c r="E795" s="29">
        <v>40171</v>
      </c>
      <c r="F795" s="27">
        <v>12</v>
      </c>
      <c r="G795" s="18">
        <v>4477.99</v>
      </c>
      <c r="H795" s="27">
        <f t="shared" si="24"/>
        <v>4477.99</v>
      </c>
      <c r="I795" s="18">
        <v>4477.99</v>
      </c>
      <c r="J795" s="27">
        <v>4477.99</v>
      </c>
      <c r="K795" s="18">
        <f t="shared" si="25"/>
        <v>4477.99</v>
      </c>
      <c r="L795" s="27">
        <v>4477.99</v>
      </c>
      <c r="M795" s="36">
        <v>0</v>
      </c>
      <c r="T795" s="41">
        <v>0</v>
      </c>
      <c r="U795" s="41">
        <v>0</v>
      </c>
      <c r="V795" s="42" t="s">
        <v>113</v>
      </c>
      <c r="W795" s="42">
        <v>4477.99</v>
      </c>
      <c r="X795" s="42">
        <v>4477.99</v>
      </c>
    </row>
    <row r="796" spans="1:24">
      <c r="A796" s="27" t="s">
        <v>1585</v>
      </c>
      <c r="B796" s="28" t="s">
        <v>215</v>
      </c>
      <c r="C796" s="27" t="s">
        <v>1586</v>
      </c>
      <c r="D796" s="27" t="s">
        <v>118</v>
      </c>
      <c r="E796" s="29">
        <v>40171</v>
      </c>
      <c r="F796" s="27">
        <v>15</v>
      </c>
      <c r="G796" s="18">
        <v>17911.93</v>
      </c>
      <c r="H796" s="27">
        <f t="shared" si="24"/>
        <v>17911.93</v>
      </c>
      <c r="I796" s="18">
        <v>17016.330000000002</v>
      </c>
      <c r="J796" s="27">
        <v>17911.93</v>
      </c>
      <c r="K796" s="18">
        <f t="shared" si="25"/>
        <v>17911.93</v>
      </c>
      <c r="L796" s="27">
        <v>17016.330000000002</v>
      </c>
      <c r="M796" s="36">
        <v>0</v>
      </c>
      <c r="T796" s="41">
        <v>0</v>
      </c>
      <c r="U796" s="41">
        <v>0</v>
      </c>
      <c r="V796" s="42" t="s">
        <v>113</v>
      </c>
      <c r="W796" s="42">
        <v>17911.93</v>
      </c>
      <c r="X796" s="42">
        <v>17911.93</v>
      </c>
    </row>
    <row r="797" spans="1:24">
      <c r="A797" s="27" t="s">
        <v>1587</v>
      </c>
      <c r="B797" s="28" t="s">
        <v>215</v>
      </c>
      <c r="C797" s="27" t="s">
        <v>1588</v>
      </c>
      <c r="D797" s="27" t="s">
        <v>118</v>
      </c>
      <c r="E797" s="29">
        <v>40171</v>
      </c>
      <c r="F797" s="27">
        <v>15</v>
      </c>
      <c r="G797" s="18">
        <v>17911.93</v>
      </c>
      <c r="H797" s="27">
        <f t="shared" si="24"/>
        <v>17911.93</v>
      </c>
      <c r="I797" s="18">
        <v>17016.330000000002</v>
      </c>
      <c r="J797" s="27">
        <v>17911.93</v>
      </c>
      <c r="K797" s="18">
        <f t="shared" si="25"/>
        <v>17911.93</v>
      </c>
      <c r="L797" s="27">
        <v>17016.330000000002</v>
      </c>
      <c r="M797" s="36">
        <v>0</v>
      </c>
      <c r="T797" s="41">
        <v>0</v>
      </c>
      <c r="U797" s="41">
        <v>0</v>
      </c>
      <c r="V797" s="42" t="s">
        <v>113</v>
      </c>
      <c r="W797" s="42">
        <v>17911.93</v>
      </c>
      <c r="X797" s="42">
        <v>17911.93</v>
      </c>
    </row>
    <row r="798" spans="1:24">
      <c r="A798" s="27" t="s">
        <v>1589</v>
      </c>
      <c r="B798" s="28" t="s">
        <v>215</v>
      </c>
      <c r="C798" s="27" t="s">
        <v>646</v>
      </c>
      <c r="D798" s="27" t="s">
        <v>118</v>
      </c>
      <c r="E798" s="29">
        <v>40171</v>
      </c>
      <c r="F798" s="27">
        <v>15</v>
      </c>
      <c r="G798" s="18">
        <v>17911.93</v>
      </c>
      <c r="H798" s="27">
        <f t="shared" si="24"/>
        <v>17911.93</v>
      </c>
      <c r="I798" s="18">
        <v>17016.330000000002</v>
      </c>
      <c r="J798" s="27">
        <v>17911.93</v>
      </c>
      <c r="K798" s="18">
        <f t="shared" si="25"/>
        <v>17911.93</v>
      </c>
      <c r="L798" s="27">
        <v>17016.330000000002</v>
      </c>
      <c r="M798" s="36">
        <v>0</v>
      </c>
      <c r="T798" s="41">
        <v>0</v>
      </c>
      <c r="U798" s="41">
        <v>0</v>
      </c>
      <c r="V798" s="42" t="s">
        <v>113</v>
      </c>
      <c r="W798" s="42">
        <v>17911.93</v>
      </c>
      <c r="X798" s="42">
        <v>17911.93</v>
      </c>
    </row>
    <row r="799" spans="1:24">
      <c r="A799" s="27" t="s">
        <v>1590</v>
      </c>
      <c r="B799" s="28" t="s">
        <v>215</v>
      </c>
      <c r="C799" s="27" t="s">
        <v>644</v>
      </c>
      <c r="D799" s="27" t="s">
        <v>118</v>
      </c>
      <c r="E799" s="29">
        <v>40171</v>
      </c>
      <c r="F799" s="27">
        <v>15</v>
      </c>
      <c r="G799" s="18">
        <v>17911.93</v>
      </c>
      <c r="H799" s="27">
        <f t="shared" si="24"/>
        <v>17911.93</v>
      </c>
      <c r="I799" s="18">
        <v>17016.330000000002</v>
      </c>
      <c r="J799" s="27">
        <v>17911.93</v>
      </c>
      <c r="K799" s="18">
        <f t="shared" si="25"/>
        <v>17911.93</v>
      </c>
      <c r="L799" s="27">
        <v>17016.330000000002</v>
      </c>
      <c r="M799" s="36">
        <v>0</v>
      </c>
      <c r="T799" s="41">
        <v>0</v>
      </c>
      <c r="U799" s="41">
        <v>0</v>
      </c>
      <c r="V799" s="42" t="s">
        <v>113</v>
      </c>
      <c r="W799" s="42">
        <v>17911.93</v>
      </c>
      <c r="X799" s="42">
        <v>17911.93</v>
      </c>
    </row>
    <row r="800" spans="1:24">
      <c r="A800" s="27" t="s">
        <v>1591</v>
      </c>
      <c r="B800" s="28" t="s">
        <v>215</v>
      </c>
      <c r="C800" s="27" t="s">
        <v>648</v>
      </c>
      <c r="D800" s="27" t="s">
        <v>118</v>
      </c>
      <c r="E800" s="29">
        <v>40171</v>
      </c>
      <c r="F800" s="27">
        <v>15</v>
      </c>
      <c r="G800" s="18">
        <v>17911.93</v>
      </c>
      <c r="H800" s="27">
        <f t="shared" si="24"/>
        <v>17911.93</v>
      </c>
      <c r="I800" s="18">
        <v>17016.330000000002</v>
      </c>
      <c r="J800" s="27">
        <v>17911.93</v>
      </c>
      <c r="K800" s="18">
        <f t="shared" si="25"/>
        <v>17911.93</v>
      </c>
      <c r="L800" s="27">
        <v>17016.330000000002</v>
      </c>
      <c r="M800" s="36">
        <v>0</v>
      </c>
      <c r="T800" s="41">
        <v>0</v>
      </c>
      <c r="U800" s="41">
        <v>0</v>
      </c>
      <c r="V800" s="42" t="s">
        <v>113</v>
      </c>
      <c r="W800" s="42">
        <v>17911.93</v>
      </c>
      <c r="X800" s="42">
        <v>17911.93</v>
      </c>
    </row>
    <row r="801" spans="1:24">
      <c r="A801" s="27" t="s">
        <v>1592</v>
      </c>
      <c r="B801" s="28" t="s">
        <v>215</v>
      </c>
      <c r="C801" s="27" t="s">
        <v>1593</v>
      </c>
      <c r="D801" s="27" t="s">
        <v>118</v>
      </c>
      <c r="E801" s="29">
        <v>40171</v>
      </c>
      <c r="F801" s="27">
        <v>15</v>
      </c>
      <c r="G801" s="18">
        <v>5344.29</v>
      </c>
      <c r="H801" s="27">
        <f t="shared" si="24"/>
        <v>5344.29</v>
      </c>
      <c r="I801" s="18">
        <v>5077.08</v>
      </c>
      <c r="J801" s="27">
        <v>5344.29</v>
      </c>
      <c r="K801" s="18">
        <f t="shared" si="25"/>
        <v>5344.29</v>
      </c>
      <c r="L801" s="27">
        <v>5077.08</v>
      </c>
      <c r="M801" s="36">
        <v>0</v>
      </c>
      <c r="T801" s="41">
        <v>0</v>
      </c>
      <c r="U801" s="41">
        <v>0</v>
      </c>
      <c r="V801" s="42" t="s">
        <v>113</v>
      </c>
      <c r="W801" s="42">
        <v>5344.29</v>
      </c>
      <c r="X801" s="42">
        <v>5344.29</v>
      </c>
    </row>
    <row r="802" spans="1:24">
      <c r="A802" s="27" t="s">
        <v>1594</v>
      </c>
      <c r="B802" s="28" t="s">
        <v>215</v>
      </c>
      <c r="C802" s="27" t="s">
        <v>1595</v>
      </c>
      <c r="D802" s="27" t="s">
        <v>118</v>
      </c>
      <c r="E802" s="29">
        <v>40171</v>
      </c>
      <c r="F802" s="27">
        <v>15</v>
      </c>
      <c r="G802" s="18">
        <v>21377.19</v>
      </c>
      <c r="H802" s="27">
        <f t="shared" si="24"/>
        <v>21377.19</v>
      </c>
      <c r="I802" s="18">
        <v>20308.330000000002</v>
      </c>
      <c r="J802" s="27">
        <v>21377.19</v>
      </c>
      <c r="K802" s="18">
        <f t="shared" si="25"/>
        <v>21377.19</v>
      </c>
      <c r="L802" s="27">
        <v>20308.330000000002</v>
      </c>
      <c r="M802" s="36">
        <v>0</v>
      </c>
      <c r="T802" s="41">
        <v>0</v>
      </c>
      <c r="U802" s="41">
        <v>0</v>
      </c>
      <c r="V802" s="42" t="s">
        <v>113</v>
      </c>
      <c r="W802" s="42">
        <v>21377.19</v>
      </c>
      <c r="X802" s="42">
        <v>21377.19</v>
      </c>
    </row>
    <row r="803" spans="1:24">
      <c r="A803" s="27" t="s">
        <v>1596</v>
      </c>
      <c r="B803" s="28" t="s">
        <v>215</v>
      </c>
      <c r="C803" s="27" t="s">
        <v>1597</v>
      </c>
      <c r="D803" s="27" t="s">
        <v>118</v>
      </c>
      <c r="E803" s="29">
        <v>40171</v>
      </c>
      <c r="F803" s="27">
        <v>15</v>
      </c>
      <c r="G803" s="18">
        <v>21377.19</v>
      </c>
      <c r="H803" s="27">
        <f t="shared" si="24"/>
        <v>21377.19</v>
      </c>
      <c r="I803" s="18">
        <v>20308.330000000002</v>
      </c>
      <c r="J803" s="27">
        <v>21377.19</v>
      </c>
      <c r="K803" s="18">
        <f t="shared" si="25"/>
        <v>21377.19</v>
      </c>
      <c r="L803" s="27">
        <v>20308.330000000002</v>
      </c>
      <c r="M803" s="36">
        <v>0</v>
      </c>
      <c r="T803" s="41">
        <v>0</v>
      </c>
      <c r="U803" s="41">
        <v>0</v>
      </c>
      <c r="V803" s="42" t="s">
        <v>113</v>
      </c>
      <c r="W803" s="42">
        <v>21377.19</v>
      </c>
      <c r="X803" s="42">
        <v>21377.19</v>
      </c>
    </row>
    <row r="804" spans="1:24">
      <c r="A804" s="27" t="s">
        <v>1598</v>
      </c>
      <c r="B804" s="28" t="s">
        <v>215</v>
      </c>
      <c r="C804" s="27" t="s">
        <v>852</v>
      </c>
      <c r="D804" s="27" t="s">
        <v>112</v>
      </c>
      <c r="E804" s="29">
        <v>40171</v>
      </c>
      <c r="F804" s="27">
        <v>15</v>
      </c>
      <c r="G804" s="18">
        <v>21669.07</v>
      </c>
      <c r="H804" s="27">
        <f t="shared" si="24"/>
        <v>21669.07</v>
      </c>
      <c r="I804" s="18">
        <v>20585.62</v>
      </c>
      <c r="J804" s="27">
        <v>21669.07</v>
      </c>
      <c r="K804" s="18">
        <f t="shared" si="25"/>
        <v>21669.07</v>
      </c>
      <c r="L804" s="27">
        <v>20585.62</v>
      </c>
      <c r="M804" s="36">
        <v>0</v>
      </c>
      <c r="T804" s="41">
        <v>0</v>
      </c>
      <c r="U804" s="41">
        <v>0</v>
      </c>
      <c r="V804" s="42" t="s">
        <v>113</v>
      </c>
      <c r="W804" s="42">
        <v>21669.07</v>
      </c>
      <c r="X804" s="42">
        <v>21669.07</v>
      </c>
    </row>
    <row r="805" spans="1:24">
      <c r="A805" s="27" t="s">
        <v>1599</v>
      </c>
      <c r="B805" s="28" t="s">
        <v>215</v>
      </c>
      <c r="C805" s="27" t="s">
        <v>566</v>
      </c>
      <c r="D805" s="27" t="s">
        <v>112</v>
      </c>
      <c r="E805" s="29">
        <v>40171</v>
      </c>
      <c r="F805" s="27">
        <v>15</v>
      </c>
      <c r="G805" s="18">
        <v>6504.98</v>
      </c>
      <c r="H805" s="27">
        <f t="shared" si="24"/>
        <v>6504.98</v>
      </c>
      <c r="I805" s="18">
        <v>6179.73</v>
      </c>
      <c r="J805" s="27">
        <v>6504.98</v>
      </c>
      <c r="K805" s="18">
        <f t="shared" si="25"/>
        <v>6504.98</v>
      </c>
      <c r="L805" s="27">
        <v>6179.73</v>
      </c>
      <c r="M805" s="36">
        <v>0</v>
      </c>
      <c r="T805" s="41">
        <v>0</v>
      </c>
      <c r="U805" s="41">
        <v>0</v>
      </c>
      <c r="V805" s="42" t="s">
        <v>113</v>
      </c>
      <c r="W805" s="42">
        <v>6504.98</v>
      </c>
      <c r="X805" s="42">
        <v>6504.98</v>
      </c>
    </row>
    <row r="806" spans="1:24">
      <c r="A806" s="27" t="s">
        <v>1600</v>
      </c>
      <c r="B806" s="28" t="s">
        <v>215</v>
      </c>
      <c r="C806" s="27" t="s">
        <v>568</v>
      </c>
      <c r="D806" s="27" t="s">
        <v>112</v>
      </c>
      <c r="E806" s="29">
        <v>40171</v>
      </c>
      <c r="F806" s="27">
        <v>15</v>
      </c>
      <c r="G806" s="18">
        <v>6504.98</v>
      </c>
      <c r="H806" s="27">
        <f t="shared" si="24"/>
        <v>6504.98</v>
      </c>
      <c r="I806" s="18">
        <v>6179.73</v>
      </c>
      <c r="J806" s="27">
        <v>6504.98</v>
      </c>
      <c r="K806" s="18">
        <f t="shared" si="25"/>
        <v>6504.98</v>
      </c>
      <c r="L806" s="27">
        <v>6179.73</v>
      </c>
      <c r="M806" s="36">
        <v>0</v>
      </c>
      <c r="T806" s="41">
        <v>0</v>
      </c>
      <c r="U806" s="41">
        <v>0</v>
      </c>
      <c r="V806" s="42" t="s">
        <v>113</v>
      </c>
      <c r="W806" s="42">
        <v>6504.98</v>
      </c>
      <c r="X806" s="42">
        <v>6504.98</v>
      </c>
    </row>
    <row r="807" spans="1:24">
      <c r="A807" s="27" t="s">
        <v>1601</v>
      </c>
      <c r="B807" s="28" t="s">
        <v>215</v>
      </c>
      <c r="C807" s="27" t="s">
        <v>1602</v>
      </c>
      <c r="D807" s="27" t="s">
        <v>230</v>
      </c>
      <c r="E807" s="29">
        <v>40171</v>
      </c>
      <c r="F807" s="27">
        <v>15</v>
      </c>
      <c r="G807" s="18">
        <v>7528.98</v>
      </c>
      <c r="H807" s="27">
        <f t="shared" si="24"/>
        <v>7528.98</v>
      </c>
      <c r="I807" s="18">
        <v>7152.53</v>
      </c>
      <c r="J807" s="27">
        <v>7528.98</v>
      </c>
      <c r="K807" s="18">
        <f t="shared" si="25"/>
        <v>7528.98</v>
      </c>
      <c r="L807" s="27">
        <v>7152.53</v>
      </c>
      <c r="M807" s="36">
        <v>0</v>
      </c>
      <c r="T807" s="41">
        <v>0</v>
      </c>
      <c r="U807" s="41">
        <v>0</v>
      </c>
      <c r="V807" s="42" t="s">
        <v>113</v>
      </c>
      <c r="W807" s="42">
        <v>7528.98</v>
      </c>
      <c r="X807" s="42">
        <v>7528.98</v>
      </c>
    </row>
    <row r="808" spans="1:24">
      <c r="A808" s="27" t="s">
        <v>1603</v>
      </c>
      <c r="B808" s="28" t="s">
        <v>215</v>
      </c>
      <c r="C808" s="27" t="s">
        <v>1604</v>
      </c>
      <c r="D808" s="27" t="s">
        <v>230</v>
      </c>
      <c r="E808" s="29">
        <v>40171</v>
      </c>
      <c r="F808" s="27">
        <v>15</v>
      </c>
      <c r="G808" s="18">
        <v>7528.98</v>
      </c>
      <c r="H808" s="27">
        <f t="shared" si="24"/>
        <v>7528.98</v>
      </c>
      <c r="I808" s="18">
        <v>7152.53</v>
      </c>
      <c r="J808" s="27">
        <v>7528.98</v>
      </c>
      <c r="K808" s="18">
        <f t="shared" si="25"/>
        <v>7528.98</v>
      </c>
      <c r="L808" s="27">
        <v>7152.53</v>
      </c>
      <c r="M808" s="36">
        <v>0</v>
      </c>
      <c r="T808" s="41">
        <v>0</v>
      </c>
      <c r="U808" s="41">
        <v>0</v>
      </c>
      <c r="V808" s="42" t="s">
        <v>113</v>
      </c>
      <c r="W808" s="42">
        <v>7528.98</v>
      </c>
      <c r="X808" s="42">
        <v>7528.98</v>
      </c>
    </row>
    <row r="809" spans="1:24">
      <c r="A809" s="27" t="s">
        <v>1605</v>
      </c>
      <c r="B809" s="28" t="s">
        <v>215</v>
      </c>
      <c r="C809" s="27" t="s">
        <v>1606</v>
      </c>
      <c r="D809" s="27" t="s">
        <v>230</v>
      </c>
      <c r="E809" s="29">
        <v>40171</v>
      </c>
      <c r="F809" s="27">
        <v>15</v>
      </c>
      <c r="G809" s="18">
        <v>7528.98</v>
      </c>
      <c r="H809" s="27">
        <f t="shared" si="24"/>
        <v>7528.98</v>
      </c>
      <c r="I809" s="18">
        <v>7152.53</v>
      </c>
      <c r="J809" s="27">
        <v>7528.98</v>
      </c>
      <c r="K809" s="18">
        <f t="shared" si="25"/>
        <v>7528.98</v>
      </c>
      <c r="L809" s="27">
        <v>7152.53</v>
      </c>
      <c r="M809" s="36">
        <v>0</v>
      </c>
      <c r="T809" s="41">
        <v>0</v>
      </c>
      <c r="U809" s="41">
        <v>0</v>
      </c>
      <c r="V809" s="42" t="s">
        <v>113</v>
      </c>
      <c r="W809" s="42">
        <v>7528.98</v>
      </c>
      <c r="X809" s="42">
        <v>7528.98</v>
      </c>
    </row>
    <row r="810" spans="1:24">
      <c r="A810" s="27" t="s">
        <v>1607</v>
      </c>
      <c r="B810" s="28" t="s">
        <v>215</v>
      </c>
      <c r="C810" s="27" t="s">
        <v>1608</v>
      </c>
      <c r="D810" s="27" t="s">
        <v>230</v>
      </c>
      <c r="E810" s="29">
        <v>40171</v>
      </c>
      <c r="F810" s="27">
        <v>12</v>
      </c>
      <c r="G810" s="18">
        <v>373.01</v>
      </c>
      <c r="H810" s="27">
        <f t="shared" si="24"/>
        <v>373.01</v>
      </c>
      <c r="I810" s="18">
        <v>373.01</v>
      </c>
      <c r="J810" s="27">
        <v>373.01</v>
      </c>
      <c r="K810" s="18">
        <f t="shared" si="25"/>
        <v>373.01</v>
      </c>
      <c r="L810" s="27">
        <v>373.01</v>
      </c>
      <c r="M810" s="36">
        <v>0</v>
      </c>
      <c r="T810" s="41">
        <v>0</v>
      </c>
      <c r="U810" s="41">
        <v>0</v>
      </c>
      <c r="V810" s="42" t="s">
        <v>113</v>
      </c>
      <c r="W810" s="42">
        <v>373.01</v>
      </c>
      <c r="X810" s="42">
        <v>373.01</v>
      </c>
    </row>
    <row r="811" spans="1:24">
      <c r="A811" s="27" t="s">
        <v>1609</v>
      </c>
      <c r="B811" s="28" t="s">
        <v>215</v>
      </c>
      <c r="C811" s="27" t="s">
        <v>1610</v>
      </c>
      <c r="D811" s="27" t="s">
        <v>230</v>
      </c>
      <c r="E811" s="29">
        <v>40171</v>
      </c>
      <c r="F811" s="27">
        <v>12</v>
      </c>
      <c r="G811" s="18">
        <v>373.01</v>
      </c>
      <c r="H811" s="27">
        <f t="shared" si="24"/>
        <v>373.01</v>
      </c>
      <c r="I811" s="18">
        <v>373.01</v>
      </c>
      <c r="J811" s="27">
        <v>373.01</v>
      </c>
      <c r="K811" s="18">
        <f t="shared" si="25"/>
        <v>373.01</v>
      </c>
      <c r="L811" s="27">
        <v>373.01</v>
      </c>
      <c r="M811" s="36">
        <v>0</v>
      </c>
      <c r="T811" s="41">
        <v>0</v>
      </c>
      <c r="U811" s="41">
        <v>0</v>
      </c>
      <c r="V811" s="42" t="s">
        <v>113</v>
      </c>
      <c r="W811" s="42">
        <v>373.01</v>
      </c>
      <c r="X811" s="42">
        <v>373.01</v>
      </c>
    </row>
    <row r="812" spans="1:24">
      <c r="A812" s="27" t="s">
        <v>1611</v>
      </c>
      <c r="B812" s="28" t="s">
        <v>215</v>
      </c>
      <c r="C812" s="27" t="s">
        <v>1612</v>
      </c>
      <c r="D812" s="27" t="s">
        <v>230</v>
      </c>
      <c r="E812" s="29">
        <v>40171</v>
      </c>
      <c r="F812" s="27">
        <v>12</v>
      </c>
      <c r="G812" s="18">
        <v>373.01</v>
      </c>
      <c r="H812" s="27">
        <f t="shared" si="24"/>
        <v>373.01</v>
      </c>
      <c r="I812" s="18">
        <v>373.01</v>
      </c>
      <c r="J812" s="27">
        <v>373.01</v>
      </c>
      <c r="K812" s="18">
        <f t="shared" si="25"/>
        <v>373.01</v>
      </c>
      <c r="L812" s="27">
        <v>373.01</v>
      </c>
      <c r="M812" s="36">
        <v>0</v>
      </c>
      <c r="T812" s="41">
        <v>0</v>
      </c>
      <c r="U812" s="41">
        <v>0</v>
      </c>
      <c r="V812" s="42" t="s">
        <v>113</v>
      </c>
      <c r="W812" s="42">
        <v>373.01</v>
      </c>
      <c r="X812" s="42">
        <v>373.01</v>
      </c>
    </row>
    <row r="813" spans="1:24">
      <c r="A813" s="27" t="s">
        <v>1613</v>
      </c>
      <c r="B813" s="28" t="s">
        <v>215</v>
      </c>
      <c r="C813" s="27" t="s">
        <v>1614</v>
      </c>
      <c r="D813" s="27" t="s">
        <v>230</v>
      </c>
      <c r="E813" s="29">
        <v>40171</v>
      </c>
      <c r="F813" s="27">
        <v>12</v>
      </c>
      <c r="G813" s="18">
        <v>373.01</v>
      </c>
      <c r="H813" s="27">
        <f t="shared" si="24"/>
        <v>373.01</v>
      </c>
      <c r="I813" s="18">
        <v>373.01</v>
      </c>
      <c r="J813" s="27">
        <v>373.01</v>
      </c>
      <c r="K813" s="18">
        <f t="shared" si="25"/>
        <v>373.01</v>
      </c>
      <c r="L813" s="27">
        <v>373.01</v>
      </c>
      <c r="M813" s="36">
        <v>0</v>
      </c>
      <c r="T813" s="41">
        <v>0</v>
      </c>
      <c r="U813" s="41">
        <v>0</v>
      </c>
      <c r="V813" s="42" t="s">
        <v>113</v>
      </c>
      <c r="W813" s="42">
        <v>373.01</v>
      </c>
      <c r="X813" s="42">
        <v>373.01</v>
      </c>
    </row>
    <row r="814" spans="1:24">
      <c r="A814" s="27" t="s">
        <v>1615</v>
      </c>
      <c r="B814" s="28" t="s">
        <v>215</v>
      </c>
      <c r="C814" s="27" t="s">
        <v>1616</v>
      </c>
      <c r="D814" s="27" t="s">
        <v>230</v>
      </c>
      <c r="E814" s="29">
        <v>40171</v>
      </c>
      <c r="F814" s="27">
        <v>12</v>
      </c>
      <c r="G814" s="18">
        <v>373.01</v>
      </c>
      <c r="H814" s="27">
        <f t="shared" si="24"/>
        <v>373.01</v>
      </c>
      <c r="I814" s="18">
        <v>373.01</v>
      </c>
      <c r="J814" s="27">
        <v>373.01</v>
      </c>
      <c r="K814" s="18">
        <f t="shared" si="25"/>
        <v>373.01</v>
      </c>
      <c r="L814" s="27">
        <v>373.01</v>
      </c>
      <c r="M814" s="36">
        <v>0</v>
      </c>
      <c r="T814" s="41">
        <v>0</v>
      </c>
      <c r="U814" s="41">
        <v>0</v>
      </c>
      <c r="V814" s="42" t="s">
        <v>113</v>
      </c>
      <c r="W814" s="42">
        <v>373.01</v>
      </c>
      <c r="X814" s="42">
        <v>373.01</v>
      </c>
    </row>
    <row r="815" spans="1:24">
      <c r="A815" s="27" t="s">
        <v>1617</v>
      </c>
      <c r="B815" s="28" t="s">
        <v>215</v>
      </c>
      <c r="C815" s="27" t="s">
        <v>1618</v>
      </c>
      <c r="D815" s="27" t="s">
        <v>230</v>
      </c>
      <c r="E815" s="29">
        <v>40171</v>
      </c>
      <c r="F815" s="27">
        <v>12</v>
      </c>
      <c r="G815" s="18">
        <v>373.01</v>
      </c>
      <c r="H815" s="27">
        <f t="shared" si="24"/>
        <v>373.01</v>
      </c>
      <c r="I815" s="18">
        <v>373.01</v>
      </c>
      <c r="J815" s="27">
        <v>373.01</v>
      </c>
      <c r="K815" s="18">
        <f t="shared" si="25"/>
        <v>373.01</v>
      </c>
      <c r="L815" s="27">
        <v>373.01</v>
      </c>
      <c r="M815" s="36">
        <v>0</v>
      </c>
      <c r="T815" s="41">
        <v>0</v>
      </c>
      <c r="U815" s="41">
        <v>0</v>
      </c>
      <c r="V815" s="42" t="s">
        <v>113</v>
      </c>
      <c r="W815" s="42">
        <v>373.01</v>
      </c>
      <c r="X815" s="42">
        <v>373.01</v>
      </c>
    </row>
    <row r="816" spans="1:24">
      <c r="A816" s="27" t="s">
        <v>1619</v>
      </c>
      <c r="B816" s="28" t="s">
        <v>215</v>
      </c>
      <c r="C816" s="27" t="s">
        <v>1620</v>
      </c>
      <c r="D816" s="27" t="s">
        <v>230</v>
      </c>
      <c r="E816" s="29">
        <v>40171</v>
      </c>
      <c r="F816" s="27">
        <v>12</v>
      </c>
      <c r="G816" s="18">
        <v>373.01</v>
      </c>
      <c r="H816" s="27">
        <f t="shared" si="24"/>
        <v>373.01</v>
      </c>
      <c r="I816" s="18">
        <v>373.01</v>
      </c>
      <c r="J816" s="27">
        <v>373.01</v>
      </c>
      <c r="K816" s="18">
        <f t="shared" si="25"/>
        <v>373.01</v>
      </c>
      <c r="L816" s="27">
        <v>373.01</v>
      </c>
      <c r="M816" s="36">
        <v>0</v>
      </c>
      <c r="T816" s="41">
        <v>0</v>
      </c>
      <c r="U816" s="41">
        <v>0</v>
      </c>
      <c r="V816" s="42" t="s">
        <v>113</v>
      </c>
      <c r="W816" s="42">
        <v>373.01</v>
      </c>
      <c r="X816" s="42">
        <v>373.01</v>
      </c>
    </row>
    <row r="817" spans="1:24">
      <c r="A817" s="27" t="s">
        <v>1621</v>
      </c>
      <c r="B817" s="28" t="s">
        <v>215</v>
      </c>
      <c r="C817" s="27" t="s">
        <v>1622</v>
      </c>
      <c r="D817" s="27" t="s">
        <v>230</v>
      </c>
      <c r="E817" s="29">
        <v>40171</v>
      </c>
      <c r="F817" s="27">
        <v>12</v>
      </c>
      <c r="G817" s="18">
        <v>373.01</v>
      </c>
      <c r="H817" s="27">
        <f t="shared" si="24"/>
        <v>373.01</v>
      </c>
      <c r="I817" s="18">
        <v>373.01</v>
      </c>
      <c r="J817" s="27">
        <v>373.01</v>
      </c>
      <c r="K817" s="18">
        <f t="shared" si="25"/>
        <v>373.01</v>
      </c>
      <c r="L817" s="27">
        <v>373.01</v>
      </c>
      <c r="M817" s="36">
        <v>0</v>
      </c>
      <c r="T817" s="41">
        <v>0</v>
      </c>
      <c r="U817" s="41">
        <v>0</v>
      </c>
      <c r="V817" s="42" t="s">
        <v>113</v>
      </c>
      <c r="W817" s="42">
        <v>373.01</v>
      </c>
      <c r="X817" s="42">
        <v>373.01</v>
      </c>
    </row>
    <row r="818" spans="1:24">
      <c r="A818" s="27" t="s">
        <v>1623</v>
      </c>
      <c r="B818" s="28" t="s">
        <v>215</v>
      </c>
      <c r="C818" s="27" t="s">
        <v>1624</v>
      </c>
      <c r="D818" s="27" t="s">
        <v>230</v>
      </c>
      <c r="E818" s="29">
        <v>40171</v>
      </c>
      <c r="F818" s="27">
        <v>15</v>
      </c>
      <c r="G818" s="18">
        <v>67928</v>
      </c>
      <c r="H818" s="27">
        <f t="shared" si="24"/>
        <v>67928</v>
      </c>
      <c r="I818" s="18">
        <v>64531.6</v>
      </c>
      <c r="J818" s="27">
        <v>67928</v>
      </c>
      <c r="K818" s="18">
        <f t="shared" si="25"/>
        <v>67928</v>
      </c>
      <c r="L818" s="27">
        <v>64531.6</v>
      </c>
      <c r="M818" s="36">
        <v>0</v>
      </c>
      <c r="T818" s="41">
        <v>0</v>
      </c>
      <c r="U818" s="41">
        <v>0</v>
      </c>
      <c r="V818" s="42" t="s">
        <v>113</v>
      </c>
      <c r="W818" s="42">
        <v>67928</v>
      </c>
      <c r="X818" s="42">
        <v>67928</v>
      </c>
    </row>
    <row r="819" spans="1:24">
      <c r="A819" s="27" t="s">
        <v>1625</v>
      </c>
      <c r="B819" s="28" t="s">
        <v>215</v>
      </c>
      <c r="C819" s="27" t="s">
        <v>955</v>
      </c>
      <c r="D819" s="27" t="s">
        <v>230</v>
      </c>
      <c r="E819" s="29">
        <v>40171</v>
      </c>
      <c r="F819" s="27">
        <v>15</v>
      </c>
      <c r="G819" s="18">
        <v>94314.39</v>
      </c>
      <c r="H819" s="27">
        <f t="shared" si="24"/>
        <v>94314.39</v>
      </c>
      <c r="I819" s="18">
        <v>89598.67</v>
      </c>
      <c r="J819" s="27">
        <v>94314.39</v>
      </c>
      <c r="K819" s="18">
        <f t="shared" si="25"/>
        <v>94314.39</v>
      </c>
      <c r="L819" s="27">
        <v>89598.67</v>
      </c>
      <c r="M819" s="36">
        <v>0</v>
      </c>
      <c r="T819" s="41">
        <v>0</v>
      </c>
      <c r="U819" s="41">
        <v>0</v>
      </c>
      <c r="V819" s="42" t="s">
        <v>113</v>
      </c>
      <c r="W819" s="42">
        <v>94314.39</v>
      </c>
      <c r="X819" s="42">
        <v>94314.39</v>
      </c>
    </row>
    <row r="820" spans="1:24">
      <c r="A820" s="27" t="s">
        <v>1626</v>
      </c>
      <c r="B820" s="28" t="s">
        <v>215</v>
      </c>
      <c r="C820" s="27" t="s">
        <v>1627</v>
      </c>
      <c r="D820" s="27" t="s">
        <v>230</v>
      </c>
      <c r="E820" s="29">
        <v>40171</v>
      </c>
      <c r="F820" s="27">
        <v>15</v>
      </c>
      <c r="G820" s="18">
        <v>74663.7</v>
      </c>
      <c r="H820" s="27">
        <f t="shared" si="24"/>
        <v>74663.7</v>
      </c>
      <c r="I820" s="18">
        <v>70930.509999999995</v>
      </c>
      <c r="J820" s="27">
        <v>74663.7</v>
      </c>
      <c r="K820" s="18">
        <f t="shared" si="25"/>
        <v>74663.7</v>
      </c>
      <c r="L820" s="27">
        <v>70930.509999999995</v>
      </c>
      <c r="M820" s="36">
        <v>0</v>
      </c>
      <c r="T820" s="41">
        <v>0</v>
      </c>
      <c r="U820" s="41">
        <v>0</v>
      </c>
      <c r="V820" s="42" t="s">
        <v>113</v>
      </c>
      <c r="W820" s="42">
        <v>74663.7</v>
      </c>
      <c r="X820" s="42">
        <v>74663.7</v>
      </c>
    </row>
    <row r="821" spans="1:24">
      <c r="A821" s="27" t="s">
        <v>1628</v>
      </c>
      <c r="B821" s="28" t="s">
        <v>215</v>
      </c>
      <c r="C821" s="27" t="s">
        <v>1011</v>
      </c>
      <c r="D821" s="27" t="s">
        <v>230</v>
      </c>
      <c r="E821" s="29">
        <v>40171</v>
      </c>
      <c r="F821" s="27">
        <v>15</v>
      </c>
      <c r="G821" s="18">
        <v>94313.33</v>
      </c>
      <c r="H821" s="27">
        <f t="shared" si="24"/>
        <v>94313.33</v>
      </c>
      <c r="I821" s="18">
        <v>89597.66</v>
      </c>
      <c r="J821" s="27">
        <v>94313.33</v>
      </c>
      <c r="K821" s="18">
        <f t="shared" si="25"/>
        <v>94313.33</v>
      </c>
      <c r="L821" s="27">
        <v>89597.66</v>
      </c>
      <c r="M821" s="36">
        <v>0</v>
      </c>
      <c r="T821" s="41">
        <v>0</v>
      </c>
      <c r="U821" s="41">
        <v>0</v>
      </c>
      <c r="V821" s="42" t="s">
        <v>113</v>
      </c>
      <c r="W821" s="42">
        <v>94313.33</v>
      </c>
      <c r="X821" s="42">
        <v>94313.33</v>
      </c>
    </row>
    <row r="822" spans="1:24">
      <c r="A822" s="27" t="s">
        <v>1629</v>
      </c>
      <c r="B822" s="28" t="s">
        <v>215</v>
      </c>
      <c r="C822" s="27" t="s">
        <v>1630</v>
      </c>
      <c r="D822" s="27" t="s">
        <v>230</v>
      </c>
      <c r="E822" s="29">
        <v>40171</v>
      </c>
      <c r="F822" s="27">
        <v>15</v>
      </c>
      <c r="G822" s="18">
        <v>114252.7</v>
      </c>
      <c r="H822" s="27">
        <f t="shared" si="24"/>
        <v>114252.7</v>
      </c>
      <c r="I822" s="18">
        <v>108540.06</v>
      </c>
      <c r="J822" s="27">
        <v>114252.7</v>
      </c>
      <c r="K822" s="18">
        <f t="shared" si="25"/>
        <v>114252.7</v>
      </c>
      <c r="L822" s="27">
        <v>108540.06</v>
      </c>
      <c r="M822" s="36">
        <v>0</v>
      </c>
      <c r="T822" s="41">
        <v>0</v>
      </c>
      <c r="U822" s="41">
        <v>0</v>
      </c>
      <c r="V822" s="42" t="s">
        <v>113</v>
      </c>
      <c r="W822" s="42">
        <v>114252.7</v>
      </c>
      <c r="X822" s="42">
        <v>114252.7</v>
      </c>
    </row>
    <row r="823" spans="1:24">
      <c r="A823" s="27" t="s">
        <v>1631</v>
      </c>
      <c r="B823" s="28" t="s">
        <v>215</v>
      </c>
      <c r="C823" s="27" t="s">
        <v>1632</v>
      </c>
      <c r="D823" s="27" t="s">
        <v>230</v>
      </c>
      <c r="E823" s="29">
        <v>40171</v>
      </c>
      <c r="F823" s="27">
        <v>15</v>
      </c>
      <c r="G823" s="18">
        <v>107450.38</v>
      </c>
      <c r="H823" s="27">
        <f t="shared" si="24"/>
        <v>107450.38</v>
      </c>
      <c r="I823" s="18">
        <v>102077.86</v>
      </c>
      <c r="J823" s="27">
        <v>107450.38</v>
      </c>
      <c r="K823" s="18">
        <f t="shared" si="25"/>
        <v>107450.38</v>
      </c>
      <c r="L823" s="27">
        <v>102077.86</v>
      </c>
      <c r="M823" s="36">
        <v>0</v>
      </c>
      <c r="T823" s="41">
        <v>0</v>
      </c>
      <c r="U823" s="41">
        <v>0</v>
      </c>
      <c r="V823" s="42" t="s">
        <v>113</v>
      </c>
      <c r="W823" s="42">
        <v>107450.38</v>
      </c>
      <c r="X823" s="42">
        <v>107450.38</v>
      </c>
    </row>
    <row r="824" spans="1:24">
      <c r="A824" s="27" t="s">
        <v>1633</v>
      </c>
      <c r="B824" s="28" t="s">
        <v>215</v>
      </c>
      <c r="C824" s="27" t="s">
        <v>1634</v>
      </c>
      <c r="D824" s="27" t="s">
        <v>230</v>
      </c>
      <c r="E824" s="29">
        <v>40171</v>
      </c>
      <c r="F824" s="27">
        <v>15</v>
      </c>
      <c r="G824" s="18">
        <v>382033.89</v>
      </c>
      <c r="H824" s="27">
        <f t="shared" si="24"/>
        <v>382033.89</v>
      </c>
      <c r="I824" s="18">
        <v>362932.2</v>
      </c>
      <c r="J824" s="27">
        <v>382033.89</v>
      </c>
      <c r="K824" s="18">
        <f t="shared" si="25"/>
        <v>382033.89</v>
      </c>
      <c r="L824" s="27">
        <v>362932.2</v>
      </c>
      <c r="M824" s="36">
        <v>0</v>
      </c>
      <c r="T824" s="41">
        <v>0</v>
      </c>
      <c r="U824" s="41">
        <v>0</v>
      </c>
      <c r="V824" s="42" t="s">
        <v>113</v>
      </c>
      <c r="W824" s="42">
        <v>382033.89</v>
      </c>
      <c r="X824" s="42">
        <v>382033.89</v>
      </c>
    </row>
    <row r="825" spans="1:24">
      <c r="A825" s="27" t="s">
        <v>1635</v>
      </c>
      <c r="B825" s="28" t="s">
        <v>215</v>
      </c>
      <c r="C825" s="27" t="s">
        <v>957</v>
      </c>
      <c r="D825" s="27" t="s">
        <v>230</v>
      </c>
      <c r="E825" s="29">
        <v>40171</v>
      </c>
      <c r="F825" s="27">
        <v>15</v>
      </c>
      <c r="G825" s="18">
        <v>375296.26</v>
      </c>
      <c r="H825" s="27">
        <f t="shared" si="24"/>
        <v>375296.26</v>
      </c>
      <c r="I825" s="18">
        <v>356531.45</v>
      </c>
      <c r="J825" s="27">
        <v>375296.26</v>
      </c>
      <c r="K825" s="18">
        <f t="shared" si="25"/>
        <v>375296.26</v>
      </c>
      <c r="L825" s="27">
        <v>356531.45</v>
      </c>
      <c r="M825" s="36">
        <v>0</v>
      </c>
      <c r="T825" s="41">
        <v>0</v>
      </c>
      <c r="U825" s="41">
        <v>0</v>
      </c>
      <c r="V825" s="42" t="s">
        <v>113</v>
      </c>
      <c r="W825" s="42">
        <v>375296.26</v>
      </c>
      <c r="X825" s="42">
        <v>375296.26</v>
      </c>
    </row>
    <row r="826" spans="1:24">
      <c r="A826" s="27" t="s">
        <v>1636</v>
      </c>
      <c r="B826" s="28" t="s">
        <v>215</v>
      </c>
      <c r="C826" s="27" t="s">
        <v>1637</v>
      </c>
      <c r="D826" s="27" t="s">
        <v>230</v>
      </c>
      <c r="E826" s="29">
        <v>40171</v>
      </c>
      <c r="F826" s="27">
        <v>15</v>
      </c>
      <c r="G826" s="18">
        <v>199819.63</v>
      </c>
      <c r="H826" s="27">
        <f t="shared" si="24"/>
        <v>199819.63</v>
      </c>
      <c r="I826" s="18">
        <v>189828.65</v>
      </c>
      <c r="J826" s="27">
        <v>199819.63</v>
      </c>
      <c r="K826" s="18">
        <f t="shared" si="25"/>
        <v>199819.63</v>
      </c>
      <c r="L826" s="27">
        <v>189828.65</v>
      </c>
      <c r="M826" s="36">
        <v>0</v>
      </c>
      <c r="T826" s="41">
        <v>0</v>
      </c>
      <c r="U826" s="41">
        <v>0</v>
      </c>
      <c r="V826" s="42" t="s">
        <v>113</v>
      </c>
      <c r="W826" s="42">
        <v>199819.63</v>
      </c>
      <c r="X826" s="42">
        <v>199819.63</v>
      </c>
    </row>
    <row r="827" spans="1:24">
      <c r="A827" s="27" t="s">
        <v>1638</v>
      </c>
      <c r="B827" s="28" t="s">
        <v>215</v>
      </c>
      <c r="C827" s="27" t="s">
        <v>967</v>
      </c>
      <c r="D827" s="27" t="s">
        <v>230</v>
      </c>
      <c r="E827" s="29">
        <v>40171</v>
      </c>
      <c r="F827" s="27">
        <v>15</v>
      </c>
      <c r="G827" s="18">
        <v>199819.63</v>
      </c>
      <c r="H827" s="27">
        <f t="shared" si="24"/>
        <v>199819.63</v>
      </c>
      <c r="I827" s="18">
        <v>189828.65</v>
      </c>
      <c r="J827" s="27">
        <v>199819.63</v>
      </c>
      <c r="K827" s="18">
        <f t="shared" si="25"/>
        <v>199819.63</v>
      </c>
      <c r="L827" s="27">
        <v>189828.65</v>
      </c>
      <c r="M827" s="36">
        <v>0</v>
      </c>
      <c r="T827" s="41">
        <v>0</v>
      </c>
      <c r="U827" s="41">
        <v>0</v>
      </c>
      <c r="V827" s="42" t="s">
        <v>113</v>
      </c>
      <c r="W827" s="42">
        <v>199819.63</v>
      </c>
      <c r="X827" s="42">
        <v>199819.63</v>
      </c>
    </row>
    <row r="828" spans="1:24">
      <c r="A828" s="27" t="s">
        <v>1639</v>
      </c>
      <c r="B828" s="28" t="s">
        <v>215</v>
      </c>
      <c r="C828" s="27" t="s">
        <v>1640</v>
      </c>
      <c r="D828" s="27" t="s">
        <v>118</v>
      </c>
      <c r="E828" s="29">
        <v>40171</v>
      </c>
      <c r="F828" s="27">
        <v>15</v>
      </c>
      <c r="G828" s="18">
        <v>7315.52</v>
      </c>
      <c r="H828" s="27">
        <f t="shared" si="24"/>
        <v>7315.52</v>
      </c>
      <c r="I828" s="18">
        <v>6949.74</v>
      </c>
      <c r="J828" s="27">
        <v>7315.52</v>
      </c>
      <c r="K828" s="18">
        <f t="shared" si="25"/>
        <v>7315.52</v>
      </c>
      <c r="L828" s="27">
        <v>6949.74</v>
      </c>
      <c r="M828" s="36">
        <v>0</v>
      </c>
      <c r="T828" s="41">
        <v>0</v>
      </c>
      <c r="U828" s="41">
        <v>0</v>
      </c>
      <c r="V828" s="42" t="s">
        <v>113</v>
      </c>
      <c r="W828" s="42">
        <v>7315.52</v>
      </c>
      <c r="X828" s="42">
        <v>7315.52</v>
      </c>
    </row>
    <row r="829" spans="1:24">
      <c r="A829" s="27" t="s">
        <v>1641</v>
      </c>
      <c r="B829" s="28" t="s">
        <v>215</v>
      </c>
      <c r="C829" s="27" t="s">
        <v>594</v>
      </c>
      <c r="D829" s="27" t="s">
        <v>118</v>
      </c>
      <c r="E829" s="29">
        <v>40171</v>
      </c>
      <c r="F829" s="27">
        <v>15</v>
      </c>
      <c r="G829" s="18">
        <v>14631.04</v>
      </c>
      <c r="H829" s="27">
        <f t="shared" si="24"/>
        <v>14631.04</v>
      </c>
      <c r="I829" s="18">
        <v>13899.49</v>
      </c>
      <c r="J829" s="27">
        <v>14631.04</v>
      </c>
      <c r="K829" s="18">
        <f t="shared" si="25"/>
        <v>14631.04</v>
      </c>
      <c r="L829" s="27">
        <v>13899.49</v>
      </c>
      <c r="M829" s="36">
        <v>0</v>
      </c>
      <c r="T829" s="41">
        <v>0</v>
      </c>
      <c r="U829" s="41">
        <v>0</v>
      </c>
      <c r="V829" s="42" t="s">
        <v>113</v>
      </c>
      <c r="W829" s="42">
        <v>14631.04</v>
      </c>
      <c r="X829" s="42">
        <v>14631.04</v>
      </c>
    </row>
    <row r="830" spans="1:24">
      <c r="A830" s="27" t="s">
        <v>1642</v>
      </c>
      <c r="B830" s="28" t="s">
        <v>215</v>
      </c>
      <c r="C830" s="27" t="s">
        <v>1643</v>
      </c>
      <c r="D830" s="27" t="s">
        <v>118</v>
      </c>
      <c r="E830" s="29">
        <v>40171</v>
      </c>
      <c r="F830" s="27">
        <v>15</v>
      </c>
      <c r="G830" s="18">
        <v>11704.83</v>
      </c>
      <c r="H830" s="27">
        <f t="shared" si="24"/>
        <v>11704.83</v>
      </c>
      <c r="I830" s="18">
        <v>11119.59</v>
      </c>
      <c r="J830" s="27">
        <v>11704.83</v>
      </c>
      <c r="K830" s="18">
        <f t="shared" si="25"/>
        <v>11704.83</v>
      </c>
      <c r="L830" s="27">
        <v>11119.59</v>
      </c>
      <c r="M830" s="36">
        <v>0</v>
      </c>
      <c r="T830" s="41">
        <v>0</v>
      </c>
      <c r="U830" s="41">
        <v>0</v>
      </c>
      <c r="V830" s="42" t="s">
        <v>113</v>
      </c>
      <c r="W830" s="42">
        <v>11704.83</v>
      </c>
      <c r="X830" s="42">
        <v>11704.83</v>
      </c>
    </row>
    <row r="831" spans="1:24">
      <c r="A831" s="27" t="s">
        <v>1644</v>
      </c>
      <c r="B831" s="28" t="s">
        <v>215</v>
      </c>
      <c r="C831" s="27" t="s">
        <v>1472</v>
      </c>
      <c r="D831" s="27" t="s">
        <v>230</v>
      </c>
      <c r="E831" s="29">
        <v>40171</v>
      </c>
      <c r="F831" s="27">
        <v>12</v>
      </c>
      <c r="G831" s="18">
        <v>3438.12</v>
      </c>
      <c r="H831" s="27">
        <f t="shared" si="24"/>
        <v>3438.12</v>
      </c>
      <c r="I831" s="18">
        <v>3438.12</v>
      </c>
      <c r="J831" s="27">
        <v>3438.12</v>
      </c>
      <c r="K831" s="18">
        <f t="shared" si="25"/>
        <v>3438.12</v>
      </c>
      <c r="L831" s="27">
        <v>3438.12</v>
      </c>
      <c r="M831" s="36">
        <v>0</v>
      </c>
      <c r="T831" s="41">
        <v>0</v>
      </c>
      <c r="U831" s="41">
        <v>0</v>
      </c>
      <c r="V831" s="42" t="s">
        <v>113</v>
      </c>
      <c r="W831" s="42">
        <v>3438.12</v>
      </c>
      <c r="X831" s="42">
        <v>3438.12</v>
      </c>
    </row>
    <row r="832" spans="1:24">
      <c r="A832" s="27" t="s">
        <v>1645</v>
      </c>
      <c r="B832" s="28" t="s">
        <v>215</v>
      </c>
      <c r="C832" s="27" t="s">
        <v>1474</v>
      </c>
      <c r="D832" s="27" t="s">
        <v>230</v>
      </c>
      <c r="E832" s="29">
        <v>40171</v>
      </c>
      <c r="F832" s="27">
        <v>12</v>
      </c>
      <c r="G832" s="18">
        <v>3438.09</v>
      </c>
      <c r="H832" s="27">
        <f t="shared" si="24"/>
        <v>3438.09</v>
      </c>
      <c r="I832" s="18">
        <v>3438.09</v>
      </c>
      <c r="J832" s="27">
        <v>3438.09</v>
      </c>
      <c r="K832" s="18">
        <f t="shared" si="25"/>
        <v>3438.09</v>
      </c>
      <c r="L832" s="27">
        <v>3438.09</v>
      </c>
      <c r="M832" s="36">
        <v>0</v>
      </c>
      <c r="T832" s="41">
        <v>0</v>
      </c>
      <c r="U832" s="41">
        <v>0</v>
      </c>
      <c r="V832" s="42" t="s">
        <v>113</v>
      </c>
      <c r="W832" s="42">
        <v>3438.09</v>
      </c>
      <c r="X832" s="42">
        <v>3438.09</v>
      </c>
    </row>
    <row r="833" spans="1:24">
      <c r="A833" s="27" t="s">
        <v>1646</v>
      </c>
      <c r="B833" s="28" t="s">
        <v>215</v>
      </c>
      <c r="C833" s="27" t="s">
        <v>1476</v>
      </c>
      <c r="D833" s="27" t="s">
        <v>230</v>
      </c>
      <c r="E833" s="29">
        <v>40171</v>
      </c>
      <c r="F833" s="27">
        <v>12</v>
      </c>
      <c r="G833" s="18">
        <v>3438.09</v>
      </c>
      <c r="H833" s="27">
        <f t="shared" si="24"/>
        <v>3438.09</v>
      </c>
      <c r="I833" s="18">
        <v>3438.09</v>
      </c>
      <c r="J833" s="27">
        <v>3438.09</v>
      </c>
      <c r="K833" s="18">
        <f t="shared" si="25"/>
        <v>3438.09</v>
      </c>
      <c r="L833" s="27">
        <v>3438.09</v>
      </c>
      <c r="M833" s="36">
        <v>0</v>
      </c>
      <c r="T833" s="41">
        <v>0</v>
      </c>
      <c r="U833" s="41">
        <v>0</v>
      </c>
      <c r="V833" s="42" t="s">
        <v>113</v>
      </c>
      <c r="W833" s="42">
        <v>3438.09</v>
      </c>
      <c r="X833" s="42">
        <v>3438.09</v>
      </c>
    </row>
    <row r="834" spans="1:24">
      <c r="A834" s="27" t="s">
        <v>1647</v>
      </c>
      <c r="B834" s="28" t="s">
        <v>215</v>
      </c>
      <c r="C834" s="27" t="s">
        <v>766</v>
      </c>
      <c r="D834" s="27" t="s">
        <v>118</v>
      </c>
      <c r="E834" s="29">
        <v>40171</v>
      </c>
      <c r="F834" s="27">
        <v>15</v>
      </c>
      <c r="G834" s="18">
        <v>6875.59</v>
      </c>
      <c r="H834" s="27">
        <f t="shared" si="24"/>
        <v>6875.59</v>
      </c>
      <c r="I834" s="18">
        <v>6531.81</v>
      </c>
      <c r="J834" s="27">
        <v>6875.59</v>
      </c>
      <c r="K834" s="18">
        <f t="shared" si="25"/>
        <v>6875.59</v>
      </c>
      <c r="L834" s="27">
        <v>6531.81</v>
      </c>
      <c r="M834" s="36">
        <v>0</v>
      </c>
      <c r="T834" s="41">
        <v>0</v>
      </c>
      <c r="U834" s="41">
        <v>0</v>
      </c>
      <c r="V834" s="42" t="s">
        <v>113</v>
      </c>
      <c r="W834" s="42">
        <v>6875.59</v>
      </c>
      <c r="X834" s="42">
        <v>6875.59</v>
      </c>
    </row>
    <row r="835" spans="1:24">
      <c r="A835" s="27" t="s">
        <v>1648</v>
      </c>
      <c r="B835" s="28" t="s">
        <v>215</v>
      </c>
      <c r="C835" s="27" t="s">
        <v>1649</v>
      </c>
      <c r="D835" s="27" t="s">
        <v>118</v>
      </c>
      <c r="E835" s="29">
        <v>40171</v>
      </c>
      <c r="F835" s="27">
        <v>15</v>
      </c>
      <c r="G835" s="18">
        <v>6875.59</v>
      </c>
      <c r="H835" s="27">
        <f t="shared" si="24"/>
        <v>6875.59</v>
      </c>
      <c r="I835" s="18">
        <v>6531.81</v>
      </c>
      <c r="J835" s="27">
        <v>6875.59</v>
      </c>
      <c r="K835" s="18">
        <f t="shared" si="25"/>
        <v>6875.59</v>
      </c>
      <c r="L835" s="27">
        <v>6531.81</v>
      </c>
      <c r="M835" s="36">
        <v>0</v>
      </c>
      <c r="T835" s="41">
        <v>0</v>
      </c>
      <c r="U835" s="41">
        <v>0</v>
      </c>
      <c r="V835" s="42" t="s">
        <v>113</v>
      </c>
      <c r="W835" s="42">
        <v>6875.59</v>
      </c>
      <c r="X835" s="42">
        <v>6875.59</v>
      </c>
    </row>
    <row r="836" spans="1:24">
      <c r="A836" s="27" t="s">
        <v>1650</v>
      </c>
      <c r="B836" s="28" t="s">
        <v>215</v>
      </c>
      <c r="C836" s="27" t="s">
        <v>1651</v>
      </c>
      <c r="D836" s="27" t="s">
        <v>118</v>
      </c>
      <c r="E836" s="29">
        <v>40171</v>
      </c>
      <c r="F836" s="27">
        <v>15</v>
      </c>
      <c r="G836" s="18">
        <v>6875.59</v>
      </c>
      <c r="H836" s="27">
        <f t="shared" si="24"/>
        <v>6875.59</v>
      </c>
      <c r="I836" s="18">
        <v>6531.81</v>
      </c>
      <c r="J836" s="27">
        <v>6875.59</v>
      </c>
      <c r="K836" s="18">
        <f t="shared" si="25"/>
        <v>6875.59</v>
      </c>
      <c r="L836" s="27">
        <v>6531.81</v>
      </c>
      <c r="M836" s="36">
        <v>0</v>
      </c>
      <c r="T836" s="41">
        <v>0</v>
      </c>
      <c r="U836" s="41">
        <v>0</v>
      </c>
      <c r="V836" s="42" t="s">
        <v>113</v>
      </c>
      <c r="W836" s="42">
        <v>6875.59</v>
      </c>
      <c r="X836" s="42">
        <v>6875.59</v>
      </c>
    </row>
    <row r="837" spans="1:24">
      <c r="A837" s="27" t="s">
        <v>1652</v>
      </c>
      <c r="B837" s="28" t="s">
        <v>215</v>
      </c>
      <c r="C837" s="27" t="s">
        <v>1653</v>
      </c>
      <c r="D837" s="27" t="s">
        <v>118</v>
      </c>
      <c r="E837" s="29">
        <v>40171</v>
      </c>
      <c r="F837" s="27">
        <v>15</v>
      </c>
      <c r="G837" s="18">
        <v>6875.59</v>
      </c>
      <c r="H837" s="27">
        <f t="shared" si="24"/>
        <v>6875.59</v>
      </c>
      <c r="I837" s="18">
        <v>6531.81</v>
      </c>
      <c r="J837" s="27">
        <v>6875.59</v>
      </c>
      <c r="K837" s="18">
        <f t="shared" si="25"/>
        <v>6875.59</v>
      </c>
      <c r="L837" s="27">
        <v>6531.81</v>
      </c>
      <c r="M837" s="36">
        <v>0</v>
      </c>
      <c r="T837" s="41">
        <v>0</v>
      </c>
      <c r="U837" s="41">
        <v>0</v>
      </c>
      <c r="V837" s="42" t="s">
        <v>113</v>
      </c>
      <c r="W837" s="42">
        <v>6875.59</v>
      </c>
      <c r="X837" s="42">
        <v>6875.59</v>
      </c>
    </row>
    <row r="838" spans="1:24">
      <c r="A838" s="27" t="s">
        <v>1654</v>
      </c>
      <c r="B838" s="28" t="s">
        <v>215</v>
      </c>
      <c r="C838" s="27" t="s">
        <v>1655</v>
      </c>
      <c r="D838" s="27" t="s">
        <v>118</v>
      </c>
      <c r="E838" s="29">
        <v>40171</v>
      </c>
      <c r="F838" s="27">
        <v>12</v>
      </c>
      <c r="G838" s="18">
        <v>2554.65</v>
      </c>
      <c r="H838" s="27">
        <f t="shared" ref="H838:H901" si="26">IFERROR(IF(ROUND((G838-I838)/G838,2)&lt;=0.05,G838,0),0)</f>
        <v>2554.65</v>
      </c>
      <c r="I838" s="18">
        <v>2554.65</v>
      </c>
      <c r="J838" s="27">
        <v>2554.65</v>
      </c>
      <c r="K838" s="18">
        <f t="shared" ref="K838:K901" si="27">IFERROR(IF(ROUND((J838-L838)/J838,2)&lt;=0.05,J838,0),0)</f>
        <v>2554.65</v>
      </c>
      <c r="L838" s="27">
        <v>2554.65</v>
      </c>
      <c r="M838" s="36">
        <v>0</v>
      </c>
      <c r="T838" s="41">
        <v>0</v>
      </c>
      <c r="U838" s="41">
        <v>0</v>
      </c>
      <c r="V838" s="42" t="s">
        <v>113</v>
      </c>
      <c r="W838" s="42">
        <v>2554.65</v>
      </c>
      <c r="X838" s="42">
        <v>2554.65</v>
      </c>
    </row>
    <row r="839" spans="1:24">
      <c r="A839" s="27" t="s">
        <v>1656</v>
      </c>
      <c r="B839" s="28" t="s">
        <v>215</v>
      </c>
      <c r="C839" s="27" t="s">
        <v>1657</v>
      </c>
      <c r="D839" s="27" t="s">
        <v>118</v>
      </c>
      <c r="E839" s="29">
        <v>40171</v>
      </c>
      <c r="F839" s="27">
        <v>12</v>
      </c>
      <c r="G839" s="18">
        <v>2554.65</v>
      </c>
      <c r="H839" s="27">
        <f t="shared" si="26"/>
        <v>2554.65</v>
      </c>
      <c r="I839" s="18">
        <v>2554.65</v>
      </c>
      <c r="J839" s="27">
        <v>2554.65</v>
      </c>
      <c r="K839" s="18">
        <f t="shared" si="27"/>
        <v>2554.65</v>
      </c>
      <c r="L839" s="27">
        <v>2554.65</v>
      </c>
      <c r="M839" s="36">
        <v>0</v>
      </c>
      <c r="T839" s="41">
        <v>0</v>
      </c>
      <c r="U839" s="41">
        <v>0</v>
      </c>
      <c r="V839" s="42" t="s">
        <v>113</v>
      </c>
      <c r="W839" s="42">
        <v>2554.65</v>
      </c>
      <c r="X839" s="42">
        <v>2554.65</v>
      </c>
    </row>
    <row r="840" spans="1:24">
      <c r="A840" s="27" t="s">
        <v>1658</v>
      </c>
      <c r="B840" s="28" t="s">
        <v>215</v>
      </c>
      <c r="C840" s="27" t="s">
        <v>1659</v>
      </c>
      <c r="D840" s="27" t="s">
        <v>118</v>
      </c>
      <c r="E840" s="29">
        <v>40171</v>
      </c>
      <c r="F840" s="27">
        <v>15</v>
      </c>
      <c r="G840" s="18">
        <v>5109.29</v>
      </c>
      <c r="H840" s="27">
        <f t="shared" si="26"/>
        <v>5109.29</v>
      </c>
      <c r="I840" s="18">
        <v>4853.83</v>
      </c>
      <c r="J840" s="27">
        <v>5109.29</v>
      </c>
      <c r="K840" s="18">
        <f t="shared" si="27"/>
        <v>5109.29</v>
      </c>
      <c r="L840" s="27">
        <v>4853.83</v>
      </c>
      <c r="M840" s="36">
        <v>0</v>
      </c>
      <c r="T840" s="41">
        <v>0</v>
      </c>
      <c r="U840" s="41">
        <v>0</v>
      </c>
      <c r="V840" s="42" t="s">
        <v>113</v>
      </c>
      <c r="W840" s="42">
        <v>5109.29</v>
      </c>
      <c r="X840" s="42">
        <v>5109.29</v>
      </c>
    </row>
    <row r="841" spans="1:24">
      <c r="A841" s="27" t="s">
        <v>1660</v>
      </c>
      <c r="B841" s="28" t="s">
        <v>215</v>
      </c>
      <c r="C841" s="27" t="s">
        <v>1661</v>
      </c>
      <c r="D841" s="27" t="s">
        <v>220</v>
      </c>
      <c r="E841" s="29">
        <v>40179</v>
      </c>
      <c r="F841" s="27">
        <v>15</v>
      </c>
      <c r="G841" s="18">
        <v>760756.39</v>
      </c>
      <c r="H841" s="27">
        <f t="shared" si="26"/>
        <v>760756.39</v>
      </c>
      <c r="I841" s="18">
        <v>722346.38</v>
      </c>
      <c r="J841" s="27">
        <v>760756.39</v>
      </c>
      <c r="K841" s="18">
        <f t="shared" si="27"/>
        <v>760756.39</v>
      </c>
      <c r="L841" s="27">
        <v>722581.45</v>
      </c>
      <c r="M841" s="36">
        <v>235.07</v>
      </c>
      <c r="T841" s="41">
        <v>0</v>
      </c>
      <c r="U841" s="41">
        <v>0</v>
      </c>
      <c r="V841" s="42" t="s">
        <v>113</v>
      </c>
      <c r="W841" s="42">
        <v>760756.39</v>
      </c>
      <c r="X841" s="42">
        <v>760756.39</v>
      </c>
    </row>
    <row r="842" spans="1:24">
      <c r="A842" s="27" t="s">
        <v>1662</v>
      </c>
      <c r="B842" s="28" t="s">
        <v>215</v>
      </c>
      <c r="C842" s="27" t="s">
        <v>1663</v>
      </c>
      <c r="D842" s="27" t="s">
        <v>220</v>
      </c>
      <c r="E842" s="29">
        <v>40179</v>
      </c>
      <c r="F842" s="27">
        <v>15</v>
      </c>
      <c r="G842" s="18">
        <v>596331.51</v>
      </c>
      <c r="H842" s="27">
        <f t="shared" si="26"/>
        <v>0</v>
      </c>
      <c r="I842" s="18">
        <v>561103.91</v>
      </c>
      <c r="J842" s="27">
        <v>596331.51</v>
      </c>
      <c r="K842" s="18">
        <f t="shared" si="27"/>
        <v>596331.51</v>
      </c>
      <c r="L842" s="27">
        <v>564521.4</v>
      </c>
      <c r="M842" s="36">
        <v>3417.49</v>
      </c>
      <c r="T842" s="41">
        <v>0</v>
      </c>
      <c r="U842" s="41">
        <v>0</v>
      </c>
      <c r="V842" s="42" t="s">
        <v>113</v>
      </c>
      <c r="W842" s="42">
        <v>596331.51</v>
      </c>
      <c r="X842" s="42">
        <v>596331.51</v>
      </c>
    </row>
    <row r="843" spans="1:24">
      <c r="A843" s="27" t="s">
        <v>1664</v>
      </c>
      <c r="B843" s="28" t="s">
        <v>215</v>
      </c>
      <c r="C843" s="27" t="s">
        <v>1665</v>
      </c>
      <c r="D843" s="27" t="s">
        <v>220</v>
      </c>
      <c r="E843" s="29">
        <v>40179</v>
      </c>
      <c r="F843" s="27">
        <v>15</v>
      </c>
      <c r="G843" s="18">
        <v>1300053.94</v>
      </c>
      <c r="H843" s="27">
        <f t="shared" si="26"/>
        <v>1300053.94</v>
      </c>
      <c r="I843" s="18">
        <v>1235051.24</v>
      </c>
      <c r="J843" s="27">
        <v>1300053.94</v>
      </c>
      <c r="K843" s="18">
        <f t="shared" si="27"/>
        <v>1300053.94</v>
      </c>
      <c r="L843" s="27">
        <v>1235051.24</v>
      </c>
      <c r="M843" s="36">
        <v>0</v>
      </c>
      <c r="T843" s="41">
        <v>0</v>
      </c>
      <c r="U843" s="41">
        <v>0</v>
      </c>
      <c r="V843" s="42" t="s">
        <v>113</v>
      </c>
      <c r="W843" s="42">
        <v>1300053.94</v>
      </c>
      <c r="X843" s="42">
        <v>1300053.94</v>
      </c>
    </row>
    <row r="844" spans="1:24">
      <c r="A844" s="27" t="s">
        <v>1666</v>
      </c>
      <c r="B844" s="28" t="s">
        <v>215</v>
      </c>
      <c r="C844" s="27" t="s">
        <v>1667</v>
      </c>
      <c r="D844" s="27" t="s">
        <v>220</v>
      </c>
      <c r="E844" s="29">
        <v>40179</v>
      </c>
      <c r="F844" s="27">
        <v>15</v>
      </c>
      <c r="G844" s="18">
        <v>1016715.38</v>
      </c>
      <c r="H844" s="27">
        <f t="shared" si="26"/>
        <v>1016715.38</v>
      </c>
      <c r="I844" s="18">
        <v>965879.61</v>
      </c>
      <c r="J844" s="27">
        <v>1016715.38</v>
      </c>
      <c r="K844" s="18">
        <f t="shared" si="27"/>
        <v>1016715.38</v>
      </c>
      <c r="L844" s="27">
        <v>965879.61</v>
      </c>
      <c r="M844" s="36">
        <v>0</v>
      </c>
      <c r="T844" s="41">
        <v>0</v>
      </c>
      <c r="U844" s="41">
        <v>0</v>
      </c>
      <c r="V844" s="42" t="s">
        <v>113</v>
      </c>
      <c r="W844" s="42">
        <v>1016715.38</v>
      </c>
      <c r="X844" s="42">
        <v>1016715.38</v>
      </c>
    </row>
    <row r="845" spans="1:24">
      <c r="A845" s="27" t="s">
        <v>1668</v>
      </c>
      <c r="B845" s="28" t="s">
        <v>215</v>
      </c>
      <c r="C845" s="27" t="s">
        <v>1669</v>
      </c>
      <c r="D845" s="27" t="s">
        <v>220</v>
      </c>
      <c r="E845" s="29">
        <v>40179</v>
      </c>
      <c r="F845" s="27">
        <v>15</v>
      </c>
      <c r="G845" s="18">
        <v>728263.39</v>
      </c>
      <c r="H845" s="27">
        <f t="shared" si="26"/>
        <v>728263.39</v>
      </c>
      <c r="I845" s="18">
        <v>690482.28</v>
      </c>
      <c r="J845" s="27">
        <v>728263.39</v>
      </c>
      <c r="K845" s="18">
        <f t="shared" si="27"/>
        <v>728263.39</v>
      </c>
      <c r="L845" s="27">
        <v>691346.24</v>
      </c>
      <c r="M845" s="36">
        <v>863.96</v>
      </c>
      <c r="T845" s="41">
        <v>0</v>
      </c>
      <c r="U845" s="41">
        <v>0</v>
      </c>
      <c r="V845" s="42" t="s">
        <v>113</v>
      </c>
      <c r="W845" s="42">
        <v>728263.39</v>
      </c>
      <c r="X845" s="42">
        <v>728263.39</v>
      </c>
    </row>
    <row r="846" spans="1:24">
      <c r="A846" s="27" t="s">
        <v>1670</v>
      </c>
      <c r="B846" s="28" t="s">
        <v>215</v>
      </c>
      <c r="C846" s="27" t="s">
        <v>1671</v>
      </c>
      <c r="D846" s="27" t="s">
        <v>230</v>
      </c>
      <c r="E846" s="29">
        <v>40169</v>
      </c>
      <c r="F846" s="27">
        <v>15</v>
      </c>
      <c r="G846" s="18">
        <v>48043.59</v>
      </c>
      <c r="H846" s="27">
        <f t="shared" si="26"/>
        <v>0</v>
      </c>
      <c r="I846" s="18">
        <v>43195.86</v>
      </c>
      <c r="J846" s="27">
        <v>48043.59</v>
      </c>
      <c r="K846" s="18">
        <f t="shared" si="27"/>
        <v>0</v>
      </c>
      <c r="L846" s="27">
        <v>43807.25</v>
      </c>
      <c r="M846" s="36">
        <v>611.39</v>
      </c>
      <c r="T846" s="41">
        <v>0</v>
      </c>
      <c r="U846" s="41">
        <v>0</v>
      </c>
      <c r="V846" s="42" t="s">
        <v>113</v>
      </c>
      <c r="W846" s="42">
        <v>0</v>
      </c>
      <c r="X846" s="42">
        <v>0</v>
      </c>
    </row>
    <row r="847" spans="1:24">
      <c r="A847" s="27" t="s">
        <v>1672</v>
      </c>
      <c r="B847" s="28" t="s">
        <v>215</v>
      </c>
      <c r="C847" s="27" t="s">
        <v>1673</v>
      </c>
      <c r="D847" s="27" t="s">
        <v>230</v>
      </c>
      <c r="E847" s="29">
        <v>40169</v>
      </c>
      <c r="F847" s="27">
        <v>15</v>
      </c>
      <c r="G847" s="18">
        <v>43317.05</v>
      </c>
      <c r="H847" s="27">
        <f t="shared" si="26"/>
        <v>0</v>
      </c>
      <c r="I847" s="18">
        <v>38537.72</v>
      </c>
      <c r="J847" s="27">
        <v>43317.05</v>
      </c>
      <c r="K847" s="18">
        <f t="shared" si="27"/>
        <v>0</v>
      </c>
      <c r="L847" s="27">
        <v>39191.089999999997</v>
      </c>
      <c r="M847" s="36">
        <v>653.37</v>
      </c>
      <c r="T847" s="41">
        <v>0</v>
      </c>
      <c r="U847" s="41">
        <v>0</v>
      </c>
      <c r="V847" s="42" t="s">
        <v>113</v>
      </c>
      <c r="W847" s="42">
        <v>0</v>
      </c>
      <c r="X847" s="42">
        <v>0</v>
      </c>
    </row>
    <row r="848" spans="1:24">
      <c r="A848" s="27" t="s">
        <v>1674</v>
      </c>
      <c r="B848" s="28" t="s">
        <v>215</v>
      </c>
      <c r="C848" s="27" t="s">
        <v>1675</v>
      </c>
      <c r="D848" s="27" t="s">
        <v>230</v>
      </c>
      <c r="E848" s="29">
        <v>40169</v>
      </c>
      <c r="F848" s="27">
        <v>15</v>
      </c>
      <c r="G848" s="18">
        <v>97290.9</v>
      </c>
      <c r="H848" s="27">
        <f t="shared" si="26"/>
        <v>0</v>
      </c>
      <c r="I848" s="18">
        <v>83523.490000000005</v>
      </c>
      <c r="J848" s="27">
        <v>97290.9</v>
      </c>
      <c r="K848" s="18">
        <f t="shared" si="27"/>
        <v>0</v>
      </c>
      <c r="L848" s="27">
        <v>85749.21</v>
      </c>
      <c r="M848" s="36">
        <v>2225.7199999999998</v>
      </c>
      <c r="T848" s="41">
        <v>0</v>
      </c>
      <c r="U848" s="41">
        <v>0</v>
      </c>
      <c r="V848" s="42" t="s">
        <v>113</v>
      </c>
      <c r="W848" s="42">
        <v>0</v>
      </c>
      <c r="X848" s="42">
        <v>0</v>
      </c>
    </row>
    <row r="849" spans="1:24">
      <c r="A849" s="27" t="s">
        <v>1676</v>
      </c>
      <c r="B849" s="28" t="s">
        <v>215</v>
      </c>
      <c r="C849" s="27" t="s">
        <v>1677</v>
      </c>
      <c r="D849" s="27" t="s">
        <v>118</v>
      </c>
      <c r="E849" s="29">
        <v>38564</v>
      </c>
      <c r="F849" s="27">
        <v>12</v>
      </c>
      <c r="G849" s="18">
        <v>2400</v>
      </c>
      <c r="H849" s="27">
        <f t="shared" si="26"/>
        <v>2400</v>
      </c>
      <c r="I849" s="18">
        <v>2400</v>
      </c>
      <c r="J849" s="27">
        <v>2400</v>
      </c>
      <c r="K849" s="18">
        <f t="shared" si="27"/>
        <v>2400</v>
      </c>
      <c r="L849" s="27">
        <v>2400</v>
      </c>
      <c r="M849" s="36">
        <v>0</v>
      </c>
      <c r="T849" s="41">
        <v>0</v>
      </c>
      <c r="U849" s="41">
        <v>0</v>
      </c>
      <c r="V849" s="42" t="s">
        <v>113</v>
      </c>
      <c r="W849" s="42">
        <v>2400</v>
      </c>
      <c r="X849" s="42">
        <v>2400</v>
      </c>
    </row>
    <row r="850" spans="1:24">
      <c r="A850" s="27" t="s">
        <v>1678</v>
      </c>
      <c r="B850" s="28" t="s">
        <v>215</v>
      </c>
      <c r="C850" s="27" t="s">
        <v>1679</v>
      </c>
      <c r="D850" s="27" t="s">
        <v>118</v>
      </c>
      <c r="E850" s="29">
        <v>38564</v>
      </c>
      <c r="F850" s="27">
        <v>12</v>
      </c>
      <c r="G850" s="18">
        <v>2400</v>
      </c>
      <c r="H850" s="27">
        <f t="shared" si="26"/>
        <v>2400</v>
      </c>
      <c r="I850" s="18">
        <v>2400</v>
      </c>
      <c r="J850" s="27">
        <v>2400</v>
      </c>
      <c r="K850" s="18">
        <f t="shared" si="27"/>
        <v>2400</v>
      </c>
      <c r="L850" s="27">
        <v>2400</v>
      </c>
      <c r="M850" s="36">
        <v>0</v>
      </c>
      <c r="T850" s="41">
        <v>0</v>
      </c>
      <c r="U850" s="41">
        <v>0</v>
      </c>
      <c r="V850" s="42" t="s">
        <v>113</v>
      </c>
      <c r="W850" s="42">
        <v>2400</v>
      </c>
      <c r="X850" s="42">
        <v>2400</v>
      </c>
    </row>
    <row r="851" spans="1:24">
      <c r="A851" s="27" t="s">
        <v>1680</v>
      </c>
      <c r="B851" s="28" t="s">
        <v>215</v>
      </c>
      <c r="C851" s="27" t="s">
        <v>1681</v>
      </c>
      <c r="D851" s="27" t="s">
        <v>118</v>
      </c>
      <c r="E851" s="29">
        <v>38564</v>
      </c>
      <c r="F851" s="27">
        <v>12</v>
      </c>
      <c r="G851" s="18">
        <v>2400</v>
      </c>
      <c r="H851" s="27">
        <f t="shared" si="26"/>
        <v>2400</v>
      </c>
      <c r="I851" s="18">
        <v>2400</v>
      </c>
      <c r="J851" s="27">
        <v>2400</v>
      </c>
      <c r="K851" s="18">
        <f t="shared" si="27"/>
        <v>2400</v>
      </c>
      <c r="L851" s="27">
        <v>2400</v>
      </c>
      <c r="M851" s="36">
        <v>0</v>
      </c>
      <c r="T851" s="41">
        <v>0</v>
      </c>
      <c r="U851" s="41">
        <v>0</v>
      </c>
      <c r="V851" s="42" t="s">
        <v>113</v>
      </c>
      <c r="W851" s="42">
        <v>2400</v>
      </c>
      <c r="X851" s="42">
        <v>2400</v>
      </c>
    </row>
    <row r="852" spans="1:24">
      <c r="A852" s="27" t="s">
        <v>1682</v>
      </c>
      <c r="B852" s="28" t="s">
        <v>215</v>
      </c>
      <c r="C852" s="27" t="s">
        <v>1683</v>
      </c>
      <c r="D852" s="27" t="s">
        <v>118</v>
      </c>
      <c r="E852" s="29">
        <v>38564</v>
      </c>
      <c r="F852" s="27">
        <v>12</v>
      </c>
      <c r="G852" s="18">
        <v>2400</v>
      </c>
      <c r="H852" s="27">
        <f t="shared" si="26"/>
        <v>2400</v>
      </c>
      <c r="I852" s="18">
        <v>2400</v>
      </c>
      <c r="J852" s="27">
        <v>2400</v>
      </c>
      <c r="K852" s="18">
        <f t="shared" si="27"/>
        <v>2400</v>
      </c>
      <c r="L852" s="27">
        <v>2400</v>
      </c>
      <c r="M852" s="36">
        <v>0</v>
      </c>
      <c r="T852" s="41">
        <v>0</v>
      </c>
      <c r="U852" s="41">
        <v>0</v>
      </c>
      <c r="V852" s="42" t="s">
        <v>113</v>
      </c>
      <c r="W852" s="42">
        <v>2400</v>
      </c>
      <c r="X852" s="42">
        <v>2400</v>
      </c>
    </row>
    <row r="853" spans="1:24">
      <c r="A853" s="27" t="s">
        <v>1684</v>
      </c>
      <c r="B853" s="28" t="s">
        <v>215</v>
      </c>
      <c r="C853" s="27" t="s">
        <v>1685</v>
      </c>
      <c r="D853" s="27" t="s">
        <v>118</v>
      </c>
      <c r="E853" s="29">
        <v>40079</v>
      </c>
      <c r="F853" s="27">
        <v>12</v>
      </c>
      <c r="G853" s="18">
        <v>1200</v>
      </c>
      <c r="H853" s="27">
        <f t="shared" si="26"/>
        <v>1200</v>
      </c>
      <c r="I853" s="18">
        <v>1200</v>
      </c>
      <c r="J853" s="27">
        <v>1200</v>
      </c>
      <c r="K853" s="18">
        <f t="shared" si="27"/>
        <v>1200</v>
      </c>
      <c r="L853" s="27">
        <v>1200</v>
      </c>
      <c r="M853" s="36">
        <v>0</v>
      </c>
      <c r="T853" s="41">
        <v>0</v>
      </c>
      <c r="U853" s="41">
        <v>0</v>
      </c>
      <c r="V853" s="42" t="s">
        <v>113</v>
      </c>
      <c r="W853" s="42">
        <v>1200</v>
      </c>
      <c r="X853" s="42">
        <v>1200</v>
      </c>
    </row>
    <row r="854" spans="1:24">
      <c r="A854" s="27" t="s">
        <v>1686</v>
      </c>
      <c r="B854" s="28" t="s">
        <v>215</v>
      </c>
      <c r="C854" s="27" t="s">
        <v>1687</v>
      </c>
      <c r="D854" s="27" t="s">
        <v>118</v>
      </c>
      <c r="E854" s="29">
        <v>40079</v>
      </c>
      <c r="F854" s="27">
        <v>12</v>
      </c>
      <c r="G854" s="18">
        <v>1200</v>
      </c>
      <c r="H854" s="27">
        <f t="shared" si="26"/>
        <v>1200</v>
      </c>
      <c r="I854" s="18">
        <v>1200</v>
      </c>
      <c r="J854" s="27">
        <v>1200</v>
      </c>
      <c r="K854" s="18">
        <f t="shared" si="27"/>
        <v>1200</v>
      </c>
      <c r="L854" s="27">
        <v>1200</v>
      </c>
      <c r="M854" s="36">
        <v>0</v>
      </c>
      <c r="T854" s="41">
        <v>0</v>
      </c>
      <c r="U854" s="41">
        <v>0</v>
      </c>
      <c r="V854" s="42" t="s">
        <v>113</v>
      </c>
      <c r="W854" s="42">
        <v>1200</v>
      </c>
      <c r="X854" s="42">
        <v>1200</v>
      </c>
    </row>
    <row r="855" spans="1:24">
      <c r="A855" s="27" t="s">
        <v>1688</v>
      </c>
      <c r="B855" s="28" t="s">
        <v>215</v>
      </c>
      <c r="C855" s="27" t="s">
        <v>1689</v>
      </c>
      <c r="D855" s="27" t="s">
        <v>118</v>
      </c>
      <c r="E855" s="29">
        <v>40079</v>
      </c>
      <c r="F855" s="27">
        <v>12</v>
      </c>
      <c r="G855" s="18">
        <v>1200</v>
      </c>
      <c r="H855" s="27">
        <f t="shared" si="26"/>
        <v>1200</v>
      </c>
      <c r="I855" s="18">
        <v>1200</v>
      </c>
      <c r="J855" s="27">
        <v>1200</v>
      </c>
      <c r="K855" s="18">
        <f t="shared" si="27"/>
        <v>1200</v>
      </c>
      <c r="L855" s="27">
        <v>1200</v>
      </c>
      <c r="M855" s="36">
        <v>0</v>
      </c>
      <c r="T855" s="41">
        <v>0</v>
      </c>
      <c r="U855" s="41">
        <v>0</v>
      </c>
      <c r="V855" s="42" t="s">
        <v>113</v>
      </c>
      <c r="W855" s="42">
        <v>1200</v>
      </c>
      <c r="X855" s="42">
        <v>1200</v>
      </c>
    </row>
    <row r="856" spans="1:24">
      <c r="A856" s="27" t="s">
        <v>1690</v>
      </c>
      <c r="B856" s="28" t="s">
        <v>215</v>
      </c>
      <c r="C856" s="27" t="s">
        <v>1691</v>
      </c>
      <c r="D856" s="27" t="s">
        <v>118</v>
      </c>
      <c r="E856" s="29">
        <v>38564</v>
      </c>
      <c r="F856" s="27">
        <v>12</v>
      </c>
      <c r="G856" s="18">
        <v>2400</v>
      </c>
      <c r="H856" s="27">
        <f t="shared" si="26"/>
        <v>2400</v>
      </c>
      <c r="I856" s="18">
        <v>2400</v>
      </c>
      <c r="J856" s="27">
        <v>2400</v>
      </c>
      <c r="K856" s="18">
        <f t="shared" si="27"/>
        <v>2400</v>
      </c>
      <c r="L856" s="27">
        <v>2400</v>
      </c>
      <c r="M856" s="36">
        <v>0</v>
      </c>
      <c r="T856" s="41">
        <v>0</v>
      </c>
      <c r="U856" s="41">
        <v>0</v>
      </c>
      <c r="V856" s="42" t="s">
        <v>113</v>
      </c>
      <c r="W856" s="42">
        <v>2400</v>
      </c>
      <c r="X856" s="42">
        <v>2400</v>
      </c>
    </row>
    <row r="857" spans="1:24">
      <c r="A857" s="27" t="s">
        <v>1692</v>
      </c>
      <c r="B857" s="28" t="s">
        <v>215</v>
      </c>
      <c r="C857" s="27" t="s">
        <v>1693</v>
      </c>
      <c r="D857" s="27" t="s">
        <v>118</v>
      </c>
      <c r="E857" s="29">
        <v>38564</v>
      </c>
      <c r="F857" s="27">
        <v>12</v>
      </c>
      <c r="G857" s="18">
        <v>2400</v>
      </c>
      <c r="H857" s="27">
        <f t="shared" si="26"/>
        <v>2400</v>
      </c>
      <c r="I857" s="18">
        <v>2400</v>
      </c>
      <c r="J857" s="27">
        <v>2400</v>
      </c>
      <c r="K857" s="18">
        <f t="shared" si="27"/>
        <v>2400</v>
      </c>
      <c r="L857" s="27">
        <v>2400</v>
      </c>
      <c r="M857" s="36">
        <v>0</v>
      </c>
      <c r="T857" s="41">
        <v>0</v>
      </c>
      <c r="U857" s="41">
        <v>0</v>
      </c>
      <c r="V857" s="42" t="s">
        <v>113</v>
      </c>
      <c r="W857" s="42">
        <v>2400</v>
      </c>
      <c r="X857" s="42">
        <v>2400</v>
      </c>
    </row>
    <row r="858" spans="1:24">
      <c r="A858" s="27" t="s">
        <v>1694</v>
      </c>
      <c r="B858" s="28" t="s">
        <v>215</v>
      </c>
      <c r="C858" s="27" t="s">
        <v>1695</v>
      </c>
      <c r="D858" s="27" t="s">
        <v>118</v>
      </c>
      <c r="E858" s="29">
        <v>40179</v>
      </c>
      <c r="F858" s="27">
        <v>15</v>
      </c>
      <c r="G858" s="18">
        <v>65000</v>
      </c>
      <c r="H858" s="27">
        <f t="shared" si="26"/>
        <v>65000</v>
      </c>
      <c r="I858" s="18">
        <v>61750</v>
      </c>
      <c r="J858" s="27">
        <v>65000</v>
      </c>
      <c r="K858" s="18">
        <f t="shared" si="27"/>
        <v>65000</v>
      </c>
      <c r="L858" s="27">
        <v>61750</v>
      </c>
      <c r="M858" s="36">
        <v>0</v>
      </c>
      <c r="T858" s="41">
        <v>0</v>
      </c>
      <c r="U858" s="41">
        <v>0</v>
      </c>
      <c r="V858" s="42" t="s">
        <v>113</v>
      </c>
      <c r="W858" s="42">
        <v>65000</v>
      </c>
      <c r="X858" s="42">
        <v>65000</v>
      </c>
    </row>
    <row r="859" spans="1:24">
      <c r="A859" s="27" t="s">
        <v>1696</v>
      </c>
      <c r="B859" s="28" t="s">
        <v>215</v>
      </c>
      <c r="C859" s="27" t="s">
        <v>1697</v>
      </c>
      <c r="D859" s="27" t="s">
        <v>118</v>
      </c>
      <c r="E859" s="29">
        <v>40079</v>
      </c>
      <c r="F859" s="27">
        <v>15</v>
      </c>
      <c r="G859" s="18">
        <v>11200</v>
      </c>
      <c r="H859" s="27">
        <f t="shared" si="26"/>
        <v>11200</v>
      </c>
      <c r="I859" s="18">
        <v>10640</v>
      </c>
      <c r="J859" s="27">
        <v>11200</v>
      </c>
      <c r="K859" s="18">
        <f t="shared" si="27"/>
        <v>11200</v>
      </c>
      <c r="L859" s="27">
        <v>10640</v>
      </c>
      <c r="M859" s="36">
        <v>0</v>
      </c>
      <c r="T859" s="41">
        <v>0</v>
      </c>
      <c r="U859" s="41">
        <v>0</v>
      </c>
      <c r="V859" s="42" t="s">
        <v>113</v>
      </c>
      <c r="W859" s="42">
        <v>11200</v>
      </c>
      <c r="X859" s="42">
        <v>11200</v>
      </c>
    </row>
    <row r="860" spans="1:24">
      <c r="A860" s="27" t="s">
        <v>1698</v>
      </c>
      <c r="B860" s="28" t="s">
        <v>215</v>
      </c>
      <c r="C860" s="27" t="s">
        <v>1699</v>
      </c>
      <c r="D860" s="27" t="s">
        <v>118</v>
      </c>
      <c r="E860" s="29">
        <v>40079</v>
      </c>
      <c r="F860" s="27">
        <v>15</v>
      </c>
      <c r="G860" s="18">
        <v>11200</v>
      </c>
      <c r="H860" s="27">
        <f t="shared" si="26"/>
        <v>11200</v>
      </c>
      <c r="I860" s="18">
        <v>10640</v>
      </c>
      <c r="J860" s="27">
        <v>11200</v>
      </c>
      <c r="K860" s="18">
        <f t="shared" si="27"/>
        <v>11200</v>
      </c>
      <c r="L860" s="27">
        <v>10640</v>
      </c>
      <c r="M860" s="36">
        <v>0</v>
      </c>
      <c r="T860" s="41">
        <v>0</v>
      </c>
      <c r="U860" s="41">
        <v>0</v>
      </c>
      <c r="V860" s="42" t="s">
        <v>113</v>
      </c>
      <c r="W860" s="42">
        <v>11200</v>
      </c>
      <c r="X860" s="42">
        <v>11200</v>
      </c>
    </row>
    <row r="861" spans="1:24">
      <c r="A861" s="27" t="s">
        <v>1700</v>
      </c>
      <c r="B861" s="28" t="s">
        <v>215</v>
      </c>
      <c r="C861" s="27" t="s">
        <v>1701</v>
      </c>
      <c r="D861" s="27" t="s">
        <v>118</v>
      </c>
      <c r="E861" s="29">
        <v>40079</v>
      </c>
      <c r="F861" s="27">
        <v>15</v>
      </c>
      <c r="G861" s="18">
        <v>11200</v>
      </c>
      <c r="H861" s="27">
        <f t="shared" si="26"/>
        <v>11200</v>
      </c>
      <c r="I861" s="18">
        <v>10640</v>
      </c>
      <c r="J861" s="27">
        <v>11200</v>
      </c>
      <c r="K861" s="18">
        <f t="shared" si="27"/>
        <v>11200</v>
      </c>
      <c r="L861" s="27">
        <v>10640</v>
      </c>
      <c r="M861" s="36">
        <v>0</v>
      </c>
      <c r="T861" s="41">
        <v>0</v>
      </c>
      <c r="U861" s="41">
        <v>0</v>
      </c>
      <c r="V861" s="42" t="s">
        <v>113</v>
      </c>
      <c r="W861" s="42">
        <v>11200</v>
      </c>
      <c r="X861" s="42">
        <v>11200</v>
      </c>
    </row>
    <row r="862" spans="1:24">
      <c r="A862" s="27" t="s">
        <v>1702</v>
      </c>
      <c r="B862" s="28" t="s">
        <v>215</v>
      </c>
      <c r="C862" s="27" t="s">
        <v>1703</v>
      </c>
      <c r="D862" s="27" t="s">
        <v>118</v>
      </c>
      <c r="E862" s="29">
        <v>39387</v>
      </c>
      <c r="F862" s="27">
        <v>12</v>
      </c>
      <c r="G862" s="18">
        <v>2400</v>
      </c>
      <c r="H862" s="27">
        <f t="shared" si="26"/>
        <v>2400</v>
      </c>
      <c r="I862" s="18">
        <v>2400</v>
      </c>
      <c r="J862" s="27">
        <v>2400</v>
      </c>
      <c r="K862" s="18">
        <f t="shared" si="27"/>
        <v>2400</v>
      </c>
      <c r="L862" s="27">
        <v>2400</v>
      </c>
      <c r="M862" s="36">
        <v>0</v>
      </c>
      <c r="T862" s="41">
        <v>0</v>
      </c>
      <c r="U862" s="41">
        <v>0</v>
      </c>
      <c r="V862" s="42" t="s">
        <v>113</v>
      </c>
      <c r="W862" s="42">
        <v>2400</v>
      </c>
      <c r="X862" s="42">
        <v>2400</v>
      </c>
    </row>
    <row r="863" spans="1:24">
      <c r="A863" s="27" t="s">
        <v>1704</v>
      </c>
      <c r="B863" s="28" t="s">
        <v>215</v>
      </c>
      <c r="C863" s="27" t="s">
        <v>1705</v>
      </c>
      <c r="D863" s="27" t="s">
        <v>118</v>
      </c>
      <c r="E863" s="29">
        <v>39387</v>
      </c>
      <c r="F863" s="27">
        <v>12</v>
      </c>
      <c r="G863" s="18">
        <v>2400</v>
      </c>
      <c r="H863" s="27">
        <f t="shared" si="26"/>
        <v>2400</v>
      </c>
      <c r="I863" s="18">
        <v>2400</v>
      </c>
      <c r="J863" s="27">
        <v>2400</v>
      </c>
      <c r="K863" s="18">
        <f t="shared" si="27"/>
        <v>2400</v>
      </c>
      <c r="L863" s="27">
        <v>2400</v>
      </c>
      <c r="M863" s="36">
        <v>0</v>
      </c>
      <c r="T863" s="41">
        <v>0</v>
      </c>
      <c r="U863" s="41">
        <v>0</v>
      </c>
      <c r="V863" s="42" t="s">
        <v>113</v>
      </c>
      <c r="W863" s="42">
        <v>2400</v>
      </c>
      <c r="X863" s="42">
        <v>2400</v>
      </c>
    </row>
    <row r="864" spans="1:24">
      <c r="A864" s="27" t="s">
        <v>1706</v>
      </c>
      <c r="B864" s="28" t="s">
        <v>215</v>
      </c>
      <c r="C864" s="27" t="s">
        <v>1707</v>
      </c>
      <c r="D864" s="27" t="s">
        <v>118</v>
      </c>
      <c r="E864" s="29">
        <v>39387</v>
      </c>
      <c r="F864" s="27">
        <v>12</v>
      </c>
      <c r="G864" s="18">
        <v>2400</v>
      </c>
      <c r="H864" s="27">
        <f t="shared" si="26"/>
        <v>2400</v>
      </c>
      <c r="I864" s="18">
        <v>2400</v>
      </c>
      <c r="J864" s="27">
        <v>2400</v>
      </c>
      <c r="K864" s="18">
        <f t="shared" si="27"/>
        <v>2400</v>
      </c>
      <c r="L864" s="27">
        <v>2400</v>
      </c>
      <c r="M864" s="36">
        <v>0</v>
      </c>
      <c r="T864" s="41">
        <v>0</v>
      </c>
      <c r="U864" s="41">
        <v>0</v>
      </c>
      <c r="V864" s="42" t="s">
        <v>113</v>
      </c>
      <c r="W864" s="42">
        <v>2400</v>
      </c>
      <c r="X864" s="42">
        <v>2400</v>
      </c>
    </row>
    <row r="865" spans="1:24">
      <c r="A865" s="27" t="s">
        <v>1708</v>
      </c>
      <c r="B865" s="28" t="s">
        <v>215</v>
      </c>
      <c r="C865" s="27" t="s">
        <v>1709</v>
      </c>
      <c r="D865" s="27" t="s">
        <v>118</v>
      </c>
      <c r="E865" s="29">
        <v>39387</v>
      </c>
      <c r="F865" s="27">
        <v>12</v>
      </c>
      <c r="G865" s="18">
        <v>2400</v>
      </c>
      <c r="H865" s="27">
        <f t="shared" si="26"/>
        <v>2400</v>
      </c>
      <c r="I865" s="18">
        <v>2400</v>
      </c>
      <c r="J865" s="27">
        <v>2400</v>
      </c>
      <c r="K865" s="18">
        <f t="shared" si="27"/>
        <v>2400</v>
      </c>
      <c r="L865" s="27">
        <v>2400</v>
      </c>
      <c r="M865" s="36">
        <v>0</v>
      </c>
      <c r="T865" s="41">
        <v>0</v>
      </c>
      <c r="U865" s="41">
        <v>0</v>
      </c>
      <c r="V865" s="42" t="s">
        <v>113</v>
      </c>
      <c r="W865" s="42">
        <v>2400</v>
      </c>
      <c r="X865" s="42">
        <v>2400</v>
      </c>
    </row>
    <row r="866" spans="1:24">
      <c r="A866" s="27" t="s">
        <v>1710</v>
      </c>
      <c r="B866" s="28" t="s">
        <v>215</v>
      </c>
      <c r="C866" s="27" t="s">
        <v>1711</v>
      </c>
      <c r="D866" s="27" t="s">
        <v>118</v>
      </c>
      <c r="E866" s="29">
        <v>40079</v>
      </c>
      <c r="F866" s="27">
        <v>12</v>
      </c>
      <c r="G866" s="18">
        <v>1200</v>
      </c>
      <c r="H866" s="27">
        <f t="shared" si="26"/>
        <v>1200</v>
      </c>
      <c r="I866" s="18">
        <v>1200</v>
      </c>
      <c r="J866" s="27">
        <v>1200</v>
      </c>
      <c r="K866" s="18">
        <f t="shared" si="27"/>
        <v>1200</v>
      </c>
      <c r="L866" s="27">
        <v>1200</v>
      </c>
      <c r="M866" s="36">
        <v>0</v>
      </c>
      <c r="T866" s="41">
        <v>0</v>
      </c>
      <c r="U866" s="41">
        <v>0</v>
      </c>
      <c r="V866" s="42" t="s">
        <v>113</v>
      </c>
      <c r="W866" s="42">
        <v>1200</v>
      </c>
      <c r="X866" s="42">
        <v>1200</v>
      </c>
    </row>
    <row r="867" spans="1:24">
      <c r="A867" s="27" t="s">
        <v>1712</v>
      </c>
      <c r="B867" s="28" t="s">
        <v>215</v>
      </c>
      <c r="C867" s="27" t="s">
        <v>1713</v>
      </c>
      <c r="D867" s="27" t="s">
        <v>118</v>
      </c>
      <c r="E867" s="29">
        <v>40079</v>
      </c>
      <c r="F867" s="27">
        <v>12</v>
      </c>
      <c r="G867" s="18">
        <v>1200</v>
      </c>
      <c r="H867" s="27">
        <f t="shared" si="26"/>
        <v>1200</v>
      </c>
      <c r="I867" s="18">
        <v>1200</v>
      </c>
      <c r="J867" s="27">
        <v>1200</v>
      </c>
      <c r="K867" s="18">
        <f t="shared" si="27"/>
        <v>1200</v>
      </c>
      <c r="L867" s="27">
        <v>1200</v>
      </c>
      <c r="M867" s="36">
        <v>0</v>
      </c>
      <c r="T867" s="41">
        <v>0</v>
      </c>
      <c r="U867" s="41">
        <v>0</v>
      </c>
      <c r="V867" s="42" t="s">
        <v>113</v>
      </c>
      <c r="W867" s="42">
        <v>1200</v>
      </c>
      <c r="X867" s="42">
        <v>1200</v>
      </c>
    </row>
    <row r="868" spans="1:24">
      <c r="A868" s="27" t="s">
        <v>1714</v>
      </c>
      <c r="B868" s="28" t="s">
        <v>215</v>
      </c>
      <c r="C868" s="27" t="s">
        <v>1715</v>
      </c>
      <c r="D868" s="27" t="s">
        <v>118</v>
      </c>
      <c r="E868" s="29">
        <v>40079</v>
      </c>
      <c r="F868" s="27">
        <v>12</v>
      </c>
      <c r="G868" s="18">
        <v>1200</v>
      </c>
      <c r="H868" s="27">
        <f t="shared" si="26"/>
        <v>1200</v>
      </c>
      <c r="I868" s="18">
        <v>1200</v>
      </c>
      <c r="J868" s="27">
        <v>1200</v>
      </c>
      <c r="K868" s="18">
        <f t="shared" si="27"/>
        <v>1200</v>
      </c>
      <c r="L868" s="27">
        <v>1200</v>
      </c>
      <c r="M868" s="36">
        <v>0</v>
      </c>
      <c r="T868" s="41">
        <v>0</v>
      </c>
      <c r="U868" s="41">
        <v>0</v>
      </c>
      <c r="V868" s="42" t="s">
        <v>113</v>
      </c>
      <c r="W868" s="42">
        <v>1200</v>
      </c>
      <c r="X868" s="42">
        <v>1200</v>
      </c>
    </row>
    <row r="869" spans="1:24">
      <c r="A869" s="27" t="s">
        <v>1716</v>
      </c>
      <c r="B869" s="28" t="s">
        <v>215</v>
      </c>
      <c r="C869" s="27" t="s">
        <v>1717</v>
      </c>
      <c r="D869" s="27" t="s">
        <v>230</v>
      </c>
      <c r="E869" s="29">
        <v>41272</v>
      </c>
      <c r="F869" s="27">
        <v>15</v>
      </c>
      <c r="G869" s="18">
        <v>15825.18</v>
      </c>
      <c r="H869" s="27">
        <f t="shared" si="26"/>
        <v>15825.18</v>
      </c>
      <c r="I869" s="18">
        <v>15825.18</v>
      </c>
      <c r="J869" s="27">
        <v>15825.18</v>
      </c>
      <c r="K869" s="18">
        <f t="shared" si="27"/>
        <v>15825.18</v>
      </c>
      <c r="L869" s="27">
        <v>15033.92</v>
      </c>
      <c r="M869" s="36">
        <v>-791.26</v>
      </c>
      <c r="T869" s="41">
        <v>0</v>
      </c>
      <c r="U869" s="41">
        <v>0</v>
      </c>
      <c r="V869" s="42" t="s">
        <v>113</v>
      </c>
      <c r="W869" s="42">
        <v>15825.18</v>
      </c>
      <c r="X869" s="42">
        <v>15825.18</v>
      </c>
    </row>
    <row r="870" spans="1:24">
      <c r="A870" s="27" t="s">
        <v>1718</v>
      </c>
      <c r="B870" s="28" t="s">
        <v>215</v>
      </c>
      <c r="C870" s="27" t="s">
        <v>1719</v>
      </c>
      <c r="D870" s="27" t="s">
        <v>230</v>
      </c>
      <c r="E870" s="29">
        <v>41272</v>
      </c>
      <c r="F870" s="27">
        <v>15</v>
      </c>
      <c r="G870" s="18">
        <v>15825.18</v>
      </c>
      <c r="H870" s="27">
        <f t="shared" si="26"/>
        <v>15825.18</v>
      </c>
      <c r="I870" s="18">
        <v>15825.18</v>
      </c>
      <c r="J870" s="27">
        <v>15825.18</v>
      </c>
      <c r="K870" s="18">
        <f t="shared" si="27"/>
        <v>15825.18</v>
      </c>
      <c r="L870" s="27">
        <v>15033.92</v>
      </c>
      <c r="M870" s="36">
        <v>-791.26</v>
      </c>
      <c r="T870" s="41">
        <v>0</v>
      </c>
      <c r="U870" s="41">
        <v>0</v>
      </c>
      <c r="V870" s="42" t="s">
        <v>113</v>
      </c>
      <c r="W870" s="42">
        <v>15825.18</v>
      </c>
      <c r="X870" s="42">
        <v>15825.18</v>
      </c>
    </row>
    <row r="871" spans="1:24">
      <c r="A871" s="27" t="s">
        <v>1720</v>
      </c>
      <c r="B871" s="28" t="s">
        <v>215</v>
      </c>
      <c r="C871" s="27" t="s">
        <v>1721</v>
      </c>
      <c r="D871" s="27" t="s">
        <v>230</v>
      </c>
      <c r="E871" s="29">
        <v>41272</v>
      </c>
      <c r="F871" s="27">
        <v>15</v>
      </c>
      <c r="G871" s="18">
        <v>15825.18</v>
      </c>
      <c r="H871" s="27">
        <f t="shared" si="26"/>
        <v>15825.18</v>
      </c>
      <c r="I871" s="18">
        <v>15825.18</v>
      </c>
      <c r="J871" s="27">
        <v>15825.18</v>
      </c>
      <c r="K871" s="18">
        <f t="shared" si="27"/>
        <v>15825.18</v>
      </c>
      <c r="L871" s="27">
        <v>15033.92</v>
      </c>
      <c r="M871" s="36">
        <v>-791.26</v>
      </c>
      <c r="T871" s="41">
        <v>0</v>
      </c>
      <c r="U871" s="41">
        <v>0</v>
      </c>
      <c r="V871" s="42" t="s">
        <v>113</v>
      </c>
      <c r="W871" s="42">
        <v>15825.18</v>
      </c>
      <c r="X871" s="42">
        <v>15825.18</v>
      </c>
    </row>
    <row r="872" spans="1:24">
      <c r="A872" s="27" t="s">
        <v>1722</v>
      </c>
      <c r="B872" s="28" t="s">
        <v>215</v>
      </c>
      <c r="C872" s="27" t="s">
        <v>1723</v>
      </c>
      <c r="D872" s="27" t="s">
        <v>230</v>
      </c>
      <c r="E872" s="29">
        <v>41272</v>
      </c>
      <c r="F872" s="27">
        <v>15</v>
      </c>
      <c r="G872" s="18">
        <v>15825.18</v>
      </c>
      <c r="H872" s="27">
        <f t="shared" si="26"/>
        <v>15825.18</v>
      </c>
      <c r="I872" s="18">
        <v>15825.18</v>
      </c>
      <c r="J872" s="27">
        <v>15825.18</v>
      </c>
      <c r="K872" s="18">
        <f t="shared" si="27"/>
        <v>15825.18</v>
      </c>
      <c r="L872" s="27">
        <v>15033.92</v>
      </c>
      <c r="M872" s="36">
        <v>-791.26</v>
      </c>
      <c r="T872" s="41">
        <v>0</v>
      </c>
      <c r="U872" s="41">
        <v>0</v>
      </c>
      <c r="V872" s="42" t="s">
        <v>113</v>
      </c>
      <c r="W872" s="42">
        <v>15825.18</v>
      </c>
      <c r="X872" s="42">
        <v>15825.18</v>
      </c>
    </row>
    <row r="873" spans="1:24">
      <c r="A873" s="27" t="s">
        <v>1724</v>
      </c>
      <c r="B873" s="28" t="s">
        <v>215</v>
      </c>
      <c r="C873" s="27" t="s">
        <v>1725</v>
      </c>
      <c r="D873" s="27" t="s">
        <v>230</v>
      </c>
      <c r="E873" s="29">
        <v>41272</v>
      </c>
      <c r="F873" s="27">
        <v>15</v>
      </c>
      <c r="G873" s="18">
        <v>15825.18</v>
      </c>
      <c r="H873" s="27">
        <f t="shared" si="26"/>
        <v>15825.18</v>
      </c>
      <c r="I873" s="18">
        <v>15825.18</v>
      </c>
      <c r="J873" s="27">
        <v>15825.18</v>
      </c>
      <c r="K873" s="18">
        <f t="shared" si="27"/>
        <v>15825.18</v>
      </c>
      <c r="L873" s="27">
        <v>15033.92</v>
      </c>
      <c r="M873" s="36">
        <v>-791.26</v>
      </c>
      <c r="T873" s="41">
        <v>0</v>
      </c>
      <c r="U873" s="41">
        <v>0</v>
      </c>
      <c r="V873" s="42" t="s">
        <v>113</v>
      </c>
      <c r="W873" s="42">
        <v>15825.18</v>
      </c>
      <c r="X873" s="42">
        <v>15825.18</v>
      </c>
    </row>
    <row r="874" spans="1:24">
      <c r="A874" s="27" t="s">
        <v>1726</v>
      </c>
      <c r="B874" s="28" t="s">
        <v>215</v>
      </c>
      <c r="C874" s="27" t="s">
        <v>1727</v>
      </c>
      <c r="D874" s="27" t="s">
        <v>220</v>
      </c>
      <c r="E874" s="29">
        <v>40288</v>
      </c>
      <c r="F874" s="27">
        <v>15</v>
      </c>
      <c r="G874" s="18">
        <v>15818.27</v>
      </c>
      <c r="H874" s="27">
        <f t="shared" si="26"/>
        <v>15818.27</v>
      </c>
      <c r="I874" s="18">
        <v>15027.36</v>
      </c>
      <c r="J874" s="27">
        <v>15818.27</v>
      </c>
      <c r="K874" s="18">
        <f t="shared" si="27"/>
        <v>15818.27</v>
      </c>
      <c r="L874" s="27">
        <v>15027.36</v>
      </c>
      <c r="M874" s="36">
        <v>0</v>
      </c>
      <c r="T874" s="41">
        <v>0</v>
      </c>
      <c r="U874" s="41">
        <v>0</v>
      </c>
      <c r="V874" s="42" t="s">
        <v>113</v>
      </c>
      <c r="W874" s="42">
        <v>15818.27</v>
      </c>
      <c r="X874" s="42">
        <v>15818.27</v>
      </c>
    </row>
    <row r="875" spans="1:24">
      <c r="A875" s="27" t="s">
        <v>1728</v>
      </c>
      <c r="B875" s="28" t="s">
        <v>215</v>
      </c>
      <c r="C875" s="27" t="s">
        <v>1729</v>
      </c>
      <c r="D875" s="27" t="s">
        <v>220</v>
      </c>
      <c r="E875" s="29">
        <v>40288</v>
      </c>
      <c r="F875" s="27">
        <v>15</v>
      </c>
      <c r="G875" s="18">
        <v>15818.27</v>
      </c>
      <c r="H875" s="27">
        <f t="shared" si="26"/>
        <v>15818.27</v>
      </c>
      <c r="I875" s="18">
        <v>15027.36</v>
      </c>
      <c r="J875" s="27">
        <v>15818.27</v>
      </c>
      <c r="K875" s="18">
        <f t="shared" si="27"/>
        <v>15818.27</v>
      </c>
      <c r="L875" s="27">
        <v>15027.36</v>
      </c>
      <c r="M875" s="36">
        <v>0</v>
      </c>
      <c r="T875" s="41">
        <v>0</v>
      </c>
      <c r="U875" s="41">
        <v>0</v>
      </c>
      <c r="V875" s="42" t="s">
        <v>113</v>
      </c>
      <c r="W875" s="42">
        <v>15818.27</v>
      </c>
      <c r="X875" s="42">
        <v>15818.27</v>
      </c>
    </row>
    <row r="876" spans="1:24">
      <c r="A876" s="27" t="s">
        <v>1730</v>
      </c>
      <c r="B876" s="28" t="s">
        <v>215</v>
      </c>
      <c r="C876" s="27" t="s">
        <v>1731</v>
      </c>
      <c r="D876" s="27" t="s">
        <v>220</v>
      </c>
      <c r="E876" s="29">
        <v>40288</v>
      </c>
      <c r="F876" s="27">
        <v>15</v>
      </c>
      <c r="G876" s="18">
        <v>15818.27</v>
      </c>
      <c r="H876" s="27">
        <f t="shared" si="26"/>
        <v>15818.27</v>
      </c>
      <c r="I876" s="18">
        <v>15027.36</v>
      </c>
      <c r="J876" s="27">
        <v>15818.27</v>
      </c>
      <c r="K876" s="18">
        <f t="shared" si="27"/>
        <v>15818.27</v>
      </c>
      <c r="L876" s="27">
        <v>15027.36</v>
      </c>
      <c r="M876" s="36">
        <v>0</v>
      </c>
      <c r="T876" s="41">
        <v>0</v>
      </c>
      <c r="U876" s="41">
        <v>0</v>
      </c>
      <c r="V876" s="42" t="s">
        <v>113</v>
      </c>
      <c r="W876" s="42">
        <v>15818.27</v>
      </c>
      <c r="X876" s="42">
        <v>15818.27</v>
      </c>
    </row>
    <row r="877" spans="1:24">
      <c r="A877" s="27" t="s">
        <v>1732</v>
      </c>
      <c r="B877" s="28" t="s">
        <v>215</v>
      </c>
      <c r="C877" s="27" t="s">
        <v>1733</v>
      </c>
      <c r="D877" s="27" t="s">
        <v>220</v>
      </c>
      <c r="E877" s="29">
        <v>40288</v>
      </c>
      <c r="F877" s="27">
        <v>15</v>
      </c>
      <c r="G877" s="18">
        <v>15818.27</v>
      </c>
      <c r="H877" s="27">
        <f t="shared" si="26"/>
        <v>15818.27</v>
      </c>
      <c r="I877" s="18">
        <v>15027.36</v>
      </c>
      <c r="J877" s="27">
        <v>15818.27</v>
      </c>
      <c r="K877" s="18">
        <f t="shared" si="27"/>
        <v>15818.27</v>
      </c>
      <c r="L877" s="27">
        <v>15027.36</v>
      </c>
      <c r="M877" s="36">
        <v>0</v>
      </c>
      <c r="T877" s="41">
        <v>0</v>
      </c>
      <c r="U877" s="41">
        <v>0</v>
      </c>
      <c r="V877" s="42" t="s">
        <v>113</v>
      </c>
      <c r="W877" s="42">
        <v>15818.27</v>
      </c>
      <c r="X877" s="42">
        <v>15818.27</v>
      </c>
    </row>
    <row r="878" spans="1:24">
      <c r="A878" s="27" t="s">
        <v>1734</v>
      </c>
      <c r="B878" s="28" t="s">
        <v>215</v>
      </c>
      <c r="C878" s="27" t="s">
        <v>1735</v>
      </c>
      <c r="D878" s="27" t="s">
        <v>220</v>
      </c>
      <c r="E878" s="29">
        <v>40288</v>
      </c>
      <c r="F878" s="27">
        <v>15</v>
      </c>
      <c r="G878" s="18">
        <v>15818.27</v>
      </c>
      <c r="H878" s="27">
        <f t="shared" si="26"/>
        <v>15818.27</v>
      </c>
      <c r="I878" s="18">
        <v>15027.36</v>
      </c>
      <c r="J878" s="27">
        <v>15818.27</v>
      </c>
      <c r="K878" s="18">
        <f t="shared" si="27"/>
        <v>15818.27</v>
      </c>
      <c r="L878" s="27">
        <v>15027.36</v>
      </c>
      <c r="M878" s="36">
        <v>0</v>
      </c>
      <c r="T878" s="41">
        <v>0</v>
      </c>
      <c r="U878" s="41">
        <v>0</v>
      </c>
      <c r="V878" s="42" t="s">
        <v>113</v>
      </c>
      <c r="W878" s="42">
        <v>15818.27</v>
      </c>
      <c r="X878" s="42">
        <v>15818.27</v>
      </c>
    </row>
    <row r="879" spans="1:24">
      <c r="A879" s="27" t="s">
        <v>1736</v>
      </c>
      <c r="B879" s="28" t="s">
        <v>215</v>
      </c>
      <c r="C879" s="27" t="s">
        <v>1737</v>
      </c>
      <c r="D879" s="27" t="s">
        <v>220</v>
      </c>
      <c r="E879" s="29">
        <v>40288</v>
      </c>
      <c r="F879" s="27">
        <v>15</v>
      </c>
      <c r="G879" s="18">
        <v>15818.26</v>
      </c>
      <c r="H879" s="27">
        <f t="shared" si="26"/>
        <v>15818.26</v>
      </c>
      <c r="I879" s="18">
        <v>15027.35</v>
      </c>
      <c r="J879" s="27">
        <v>15818.26</v>
      </c>
      <c r="K879" s="18">
        <f t="shared" si="27"/>
        <v>15818.26</v>
      </c>
      <c r="L879" s="27">
        <v>15027.35</v>
      </c>
      <c r="M879" s="36">
        <v>0</v>
      </c>
      <c r="T879" s="41">
        <v>0</v>
      </c>
      <c r="U879" s="41">
        <v>0</v>
      </c>
      <c r="V879" s="42" t="s">
        <v>113</v>
      </c>
      <c r="W879" s="42">
        <v>15818.26</v>
      </c>
      <c r="X879" s="42">
        <v>15818.26</v>
      </c>
    </row>
    <row r="880" spans="1:24">
      <c r="A880" s="27" t="s">
        <v>1738</v>
      </c>
      <c r="B880" s="28" t="s">
        <v>215</v>
      </c>
      <c r="C880" s="27" t="s">
        <v>1739</v>
      </c>
      <c r="D880" s="27" t="s">
        <v>220</v>
      </c>
      <c r="E880" s="29">
        <v>40288</v>
      </c>
      <c r="F880" s="27">
        <v>15</v>
      </c>
      <c r="G880" s="18">
        <v>10618.27</v>
      </c>
      <c r="H880" s="27">
        <f t="shared" si="26"/>
        <v>10618.27</v>
      </c>
      <c r="I880" s="18">
        <v>10087.36</v>
      </c>
      <c r="J880" s="27">
        <v>10618.27</v>
      </c>
      <c r="K880" s="18">
        <f t="shared" si="27"/>
        <v>10618.27</v>
      </c>
      <c r="L880" s="27">
        <v>10087.36</v>
      </c>
      <c r="M880" s="36">
        <v>0</v>
      </c>
      <c r="T880" s="41">
        <v>0</v>
      </c>
      <c r="U880" s="41">
        <v>0</v>
      </c>
      <c r="V880" s="42" t="s">
        <v>113</v>
      </c>
      <c r="W880" s="42">
        <v>10618.27</v>
      </c>
      <c r="X880" s="42">
        <v>10618.27</v>
      </c>
    </row>
    <row r="881" spans="1:24">
      <c r="A881" s="27" t="s">
        <v>1740</v>
      </c>
      <c r="B881" s="28" t="s">
        <v>215</v>
      </c>
      <c r="C881" s="27" t="s">
        <v>1741</v>
      </c>
      <c r="D881" s="27" t="s">
        <v>220</v>
      </c>
      <c r="E881" s="29">
        <v>40288</v>
      </c>
      <c r="F881" s="27">
        <v>15</v>
      </c>
      <c r="G881" s="18">
        <v>10618.26</v>
      </c>
      <c r="H881" s="27">
        <f t="shared" si="26"/>
        <v>10618.26</v>
      </c>
      <c r="I881" s="18">
        <v>10087.35</v>
      </c>
      <c r="J881" s="27">
        <v>10618.26</v>
      </c>
      <c r="K881" s="18">
        <f t="shared" si="27"/>
        <v>10618.26</v>
      </c>
      <c r="L881" s="27">
        <v>10087.35</v>
      </c>
      <c r="M881" s="36">
        <v>0</v>
      </c>
      <c r="T881" s="41">
        <v>0</v>
      </c>
      <c r="U881" s="41">
        <v>0</v>
      </c>
      <c r="V881" s="42" t="s">
        <v>113</v>
      </c>
      <c r="W881" s="42">
        <v>10618.26</v>
      </c>
      <c r="X881" s="42">
        <v>10618.26</v>
      </c>
    </row>
    <row r="882" spans="1:24">
      <c r="A882" s="27" t="s">
        <v>1742</v>
      </c>
      <c r="B882" s="28" t="s">
        <v>215</v>
      </c>
      <c r="C882" s="27" t="s">
        <v>346</v>
      </c>
      <c r="D882" s="27" t="s">
        <v>230</v>
      </c>
      <c r="E882" s="29">
        <v>40113</v>
      </c>
      <c r="F882" s="27">
        <v>15</v>
      </c>
      <c r="G882" s="18">
        <v>12310</v>
      </c>
      <c r="H882" s="27">
        <f t="shared" si="26"/>
        <v>0</v>
      </c>
      <c r="I882" s="18">
        <v>9709.4500000000007</v>
      </c>
      <c r="J882" s="27">
        <v>12310</v>
      </c>
      <c r="K882" s="18">
        <f t="shared" si="27"/>
        <v>0</v>
      </c>
      <c r="L882" s="27">
        <v>10127.36</v>
      </c>
      <c r="M882" s="36">
        <v>417.91</v>
      </c>
      <c r="T882" s="41">
        <v>0</v>
      </c>
      <c r="U882" s="41">
        <v>0</v>
      </c>
      <c r="V882" s="42" t="s">
        <v>113</v>
      </c>
      <c r="W882" s="42">
        <v>0</v>
      </c>
      <c r="X882" s="42">
        <v>0</v>
      </c>
    </row>
    <row r="883" spans="1:24">
      <c r="A883" s="27" t="s">
        <v>1743</v>
      </c>
      <c r="B883" s="28" t="s">
        <v>215</v>
      </c>
      <c r="C883" s="27" t="s">
        <v>1744</v>
      </c>
      <c r="D883" s="27" t="s">
        <v>230</v>
      </c>
      <c r="E883" s="29">
        <v>40113</v>
      </c>
      <c r="F883" s="27">
        <v>15</v>
      </c>
      <c r="G883" s="18">
        <v>12310</v>
      </c>
      <c r="H883" s="27">
        <f t="shared" si="26"/>
        <v>0</v>
      </c>
      <c r="I883" s="18">
        <v>9709.4500000000007</v>
      </c>
      <c r="J883" s="27">
        <v>12310</v>
      </c>
      <c r="K883" s="18">
        <f t="shared" si="27"/>
        <v>0</v>
      </c>
      <c r="L883" s="27">
        <v>10127.36</v>
      </c>
      <c r="M883" s="36">
        <v>417.91</v>
      </c>
      <c r="T883" s="41">
        <v>0</v>
      </c>
      <c r="U883" s="41">
        <v>0</v>
      </c>
      <c r="V883" s="42" t="s">
        <v>113</v>
      </c>
      <c r="W883" s="42">
        <v>0</v>
      </c>
      <c r="X883" s="42">
        <v>0</v>
      </c>
    </row>
    <row r="884" spans="1:24">
      <c r="A884" s="27" t="s">
        <v>1745</v>
      </c>
      <c r="B884" s="28" t="s">
        <v>215</v>
      </c>
      <c r="C884" s="27" t="s">
        <v>1746</v>
      </c>
      <c r="D884" s="27" t="s">
        <v>230</v>
      </c>
      <c r="E884" s="29">
        <v>40113</v>
      </c>
      <c r="F884" s="27">
        <v>15</v>
      </c>
      <c r="G884" s="18">
        <v>12310</v>
      </c>
      <c r="H884" s="27">
        <f t="shared" si="26"/>
        <v>0</v>
      </c>
      <c r="I884" s="18">
        <v>9709.4500000000007</v>
      </c>
      <c r="J884" s="27">
        <v>12310</v>
      </c>
      <c r="K884" s="18">
        <f t="shared" si="27"/>
        <v>0</v>
      </c>
      <c r="L884" s="27">
        <v>10127.36</v>
      </c>
      <c r="M884" s="36">
        <v>417.91</v>
      </c>
      <c r="T884" s="41">
        <v>0</v>
      </c>
      <c r="U884" s="41">
        <v>0</v>
      </c>
      <c r="V884" s="42" t="s">
        <v>113</v>
      </c>
      <c r="W884" s="42">
        <v>0</v>
      </c>
      <c r="X884" s="42">
        <v>0</v>
      </c>
    </row>
    <row r="885" spans="1:24">
      <c r="A885" s="27" t="s">
        <v>1747</v>
      </c>
      <c r="B885" s="28" t="s">
        <v>215</v>
      </c>
      <c r="C885" s="27" t="s">
        <v>1748</v>
      </c>
      <c r="D885" s="27" t="s">
        <v>230</v>
      </c>
      <c r="E885" s="29">
        <v>40113</v>
      </c>
      <c r="F885" s="27">
        <v>15</v>
      </c>
      <c r="G885" s="18">
        <v>12310</v>
      </c>
      <c r="H885" s="27">
        <f t="shared" si="26"/>
        <v>0</v>
      </c>
      <c r="I885" s="18">
        <v>9709.4500000000007</v>
      </c>
      <c r="J885" s="27">
        <v>12310</v>
      </c>
      <c r="K885" s="18">
        <f t="shared" si="27"/>
        <v>0</v>
      </c>
      <c r="L885" s="27">
        <v>10127.36</v>
      </c>
      <c r="M885" s="36">
        <v>417.91</v>
      </c>
      <c r="T885" s="41">
        <v>0</v>
      </c>
      <c r="U885" s="41">
        <v>0</v>
      </c>
      <c r="V885" s="42" t="s">
        <v>113</v>
      </c>
      <c r="W885" s="42">
        <v>0</v>
      </c>
      <c r="X885" s="42">
        <v>0</v>
      </c>
    </row>
    <row r="886" spans="1:24">
      <c r="A886" s="27" t="s">
        <v>1749</v>
      </c>
      <c r="B886" s="28" t="s">
        <v>215</v>
      </c>
      <c r="C886" s="27" t="s">
        <v>1750</v>
      </c>
      <c r="D886" s="27" t="s">
        <v>230</v>
      </c>
      <c r="E886" s="29">
        <v>40113</v>
      </c>
      <c r="F886" s="27">
        <v>15</v>
      </c>
      <c r="G886" s="18">
        <v>12310</v>
      </c>
      <c r="H886" s="27">
        <f t="shared" si="26"/>
        <v>0</v>
      </c>
      <c r="I886" s="18">
        <v>9709.4500000000007</v>
      </c>
      <c r="J886" s="27">
        <v>12310</v>
      </c>
      <c r="K886" s="18">
        <f t="shared" si="27"/>
        <v>0</v>
      </c>
      <c r="L886" s="27">
        <v>10127.36</v>
      </c>
      <c r="M886" s="36">
        <v>417.91</v>
      </c>
      <c r="T886" s="41">
        <v>0</v>
      </c>
      <c r="U886" s="41">
        <v>0</v>
      </c>
      <c r="V886" s="42" t="s">
        <v>113</v>
      </c>
      <c r="W886" s="42">
        <v>0</v>
      </c>
      <c r="X886" s="42">
        <v>0</v>
      </c>
    </row>
    <row r="887" spans="1:24">
      <c r="A887" s="27" t="s">
        <v>1751</v>
      </c>
      <c r="B887" s="28" t="s">
        <v>215</v>
      </c>
      <c r="C887" s="27" t="s">
        <v>1752</v>
      </c>
      <c r="D887" s="27" t="s">
        <v>230</v>
      </c>
      <c r="E887" s="29">
        <v>40113</v>
      </c>
      <c r="F887" s="27">
        <v>15</v>
      </c>
      <c r="G887" s="18">
        <v>12310</v>
      </c>
      <c r="H887" s="27">
        <f t="shared" si="26"/>
        <v>0</v>
      </c>
      <c r="I887" s="18">
        <v>9709.4500000000007</v>
      </c>
      <c r="J887" s="27">
        <v>12310</v>
      </c>
      <c r="K887" s="18">
        <f t="shared" si="27"/>
        <v>0</v>
      </c>
      <c r="L887" s="27">
        <v>10127.36</v>
      </c>
      <c r="M887" s="36">
        <v>417.91</v>
      </c>
      <c r="T887" s="41">
        <v>0</v>
      </c>
      <c r="U887" s="41">
        <v>0</v>
      </c>
      <c r="V887" s="42" t="s">
        <v>113</v>
      </c>
      <c r="W887" s="42">
        <v>0</v>
      </c>
      <c r="X887" s="42">
        <v>0</v>
      </c>
    </row>
    <row r="888" spans="1:24">
      <c r="A888" s="27" t="s">
        <v>1753</v>
      </c>
      <c r="B888" s="28" t="s">
        <v>215</v>
      </c>
      <c r="C888" s="27" t="s">
        <v>1754</v>
      </c>
      <c r="D888" s="27" t="s">
        <v>230</v>
      </c>
      <c r="E888" s="29">
        <v>40113</v>
      </c>
      <c r="F888" s="27">
        <v>15</v>
      </c>
      <c r="G888" s="18">
        <v>12310</v>
      </c>
      <c r="H888" s="27">
        <f t="shared" si="26"/>
        <v>0</v>
      </c>
      <c r="I888" s="18">
        <v>9709.4500000000007</v>
      </c>
      <c r="J888" s="27">
        <v>12310</v>
      </c>
      <c r="K888" s="18">
        <f t="shared" si="27"/>
        <v>0</v>
      </c>
      <c r="L888" s="27">
        <v>10127.36</v>
      </c>
      <c r="M888" s="36">
        <v>417.91</v>
      </c>
      <c r="T888" s="41">
        <v>0</v>
      </c>
      <c r="U888" s="41">
        <v>0</v>
      </c>
      <c r="V888" s="42" t="s">
        <v>113</v>
      </c>
      <c r="W888" s="42">
        <v>0</v>
      </c>
      <c r="X888" s="42">
        <v>0</v>
      </c>
    </row>
    <row r="889" spans="1:24">
      <c r="A889" s="27" t="s">
        <v>1755</v>
      </c>
      <c r="B889" s="28" t="s">
        <v>215</v>
      </c>
      <c r="C889" s="27" t="s">
        <v>1756</v>
      </c>
      <c r="D889" s="27" t="s">
        <v>230</v>
      </c>
      <c r="E889" s="29">
        <v>40113</v>
      </c>
      <c r="F889" s="27">
        <v>15</v>
      </c>
      <c r="G889" s="18">
        <v>135403.35999999999</v>
      </c>
      <c r="H889" s="27">
        <f t="shared" si="26"/>
        <v>0</v>
      </c>
      <c r="I889" s="18">
        <v>106851.13</v>
      </c>
      <c r="J889" s="27">
        <v>135403.35999999999</v>
      </c>
      <c r="K889" s="18">
        <f t="shared" si="27"/>
        <v>0</v>
      </c>
      <c r="L889" s="27">
        <v>111436.83</v>
      </c>
      <c r="M889" s="36">
        <v>4585.7</v>
      </c>
      <c r="T889" s="41">
        <v>0</v>
      </c>
      <c r="U889" s="41">
        <v>0</v>
      </c>
      <c r="V889" s="42" t="s">
        <v>113</v>
      </c>
      <c r="W889" s="42">
        <v>0</v>
      </c>
      <c r="X889" s="42">
        <v>0</v>
      </c>
    </row>
    <row r="890" spans="1:24">
      <c r="A890" s="27" t="s">
        <v>1757</v>
      </c>
      <c r="B890" s="28" t="s">
        <v>215</v>
      </c>
      <c r="C890" s="27" t="s">
        <v>1758</v>
      </c>
      <c r="D890" s="27" t="s">
        <v>230</v>
      </c>
      <c r="E890" s="29">
        <v>40113</v>
      </c>
      <c r="F890" s="27">
        <v>15</v>
      </c>
      <c r="G890" s="18">
        <v>12310</v>
      </c>
      <c r="H890" s="27">
        <f t="shared" si="26"/>
        <v>0</v>
      </c>
      <c r="I890" s="18">
        <v>9709.4500000000007</v>
      </c>
      <c r="J890" s="27">
        <v>12310</v>
      </c>
      <c r="K890" s="18">
        <f t="shared" si="27"/>
        <v>0</v>
      </c>
      <c r="L890" s="27">
        <v>10127.36</v>
      </c>
      <c r="M890" s="36">
        <v>417.91</v>
      </c>
      <c r="T890" s="41">
        <v>0</v>
      </c>
      <c r="U890" s="41">
        <v>0</v>
      </c>
      <c r="V890" s="42" t="s">
        <v>113</v>
      </c>
      <c r="W890" s="42">
        <v>0</v>
      </c>
      <c r="X890" s="42">
        <v>0</v>
      </c>
    </row>
    <row r="891" spans="1:24">
      <c r="A891" s="27" t="s">
        <v>1759</v>
      </c>
      <c r="B891" s="28" t="s">
        <v>215</v>
      </c>
      <c r="C891" s="27" t="s">
        <v>1760</v>
      </c>
      <c r="D891" s="27" t="s">
        <v>230</v>
      </c>
      <c r="E891" s="29">
        <v>40113</v>
      </c>
      <c r="F891" s="27">
        <v>15</v>
      </c>
      <c r="G891" s="18">
        <v>12310</v>
      </c>
      <c r="H891" s="27">
        <f t="shared" si="26"/>
        <v>0</v>
      </c>
      <c r="I891" s="18">
        <v>9709.4500000000007</v>
      </c>
      <c r="J891" s="27">
        <v>12310</v>
      </c>
      <c r="K891" s="18">
        <f t="shared" si="27"/>
        <v>0</v>
      </c>
      <c r="L891" s="27">
        <v>10127.36</v>
      </c>
      <c r="M891" s="36">
        <v>417.91</v>
      </c>
      <c r="T891" s="41">
        <v>0</v>
      </c>
      <c r="U891" s="41">
        <v>0</v>
      </c>
      <c r="V891" s="42" t="s">
        <v>113</v>
      </c>
      <c r="W891" s="42">
        <v>0</v>
      </c>
      <c r="X891" s="42">
        <v>0</v>
      </c>
    </row>
    <row r="892" spans="1:24">
      <c r="A892" s="27" t="s">
        <v>1761</v>
      </c>
      <c r="B892" s="28" t="s">
        <v>215</v>
      </c>
      <c r="C892" s="27" t="s">
        <v>1762</v>
      </c>
      <c r="D892" s="27" t="s">
        <v>230</v>
      </c>
      <c r="E892" s="29">
        <v>40113</v>
      </c>
      <c r="F892" s="27">
        <v>15</v>
      </c>
      <c r="G892" s="18">
        <v>12310</v>
      </c>
      <c r="H892" s="27">
        <f t="shared" si="26"/>
        <v>0</v>
      </c>
      <c r="I892" s="18">
        <v>9709.4500000000007</v>
      </c>
      <c r="J892" s="27">
        <v>12310</v>
      </c>
      <c r="K892" s="18">
        <f t="shared" si="27"/>
        <v>0</v>
      </c>
      <c r="L892" s="27">
        <v>10127.36</v>
      </c>
      <c r="M892" s="36">
        <v>417.91</v>
      </c>
      <c r="T892" s="41">
        <v>0</v>
      </c>
      <c r="U892" s="41">
        <v>0</v>
      </c>
      <c r="V892" s="42" t="s">
        <v>113</v>
      </c>
      <c r="W892" s="42">
        <v>0</v>
      </c>
      <c r="X892" s="42">
        <v>0</v>
      </c>
    </row>
    <row r="893" spans="1:24">
      <c r="A893" s="27" t="s">
        <v>1763</v>
      </c>
      <c r="B893" s="28" t="s">
        <v>215</v>
      </c>
      <c r="C893" s="27" t="s">
        <v>1764</v>
      </c>
      <c r="D893" s="27" t="s">
        <v>118</v>
      </c>
      <c r="E893" s="29">
        <v>40079</v>
      </c>
      <c r="F893" s="27">
        <v>15</v>
      </c>
      <c r="G893" s="18">
        <v>445199.43</v>
      </c>
      <c r="H893" s="27">
        <f t="shared" si="26"/>
        <v>0</v>
      </c>
      <c r="I893" s="18">
        <v>353871.13</v>
      </c>
      <c r="J893" s="27">
        <v>445199.43</v>
      </c>
      <c r="K893" s="18">
        <f t="shared" si="27"/>
        <v>0</v>
      </c>
      <c r="L893" s="27">
        <v>368411.83</v>
      </c>
      <c r="M893" s="36">
        <v>14540.7</v>
      </c>
      <c r="T893" s="41">
        <v>0</v>
      </c>
      <c r="U893" s="41">
        <v>0</v>
      </c>
      <c r="V893" s="42" t="s">
        <v>113</v>
      </c>
      <c r="W893" s="42">
        <v>0</v>
      </c>
      <c r="X893" s="42">
        <v>0</v>
      </c>
    </row>
    <row r="894" spans="1:24">
      <c r="A894" s="27" t="s">
        <v>1765</v>
      </c>
      <c r="B894" s="28" t="s">
        <v>215</v>
      </c>
      <c r="C894" s="27" t="s">
        <v>1766</v>
      </c>
      <c r="D894" s="27" t="s">
        <v>118</v>
      </c>
      <c r="E894" s="29">
        <v>40079</v>
      </c>
      <c r="F894" s="27">
        <v>15</v>
      </c>
      <c r="G894" s="18">
        <v>445199.43</v>
      </c>
      <c r="H894" s="27">
        <f t="shared" si="26"/>
        <v>0</v>
      </c>
      <c r="I894" s="18">
        <v>353871.13</v>
      </c>
      <c r="J894" s="27">
        <v>445199.43</v>
      </c>
      <c r="K894" s="18">
        <f t="shared" si="27"/>
        <v>0</v>
      </c>
      <c r="L894" s="27">
        <v>368411.83</v>
      </c>
      <c r="M894" s="36">
        <v>14540.7</v>
      </c>
      <c r="T894" s="41">
        <v>0</v>
      </c>
      <c r="U894" s="41">
        <v>0</v>
      </c>
      <c r="V894" s="42" t="s">
        <v>113</v>
      </c>
      <c r="W894" s="42">
        <v>0</v>
      </c>
      <c r="X894" s="42">
        <v>0</v>
      </c>
    </row>
    <row r="895" spans="1:24">
      <c r="A895" s="27" t="s">
        <v>1767</v>
      </c>
      <c r="B895" s="28" t="s">
        <v>215</v>
      </c>
      <c r="C895" s="27" t="s">
        <v>1768</v>
      </c>
      <c r="D895" s="27" t="s">
        <v>220</v>
      </c>
      <c r="E895" s="29">
        <v>40179</v>
      </c>
      <c r="F895" s="27">
        <v>15</v>
      </c>
      <c r="G895" s="18">
        <v>1047472.76</v>
      </c>
      <c r="H895" s="27">
        <f t="shared" si="26"/>
        <v>1047472.76</v>
      </c>
      <c r="I895" s="18">
        <v>995099.12</v>
      </c>
      <c r="J895" s="27">
        <v>1047472.76</v>
      </c>
      <c r="K895" s="18">
        <f t="shared" si="27"/>
        <v>1047472.76</v>
      </c>
      <c r="L895" s="27">
        <v>995099.12</v>
      </c>
      <c r="M895" s="36">
        <v>0</v>
      </c>
      <c r="T895" s="41">
        <v>0</v>
      </c>
      <c r="U895" s="41">
        <v>0</v>
      </c>
      <c r="V895" s="42" t="s">
        <v>113</v>
      </c>
      <c r="W895" s="42">
        <v>1047472.76</v>
      </c>
      <c r="X895" s="42">
        <v>1047472.76</v>
      </c>
    </row>
    <row r="896" spans="1:24">
      <c r="A896" s="27" t="s">
        <v>1769</v>
      </c>
      <c r="B896" s="28" t="s">
        <v>215</v>
      </c>
      <c r="C896" s="27" t="s">
        <v>1770</v>
      </c>
      <c r="D896" s="27" t="s">
        <v>230</v>
      </c>
      <c r="E896" s="29">
        <v>40113</v>
      </c>
      <c r="F896" s="27">
        <v>12</v>
      </c>
      <c r="G896" s="18">
        <v>1496.54</v>
      </c>
      <c r="H896" s="27">
        <f t="shared" si="26"/>
        <v>1496.54</v>
      </c>
      <c r="I896" s="18">
        <v>1496.54</v>
      </c>
      <c r="J896" s="27">
        <v>1496.54</v>
      </c>
      <c r="K896" s="18">
        <f t="shared" si="27"/>
        <v>1496.54</v>
      </c>
      <c r="L896" s="27">
        <v>1496.54</v>
      </c>
      <c r="M896" s="36">
        <v>0</v>
      </c>
      <c r="T896" s="41">
        <v>0</v>
      </c>
      <c r="U896" s="41">
        <v>0</v>
      </c>
      <c r="V896" s="42" t="s">
        <v>113</v>
      </c>
      <c r="W896" s="42">
        <v>1496.54</v>
      </c>
      <c r="X896" s="42">
        <v>1496.54</v>
      </c>
    </row>
    <row r="897" spans="1:24">
      <c r="A897" s="27" t="s">
        <v>1771</v>
      </c>
      <c r="B897" s="28" t="s">
        <v>215</v>
      </c>
      <c r="C897" s="27" t="s">
        <v>1772</v>
      </c>
      <c r="D897" s="27" t="s">
        <v>112</v>
      </c>
      <c r="E897" s="29">
        <v>40156</v>
      </c>
      <c r="F897" s="27">
        <v>12</v>
      </c>
      <c r="G897" s="18">
        <v>3430.5</v>
      </c>
      <c r="H897" s="27">
        <f t="shared" si="26"/>
        <v>3430.5</v>
      </c>
      <c r="I897" s="18">
        <v>3430.5</v>
      </c>
      <c r="J897" s="27">
        <v>3430.5</v>
      </c>
      <c r="K897" s="18">
        <f t="shared" si="27"/>
        <v>3430.5</v>
      </c>
      <c r="L897" s="27">
        <v>3430.5</v>
      </c>
      <c r="M897" s="36">
        <v>0</v>
      </c>
      <c r="T897" s="41">
        <v>0</v>
      </c>
      <c r="U897" s="41">
        <v>0</v>
      </c>
      <c r="V897" s="42" t="s">
        <v>113</v>
      </c>
      <c r="W897" s="42">
        <v>3430.5</v>
      </c>
      <c r="X897" s="42">
        <v>3430.5</v>
      </c>
    </row>
    <row r="898" spans="1:24">
      <c r="A898" s="27" t="s">
        <v>1773</v>
      </c>
      <c r="B898" s="28" t="s">
        <v>215</v>
      </c>
      <c r="C898" s="27" t="s">
        <v>1774</v>
      </c>
      <c r="D898" s="27" t="s">
        <v>118</v>
      </c>
      <c r="E898" s="29">
        <v>40084</v>
      </c>
      <c r="F898" s="27">
        <v>15</v>
      </c>
      <c r="G898" s="18">
        <v>52366.48</v>
      </c>
      <c r="H898" s="27">
        <f t="shared" si="26"/>
        <v>0</v>
      </c>
      <c r="I898" s="18">
        <v>41378.559999999998</v>
      </c>
      <c r="J898" s="27">
        <v>52366.48</v>
      </c>
      <c r="K898" s="18">
        <f t="shared" si="27"/>
        <v>0</v>
      </c>
      <c r="L898" s="27">
        <v>43140.58</v>
      </c>
      <c r="M898" s="36">
        <v>1762.02</v>
      </c>
      <c r="T898" s="41">
        <v>0</v>
      </c>
      <c r="U898" s="41">
        <v>0</v>
      </c>
      <c r="V898" s="42" t="s">
        <v>113</v>
      </c>
      <c r="W898" s="42">
        <v>0</v>
      </c>
      <c r="X898" s="42">
        <v>0</v>
      </c>
    </row>
    <row r="899" spans="1:24">
      <c r="A899" s="27" t="s">
        <v>1775</v>
      </c>
      <c r="B899" s="28" t="s">
        <v>215</v>
      </c>
      <c r="C899" s="27" t="s">
        <v>1776</v>
      </c>
      <c r="D899" s="27" t="s">
        <v>118</v>
      </c>
      <c r="E899" s="29">
        <v>40112</v>
      </c>
      <c r="F899" s="27">
        <v>15</v>
      </c>
      <c r="G899" s="18">
        <v>75559.55</v>
      </c>
      <c r="H899" s="27">
        <f t="shared" si="26"/>
        <v>0</v>
      </c>
      <c r="I899" s="18">
        <v>63955.92</v>
      </c>
      <c r="J899" s="27">
        <v>75559.55</v>
      </c>
      <c r="K899" s="18">
        <f t="shared" si="27"/>
        <v>0</v>
      </c>
      <c r="L899" s="27">
        <v>65953.960000000006</v>
      </c>
      <c r="M899" s="36">
        <v>1998.04</v>
      </c>
      <c r="T899" s="41">
        <v>0</v>
      </c>
      <c r="U899" s="41">
        <v>0</v>
      </c>
      <c r="V899" s="42" t="s">
        <v>113</v>
      </c>
      <c r="W899" s="42">
        <v>0</v>
      </c>
      <c r="X899" s="42">
        <v>0</v>
      </c>
    </row>
    <row r="900" spans="1:24">
      <c r="A900" s="27" t="s">
        <v>1777</v>
      </c>
      <c r="B900" s="28" t="s">
        <v>215</v>
      </c>
      <c r="C900" s="27" t="s">
        <v>1778</v>
      </c>
      <c r="D900" s="27" t="s">
        <v>118</v>
      </c>
      <c r="E900" s="29">
        <v>40112</v>
      </c>
      <c r="F900" s="27">
        <v>12</v>
      </c>
      <c r="G900" s="18">
        <v>711.73</v>
      </c>
      <c r="H900" s="27">
        <f t="shared" si="26"/>
        <v>711.73</v>
      </c>
      <c r="I900" s="18">
        <v>711.73</v>
      </c>
      <c r="J900" s="27">
        <v>711.73</v>
      </c>
      <c r="K900" s="18">
        <f t="shared" si="27"/>
        <v>711.73</v>
      </c>
      <c r="L900" s="27">
        <v>711.73</v>
      </c>
      <c r="M900" s="36">
        <v>0</v>
      </c>
      <c r="T900" s="41">
        <v>0</v>
      </c>
      <c r="U900" s="41">
        <v>0</v>
      </c>
      <c r="V900" s="42" t="s">
        <v>113</v>
      </c>
      <c r="W900" s="42">
        <v>711.73</v>
      </c>
      <c r="X900" s="42">
        <v>711.73</v>
      </c>
    </row>
    <row r="901" spans="1:24">
      <c r="A901" s="27" t="s">
        <v>1779</v>
      </c>
      <c r="B901" s="28" t="s">
        <v>215</v>
      </c>
      <c r="C901" s="27" t="s">
        <v>1780</v>
      </c>
      <c r="D901" s="27" t="s">
        <v>220</v>
      </c>
      <c r="E901" s="29">
        <v>40079</v>
      </c>
      <c r="F901" s="27">
        <v>12</v>
      </c>
      <c r="G901" s="18">
        <v>2280.73</v>
      </c>
      <c r="H901" s="27">
        <f t="shared" si="26"/>
        <v>2280.73</v>
      </c>
      <c r="I901" s="18">
        <v>2280.73</v>
      </c>
      <c r="J901" s="27">
        <v>2280.73</v>
      </c>
      <c r="K901" s="18">
        <f t="shared" si="27"/>
        <v>2280.73</v>
      </c>
      <c r="L901" s="27">
        <v>2280.73</v>
      </c>
      <c r="M901" s="36">
        <v>0</v>
      </c>
      <c r="T901" s="41">
        <v>0</v>
      </c>
      <c r="U901" s="41">
        <v>0</v>
      </c>
      <c r="V901" s="42" t="s">
        <v>113</v>
      </c>
      <c r="W901" s="42">
        <v>2280.73</v>
      </c>
      <c r="X901" s="42">
        <v>2280.73</v>
      </c>
    </row>
    <row r="902" spans="1:24">
      <c r="A902" s="27" t="s">
        <v>1781</v>
      </c>
      <c r="B902" s="28" t="s">
        <v>215</v>
      </c>
      <c r="C902" s="27" t="s">
        <v>1782</v>
      </c>
      <c r="D902" s="27" t="s">
        <v>220</v>
      </c>
      <c r="E902" s="29">
        <v>39387</v>
      </c>
      <c r="F902" s="27">
        <v>15</v>
      </c>
      <c r="G902" s="18">
        <v>254916.32</v>
      </c>
      <c r="H902" s="27">
        <f t="shared" ref="H902:H965" si="28">IFERROR(IF(ROUND((G902-I902)/G902,2)&lt;=0.05,G902,0),0)</f>
        <v>0</v>
      </c>
      <c r="I902" s="18">
        <v>215770</v>
      </c>
      <c r="J902" s="27">
        <v>254916.32</v>
      </c>
      <c r="K902" s="18">
        <f t="shared" ref="K902:K965" si="29">IFERROR(IF(ROUND((J902-L902)/J902,2)&lt;=0.05,J902,0),0)</f>
        <v>0</v>
      </c>
      <c r="L902" s="27">
        <v>222510.55</v>
      </c>
      <c r="M902" s="36">
        <v>6740.55</v>
      </c>
      <c r="T902" s="41">
        <v>0</v>
      </c>
      <c r="U902" s="41">
        <v>0</v>
      </c>
      <c r="V902" s="42" t="s">
        <v>113</v>
      </c>
      <c r="W902" s="42">
        <v>0</v>
      </c>
      <c r="X902" s="42">
        <v>0</v>
      </c>
    </row>
    <row r="903" spans="1:24">
      <c r="A903" s="27" t="s">
        <v>1783</v>
      </c>
      <c r="B903" s="28" t="s">
        <v>215</v>
      </c>
      <c r="C903" s="27" t="s">
        <v>1784</v>
      </c>
      <c r="D903" s="27" t="s">
        <v>220</v>
      </c>
      <c r="E903" s="29">
        <v>40179</v>
      </c>
      <c r="F903" s="27">
        <v>15</v>
      </c>
      <c r="G903" s="18">
        <v>236033.5</v>
      </c>
      <c r="H903" s="27">
        <f t="shared" si="28"/>
        <v>236033.5</v>
      </c>
      <c r="I903" s="18">
        <v>224231.82</v>
      </c>
      <c r="J903" s="27">
        <v>236033.5</v>
      </c>
      <c r="K903" s="18">
        <f t="shared" si="29"/>
        <v>236033.5</v>
      </c>
      <c r="L903" s="27">
        <v>224231.82</v>
      </c>
      <c r="M903" s="36">
        <v>0</v>
      </c>
      <c r="T903" s="41">
        <v>0</v>
      </c>
      <c r="U903" s="41">
        <v>0</v>
      </c>
      <c r="V903" s="42" t="s">
        <v>113</v>
      </c>
      <c r="W903" s="42">
        <v>236033.5</v>
      </c>
      <c r="X903" s="42">
        <v>236033.5</v>
      </c>
    </row>
    <row r="904" spans="1:24">
      <c r="A904" s="27" t="s">
        <v>1785</v>
      </c>
      <c r="B904" s="28" t="s">
        <v>215</v>
      </c>
      <c r="C904" s="27" t="s">
        <v>1786</v>
      </c>
      <c r="D904" s="27" t="s">
        <v>118</v>
      </c>
      <c r="E904" s="29">
        <v>38687</v>
      </c>
      <c r="F904" s="27">
        <v>15</v>
      </c>
      <c r="G904" s="18">
        <v>98021.89</v>
      </c>
      <c r="H904" s="27">
        <f t="shared" si="28"/>
        <v>98021.89</v>
      </c>
      <c r="I904" s="18">
        <v>93120.8</v>
      </c>
      <c r="J904" s="27">
        <v>98021.89</v>
      </c>
      <c r="K904" s="18">
        <f t="shared" si="29"/>
        <v>98021.89</v>
      </c>
      <c r="L904" s="27">
        <v>93120.8</v>
      </c>
      <c r="M904" s="36">
        <v>0</v>
      </c>
      <c r="T904" s="41">
        <v>0</v>
      </c>
      <c r="U904" s="41">
        <v>0</v>
      </c>
      <c r="V904" s="42" t="s">
        <v>113</v>
      </c>
      <c r="W904" s="42">
        <v>98021.89</v>
      </c>
      <c r="X904" s="42">
        <v>98021.89</v>
      </c>
    </row>
    <row r="905" spans="1:24">
      <c r="A905" s="27" t="s">
        <v>1787</v>
      </c>
      <c r="B905" s="28" t="s">
        <v>215</v>
      </c>
      <c r="C905" s="27" t="s">
        <v>1788</v>
      </c>
      <c r="D905" s="27" t="s">
        <v>112</v>
      </c>
      <c r="E905" s="29">
        <v>40268</v>
      </c>
      <c r="F905" s="27">
        <v>15</v>
      </c>
      <c r="G905" s="18">
        <v>10814.36</v>
      </c>
      <c r="H905" s="27">
        <f t="shared" si="28"/>
        <v>0</v>
      </c>
      <c r="I905" s="18">
        <v>7421.77</v>
      </c>
      <c r="J905" s="27">
        <v>10814.36</v>
      </c>
      <c r="K905" s="18">
        <f t="shared" si="29"/>
        <v>0</v>
      </c>
      <c r="L905" s="27">
        <v>7878.07</v>
      </c>
      <c r="M905" s="36">
        <v>456.3</v>
      </c>
      <c r="T905" s="41">
        <v>0</v>
      </c>
      <c r="U905" s="41">
        <v>0</v>
      </c>
      <c r="V905" s="42" t="s">
        <v>113</v>
      </c>
      <c r="W905" s="42">
        <v>0</v>
      </c>
      <c r="X905" s="42">
        <v>0</v>
      </c>
    </row>
    <row r="906" spans="1:24">
      <c r="A906" s="27" t="s">
        <v>1789</v>
      </c>
      <c r="B906" s="28" t="s">
        <v>215</v>
      </c>
      <c r="C906" s="27" t="s">
        <v>1790</v>
      </c>
      <c r="D906" s="27" t="s">
        <v>112</v>
      </c>
      <c r="E906" s="29">
        <v>40268</v>
      </c>
      <c r="F906" s="27">
        <v>15</v>
      </c>
      <c r="G906" s="18">
        <v>16221.54</v>
      </c>
      <c r="H906" s="27">
        <f t="shared" si="28"/>
        <v>0</v>
      </c>
      <c r="I906" s="18">
        <v>11132.67</v>
      </c>
      <c r="J906" s="27">
        <v>16221.54</v>
      </c>
      <c r="K906" s="18">
        <f t="shared" si="29"/>
        <v>0</v>
      </c>
      <c r="L906" s="27">
        <v>11817.12</v>
      </c>
      <c r="M906" s="36">
        <v>684.45</v>
      </c>
      <c r="T906" s="41">
        <v>0</v>
      </c>
      <c r="U906" s="41">
        <v>0</v>
      </c>
      <c r="V906" s="42" t="s">
        <v>113</v>
      </c>
      <c r="W906" s="42">
        <v>0</v>
      </c>
      <c r="X906" s="42">
        <v>0</v>
      </c>
    </row>
    <row r="907" spans="1:24">
      <c r="A907" s="27" t="s">
        <v>1791</v>
      </c>
      <c r="B907" s="28" t="s">
        <v>215</v>
      </c>
      <c r="C907" s="27" t="s">
        <v>1792</v>
      </c>
      <c r="D907" s="27" t="s">
        <v>112</v>
      </c>
      <c r="E907" s="29">
        <v>40268</v>
      </c>
      <c r="F907" s="27">
        <v>15</v>
      </c>
      <c r="G907" s="18">
        <v>114881.62</v>
      </c>
      <c r="H907" s="27">
        <f t="shared" si="28"/>
        <v>0</v>
      </c>
      <c r="I907" s="18">
        <v>80355.320000000007</v>
      </c>
      <c r="J907" s="27">
        <v>114881.62</v>
      </c>
      <c r="K907" s="18">
        <f t="shared" si="29"/>
        <v>0</v>
      </c>
      <c r="L907" s="27">
        <v>84960.48</v>
      </c>
      <c r="M907" s="36">
        <v>4605.16</v>
      </c>
      <c r="T907" s="41">
        <v>0</v>
      </c>
      <c r="U907" s="41">
        <v>0</v>
      </c>
      <c r="V907" s="42" t="s">
        <v>113</v>
      </c>
      <c r="W907" s="42">
        <v>0</v>
      </c>
      <c r="X907" s="42">
        <v>0</v>
      </c>
    </row>
    <row r="908" spans="1:24">
      <c r="A908" s="27" t="s">
        <v>1793</v>
      </c>
      <c r="B908" s="28" t="s">
        <v>215</v>
      </c>
      <c r="C908" s="27" t="s">
        <v>1794</v>
      </c>
      <c r="D908" s="27" t="s">
        <v>112</v>
      </c>
      <c r="E908" s="29">
        <v>40268</v>
      </c>
      <c r="F908" s="27">
        <v>15</v>
      </c>
      <c r="G908" s="18">
        <v>114881.81</v>
      </c>
      <c r="H908" s="27">
        <f t="shared" si="28"/>
        <v>0</v>
      </c>
      <c r="I908" s="18">
        <v>80355.42</v>
      </c>
      <c r="J908" s="27">
        <v>114881.81</v>
      </c>
      <c r="K908" s="18">
        <f t="shared" si="29"/>
        <v>0</v>
      </c>
      <c r="L908" s="27">
        <v>84960.59</v>
      </c>
      <c r="M908" s="36">
        <v>4605.17</v>
      </c>
      <c r="T908" s="41">
        <v>0</v>
      </c>
      <c r="U908" s="41">
        <v>0</v>
      </c>
      <c r="V908" s="42" t="s">
        <v>113</v>
      </c>
      <c r="W908" s="42">
        <v>0</v>
      </c>
      <c r="X908" s="42">
        <v>0</v>
      </c>
    </row>
    <row r="909" spans="1:24">
      <c r="A909" s="27" t="s">
        <v>1795</v>
      </c>
      <c r="B909" s="28" t="s">
        <v>215</v>
      </c>
      <c r="C909" s="27" t="s">
        <v>1796</v>
      </c>
      <c r="D909" s="27" t="s">
        <v>112</v>
      </c>
      <c r="E909" s="29">
        <v>40268</v>
      </c>
      <c r="F909" s="27">
        <v>15</v>
      </c>
      <c r="G909" s="18">
        <v>10814.36</v>
      </c>
      <c r="H909" s="27">
        <f t="shared" si="28"/>
        <v>0</v>
      </c>
      <c r="I909" s="18">
        <v>7421.77</v>
      </c>
      <c r="J909" s="27">
        <v>10814.36</v>
      </c>
      <c r="K909" s="18">
        <f t="shared" si="29"/>
        <v>0</v>
      </c>
      <c r="L909" s="27">
        <v>7878.07</v>
      </c>
      <c r="M909" s="36">
        <v>456.3</v>
      </c>
      <c r="T909" s="41">
        <v>0</v>
      </c>
      <c r="U909" s="41">
        <v>0</v>
      </c>
      <c r="V909" s="42" t="s">
        <v>113</v>
      </c>
      <c r="W909" s="42">
        <v>0</v>
      </c>
      <c r="X909" s="42">
        <v>0</v>
      </c>
    </row>
    <row r="910" spans="1:24">
      <c r="A910" s="27" t="s">
        <v>1797</v>
      </c>
      <c r="B910" s="28" t="s">
        <v>215</v>
      </c>
      <c r="C910" s="27" t="s">
        <v>1798</v>
      </c>
      <c r="D910" s="27" t="s">
        <v>112</v>
      </c>
      <c r="E910" s="29">
        <v>40268</v>
      </c>
      <c r="F910" s="27">
        <v>15</v>
      </c>
      <c r="G910" s="18">
        <v>10814.36</v>
      </c>
      <c r="H910" s="27">
        <f t="shared" si="28"/>
        <v>0</v>
      </c>
      <c r="I910" s="18">
        <v>7421.77</v>
      </c>
      <c r="J910" s="27">
        <v>10814.36</v>
      </c>
      <c r="K910" s="18">
        <f t="shared" si="29"/>
        <v>0</v>
      </c>
      <c r="L910" s="27">
        <v>7878.07</v>
      </c>
      <c r="M910" s="36">
        <v>456.3</v>
      </c>
      <c r="T910" s="41">
        <v>0</v>
      </c>
      <c r="U910" s="41">
        <v>0</v>
      </c>
      <c r="V910" s="42" t="s">
        <v>113</v>
      </c>
      <c r="W910" s="42">
        <v>0</v>
      </c>
      <c r="X910" s="42">
        <v>0</v>
      </c>
    </row>
    <row r="911" spans="1:24">
      <c r="A911" s="27" t="s">
        <v>1799</v>
      </c>
      <c r="B911" s="28" t="s">
        <v>215</v>
      </c>
      <c r="C911" s="27" t="s">
        <v>1800</v>
      </c>
      <c r="D911" s="27" t="s">
        <v>112</v>
      </c>
      <c r="E911" s="29">
        <v>40268</v>
      </c>
      <c r="F911" s="27">
        <v>12</v>
      </c>
      <c r="G911" s="18">
        <v>2259.37</v>
      </c>
      <c r="H911" s="27">
        <f t="shared" si="28"/>
        <v>2259.37</v>
      </c>
      <c r="I911" s="18">
        <v>2259.37</v>
      </c>
      <c r="J911" s="27">
        <v>2259.37</v>
      </c>
      <c r="K911" s="18">
        <f t="shared" si="29"/>
        <v>2259.37</v>
      </c>
      <c r="L911" s="27">
        <v>2259.37</v>
      </c>
      <c r="M911" s="36">
        <v>0</v>
      </c>
      <c r="T911" s="41">
        <v>0</v>
      </c>
      <c r="U911" s="41">
        <v>0</v>
      </c>
      <c r="V911" s="42" t="s">
        <v>113</v>
      </c>
      <c r="W911" s="42">
        <v>2259.37</v>
      </c>
      <c r="X911" s="42">
        <v>2259.37</v>
      </c>
    </row>
    <row r="912" spans="1:24">
      <c r="A912" s="27" t="s">
        <v>1801</v>
      </c>
      <c r="B912" s="28" t="s">
        <v>215</v>
      </c>
      <c r="C912" s="27" t="s">
        <v>1802</v>
      </c>
      <c r="D912" s="27" t="s">
        <v>112</v>
      </c>
      <c r="E912" s="29">
        <v>40268</v>
      </c>
      <c r="F912" s="27">
        <v>12</v>
      </c>
      <c r="G912" s="18">
        <v>2259.37</v>
      </c>
      <c r="H912" s="27">
        <f t="shared" si="28"/>
        <v>2259.37</v>
      </c>
      <c r="I912" s="18">
        <v>2259.37</v>
      </c>
      <c r="J912" s="27">
        <v>2259.37</v>
      </c>
      <c r="K912" s="18">
        <f t="shared" si="29"/>
        <v>2259.37</v>
      </c>
      <c r="L912" s="27">
        <v>2259.37</v>
      </c>
      <c r="M912" s="36">
        <v>0</v>
      </c>
      <c r="T912" s="41">
        <v>0</v>
      </c>
      <c r="U912" s="41">
        <v>0</v>
      </c>
      <c r="V912" s="42" t="s">
        <v>113</v>
      </c>
      <c r="W912" s="42">
        <v>2259.37</v>
      </c>
      <c r="X912" s="42">
        <v>2259.37</v>
      </c>
    </row>
    <row r="913" spans="1:24">
      <c r="A913" s="27" t="s">
        <v>1803</v>
      </c>
      <c r="B913" s="28" t="s">
        <v>215</v>
      </c>
      <c r="C913" s="27" t="s">
        <v>1804</v>
      </c>
      <c r="D913" s="27" t="s">
        <v>112</v>
      </c>
      <c r="E913" s="29">
        <v>40268</v>
      </c>
      <c r="F913" s="27">
        <v>12</v>
      </c>
      <c r="G913" s="18">
        <v>2259.37</v>
      </c>
      <c r="H913" s="27">
        <f t="shared" si="28"/>
        <v>2259.37</v>
      </c>
      <c r="I913" s="18">
        <v>2259.37</v>
      </c>
      <c r="J913" s="27">
        <v>2259.37</v>
      </c>
      <c r="K913" s="18">
        <f t="shared" si="29"/>
        <v>2259.37</v>
      </c>
      <c r="L913" s="27">
        <v>2259.37</v>
      </c>
      <c r="M913" s="36">
        <v>0</v>
      </c>
      <c r="T913" s="41">
        <v>0</v>
      </c>
      <c r="U913" s="41">
        <v>0</v>
      </c>
      <c r="V913" s="42" t="s">
        <v>113</v>
      </c>
      <c r="W913" s="42">
        <v>2259.37</v>
      </c>
      <c r="X913" s="42">
        <v>2259.37</v>
      </c>
    </row>
    <row r="914" spans="1:24">
      <c r="A914" s="27" t="s">
        <v>1805</v>
      </c>
      <c r="B914" s="28" t="s">
        <v>215</v>
      </c>
      <c r="C914" s="27" t="s">
        <v>1806</v>
      </c>
      <c r="D914" s="27" t="s">
        <v>112</v>
      </c>
      <c r="E914" s="29">
        <v>40268</v>
      </c>
      <c r="F914" s="27">
        <v>15</v>
      </c>
      <c r="G914" s="18">
        <v>10814.36</v>
      </c>
      <c r="H914" s="27">
        <f t="shared" si="28"/>
        <v>0</v>
      </c>
      <c r="I914" s="18">
        <v>7421.77</v>
      </c>
      <c r="J914" s="27">
        <v>10814.36</v>
      </c>
      <c r="K914" s="18">
        <f t="shared" si="29"/>
        <v>0</v>
      </c>
      <c r="L914" s="27">
        <v>7878.07</v>
      </c>
      <c r="M914" s="36">
        <v>456.3</v>
      </c>
      <c r="T914" s="41">
        <v>0</v>
      </c>
      <c r="U914" s="41">
        <v>0</v>
      </c>
      <c r="V914" s="42" t="s">
        <v>113</v>
      </c>
      <c r="W914" s="42">
        <v>0</v>
      </c>
      <c r="X914" s="42">
        <v>0</v>
      </c>
    </row>
    <row r="915" spans="1:24">
      <c r="A915" s="27" t="s">
        <v>1807</v>
      </c>
      <c r="B915" s="28" t="s">
        <v>215</v>
      </c>
      <c r="C915" s="27" t="s">
        <v>1808</v>
      </c>
      <c r="D915" s="27" t="s">
        <v>112</v>
      </c>
      <c r="E915" s="29">
        <v>40268</v>
      </c>
      <c r="F915" s="27">
        <v>15</v>
      </c>
      <c r="G915" s="18">
        <v>12552.08</v>
      </c>
      <c r="H915" s="27">
        <f t="shared" si="28"/>
        <v>0</v>
      </c>
      <c r="I915" s="18">
        <v>8614.3700000000008</v>
      </c>
      <c r="J915" s="27">
        <v>12552.08</v>
      </c>
      <c r="K915" s="18">
        <f t="shared" si="29"/>
        <v>0</v>
      </c>
      <c r="L915" s="27">
        <v>9143.99</v>
      </c>
      <c r="M915" s="36">
        <v>529.62</v>
      </c>
      <c r="T915" s="41">
        <v>0</v>
      </c>
      <c r="U915" s="41">
        <v>0</v>
      </c>
      <c r="V915" s="42" t="s">
        <v>113</v>
      </c>
      <c r="W915" s="42">
        <v>0</v>
      </c>
      <c r="X915" s="42">
        <v>0</v>
      </c>
    </row>
    <row r="916" spans="1:24">
      <c r="A916" s="27" t="s">
        <v>1809</v>
      </c>
      <c r="B916" s="28" t="s">
        <v>215</v>
      </c>
      <c r="C916" s="27" t="s">
        <v>1810</v>
      </c>
      <c r="D916" s="27" t="s">
        <v>112</v>
      </c>
      <c r="E916" s="29">
        <v>40268</v>
      </c>
      <c r="F916" s="27">
        <v>15</v>
      </c>
      <c r="G916" s="18">
        <v>12552.08</v>
      </c>
      <c r="H916" s="27">
        <f t="shared" si="28"/>
        <v>0</v>
      </c>
      <c r="I916" s="18">
        <v>8614.3700000000008</v>
      </c>
      <c r="J916" s="27">
        <v>12552.08</v>
      </c>
      <c r="K916" s="18">
        <f t="shared" si="29"/>
        <v>0</v>
      </c>
      <c r="L916" s="27">
        <v>9143.99</v>
      </c>
      <c r="M916" s="36">
        <v>529.62</v>
      </c>
      <c r="T916" s="41">
        <v>0</v>
      </c>
      <c r="U916" s="41">
        <v>0</v>
      </c>
      <c r="V916" s="42" t="s">
        <v>113</v>
      </c>
      <c r="W916" s="42">
        <v>0</v>
      </c>
      <c r="X916" s="42">
        <v>0</v>
      </c>
    </row>
    <row r="917" spans="1:24">
      <c r="A917" s="27" t="s">
        <v>1811</v>
      </c>
      <c r="B917" s="28" t="s">
        <v>215</v>
      </c>
      <c r="C917" s="27" t="s">
        <v>1812</v>
      </c>
      <c r="D917" s="27" t="s">
        <v>112</v>
      </c>
      <c r="E917" s="29">
        <v>40268</v>
      </c>
      <c r="F917" s="27">
        <v>15</v>
      </c>
      <c r="G917" s="18">
        <v>12552.08</v>
      </c>
      <c r="H917" s="27">
        <f t="shared" si="28"/>
        <v>0</v>
      </c>
      <c r="I917" s="18">
        <v>8614.3700000000008</v>
      </c>
      <c r="J917" s="27">
        <v>12552.08</v>
      </c>
      <c r="K917" s="18">
        <f t="shared" si="29"/>
        <v>0</v>
      </c>
      <c r="L917" s="27">
        <v>9143.99</v>
      </c>
      <c r="M917" s="36">
        <v>529.62</v>
      </c>
      <c r="T917" s="41">
        <v>0</v>
      </c>
      <c r="U917" s="41">
        <v>0</v>
      </c>
      <c r="V917" s="42" t="s">
        <v>113</v>
      </c>
      <c r="W917" s="42">
        <v>0</v>
      </c>
      <c r="X917" s="42">
        <v>0</v>
      </c>
    </row>
    <row r="918" spans="1:24">
      <c r="A918" s="27" t="s">
        <v>1813</v>
      </c>
      <c r="B918" s="28" t="s">
        <v>215</v>
      </c>
      <c r="C918" s="27" t="s">
        <v>1814</v>
      </c>
      <c r="D918" s="27" t="s">
        <v>112</v>
      </c>
      <c r="E918" s="29">
        <v>40268</v>
      </c>
      <c r="F918" s="27">
        <v>12</v>
      </c>
      <c r="G918" s="18">
        <v>2259.37</v>
      </c>
      <c r="H918" s="27">
        <f t="shared" si="28"/>
        <v>2259.37</v>
      </c>
      <c r="I918" s="18">
        <v>2259.37</v>
      </c>
      <c r="J918" s="27">
        <v>2259.37</v>
      </c>
      <c r="K918" s="18">
        <f t="shared" si="29"/>
        <v>2259.37</v>
      </c>
      <c r="L918" s="27">
        <v>2259.37</v>
      </c>
      <c r="M918" s="36">
        <v>0</v>
      </c>
      <c r="T918" s="41">
        <v>0</v>
      </c>
      <c r="U918" s="41">
        <v>0</v>
      </c>
      <c r="V918" s="42" t="s">
        <v>113</v>
      </c>
      <c r="W918" s="42">
        <v>2259.37</v>
      </c>
      <c r="X918" s="42">
        <v>2259.37</v>
      </c>
    </row>
    <row r="919" spans="1:24">
      <c r="A919" s="27" t="s">
        <v>1815</v>
      </c>
      <c r="B919" s="28" t="s">
        <v>215</v>
      </c>
      <c r="C919" s="27" t="s">
        <v>1816</v>
      </c>
      <c r="D919" s="27" t="s">
        <v>112</v>
      </c>
      <c r="E919" s="29">
        <v>40268</v>
      </c>
      <c r="F919" s="27">
        <v>12</v>
      </c>
      <c r="G919" s="18">
        <v>2259.37</v>
      </c>
      <c r="H919" s="27">
        <f t="shared" si="28"/>
        <v>2259.37</v>
      </c>
      <c r="I919" s="18">
        <v>2259.37</v>
      </c>
      <c r="J919" s="27">
        <v>2259.37</v>
      </c>
      <c r="K919" s="18">
        <f t="shared" si="29"/>
        <v>2259.37</v>
      </c>
      <c r="L919" s="27">
        <v>2259.37</v>
      </c>
      <c r="M919" s="36">
        <v>0</v>
      </c>
      <c r="T919" s="41">
        <v>0</v>
      </c>
      <c r="U919" s="41">
        <v>0</v>
      </c>
      <c r="V919" s="42" t="s">
        <v>113</v>
      </c>
      <c r="W919" s="42">
        <v>2259.37</v>
      </c>
      <c r="X919" s="42">
        <v>2259.37</v>
      </c>
    </row>
    <row r="920" spans="1:24">
      <c r="A920" s="27" t="s">
        <v>1817</v>
      </c>
      <c r="B920" s="28" t="s">
        <v>215</v>
      </c>
      <c r="C920" s="27" t="s">
        <v>1818</v>
      </c>
      <c r="D920" s="27" t="s">
        <v>112</v>
      </c>
      <c r="E920" s="29">
        <v>40268</v>
      </c>
      <c r="F920" s="27">
        <v>12</v>
      </c>
      <c r="G920" s="18">
        <v>2259.4</v>
      </c>
      <c r="H920" s="27">
        <f t="shared" si="28"/>
        <v>2259.4</v>
      </c>
      <c r="I920" s="18">
        <v>2259.4</v>
      </c>
      <c r="J920" s="27">
        <v>2259.4</v>
      </c>
      <c r="K920" s="18">
        <f t="shared" si="29"/>
        <v>2259.4</v>
      </c>
      <c r="L920" s="27">
        <v>2259.4</v>
      </c>
      <c r="M920" s="36">
        <v>0</v>
      </c>
      <c r="T920" s="41">
        <v>0</v>
      </c>
      <c r="U920" s="41">
        <v>0</v>
      </c>
      <c r="V920" s="42" t="s">
        <v>113</v>
      </c>
      <c r="W920" s="42">
        <v>2259.4</v>
      </c>
      <c r="X920" s="42">
        <v>2259.4</v>
      </c>
    </row>
    <row r="921" spans="1:24">
      <c r="A921" s="27" t="s">
        <v>1819</v>
      </c>
      <c r="B921" s="28" t="s">
        <v>215</v>
      </c>
      <c r="C921" s="27" t="s">
        <v>1820</v>
      </c>
      <c r="D921" s="27" t="s">
        <v>112</v>
      </c>
      <c r="E921" s="29">
        <v>40268</v>
      </c>
      <c r="F921" s="27">
        <v>15</v>
      </c>
      <c r="G921" s="18">
        <v>12552.08</v>
      </c>
      <c r="H921" s="27">
        <f t="shared" si="28"/>
        <v>0</v>
      </c>
      <c r="I921" s="18">
        <v>8614.3700000000008</v>
      </c>
      <c r="J921" s="27">
        <v>12552.08</v>
      </c>
      <c r="K921" s="18">
        <f t="shared" si="29"/>
        <v>0</v>
      </c>
      <c r="L921" s="27">
        <v>9143.99</v>
      </c>
      <c r="M921" s="36">
        <v>529.62</v>
      </c>
      <c r="T921" s="41">
        <v>0</v>
      </c>
      <c r="U921" s="41">
        <v>0</v>
      </c>
      <c r="V921" s="42" t="s">
        <v>113</v>
      </c>
      <c r="W921" s="42">
        <v>0</v>
      </c>
      <c r="X921" s="42">
        <v>0</v>
      </c>
    </row>
    <row r="922" spans="1:24">
      <c r="A922" s="27" t="s">
        <v>1821</v>
      </c>
      <c r="B922" s="28" t="s">
        <v>215</v>
      </c>
      <c r="C922" s="27" t="s">
        <v>1822</v>
      </c>
      <c r="D922" s="27" t="s">
        <v>112</v>
      </c>
      <c r="E922" s="29">
        <v>40268</v>
      </c>
      <c r="F922" s="27">
        <v>15</v>
      </c>
      <c r="G922" s="18">
        <v>12552.08</v>
      </c>
      <c r="H922" s="27">
        <f t="shared" si="28"/>
        <v>0</v>
      </c>
      <c r="I922" s="18">
        <v>8614.3700000000008</v>
      </c>
      <c r="J922" s="27">
        <v>12552.08</v>
      </c>
      <c r="K922" s="18">
        <f t="shared" si="29"/>
        <v>0</v>
      </c>
      <c r="L922" s="27">
        <v>9143.99</v>
      </c>
      <c r="M922" s="36">
        <v>529.62</v>
      </c>
      <c r="T922" s="41">
        <v>0</v>
      </c>
      <c r="U922" s="41">
        <v>0</v>
      </c>
      <c r="V922" s="42" t="s">
        <v>113</v>
      </c>
      <c r="W922" s="42">
        <v>0</v>
      </c>
      <c r="X922" s="42">
        <v>0</v>
      </c>
    </row>
    <row r="923" spans="1:24">
      <c r="A923" s="27" t="s">
        <v>1823</v>
      </c>
      <c r="B923" s="28" t="s">
        <v>215</v>
      </c>
      <c r="C923" s="27" t="s">
        <v>1824</v>
      </c>
      <c r="D923" s="27" t="s">
        <v>112</v>
      </c>
      <c r="E923" s="29">
        <v>40268</v>
      </c>
      <c r="F923" s="27">
        <v>15</v>
      </c>
      <c r="G923" s="18">
        <v>12552.07</v>
      </c>
      <c r="H923" s="27">
        <f t="shared" si="28"/>
        <v>0</v>
      </c>
      <c r="I923" s="18">
        <v>8614.36</v>
      </c>
      <c r="J923" s="27">
        <v>12552.07</v>
      </c>
      <c r="K923" s="18">
        <f t="shared" si="29"/>
        <v>0</v>
      </c>
      <c r="L923" s="27">
        <v>9143.98</v>
      </c>
      <c r="M923" s="36">
        <v>529.62</v>
      </c>
      <c r="T923" s="41">
        <v>0</v>
      </c>
      <c r="U923" s="41">
        <v>0</v>
      </c>
      <c r="V923" s="42" t="s">
        <v>113</v>
      </c>
      <c r="W923" s="42">
        <v>0</v>
      </c>
      <c r="X923" s="42">
        <v>0</v>
      </c>
    </row>
    <row r="924" spans="1:24">
      <c r="A924" s="27" t="s">
        <v>1825</v>
      </c>
      <c r="B924" s="28" t="s">
        <v>215</v>
      </c>
      <c r="C924" s="27" t="s">
        <v>1826</v>
      </c>
      <c r="D924" s="27" t="s">
        <v>112</v>
      </c>
      <c r="E924" s="29">
        <v>40268</v>
      </c>
      <c r="F924" s="27">
        <v>12</v>
      </c>
      <c r="G924" s="18">
        <v>4200</v>
      </c>
      <c r="H924" s="27">
        <f t="shared" si="28"/>
        <v>4200</v>
      </c>
      <c r="I924" s="18">
        <v>4200</v>
      </c>
      <c r="J924" s="27">
        <v>4200</v>
      </c>
      <c r="K924" s="18">
        <f t="shared" si="29"/>
        <v>4200</v>
      </c>
      <c r="L924" s="27">
        <v>4200</v>
      </c>
      <c r="M924" s="36">
        <v>0</v>
      </c>
      <c r="T924" s="41">
        <v>0</v>
      </c>
      <c r="U924" s="41">
        <v>0</v>
      </c>
      <c r="V924" s="42" t="s">
        <v>113</v>
      </c>
      <c r="W924" s="42">
        <v>4200</v>
      </c>
      <c r="X924" s="42">
        <v>4200</v>
      </c>
    </row>
    <row r="925" spans="1:24">
      <c r="A925" s="27" t="s">
        <v>1827</v>
      </c>
      <c r="B925" s="28" t="s">
        <v>215</v>
      </c>
      <c r="C925" s="27" t="s">
        <v>1828</v>
      </c>
      <c r="D925" s="27" t="s">
        <v>112</v>
      </c>
      <c r="E925" s="29">
        <v>40268</v>
      </c>
      <c r="F925" s="27">
        <v>12</v>
      </c>
      <c r="G925" s="18">
        <v>4200</v>
      </c>
      <c r="H925" s="27">
        <f t="shared" si="28"/>
        <v>4200</v>
      </c>
      <c r="I925" s="18">
        <v>4200</v>
      </c>
      <c r="J925" s="27">
        <v>4200</v>
      </c>
      <c r="K925" s="18">
        <f t="shared" si="29"/>
        <v>4200</v>
      </c>
      <c r="L925" s="27">
        <v>4200</v>
      </c>
      <c r="M925" s="36">
        <v>0</v>
      </c>
      <c r="T925" s="41">
        <v>0</v>
      </c>
      <c r="U925" s="41">
        <v>0</v>
      </c>
      <c r="V925" s="42" t="s">
        <v>113</v>
      </c>
      <c r="W925" s="42">
        <v>4200</v>
      </c>
      <c r="X925" s="42">
        <v>4200</v>
      </c>
    </row>
    <row r="926" spans="1:24">
      <c r="A926" s="27" t="s">
        <v>1829</v>
      </c>
      <c r="B926" s="28" t="s">
        <v>215</v>
      </c>
      <c r="C926" s="27" t="s">
        <v>1830</v>
      </c>
      <c r="D926" s="27" t="s">
        <v>112</v>
      </c>
      <c r="E926" s="29">
        <v>40268</v>
      </c>
      <c r="F926" s="27">
        <v>12</v>
      </c>
      <c r="G926" s="18">
        <v>4200</v>
      </c>
      <c r="H926" s="27">
        <f t="shared" si="28"/>
        <v>4200</v>
      </c>
      <c r="I926" s="18">
        <v>4200</v>
      </c>
      <c r="J926" s="27">
        <v>4200</v>
      </c>
      <c r="K926" s="18">
        <f t="shared" si="29"/>
        <v>4200</v>
      </c>
      <c r="L926" s="27">
        <v>4200</v>
      </c>
      <c r="M926" s="36">
        <v>0</v>
      </c>
      <c r="T926" s="41">
        <v>0</v>
      </c>
      <c r="U926" s="41">
        <v>0</v>
      </c>
      <c r="V926" s="42" t="s">
        <v>113</v>
      </c>
      <c r="W926" s="42">
        <v>4200</v>
      </c>
      <c r="X926" s="42">
        <v>4200</v>
      </c>
    </row>
    <row r="927" spans="1:24">
      <c r="A927" s="27" t="s">
        <v>1831</v>
      </c>
      <c r="B927" s="28" t="s">
        <v>215</v>
      </c>
      <c r="C927" s="27" t="s">
        <v>1832</v>
      </c>
      <c r="D927" s="27" t="s">
        <v>230</v>
      </c>
      <c r="E927" s="29">
        <v>40169</v>
      </c>
      <c r="F927" s="27">
        <v>15</v>
      </c>
      <c r="G927" s="18">
        <v>25237.53</v>
      </c>
      <c r="H927" s="27">
        <f t="shared" si="28"/>
        <v>0</v>
      </c>
      <c r="I927" s="18">
        <v>21930.41</v>
      </c>
      <c r="J927" s="27">
        <v>25237.53</v>
      </c>
      <c r="K927" s="18">
        <f t="shared" si="29"/>
        <v>0</v>
      </c>
      <c r="L927" s="27">
        <v>22441.72</v>
      </c>
      <c r="M927" s="36">
        <v>511.31</v>
      </c>
      <c r="T927" s="41">
        <v>0</v>
      </c>
      <c r="U927" s="41">
        <v>0</v>
      </c>
      <c r="V927" s="42" t="s">
        <v>113</v>
      </c>
      <c r="W927" s="42">
        <v>0</v>
      </c>
      <c r="X927" s="42">
        <v>0</v>
      </c>
    </row>
    <row r="928" spans="1:24">
      <c r="A928" s="27" t="s">
        <v>1833</v>
      </c>
      <c r="B928" s="28" t="s">
        <v>215</v>
      </c>
      <c r="C928" s="27" t="s">
        <v>1834</v>
      </c>
      <c r="D928" s="27" t="s">
        <v>230</v>
      </c>
      <c r="E928" s="29">
        <v>40169</v>
      </c>
      <c r="F928" s="27">
        <v>15</v>
      </c>
      <c r="G928" s="18">
        <v>27588</v>
      </c>
      <c r="H928" s="27">
        <f t="shared" si="28"/>
        <v>0</v>
      </c>
      <c r="I928" s="18">
        <v>24082.48</v>
      </c>
      <c r="J928" s="27">
        <v>27588</v>
      </c>
      <c r="K928" s="18">
        <f t="shared" si="29"/>
        <v>0</v>
      </c>
      <c r="L928" s="27">
        <v>24614.01</v>
      </c>
      <c r="M928" s="36">
        <v>531.53</v>
      </c>
      <c r="T928" s="41">
        <v>0</v>
      </c>
      <c r="U928" s="41">
        <v>0</v>
      </c>
      <c r="V928" s="42" t="s">
        <v>113</v>
      </c>
      <c r="W928" s="42">
        <v>0</v>
      </c>
      <c r="X928" s="42">
        <v>0</v>
      </c>
    </row>
    <row r="929" spans="1:24">
      <c r="A929" s="27" t="s">
        <v>1835</v>
      </c>
      <c r="B929" s="28" t="s">
        <v>215</v>
      </c>
      <c r="C929" s="27" t="s">
        <v>1836</v>
      </c>
      <c r="D929" s="27" t="s">
        <v>112</v>
      </c>
      <c r="E929" s="29">
        <v>40169</v>
      </c>
      <c r="F929" s="27">
        <v>15</v>
      </c>
      <c r="G929" s="18">
        <v>13941</v>
      </c>
      <c r="H929" s="27">
        <f t="shared" si="28"/>
        <v>0</v>
      </c>
      <c r="I929" s="18">
        <v>12470.95</v>
      </c>
      <c r="J929" s="27">
        <v>13941</v>
      </c>
      <c r="K929" s="18">
        <f t="shared" si="29"/>
        <v>0</v>
      </c>
      <c r="L929" s="27">
        <v>12664.2</v>
      </c>
      <c r="M929" s="36">
        <v>193.25</v>
      </c>
      <c r="T929" s="41">
        <v>0</v>
      </c>
      <c r="U929" s="41">
        <v>0</v>
      </c>
      <c r="V929" s="42" t="s">
        <v>113</v>
      </c>
      <c r="W929" s="42">
        <v>0</v>
      </c>
      <c r="X929" s="42">
        <v>0</v>
      </c>
    </row>
    <row r="930" spans="1:24">
      <c r="A930" s="27" t="s">
        <v>1837</v>
      </c>
      <c r="B930" s="28" t="s">
        <v>215</v>
      </c>
      <c r="C930" s="27" t="s">
        <v>1838</v>
      </c>
      <c r="D930" s="27" t="s">
        <v>112</v>
      </c>
      <c r="E930" s="29">
        <v>40169</v>
      </c>
      <c r="F930" s="27">
        <v>12</v>
      </c>
      <c r="G930" s="18">
        <v>3100</v>
      </c>
      <c r="H930" s="27">
        <f t="shared" si="28"/>
        <v>3100</v>
      </c>
      <c r="I930" s="18">
        <v>3100</v>
      </c>
      <c r="J930" s="27">
        <v>3100</v>
      </c>
      <c r="K930" s="18">
        <f t="shared" si="29"/>
        <v>3100</v>
      </c>
      <c r="L930" s="27">
        <v>3100</v>
      </c>
      <c r="M930" s="36">
        <v>0</v>
      </c>
      <c r="T930" s="41">
        <v>0</v>
      </c>
      <c r="U930" s="41">
        <v>0</v>
      </c>
      <c r="V930" s="42" t="s">
        <v>113</v>
      </c>
      <c r="W930" s="42">
        <v>3100</v>
      </c>
      <c r="X930" s="42">
        <v>3100</v>
      </c>
    </row>
    <row r="931" spans="1:24">
      <c r="A931" s="27" t="s">
        <v>1839</v>
      </c>
      <c r="B931" s="28" t="s">
        <v>215</v>
      </c>
      <c r="C931" s="27" t="s">
        <v>1840</v>
      </c>
      <c r="D931" s="27" t="s">
        <v>112</v>
      </c>
      <c r="E931" s="29">
        <v>40169</v>
      </c>
      <c r="F931" s="27">
        <v>12</v>
      </c>
      <c r="G931" s="18">
        <v>3100</v>
      </c>
      <c r="H931" s="27">
        <f t="shared" si="28"/>
        <v>3100</v>
      </c>
      <c r="I931" s="18">
        <v>3100</v>
      </c>
      <c r="J931" s="27">
        <v>3100</v>
      </c>
      <c r="K931" s="18">
        <f t="shared" si="29"/>
        <v>3100</v>
      </c>
      <c r="L931" s="27">
        <v>3100</v>
      </c>
      <c r="M931" s="36">
        <v>0</v>
      </c>
      <c r="T931" s="41">
        <v>0</v>
      </c>
      <c r="U931" s="41">
        <v>0</v>
      </c>
      <c r="V931" s="42" t="s">
        <v>113</v>
      </c>
      <c r="W931" s="42">
        <v>3100</v>
      </c>
      <c r="X931" s="42">
        <v>3100</v>
      </c>
    </row>
    <row r="932" spans="1:24">
      <c r="A932" s="27" t="s">
        <v>1841</v>
      </c>
      <c r="B932" s="28" t="s">
        <v>215</v>
      </c>
      <c r="C932" s="27" t="s">
        <v>1842</v>
      </c>
      <c r="D932" s="27" t="s">
        <v>230</v>
      </c>
      <c r="E932" s="29">
        <v>40169</v>
      </c>
      <c r="F932" s="27">
        <v>15</v>
      </c>
      <c r="G932" s="18">
        <v>11946</v>
      </c>
      <c r="H932" s="27">
        <f t="shared" si="28"/>
        <v>0</v>
      </c>
      <c r="I932" s="18">
        <v>11061.4</v>
      </c>
      <c r="J932" s="27">
        <v>11946</v>
      </c>
      <c r="K932" s="18">
        <f t="shared" si="29"/>
        <v>0</v>
      </c>
      <c r="L932" s="27">
        <v>11133.23</v>
      </c>
      <c r="M932" s="36">
        <v>71.83</v>
      </c>
      <c r="T932" s="41">
        <v>0</v>
      </c>
      <c r="U932" s="41">
        <v>0</v>
      </c>
      <c r="V932" s="42" t="s">
        <v>113</v>
      </c>
      <c r="W932" s="42">
        <v>0</v>
      </c>
      <c r="X932" s="42">
        <v>0</v>
      </c>
    </row>
    <row r="933" spans="1:24">
      <c r="A933" s="27" t="s">
        <v>1843</v>
      </c>
      <c r="B933" s="28" t="s">
        <v>215</v>
      </c>
      <c r="C933" s="27" t="s">
        <v>1844</v>
      </c>
      <c r="D933" s="27" t="s">
        <v>230</v>
      </c>
      <c r="E933" s="29">
        <v>40169</v>
      </c>
      <c r="F933" s="27">
        <v>15</v>
      </c>
      <c r="G933" s="18">
        <v>19908</v>
      </c>
      <c r="H933" s="27">
        <f t="shared" si="28"/>
        <v>0</v>
      </c>
      <c r="I933" s="18">
        <v>18127.439999999999</v>
      </c>
      <c r="J933" s="27">
        <v>19908</v>
      </c>
      <c r="K933" s="18">
        <f t="shared" si="29"/>
        <v>0</v>
      </c>
      <c r="L933" s="27">
        <v>18323.73</v>
      </c>
      <c r="M933" s="36">
        <v>196.29</v>
      </c>
      <c r="T933" s="41">
        <v>0</v>
      </c>
      <c r="U933" s="41">
        <v>0</v>
      </c>
      <c r="V933" s="42" t="s">
        <v>113</v>
      </c>
      <c r="W933" s="42">
        <v>0</v>
      </c>
      <c r="X933" s="42">
        <v>0</v>
      </c>
    </row>
    <row r="934" spans="1:24">
      <c r="A934" s="27" t="s">
        <v>1845</v>
      </c>
      <c r="B934" s="28" t="s">
        <v>215</v>
      </c>
      <c r="C934" s="27" t="s">
        <v>1846</v>
      </c>
      <c r="D934" s="27" t="s">
        <v>230</v>
      </c>
      <c r="E934" s="29">
        <v>40169</v>
      </c>
      <c r="F934" s="27">
        <v>15</v>
      </c>
      <c r="G934" s="18">
        <v>20870</v>
      </c>
      <c r="H934" s="27">
        <f t="shared" si="28"/>
        <v>0</v>
      </c>
      <c r="I934" s="18">
        <v>19717.68</v>
      </c>
      <c r="J934" s="27">
        <v>20870</v>
      </c>
      <c r="K934" s="18">
        <f t="shared" si="29"/>
        <v>20870</v>
      </c>
      <c r="L934" s="27">
        <v>19744.89</v>
      </c>
      <c r="M934" s="36">
        <v>27.21</v>
      </c>
      <c r="T934" s="41">
        <v>0</v>
      </c>
      <c r="U934" s="41">
        <v>0</v>
      </c>
      <c r="V934" s="42" t="s">
        <v>113</v>
      </c>
      <c r="W934" s="42">
        <v>20870</v>
      </c>
      <c r="X934" s="42">
        <v>20870</v>
      </c>
    </row>
    <row r="935" spans="1:24">
      <c r="A935" s="27" t="s">
        <v>1847</v>
      </c>
      <c r="B935" s="28" t="s">
        <v>215</v>
      </c>
      <c r="C935" s="27" t="s">
        <v>1848</v>
      </c>
      <c r="D935" s="27" t="s">
        <v>230</v>
      </c>
      <c r="E935" s="29">
        <v>40169</v>
      </c>
      <c r="F935" s="27">
        <v>15</v>
      </c>
      <c r="G935" s="18">
        <v>18810</v>
      </c>
      <c r="H935" s="27">
        <f t="shared" si="28"/>
        <v>0</v>
      </c>
      <c r="I935" s="18">
        <v>17719.48</v>
      </c>
      <c r="J935" s="27">
        <v>18810</v>
      </c>
      <c r="K935" s="18">
        <f t="shared" si="29"/>
        <v>0</v>
      </c>
      <c r="L935" s="27">
        <v>17756.990000000002</v>
      </c>
      <c r="M935" s="36">
        <v>37.51</v>
      </c>
      <c r="T935" s="41">
        <v>0</v>
      </c>
      <c r="U935" s="41">
        <v>0</v>
      </c>
      <c r="V935" s="42" t="s">
        <v>113</v>
      </c>
      <c r="W935" s="42">
        <v>0</v>
      </c>
      <c r="X935" s="42">
        <v>0</v>
      </c>
    </row>
    <row r="936" spans="1:24">
      <c r="A936" s="27" t="s">
        <v>1849</v>
      </c>
      <c r="B936" s="28" t="s">
        <v>215</v>
      </c>
      <c r="C936" s="27" t="s">
        <v>1850</v>
      </c>
      <c r="D936" s="27" t="s">
        <v>230</v>
      </c>
      <c r="E936" s="29">
        <v>40169</v>
      </c>
      <c r="F936" s="27">
        <v>15</v>
      </c>
      <c r="G936" s="18">
        <v>18810</v>
      </c>
      <c r="H936" s="27">
        <f t="shared" si="28"/>
        <v>0</v>
      </c>
      <c r="I936" s="18">
        <v>17719.48</v>
      </c>
      <c r="J936" s="27">
        <v>18810</v>
      </c>
      <c r="K936" s="18">
        <f t="shared" si="29"/>
        <v>0</v>
      </c>
      <c r="L936" s="27">
        <v>17756.990000000002</v>
      </c>
      <c r="M936" s="36">
        <v>37.51</v>
      </c>
      <c r="T936" s="41">
        <v>0</v>
      </c>
      <c r="U936" s="41">
        <v>0</v>
      </c>
      <c r="V936" s="42" t="s">
        <v>113</v>
      </c>
      <c r="W936" s="42">
        <v>0</v>
      </c>
      <c r="X936" s="42">
        <v>0</v>
      </c>
    </row>
    <row r="937" spans="1:24">
      <c r="A937" s="27" t="s">
        <v>1851</v>
      </c>
      <c r="B937" s="28" t="s">
        <v>215</v>
      </c>
      <c r="C937" s="27" t="s">
        <v>1852</v>
      </c>
      <c r="D937" s="27" t="s">
        <v>112</v>
      </c>
      <c r="E937" s="29">
        <v>40168</v>
      </c>
      <c r="F937" s="27">
        <v>15</v>
      </c>
      <c r="G937" s="18">
        <v>21341.27</v>
      </c>
      <c r="H937" s="27">
        <f t="shared" si="28"/>
        <v>21341.27</v>
      </c>
      <c r="I937" s="18">
        <v>20274.21</v>
      </c>
      <c r="J937" s="27">
        <v>21341.27</v>
      </c>
      <c r="K937" s="18">
        <f t="shared" si="29"/>
        <v>21341.27</v>
      </c>
      <c r="L937" s="27">
        <v>20274.21</v>
      </c>
      <c r="M937" s="36">
        <v>0</v>
      </c>
      <c r="T937" s="41">
        <v>0</v>
      </c>
      <c r="U937" s="41">
        <v>0</v>
      </c>
      <c r="V937" s="42" t="s">
        <v>113</v>
      </c>
      <c r="W937" s="42">
        <v>21341.27</v>
      </c>
      <c r="X937" s="42">
        <v>21341.27</v>
      </c>
    </row>
    <row r="938" spans="1:24">
      <c r="A938" s="27" t="s">
        <v>1853</v>
      </c>
      <c r="B938" s="28" t="s">
        <v>215</v>
      </c>
      <c r="C938" s="27" t="s">
        <v>1854</v>
      </c>
      <c r="D938" s="27" t="s">
        <v>112</v>
      </c>
      <c r="E938" s="29">
        <v>40168</v>
      </c>
      <c r="F938" s="27">
        <v>15</v>
      </c>
      <c r="G938" s="18">
        <v>32601.02</v>
      </c>
      <c r="H938" s="27">
        <f t="shared" si="28"/>
        <v>32601.02</v>
      </c>
      <c r="I938" s="18">
        <v>30970.97</v>
      </c>
      <c r="J938" s="27">
        <v>32601.02</v>
      </c>
      <c r="K938" s="18">
        <f t="shared" si="29"/>
        <v>32601.02</v>
      </c>
      <c r="L938" s="27">
        <v>30970.97</v>
      </c>
      <c r="M938" s="36">
        <v>0</v>
      </c>
      <c r="T938" s="41">
        <v>0</v>
      </c>
      <c r="U938" s="41">
        <v>0</v>
      </c>
      <c r="V938" s="42" t="s">
        <v>113</v>
      </c>
      <c r="W938" s="42">
        <v>32601.02</v>
      </c>
      <c r="X938" s="42">
        <v>32601.02</v>
      </c>
    </row>
    <row r="939" spans="1:24">
      <c r="A939" s="27" t="s">
        <v>1855</v>
      </c>
      <c r="B939" s="28" t="s">
        <v>215</v>
      </c>
      <c r="C939" s="27" t="s">
        <v>1856</v>
      </c>
      <c r="D939" s="27" t="s">
        <v>230</v>
      </c>
      <c r="E939" s="29">
        <v>39417</v>
      </c>
      <c r="F939" s="27">
        <v>15</v>
      </c>
      <c r="G939" s="18">
        <v>565068.36</v>
      </c>
      <c r="H939" s="27">
        <f t="shared" si="28"/>
        <v>0</v>
      </c>
      <c r="I939" s="18">
        <v>508332.25</v>
      </c>
      <c r="J939" s="27">
        <v>565068.36</v>
      </c>
      <c r="K939" s="18">
        <f t="shared" si="29"/>
        <v>0</v>
      </c>
      <c r="L939" s="27">
        <v>515452.92</v>
      </c>
      <c r="M939" s="36">
        <v>7120.67</v>
      </c>
      <c r="T939" s="41">
        <v>0</v>
      </c>
      <c r="U939" s="41">
        <v>0</v>
      </c>
      <c r="V939" s="42" t="s">
        <v>113</v>
      </c>
      <c r="W939" s="42">
        <v>0</v>
      </c>
      <c r="X939" s="42">
        <v>0</v>
      </c>
    </row>
    <row r="940" spans="1:24">
      <c r="A940" s="27" t="s">
        <v>1857</v>
      </c>
      <c r="B940" s="28" t="s">
        <v>215</v>
      </c>
      <c r="C940" s="27" t="s">
        <v>1858</v>
      </c>
      <c r="D940" s="27" t="s">
        <v>118</v>
      </c>
      <c r="E940" s="29">
        <v>40079</v>
      </c>
      <c r="F940" s="27">
        <v>15</v>
      </c>
      <c r="G940" s="18">
        <v>80233.62</v>
      </c>
      <c r="H940" s="27">
        <f t="shared" si="28"/>
        <v>0</v>
      </c>
      <c r="I940" s="18">
        <v>63638.47</v>
      </c>
      <c r="J940" s="27">
        <v>80233.62</v>
      </c>
      <c r="K940" s="18">
        <f t="shared" si="29"/>
        <v>0</v>
      </c>
      <c r="L940" s="27">
        <v>66287.62</v>
      </c>
      <c r="M940" s="36">
        <v>2649.15</v>
      </c>
      <c r="T940" s="41">
        <v>0</v>
      </c>
      <c r="U940" s="41">
        <v>0</v>
      </c>
      <c r="V940" s="42" t="s">
        <v>113</v>
      </c>
      <c r="W940" s="42">
        <v>0</v>
      </c>
      <c r="X940" s="42">
        <v>0</v>
      </c>
    </row>
    <row r="941" spans="1:24">
      <c r="A941" s="27" t="s">
        <v>1859</v>
      </c>
      <c r="B941" s="28" t="s">
        <v>215</v>
      </c>
      <c r="C941" s="27" t="s">
        <v>1860</v>
      </c>
      <c r="D941" s="27" t="s">
        <v>230</v>
      </c>
      <c r="E941" s="29">
        <v>39417</v>
      </c>
      <c r="F941" s="27">
        <v>15</v>
      </c>
      <c r="G941" s="18">
        <v>345171.8</v>
      </c>
      <c r="H941" s="27">
        <f t="shared" si="28"/>
        <v>0</v>
      </c>
      <c r="I941" s="18">
        <v>296861.78999999998</v>
      </c>
      <c r="J941" s="27">
        <v>345171.8</v>
      </c>
      <c r="K941" s="18">
        <f t="shared" si="29"/>
        <v>0</v>
      </c>
      <c r="L941" s="27">
        <v>304624.65000000002</v>
      </c>
      <c r="M941" s="36">
        <v>7762.86</v>
      </c>
      <c r="T941" s="41">
        <v>0</v>
      </c>
      <c r="U941" s="41">
        <v>0</v>
      </c>
      <c r="V941" s="42" t="s">
        <v>113</v>
      </c>
      <c r="W941" s="42">
        <v>0</v>
      </c>
      <c r="X941" s="42">
        <v>0</v>
      </c>
    </row>
    <row r="942" spans="1:24">
      <c r="A942" s="27" t="s">
        <v>1861</v>
      </c>
      <c r="B942" s="28" t="s">
        <v>215</v>
      </c>
      <c r="C942" s="27" t="s">
        <v>1862</v>
      </c>
      <c r="D942" s="27" t="s">
        <v>230</v>
      </c>
      <c r="E942" s="29">
        <v>39417</v>
      </c>
      <c r="F942" s="27">
        <v>15</v>
      </c>
      <c r="G942" s="18">
        <v>429182.54</v>
      </c>
      <c r="H942" s="27">
        <f t="shared" si="28"/>
        <v>0</v>
      </c>
      <c r="I942" s="18">
        <v>380511.32</v>
      </c>
      <c r="J942" s="27">
        <v>429182.54</v>
      </c>
      <c r="K942" s="18">
        <f t="shared" si="29"/>
        <v>0</v>
      </c>
      <c r="L942" s="27">
        <v>387314.34</v>
      </c>
      <c r="M942" s="36">
        <v>6803.02</v>
      </c>
      <c r="T942" s="41">
        <v>0</v>
      </c>
      <c r="U942" s="41">
        <v>0</v>
      </c>
      <c r="V942" s="42" t="s">
        <v>113</v>
      </c>
      <c r="W942" s="42">
        <v>0</v>
      </c>
      <c r="X942" s="42">
        <v>0</v>
      </c>
    </row>
    <row r="943" spans="1:24">
      <c r="A943" s="27" t="s">
        <v>1863</v>
      </c>
      <c r="B943" s="28" t="s">
        <v>215</v>
      </c>
      <c r="C943" s="27" t="s">
        <v>1864</v>
      </c>
      <c r="D943" s="27" t="s">
        <v>230</v>
      </c>
      <c r="E943" s="29">
        <v>39417</v>
      </c>
      <c r="F943" s="27">
        <v>15</v>
      </c>
      <c r="G943" s="18">
        <v>458248.95</v>
      </c>
      <c r="H943" s="27">
        <f t="shared" si="28"/>
        <v>0</v>
      </c>
      <c r="I943" s="18">
        <v>406570.45</v>
      </c>
      <c r="J943" s="27">
        <v>458248.95</v>
      </c>
      <c r="K943" s="18">
        <f t="shared" si="29"/>
        <v>0</v>
      </c>
      <c r="L943" s="27">
        <v>413761.96</v>
      </c>
      <c r="M943" s="36">
        <v>7191.51</v>
      </c>
      <c r="T943" s="41">
        <v>0</v>
      </c>
      <c r="U943" s="41">
        <v>0</v>
      </c>
      <c r="V943" s="42" t="s">
        <v>113</v>
      </c>
      <c r="W943" s="42">
        <v>0</v>
      </c>
      <c r="X943" s="42">
        <v>0</v>
      </c>
    </row>
    <row r="944" spans="1:24">
      <c r="A944" s="27" t="s">
        <v>1865</v>
      </c>
      <c r="B944" s="28" t="s">
        <v>215</v>
      </c>
      <c r="C944" s="27" t="s">
        <v>1866</v>
      </c>
      <c r="D944" s="27" t="s">
        <v>230</v>
      </c>
      <c r="E944" s="29">
        <v>39417</v>
      </c>
      <c r="F944" s="27">
        <v>15</v>
      </c>
      <c r="G944" s="18">
        <v>400671.23</v>
      </c>
      <c r="H944" s="27">
        <f t="shared" si="28"/>
        <v>0</v>
      </c>
      <c r="I944" s="18">
        <v>350851.97</v>
      </c>
      <c r="J944" s="27">
        <v>400671.23</v>
      </c>
      <c r="K944" s="18">
        <f t="shared" si="29"/>
        <v>0</v>
      </c>
      <c r="L944" s="27">
        <v>358298.4</v>
      </c>
      <c r="M944" s="36">
        <v>7446.43</v>
      </c>
      <c r="T944" s="41">
        <v>0</v>
      </c>
      <c r="U944" s="41">
        <v>0</v>
      </c>
      <c r="V944" s="42" t="s">
        <v>113</v>
      </c>
      <c r="W944" s="42">
        <v>0</v>
      </c>
      <c r="X944" s="42">
        <v>0</v>
      </c>
    </row>
    <row r="945" spans="1:24">
      <c r="A945" s="27" t="s">
        <v>1867</v>
      </c>
      <c r="B945" s="28" t="s">
        <v>215</v>
      </c>
      <c r="C945" s="27" t="s">
        <v>1868</v>
      </c>
      <c r="D945" s="27" t="s">
        <v>230</v>
      </c>
      <c r="E945" s="29">
        <v>40170</v>
      </c>
      <c r="F945" s="27">
        <v>15</v>
      </c>
      <c r="G945" s="18">
        <v>6319</v>
      </c>
      <c r="H945" s="27">
        <f t="shared" si="28"/>
        <v>6319</v>
      </c>
      <c r="I945" s="18">
        <v>6003.05</v>
      </c>
      <c r="J945" s="27">
        <v>6319</v>
      </c>
      <c r="K945" s="18">
        <f t="shared" si="29"/>
        <v>6319</v>
      </c>
      <c r="L945" s="27">
        <v>6003.05</v>
      </c>
      <c r="M945" s="36">
        <v>0</v>
      </c>
      <c r="T945" s="41">
        <v>0</v>
      </c>
      <c r="U945" s="41">
        <v>0</v>
      </c>
      <c r="V945" s="42" t="s">
        <v>113</v>
      </c>
      <c r="W945" s="42">
        <v>6319</v>
      </c>
      <c r="X945" s="42">
        <v>6319</v>
      </c>
    </row>
    <row r="946" spans="1:24">
      <c r="A946" s="27" t="s">
        <v>1869</v>
      </c>
      <c r="B946" s="28" t="s">
        <v>215</v>
      </c>
      <c r="C946" s="27" t="s">
        <v>1870</v>
      </c>
      <c r="D946" s="27" t="s">
        <v>230</v>
      </c>
      <c r="E946" s="29">
        <v>40113</v>
      </c>
      <c r="F946" s="27">
        <v>15</v>
      </c>
      <c r="G946" s="18">
        <v>9117.91</v>
      </c>
      <c r="H946" s="27">
        <f t="shared" si="28"/>
        <v>0</v>
      </c>
      <c r="I946" s="18">
        <v>7191.69</v>
      </c>
      <c r="J946" s="27">
        <v>9117.91</v>
      </c>
      <c r="K946" s="18">
        <f t="shared" si="29"/>
        <v>0</v>
      </c>
      <c r="L946" s="27">
        <v>7501.23</v>
      </c>
      <c r="M946" s="36">
        <v>309.54000000000002</v>
      </c>
      <c r="T946" s="41">
        <v>0</v>
      </c>
      <c r="U946" s="41">
        <v>0</v>
      </c>
      <c r="V946" s="42" t="s">
        <v>113</v>
      </c>
      <c r="W946" s="42">
        <v>0</v>
      </c>
      <c r="X946" s="42">
        <v>0</v>
      </c>
    </row>
    <row r="947" spans="1:24">
      <c r="A947" s="27" t="s">
        <v>1871</v>
      </c>
      <c r="B947" s="28" t="s">
        <v>215</v>
      </c>
      <c r="C947" s="27" t="s">
        <v>1872</v>
      </c>
      <c r="D947" s="27" t="s">
        <v>230</v>
      </c>
      <c r="E947" s="29">
        <v>40170</v>
      </c>
      <c r="F947" s="27">
        <v>15</v>
      </c>
      <c r="G947" s="18">
        <v>6319</v>
      </c>
      <c r="H947" s="27">
        <f t="shared" si="28"/>
        <v>6319</v>
      </c>
      <c r="I947" s="18">
        <v>6003.05</v>
      </c>
      <c r="J947" s="27">
        <v>6319</v>
      </c>
      <c r="K947" s="18">
        <f t="shared" si="29"/>
        <v>6319</v>
      </c>
      <c r="L947" s="27">
        <v>6003.05</v>
      </c>
      <c r="M947" s="36">
        <v>0</v>
      </c>
      <c r="T947" s="41">
        <v>0</v>
      </c>
      <c r="U947" s="41">
        <v>0</v>
      </c>
      <c r="V947" s="42" t="s">
        <v>113</v>
      </c>
      <c r="W947" s="42">
        <v>6319</v>
      </c>
      <c r="X947" s="42">
        <v>6319</v>
      </c>
    </row>
    <row r="948" spans="1:24">
      <c r="A948" s="27" t="s">
        <v>1873</v>
      </c>
      <c r="B948" s="28" t="s">
        <v>215</v>
      </c>
      <c r="C948" s="27" t="s">
        <v>1874</v>
      </c>
      <c r="D948" s="27" t="s">
        <v>230</v>
      </c>
      <c r="E948" s="29">
        <v>40170</v>
      </c>
      <c r="F948" s="27">
        <v>15</v>
      </c>
      <c r="G948" s="18">
        <v>6319</v>
      </c>
      <c r="H948" s="27">
        <f t="shared" si="28"/>
        <v>6319</v>
      </c>
      <c r="I948" s="18">
        <v>6003.04</v>
      </c>
      <c r="J948" s="27">
        <v>6319</v>
      </c>
      <c r="K948" s="18">
        <f t="shared" si="29"/>
        <v>6319</v>
      </c>
      <c r="L948" s="27">
        <v>6003.04</v>
      </c>
      <c r="M948" s="36">
        <v>0</v>
      </c>
      <c r="T948" s="41">
        <v>0</v>
      </c>
      <c r="U948" s="41">
        <v>0</v>
      </c>
      <c r="V948" s="42" t="s">
        <v>113</v>
      </c>
      <c r="W948" s="42">
        <v>6319</v>
      </c>
      <c r="X948" s="42">
        <v>6319</v>
      </c>
    </row>
    <row r="949" spans="1:24">
      <c r="A949" s="27" t="s">
        <v>1875</v>
      </c>
      <c r="B949" s="28" t="s">
        <v>215</v>
      </c>
      <c r="C949" s="27" t="s">
        <v>1876</v>
      </c>
      <c r="D949" s="27" t="s">
        <v>230</v>
      </c>
      <c r="E949" s="29">
        <v>40268</v>
      </c>
      <c r="F949" s="27">
        <v>15</v>
      </c>
      <c r="G949" s="18">
        <v>9786.08</v>
      </c>
      <c r="H949" s="27">
        <f t="shared" si="28"/>
        <v>9786.08</v>
      </c>
      <c r="I949" s="18">
        <v>9786.08</v>
      </c>
      <c r="J949" s="27">
        <v>9786.08</v>
      </c>
      <c r="K949" s="18">
        <f t="shared" si="29"/>
        <v>9786.08</v>
      </c>
      <c r="L949" s="27">
        <v>9296.7800000000007</v>
      </c>
      <c r="M949" s="36">
        <v>-489.3</v>
      </c>
      <c r="T949" s="41">
        <v>0</v>
      </c>
      <c r="U949" s="41">
        <v>0</v>
      </c>
      <c r="V949" s="42" t="s">
        <v>113</v>
      </c>
      <c r="W949" s="42">
        <v>9786.08</v>
      </c>
      <c r="X949" s="42">
        <v>9786.08</v>
      </c>
    </row>
    <row r="950" spans="1:24">
      <c r="A950" s="27" t="s">
        <v>1877</v>
      </c>
      <c r="B950" s="28" t="s">
        <v>215</v>
      </c>
      <c r="C950" s="27" t="s">
        <v>1878</v>
      </c>
      <c r="D950" s="27" t="s">
        <v>230</v>
      </c>
      <c r="E950" s="29">
        <v>40268</v>
      </c>
      <c r="F950" s="27">
        <v>15</v>
      </c>
      <c r="G950" s="18">
        <v>115691.45</v>
      </c>
      <c r="H950" s="27">
        <f t="shared" si="28"/>
        <v>0</v>
      </c>
      <c r="I950" s="18">
        <v>108160.25</v>
      </c>
      <c r="J950" s="27">
        <v>115691.45</v>
      </c>
      <c r="K950" s="18">
        <f t="shared" si="29"/>
        <v>0</v>
      </c>
      <c r="L950" s="27">
        <v>108439.71</v>
      </c>
      <c r="M950" s="36">
        <v>279.45999999999998</v>
      </c>
      <c r="T950" s="41">
        <v>0</v>
      </c>
      <c r="U950" s="41">
        <v>0</v>
      </c>
      <c r="V950" s="42" t="s">
        <v>113</v>
      </c>
      <c r="W950" s="42">
        <v>0</v>
      </c>
      <c r="X950" s="42">
        <v>0</v>
      </c>
    </row>
    <row r="951" spans="1:24">
      <c r="A951" s="27" t="s">
        <v>1879</v>
      </c>
      <c r="B951" s="28" t="s">
        <v>215</v>
      </c>
      <c r="C951" s="27" t="s">
        <v>1880</v>
      </c>
      <c r="D951" s="27" t="s">
        <v>112</v>
      </c>
      <c r="E951" s="29">
        <v>40156</v>
      </c>
      <c r="F951" s="27">
        <v>12</v>
      </c>
      <c r="G951" s="18">
        <v>150</v>
      </c>
      <c r="H951" s="27">
        <f t="shared" si="28"/>
        <v>150</v>
      </c>
      <c r="I951" s="18">
        <v>150</v>
      </c>
      <c r="J951" s="27">
        <v>150</v>
      </c>
      <c r="K951" s="18">
        <f t="shared" si="29"/>
        <v>150</v>
      </c>
      <c r="L951" s="27">
        <v>150</v>
      </c>
      <c r="M951" s="36">
        <v>0</v>
      </c>
      <c r="T951" s="41">
        <v>0</v>
      </c>
      <c r="U951" s="41">
        <v>0</v>
      </c>
      <c r="V951" s="42" t="s">
        <v>113</v>
      </c>
      <c r="W951" s="42">
        <v>150</v>
      </c>
      <c r="X951" s="42">
        <v>150</v>
      </c>
    </row>
    <row r="952" spans="1:24">
      <c r="A952" s="27" t="s">
        <v>1881</v>
      </c>
      <c r="B952" s="28" t="s">
        <v>215</v>
      </c>
      <c r="C952" s="27" t="s">
        <v>1882</v>
      </c>
      <c r="D952" s="27" t="s">
        <v>112</v>
      </c>
      <c r="E952" s="29">
        <v>40156</v>
      </c>
      <c r="F952" s="27">
        <v>12</v>
      </c>
      <c r="G952" s="18">
        <v>150</v>
      </c>
      <c r="H952" s="27">
        <f t="shared" si="28"/>
        <v>150</v>
      </c>
      <c r="I952" s="18">
        <v>150</v>
      </c>
      <c r="J952" s="27">
        <v>150</v>
      </c>
      <c r="K952" s="18">
        <f t="shared" si="29"/>
        <v>150</v>
      </c>
      <c r="L952" s="27">
        <v>150</v>
      </c>
      <c r="M952" s="36">
        <v>0</v>
      </c>
      <c r="T952" s="41">
        <v>0</v>
      </c>
      <c r="U952" s="41">
        <v>0</v>
      </c>
      <c r="V952" s="42" t="s">
        <v>113</v>
      </c>
      <c r="W952" s="42">
        <v>150</v>
      </c>
      <c r="X952" s="42">
        <v>150</v>
      </c>
    </row>
    <row r="953" spans="1:24">
      <c r="A953" s="27" t="s">
        <v>1883</v>
      </c>
      <c r="B953" s="28" t="s">
        <v>215</v>
      </c>
      <c r="C953" s="27" t="s">
        <v>1884</v>
      </c>
      <c r="D953" s="27" t="s">
        <v>112</v>
      </c>
      <c r="E953" s="29">
        <v>40156</v>
      </c>
      <c r="F953" s="27">
        <v>12</v>
      </c>
      <c r="G953" s="18">
        <v>150</v>
      </c>
      <c r="H953" s="27">
        <f t="shared" si="28"/>
        <v>150</v>
      </c>
      <c r="I953" s="18">
        <v>150</v>
      </c>
      <c r="J953" s="27">
        <v>150</v>
      </c>
      <c r="K953" s="18">
        <f t="shared" si="29"/>
        <v>150</v>
      </c>
      <c r="L953" s="27">
        <v>150</v>
      </c>
      <c r="M953" s="36">
        <v>0</v>
      </c>
      <c r="T953" s="41">
        <v>0</v>
      </c>
      <c r="U953" s="41">
        <v>0</v>
      </c>
      <c r="V953" s="42" t="s">
        <v>113</v>
      </c>
      <c r="W953" s="42">
        <v>150</v>
      </c>
      <c r="X953" s="42">
        <v>150</v>
      </c>
    </row>
    <row r="954" spans="1:24">
      <c r="A954" s="27" t="s">
        <v>1885</v>
      </c>
      <c r="B954" s="28" t="s">
        <v>215</v>
      </c>
      <c r="C954" s="27" t="s">
        <v>1886</v>
      </c>
      <c r="D954" s="27" t="s">
        <v>230</v>
      </c>
      <c r="E954" s="29">
        <v>39417</v>
      </c>
      <c r="F954" s="27">
        <v>15</v>
      </c>
      <c r="G954" s="18">
        <v>58264.41</v>
      </c>
      <c r="H954" s="27">
        <f t="shared" si="28"/>
        <v>0</v>
      </c>
      <c r="I954" s="18">
        <v>46823.95</v>
      </c>
      <c r="J954" s="27">
        <v>58264.41</v>
      </c>
      <c r="K954" s="18">
        <f t="shared" si="29"/>
        <v>0</v>
      </c>
      <c r="L954" s="27">
        <v>48955.76</v>
      </c>
      <c r="M954" s="36">
        <v>2131.81</v>
      </c>
      <c r="T954" s="41">
        <v>0</v>
      </c>
      <c r="U954" s="41">
        <v>0</v>
      </c>
      <c r="V954" s="42" t="s">
        <v>113</v>
      </c>
      <c r="W954" s="42">
        <v>0</v>
      </c>
      <c r="X954" s="42">
        <v>0</v>
      </c>
    </row>
    <row r="955" spans="1:24">
      <c r="A955" s="27" t="s">
        <v>1887</v>
      </c>
      <c r="B955" s="28" t="s">
        <v>215</v>
      </c>
      <c r="C955" s="27" t="s">
        <v>1888</v>
      </c>
      <c r="D955" s="27" t="s">
        <v>230</v>
      </c>
      <c r="E955" s="29">
        <v>39417</v>
      </c>
      <c r="F955" s="27">
        <v>15</v>
      </c>
      <c r="G955" s="18">
        <v>69464.41</v>
      </c>
      <c r="H955" s="27">
        <f t="shared" si="28"/>
        <v>0</v>
      </c>
      <c r="I955" s="18">
        <v>55824.77</v>
      </c>
      <c r="J955" s="27">
        <v>69464.41</v>
      </c>
      <c r="K955" s="18">
        <f t="shared" si="29"/>
        <v>0</v>
      </c>
      <c r="L955" s="27">
        <v>58366.38</v>
      </c>
      <c r="M955" s="36">
        <v>2541.61</v>
      </c>
      <c r="T955" s="41">
        <v>0</v>
      </c>
      <c r="U955" s="41">
        <v>0</v>
      </c>
      <c r="V955" s="42" t="s">
        <v>113</v>
      </c>
      <c r="W955" s="42">
        <v>0</v>
      </c>
      <c r="X955" s="42">
        <v>0</v>
      </c>
    </row>
    <row r="956" spans="1:24">
      <c r="A956" s="27" t="s">
        <v>1889</v>
      </c>
      <c r="B956" s="28" t="s">
        <v>215</v>
      </c>
      <c r="C956" s="27" t="s">
        <v>1890</v>
      </c>
      <c r="D956" s="27" t="s">
        <v>112</v>
      </c>
      <c r="E956" s="29">
        <v>40268</v>
      </c>
      <c r="F956" s="27">
        <v>12</v>
      </c>
      <c r="G956" s="18">
        <v>3706</v>
      </c>
      <c r="H956" s="27">
        <f t="shared" si="28"/>
        <v>3706</v>
      </c>
      <c r="I956" s="18">
        <v>3706</v>
      </c>
      <c r="J956" s="27">
        <v>3706</v>
      </c>
      <c r="K956" s="18">
        <f t="shared" si="29"/>
        <v>3706</v>
      </c>
      <c r="L956" s="27">
        <v>3706</v>
      </c>
      <c r="M956" s="36">
        <v>0</v>
      </c>
      <c r="T956" s="41">
        <v>0</v>
      </c>
      <c r="U956" s="41">
        <v>0</v>
      </c>
      <c r="V956" s="42" t="s">
        <v>113</v>
      </c>
      <c r="W956" s="42">
        <v>3706</v>
      </c>
      <c r="X956" s="42">
        <v>3706</v>
      </c>
    </row>
    <row r="957" spans="1:24">
      <c r="A957" s="27" t="s">
        <v>1891</v>
      </c>
      <c r="B957" s="28" t="s">
        <v>215</v>
      </c>
      <c r="C957" s="27" t="s">
        <v>1892</v>
      </c>
      <c r="D957" s="27" t="s">
        <v>112</v>
      </c>
      <c r="E957" s="29">
        <v>40268</v>
      </c>
      <c r="F957" s="27">
        <v>15</v>
      </c>
      <c r="G957" s="18">
        <v>39230</v>
      </c>
      <c r="H957" s="27">
        <f t="shared" si="28"/>
        <v>0</v>
      </c>
      <c r="I957" s="18">
        <v>28570.84</v>
      </c>
      <c r="J957" s="27">
        <v>39230</v>
      </c>
      <c r="K957" s="18">
        <f t="shared" si="29"/>
        <v>0</v>
      </c>
      <c r="L957" s="27">
        <v>29962.47</v>
      </c>
      <c r="M957" s="36">
        <v>1391.63</v>
      </c>
      <c r="T957" s="41">
        <v>0</v>
      </c>
      <c r="U957" s="41">
        <v>0</v>
      </c>
      <c r="V957" s="42" t="s">
        <v>113</v>
      </c>
      <c r="W957" s="42">
        <v>0</v>
      </c>
      <c r="X957" s="42">
        <v>0</v>
      </c>
    </row>
    <row r="958" spans="1:24">
      <c r="A958" s="27" t="s">
        <v>1893</v>
      </c>
      <c r="B958" s="28" t="s">
        <v>215</v>
      </c>
      <c r="C958" s="27" t="s">
        <v>1894</v>
      </c>
      <c r="D958" s="27" t="s">
        <v>112</v>
      </c>
      <c r="E958" s="29">
        <v>40170</v>
      </c>
      <c r="F958" s="27">
        <v>12</v>
      </c>
      <c r="G958" s="18">
        <v>3000</v>
      </c>
      <c r="H958" s="27">
        <f t="shared" si="28"/>
        <v>3000</v>
      </c>
      <c r="I958" s="18">
        <v>3000</v>
      </c>
      <c r="J958" s="27">
        <v>3000</v>
      </c>
      <c r="K958" s="18">
        <f t="shared" si="29"/>
        <v>3000</v>
      </c>
      <c r="L958" s="27">
        <v>3000</v>
      </c>
      <c r="M958" s="36">
        <v>0</v>
      </c>
      <c r="T958" s="41">
        <v>0</v>
      </c>
      <c r="U958" s="41">
        <v>0</v>
      </c>
      <c r="V958" s="42" t="s">
        <v>113</v>
      </c>
      <c r="W958" s="42">
        <v>3000</v>
      </c>
      <c r="X958" s="42">
        <v>3000</v>
      </c>
    </row>
    <row r="959" spans="1:24">
      <c r="A959" s="27" t="s">
        <v>1895</v>
      </c>
      <c r="B959" s="28" t="s">
        <v>215</v>
      </c>
      <c r="C959" s="27" t="s">
        <v>1762</v>
      </c>
      <c r="D959" s="27" t="s">
        <v>230</v>
      </c>
      <c r="E959" s="29">
        <v>40543</v>
      </c>
      <c r="F959" s="27">
        <v>15</v>
      </c>
      <c r="G959" s="18">
        <v>18903.03</v>
      </c>
      <c r="H959" s="27">
        <f t="shared" si="28"/>
        <v>0</v>
      </c>
      <c r="I959" s="18">
        <v>11672.62</v>
      </c>
      <c r="J959" s="27">
        <v>18903.03</v>
      </c>
      <c r="K959" s="18">
        <f t="shared" si="29"/>
        <v>0</v>
      </c>
      <c r="L959" s="27">
        <v>12570.51</v>
      </c>
      <c r="M959" s="36">
        <v>897.89</v>
      </c>
      <c r="T959" s="41">
        <v>0</v>
      </c>
      <c r="U959" s="41">
        <v>0</v>
      </c>
      <c r="V959" s="42" t="s">
        <v>113</v>
      </c>
      <c r="W959" s="42">
        <v>0</v>
      </c>
      <c r="X959" s="42">
        <v>0</v>
      </c>
    </row>
    <row r="960" spans="1:24">
      <c r="A960" s="27" t="s">
        <v>1896</v>
      </c>
      <c r="B960" s="28" t="s">
        <v>215</v>
      </c>
      <c r="C960" s="27" t="s">
        <v>1746</v>
      </c>
      <c r="D960" s="27" t="s">
        <v>230</v>
      </c>
      <c r="E960" s="29">
        <v>40543</v>
      </c>
      <c r="F960" s="27">
        <v>15</v>
      </c>
      <c r="G960" s="18">
        <v>18903.03</v>
      </c>
      <c r="H960" s="27">
        <f t="shared" si="28"/>
        <v>0</v>
      </c>
      <c r="I960" s="18">
        <v>11672.62</v>
      </c>
      <c r="J960" s="27">
        <v>18903.03</v>
      </c>
      <c r="K960" s="18">
        <f t="shared" si="29"/>
        <v>0</v>
      </c>
      <c r="L960" s="27">
        <v>12570.51</v>
      </c>
      <c r="M960" s="36">
        <v>897.89</v>
      </c>
      <c r="T960" s="41">
        <v>0</v>
      </c>
      <c r="U960" s="41">
        <v>0</v>
      </c>
      <c r="V960" s="42" t="s">
        <v>113</v>
      </c>
      <c r="W960" s="42">
        <v>0</v>
      </c>
      <c r="X960" s="42">
        <v>0</v>
      </c>
    </row>
    <row r="961" spans="1:24">
      <c r="A961" s="27" t="s">
        <v>1897</v>
      </c>
      <c r="B961" s="28" t="s">
        <v>215</v>
      </c>
      <c r="C961" s="27" t="s">
        <v>538</v>
      </c>
      <c r="D961" s="27" t="s">
        <v>118</v>
      </c>
      <c r="E961" s="29">
        <v>40170</v>
      </c>
      <c r="F961" s="27">
        <v>12</v>
      </c>
      <c r="G961" s="18">
        <v>4100</v>
      </c>
      <c r="H961" s="27">
        <f t="shared" si="28"/>
        <v>4100</v>
      </c>
      <c r="I961" s="18">
        <v>4100</v>
      </c>
      <c r="J961" s="27">
        <v>4100</v>
      </c>
      <c r="K961" s="18">
        <f t="shared" si="29"/>
        <v>4100</v>
      </c>
      <c r="L961" s="27">
        <v>4100</v>
      </c>
      <c r="M961" s="36">
        <v>0</v>
      </c>
      <c r="T961" s="41">
        <v>0</v>
      </c>
      <c r="U961" s="41">
        <v>0</v>
      </c>
      <c r="V961" s="42" t="s">
        <v>113</v>
      </c>
      <c r="W961" s="42">
        <v>4100</v>
      </c>
      <c r="X961" s="42">
        <v>4100</v>
      </c>
    </row>
    <row r="962" spans="1:24">
      <c r="A962" s="27" t="s">
        <v>1898</v>
      </c>
      <c r="B962" s="28" t="s">
        <v>215</v>
      </c>
      <c r="C962" s="27" t="s">
        <v>1899</v>
      </c>
      <c r="D962" s="27" t="s">
        <v>112</v>
      </c>
      <c r="E962" s="29">
        <v>40268</v>
      </c>
      <c r="F962" s="27">
        <v>12</v>
      </c>
      <c r="G962" s="18">
        <v>805.95</v>
      </c>
      <c r="H962" s="27">
        <f t="shared" si="28"/>
        <v>805.95</v>
      </c>
      <c r="I962" s="18">
        <v>805.95</v>
      </c>
      <c r="J962" s="27">
        <v>805.95</v>
      </c>
      <c r="K962" s="18">
        <f t="shared" si="29"/>
        <v>805.95</v>
      </c>
      <c r="L962" s="27">
        <v>805.95</v>
      </c>
      <c r="M962" s="36">
        <v>0</v>
      </c>
      <c r="T962" s="41">
        <v>0</v>
      </c>
      <c r="U962" s="41">
        <v>0</v>
      </c>
      <c r="V962" s="42" t="s">
        <v>113</v>
      </c>
      <c r="W962" s="42">
        <v>805.95</v>
      </c>
      <c r="X962" s="42">
        <v>805.95</v>
      </c>
    </row>
    <row r="963" spans="1:24">
      <c r="A963" s="27" t="s">
        <v>1900</v>
      </c>
      <c r="B963" s="28" t="s">
        <v>215</v>
      </c>
      <c r="C963" s="27" t="s">
        <v>1901</v>
      </c>
      <c r="D963" s="27" t="s">
        <v>112</v>
      </c>
      <c r="E963" s="29">
        <v>40268</v>
      </c>
      <c r="F963" s="27">
        <v>12</v>
      </c>
      <c r="G963" s="18">
        <v>805.95</v>
      </c>
      <c r="H963" s="27">
        <f t="shared" si="28"/>
        <v>805.95</v>
      </c>
      <c r="I963" s="18">
        <v>805.95</v>
      </c>
      <c r="J963" s="27">
        <v>805.95</v>
      </c>
      <c r="K963" s="18">
        <f t="shared" si="29"/>
        <v>805.95</v>
      </c>
      <c r="L963" s="27">
        <v>805.95</v>
      </c>
      <c r="M963" s="36">
        <v>0</v>
      </c>
      <c r="T963" s="41">
        <v>0</v>
      </c>
      <c r="U963" s="41">
        <v>0</v>
      </c>
      <c r="V963" s="42" t="s">
        <v>113</v>
      </c>
      <c r="W963" s="42">
        <v>805.95</v>
      </c>
      <c r="X963" s="42">
        <v>805.95</v>
      </c>
    </row>
    <row r="964" spans="1:24">
      <c r="A964" s="27" t="s">
        <v>1902</v>
      </c>
      <c r="B964" s="28" t="s">
        <v>215</v>
      </c>
      <c r="C964" s="27" t="s">
        <v>1903</v>
      </c>
      <c r="D964" s="27" t="s">
        <v>112</v>
      </c>
      <c r="E964" s="29">
        <v>40268</v>
      </c>
      <c r="F964" s="27">
        <v>12</v>
      </c>
      <c r="G964" s="18">
        <v>805.95</v>
      </c>
      <c r="H964" s="27">
        <f t="shared" si="28"/>
        <v>805.95</v>
      </c>
      <c r="I964" s="18">
        <v>805.95</v>
      </c>
      <c r="J964" s="27">
        <v>805.95</v>
      </c>
      <c r="K964" s="18">
        <f t="shared" si="29"/>
        <v>805.95</v>
      </c>
      <c r="L964" s="27">
        <v>805.95</v>
      </c>
      <c r="M964" s="36">
        <v>0</v>
      </c>
      <c r="T964" s="41">
        <v>0</v>
      </c>
      <c r="U964" s="41">
        <v>0</v>
      </c>
      <c r="V964" s="42" t="s">
        <v>113</v>
      </c>
      <c r="W964" s="42">
        <v>805.95</v>
      </c>
      <c r="X964" s="42">
        <v>805.95</v>
      </c>
    </row>
    <row r="965" spans="1:24">
      <c r="A965" s="27" t="s">
        <v>1904</v>
      </c>
      <c r="B965" s="28" t="s">
        <v>215</v>
      </c>
      <c r="C965" s="27" t="s">
        <v>558</v>
      </c>
      <c r="D965" s="27" t="s">
        <v>112</v>
      </c>
      <c r="E965" s="29">
        <v>40544</v>
      </c>
      <c r="F965" s="27">
        <v>12</v>
      </c>
      <c r="G965" s="18">
        <v>3000</v>
      </c>
      <c r="H965" s="27">
        <f t="shared" si="28"/>
        <v>3000</v>
      </c>
      <c r="I965" s="18">
        <v>3000</v>
      </c>
      <c r="J965" s="27">
        <v>3000</v>
      </c>
      <c r="K965" s="18">
        <f t="shared" si="29"/>
        <v>3000</v>
      </c>
      <c r="L965" s="27">
        <v>3000</v>
      </c>
      <c r="M965" s="36">
        <v>0</v>
      </c>
      <c r="T965" s="41">
        <v>0</v>
      </c>
      <c r="U965" s="41">
        <v>0</v>
      </c>
      <c r="V965" s="42" t="s">
        <v>113</v>
      </c>
      <c r="W965" s="42">
        <v>3000</v>
      </c>
      <c r="X965" s="42">
        <v>3000</v>
      </c>
    </row>
    <row r="966" spans="1:24">
      <c r="A966" s="27" t="s">
        <v>1905</v>
      </c>
      <c r="B966" s="28" t="s">
        <v>215</v>
      </c>
      <c r="C966" s="27" t="s">
        <v>560</v>
      </c>
      <c r="D966" s="27" t="s">
        <v>112</v>
      </c>
      <c r="E966" s="29">
        <v>40544</v>
      </c>
      <c r="F966" s="27">
        <v>12</v>
      </c>
      <c r="G966" s="18">
        <v>3000</v>
      </c>
      <c r="H966" s="27">
        <f t="shared" ref="H966:H1029" si="30">IFERROR(IF(ROUND((G966-I966)/G966,2)&lt;=0.05,G966,0),0)</f>
        <v>3000</v>
      </c>
      <c r="I966" s="18">
        <v>3000</v>
      </c>
      <c r="J966" s="27">
        <v>3000</v>
      </c>
      <c r="K966" s="18">
        <f t="shared" ref="K966:K1029" si="31">IFERROR(IF(ROUND((J966-L966)/J966,2)&lt;=0.05,J966,0),0)</f>
        <v>3000</v>
      </c>
      <c r="L966" s="27">
        <v>3000</v>
      </c>
      <c r="M966" s="36">
        <v>0</v>
      </c>
      <c r="T966" s="41">
        <v>0</v>
      </c>
      <c r="U966" s="41">
        <v>0</v>
      </c>
      <c r="V966" s="42" t="s">
        <v>113</v>
      </c>
      <c r="W966" s="42">
        <v>3000</v>
      </c>
      <c r="X966" s="42">
        <v>3000</v>
      </c>
    </row>
    <row r="967" spans="1:24">
      <c r="A967" s="27" t="s">
        <v>1906</v>
      </c>
      <c r="B967" s="28" t="s">
        <v>215</v>
      </c>
      <c r="C967" s="27" t="s">
        <v>562</v>
      </c>
      <c r="D967" s="27" t="s">
        <v>112</v>
      </c>
      <c r="E967" s="29">
        <v>40544</v>
      </c>
      <c r="F967" s="27">
        <v>12</v>
      </c>
      <c r="G967" s="18">
        <v>3000</v>
      </c>
      <c r="H967" s="27">
        <f t="shared" si="30"/>
        <v>3000</v>
      </c>
      <c r="I967" s="18">
        <v>3000</v>
      </c>
      <c r="J967" s="27">
        <v>3000</v>
      </c>
      <c r="K967" s="18">
        <f t="shared" si="31"/>
        <v>3000</v>
      </c>
      <c r="L967" s="27">
        <v>3000</v>
      </c>
      <c r="M967" s="36">
        <v>0</v>
      </c>
      <c r="T967" s="41">
        <v>0</v>
      </c>
      <c r="U967" s="41">
        <v>0</v>
      </c>
      <c r="V967" s="42" t="s">
        <v>113</v>
      </c>
      <c r="W967" s="42">
        <v>3000</v>
      </c>
      <c r="X967" s="42">
        <v>3000</v>
      </c>
    </row>
    <row r="968" spans="1:24">
      <c r="A968" s="27" t="s">
        <v>1907</v>
      </c>
      <c r="B968" s="28" t="s">
        <v>215</v>
      </c>
      <c r="C968" s="27" t="s">
        <v>1908</v>
      </c>
      <c r="D968" s="27" t="s">
        <v>230</v>
      </c>
      <c r="E968" s="29">
        <v>40170</v>
      </c>
      <c r="F968" s="27">
        <v>15</v>
      </c>
      <c r="G968" s="18">
        <v>69737.78</v>
      </c>
      <c r="H968" s="27">
        <f t="shared" si="30"/>
        <v>69737.78</v>
      </c>
      <c r="I968" s="18">
        <v>66250.89</v>
      </c>
      <c r="J968" s="27">
        <v>69737.78</v>
      </c>
      <c r="K968" s="18">
        <f t="shared" si="31"/>
        <v>69737.78</v>
      </c>
      <c r="L968" s="27">
        <v>66250.89</v>
      </c>
      <c r="M968" s="36">
        <v>0</v>
      </c>
      <c r="T968" s="41">
        <v>0</v>
      </c>
      <c r="U968" s="41">
        <v>0</v>
      </c>
      <c r="V968" s="42" t="s">
        <v>113</v>
      </c>
      <c r="W968" s="42">
        <v>69737.78</v>
      </c>
      <c r="X968" s="42">
        <v>69737.78</v>
      </c>
    </row>
    <row r="969" spans="1:24">
      <c r="A969" s="27" t="s">
        <v>1909</v>
      </c>
      <c r="B969" s="28" t="s">
        <v>215</v>
      </c>
      <c r="C969" s="27" t="s">
        <v>1910</v>
      </c>
      <c r="D969" s="27" t="s">
        <v>230</v>
      </c>
      <c r="E969" s="29">
        <v>40170</v>
      </c>
      <c r="F969" s="27">
        <v>15</v>
      </c>
      <c r="G969" s="18">
        <v>58391.41</v>
      </c>
      <c r="H969" s="27">
        <f t="shared" si="30"/>
        <v>58391.41</v>
      </c>
      <c r="I969" s="18">
        <v>55471.839999999997</v>
      </c>
      <c r="J969" s="27">
        <v>58391.41</v>
      </c>
      <c r="K969" s="18">
        <f t="shared" si="31"/>
        <v>58391.41</v>
      </c>
      <c r="L969" s="27">
        <v>55471.839999999997</v>
      </c>
      <c r="M969" s="36">
        <v>0</v>
      </c>
      <c r="T969" s="41">
        <v>0</v>
      </c>
      <c r="U969" s="41">
        <v>0</v>
      </c>
      <c r="V969" s="42" t="s">
        <v>113</v>
      </c>
      <c r="W969" s="42">
        <v>58391.41</v>
      </c>
      <c r="X969" s="42">
        <v>58391.41</v>
      </c>
    </row>
    <row r="970" spans="1:24">
      <c r="A970" s="27" t="s">
        <v>1911</v>
      </c>
      <c r="B970" s="28" t="s">
        <v>215</v>
      </c>
      <c r="C970" s="27" t="s">
        <v>1912</v>
      </c>
      <c r="D970" s="27" t="s">
        <v>230</v>
      </c>
      <c r="E970" s="29">
        <v>40170</v>
      </c>
      <c r="F970" s="27">
        <v>15</v>
      </c>
      <c r="G970" s="18">
        <v>47352.66</v>
      </c>
      <c r="H970" s="27">
        <f t="shared" si="30"/>
        <v>47352.66</v>
      </c>
      <c r="I970" s="18">
        <v>44985.03</v>
      </c>
      <c r="J970" s="27">
        <v>47352.66</v>
      </c>
      <c r="K970" s="18">
        <f t="shared" si="31"/>
        <v>47352.66</v>
      </c>
      <c r="L970" s="27">
        <v>44985.03</v>
      </c>
      <c r="M970" s="36">
        <v>0</v>
      </c>
      <c r="T970" s="41">
        <v>0</v>
      </c>
      <c r="U970" s="41">
        <v>0</v>
      </c>
      <c r="V970" s="42" t="s">
        <v>113</v>
      </c>
      <c r="W970" s="42">
        <v>47352.66</v>
      </c>
      <c r="X970" s="42">
        <v>47352.66</v>
      </c>
    </row>
    <row r="971" spans="1:24">
      <c r="A971" s="27" t="s">
        <v>1913</v>
      </c>
      <c r="B971" s="28" t="s">
        <v>215</v>
      </c>
      <c r="C971" s="27" t="s">
        <v>1914</v>
      </c>
      <c r="D971" s="27" t="s">
        <v>112</v>
      </c>
      <c r="E971" s="29">
        <v>40170</v>
      </c>
      <c r="F971" s="27">
        <v>15</v>
      </c>
      <c r="G971" s="18">
        <v>247164.79999999999</v>
      </c>
      <c r="H971" s="27">
        <f t="shared" si="30"/>
        <v>247164.79999999999</v>
      </c>
      <c r="I971" s="18">
        <v>234806.56</v>
      </c>
      <c r="J971" s="27">
        <v>247164.79999999999</v>
      </c>
      <c r="K971" s="18">
        <f t="shared" si="31"/>
        <v>247164.79999999999</v>
      </c>
      <c r="L971" s="27">
        <v>234806.56</v>
      </c>
      <c r="M971" s="36">
        <v>0</v>
      </c>
      <c r="T971" s="41">
        <v>0</v>
      </c>
      <c r="U971" s="41">
        <v>0</v>
      </c>
      <c r="V971" s="42" t="s">
        <v>113</v>
      </c>
      <c r="W971" s="42">
        <v>247164.79999999999</v>
      </c>
      <c r="X971" s="42">
        <v>247164.79999999999</v>
      </c>
    </row>
    <row r="972" spans="1:24">
      <c r="A972" s="27" t="s">
        <v>1915</v>
      </c>
      <c r="B972" s="28" t="s">
        <v>215</v>
      </c>
      <c r="C972" s="27" t="s">
        <v>530</v>
      </c>
      <c r="D972" s="27" t="s">
        <v>118</v>
      </c>
      <c r="E972" s="29">
        <v>40170</v>
      </c>
      <c r="F972" s="27">
        <v>12</v>
      </c>
      <c r="G972" s="18">
        <v>2569</v>
      </c>
      <c r="H972" s="27">
        <f t="shared" si="30"/>
        <v>2569</v>
      </c>
      <c r="I972" s="18">
        <v>2569</v>
      </c>
      <c r="J972" s="27">
        <v>2569</v>
      </c>
      <c r="K972" s="18">
        <f t="shared" si="31"/>
        <v>2569</v>
      </c>
      <c r="L972" s="27">
        <v>2569</v>
      </c>
      <c r="M972" s="36">
        <v>0</v>
      </c>
      <c r="T972" s="41">
        <v>0</v>
      </c>
      <c r="U972" s="41">
        <v>0</v>
      </c>
      <c r="V972" s="42" t="s">
        <v>113</v>
      </c>
      <c r="W972" s="42">
        <v>2569</v>
      </c>
      <c r="X972" s="42">
        <v>2569</v>
      </c>
    </row>
    <row r="973" spans="1:24">
      <c r="A973" s="27" t="s">
        <v>1916</v>
      </c>
      <c r="B973" s="28" t="s">
        <v>215</v>
      </c>
      <c r="C973" s="27" t="s">
        <v>1917</v>
      </c>
      <c r="D973" s="27" t="s">
        <v>118</v>
      </c>
      <c r="E973" s="29">
        <v>40170</v>
      </c>
      <c r="F973" s="27">
        <v>15</v>
      </c>
      <c r="G973" s="18">
        <v>12954</v>
      </c>
      <c r="H973" s="27">
        <f t="shared" si="30"/>
        <v>12954</v>
      </c>
      <c r="I973" s="18">
        <v>12306.3</v>
      </c>
      <c r="J973" s="27">
        <v>12954</v>
      </c>
      <c r="K973" s="18">
        <f t="shared" si="31"/>
        <v>12954</v>
      </c>
      <c r="L973" s="27">
        <v>12306.3</v>
      </c>
      <c r="M973" s="36">
        <v>0</v>
      </c>
      <c r="T973" s="41">
        <v>0</v>
      </c>
      <c r="U973" s="41">
        <v>0</v>
      </c>
      <c r="V973" s="42" t="s">
        <v>113</v>
      </c>
      <c r="W973" s="42">
        <v>12954</v>
      </c>
      <c r="X973" s="42">
        <v>12954</v>
      </c>
    </row>
    <row r="974" spans="1:24">
      <c r="A974" s="27" t="s">
        <v>1918</v>
      </c>
      <c r="B974" s="28" t="s">
        <v>215</v>
      </c>
      <c r="C974" s="27" t="s">
        <v>1919</v>
      </c>
      <c r="D974" s="27" t="s">
        <v>118</v>
      </c>
      <c r="E974" s="29">
        <v>40170</v>
      </c>
      <c r="F974" s="27">
        <v>15</v>
      </c>
      <c r="G974" s="18">
        <v>12954</v>
      </c>
      <c r="H974" s="27">
        <f t="shared" si="30"/>
        <v>12954</v>
      </c>
      <c r="I974" s="18">
        <v>12306.3</v>
      </c>
      <c r="J974" s="27">
        <v>12954</v>
      </c>
      <c r="K974" s="18">
        <f t="shared" si="31"/>
        <v>12954</v>
      </c>
      <c r="L974" s="27">
        <v>12306.3</v>
      </c>
      <c r="M974" s="36">
        <v>0</v>
      </c>
      <c r="T974" s="41">
        <v>0</v>
      </c>
      <c r="U974" s="41">
        <v>0</v>
      </c>
      <c r="V974" s="42" t="s">
        <v>113</v>
      </c>
      <c r="W974" s="42">
        <v>12954</v>
      </c>
      <c r="X974" s="42">
        <v>12954</v>
      </c>
    </row>
    <row r="975" spans="1:24">
      <c r="A975" s="27" t="s">
        <v>1920</v>
      </c>
      <c r="B975" s="28" t="s">
        <v>215</v>
      </c>
      <c r="C975" s="27" t="s">
        <v>1921</v>
      </c>
      <c r="D975" s="27" t="s">
        <v>118</v>
      </c>
      <c r="E975" s="29">
        <v>40170</v>
      </c>
      <c r="F975" s="27">
        <v>15</v>
      </c>
      <c r="G975" s="18">
        <v>12954</v>
      </c>
      <c r="H975" s="27">
        <f t="shared" si="30"/>
        <v>12954</v>
      </c>
      <c r="I975" s="18">
        <v>12306.3</v>
      </c>
      <c r="J975" s="27">
        <v>12954</v>
      </c>
      <c r="K975" s="18">
        <f t="shared" si="31"/>
        <v>12954</v>
      </c>
      <c r="L975" s="27">
        <v>12306.3</v>
      </c>
      <c r="M975" s="36">
        <v>0</v>
      </c>
      <c r="T975" s="41">
        <v>0</v>
      </c>
      <c r="U975" s="41">
        <v>0</v>
      </c>
      <c r="V975" s="42" t="s">
        <v>113</v>
      </c>
      <c r="W975" s="42">
        <v>12954</v>
      </c>
      <c r="X975" s="42">
        <v>12954</v>
      </c>
    </row>
    <row r="976" spans="1:24">
      <c r="A976" s="27" t="s">
        <v>1922</v>
      </c>
      <c r="B976" s="28" t="s">
        <v>215</v>
      </c>
      <c r="C976" s="27" t="s">
        <v>1923</v>
      </c>
      <c r="D976" s="27" t="s">
        <v>118</v>
      </c>
      <c r="E976" s="29">
        <v>40170</v>
      </c>
      <c r="F976" s="27">
        <v>15</v>
      </c>
      <c r="G976" s="18">
        <v>5572.5</v>
      </c>
      <c r="H976" s="27">
        <f t="shared" si="30"/>
        <v>5572.5</v>
      </c>
      <c r="I976" s="18">
        <v>5293.87</v>
      </c>
      <c r="J976" s="27">
        <v>5572.5</v>
      </c>
      <c r="K976" s="18">
        <f t="shared" si="31"/>
        <v>5572.5</v>
      </c>
      <c r="L976" s="27">
        <v>5293.87</v>
      </c>
      <c r="M976" s="36">
        <v>0</v>
      </c>
      <c r="T976" s="41">
        <v>0</v>
      </c>
      <c r="U976" s="41">
        <v>0</v>
      </c>
      <c r="V976" s="42" t="s">
        <v>113</v>
      </c>
      <c r="W976" s="42">
        <v>5572.5</v>
      </c>
      <c r="X976" s="42">
        <v>5572.5</v>
      </c>
    </row>
    <row r="977" spans="1:24">
      <c r="A977" s="27" t="s">
        <v>1924</v>
      </c>
      <c r="B977" s="28" t="s">
        <v>215</v>
      </c>
      <c r="C977" s="27" t="s">
        <v>1925</v>
      </c>
      <c r="D977" s="27" t="s">
        <v>118</v>
      </c>
      <c r="E977" s="29">
        <v>40170</v>
      </c>
      <c r="F977" s="27">
        <v>15</v>
      </c>
      <c r="G977" s="18">
        <v>5572.5</v>
      </c>
      <c r="H977" s="27">
        <f t="shared" si="30"/>
        <v>5572.5</v>
      </c>
      <c r="I977" s="18">
        <v>5293.87</v>
      </c>
      <c r="J977" s="27">
        <v>5572.5</v>
      </c>
      <c r="K977" s="18">
        <f t="shared" si="31"/>
        <v>5572.5</v>
      </c>
      <c r="L977" s="27">
        <v>5293.87</v>
      </c>
      <c r="M977" s="36">
        <v>0</v>
      </c>
      <c r="T977" s="41">
        <v>0</v>
      </c>
      <c r="U977" s="41">
        <v>0</v>
      </c>
      <c r="V977" s="42" t="s">
        <v>113</v>
      </c>
      <c r="W977" s="42">
        <v>5572.5</v>
      </c>
      <c r="X977" s="42">
        <v>5572.5</v>
      </c>
    </row>
    <row r="978" spans="1:24">
      <c r="A978" s="27" t="s">
        <v>1926</v>
      </c>
      <c r="B978" s="28" t="s">
        <v>215</v>
      </c>
      <c r="C978" s="27" t="s">
        <v>1927</v>
      </c>
      <c r="D978" s="27" t="s">
        <v>118</v>
      </c>
      <c r="E978" s="29">
        <v>40170</v>
      </c>
      <c r="F978" s="27">
        <v>15</v>
      </c>
      <c r="G978" s="18">
        <v>5572.5</v>
      </c>
      <c r="H978" s="27">
        <f t="shared" si="30"/>
        <v>5572.5</v>
      </c>
      <c r="I978" s="18">
        <v>5293.87</v>
      </c>
      <c r="J978" s="27">
        <v>5572.5</v>
      </c>
      <c r="K978" s="18">
        <f t="shared" si="31"/>
        <v>5572.5</v>
      </c>
      <c r="L978" s="27">
        <v>5293.87</v>
      </c>
      <c r="M978" s="36">
        <v>0</v>
      </c>
      <c r="T978" s="41">
        <v>0</v>
      </c>
      <c r="U978" s="41">
        <v>0</v>
      </c>
      <c r="V978" s="42" t="s">
        <v>113</v>
      </c>
      <c r="W978" s="42">
        <v>5572.5</v>
      </c>
      <c r="X978" s="42">
        <v>5572.5</v>
      </c>
    </row>
    <row r="979" spans="1:24">
      <c r="A979" s="27" t="s">
        <v>1928</v>
      </c>
      <c r="B979" s="28" t="s">
        <v>215</v>
      </c>
      <c r="C979" s="27" t="s">
        <v>1929</v>
      </c>
      <c r="D979" s="27" t="s">
        <v>230</v>
      </c>
      <c r="E979" s="29">
        <v>40170</v>
      </c>
      <c r="F979" s="27">
        <v>15</v>
      </c>
      <c r="G979" s="18">
        <v>69723.91</v>
      </c>
      <c r="H979" s="27">
        <f t="shared" si="30"/>
        <v>69723.91</v>
      </c>
      <c r="I979" s="18">
        <v>66237.710000000006</v>
      </c>
      <c r="J979" s="27">
        <v>69723.91</v>
      </c>
      <c r="K979" s="18">
        <f t="shared" si="31"/>
        <v>69723.91</v>
      </c>
      <c r="L979" s="27">
        <v>66237.710000000006</v>
      </c>
      <c r="M979" s="36">
        <v>0</v>
      </c>
      <c r="T979" s="41">
        <v>0</v>
      </c>
      <c r="U979" s="41">
        <v>0</v>
      </c>
      <c r="V979" s="42" t="s">
        <v>113</v>
      </c>
      <c r="W979" s="42">
        <v>69723.91</v>
      </c>
      <c r="X979" s="42">
        <v>69723.91</v>
      </c>
    </row>
    <row r="980" spans="1:24">
      <c r="A980" s="27" t="s">
        <v>1930</v>
      </c>
      <c r="B980" s="28" t="s">
        <v>215</v>
      </c>
      <c r="C980" s="27" t="s">
        <v>1931</v>
      </c>
      <c r="D980" s="27" t="s">
        <v>230</v>
      </c>
      <c r="E980" s="29">
        <v>40170</v>
      </c>
      <c r="F980" s="27">
        <v>15</v>
      </c>
      <c r="G980" s="18">
        <v>69723.91</v>
      </c>
      <c r="H980" s="27">
        <f t="shared" si="30"/>
        <v>69723.91</v>
      </c>
      <c r="I980" s="18">
        <v>66237.710000000006</v>
      </c>
      <c r="J980" s="27">
        <v>69723.91</v>
      </c>
      <c r="K980" s="18">
        <f t="shared" si="31"/>
        <v>69723.91</v>
      </c>
      <c r="L980" s="27">
        <v>66237.710000000006</v>
      </c>
      <c r="M980" s="36">
        <v>0</v>
      </c>
      <c r="T980" s="41">
        <v>0</v>
      </c>
      <c r="U980" s="41">
        <v>0</v>
      </c>
      <c r="V980" s="42" t="s">
        <v>113</v>
      </c>
      <c r="W980" s="42">
        <v>69723.91</v>
      </c>
      <c r="X980" s="42">
        <v>69723.91</v>
      </c>
    </row>
    <row r="981" spans="1:24">
      <c r="A981" s="27" t="s">
        <v>1932</v>
      </c>
      <c r="B981" s="28" t="s">
        <v>215</v>
      </c>
      <c r="C981" s="27" t="s">
        <v>1933</v>
      </c>
      <c r="D981" s="27" t="s">
        <v>230</v>
      </c>
      <c r="E981" s="29">
        <v>40170</v>
      </c>
      <c r="F981" s="27">
        <v>15</v>
      </c>
      <c r="G981" s="18">
        <v>13159.5</v>
      </c>
      <c r="H981" s="27">
        <f t="shared" si="30"/>
        <v>13159.5</v>
      </c>
      <c r="I981" s="18">
        <v>12501.52</v>
      </c>
      <c r="J981" s="27">
        <v>13159.5</v>
      </c>
      <c r="K981" s="18">
        <f t="shared" si="31"/>
        <v>13159.5</v>
      </c>
      <c r="L981" s="27">
        <v>12501.52</v>
      </c>
      <c r="M981" s="36">
        <v>0</v>
      </c>
      <c r="T981" s="41">
        <v>0</v>
      </c>
      <c r="U981" s="41">
        <v>0</v>
      </c>
      <c r="V981" s="42" t="s">
        <v>113</v>
      </c>
      <c r="W981" s="42">
        <v>13159.5</v>
      </c>
      <c r="X981" s="42">
        <v>13159.5</v>
      </c>
    </row>
    <row r="982" spans="1:24">
      <c r="A982" s="27" t="s">
        <v>1934</v>
      </c>
      <c r="B982" s="28" t="s">
        <v>215</v>
      </c>
      <c r="C982" s="27" t="s">
        <v>1935</v>
      </c>
      <c r="D982" s="27" t="s">
        <v>230</v>
      </c>
      <c r="E982" s="29">
        <v>40170</v>
      </c>
      <c r="F982" s="27">
        <v>15</v>
      </c>
      <c r="G982" s="18">
        <v>56030.17</v>
      </c>
      <c r="H982" s="27">
        <f t="shared" si="30"/>
        <v>56030.17</v>
      </c>
      <c r="I982" s="18">
        <v>53228.66</v>
      </c>
      <c r="J982" s="27">
        <v>56030.17</v>
      </c>
      <c r="K982" s="18">
        <f t="shared" si="31"/>
        <v>56030.17</v>
      </c>
      <c r="L982" s="27">
        <v>53228.66</v>
      </c>
      <c r="M982" s="36">
        <v>0</v>
      </c>
      <c r="T982" s="41">
        <v>0</v>
      </c>
      <c r="U982" s="41">
        <v>0</v>
      </c>
      <c r="V982" s="42" t="s">
        <v>113</v>
      </c>
      <c r="W982" s="42">
        <v>56030.17</v>
      </c>
      <c r="X982" s="42">
        <v>56030.17</v>
      </c>
    </row>
    <row r="983" spans="1:24">
      <c r="A983" s="27" t="s">
        <v>1936</v>
      </c>
      <c r="B983" s="28" t="s">
        <v>215</v>
      </c>
      <c r="C983" s="27" t="s">
        <v>1937</v>
      </c>
      <c r="D983" s="27" t="s">
        <v>230</v>
      </c>
      <c r="E983" s="29">
        <v>40170</v>
      </c>
      <c r="F983" s="27">
        <v>15</v>
      </c>
      <c r="G983" s="18">
        <v>13159.5</v>
      </c>
      <c r="H983" s="27">
        <f t="shared" si="30"/>
        <v>13159.5</v>
      </c>
      <c r="I983" s="18">
        <v>12501.52</v>
      </c>
      <c r="J983" s="27">
        <v>13159.5</v>
      </c>
      <c r="K983" s="18">
        <f t="shared" si="31"/>
        <v>13159.5</v>
      </c>
      <c r="L983" s="27">
        <v>12501.52</v>
      </c>
      <c r="M983" s="36">
        <v>0</v>
      </c>
      <c r="T983" s="41">
        <v>0</v>
      </c>
      <c r="U983" s="41">
        <v>0</v>
      </c>
      <c r="V983" s="42" t="s">
        <v>113</v>
      </c>
      <c r="W983" s="42">
        <v>13159.5</v>
      </c>
      <c r="X983" s="42">
        <v>13159.5</v>
      </c>
    </row>
    <row r="984" spans="1:24">
      <c r="A984" s="27" t="s">
        <v>1938</v>
      </c>
      <c r="B984" s="28" t="s">
        <v>215</v>
      </c>
      <c r="C984" s="27" t="s">
        <v>247</v>
      </c>
      <c r="D984" s="27" t="s">
        <v>230</v>
      </c>
      <c r="E984" s="29">
        <v>37226</v>
      </c>
      <c r="F984" s="27">
        <v>15</v>
      </c>
      <c r="G984" s="18">
        <v>61231.5</v>
      </c>
      <c r="H984" s="27">
        <f t="shared" si="30"/>
        <v>61231.5</v>
      </c>
      <c r="I984" s="18">
        <v>58169.919999999998</v>
      </c>
      <c r="J984" s="27">
        <v>61231.5</v>
      </c>
      <c r="K984" s="18">
        <f t="shared" si="31"/>
        <v>61231.5</v>
      </c>
      <c r="L984" s="27">
        <v>58169.919999999998</v>
      </c>
      <c r="M984" s="36">
        <v>0</v>
      </c>
      <c r="T984" s="41">
        <v>0</v>
      </c>
      <c r="U984" s="41">
        <v>0</v>
      </c>
      <c r="V984" s="42" t="s">
        <v>113</v>
      </c>
      <c r="W984" s="42">
        <v>61231.5</v>
      </c>
      <c r="X984" s="42">
        <v>61231.5</v>
      </c>
    </row>
    <row r="985" spans="1:24">
      <c r="A985" s="27" t="s">
        <v>1939</v>
      </c>
      <c r="B985" s="28" t="s">
        <v>215</v>
      </c>
      <c r="C985" s="27" t="s">
        <v>1940</v>
      </c>
      <c r="D985" s="27" t="s">
        <v>118</v>
      </c>
      <c r="E985" s="29">
        <v>38412</v>
      </c>
      <c r="F985" s="27">
        <v>12</v>
      </c>
      <c r="G985" s="18">
        <v>4546.84</v>
      </c>
      <c r="H985" s="27">
        <f t="shared" si="30"/>
        <v>4546.84</v>
      </c>
      <c r="I985" s="18">
        <v>4546.84</v>
      </c>
      <c r="J985" s="27">
        <v>4546.84</v>
      </c>
      <c r="K985" s="18">
        <f t="shared" si="31"/>
        <v>4546.84</v>
      </c>
      <c r="L985" s="27">
        <v>4546.84</v>
      </c>
      <c r="M985" s="36">
        <v>0</v>
      </c>
      <c r="T985" s="41">
        <v>0</v>
      </c>
      <c r="U985" s="41">
        <v>0</v>
      </c>
      <c r="V985" s="42" t="s">
        <v>113</v>
      </c>
      <c r="W985" s="42">
        <v>4546.84</v>
      </c>
      <c r="X985" s="42">
        <v>4546.84</v>
      </c>
    </row>
    <row r="986" spans="1:24">
      <c r="A986" s="27" t="s">
        <v>1941</v>
      </c>
      <c r="B986" s="28" t="s">
        <v>215</v>
      </c>
      <c r="C986" s="27" t="s">
        <v>1942</v>
      </c>
      <c r="D986" s="27" t="s">
        <v>118</v>
      </c>
      <c r="E986" s="29">
        <v>38412</v>
      </c>
      <c r="F986" s="27">
        <v>12</v>
      </c>
      <c r="G986" s="18">
        <v>4546.84</v>
      </c>
      <c r="H986" s="27">
        <f t="shared" si="30"/>
        <v>4546.84</v>
      </c>
      <c r="I986" s="18">
        <v>4546.84</v>
      </c>
      <c r="J986" s="27">
        <v>4546.84</v>
      </c>
      <c r="K986" s="18">
        <f t="shared" si="31"/>
        <v>4546.84</v>
      </c>
      <c r="L986" s="27">
        <v>4546.84</v>
      </c>
      <c r="M986" s="36">
        <v>0</v>
      </c>
      <c r="T986" s="41">
        <v>0</v>
      </c>
      <c r="U986" s="41">
        <v>0</v>
      </c>
      <c r="V986" s="42" t="s">
        <v>113</v>
      </c>
      <c r="W986" s="42">
        <v>4546.84</v>
      </c>
      <c r="X986" s="42">
        <v>4546.84</v>
      </c>
    </row>
    <row r="987" spans="1:24">
      <c r="A987" s="27" t="s">
        <v>1943</v>
      </c>
      <c r="B987" s="28" t="s">
        <v>215</v>
      </c>
      <c r="C987" s="27" t="s">
        <v>1944</v>
      </c>
      <c r="D987" s="27" t="s">
        <v>118</v>
      </c>
      <c r="E987" s="29">
        <v>38412</v>
      </c>
      <c r="F987" s="27">
        <v>12</v>
      </c>
      <c r="G987" s="18">
        <v>4546.84</v>
      </c>
      <c r="H987" s="27">
        <f t="shared" si="30"/>
        <v>4546.84</v>
      </c>
      <c r="I987" s="18">
        <v>4546.84</v>
      </c>
      <c r="J987" s="27">
        <v>4546.84</v>
      </c>
      <c r="K987" s="18">
        <f t="shared" si="31"/>
        <v>4546.84</v>
      </c>
      <c r="L987" s="27">
        <v>4546.84</v>
      </c>
      <c r="M987" s="36">
        <v>0</v>
      </c>
      <c r="T987" s="41">
        <v>0</v>
      </c>
      <c r="U987" s="41">
        <v>0</v>
      </c>
      <c r="V987" s="42" t="s">
        <v>113</v>
      </c>
      <c r="W987" s="42">
        <v>4546.84</v>
      </c>
      <c r="X987" s="42">
        <v>4546.84</v>
      </c>
    </row>
    <row r="988" spans="1:24">
      <c r="A988" s="27" t="s">
        <v>1945</v>
      </c>
      <c r="B988" s="28" t="s">
        <v>215</v>
      </c>
      <c r="C988" s="27" t="s">
        <v>1946</v>
      </c>
      <c r="D988" s="27" t="s">
        <v>118</v>
      </c>
      <c r="E988" s="29">
        <v>38412</v>
      </c>
      <c r="F988" s="27">
        <v>12</v>
      </c>
      <c r="G988" s="18">
        <v>4546.83</v>
      </c>
      <c r="H988" s="27">
        <f t="shared" si="30"/>
        <v>4546.83</v>
      </c>
      <c r="I988" s="18">
        <v>4546.83</v>
      </c>
      <c r="J988" s="27">
        <v>4546.83</v>
      </c>
      <c r="K988" s="18">
        <f t="shared" si="31"/>
        <v>4546.83</v>
      </c>
      <c r="L988" s="27">
        <v>4546.83</v>
      </c>
      <c r="M988" s="36">
        <v>0</v>
      </c>
      <c r="T988" s="41">
        <v>0</v>
      </c>
      <c r="U988" s="41">
        <v>0</v>
      </c>
      <c r="V988" s="42" t="s">
        <v>113</v>
      </c>
      <c r="W988" s="42">
        <v>4546.83</v>
      </c>
      <c r="X988" s="42">
        <v>4546.83</v>
      </c>
    </row>
    <row r="989" spans="1:24">
      <c r="A989" s="27" t="s">
        <v>1947</v>
      </c>
      <c r="B989" s="28" t="s">
        <v>215</v>
      </c>
      <c r="C989" s="27" t="s">
        <v>1948</v>
      </c>
      <c r="D989" s="27" t="s">
        <v>118</v>
      </c>
      <c r="E989" s="29">
        <v>38412</v>
      </c>
      <c r="F989" s="27">
        <v>12</v>
      </c>
      <c r="G989" s="18">
        <v>4546.84</v>
      </c>
      <c r="H989" s="27">
        <f t="shared" si="30"/>
        <v>4546.84</v>
      </c>
      <c r="I989" s="18">
        <v>4546.84</v>
      </c>
      <c r="J989" s="27">
        <v>4546.84</v>
      </c>
      <c r="K989" s="18">
        <f t="shared" si="31"/>
        <v>4546.84</v>
      </c>
      <c r="L989" s="27">
        <v>4546.84</v>
      </c>
      <c r="M989" s="36">
        <v>0</v>
      </c>
      <c r="T989" s="41">
        <v>0</v>
      </c>
      <c r="U989" s="41">
        <v>0</v>
      </c>
      <c r="V989" s="42" t="s">
        <v>113</v>
      </c>
      <c r="W989" s="42">
        <v>4546.84</v>
      </c>
      <c r="X989" s="42">
        <v>4546.84</v>
      </c>
    </row>
    <row r="990" spans="1:24">
      <c r="A990" s="27" t="s">
        <v>1949</v>
      </c>
      <c r="B990" s="28" t="s">
        <v>215</v>
      </c>
      <c r="C990" s="27" t="s">
        <v>1950</v>
      </c>
      <c r="D990" s="27" t="s">
        <v>118</v>
      </c>
      <c r="E990" s="29">
        <v>38412</v>
      </c>
      <c r="F990" s="27">
        <v>12</v>
      </c>
      <c r="G990" s="18">
        <v>4546.83</v>
      </c>
      <c r="H990" s="27">
        <f t="shared" si="30"/>
        <v>4546.83</v>
      </c>
      <c r="I990" s="18">
        <v>4546.83</v>
      </c>
      <c r="J990" s="27">
        <v>4546.83</v>
      </c>
      <c r="K990" s="18">
        <f t="shared" si="31"/>
        <v>4546.83</v>
      </c>
      <c r="L990" s="27">
        <v>4546.83</v>
      </c>
      <c r="M990" s="36">
        <v>0</v>
      </c>
      <c r="T990" s="41">
        <v>0</v>
      </c>
      <c r="U990" s="41">
        <v>0</v>
      </c>
      <c r="V990" s="42" t="s">
        <v>113</v>
      </c>
      <c r="W990" s="42">
        <v>4546.83</v>
      </c>
      <c r="X990" s="42">
        <v>4546.83</v>
      </c>
    </row>
    <row r="991" spans="1:24">
      <c r="A991" s="27" t="s">
        <v>1951</v>
      </c>
      <c r="B991" s="28" t="s">
        <v>215</v>
      </c>
      <c r="C991" s="27" t="s">
        <v>1952</v>
      </c>
      <c r="D991" s="27" t="s">
        <v>118</v>
      </c>
      <c r="E991" s="29">
        <v>40170</v>
      </c>
      <c r="F991" s="27">
        <v>15</v>
      </c>
      <c r="G991" s="18">
        <v>238416.75</v>
      </c>
      <c r="H991" s="27">
        <f t="shared" si="30"/>
        <v>238416.75</v>
      </c>
      <c r="I991" s="18">
        <v>226495.91</v>
      </c>
      <c r="J991" s="27">
        <v>238416.75</v>
      </c>
      <c r="K991" s="18">
        <f t="shared" si="31"/>
        <v>238416.75</v>
      </c>
      <c r="L991" s="27">
        <v>226495.91</v>
      </c>
      <c r="M991" s="36">
        <v>0</v>
      </c>
      <c r="T991" s="41">
        <v>0</v>
      </c>
      <c r="U991" s="41">
        <v>0</v>
      </c>
      <c r="V991" s="42" t="s">
        <v>113</v>
      </c>
      <c r="W991" s="42">
        <v>238416.75</v>
      </c>
      <c r="X991" s="42">
        <v>238416.75</v>
      </c>
    </row>
    <row r="992" spans="1:24">
      <c r="A992" s="27" t="s">
        <v>1953</v>
      </c>
      <c r="B992" s="28" t="s">
        <v>215</v>
      </c>
      <c r="C992" s="27" t="s">
        <v>1954</v>
      </c>
      <c r="D992" s="27" t="s">
        <v>118</v>
      </c>
      <c r="E992" s="29">
        <v>40170</v>
      </c>
      <c r="F992" s="27">
        <v>15</v>
      </c>
      <c r="G992" s="18">
        <v>238416.75</v>
      </c>
      <c r="H992" s="27">
        <f t="shared" si="30"/>
        <v>238416.75</v>
      </c>
      <c r="I992" s="18">
        <v>226495.91</v>
      </c>
      <c r="J992" s="27">
        <v>238416.75</v>
      </c>
      <c r="K992" s="18">
        <f t="shared" si="31"/>
        <v>238416.75</v>
      </c>
      <c r="L992" s="27">
        <v>226495.91</v>
      </c>
      <c r="M992" s="36">
        <v>0</v>
      </c>
      <c r="T992" s="41">
        <v>0</v>
      </c>
      <c r="U992" s="41">
        <v>0</v>
      </c>
      <c r="V992" s="42" t="s">
        <v>113</v>
      </c>
      <c r="W992" s="42">
        <v>238416.75</v>
      </c>
      <c r="X992" s="42">
        <v>238416.75</v>
      </c>
    </row>
    <row r="993" spans="1:24">
      <c r="A993" s="27" t="s">
        <v>1955</v>
      </c>
      <c r="B993" s="28" t="s">
        <v>215</v>
      </c>
      <c r="C993" s="27" t="s">
        <v>1956</v>
      </c>
      <c r="D993" s="27" t="s">
        <v>230</v>
      </c>
      <c r="E993" s="29">
        <v>40171</v>
      </c>
      <c r="F993" s="27">
        <v>12</v>
      </c>
      <c r="G993" s="18">
        <v>4690.5</v>
      </c>
      <c r="H993" s="27">
        <f t="shared" si="30"/>
        <v>4690.5</v>
      </c>
      <c r="I993" s="18">
        <v>4690.5</v>
      </c>
      <c r="J993" s="27">
        <v>4690.5</v>
      </c>
      <c r="K993" s="18">
        <f t="shared" si="31"/>
        <v>4690.5</v>
      </c>
      <c r="L993" s="27">
        <v>4690.5</v>
      </c>
      <c r="M993" s="36">
        <v>0</v>
      </c>
      <c r="T993" s="41">
        <v>0</v>
      </c>
      <c r="U993" s="41">
        <v>0</v>
      </c>
      <c r="V993" s="42" t="s">
        <v>113</v>
      </c>
      <c r="W993" s="42">
        <v>4690.5</v>
      </c>
      <c r="X993" s="42">
        <v>4690.5</v>
      </c>
    </row>
    <row r="994" spans="1:24">
      <c r="A994" s="27" t="s">
        <v>1957</v>
      </c>
      <c r="B994" s="28" t="s">
        <v>215</v>
      </c>
      <c r="C994" s="27" t="s">
        <v>1958</v>
      </c>
      <c r="D994" s="27" t="s">
        <v>118</v>
      </c>
      <c r="E994" s="29">
        <v>40171</v>
      </c>
      <c r="F994" s="27">
        <v>12</v>
      </c>
      <c r="G994" s="18">
        <v>2835</v>
      </c>
      <c r="H994" s="27">
        <f t="shared" si="30"/>
        <v>2835</v>
      </c>
      <c r="I994" s="18">
        <v>2835</v>
      </c>
      <c r="J994" s="27">
        <v>2835</v>
      </c>
      <c r="K994" s="18">
        <f t="shared" si="31"/>
        <v>2835</v>
      </c>
      <c r="L994" s="27">
        <v>2835</v>
      </c>
      <c r="M994" s="36">
        <v>0</v>
      </c>
      <c r="T994" s="41">
        <v>0</v>
      </c>
      <c r="U994" s="41">
        <v>0</v>
      </c>
      <c r="V994" s="42" t="s">
        <v>113</v>
      </c>
      <c r="W994" s="42">
        <v>2835</v>
      </c>
      <c r="X994" s="42">
        <v>2835</v>
      </c>
    </row>
    <row r="995" spans="1:24">
      <c r="A995" s="27" t="s">
        <v>1959</v>
      </c>
      <c r="B995" s="28" t="s">
        <v>215</v>
      </c>
      <c r="C995" s="27" t="s">
        <v>1960</v>
      </c>
      <c r="D995" s="27" t="s">
        <v>118</v>
      </c>
      <c r="E995" s="29">
        <v>40171</v>
      </c>
      <c r="F995" s="27">
        <v>12</v>
      </c>
      <c r="G995" s="18">
        <v>2835</v>
      </c>
      <c r="H995" s="27">
        <f t="shared" si="30"/>
        <v>2835</v>
      </c>
      <c r="I995" s="18">
        <v>2835</v>
      </c>
      <c r="J995" s="27">
        <v>2835</v>
      </c>
      <c r="K995" s="18">
        <f t="shared" si="31"/>
        <v>2835</v>
      </c>
      <c r="L995" s="27">
        <v>2835</v>
      </c>
      <c r="M995" s="36">
        <v>0</v>
      </c>
      <c r="T995" s="41">
        <v>0</v>
      </c>
      <c r="U995" s="41">
        <v>0</v>
      </c>
      <c r="V995" s="42" t="s">
        <v>113</v>
      </c>
      <c r="W995" s="42">
        <v>2835</v>
      </c>
      <c r="X995" s="42">
        <v>2835</v>
      </c>
    </row>
    <row r="996" spans="1:24">
      <c r="A996" s="27" t="s">
        <v>1961</v>
      </c>
      <c r="B996" s="28" t="s">
        <v>215</v>
      </c>
      <c r="C996" s="27" t="s">
        <v>588</v>
      </c>
      <c r="D996" s="27" t="s">
        <v>118</v>
      </c>
      <c r="E996" s="29">
        <v>40171</v>
      </c>
      <c r="F996" s="27">
        <v>12</v>
      </c>
      <c r="G996" s="18">
        <v>2835</v>
      </c>
      <c r="H996" s="27">
        <f t="shared" si="30"/>
        <v>2835</v>
      </c>
      <c r="I996" s="18">
        <v>2835</v>
      </c>
      <c r="J996" s="27">
        <v>2835</v>
      </c>
      <c r="K996" s="18">
        <f t="shared" si="31"/>
        <v>2835</v>
      </c>
      <c r="L996" s="27">
        <v>2835</v>
      </c>
      <c r="M996" s="36">
        <v>0</v>
      </c>
      <c r="T996" s="41">
        <v>0</v>
      </c>
      <c r="U996" s="41">
        <v>0</v>
      </c>
      <c r="V996" s="42" t="s">
        <v>113</v>
      </c>
      <c r="W996" s="42">
        <v>2835</v>
      </c>
      <c r="X996" s="42">
        <v>2835</v>
      </c>
    </row>
    <row r="997" spans="1:24">
      <c r="A997" s="27" t="s">
        <v>1962</v>
      </c>
      <c r="B997" s="28" t="s">
        <v>215</v>
      </c>
      <c r="C997" s="27" t="s">
        <v>1963</v>
      </c>
      <c r="D997" s="27" t="s">
        <v>118</v>
      </c>
      <c r="E997" s="29">
        <v>40171</v>
      </c>
      <c r="F997" s="27">
        <v>12</v>
      </c>
      <c r="G997" s="18">
        <v>2835</v>
      </c>
      <c r="H997" s="27">
        <f t="shared" si="30"/>
        <v>2835</v>
      </c>
      <c r="I997" s="18">
        <v>2835</v>
      </c>
      <c r="J997" s="27">
        <v>2835</v>
      </c>
      <c r="K997" s="18">
        <f t="shared" si="31"/>
        <v>2835</v>
      </c>
      <c r="L997" s="27">
        <v>2835</v>
      </c>
      <c r="M997" s="36">
        <v>0</v>
      </c>
      <c r="T997" s="41">
        <v>0</v>
      </c>
      <c r="U997" s="41">
        <v>0</v>
      </c>
      <c r="V997" s="42" t="s">
        <v>113</v>
      </c>
      <c r="W997" s="42">
        <v>2835</v>
      </c>
      <c r="X997" s="42">
        <v>2835</v>
      </c>
    </row>
    <row r="998" spans="1:24">
      <c r="A998" s="27" t="s">
        <v>1964</v>
      </c>
      <c r="B998" s="28" t="s">
        <v>215</v>
      </c>
      <c r="C998" s="27" t="s">
        <v>1965</v>
      </c>
      <c r="D998" s="27" t="s">
        <v>112</v>
      </c>
      <c r="E998" s="29">
        <v>40171</v>
      </c>
      <c r="F998" s="27">
        <v>12</v>
      </c>
      <c r="G998" s="18">
        <v>2835</v>
      </c>
      <c r="H998" s="27">
        <f t="shared" si="30"/>
        <v>2835</v>
      </c>
      <c r="I998" s="18">
        <v>2835</v>
      </c>
      <c r="J998" s="27">
        <v>2835</v>
      </c>
      <c r="K998" s="18">
        <f t="shared" si="31"/>
        <v>2835</v>
      </c>
      <c r="L998" s="27">
        <v>2835</v>
      </c>
      <c r="M998" s="36">
        <v>0</v>
      </c>
      <c r="T998" s="41">
        <v>0</v>
      </c>
      <c r="U998" s="41">
        <v>0</v>
      </c>
      <c r="V998" s="42" t="s">
        <v>113</v>
      </c>
      <c r="W998" s="42">
        <v>2835</v>
      </c>
      <c r="X998" s="42">
        <v>2835</v>
      </c>
    </row>
    <row r="999" spans="1:24">
      <c r="A999" s="27" t="s">
        <v>1966</v>
      </c>
      <c r="B999" s="28" t="s">
        <v>215</v>
      </c>
      <c r="C999" s="27" t="s">
        <v>1967</v>
      </c>
      <c r="D999" s="27" t="s">
        <v>118</v>
      </c>
      <c r="E999" s="29">
        <v>40171</v>
      </c>
      <c r="F999" s="27">
        <v>12</v>
      </c>
      <c r="G999" s="18">
        <v>2835</v>
      </c>
      <c r="H999" s="27">
        <f t="shared" si="30"/>
        <v>2835</v>
      </c>
      <c r="I999" s="18">
        <v>2835</v>
      </c>
      <c r="J999" s="27">
        <v>2835</v>
      </c>
      <c r="K999" s="18">
        <f t="shared" si="31"/>
        <v>2835</v>
      </c>
      <c r="L999" s="27">
        <v>2835</v>
      </c>
      <c r="M999" s="36">
        <v>0</v>
      </c>
      <c r="T999" s="41">
        <v>0</v>
      </c>
      <c r="U999" s="41">
        <v>0</v>
      </c>
      <c r="V999" s="42" t="s">
        <v>113</v>
      </c>
      <c r="W999" s="42">
        <v>2835</v>
      </c>
      <c r="X999" s="42">
        <v>2835</v>
      </c>
    </row>
    <row r="1000" spans="1:24">
      <c r="A1000" s="27" t="s">
        <v>1968</v>
      </c>
      <c r="B1000" s="28" t="s">
        <v>215</v>
      </c>
      <c r="C1000" s="27" t="s">
        <v>592</v>
      </c>
      <c r="D1000" s="27" t="s">
        <v>118</v>
      </c>
      <c r="E1000" s="29">
        <v>40171</v>
      </c>
      <c r="F1000" s="27">
        <v>12</v>
      </c>
      <c r="G1000" s="18">
        <v>2835</v>
      </c>
      <c r="H1000" s="27">
        <f t="shared" si="30"/>
        <v>2835</v>
      </c>
      <c r="I1000" s="18">
        <v>2835</v>
      </c>
      <c r="J1000" s="27">
        <v>2835</v>
      </c>
      <c r="K1000" s="18">
        <f t="shared" si="31"/>
        <v>2835</v>
      </c>
      <c r="L1000" s="27">
        <v>2835</v>
      </c>
      <c r="M1000" s="36">
        <v>0</v>
      </c>
      <c r="T1000" s="41">
        <v>0</v>
      </c>
      <c r="U1000" s="41">
        <v>0</v>
      </c>
      <c r="V1000" s="42" t="s">
        <v>113</v>
      </c>
      <c r="W1000" s="42">
        <v>2835</v>
      </c>
      <c r="X1000" s="42">
        <v>2835</v>
      </c>
    </row>
    <row r="1001" spans="1:24">
      <c r="A1001" s="27" t="s">
        <v>1969</v>
      </c>
      <c r="B1001" s="28" t="s">
        <v>215</v>
      </c>
      <c r="C1001" s="27" t="s">
        <v>1970</v>
      </c>
      <c r="D1001" s="27" t="s">
        <v>118</v>
      </c>
      <c r="E1001" s="29">
        <v>40171</v>
      </c>
      <c r="F1001" s="27">
        <v>12</v>
      </c>
      <c r="G1001" s="18">
        <v>2835</v>
      </c>
      <c r="H1001" s="27">
        <f t="shared" si="30"/>
        <v>2835</v>
      </c>
      <c r="I1001" s="18">
        <v>2835</v>
      </c>
      <c r="J1001" s="27">
        <v>2835</v>
      </c>
      <c r="K1001" s="18">
        <f t="shared" si="31"/>
        <v>2835</v>
      </c>
      <c r="L1001" s="27">
        <v>2835</v>
      </c>
      <c r="M1001" s="36">
        <v>0</v>
      </c>
      <c r="T1001" s="41">
        <v>0</v>
      </c>
      <c r="U1001" s="41">
        <v>0</v>
      </c>
      <c r="V1001" s="42" t="s">
        <v>113</v>
      </c>
      <c r="W1001" s="42">
        <v>2835</v>
      </c>
      <c r="X1001" s="42">
        <v>2835</v>
      </c>
    </row>
    <row r="1002" spans="1:24">
      <c r="A1002" s="27" t="s">
        <v>1971</v>
      </c>
      <c r="B1002" s="28" t="s">
        <v>215</v>
      </c>
      <c r="C1002" s="27" t="s">
        <v>1972</v>
      </c>
      <c r="D1002" s="27" t="s">
        <v>118</v>
      </c>
      <c r="E1002" s="29">
        <v>40171</v>
      </c>
      <c r="F1002" s="27">
        <v>12</v>
      </c>
      <c r="G1002" s="18">
        <v>2835</v>
      </c>
      <c r="H1002" s="27">
        <f t="shared" si="30"/>
        <v>2835</v>
      </c>
      <c r="I1002" s="18">
        <v>2835</v>
      </c>
      <c r="J1002" s="27">
        <v>2835</v>
      </c>
      <c r="K1002" s="18">
        <f t="shared" si="31"/>
        <v>2835</v>
      </c>
      <c r="L1002" s="27">
        <v>2835</v>
      </c>
      <c r="M1002" s="36">
        <v>0</v>
      </c>
      <c r="T1002" s="41">
        <v>0</v>
      </c>
      <c r="U1002" s="41">
        <v>0</v>
      </c>
      <c r="V1002" s="42" t="s">
        <v>113</v>
      </c>
      <c r="W1002" s="42">
        <v>2835</v>
      </c>
      <c r="X1002" s="42">
        <v>2835</v>
      </c>
    </row>
    <row r="1003" spans="1:24">
      <c r="A1003" s="27" t="s">
        <v>1973</v>
      </c>
      <c r="B1003" s="28" t="s">
        <v>215</v>
      </c>
      <c r="C1003" s="27" t="s">
        <v>1974</v>
      </c>
      <c r="D1003" s="27" t="s">
        <v>118</v>
      </c>
      <c r="E1003" s="29">
        <v>40171</v>
      </c>
      <c r="F1003" s="27">
        <v>12</v>
      </c>
      <c r="G1003" s="18">
        <v>2835</v>
      </c>
      <c r="H1003" s="27">
        <f t="shared" si="30"/>
        <v>2835</v>
      </c>
      <c r="I1003" s="18">
        <v>2835</v>
      </c>
      <c r="J1003" s="27">
        <v>2835</v>
      </c>
      <c r="K1003" s="18">
        <f t="shared" si="31"/>
        <v>2835</v>
      </c>
      <c r="L1003" s="27">
        <v>2835</v>
      </c>
      <c r="M1003" s="36">
        <v>0</v>
      </c>
      <c r="T1003" s="41">
        <v>0</v>
      </c>
      <c r="U1003" s="41">
        <v>0</v>
      </c>
      <c r="V1003" s="42" t="s">
        <v>113</v>
      </c>
      <c r="W1003" s="42">
        <v>2835</v>
      </c>
      <c r="X1003" s="42">
        <v>2835</v>
      </c>
    </row>
    <row r="1004" spans="1:24">
      <c r="A1004" s="27" t="s">
        <v>1975</v>
      </c>
      <c r="B1004" s="28" t="s">
        <v>215</v>
      </c>
      <c r="C1004" s="27" t="s">
        <v>1976</v>
      </c>
      <c r="D1004" s="27" t="s">
        <v>118</v>
      </c>
      <c r="E1004" s="29">
        <v>40171</v>
      </c>
      <c r="F1004" s="27">
        <v>12</v>
      </c>
      <c r="G1004" s="18">
        <v>2331.25</v>
      </c>
      <c r="H1004" s="27">
        <f t="shared" si="30"/>
        <v>2331.25</v>
      </c>
      <c r="I1004" s="18">
        <v>2331.25</v>
      </c>
      <c r="J1004" s="27">
        <v>2331.25</v>
      </c>
      <c r="K1004" s="18">
        <f t="shared" si="31"/>
        <v>2331.25</v>
      </c>
      <c r="L1004" s="27">
        <v>2331.25</v>
      </c>
      <c r="M1004" s="36">
        <v>0</v>
      </c>
      <c r="T1004" s="41">
        <v>0</v>
      </c>
      <c r="U1004" s="41">
        <v>0</v>
      </c>
      <c r="V1004" s="42" t="s">
        <v>113</v>
      </c>
      <c r="W1004" s="42">
        <v>2331.25</v>
      </c>
      <c r="X1004" s="42">
        <v>2331.25</v>
      </c>
    </row>
    <row r="1005" spans="1:24">
      <c r="A1005" s="27" t="s">
        <v>1977</v>
      </c>
      <c r="B1005" s="28" t="s">
        <v>215</v>
      </c>
      <c r="C1005" s="27" t="s">
        <v>1978</v>
      </c>
      <c r="D1005" s="27" t="s">
        <v>118</v>
      </c>
      <c r="E1005" s="29">
        <v>40171</v>
      </c>
      <c r="F1005" s="27">
        <v>12</v>
      </c>
      <c r="G1005" s="18">
        <v>2331.25</v>
      </c>
      <c r="H1005" s="27">
        <f t="shared" si="30"/>
        <v>2331.25</v>
      </c>
      <c r="I1005" s="18">
        <v>2331.25</v>
      </c>
      <c r="J1005" s="27">
        <v>2331.25</v>
      </c>
      <c r="K1005" s="18">
        <f t="shared" si="31"/>
        <v>2331.25</v>
      </c>
      <c r="L1005" s="27">
        <v>2331.25</v>
      </c>
      <c r="M1005" s="36">
        <v>0</v>
      </c>
      <c r="T1005" s="41">
        <v>0</v>
      </c>
      <c r="U1005" s="41">
        <v>0</v>
      </c>
      <c r="V1005" s="42" t="s">
        <v>113</v>
      </c>
      <c r="W1005" s="42">
        <v>2331.25</v>
      </c>
      <c r="X1005" s="42">
        <v>2331.25</v>
      </c>
    </row>
    <row r="1006" spans="1:24">
      <c r="A1006" s="27" t="s">
        <v>1979</v>
      </c>
      <c r="B1006" s="28" t="s">
        <v>215</v>
      </c>
      <c r="C1006" s="27" t="s">
        <v>622</v>
      </c>
      <c r="D1006" s="27" t="s">
        <v>118</v>
      </c>
      <c r="E1006" s="29">
        <v>40171</v>
      </c>
      <c r="F1006" s="27">
        <v>12</v>
      </c>
      <c r="G1006" s="18">
        <v>2331.25</v>
      </c>
      <c r="H1006" s="27">
        <f t="shared" si="30"/>
        <v>2331.25</v>
      </c>
      <c r="I1006" s="18">
        <v>2331.25</v>
      </c>
      <c r="J1006" s="27">
        <v>2331.25</v>
      </c>
      <c r="K1006" s="18">
        <f t="shared" si="31"/>
        <v>2331.25</v>
      </c>
      <c r="L1006" s="27">
        <v>2331.25</v>
      </c>
      <c r="M1006" s="36">
        <v>0</v>
      </c>
      <c r="T1006" s="41">
        <v>0</v>
      </c>
      <c r="U1006" s="41">
        <v>0</v>
      </c>
      <c r="V1006" s="42" t="s">
        <v>113</v>
      </c>
      <c r="W1006" s="42">
        <v>2331.25</v>
      </c>
      <c r="X1006" s="42">
        <v>2331.25</v>
      </c>
    </row>
    <row r="1007" spans="1:24">
      <c r="A1007" s="27" t="s">
        <v>1980</v>
      </c>
      <c r="B1007" s="28" t="s">
        <v>215</v>
      </c>
      <c r="C1007" s="27" t="s">
        <v>1981</v>
      </c>
      <c r="D1007" s="27" t="s">
        <v>118</v>
      </c>
      <c r="E1007" s="29">
        <v>40171</v>
      </c>
      <c r="F1007" s="27">
        <v>12</v>
      </c>
      <c r="G1007" s="18">
        <v>2331.25</v>
      </c>
      <c r="H1007" s="27">
        <f t="shared" si="30"/>
        <v>2331.25</v>
      </c>
      <c r="I1007" s="18">
        <v>2331.25</v>
      </c>
      <c r="J1007" s="27">
        <v>2331.25</v>
      </c>
      <c r="K1007" s="18">
        <f t="shared" si="31"/>
        <v>2331.25</v>
      </c>
      <c r="L1007" s="27">
        <v>2331.25</v>
      </c>
      <c r="M1007" s="36">
        <v>0</v>
      </c>
      <c r="T1007" s="41">
        <v>0</v>
      </c>
      <c r="U1007" s="41">
        <v>0</v>
      </c>
      <c r="V1007" s="42" t="s">
        <v>113</v>
      </c>
      <c r="W1007" s="42">
        <v>2331.25</v>
      </c>
      <c r="X1007" s="42">
        <v>2331.25</v>
      </c>
    </row>
    <row r="1008" spans="1:24">
      <c r="A1008" s="27" t="s">
        <v>1982</v>
      </c>
      <c r="B1008" s="28" t="s">
        <v>215</v>
      </c>
      <c r="C1008" s="27" t="s">
        <v>624</v>
      </c>
      <c r="D1008" s="27" t="s">
        <v>118</v>
      </c>
      <c r="E1008" s="29">
        <v>40171</v>
      </c>
      <c r="F1008" s="27">
        <v>12</v>
      </c>
      <c r="G1008" s="18">
        <v>2331.25</v>
      </c>
      <c r="H1008" s="27">
        <f t="shared" si="30"/>
        <v>2331.25</v>
      </c>
      <c r="I1008" s="18">
        <v>2331.25</v>
      </c>
      <c r="J1008" s="27">
        <v>2331.25</v>
      </c>
      <c r="K1008" s="18">
        <f t="shared" si="31"/>
        <v>2331.25</v>
      </c>
      <c r="L1008" s="27">
        <v>2331.25</v>
      </c>
      <c r="M1008" s="36">
        <v>0</v>
      </c>
      <c r="T1008" s="41">
        <v>0</v>
      </c>
      <c r="U1008" s="41">
        <v>0</v>
      </c>
      <c r="V1008" s="42" t="s">
        <v>113</v>
      </c>
      <c r="W1008" s="42">
        <v>2331.25</v>
      </c>
      <c r="X1008" s="42">
        <v>2331.25</v>
      </c>
    </row>
    <row r="1009" spans="1:24">
      <c r="A1009" s="27" t="s">
        <v>1983</v>
      </c>
      <c r="B1009" s="28" t="s">
        <v>215</v>
      </c>
      <c r="C1009" s="27" t="s">
        <v>1984</v>
      </c>
      <c r="D1009" s="27" t="s">
        <v>118</v>
      </c>
      <c r="E1009" s="29">
        <v>40171</v>
      </c>
      <c r="F1009" s="27">
        <v>12</v>
      </c>
      <c r="G1009" s="18">
        <v>2331.25</v>
      </c>
      <c r="H1009" s="27">
        <f t="shared" si="30"/>
        <v>2331.25</v>
      </c>
      <c r="I1009" s="18">
        <v>2331.25</v>
      </c>
      <c r="J1009" s="27">
        <v>2331.25</v>
      </c>
      <c r="K1009" s="18">
        <f t="shared" si="31"/>
        <v>2331.25</v>
      </c>
      <c r="L1009" s="27">
        <v>2331.25</v>
      </c>
      <c r="M1009" s="36">
        <v>0</v>
      </c>
      <c r="T1009" s="41">
        <v>0</v>
      </c>
      <c r="U1009" s="41">
        <v>0</v>
      </c>
      <c r="V1009" s="42" t="s">
        <v>113</v>
      </c>
      <c r="W1009" s="42">
        <v>2331.25</v>
      </c>
      <c r="X1009" s="42">
        <v>2331.25</v>
      </c>
    </row>
    <row r="1010" spans="1:24">
      <c r="A1010" s="27" t="s">
        <v>1985</v>
      </c>
      <c r="B1010" s="28" t="s">
        <v>215</v>
      </c>
      <c r="C1010" s="27" t="s">
        <v>1986</v>
      </c>
      <c r="D1010" s="27" t="s">
        <v>118</v>
      </c>
      <c r="E1010" s="29">
        <v>40171</v>
      </c>
      <c r="F1010" s="27">
        <v>12</v>
      </c>
      <c r="G1010" s="18">
        <v>2331.25</v>
      </c>
      <c r="H1010" s="27">
        <f t="shared" si="30"/>
        <v>2331.25</v>
      </c>
      <c r="I1010" s="18">
        <v>2331.25</v>
      </c>
      <c r="J1010" s="27">
        <v>2331.25</v>
      </c>
      <c r="K1010" s="18">
        <f t="shared" si="31"/>
        <v>2331.25</v>
      </c>
      <c r="L1010" s="27">
        <v>2331.25</v>
      </c>
      <c r="M1010" s="36">
        <v>0</v>
      </c>
      <c r="T1010" s="41">
        <v>0</v>
      </c>
      <c r="U1010" s="41">
        <v>0</v>
      </c>
      <c r="V1010" s="42" t="s">
        <v>113</v>
      </c>
      <c r="W1010" s="42">
        <v>2331.25</v>
      </c>
      <c r="X1010" s="42">
        <v>2331.25</v>
      </c>
    </row>
    <row r="1011" spans="1:24">
      <c r="A1011" s="27" t="s">
        <v>1987</v>
      </c>
      <c r="B1011" s="28" t="s">
        <v>215</v>
      </c>
      <c r="C1011" s="27" t="s">
        <v>1988</v>
      </c>
      <c r="D1011" s="27" t="s">
        <v>118</v>
      </c>
      <c r="E1011" s="29">
        <v>40171</v>
      </c>
      <c r="F1011" s="27">
        <v>15</v>
      </c>
      <c r="G1011" s="18">
        <v>8955.9599999999991</v>
      </c>
      <c r="H1011" s="27">
        <f t="shared" si="30"/>
        <v>8955.9599999999991</v>
      </c>
      <c r="I1011" s="18">
        <v>8508.16</v>
      </c>
      <c r="J1011" s="27">
        <v>8955.9599999999991</v>
      </c>
      <c r="K1011" s="18">
        <f t="shared" si="31"/>
        <v>8955.9599999999991</v>
      </c>
      <c r="L1011" s="27">
        <v>8508.16</v>
      </c>
      <c r="M1011" s="36">
        <v>0</v>
      </c>
      <c r="T1011" s="41">
        <v>0</v>
      </c>
      <c r="U1011" s="41">
        <v>0</v>
      </c>
      <c r="V1011" s="42" t="s">
        <v>113</v>
      </c>
      <c r="W1011" s="42">
        <v>8955.9599999999991</v>
      </c>
      <c r="X1011" s="42">
        <v>8955.9599999999991</v>
      </c>
    </row>
    <row r="1012" spans="1:24">
      <c r="A1012" s="27" t="s">
        <v>1989</v>
      </c>
      <c r="B1012" s="28" t="s">
        <v>215</v>
      </c>
      <c r="C1012" s="27" t="s">
        <v>1990</v>
      </c>
      <c r="D1012" s="27" t="s">
        <v>118</v>
      </c>
      <c r="E1012" s="29">
        <v>40171</v>
      </c>
      <c r="F1012" s="27">
        <v>15</v>
      </c>
      <c r="G1012" s="18">
        <v>8955.9599999999991</v>
      </c>
      <c r="H1012" s="27">
        <f t="shared" si="30"/>
        <v>8955.9599999999991</v>
      </c>
      <c r="I1012" s="18">
        <v>8508.16</v>
      </c>
      <c r="J1012" s="27">
        <v>8955.9599999999991</v>
      </c>
      <c r="K1012" s="18">
        <f t="shared" si="31"/>
        <v>8955.9599999999991</v>
      </c>
      <c r="L1012" s="27">
        <v>8508.16</v>
      </c>
      <c r="M1012" s="36">
        <v>0</v>
      </c>
      <c r="T1012" s="41">
        <v>0</v>
      </c>
      <c r="U1012" s="41">
        <v>0</v>
      </c>
      <c r="V1012" s="42" t="s">
        <v>113</v>
      </c>
      <c r="W1012" s="42">
        <v>8955.9599999999991</v>
      </c>
      <c r="X1012" s="42">
        <v>8955.9599999999991</v>
      </c>
    </row>
    <row r="1013" spans="1:24">
      <c r="A1013" s="27" t="s">
        <v>1991</v>
      </c>
      <c r="B1013" s="28" t="s">
        <v>215</v>
      </c>
      <c r="C1013" s="27" t="s">
        <v>1992</v>
      </c>
      <c r="D1013" s="27" t="s">
        <v>118</v>
      </c>
      <c r="E1013" s="29">
        <v>40171</v>
      </c>
      <c r="F1013" s="27">
        <v>15</v>
      </c>
      <c r="G1013" s="18">
        <v>8955.9599999999991</v>
      </c>
      <c r="H1013" s="27">
        <f t="shared" si="30"/>
        <v>8955.9599999999991</v>
      </c>
      <c r="I1013" s="18">
        <v>8508.16</v>
      </c>
      <c r="J1013" s="27">
        <v>8955.9599999999991</v>
      </c>
      <c r="K1013" s="18">
        <f t="shared" si="31"/>
        <v>8955.9599999999991</v>
      </c>
      <c r="L1013" s="27">
        <v>8508.16</v>
      </c>
      <c r="M1013" s="36">
        <v>0</v>
      </c>
      <c r="T1013" s="41">
        <v>0</v>
      </c>
      <c r="U1013" s="41">
        <v>0</v>
      </c>
      <c r="V1013" s="42" t="s">
        <v>113</v>
      </c>
      <c r="W1013" s="42">
        <v>8955.9599999999991</v>
      </c>
      <c r="X1013" s="42">
        <v>8955.9599999999991</v>
      </c>
    </row>
    <row r="1014" spans="1:24">
      <c r="A1014" s="27" t="s">
        <v>1993</v>
      </c>
      <c r="B1014" s="28" t="s">
        <v>215</v>
      </c>
      <c r="C1014" s="27" t="s">
        <v>632</v>
      </c>
      <c r="D1014" s="27" t="s">
        <v>118</v>
      </c>
      <c r="E1014" s="29">
        <v>40171</v>
      </c>
      <c r="F1014" s="27">
        <v>15</v>
      </c>
      <c r="G1014" s="18">
        <v>8955.9599999999991</v>
      </c>
      <c r="H1014" s="27">
        <f t="shared" si="30"/>
        <v>8955.9599999999991</v>
      </c>
      <c r="I1014" s="18">
        <v>8508.16</v>
      </c>
      <c r="J1014" s="27">
        <v>8955.9599999999991</v>
      </c>
      <c r="K1014" s="18">
        <f t="shared" si="31"/>
        <v>8955.9599999999991</v>
      </c>
      <c r="L1014" s="27">
        <v>8508.16</v>
      </c>
      <c r="M1014" s="36">
        <v>0</v>
      </c>
      <c r="T1014" s="41">
        <v>0</v>
      </c>
      <c r="U1014" s="41">
        <v>0</v>
      </c>
      <c r="V1014" s="42" t="s">
        <v>113</v>
      </c>
      <c r="W1014" s="42">
        <v>8955.9599999999991</v>
      </c>
      <c r="X1014" s="42">
        <v>8955.9599999999991</v>
      </c>
    </row>
    <row r="1015" spans="1:24">
      <c r="A1015" s="27" t="s">
        <v>1994</v>
      </c>
      <c r="B1015" s="28" t="s">
        <v>215</v>
      </c>
      <c r="C1015" s="27" t="s">
        <v>634</v>
      </c>
      <c r="D1015" s="27" t="s">
        <v>118</v>
      </c>
      <c r="E1015" s="29">
        <v>40171</v>
      </c>
      <c r="F1015" s="27">
        <v>15</v>
      </c>
      <c r="G1015" s="18">
        <v>8955.9599999999991</v>
      </c>
      <c r="H1015" s="27">
        <f t="shared" si="30"/>
        <v>8955.9599999999991</v>
      </c>
      <c r="I1015" s="18">
        <v>8508.16</v>
      </c>
      <c r="J1015" s="27">
        <v>8955.9599999999991</v>
      </c>
      <c r="K1015" s="18">
        <f t="shared" si="31"/>
        <v>8955.9599999999991</v>
      </c>
      <c r="L1015" s="27">
        <v>8508.16</v>
      </c>
      <c r="M1015" s="36">
        <v>0</v>
      </c>
      <c r="T1015" s="41">
        <v>0</v>
      </c>
      <c r="U1015" s="41">
        <v>0</v>
      </c>
      <c r="V1015" s="42" t="s">
        <v>113</v>
      </c>
      <c r="W1015" s="42">
        <v>8955.9599999999991</v>
      </c>
      <c r="X1015" s="42">
        <v>8955.9599999999991</v>
      </c>
    </row>
    <row r="1016" spans="1:24">
      <c r="A1016" s="27" t="s">
        <v>1995</v>
      </c>
      <c r="B1016" s="28" t="s">
        <v>215</v>
      </c>
      <c r="C1016" s="27" t="s">
        <v>636</v>
      </c>
      <c r="D1016" s="27" t="s">
        <v>118</v>
      </c>
      <c r="E1016" s="29">
        <v>40171</v>
      </c>
      <c r="F1016" s="27">
        <v>15</v>
      </c>
      <c r="G1016" s="18">
        <v>8955.9599999999991</v>
      </c>
      <c r="H1016" s="27">
        <f t="shared" si="30"/>
        <v>8955.9599999999991</v>
      </c>
      <c r="I1016" s="18">
        <v>8508.16</v>
      </c>
      <c r="J1016" s="27">
        <v>8955.9599999999991</v>
      </c>
      <c r="K1016" s="18">
        <f t="shared" si="31"/>
        <v>8955.9599999999991</v>
      </c>
      <c r="L1016" s="27">
        <v>8508.16</v>
      </c>
      <c r="M1016" s="36">
        <v>0</v>
      </c>
      <c r="T1016" s="41">
        <v>0</v>
      </c>
      <c r="U1016" s="41">
        <v>0</v>
      </c>
      <c r="V1016" s="42" t="s">
        <v>113</v>
      </c>
      <c r="W1016" s="42">
        <v>8955.9599999999991</v>
      </c>
      <c r="X1016" s="42">
        <v>8955.9599999999991</v>
      </c>
    </row>
    <row r="1017" spans="1:24">
      <c r="A1017" s="27" t="s">
        <v>1996</v>
      </c>
      <c r="B1017" s="28" t="s">
        <v>215</v>
      </c>
      <c r="C1017" s="27" t="s">
        <v>1997</v>
      </c>
      <c r="D1017" s="27" t="s">
        <v>118</v>
      </c>
      <c r="E1017" s="29">
        <v>40171</v>
      </c>
      <c r="F1017" s="27">
        <v>15</v>
      </c>
      <c r="G1017" s="18">
        <v>21377</v>
      </c>
      <c r="H1017" s="27">
        <f t="shared" si="30"/>
        <v>21377</v>
      </c>
      <c r="I1017" s="18">
        <v>20308.150000000001</v>
      </c>
      <c r="J1017" s="27">
        <v>21377</v>
      </c>
      <c r="K1017" s="18">
        <f t="shared" si="31"/>
        <v>21377</v>
      </c>
      <c r="L1017" s="27">
        <v>20308.150000000001</v>
      </c>
      <c r="M1017" s="36">
        <v>0</v>
      </c>
      <c r="T1017" s="41">
        <v>0</v>
      </c>
      <c r="U1017" s="41">
        <v>0</v>
      </c>
      <c r="V1017" s="42" t="s">
        <v>113</v>
      </c>
      <c r="W1017" s="42">
        <v>21377</v>
      </c>
      <c r="X1017" s="42">
        <v>21377</v>
      </c>
    </row>
    <row r="1018" spans="1:24">
      <c r="A1018" s="27" t="s">
        <v>1998</v>
      </c>
      <c r="B1018" s="28" t="s">
        <v>215</v>
      </c>
      <c r="C1018" s="27" t="s">
        <v>1999</v>
      </c>
      <c r="D1018" s="27" t="s">
        <v>118</v>
      </c>
      <c r="E1018" s="29">
        <v>40171</v>
      </c>
      <c r="F1018" s="27">
        <v>15</v>
      </c>
      <c r="G1018" s="18">
        <v>21377</v>
      </c>
      <c r="H1018" s="27">
        <f t="shared" si="30"/>
        <v>21377</v>
      </c>
      <c r="I1018" s="18">
        <v>20308.150000000001</v>
      </c>
      <c r="J1018" s="27">
        <v>21377</v>
      </c>
      <c r="K1018" s="18">
        <f t="shared" si="31"/>
        <v>21377</v>
      </c>
      <c r="L1018" s="27">
        <v>20308.150000000001</v>
      </c>
      <c r="M1018" s="36">
        <v>0</v>
      </c>
      <c r="T1018" s="41">
        <v>0</v>
      </c>
      <c r="U1018" s="41">
        <v>0</v>
      </c>
      <c r="V1018" s="42" t="s">
        <v>113</v>
      </c>
      <c r="W1018" s="42">
        <v>21377</v>
      </c>
      <c r="X1018" s="42">
        <v>21377</v>
      </c>
    </row>
    <row r="1019" spans="1:24">
      <c r="A1019" s="27" t="s">
        <v>2000</v>
      </c>
      <c r="B1019" s="28" t="s">
        <v>215</v>
      </c>
      <c r="C1019" s="27" t="s">
        <v>2001</v>
      </c>
      <c r="D1019" s="27" t="s">
        <v>118</v>
      </c>
      <c r="E1019" s="29">
        <v>40171</v>
      </c>
      <c r="F1019" s="27">
        <v>15</v>
      </c>
      <c r="G1019" s="18">
        <v>21377</v>
      </c>
      <c r="H1019" s="27">
        <f t="shared" si="30"/>
        <v>21377</v>
      </c>
      <c r="I1019" s="18">
        <v>20308.150000000001</v>
      </c>
      <c r="J1019" s="27">
        <v>21377</v>
      </c>
      <c r="K1019" s="18">
        <f t="shared" si="31"/>
        <v>21377</v>
      </c>
      <c r="L1019" s="27">
        <v>20308.150000000001</v>
      </c>
      <c r="M1019" s="36">
        <v>0</v>
      </c>
      <c r="T1019" s="41">
        <v>0</v>
      </c>
      <c r="U1019" s="41">
        <v>0</v>
      </c>
      <c r="V1019" s="42" t="s">
        <v>113</v>
      </c>
      <c r="W1019" s="42">
        <v>21377</v>
      </c>
      <c r="X1019" s="42">
        <v>21377</v>
      </c>
    </row>
    <row r="1020" spans="1:24">
      <c r="A1020" s="27" t="s">
        <v>2002</v>
      </c>
      <c r="B1020" s="28" t="s">
        <v>215</v>
      </c>
      <c r="C1020" s="27" t="s">
        <v>1808</v>
      </c>
      <c r="D1020" s="27" t="s">
        <v>112</v>
      </c>
      <c r="E1020" s="29">
        <v>40268</v>
      </c>
      <c r="F1020" s="27">
        <v>12</v>
      </c>
      <c r="G1020" s="18">
        <v>4200</v>
      </c>
      <c r="H1020" s="27">
        <f t="shared" si="30"/>
        <v>4200</v>
      </c>
      <c r="I1020" s="18">
        <v>4200</v>
      </c>
      <c r="J1020" s="27">
        <v>4200</v>
      </c>
      <c r="K1020" s="18">
        <f t="shared" si="31"/>
        <v>4200</v>
      </c>
      <c r="L1020" s="27">
        <v>4200</v>
      </c>
      <c r="M1020" s="36">
        <v>0</v>
      </c>
      <c r="T1020" s="41">
        <v>0</v>
      </c>
      <c r="U1020" s="41">
        <v>0</v>
      </c>
      <c r="V1020" s="42" t="s">
        <v>113</v>
      </c>
      <c r="W1020" s="42">
        <v>4200</v>
      </c>
      <c r="X1020" s="42">
        <v>4200</v>
      </c>
    </row>
    <row r="1021" spans="1:24">
      <c r="A1021" s="27" t="s">
        <v>2003</v>
      </c>
      <c r="B1021" s="28" t="s">
        <v>215</v>
      </c>
      <c r="C1021" s="27" t="s">
        <v>1812</v>
      </c>
      <c r="D1021" s="27" t="s">
        <v>112</v>
      </c>
      <c r="E1021" s="29">
        <v>40268</v>
      </c>
      <c r="F1021" s="27">
        <v>12</v>
      </c>
      <c r="G1021" s="18">
        <v>4200</v>
      </c>
      <c r="H1021" s="27">
        <f t="shared" si="30"/>
        <v>4200</v>
      </c>
      <c r="I1021" s="18">
        <v>4200</v>
      </c>
      <c r="J1021" s="27">
        <v>4200</v>
      </c>
      <c r="K1021" s="18">
        <f t="shared" si="31"/>
        <v>4200</v>
      </c>
      <c r="L1021" s="27">
        <v>4200</v>
      </c>
      <c r="M1021" s="36">
        <v>0</v>
      </c>
      <c r="T1021" s="41">
        <v>0</v>
      </c>
      <c r="U1021" s="41">
        <v>0</v>
      </c>
      <c r="V1021" s="42" t="s">
        <v>113</v>
      </c>
      <c r="W1021" s="42">
        <v>4200</v>
      </c>
      <c r="X1021" s="42">
        <v>4200</v>
      </c>
    </row>
    <row r="1022" spans="1:24">
      <c r="A1022" s="27" t="s">
        <v>2004</v>
      </c>
      <c r="B1022" s="28" t="s">
        <v>215</v>
      </c>
      <c r="C1022" s="27" t="s">
        <v>1810</v>
      </c>
      <c r="D1022" s="27" t="s">
        <v>112</v>
      </c>
      <c r="E1022" s="29">
        <v>40268</v>
      </c>
      <c r="F1022" s="27">
        <v>12</v>
      </c>
      <c r="G1022" s="18">
        <v>4200</v>
      </c>
      <c r="H1022" s="27">
        <f t="shared" si="30"/>
        <v>4200</v>
      </c>
      <c r="I1022" s="18">
        <v>4200</v>
      </c>
      <c r="J1022" s="27">
        <v>4200</v>
      </c>
      <c r="K1022" s="18">
        <f t="shared" si="31"/>
        <v>4200</v>
      </c>
      <c r="L1022" s="27">
        <v>4200</v>
      </c>
      <c r="M1022" s="36">
        <v>0</v>
      </c>
      <c r="T1022" s="41">
        <v>0</v>
      </c>
      <c r="U1022" s="41">
        <v>0</v>
      </c>
      <c r="V1022" s="42" t="s">
        <v>113</v>
      </c>
      <c r="W1022" s="42">
        <v>4200</v>
      </c>
      <c r="X1022" s="42">
        <v>4200</v>
      </c>
    </row>
    <row r="1023" spans="1:24">
      <c r="A1023" s="27" t="s">
        <v>2005</v>
      </c>
      <c r="B1023" s="28" t="s">
        <v>215</v>
      </c>
      <c r="C1023" s="27" t="s">
        <v>2006</v>
      </c>
      <c r="D1023" s="27" t="s">
        <v>112</v>
      </c>
      <c r="E1023" s="29">
        <v>40268</v>
      </c>
      <c r="F1023" s="27">
        <v>15</v>
      </c>
      <c r="G1023" s="18">
        <v>22439.5</v>
      </c>
      <c r="H1023" s="27">
        <f t="shared" si="30"/>
        <v>0</v>
      </c>
      <c r="I1023" s="18">
        <v>18466.37</v>
      </c>
      <c r="J1023" s="27">
        <v>22439.5</v>
      </c>
      <c r="K1023" s="18">
        <f t="shared" si="31"/>
        <v>0</v>
      </c>
      <c r="L1023" s="27">
        <v>18922.55</v>
      </c>
      <c r="M1023" s="36">
        <v>456.18</v>
      </c>
      <c r="T1023" s="41">
        <v>0</v>
      </c>
      <c r="U1023" s="41">
        <v>0</v>
      </c>
      <c r="V1023" s="42" t="s">
        <v>113</v>
      </c>
      <c r="W1023" s="42">
        <v>0</v>
      </c>
      <c r="X1023" s="42">
        <v>0</v>
      </c>
    </row>
    <row r="1024" spans="1:24">
      <c r="A1024" s="27" t="s">
        <v>2007</v>
      </c>
      <c r="B1024" s="28" t="s">
        <v>215</v>
      </c>
      <c r="C1024" s="27" t="s">
        <v>2008</v>
      </c>
      <c r="D1024" s="27" t="s">
        <v>112</v>
      </c>
      <c r="E1024" s="29">
        <v>40268</v>
      </c>
      <c r="F1024" s="27">
        <v>12</v>
      </c>
      <c r="G1024" s="18">
        <v>500</v>
      </c>
      <c r="H1024" s="27">
        <f t="shared" si="30"/>
        <v>500</v>
      </c>
      <c r="I1024" s="18">
        <v>500</v>
      </c>
      <c r="J1024" s="27">
        <v>500</v>
      </c>
      <c r="K1024" s="18">
        <f t="shared" si="31"/>
        <v>500</v>
      </c>
      <c r="L1024" s="27">
        <v>500</v>
      </c>
      <c r="M1024" s="36">
        <v>0</v>
      </c>
      <c r="T1024" s="41">
        <v>0</v>
      </c>
      <c r="U1024" s="41">
        <v>0</v>
      </c>
      <c r="V1024" s="42" t="s">
        <v>113</v>
      </c>
      <c r="W1024" s="42">
        <v>500</v>
      </c>
      <c r="X1024" s="42">
        <v>500</v>
      </c>
    </row>
    <row r="1025" spans="1:24">
      <c r="A1025" s="27" t="s">
        <v>2009</v>
      </c>
      <c r="B1025" s="28" t="s">
        <v>215</v>
      </c>
      <c r="C1025" s="27" t="s">
        <v>2010</v>
      </c>
      <c r="D1025" s="27" t="s">
        <v>112</v>
      </c>
      <c r="E1025" s="29">
        <v>40268</v>
      </c>
      <c r="F1025" s="27">
        <v>12</v>
      </c>
      <c r="G1025" s="18">
        <v>500</v>
      </c>
      <c r="H1025" s="27">
        <f t="shared" si="30"/>
        <v>500</v>
      </c>
      <c r="I1025" s="18">
        <v>500</v>
      </c>
      <c r="J1025" s="27">
        <v>500</v>
      </c>
      <c r="K1025" s="18">
        <f t="shared" si="31"/>
        <v>500</v>
      </c>
      <c r="L1025" s="27">
        <v>500</v>
      </c>
      <c r="M1025" s="36">
        <v>0</v>
      </c>
      <c r="T1025" s="41">
        <v>0</v>
      </c>
      <c r="U1025" s="41">
        <v>0</v>
      </c>
      <c r="V1025" s="42" t="s">
        <v>113</v>
      </c>
      <c r="W1025" s="42">
        <v>500</v>
      </c>
      <c r="X1025" s="42">
        <v>500</v>
      </c>
    </row>
    <row r="1026" spans="1:24">
      <c r="A1026" s="27" t="s">
        <v>2011</v>
      </c>
      <c r="B1026" s="28" t="s">
        <v>215</v>
      </c>
      <c r="C1026" s="27" t="s">
        <v>2012</v>
      </c>
      <c r="D1026" s="27" t="s">
        <v>112</v>
      </c>
      <c r="E1026" s="29">
        <v>40171</v>
      </c>
      <c r="F1026" s="27">
        <v>15</v>
      </c>
      <c r="G1026" s="18">
        <v>16610</v>
      </c>
      <c r="H1026" s="27">
        <f t="shared" si="30"/>
        <v>16610</v>
      </c>
      <c r="I1026" s="18">
        <v>15779.5</v>
      </c>
      <c r="J1026" s="27">
        <v>16610</v>
      </c>
      <c r="K1026" s="18">
        <f t="shared" si="31"/>
        <v>16610</v>
      </c>
      <c r="L1026" s="27">
        <v>15779.5</v>
      </c>
      <c r="M1026" s="36">
        <v>0</v>
      </c>
      <c r="T1026" s="41">
        <v>0</v>
      </c>
      <c r="U1026" s="41">
        <v>0</v>
      </c>
      <c r="V1026" s="42" t="s">
        <v>113</v>
      </c>
      <c r="W1026" s="42">
        <v>16610</v>
      </c>
      <c r="X1026" s="42">
        <v>16610</v>
      </c>
    </row>
    <row r="1027" spans="1:24">
      <c r="A1027" s="27" t="s">
        <v>2013</v>
      </c>
      <c r="B1027" s="28" t="s">
        <v>215</v>
      </c>
      <c r="C1027" s="27" t="s">
        <v>2014</v>
      </c>
      <c r="D1027" s="27" t="s">
        <v>112</v>
      </c>
      <c r="E1027" s="29">
        <v>40171</v>
      </c>
      <c r="F1027" s="27">
        <v>15</v>
      </c>
      <c r="G1027" s="18">
        <v>16610</v>
      </c>
      <c r="H1027" s="27">
        <f t="shared" si="30"/>
        <v>16610</v>
      </c>
      <c r="I1027" s="18">
        <v>15779.5</v>
      </c>
      <c r="J1027" s="27">
        <v>16610</v>
      </c>
      <c r="K1027" s="18">
        <f t="shared" si="31"/>
        <v>16610</v>
      </c>
      <c r="L1027" s="27">
        <v>15779.5</v>
      </c>
      <c r="M1027" s="36">
        <v>0</v>
      </c>
      <c r="T1027" s="41">
        <v>0</v>
      </c>
      <c r="U1027" s="41">
        <v>0</v>
      </c>
      <c r="V1027" s="42" t="s">
        <v>113</v>
      </c>
      <c r="W1027" s="42">
        <v>16610</v>
      </c>
      <c r="X1027" s="42">
        <v>16610</v>
      </c>
    </row>
    <row r="1028" spans="1:24">
      <c r="A1028" s="27" t="s">
        <v>2015</v>
      </c>
      <c r="B1028" s="28" t="s">
        <v>215</v>
      </c>
      <c r="C1028" s="27" t="s">
        <v>2016</v>
      </c>
      <c r="D1028" s="27" t="s">
        <v>112</v>
      </c>
      <c r="E1028" s="29">
        <v>40171</v>
      </c>
      <c r="F1028" s="27">
        <v>15</v>
      </c>
      <c r="G1028" s="18">
        <v>16610</v>
      </c>
      <c r="H1028" s="27">
        <f t="shared" si="30"/>
        <v>16610</v>
      </c>
      <c r="I1028" s="18">
        <v>15779.5</v>
      </c>
      <c r="J1028" s="27">
        <v>16610</v>
      </c>
      <c r="K1028" s="18">
        <f t="shared" si="31"/>
        <v>16610</v>
      </c>
      <c r="L1028" s="27">
        <v>15779.5</v>
      </c>
      <c r="M1028" s="36">
        <v>0</v>
      </c>
      <c r="T1028" s="41">
        <v>0</v>
      </c>
      <c r="U1028" s="41">
        <v>0</v>
      </c>
      <c r="V1028" s="42" t="s">
        <v>113</v>
      </c>
      <c r="W1028" s="42">
        <v>16610</v>
      </c>
      <c r="X1028" s="42">
        <v>16610</v>
      </c>
    </row>
    <row r="1029" spans="1:24">
      <c r="A1029" s="27" t="s">
        <v>2017</v>
      </c>
      <c r="B1029" s="28" t="s">
        <v>215</v>
      </c>
      <c r="C1029" s="27" t="s">
        <v>854</v>
      </c>
      <c r="D1029" s="27" t="s">
        <v>112</v>
      </c>
      <c r="E1029" s="29">
        <v>40171</v>
      </c>
      <c r="F1029" s="27">
        <v>15</v>
      </c>
      <c r="G1029" s="18">
        <v>33220</v>
      </c>
      <c r="H1029" s="27">
        <f t="shared" si="30"/>
        <v>33220</v>
      </c>
      <c r="I1029" s="18">
        <v>31559</v>
      </c>
      <c r="J1029" s="27">
        <v>33220</v>
      </c>
      <c r="K1029" s="18">
        <f t="shared" si="31"/>
        <v>33220</v>
      </c>
      <c r="L1029" s="27">
        <v>31559</v>
      </c>
      <c r="M1029" s="36">
        <v>0</v>
      </c>
      <c r="T1029" s="41">
        <v>0</v>
      </c>
      <c r="U1029" s="41">
        <v>0</v>
      </c>
      <c r="V1029" s="42" t="s">
        <v>113</v>
      </c>
      <c r="W1029" s="42">
        <v>33220</v>
      </c>
      <c r="X1029" s="42">
        <v>33220</v>
      </c>
    </row>
    <row r="1030" spans="1:24">
      <c r="A1030" s="27" t="s">
        <v>2018</v>
      </c>
      <c r="B1030" s="28" t="s">
        <v>215</v>
      </c>
      <c r="C1030" s="27" t="s">
        <v>2019</v>
      </c>
      <c r="D1030" s="27" t="s">
        <v>112</v>
      </c>
      <c r="E1030" s="29">
        <v>40171</v>
      </c>
      <c r="F1030" s="27">
        <v>15</v>
      </c>
      <c r="G1030" s="18">
        <v>16610</v>
      </c>
      <c r="H1030" s="27">
        <f t="shared" ref="H1030:H1093" si="32">IFERROR(IF(ROUND((G1030-I1030)/G1030,2)&lt;=0.05,G1030,0),0)</f>
        <v>16610</v>
      </c>
      <c r="I1030" s="18">
        <v>15779.5</v>
      </c>
      <c r="J1030" s="27">
        <v>16610</v>
      </c>
      <c r="K1030" s="18">
        <f t="shared" ref="K1030:K1093" si="33">IFERROR(IF(ROUND((J1030-L1030)/J1030,2)&lt;=0.05,J1030,0),0)</f>
        <v>16610</v>
      </c>
      <c r="L1030" s="27">
        <v>15779.5</v>
      </c>
      <c r="M1030" s="36">
        <v>0</v>
      </c>
      <c r="T1030" s="41">
        <v>0</v>
      </c>
      <c r="U1030" s="41">
        <v>0</v>
      </c>
      <c r="V1030" s="42" t="s">
        <v>113</v>
      </c>
      <c r="W1030" s="42">
        <v>16610</v>
      </c>
      <c r="X1030" s="42">
        <v>16610</v>
      </c>
    </row>
    <row r="1031" spans="1:24">
      <c r="A1031" s="27" t="s">
        <v>2020</v>
      </c>
      <c r="B1031" s="28" t="s">
        <v>215</v>
      </c>
      <c r="C1031" s="27" t="s">
        <v>2021</v>
      </c>
      <c r="D1031" s="27" t="s">
        <v>230</v>
      </c>
      <c r="E1031" s="29">
        <v>40171</v>
      </c>
      <c r="F1031" s="27">
        <v>15</v>
      </c>
      <c r="G1031" s="18">
        <v>74661.570000000007</v>
      </c>
      <c r="H1031" s="27">
        <f t="shared" si="32"/>
        <v>74661.570000000007</v>
      </c>
      <c r="I1031" s="18">
        <v>70928.490000000005</v>
      </c>
      <c r="J1031" s="27">
        <v>74661.570000000007</v>
      </c>
      <c r="K1031" s="18">
        <f t="shared" si="33"/>
        <v>74661.570000000007</v>
      </c>
      <c r="L1031" s="27">
        <v>70928.490000000005</v>
      </c>
      <c r="M1031" s="36">
        <v>0</v>
      </c>
      <c r="T1031" s="41">
        <v>0</v>
      </c>
      <c r="U1031" s="41">
        <v>0</v>
      </c>
      <c r="V1031" s="42" t="s">
        <v>113</v>
      </c>
      <c r="W1031" s="42">
        <v>74661.570000000007</v>
      </c>
      <c r="X1031" s="42">
        <v>74661.570000000007</v>
      </c>
    </row>
    <row r="1032" spans="1:24">
      <c r="A1032" s="27" t="s">
        <v>2022</v>
      </c>
      <c r="B1032" s="28" t="s">
        <v>215</v>
      </c>
      <c r="C1032" s="27" t="s">
        <v>2023</v>
      </c>
      <c r="D1032" s="27" t="s">
        <v>230</v>
      </c>
      <c r="E1032" s="29">
        <v>40171</v>
      </c>
      <c r="F1032" s="27">
        <v>15</v>
      </c>
      <c r="G1032" s="18">
        <v>78592.13</v>
      </c>
      <c r="H1032" s="27">
        <f t="shared" si="32"/>
        <v>78592.13</v>
      </c>
      <c r="I1032" s="18">
        <v>74662.52</v>
      </c>
      <c r="J1032" s="27">
        <v>78592.13</v>
      </c>
      <c r="K1032" s="18">
        <f t="shared" si="33"/>
        <v>78592.13</v>
      </c>
      <c r="L1032" s="27">
        <v>74662.52</v>
      </c>
      <c r="M1032" s="36">
        <v>0</v>
      </c>
      <c r="T1032" s="41">
        <v>0</v>
      </c>
      <c r="U1032" s="41">
        <v>0</v>
      </c>
      <c r="V1032" s="42" t="s">
        <v>113</v>
      </c>
      <c r="W1032" s="42">
        <v>78592.13</v>
      </c>
      <c r="X1032" s="42">
        <v>78592.13</v>
      </c>
    </row>
    <row r="1033" spans="1:24">
      <c r="A1033" s="27" t="s">
        <v>2024</v>
      </c>
      <c r="B1033" s="28" t="s">
        <v>215</v>
      </c>
      <c r="C1033" s="27" t="s">
        <v>2025</v>
      </c>
      <c r="D1033" s="27" t="s">
        <v>230</v>
      </c>
      <c r="E1033" s="29">
        <v>40171</v>
      </c>
      <c r="F1033" s="27">
        <v>15</v>
      </c>
      <c r="G1033" s="18">
        <v>74661.570000000007</v>
      </c>
      <c r="H1033" s="27">
        <f t="shared" si="32"/>
        <v>74661.570000000007</v>
      </c>
      <c r="I1033" s="18">
        <v>70928.490000000005</v>
      </c>
      <c r="J1033" s="27">
        <v>74661.570000000007</v>
      </c>
      <c r="K1033" s="18">
        <f t="shared" si="33"/>
        <v>74661.570000000007</v>
      </c>
      <c r="L1033" s="27">
        <v>70928.490000000005</v>
      </c>
      <c r="M1033" s="36">
        <v>0</v>
      </c>
      <c r="T1033" s="41">
        <v>0</v>
      </c>
      <c r="U1033" s="41">
        <v>0</v>
      </c>
      <c r="V1033" s="42" t="s">
        <v>113</v>
      </c>
      <c r="W1033" s="42">
        <v>74661.570000000007</v>
      </c>
      <c r="X1033" s="42">
        <v>74661.570000000007</v>
      </c>
    </row>
    <row r="1034" spans="1:24">
      <c r="A1034" s="27" t="s">
        <v>2026</v>
      </c>
      <c r="B1034" s="28" t="s">
        <v>215</v>
      </c>
      <c r="C1034" s="27" t="s">
        <v>2027</v>
      </c>
      <c r="D1034" s="27" t="s">
        <v>230</v>
      </c>
      <c r="E1034" s="29">
        <v>40171</v>
      </c>
      <c r="F1034" s="27">
        <v>15</v>
      </c>
      <c r="G1034" s="18">
        <v>74661.570000000007</v>
      </c>
      <c r="H1034" s="27">
        <f t="shared" si="32"/>
        <v>74661.570000000007</v>
      </c>
      <c r="I1034" s="18">
        <v>70928.490000000005</v>
      </c>
      <c r="J1034" s="27">
        <v>74661.570000000007</v>
      </c>
      <c r="K1034" s="18">
        <f t="shared" si="33"/>
        <v>74661.570000000007</v>
      </c>
      <c r="L1034" s="27">
        <v>70928.490000000005</v>
      </c>
      <c r="M1034" s="36">
        <v>0</v>
      </c>
      <c r="T1034" s="41">
        <v>0</v>
      </c>
      <c r="U1034" s="41">
        <v>0</v>
      </c>
      <c r="V1034" s="42" t="s">
        <v>113</v>
      </c>
      <c r="W1034" s="42">
        <v>74661.570000000007</v>
      </c>
      <c r="X1034" s="42">
        <v>74661.570000000007</v>
      </c>
    </row>
    <row r="1035" spans="1:24">
      <c r="A1035" s="27" t="s">
        <v>2028</v>
      </c>
      <c r="B1035" s="28" t="s">
        <v>215</v>
      </c>
      <c r="C1035" s="27" t="s">
        <v>2029</v>
      </c>
      <c r="D1035" s="27" t="s">
        <v>230</v>
      </c>
      <c r="E1035" s="29">
        <v>40171</v>
      </c>
      <c r="F1035" s="27">
        <v>15</v>
      </c>
      <c r="G1035" s="18">
        <v>78592.13</v>
      </c>
      <c r="H1035" s="27">
        <f t="shared" si="32"/>
        <v>78592.13</v>
      </c>
      <c r="I1035" s="18">
        <v>74662.52</v>
      </c>
      <c r="J1035" s="27">
        <v>78592.13</v>
      </c>
      <c r="K1035" s="18">
        <f t="shared" si="33"/>
        <v>78592.13</v>
      </c>
      <c r="L1035" s="27">
        <v>74662.52</v>
      </c>
      <c r="M1035" s="36">
        <v>0</v>
      </c>
      <c r="T1035" s="41">
        <v>0</v>
      </c>
      <c r="U1035" s="41">
        <v>0</v>
      </c>
      <c r="V1035" s="42" t="s">
        <v>113</v>
      </c>
      <c r="W1035" s="42">
        <v>78592.13</v>
      </c>
      <c r="X1035" s="42">
        <v>78592.13</v>
      </c>
    </row>
    <row r="1036" spans="1:24">
      <c r="A1036" s="27" t="s">
        <v>2030</v>
      </c>
      <c r="B1036" s="28" t="s">
        <v>215</v>
      </c>
      <c r="C1036" s="27" t="s">
        <v>2031</v>
      </c>
      <c r="D1036" s="27" t="s">
        <v>230</v>
      </c>
      <c r="E1036" s="29">
        <v>40171</v>
      </c>
      <c r="F1036" s="27">
        <v>15</v>
      </c>
      <c r="G1036" s="18">
        <v>78590</v>
      </c>
      <c r="H1036" s="27">
        <f t="shared" si="32"/>
        <v>78590</v>
      </c>
      <c r="I1036" s="18">
        <v>74660.5</v>
      </c>
      <c r="J1036" s="27">
        <v>78590</v>
      </c>
      <c r="K1036" s="18">
        <f t="shared" si="33"/>
        <v>78590</v>
      </c>
      <c r="L1036" s="27">
        <v>74660.5</v>
      </c>
      <c r="M1036" s="36">
        <v>0</v>
      </c>
      <c r="T1036" s="41">
        <v>0</v>
      </c>
      <c r="U1036" s="41">
        <v>0</v>
      </c>
      <c r="V1036" s="42" t="s">
        <v>113</v>
      </c>
      <c r="W1036" s="42">
        <v>78590</v>
      </c>
      <c r="X1036" s="42">
        <v>78590</v>
      </c>
    </row>
    <row r="1037" spans="1:24">
      <c r="A1037" s="27" t="s">
        <v>2032</v>
      </c>
      <c r="B1037" s="28" t="s">
        <v>215</v>
      </c>
      <c r="C1037" s="27" t="s">
        <v>2033</v>
      </c>
      <c r="D1037" s="27" t="s">
        <v>230</v>
      </c>
      <c r="E1037" s="29">
        <v>40171</v>
      </c>
      <c r="F1037" s="27">
        <v>15</v>
      </c>
      <c r="G1037" s="18">
        <v>74661.570000000007</v>
      </c>
      <c r="H1037" s="27">
        <f t="shared" si="32"/>
        <v>74661.570000000007</v>
      </c>
      <c r="I1037" s="18">
        <v>70928.490000000005</v>
      </c>
      <c r="J1037" s="27">
        <v>74661.570000000007</v>
      </c>
      <c r="K1037" s="18">
        <f t="shared" si="33"/>
        <v>74661.570000000007</v>
      </c>
      <c r="L1037" s="27">
        <v>70928.490000000005</v>
      </c>
      <c r="M1037" s="36">
        <v>0</v>
      </c>
      <c r="T1037" s="41">
        <v>0</v>
      </c>
      <c r="U1037" s="41">
        <v>0</v>
      </c>
      <c r="V1037" s="42" t="s">
        <v>113</v>
      </c>
      <c r="W1037" s="42">
        <v>74661.570000000007</v>
      </c>
      <c r="X1037" s="42">
        <v>74661.570000000007</v>
      </c>
    </row>
    <row r="1038" spans="1:24">
      <c r="A1038" s="27" t="s">
        <v>2034</v>
      </c>
      <c r="B1038" s="28" t="s">
        <v>215</v>
      </c>
      <c r="C1038" s="27" t="s">
        <v>2035</v>
      </c>
      <c r="D1038" s="27" t="s">
        <v>230</v>
      </c>
      <c r="E1038" s="29">
        <v>40171</v>
      </c>
      <c r="F1038" s="27">
        <v>15</v>
      </c>
      <c r="G1038" s="18">
        <v>94310.13</v>
      </c>
      <c r="H1038" s="27">
        <f t="shared" si="32"/>
        <v>94310.13</v>
      </c>
      <c r="I1038" s="18">
        <v>89594.62</v>
      </c>
      <c r="J1038" s="27">
        <v>94310.13</v>
      </c>
      <c r="K1038" s="18">
        <f t="shared" si="33"/>
        <v>94310.13</v>
      </c>
      <c r="L1038" s="27">
        <v>89594.62</v>
      </c>
      <c r="M1038" s="36">
        <v>0</v>
      </c>
      <c r="T1038" s="41">
        <v>0</v>
      </c>
      <c r="U1038" s="41">
        <v>0</v>
      </c>
      <c r="V1038" s="42" t="s">
        <v>113</v>
      </c>
      <c r="W1038" s="42">
        <v>94310.13</v>
      </c>
      <c r="X1038" s="42">
        <v>94310.13</v>
      </c>
    </row>
    <row r="1039" spans="1:24">
      <c r="A1039" s="27" t="s">
        <v>2036</v>
      </c>
      <c r="B1039" s="28" t="s">
        <v>215</v>
      </c>
      <c r="C1039" s="27" t="s">
        <v>2037</v>
      </c>
      <c r="D1039" s="27" t="s">
        <v>230</v>
      </c>
      <c r="E1039" s="29">
        <v>40171</v>
      </c>
      <c r="F1039" s="27">
        <v>15</v>
      </c>
      <c r="G1039" s="18">
        <v>85229</v>
      </c>
      <c r="H1039" s="27">
        <f t="shared" si="32"/>
        <v>85229</v>
      </c>
      <c r="I1039" s="18">
        <v>80967.55</v>
      </c>
      <c r="J1039" s="27">
        <v>85229</v>
      </c>
      <c r="K1039" s="18">
        <f t="shared" si="33"/>
        <v>85229</v>
      </c>
      <c r="L1039" s="27">
        <v>80967.55</v>
      </c>
      <c r="M1039" s="36">
        <v>0</v>
      </c>
      <c r="T1039" s="41">
        <v>0</v>
      </c>
      <c r="U1039" s="41">
        <v>0</v>
      </c>
      <c r="V1039" s="42" t="s">
        <v>113</v>
      </c>
      <c r="W1039" s="42">
        <v>85229</v>
      </c>
      <c r="X1039" s="42">
        <v>85229</v>
      </c>
    </row>
    <row r="1040" spans="1:24">
      <c r="A1040" s="27" t="s">
        <v>2038</v>
      </c>
      <c r="B1040" s="28" t="s">
        <v>215</v>
      </c>
      <c r="C1040" s="27" t="s">
        <v>2039</v>
      </c>
      <c r="D1040" s="27" t="s">
        <v>230</v>
      </c>
      <c r="E1040" s="29">
        <v>40171</v>
      </c>
      <c r="F1040" s="27">
        <v>15</v>
      </c>
      <c r="G1040" s="18">
        <v>15718</v>
      </c>
      <c r="H1040" s="27">
        <f t="shared" si="32"/>
        <v>15718</v>
      </c>
      <c r="I1040" s="18">
        <v>14932.1</v>
      </c>
      <c r="J1040" s="27">
        <v>15718</v>
      </c>
      <c r="K1040" s="18">
        <f t="shared" si="33"/>
        <v>15718</v>
      </c>
      <c r="L1040" s="27">
        <v>14932.1</v>
      </c>
      <c r="M1040" s="36">
        <v>0</v>
      </c>
      <c r="T1040" s="41">
        <v>0</v>
      </c>
      <c r="U1040" s="41">
        <v>0</v>
      </c>
      <c r="V1040" s="42" t="s">
        <v>113</v>
      </c>
      <c r="W1040" s="42">
        <v>15718</v>
      </c>
      <c r="X1040" s="42">
        <v>15718</v>
      </c>
    </row>
    <row r="1041" spans="1:24">
      <c r="A1041" s="27" t="s">
        <v>2040</v>
      </c>
      <c r="B1041" s="28" t="s">
        <v>215</v>
      </c>
      <c r="C1041" s="27" t="s">
        <v>2041</v>
      </c>
      <c r="D1041" s="27" t="s">
        <v>230</v>
      </c>
      <c r="E1041" s="29">
        <v>40171</v>
      </c>
      <c r="F1041" s="27">
        <v>15</v>
      </c>
      <c r="G1041" s="18">
        <v>74663.69</v>
      </c>
      <c r="H1041" s="27">
        <f t="shared" si="32"/>
        <v>74663.69</v>
      </c>
      <c r="I1041" s="18">
        <v>70930.509999999995</v>
      </c>
      <c r="J1041" s="27">
        <v>74663.69</v>
      </c>
      <c r="K1041" s="18">
        <f t="shared" si="33"/>
        <v>74663.69</v>
      </c>
      <c r="L1041" s="27">
        <v>70930.509999999995</v>
      </c>
      <c r="M1041" s="36">
        <v>0</v>
      </c>
      <c r="T1041" s="41">
        <v>0</v>
      </c>
      <c r="U1041" s="41">
        <v>0</v>
      </c>
      <c r="V1041" s="42" t="s">
        <v>113</v>
      </c>
      <c r="W1041" s="42">
        <v>74663.69</v>
      </c>
      <c r="X1041" s="42">
        <v>74663.69</v>
      </c>
    </row>
    <row r="1042" spans="1:24">
      <c r="A1042" s="27" t="s">
        <v>2042</v>
      </c>
      <c r="B1042" s="28" t="s">
        <v>215</v>
      </c>
      <c r="C1042" s="27" t="s">
        <v>1057</v>
      </c>
      <c r="D1042" s="27" t="s">
        <v>230</v>
      </c>
      <c r="E1042" s="29">
        <v>40171</v>
      </c>
      <c r="F1042" s="27">
        <v>15</v>
      </c>
      <c r="G1042" s="18">
        <v>47158.19</v>
      </c>
      <c r="H1042" s="27">
        <f t="shared" si="32"/>
        <v>47158.19</v>
      </c>
      <c r="I1042" s="18">
        <v>44800.28</v>
      </c>
      <c r="J1042" s="27">
        <v>47158.19</v>
      </c>
      <c r="K1042" s="18">
        <f t="shared" si="33"/>
        <v>47158.19</v>
      </c>
      <c r="L1042" s="27">
        <v>44800.28</v>
      </c>
      <c r="M1042" s="36">
        <v>0</v>
      </c>
      <c r="T1042" s="41">
        <v>0</v>
      </c>
      <c r="U1042" s="41">
        <v>0</v>
      </c>
      <c r="V1042" s="42" t="s">
        <v>113</v>
      </c>
      <c r="W1042" s="42">
        <v>47158.19</v>
      </c>
      <c r="X1042" s="42">
        <v>47158.19</v>
      </c>
    </row>
    <row r="1043" spans="1:24">
      <c r="A1043" s="27" t="s">
        <v>2043</v>
      </c>
      <c r="B1043" s="28" t="s">
        <v>215</v>
      </c>
      <c r="C1043" s="27" t="s">
        <v>2044</v>
      </c>
      <c r="D1043" s="27" t="s">
        <v>230</v>
      </c>
      <c r="E1043" s="29">
        <v>40171</v>
      </c>
      <c r="F1043" s="27">
        <v>15</v>
      </c>
      <c r="G1043" s="18">
        <v>78592.13</v>
      </c>
      <c r="H1043" s="27">
        <f t="shared" si="32"/>
        <v>78592.13</v>
      </c>
      <c r="I1043" s="18">
        <v>74662.52</v>
      </c>
      <c r="J1043" s="27">
        <v>78592.13</v>
      </c>
      <c r="K1043" s="18">
        <f t="shared" si="33"/>
        <v>78592.13</v>
      </c>
      <c r="L1043" s="27">
        <v>74662.52</v>
      </c>
      <c r="M1043" s="36">
        <v>0</v>
      </c>
      <c r="T1043" s="41">
        <v>0</v>
      </c>
      <c r="U1043" s="41">
        <v>0</v>
      </c>
      <c r="V1043" s="42" t="s">
        <v>113</v>
      </c>
      <c r="W1043" s="42">
        <v>78592.13</v>
      </c>
      <c r="X1043" s="42">
        <v>78592.13</v>
      </c>
    </row>
    <row r="1044" spans="1:24">
      <c r="A1044" s="27" t="s">
        <v>2045</v>
      </c>
      <c r="B1044" s="28" t="s">
        <v>215</v>
      </c>
      <c r="C1044" s="27" t="s">
        <v>1454</v>
      </c>
      <c r="D1044" s="27" t="s">
        <v>230</v>
      </c>
      <c r="E1044" s="29">
        <v>40171</v>
      </c>
      <c r="F1044" s="27">
        <v>15</v>
      </c>
      <c r="G1044" s="18">
        <v>78594.259999999995</v>
      </c>
      <c r="H1044" s="27">
        <f t="shared" si="32"/>
        <v>78594.259999999995</v>
      </c>
      <c r="I1044" s="18">
        <v>74664.55</v>
      </c>
      <c r="J1044" s="27">
        <v>78594.259999999995</v>
      </c>
      <c r="K1044" s="18">
        <f t="shared" si="33"/>
        <v>78594.259999999995</v>
      </c>
      <c r="L1044" s="27">
        <v>74664.55</v>
      </c>
      <c r="M1044" s="36">
        <v>0</v>
      </c>
      <c r="T1044" s="41">
        <v>0</v>
      </c>
      <c r="U1044" s="41">
        <v>0</v>
      </c>
      <c r="V1044" s="42" t="s">
        <v>113</v>
      </c>
      <c r="W1044" s="42">
        <v>78594.259999999995</v>
      </c>
      <c r="X1044" s="42">
        <v>78594.259999999995</v>
      </c>
    </row>
    <row r="1045" spans="1:24">
      <c r="A1045" s="27" t="s">
        <v>2046</v>
      </c>
      <c r="B1045" s="28" t="s">
        <v>215</v>
      </c>
      <c r="C1045" s="27" t="s">
        <v>2047</v>
      </c>
      <c r="D1045" s="27" t="s">
        <v>230</v>
      </c>
      <c r="E1045" s="29">
        <v>40171</v>
      </c>
      <c r="F1045" s="27">
        <v>15</v>
      </c>
      <c r="G1045" s="18">
        <v>15718</v>
      </c>
      <c r="H1045" s="27">
        <f t="shared" si="32"/>
        <v>15718</v>
      </c>
      <c r="I1045" s="18">
        <v>14932.1</v>
      </c>
      <c r="J1045" s="27">
        <v>15718</v>
      </c>
      <c r="K1045" s="18">
        <f t="shared" si="33"/>
        <v>15718</v>
      </c>
      <c r="L1045" s="27">
        <v>14932.1</v>
      </c>
      <c r="M1045" s="36">
        <v>0</v>
      </c>
      <c r="T1045" s="41">
        <v>0</v>
      </c>
      <c r="U1045" s="41">
        <v>0</v>
      </c>
      <c r="V1045" s="42" t="s">
        <v>113</v>
      </c>
      <c r="W1045" s="42">
        <v>15718</v>
      </c>
      <c r="X1045" s="42">
        <v>15718</v>
      </c>
    </row>
    <row r="1046" spans="1:24">
      <c r="A1046" s="27" t="s">
        <v>2048</v>
      </c>
      <c r="B1046" s="28" t="s">
        <v>215</v>
      </c>
      <c r="C1046" s="27" t="s">
        <v>2049</v>
      </c>
      <c r="D1046" s="27" t="s">
        <v>230</v>
      </c>
      <c r="E1046" s="29">
        <v>40171</v>
      </c>
      <c r="F1046" s="27">
        <v>15</v>
      </c>
      <c r="G1046" s="18">
        <v>85229</v>
      </c>
      <c r="H1046" s="27">
        <f t="shared" si="32"/>
        <v>85229</v>
      </c>
      <c r="I1046" s="18">
        <v>80967.55</v>
      </c>
      <c r="J1046" s="27">
        <v>85229</v>
      </c>
      <c r="K1046" s="18">
        <f t="shared" si="33"/>
        <v>85229</v>
      </c>
      <c r="L1046" s="27">
        <v>80967.55</v>
      </c>
      <c r="M1046" s="36">
        <v>0</v>
      </c>
      <c r="T1046" s="41">
        <v>0</v>
      </c>
      <c r="U1046" s="41">
        <v>0</v>
      </c>
      <c r="V1046" s="42" t="s">
        <v>113</v>
      </c>
      <c r="W1046" s="42">
        <v>85229</v>
      </c>
      <c r="X1046" s="42">
        <v>85229</v>
      </c>
    </row>
    <row r="1047" spans="1:24">
      <c r="A1047" s="27" t="s">
        <v>2050</v>
      </c>
      <c r="B1047" s="28" t="s">
        <v>215</v>
      </c>
      <c r="C1047" s="27" t="s">
        <v>459</v>
      </c>
      <c r="D1047" s="27" t="s">
        <v>230</v>
      </c>
      <c r="E1047" s="29">
        <v>40171</v>
      </c>
      <c r="F1047" s="27">
        <v>15</v>
      </c>
      <c r="G1047" s="18">
        <v>70733.13</v>
      </c>
      <c r="H1047" s="27">
        <f t="shared" si="32"/>
        <v>70733.13</v>
      </c>
      <c r="I1047" s="18">
        <v>67196.47</v>
      </c>
      <c r="J1047" s="27">
        <v>70733.13</v>
      </c>
      <c r="K1047" s="18">
        <f t="shared" si="33"/>
        <v>70733.13</v>
      </c>
      <c r="L1047" s="27">
        <v>67196.47</v>
      </c>
      <c r="M1047" s="36">
        <v>0</v>
      </c>
      <c r="T1047" s="41">
        <v>0</v>
      </c>
      <c r="U1047" s="41">
        <v>0</v>
      </c>
      <c r="V1047" s="42" t="s">
        <v>113</v>
      </c>
      <c r="W1047" s="42">
        <v>70733.13</v>
      </c>
      <c r="X1047" s="42">
        <v>70733.13</v>
      </c>
    </row>
    <row r="1048" spans="1:24">
      <c r="A1048" s="27" t="s">
        <v>2051</v>
      </c>
      <c r="B1048" s="28" t="s">
        <v>215</v>
      </c>
      <c r="C1048" s="27" t="s">
        <v>2052</v>
      </c>
      <c r="D1048" s="27" t="s">
        <v>230</v>
      </c>
      <c r="E1048" s="29">
        <v>40171</v>
      </c>
      <c r="F1048" s="27">
        <v>15</v>
      </c>
      <c r="G1048" s="18">
        <v>78590</v>
      </c>
      <c r="H1048" s="27">
        <f t="shared" si="32"/>
        <v>78590</v>
      </c>
      <c r="I1048" s="18">
        <v>74660.5</v>
      </c>
      <c r="J1048" s="27">
        <v>78590</v>
      </c>
      <c r="K1048" s="18">
        <f t="shared" si="33"/>
        <v>78590</v>
      </c>
      <c r="L1048" s="27">
        <v>74660.5</v>
      </c>
      <c r="M1048" s="36">
        <v>0</v>
      </c>
      <c r="T1048" s="41">
        <v>0</v>
      </c>
      <c r="U1048" s="41">
        <v>0</v>
      </c>
      <c r="V1048" s="42" t="s">
        <v>113</v>
      </c>
      <c r="W1048" s="42">
        <v>78590</v>
      </c>
      <c r="X1048" s="42">
        <v>78590</v>
      </c>
    </row>
    <row r="1049" spans="1:24">
      <c r="A1049" s="27" t="s">
        <v>2053</v>
      </c>
      <c r="B1049" s="28" t="s">
        <v>215</v>
      </c>
      <c r="C1049" s="27" t="s">
        <v>2054</v>
      </c>
      <c r="D1049" s="27" t="s">
        <v>230</v>
      </c>
      <c r="E1049" s="29">
        <v>40171</v>
      </c>
      <c r="F1049" s="27">
        <v>15</v>
      </c>
      <c r="G1049" s="18">
        <v>40943.57</v>
      </c>
      <c r="H1049" s="27">
        <f t="shared" si="32"/>
        <v>40943.57</v>
      </c>
      <c r="I1049" s="18">
        <v>38896.39</v>
      </c>
      <c r="J1049" s="27">
        <v>40943.57</v>
      </c>
      <c r="K1049" s="18">
        <f t="shared" si="33"/>
        <v>40943.57</v>
      </c>
      <c r="L1049" s="27">
        <v>38896.39</v>
      </c>
      <c r="M1049" s="36">
        <v>0</v>
      </c>
      <c r="T1049" s="41">
        <v>0</v>
      </c>
      <c r="U1049" s="41">
        <v>0</v>
      </c>
      <c r="V1049" s="42" t="s">
        <v>113</v>
      </c>
      <c r="W1049" s="42">
        <v>40943.57</v>
      </c>
      <c r="X1049" s="42">
        <v>40943.57</v>
      </c>
    </row>
    <row r="1050" spans="1:24">
      <c r="A1050" s="27" t="s">
        <v>2055</v>
      </c>
      <c r="B1050" s="28" t="s">
        <v>215</v>
      </c>
      <c r="C1050" s="27" t="s">
        <v>2056</v>
      </c>
      <c r="D1050" s="27" t="s">
        <v>230</v>
      </c>
      <c r="E1050" s="29">
        <v>40171</v>
      </c>
      <c r="F1050" s="27">
        <v>15</v>
      </c>
      <c r="G1050" s="18">
        <v>40943.57</v>
      </c>
      <c r="H1050" s="27">
        <f t="shared" si="32"/>
        <v>40943.57</v>
      </c>
      <c r="I1050" s="18">
        <v>38896.39</v>
      </c>
      <c r="J1050" s="27">
        <v>40943.57</v>
      </c>
      <c r="K1050" s="18">
        <f t="shared" si="33"/>
        <v>40943.57</v>
      </c>
      <c r="L1050" s="27">
        <v>38896.39</v>
      </c>
      <c r="M1050" s="36">
        <v>0</v>
      </c>
      <c r="T1050" s="41">
        <v>0</v>
      </c>
      <c r="U1050" s="41">
        <v>0</v>
      </c>
      <c r="V1050" s="42" t="s">
        <v>113</v>
      </c>
      <c r="W1050" s="42">
        <v>40943.57</v>
      </c>
      <c r="X1050" s="42">
        <v>40943.57</v>
      </c>
    </row>
    <row r="1051" spans="1:24">
      <c r="A1051" s="27" t="s">
        <v>2057</v>
      </c>
      <c r="B1051" s="28" t="s">
        <v>215</v>
      </c>
      <c r="C1051" s="27" t="s">
        <v>2058</v>
      </c>
      <c r="D1051" s="27" t="s">
        <v>230</v>
      </c>
      <c r="E1051" s="29">
        <v>40171</v>
      </c>
      <c r="F1051" s="27">
        <v>15</v>
      </c>
      <c r="G1051" s="18">
        <v>107448.23</v>
      </c>
      <c r="H1051" s="27">
        <f t="shared" si="32"/>
        <v>107448.23</v>
      </c>
      <c r="I1051" s="18">
        <v>102075.82</v>
      </c>
      <c r="J1051" s="27">
        <v>107448.23</v>
      </c>
      <c r="K1051" s="18">
        <f t="shared" si="33"/>
        <v>107448.23</v>
      </c>
      <c r="L1051" s="27">
        <v>102075.82</v>
      </c>
      <c r="M1051" s="36">
        <v>0</v>
      </c>
      <c r="T1051" s="41">
        <v>0</v>
      </c>
      <c r="U1051" s="41">
        <v>0</v>
      </c>
      <c r="V1051" s="42" t="s">
        <v>113</v>
      </c>
      <c r="W1051" s="42">
        <v>107448.23</v>
      </c>
      <c r="X1051" s="42">
        <v>107448.23</v>
      </c>
    </row>
    <row r="1052" spans="1:24">
      <c r="A1052" s="27" t="s">
        <v>2059</v>
      </c>
      <c r="B1052" s="28" t="s">
        <v>215</v>
      </c>
      <c r="C1052" s="27" t="s">
        <v>2060</v>
      </c>
      <c r="D1052" s="27" t="s">
        <v>230</v>
      </c>
      <c r="E1052" s="29">
        <v>40171</v>
      </c>
      <c r="F1052" s="27">
        <v>15</v>
      </c>
      <c r="G1052" s="18">
        <v>7859</v>
      </c>
      <c r="H1052" s="27">
        <f t="shared" si="32"/>
        <v>7859</v>
      </c>
      <c r="I1052" s="18">
        <v>7466.05</v>
      </c>
      <c r="J1052" s="27">
        <v>7859</v>
      </c>
      <c r="K1052" s="18">
        <f t="shared" si="33"/>
        <v>7859</v>
      </c>
      <c r="L1052" s="27">
        <v>7466.05</v>
      </c>
      <c r="M1052" s="36">
        <v>0</v>
      </c>
      <c r="T1052" s="41">
        <v>0</v>
      </c>
      <c r="U1052" s="41">
        <v>0</v>
      </c>
      <c r="V1052" s="42" t="s">
        <v>113</v>
      </c>
      <c r="W1052" s="42">
        <v>7859</v>
      </c>
      <c r="X1052" s="42">
        <v>7859</v>
      </c>
    </row>
    <row r="1053" spans="1:24">
      <c r="A1053" s="27" t="s">
        <v>2061</v>
      </c>
      <c r="B1053" s="28" t="s">
        <v>215</v>
      </c>
      <c r="C1053" s="27" t="s">
        <v>2062</v>
      </c>
      <c r="D1053" s="27" t="s">
        <v>230</v>
      </c>
      <c r="E1053" s="29">
        <v>40171</v>
      </c>
      <c r="F1053" s="27">
        <v>15</v>
      </c>
      <c r="G1053" s="18">
        <v>15718</v>
      </c>
      <c r="H1053" s="27">
        <f t="shared" si="32"/>
        <v>15718</v>
      </c>
      <c r="I1053" s="18">
        <v>14932.1</v>
      </c>
      <c r="J1053" s="27">
        <v>15718</v>
      </c>
      <c r="K1053" s="18">
        <f t="shared" si="33"/>
        <v>15718</v>
      </c>
      <c r="L1053" s="27">
        <v>14932.1</v>
      </c>
      <c r="M1053" s="36">
        <v>0</v>
      </c>
      <c r="T1053" s="41">
        <v>0</v>
      </c>
      <c r="U1053" s="41">
        <v>0</v>
      </c>
      <c r="V1053" s="42" t="s">
        <v>113</v>
      </c>
      <c r="W1053" s="42">
        <v>15718</v>
      </c>
      <c r="X1053" s="42">
        <v>15718</v>
      </c>
    </row>
    <row r="1054" spans="1:24">
      <c r="A1054" s="27" t="s">
        <v>2063</v>
      </c>
      <c r="B1054" s="28" t="s">
        <v>215</v>
      </c>
      <c r="C1054" s="27" t="s">
        <v>2064</v>
      </c>
      <c r="D1054" s="27" t="s">
        <v>230</v>
      </c>
      <c r="E1054" s="29">
        <v>40171</v>
      </c>
      <c r="F1054" s="27">
        <v>15</v>
      </c>
      <c r="G1054" s="18">
        <v>15718</v>
      </c>
      <c r="H1054" s="27">
        <f t="shared" si="32"/>
        <v>15718</v>
      </c>
      <c r="I1054" s="18">
        <v>14932.1</v>
      </c>
      <c r="J1054" s="27">
        <v>15718</v>
      </c>
      <c r="K1054" s="18">
        <f t="shared" si="33"/>
        <v>15718</v>
      </c>
      <c r="L1054" s="27">
        <v>14932.1</v>
      </c>
      <c r="M1054" s="36">
        <v>0</v>
      </c>
      <c r="T1054" s="41">
        <v>0</v>
      </c>
      <c r="U1054" s="41">
        <v>0</v>
      </c>
      <c r="V1054" s="42" t="s">
        <v>113</v>
      </c>
      <c r="W1054" s="42">
        <v>15718</v>
      </c>
      <c r="X1054" s="42">
        <v>15718</v>
      </c>
    </row>
    <row r="1055" spans="1:24">
      <c r="A1055" s="27" t="s">
        <v>2065</v>
      </c>
      <c r="B1055" s="28" t="s">
        <v>215</v>
      </c>
      <c r="C1055" s="27" t="s">
        <v>2066</v>
      </c>
      <c r="D1055" s="27" t="s">
        <v>230</v>
      </c>
      <c r="E1055" s="29">
        <v>40171</v>
      </c>
      <c r="F1055" s="27">
        <v>15</v>
      </c>
      <c r="G1055" s="18">
        <v>7859</v>
      </c>
      <c r="H1055" s="27">
        <f t="shared" si="32"/>
        <v>7859</v>
      </c>
      <c r="I1055" s="18">
        <v>7466.05</v>
      </c>
      <c r="J1055" s="27">
        <v>7859</v>
      </c>
      <c r="K1055" s="18">
        <f t="shared" si="33"/>
        <v>7859</v>
      </c>
      <c r="L1055" s="27">
        <v>7466.05</v>
      </c>
      <c r="M1055" s="36">
        <v>0</v>
      </c>
      <c r="T1055" s="41">
        <v>0</v>
      </c>
      <c r="U1055" s="41">
        <v>0</v>
      </c>
      <c r="V1055" s="42" t="s">
        <v>113</v>
      </c>
      <c r="W1055" s="42">
        <v>7859</v>
      </c>
      <c r="X1055" s="42">
        <v>7859</v>
      </c>
    </row>
    <row r="1056" spans="1:24">
      <c r="A1056" s="27" t="s">
        <v>2067</v>
      </c>
      <c r="B1056" s="28" t="s">
        <v>215</v>
      </c>
      <c r="C1056" s="27" t="s">
        <v>2068</v>
      </c>
      <c r="D1056" s="27" t="s">
        <v>230</v>
      </c>
      <c r="E1056" s="29">
        <v>40171</v>
      </c>
      <c r="F1056" s="27">
        <v>15</v>
      </c>
      <c r="G1056" s="18">
        <v>107448.25</v>
      </c>
      <c r="H1056" s="27">
        <f t="shared" si="32"/>
        <v>107448.25</v>
      </c>
      <c r="I1056" s="18">
        <v>102075.84</v>
      </c>
      <c r="J1056" s="27">
        <v>107448.25</v>
      </c>
      <c r="K1056" s="18">
        <f t="shared" si="33"/>
        <v>107448.25</v>
      </c>
      <c r="L1056" s="27">
        <v>102075.84</v>
      </c>
      <c r="M1056" s="36">
        <v>0</v>
      </c>
      <c r="T1056" s="41">
        <v>0</v>
      </c>
      <c r="U1056" s="41">
        <v>0</v>
      </c>
      <c r="V1056" s="42" t="s">
        <v>113</v>
      </c>
      <c r="W1056" s="42">
        <v>107448.25</v>
      </c>
      <c r="X1056" s="42">
        <v>107448.25</v>
      </c>
    </row>
    <row r="1057" spans="1:24">
      <c r="A1057" s="27" t="s">
        <v>2069</v>
      </c>
      <c r="B1057" s="28" t="s">
        <v>215</v>
      </c>
      <c r="C1057" s="27" t="s">
        <v>1910</v>
      </c>
      <c r="D1057" s="27" t="s">
        <v>230</v>
      </c>
      <c r="E1057" s="29">
        <v>40171</v>
      </c>
      <c r="F1057" s="27">
        <v>15</v>
      </c>
      <c r="G1057" s="18">
        <v>57233.41</v>
      </c>
      <c r="H1057" s="27">
        <f t="shared" si="32"/>
        <v>57233.41</v>
      </c>
      <c r="I1057" s="18">
        <v>54371.74</v>
      </c>
      <c r="J1057" s="27">
        <v>57233.41</v>
      </c>
      <c r="K1057" s="18">
        <f t="shared" si="33"/>
        <v>57233.41</v>
      </c>
      <c r="L1057" s="27">
        <v>54371.74</v>
      </c>
      <c r="M1057" s="36">
        <v>0</v>
      </c>
      <c r="T1057" s="41">
        <v>0</v>
      </c>
      <c r="U1057" s="41">
        <v>0</v>
      </c>
      <c r="V1057" s="42" t="s">
        <v>113</v>
      </c>
      <c r="W1057" s="42">
        <v>57233.41</v>
      </c>
      <c r="X1057" s="42">
        <v>57233.41</v>
      </c>
    </row>
    <row r="1058" spans="1:24">
      <c r="A1058" s="27" t="s">
        <v>2070</v>
      </c>
      <c r="B1058" s="28" t="s">
        <v>215</v>
      </c>
      <c r="C1058" s="27" t="s">
        <v>2071</v>
      </c>
      <c r="D1058" s="27" t="s">
        <v>230</v>
      </c>
      <c r="E1058" s="29">
        <v>40171</v>
      </c>
      <c r="F1058" s="27">
        <v>15</v>
      </c>
      <c r="G1058" s="18">
        <v>7859</v>
      </c>
      <c r="H1058" s="27">
        <f t="shared" si="32"/>
        <v>7859</v>
      </c>
      <c r="I1058" s="18">
        <v>7466.05</v>
      </c>
      <c r="J1058" s="27">
        <v>7859</v>
      </c>
      <c r="K1058" s="18">
        <f t="shared" si="33"/>
        <v>7859</v>
      </c>
      <c r="L1058" s="27">
        <v>7466.05</v>
      </c>
      <c r="M1058" s="36">
        <v>0</v>
      </c>
      <c r="T1058" s="41">
        <v>0</v>
      </c>
      <c r="U1058" s="41">
        <v>0</v>
      </c>
      <c r="V1058" s="42" t="s">
        <v>113</v>
      </c>
      <c r="W1058" s="42">
        <v>7859</v>
      </c>
      <c r="X1058" s="42">
        <v>7859</v>
      </c>
    </row>
    <row r="1059" spans="1:24">
      <c r="A1059" s="27" t="s">
        <v>2072</v>
      </c>
      <c r="B1059" s="28" t="s">
        <v>215</v>
      </c>
      <c r="C1059" s="27" t="s">
        <v>2073</v>
      </c>
      <c r="D1059" s="27" t="s">
        <v>230</v>
      </c>
      <c r="E1059" s="29">
        <v>40171</v>
      </c>
      <c r="F1059" s="27">
        <v>15</v>
      </c>
      <c r="G1059" s="18">
        <v>51379.11</v>
      </c>
      <c r="H1059" s="27">
        <f t="shared" si="32"/>
        <v>51379.11</v>
      </c>
      <c r="I1059" s="18">
        <v>48810.15</v>
      </c>
      <c r="J1059" s="27">
        <v>51379.11</v>
      </c>
      <c r="K1059" s="18">
        <f t="shared" si="33"/>
        <v>51379.11</v>
      </c>
      <c r="L1059" s="27">
        <v>48810.15</v>
      </c>
      <c r="M1059" s="36">
        <v>0</v>
      </c>
      <c r="T1059" s="41">
        <v>0</v>
      </c>
      <c r="U1059" s="41">
        <v>0</v>
      </c>
      <c r="V1059" s="42" t="s">
        <v>113</v>
      </c>
      <c r="W1059" s="42">
        <v>51379.11</v>
      </c>
      <c r="X1059" s="42">
        <v>51379.11</v>
      </c>
    </row>
    <row r="1060" spans="1:24">
      <c r="A1060" s="27" t="s">
        <v>2074</v>
      </c>
      <c r="B1060" s="28" t="s">
        <v>215</v>
      </c>
      <c r="C1060" s="27" t="s">
        <v>915</v>
      </c>
      <c r="D1060" s="27" t="s">
        <v>230</v>
      </c>
      <c r="E1060" s="29">
        <v>40171</v>
      </c>
      <c r="F1060" s="27">
        <v>15</v>
      </c>
      <c r="G1060" s="18">
        <v>52733.13</v>
      </c>
      <c r="H1060" s="27">
        <f t="shared" si="32"/>
        <v>52733.13</v>
      </c>
      <c r="I1060" s="18">
        <v>50096.47</v>
      </c>
      <c r="J1060" s="27">
        <v>52733.13</v>
      </c>
      <c r="K1060" s="18">
        <f t="shared" si="33"/>
        <v>52733.13</v>
      </c>
      <c r="L1060" s="27">
        <v>50096.47</v>
      </c>
      <c r="M1060" s="36">
        <v>0</v>
      </c>
      <c r="T1060" s="41">
        <v>0</v>
      </c>
      <c r="U1060" s="41">
        <v>0</v>
      </c>
      <c r="V1060" s="42" t="s">
        <v>113</v>
      </c>
      <c r="W1060" s="42">
        <v>52733.13</v>
      </c>
      <c r="X1060" s="42">
        <v>52733.13</v>
      </c>
    </row>
    <row r="1061" spans="1:24">
      <c r="A1061" s="27" t="s">
        <v>2075</v>
      </c>
      <c r="B1061" s="28" t="s">
        <v>215</v>
      </c>
      <c r="C1061" s="27" t="s">
        <v>1482</v>
      </c>
      <c r="D1061" s="27" t="s">
        <v>118</v>
      </c>
      <c r="E1061" s="29">
        <v>37652</v>
      </c>
      <c r="F1061" s="27">
        <v>15</v>
      </c>
      <c r="G1061" s="18">
        <v>84568.41</v>
      </c>
      <c r="H1061" s="27">
        <f t="shared" si="32"/>
        <v>84568.41</v>
      </c>
      <c r="I1061" s="18">
        <v>80339.990000000005</v>
      </c>
      <c r="J1061" s="27">
        <v>84568.41</v>
      </c>
      <c r="K1061" s="18">
        <f t="shared" si="33"/>
        <v>84568.41</v>
      </c>
      <c r="L1061" s="27">
        <v>80339.990000000005</v>
      </c>
      <c r="M1061" s="36">
        <v>0</v>
      </c>
      <c r="T1061" s="41">
        <v>0</v>
      </c>
      <c r="U1061" s="41">
        <v>0</v>
      </c>
      <c r="V1061" s="42" t="s">
        <v>113</v>
      </c>
      <c r="W1061" s="42">
        <v>84568.41</v>
      </c>
      <c r="X1061" s="42">
        <v>84568.41</v>
      </c>
    </row>
    <row r="1062" spans="1:24">
      <c r="A1062" s="27" t="s">
        <v>2076</v>
      </c>
      <c r="B1062" s="28" t="s">
        <v>215</v>
      </c>
      <c r="C1062" s="27" t="s">
        <v>2077</v>
      </c>
      <c r="D1062" s="27" t="s">
        <v>118</v>
      </c>
      <c r="E1062" s="29">
        <v>37652</v>
      </c>
      <c r="F1062" s="27">
        <v>15</v>
      </c>
      <c r="G1062" s="18">
        <v>253705.23</v>
      </c>
      <c r="H1062" s="27">
        <f t="shared" si="32"/>
        <v>253705.23</v>
      </c>
      <c r="I1062" s="18">
        <v>241019.97</v>
      </c>
      <c r="J1062" s="27">
        <v>253705.23</v>
      </c>
      <c r="K1062" s="18">
        <f t="shared" si="33"/>
        <v>253705.23</v>
      </c>
      <c r="L1062" s="27">
        <v>241019.97</v>
      </c>
      <c r="M1062" s="36">
        <v>0</v>
      </c>
      <c r="T1062" s="41">
        <v>0</v>
      </c>
      <c r="U1062" s="41">
        <v>0</v>
      </c>
      <c r="V1062" s="42" t="s">
        <v>113</v>
      </c>
      <c r="W1062" s="42">
        <v>253705.23</v>
      </c>
      <c r="X1062" s="42">
        <v>253705.23</v>
      </c>
    </row>
    <row r="1063" spans="1:24">
      <c r="A1063" s="27" t="s">
        <v>2078</v>
      </c>
      <c r="B1063" s="28" t="s">
        <v>215</v>
      </c>
      <c r="C1063" s="27" t="s">
        <v>2079</v>
      </c>
      <c r="D1063" s="27" t="s">
        <v>118</v>
      </c>
      <c r="E1063" s="29">
        <v>37652</v>
      </c>
      <c r="F1063" s="27">
        <v>15</v>
      </c>
      <c r="G1063" s="18">
        <v>253705.23</v>
      </c>
      <c r="H1063" s="27">
        <f t="shared" si="32"/>
        <v>253705.23</v>
      </c>
      <c r="I1063" s="18">
        <v>241019.97</v>
      </c>
      <c r="J1063" s="27">
        <v>253705.23</v>
      </c>
      <c r="K1063" s="18">
        <f t="shared" si="33"/>
        <v>253705.23</v>
      </c>
      <c r="L1063" s="27">
        <v>241019.97</v>
      </c>
      <c r="M1063" s="36">
        <v>0</v>
      </c>
      <c r="T1063" s="41">
        <v>0</v>
      </c>
      <c r="U1063" s="41">
        <v>0</v>
      </c>
      <c r="V1063" s="42" t="s">
        <v>113</v>
      </c>
      <c r="W1063" s="42">
        <v>253705.23</v>
      </c>
      <c r="X1063" s="42">
        <v>253705.23</v>
      </c>
    </row>
    <row r="1064" spans="1:24">
      <c r="A1064" s="27" t="s">
        <v>2080</v>
      </c>
      <c r="B1064" s="28" t="s">
        <v>215</v>
      </c>
      <c r="C1064" s="27" t="s">
        <v>2081</v>
      </c>
      <c r="D1064" s="27" t="s">
        <v>118</v>
      </c>
      <c r="E1064" s="29">
        <v>37652</v>
      </c>
      <c r="F1064" s="27">
        <v>15</v>
      </c>
      <c r="G1064" s="18">
        <v>253705.23</v>
      </c>
      <c r="H1064" s="27">
        <f t="shared" si="32"/>
        <v>253705.23</v>
      </c>
      <c r="I1064" s="18">
        <v>241019.97</v>
      </c>
      <c r="J1064" s="27">
        <v>253705.23</v>
      </c>
      <c r="K1064" s="18">
        <f t="shared" si="33"/>
        <v>253705.23</v>
      </c>
      <c r="L1064" s="27">
        <v>241019.97</v>
      </c>
      <c r="M1064" s="36">
        <v>0</v>
      </c>
      <c r="T1064" s="41">
        <v>0</v>
      </c>
      <c r="U1064" s="41">
        <v>0</v>
      </c>
      <c r="V1064" s="42" t="s">
        <v>113</v>
      </c>
      <c r="W1064" s="42">
        <v>253705.23</v>
      </c>
      <c r="X1064" s="42">
        <v>253705.23</v>
      </c>
    </row>
    <row r="1065" spans="1:24">
      <c r="A1065" s="27" t="s">
        <v>2082</v>
      </c>
      <c r="B1065" s="28" t="s">
        <v>215</v>
      </c>
      <c r="C1065" s="27" t="s">
        <v>931</v>
      </c>
      <c r="D1065" s="27" t="s">
        <v>118</v>
      </c>
      <c r="E1065" s="29">
        <v>40171</v>
      </c>
      <c r="F1065" s="27">
        <v>12</v>
      </c>
      <c r="G1065" s="18">
        <v>3437.5</v>
      </c>
      <c r="H1065" s="27">
        <f t="shared" si="32"/>
        <v>3437.5</v>
      </c>
      <c r="I1065" s="18">
        <v>3437.5</v>
      </c>
      <c r="J1065" s="27">
        <v>3437.5</v>
      </c>
      <c r="K1065" s="18">
        <f t="shared" si="33"/>
        <v>3437.5</v>
      </c>
      <c r="L1065" s="27">
        <v>3437.5</v>
      </c>
      <c r="M1065" s="36">
        <v>0</v>
      </c>
      <c r="T1065" s="41">
        <v>0</v>
      </c>
      <c r="U1065" s="41">
        <v>0</v>
      </c>
      <c r="V1065" s="42" t="s">
        <v>113</v>
      </c>
      <c r="W1065" s="42">
        <v>3437.5</v>
      </c>
      <c r="X1065" s="42">
        <v>3437.5</v>
      </c>
    </row>
    <row r="1066" spans="1:24">
      <c r="A1066" s="27" t="s">
        <v>2083</v>
      </c>
      <c r="B1066" s="28" t="s">
        <v>215</v>
      </c>
      <c r="C1066" s="27" t="s">
        <v>768</v>
      </c>
      <c r="D1066" s="27" t="s">
        <v>118</v>
      </c>
      <c r="E1066" s="29">
        <v>40171</v>
      </c>
      <c r="F1066" s="27">
        <v>12</v>
      </c>
      <c r="G1066" s="18">
        <v>3437.5</v>
      </c>
      <c r="H1066" s="27">
        <f t="shared" si="32"/>
        <v>3437.5</v>
      </c>
      <c r="I1066" s="18">
        <v>3437.5</v>
      </c>
      <c r="J1066" s="27">
        <v>3437.5</v>
      </c>
      <c r="K1066" s="18">
        <f t="shared" si="33"/>
        <v>3437.5</v>
      </c>
      <c r="L1066" s="27">
        <v>3437.5</v>
      </c>
      <c r="M1066" s="36">
        <v>0</v>
      </c>
      <c r="T1066" s="41">
        <v>0</v>
      </c>
      <c r="U1066" s="41">
        <v>0</v>
      </c>
      <c r="V1066" s="42" t="s">
        <v>113</v>
      </c>
      <c r="W1066" s="42">
        <v>3437.5</v>
      </c>
      <c r="X1066" s="42">
        <v>3437.5</v>
      </c>
    </row>
    <row r="1067" spans="1:24">
      <c r="A1067" s="27" t="s">
        <v>2084</v>
      </c>
      <c r="B1067" s="28" t="s">
        <v>215</v>
      </c>
      <c r="C1067" s="27" t="s">
        <v>2085</v>
      </c>
      <c r="D1067" s="27" t="s">
        <v>118</v>
      </c>
      <c r="E1067" s="29">
        <v>40171</v>
      </c>
      <c r="F1067" s="27">
        <v>12</v>
      </c>
      <c r="G1067" s="18">
        <v>1718.75</v>
      </c>
      <c r="H1067" s="27">
        <f t="shared" si="32"/>
        <v>1718.75</v>
      </c>
      <c r="I1067" s="18">
        <v>1718.75</v>
      </c>
      <c r="J1067" s="27">
        <v>1718.75</v>
      </c>
      <c r="K1067" s="18">
        <f t="shared" si="33"/>
        <v>1718.75</v>
      </c>
      <c r="L1067" s="27">
        <v>1718.75</v>
      </c>
      <c r="M1067" s="36">
        <v>0</v>
      </c>
      <c r="T1067" s="41">
        <v>0</v>
      </c>
      <c r="U1067" s="41">
        <v>0</v>
      </c>
      <c r="V1067" s="42" t="s">
        <v>113</v>
      </c>
      <c r="W1067" s="42">
        <v>1718.75</v>
      </c>
      <c r="X1067" s="42">
        <v>1718.75</v>
      </c>
    </row>
    <row r="1068" spans="1:24">
      <c r="A1068" s="27" t="s">
        <v>2086</v>
      </c>
      <c r="B1068" s="28" t="s">
        <v>215</v>
      </c>
      <c r="C1068" s="27" t="s">
        <v>2087</v>
      </c>
      <c r="D1068" s="27" t="s">
        <v>118</v>
      </c>
      <c r="E1068" s="29">
        <v>40171</v>
      </c>
      <c r="F1068" s="27">
        <v>12</v>
      </c>
      <c r="G1068" s="18">
        <v>2554.65</v>
      </c>
      <c r="H1068" s="27">
        <f t="shared" si="32"/>
        <v>2554.65</v>
      </c>
      <c r="I1068" s="18">
        <v>2554.65</v>
      </c>
      <c r="J1068" s="27">
        <v>2554.65</v>
      </c>
      <c r="K1068" s="18">
        <f t="shared" si="33"/>
        <v>2554.65</v>
      </c>
      <c r="L1068" s="27">
        <v>2554.65</v>
      </c>
      <c r="M1068" s="36">
        <v>0</v>
      </c>
      <c r="T1068" s="41">
        <v>0</v>
      </c>
      <c r="U1068" s="41">
        <v>0</v>
      </c>
      <c r="V1068" s="42" t="s">
        <v>113</v>
      </c>
      <c r="W1068" s="42">
        <v>2554.65</v>
      </c>
      <c r="X1068" s="42">
        <v>2554.65</v>
      </c>
    </row>
    <row r="1069" spans="1:24">
      <c r="A1069" s="27" t="s">
        <v>2088</v>
      </c>
      <c r="B1069" s="28" t="s">
        <v>215</v>
      </c>
      <c r="C1069" s="27" t="s">
        <v>2089</v>
      </c>
      <c r="D1069" s="27" t="s">
        <v>118</v>
      </c>
      <c r="E1069" s="29">
        <v>40171</v>
      </c>
      <c r="F1069" s="27">
        <v>12</v>
      </c>
      <c r="G1069" s="18">
        <v>2554.65</v>
      </c>
      <c r="H1069" s="27">
        <f t="shared" si="32"/>
        <v>2554.65</v>
      </c>
      <c r="I1069" s="18">
        <v>2554.65</v>
      </c>
      <c r="J1069" s="27">
        <v>2554.65</v>
      </c>
      <c r="K1069" s="18">
        <f t="shared" si="33"/>
        <v>2554.65</v>
      </c>
      <c r="L1069" s="27">
        <v>2554.65</v>
      </c>
      <c r="M1069" s="36">
        <v>0</v>
      </c>
      <c r="T1069" s="41">
        <v>0</v>
      </c>
      <c r="U1069" s="41">
        <v>0</v>
      </c>
      <c r="V1069" s="42" t="s">
        <v>113</v>
      </c>
      <c r="W1069" s="42">
        <v>2554.65</v>
      </c>
      <c r="X1069" s="42">
        <v>2554.65</v>
      </c>
    </row>
    <row r="1070" spans="1:24">
      <c r="A1070" s="27" t="s">
        <v>2090</v>
      </c>
      <c r="B1070" s="28" t="s">
        <v>215</v>
      </c>
      <c r="C1070" s="27" t="s">
        <v>2091</v>
      </c>
      <c r="D1070" s="27" t="s">
        <v>118</v>
      </c>
      <c r="E1070" s="29">
        <v>40171</v>
      </c>
      <c r="F1070" s="27">
        <v>12</v>
      </c>
      <c r="G1070" s="18">
        <v>2554.64</v>
      </c>
      <c r="H1070" s="27">
        <f t="shared" si="32"/>
        <v>2554.64</v>
      </c>
      <c r="I1070" s="18">
        <v>2554.64</v>
      </c>
      <c r="J1070" s="27">
        <v>2554.64</v>
      </c>
      <c r="K1070" s="18">
        <f t="shared" si="33"/>
        <v>2554.64</v>
      </c>
      <c r="L1070" s="27">
        <v>2554.64</v>
      </c>
      <c r="M1070" s="36">
        <v>0</v>
      </c>
      <c r="T1070" s="41">
        <v>0</v>
      </c>
      <c r="U1070" s="41">
        <v>0</v>
      </c>
      <c r="V1070" s="42" t="s">
        <v>113</v>
      </c>
      <c r="W1070" s="42">
        <v>2554.64</v>
      </c>
      <c r="X1070" s="42">
        <v>2554.64</v>
      </c>
    </row>
    <row r="1071" spans="1:24">
      <c r="A1071" s="27" t="s">
        <v>2092</v>
      </c>
      <c r="B1071" s="28" t="s">
        <v>215</v>
      </c>
      <c r="C1071" s="27" t="s">
        <v>2093</v>
      </c>
      <c r="D1071" s="27" t="s">
        <v>118</v>
      </c>
      <c r="E1071" s="29">
        <v>40171</v>
      </c>
      <c r="F1071" s="27">
        <v>12</v>
      </c>
      <c r="G1071" s="18">
        <v>2554.64</v>
      </c>
      <c r="H1071" s="27">
        <f t="shared" si="32"/>
        <v>2554.64</v>
      </c>
      <c r="I1071" s="18">
        <v>2554.64</v>
      </c>
      <c r="J1071" s="27">
        <v>2554.64</v>
      </c>
      <c r="K1071" s="18">
        <f t="shared" si="33"/>
        <v>2554.64</v>
      </c>
      <c r="L1071" s="27">
        <v>2554.64</v>
      </c>
      <c r="M1071" s="36">
        <v>0</v>
      </c>
      <c r="T1071" s="41">
        <v>0</v>
      </c>
      <c r="U1071" s="41">
        <v>0</v>
      </c>
      <c r="V1071" s="42" t="s">
        <v>113</v>
      </c>
      <c r="W1071" s="42">
        <v>2554.64</v>
      </c>
      <c r="X1071" s="42">
        <v>2554.64</v>
      </c>
    </row>
    <row r="1072" spans="1:24">
      <c r="A1072" s="27" t="s">
        <v>2094</v>
      </c>
      <c r="B1072" s="28" t="s">
        <v>215</v>
      </c>
      <c r="C1072" s="27" t="s">
        <v>2095</v>
      </c>
      <c r="D1072" s="27" t="s">
        <v>118</v>
      </c>
      <c r="E1072" s="29">
        <v>40171</v>
      </c>
      <c r="F1072" s="27">
        <v>12</v>
      </c>
      <c r="G1072" s="18">
        <v>2554.64</v>
      </c>
      <c r="H1072" s="27">
        <f t="shared" si="32"/>
        <v>2554.64</v>
      </c>
      <c r="I1072" s="18">
        <v>2554.64</v>
      </c>
      <c r="J1072" s="27">
        <v>2554.64</v>
      </c>
      <c r="K1072" s="18">
        <f t="shared" si="33"/>
        <v>2554.64</v>
      </c>
      <c r="L1072" s="27">
        <v>2554.64</v>
      </c>
      <c r="M1072" s="36">
        <v>0</v>
      </c>
      <c r="T1072" s="41">
        <v>0</v>
      </c>
      <c r="U1072" s="41">
        <v>0</v>
      </c>
      <c r="V1072" s="42" t="s">
        <v>113</v>
      </c>
      <c r="W1072" s="42">
        <v>2554.64</v>
      </c>
      <c r="X1072" s="42">
        <v>2554.64</v>
      </c>
    </row>
    <row r="1073" spans="1:24">
      <c r="A1073" s="27" t="s">
        <v>2096</v>
      </c>
      <c r="B1073" s="28" t="s">
        <v>215</v>
      </c>
      <c r="C1073" s="27" t="s">
        <v>2097</v>
      </c>
      <c r="D1073" s="27" t="s">
        <v>118</v>
      </c>
      <c r="E1073" s="29">
        <v>40171</v>
      </c>
      <c r="F1073" s="27">
        <v>12</v>
      </c>
      <c r="G1073" s="18">
        <v>2554.64</v>
      </c>
      <c r="H1073" s="27">
        <f t="shared" si="32"/>
        <v>2554.64</v>
      </c>
      <c r="I1073" s="18">
        <v>2554.64</v>
      </c>
      <c r="J1073" s="27">
        <v>2554.64</v>
      </c>
      <c r="K1073" s="18">
        <f t="shared" si="33"/>
        <v>2554.64</v>
      </c>
      <c r="L1073" s="27">
        <v>2554.64</v>
      </c>
      <c r="M1073" s="36">
        <v>0</v>
      </c>
      <c r="T1073" s="41">
        <v>0</v>
      </c>
      <c r="U1073" s="41">
        <v>0</v>
      </c>
      <c r="V1073" s="42" t="s">
        <v>113</v>
      </c>
      <c r="W1073" s="42">
        <v>2554.64</v>
      </c>
      <c r="X1073" s="42">
        <v>2554.64</v>
      </c>
    </row>
    <row r="1074" spans="1:24">
      <c r="A1074" s="27" t="s">
        <v>2098</v>
      </c>
      <c r="B1074" s="28" t="s">
        <v>215</v>
      </c>
      <c r="C1074" s="27" t="s">
        <v>2099</v>
      </c>
      <c r="D1074" s="27" t="s">
        <v>230</v>
      </c>
      <c r="E1074" s="29">
        <v>40543</v>
      </c>
      <c r="F1074" s="27">
        <v>15</v>
      </c>
      <c r="G1074" s="18">
        <v>85063.62</v>
      </c>
      <c r="H1074" s="27">
        <f t="shared" si="32"/>
        <v>0</v>
      </c>
      <c r="I1074" s="18">
        <v>52526.79</v>
      </c>
      <c r="J1074" s="27">
        <v>85063.62</v>
      </c>
      <c r="K1074" s="18">
        <f t="shared" si="33"/>
        <v>0</v>
      </c>
      <c r="L1074" s="27">
        <v>56567.31</v>
      </c>
      <c r="M1074" s="36">
        <v>4040.52</v>
      </c>
      <c r="T1074" s="41">
        <v>0</v>
      </c>
      <c r="U1074" s="41">
        <v>0</v>
      </c>
      <c r="V1074" s="42" t="s">
        <v>113</v>
      </c>
      <c r="W1074" s="42">
        <v>0</v>
      </c>
      <c r="X1074" s="42">
        <v>0</v>
      </c>
    </row>
    <row r="1075" spans="1:24">
      <c r="A1075" s="27" t="s">
        <v>2100</v>
      </c>
      <c r="B1075" s="28" t="s">
        <v>215</v>
      </c>
      <c r="C1075" s="27" t="s">
        <v>2101</v>
      </c>
      <c r="D1075" s="27" t="s">
        <v>230</v>
      </c>
      <c r="E1075" s="29">
        <v>40543</v>
      </c>
      <c r="F1075" s="27">
        <v>15</v>
      </c>
      <c r="G1075" s="18">
        <v>85063.62</v>
      </c>
      <c r="H1075" s="27">
        <f t="shared" si="32"/>
        <v>0</v>
      </c>
      <c r="I1075" s="18">
        <v>52526.79</v>
      </c>
      <c r="J1075" s="27">
        <v>85063.62</v>
      </c>
      <c r="K1075" s="18">
        <f t="shared" si="33"/>
        <v>0</v>
      </c>
      <c r="L1075" s="27">
        <v>56567.31</v>
      </c>
      <c r="M1075" s="36">
        <v>4040.52</v>
      </c>
      <c r="T1075" s="41">
        <v>0</v>
      </c>
      <c r="U1075" s="41">
        <v>0</v>
      </c>
      <c r="V1075" s="42" t="s">
        <v>113</v>
      </c>
      <c r="W1075" s="42">
        <v>0</v>
      </c>
      <c r="X1075" s="42">
        <v>0</v>
      </c>
    </row>
    <row r="1076" spans="1:24">
      <c r="A1076" s="27" t="s">
        <v>2102</v>
      </c>
      <c r="B1076" s="28" t="s">
        <v>215</v>
      </c>
      <c r="C1076" s="27" t="s">
        <v>2103</v>
      </c>
      <c r="D1076" s="27" t="s">
        <v>230</v>
      </c>
      <c r="E1076" s="29">
        <v>40543</v>
      </c>
      <c r="F1076" s="27">
        <v>15</v>
      </c>
      <c r="G1076" s="18">
        <v>85063.62</v>
      </c>
      <c r="H1076" s="27">
        <f t="shared" si="32"/>
        <v>0</v>
      </c>
      <c r="I1076" s="18">
        <v>52526.79</v>
      </c>
      <c r="J1076" s="27">
        <v>85063.62</v>
      </c>
      <c r="K1076" s="18">
        <f t="shared" si="33"/>
        <v>0</v>
      </c>
      <c r="L1076" s="27">
        <v>56567.31</v>
      </c>
      <c r="M1076" s="36">
        <v>4040.52</v>
      </c>
      <c r="T1076" s="41">
        <v>0</v>
      </c>
      <c r="U1076" s="41">
        <v>0</v>
      </c>
      <c r="V1076" s="42" t="s">
        <v>113</v>
      </c>
      <c r="W1076" s="42">
        <v>0</v>
      </c>
      <c r="X1076" s="42">
        <v>0</v>
      </c>
    </row>
    <row r="1077" spans="1:24">
      <c r="A1077" s="27" t="s">
        <v>2104</v>
      </c>
      <c r="B1077" s="28" t="s">
        <v>215</v>
      </c>
      <c r="C1077" s="27" t="s">
        <v>2105</v>
      </c>
      <c r="D1077" s="27" t="s">
        <v>230</v>
      </c>
      <c r="E1077" s="29">
        <v>40543</v>
      </c>
      <c r="F1077" s="27">
        <v>15</v>
      </c>
      <c r="G1077" s="18">
        <v>85063.62</v>
      </c>
      <c r="H1077" s="27">
        <f t="shared" si="32"/>
        <v>0</v>
      </c>
      <c r="I1077" s="18">
        <v>52526.79</v>
      </c>
      <c r="J1077" s="27">
        <v>85063.62</v>
      </c>
      <c r="K1077" s="18">
        <f t="shared" si="33"/>
        <v>0</v>
      </c>
      <c r="L1077" s="27">
        <v>56567.31</v>
      </c>
      <c r="M1077" s="36">
        <v>4040.52</v>
      </c>
      <c r="T1077" s="41">
        <v>0</v>
      </c>
      <c r="U1077" s="41">
        <v>0</v>
      </c>
      <c r="V1077" s="42" t="s">
        <v>113</v>
      </c>
      <c r="W1077" s="42">
        <v>0</v>
      </c>
      <c r="X1077" s="42">
        <v>0</v>
      </c>
    </row>
    <row r="1078" spans="1:24">
      <c r="A1078" s="27" t="s">
        <v>2106</v>
      </c>
      <c r="B1078" s="28" t="s">
        <v>215</v>
      </c>
      <c r="C1078" s="27" t="s">
        <v>2107</v>
      </c>
      <c r="D1078" s="27" t="s">
        <v>230</v>
      </c>
      <c r="E1078" s="29">
        <v>40543</v>
      </c>
      <c r="F1078" s="27">
        <v>15</v>
      </c>
      <c r="G1078" s="18">
        <v>115882.39</v>
      </c>
      <c r="H1078" s="27">
        <f t="shared" si="32"/>
        <v>0</v>
      </c>
      <c r="I1078" s="18">
        <v>71557.38</v>
      </c>
      <c r="J1078" s="27">
        <v>115882.39</v>
      </c>
      <c r="K1078" s="18">
        <f t="shared" si="33"/>
        <v>0</v>
      </c>
      <c r="L1078" s="27">
        <v>77061.789999999994</v>
      </c>
      <c r="M1078" s="36">
        <v>5504.41</v>
      </c>
      <c r="T1078" s="41">
        <v>0</v>
      </c>
      <c r="U1078" s="41">
        <v>0</v>
      </c>
      <c r="V1078" s="42" t="s">
        <v>113</v>
      </c>
      <c r="W1078" s="42">
        <v>0</v>
      </c>
      <c r="X1078" s="42">
        <v>0</v>
      </c>
    </row>
    <row r="1079" spans="1:24">
      <c r="A1079" s="27" t="s">
        <v>2108</v>
      </c>
      <c r="B1079" s="28" t="s">
        <v>215</v>
      </c>
      <c r="C1079" s="27" t="s">
        <v>2109</v>
      </c>
      <c r="D1079" s="27" t="s">
        <v>230</v>
      </c>
      <c r="E1079" s="29">
        <v>40543</v>
      </c>
      <c r="F1079" s="27">
        <v>15</v>
      </c>
      <c r="G1079" s="18">
        <v>112101.78</v>
      </c>
      <c r="H1079" s="27">
        <f t="shared" si="32"/>
        <v>0</v>
      </c>
      <c r="I1079" s="18">
        <v>69222.850000000006</v>
      </c>
      <c r="J1079" s="27">
        <v>112101.78</v>
      </c>
      <c r="K1079" s="18">
        <f t="shared" si="33"/>
        <v>0</v>
      </c>
      <c r="L1079" s="27">
        <v>74547.679999999993</v>
      </c>
      <c r="M1079" s="36">
        <v>5324.83</v>
      </c>
      <c r="T1079" s="41">
        <v>0</v>
      </c>
      <c r="U1079" s="41">
        <v>0</v>
      </c>
      <c r="V1079" s="42" t="s">
        <v>113</v>
      </c>
      <c r="W1079" s="42">
        <v>0</v>
      </c>
      <c r="X1079" s="42">
        <v>0</v>
      </c>
    </row>
    <row r="1080" spans="1:24">
      <c r="A1080" s="27" t="s">
        <v>2110</v>
      </c>
      <c r="B1080" s="28" t="s">
        <v>215</v>
      </c>
      <c r="C1080" s="27" t="s">
        <v>395</v>
      </c>
      <c r="D1080" s="27" t="s">
        <v>230</v>
      </c>
      <c r="E1080" s="29">
        <v>40543</v>
      </c>
      <c r="F1080" s="27">
        <v>15</v>
      </c>
      <c r="G1080" s="18">
        <v>18903.03</v>
      </c>
      <c r="H1080" s="27">
        <f t="shared" si="32"/>
        <v>0</v>
      </c>
      <c r="I1080" s="18">
        <v>11672.62</v>
      </c>
      <c r="J1080" s="27">
        <v>18903.03</v>
      </c>
      <c r="K1080" s="18">
        <f t="shared" si="33"/>
        <v>0</v>
      </c>
      <c r="L1080" s="27">
        <v>12570.51</v>
      </c>
      <c r="M1080" s="36">
        <v>897.89</v>
      </c>
      <c r="T1080" s="41">
        <v>0</v>
      </c>
      <c r="U1080" s="41">
        <v>0</v>
      </c>
      <c r="V1080" s="42" t="s">
        <v>113</v>
      </c>
      <c r="W1080" s="42">
        <v>0</v>
      </c>
      <c r="X1080" s="42">
        <v>0</v>
      </c>
    </row>
    <row r="1081" spans="1:24">
      <c r="A1081" s="27" t="s">
        <v>2111</v>
      </c>
      <c r="B1081" s="28" t="s">
        <v>215</v>
      </c>
      <c r="C1081" s="27" t="s">
        <v>407</v>
      </c>
      <c r="D1081" s="27" t="s">
        <v>230</v>
      </c>
      <c r="E1081" s="29">
        <v>40543</v>
      </c>
      <c r="F1081" s="27">
        <v>15</v>
      </c>
      <c r="G1081" s="18">
        <v>18903.03</v>
      </c>
      <c r="H1081" s="27">
        <f t="shared" si="32"/>
        <v>0</v>
      </c>
      <c r="I1081" s="18">
        <v>11672.62</v>
      </c>
      <c r="J1081" s="27">
        <v>18903.03</v>
      </c>
      <c r="K1081" s="18">
        <f t="shared" si="33"/>
        <v>0</v>
      </c>
      <c r="L1081" s="27">
        <v>12570.51</v>
      </c>
      <c r="M1081" s="36">
        <v>897.89</v>
      </c>
      <c r="T1081" s="41">
        <v>0</v>
      </c>
      <c r="U1081" s="41">
        <v>0</v>
      </c>
      <c r="V1081" s="42" t="s">
        <v>113</v>
      </c>
      <c r="W1081" s="42">
        <v>0</v>
      </c>
      <c r="X1081" s="42">
        <v>0</v>
      </c>
    </row>
    <row r="1082" spans="1:24">
      <c r="A1082" s="27" t="s">
        <v>2112</v>
      </c>
      <c r="B1082" s="28" t="s">
        <v>215</v>
      </c>
      <c r="C1082" s="27" t="s">
        <v>399</v>
      </c>
      <c r="D1082" s="27" t="s">
        <v>230</v>
      </c>
      <c r="E1082" s="29">
        <v>40543</v>
      </c>
      <c r="F1082" s="27">
        <v>15</v>
      </c>
      <c r="G1082" s="18">
        <v>18903.03</v>
      </c>
      <c r="H1082" s="27">
        <f t="shared" si="32"/>
        <v>0</v>
      </c>
      <c r="I1082" s="18">
        <v>11672.62</v>
      </c>
      <c r="J1082" s="27">
        <v>18903.03</v>
      </c>
      <c r="K1082" s="18">
        <f t="shared" si="33"/>
        <v>0</v>
      </c>
      <c r="L1082" s="27">
        <v>12570.51</v>
      </c>
      <c r="M1082" s="36">
        <v>897.89</v>
      </c>
      <c r="T1082" s="41">
        <v>0</v>
      </c>
      <c r="U1082" s="41">
        <v>0</v>
      </c>
      <c r="V1082" s="42" t="s">
        <v>113</v>
      </c>
      <c r="W1082" s="42">
        <v>0</v>
      </c>
      <c r="X1082" s="42">
        <v>0</v>
      </c>
    </row>
    <row r="1083" spans="1:24">
      <c r="A1083" s="27" t="s">
        <v>2113</v>
      </c>
      <c r="B1083" s="28" t="s">
        <v>215</v>
      </c>
      <c r="C1083" s="27" t="s">
        <v>391</v>
      </c>
      <c r="D1083" s="27" t="s">
        <v>230</v>
      </c>
      <c r="E1083" s="29">
        <v>40543</v>
      </c>
      <c r="F1083" s="27">
        <v>15</v>
      </c>
      <c r="G1083" s="18">
        <v>18903.03</v>
      </c>
      <c r="H1083" s="27">
        <f t="shared" si="32"/>
        <v>0</v>
      </c>
      <c r="I1083" s="18">
        <v>11672.62</v>
      </c>
      <c r="J1083" s="27">
        <v>18903.03</v>
      </c>
      <c r="K1083" s="18">
        <f t="shared" si="33"/>
        <v>0</v>
      </c>
      <c r="L1083" s="27">
        <v>12570.51</v>
      </c>
      <c r="M1083" s="36">
        <v>897.89</v>
      </c>
      <c r="T1083" s="41">
        <v>0</v>
      </c>
      <c r="U1083" s="41">
        <v>0</v>
      </c>
      <c r="V1083" s="42" t="s">
        <v>113</v>
      </c>
      <c r="W1083" s="42">
        <v>0</v>
      </c>
      <c r="X1083" s="42">
        <v>0</v>
      </c>
    </row>
    <row r="1084" spans="1:24">
      <c r="A1084" s="27" t="s">
        <v>2114</v>
      </c>
      <c r="B1084" s="28" t="s">
        <v>215</v>
      </c>
      <c r="C1084" s="27" t="s">
        <v>2115</v>
      </c>
      <c r="D1084" s="27" t="s">
        <v>230</v>
      </c>
      <c r="E1084" s="29">
        <v>40543</v>
      </c>
      <c r="F1084" s="27">
        <v>15</v>
      </c>
      <c r="G1084" s="18">
        <v>18003.03</v>
      </c>
      <c r="H1084" s="27">
        <f t="shared" si="32"/>
        <v>0</v>
      </c>
      <c r="I1084" s="18">
        <v>11116.87</v>
      </c>
      <c r="J1084" s="27">
        <v>18003.03</v>
      </c>
      <c r="K1084" s="18">
        <f t="shared" si="33"/>
        <v>0</v>
      </c>
      <c r="L1084" s="27">
        <v>11972.01</v>
      </c>
      <c r="M1084" s="36">
        <v>855.14</v>
      </c>
      <c r="T1084" s="41">
        <v>0</v>
      </c>
      <c r="U1084" s="41">
        <v>0</v>
      </c>
      <c r="V1084" s="42" t="s">
        <v>113</v>
      </c>
      <c r="W1084" s="42">
        <v>0</v>
      </c>
      <c r="X1084" s="42">
        <v>0</v>
      </c>
    </row>
    <row r="1085" spans="1:24">
      <c r="A1085" s="27" t="s">
        <v>2116</v>
      </c>
      <c r="B1085" s="28" t="s">
        <v>215</v>
      </c>
      <c r="C1085" s="27" t="s">
        <v>2117</v>
      </c>
      <c r="D1085" s="27" t="s">
        <v>230</v>
      </c>
      <c r="E1085" s="29">
        <v>40543</v>
      </c>
      <c r="F1085" s="27">
        <v>15</v>
      </c>
      <c r="G1085" s="18">
        <v>18003.03</v>
      </c>
      <c r="H1085" s="27">
        <f t="shared" si="32"/>
        <v>0</v>
      </c>
      <c r="I1085" s="18">
        <v>11116.87</v>
      </c>
      <c r="J1085" s="27">
        <v>18003.03</v>
      </c>
      <c r="K1085" s="18">
        <f t="shared" si="33"/>
        <v>0</v>
      </c>
      <c r="L1085" s="27">
        <v>11972.01</v>
      </c>
      <c r="M1085" s="36">
        <v>855.14</v>
      </c>
      <c r="T1085" s="41">
        <v>0</v>
      </c>
      <c r="U1085" s="41">
        <v>0</v>
      </c>
      <c r="V1085" s="42" t="s">
        <v>113</v>
      </c>
      <c r="W1085" s="42">
        <v>0</v>
      </c>
      <c r="X1085" s="42">
        <v>0</v>
      </c>
    </row>
    <row r="1086" spans="1:24">
      <c r="A1086" s="27" t="s">
        <v>2118</v>
      </c>
      <c r="B1086" s="28" t="s">
        <v>215</v>
      </c>
      <c r="C1086" s="27" t="s">
        <v>2119</v>
      </c>
      <c r="D1086" s="27" t="s">
        <v>112</v>
      </c>
      <c r="E1086" s="29">
        <v>40543</v>
      </c>
      <c r="F1086" s="27">
        <v>15</v>
      </c>
      <c r="G1086" s="18">
        <v>18903.03</v>
      </c>
      <c r="H1086" s="27">
        <f t="shared" si="32"/>
        <v>0</v>
      </c>
      <c r="I1086" s="18">
        <v>11672.62</v>
      </c>
      <c r="J1086" s="27">
        <v>18903.03</v>
      </c>
      <c r="K1086" s="18">
        <f t="shared" si="33"/>
        <v>0</v>
      </c>
      <c r="L1086" s="27">
        <v>12570.51</v>
      </c>
      <c r="M1086" s="36">
        <v>897.89</v>
      </c>
      <c r="T1086" s="41">
        <v>0</v>
      </c>
      <c r="U1086" s="41">
        <v>0</v>
      </c>
      <c r="V1086" s="42" t="s">
        <v>113</v>
      </c>
      <c r="W1086" s="42">
        <v>0</v>
      </c>
      <c r="X1086" s="42">
        <v>0</v>
      </c>
    </row>
    <row r="1087" spans="1:24">
      <c r="A1087" s="27" t="s">
        <v>2120</v>
      </c>
      <c r="B1087" s="28" t="s">
        <v>215</v>
      </c>
      <c r="C1087" s="27" t="s">
        <v>2121</v>
      </c>
      <c r="D1087" s="27" t="s">
        <v>112</v>
      </c>
      <c r="E1087" s="29">
        <v>40164</v>
      </c>
      <c r="F1087" s="27">
        <v>15</v>
      </c>
      <c r="G1087" s="18">
        <v>17076.77</v>
      </c>
      <c r="H1087" s="27">
        <f t="shared" si="32"/>
        <v>17076.77</v>
      </c>
      <c r="I1087" s="18">
        <v>16222.93</v>
      </c>
      <c r="J1087" s="27">
        <v>17076.77</v>
      </c>
      <c r="K1087" s="18">
        <f t="shared" si="33"/>
        <v>17076.77</v>
      </c>
      <c r="L1087" s="27">
        <v>16222.93</v>
      </c>
      <c r="M1087" s="36">
        <v>0</v>
      </c>
      <c r="T1087" s="41">
        <v>0</v>
      </c>
      <c r="U1087" s="41">
        <v>0</v>
      </c>
      <c r="V1087" s="42" t="s">
        <v>113</v>
      </c>
      <c r="W1087" s="42">
        <v>17076.77</v>
      </c>
      <c r="X1087" s="42">
        <v>17076.77</v>
      </c>
    </row>
    <row r="1088" spans="1:24">
      <c r="A1088" s="27" t="s">
        <v>2122</v>
      </c>
      <c r="B1088" s="28" t="s">
        <v>215</v>
      </c>
      <c r="C1088" s="27" t="s">
        <v>2123</v>
      </c>
      <c r="D1088" s="27" t="s">
        <v>230</v>
      </c>
      <c r="E1088" s="29">
        <v>40169</v>
      </c>
      <c r="F1088" s="27">
        <v>12</v>
      </c>
      <c r="G1088" s="18">
        <v>394.22</v>
      </c>
      <c r="H1088" s="27">
        <f t="shared" si="32"/>
        <v>394.22</v>
      </c>
      <c r="I1088" s="18">
        <v>394.22</v>
      </c>
      <c r="J1088" s="27">
        <v>394.22</v>
      </c>
      <c r="K1088" s="18">
        <f t="shared" si="33"/>
        <v>394.22</v>
      </c>
      <c r="L1088" s="27">
        <v>394.22</v>
      </c>
      <c r="M1088" s="36">
        <v>0</v>
      </c>
      <c r="T1088" s="41">
        <v>0</v>
      </c>
      <c r="U1088" s="41">
        <v>0</v>
      </c>
      <c r="V1088" s="42" t="s">
        <v>113</v>
      </c>
      <c r="W1088" s="42">
        <v>394.22</v>
      </c>
      <c r="X1088" s="42">
        <v>394.22</v>
      </c>
    </row>
    <row r="1089" spans="1:24">
      <c r="A1089" s="27" t="s">
        <v>2124</v>
      </c>
      <c r="B1089" s="28" t="s">
        <v>215</v>
      </c>
      <c r="C1089" s="27" t="s">
        <v>2125</v>
      </c>
      <c r="D1089" s="27" t="s">
        <v>230</v>
      </c>
      <c r="E1089" s="29">
        <v>40169</v>
      </c>
      <c r="F1089" s="27">
        <v>12</v>
      </c>
      <c r="G1089" s="18">
        <v>394.22</v>
      </c>
      <c r="H1089" s="27">
        <f t="shared" si="32"/>
        <v>394.22</v>
      </c>
      <c r="I1089" s="18">
        <v>394.22</v>
      </c>
      <c r="J1089" s="27">
        <v>394.22</v>
      </c>
      <c r="K1089" s="18">
        <f t="shared" si="33"/>
        <v>394.22</v>
      </c>
      <c r="L1089" s="27">
        <v>394.22</v>
      </c>
      <c r="M1089" s="36">
        <v>0</v>
      </c>
      <c r="T1089" s="41">
        <v>0</v>
      </c>
      <c r="U1089" s="41">
        <v>0</v>
      </c>
      <c r="V1089" s="42" t="s">
        <v>113</v>
      </c>
      <c r="W1089" s="42">
        <v>394.22</v>
      </c>
      <c r="X1089" s="42">
        <v>394.22</v>
      </c>
    </row>
    <row r="1090" spans="1:24">
      <c r="A1090" s="27" t="s">
        <v>2126</v>
      </c>
      <c r="B1090" s="28" t="s">
        <v>215</v>
      </c>
      <c r="C1090" s="27" t="s">
        <v>2127</v>
      </c>
      <c r="D1090" s="27" t="s">
        <v>230</v>
      </c>
      <c r="E1090" s="29">
        <v>40169</v>
      </c>
      <c r="F1090" s="27">
        <v>12</v>
      </c>
      <c r="G1090" s="18">
        <v>394.22</v>
      </c>
      <c r="H1090" s="27">
        <f t="shared" si="32"/>
        <v>394.22</v>
      </c>
      <c r="I1090" s="18">
        <v>394.22</v>
      </c>
      <c r="J1090" s="27">
        <v>394.22</v>
      </c>
      <c r="K1090" s="18">
        <f t="shared" si="33"/>
        <v>394.22</v>
      </c>
      <c r="L1090" s="27">
        <v>394.22</v>
      </c>
      <c r="M1090" s="36">
        <v>0</v>
      </c>
      <c r="T1090" s="41">
        <v>0</v>
      </c>
      <c r="U1090" s="41">
        <v>0</v>
      </c>
      <c r="V1090" s="42" t="s">
        <v>113</v>
      </c>
      <c r="W1090" s="42">
        <v>394.22</v>
      </c>
      <c r="X1090" s="42">
        <v>394.22</v>
      </c>
    </row>
    <row r="1091" spans="1:24">
      <c r="A1091" s="27" t="s">
        <v>2128</v>
      </c>
      <c r="B1091" s="28" t="s">
        <v>215</v>
      </c>
      <c r="C1091" s="27" t="s">
        <v>1057</v>
      </c>
      <c r="D1091" s="27" t="s">
        <v>230</v>
      </c>
      <c r="E1091" s="29">
        <v>40169</v>
      </c>
      <c r="F1091" s="27">
        <v>12</v>
      </c>
      <c r="G1091" s="18">
        <v>394.22</v>
      </c>
      <c r="H1091" s="27">
        <f t="shared" si="32"/>
        <v>394.22</v>
      </c>
      <c r="I1091" s="18">
        <v>394.22</v>
      </c>
      <c r="J1091" s="27">
        <v>394.22</v>
      </c>
      <c r="K1091" s="18">
        <f t="shared" si="33"/>
        <v>394.22</v>
      </c>
      <c r="L1091" s="27">
        <v>394.22</v>
      </c>
      <c r="M1091" s="36">
        <v>0</v>
      </c>
      <c r="T1091" s="41">
        <v>0</v>
      </c>
      <c r="U1091" s="41">
        <v>0</v>
      </c>
      <c r="V1091" s="42" t="s">
        <v>113</v>
      </c>
      <c r="W1091" s="42">
        <v>394.22</v>
      </c>
      <c r="X1091" s="42">
        <v>394.22</v>
      </c>
    </row>
    <row r="1092" spans="1:24">
      <c r="A1092" s="27" t="s">
        <v>2129</v>
      </c>
      <c r="B1092" s="28" t="s">
        <v>215</v>
      </c>
      <c r="C1092" s="27" t="s">
        <v>2130</v>
      </c>
      <c r="D1092" s="27" t="s">
        <v>230</v>
      </c>
      <c r="E1092" s="29">
        <v>40169</v>
      </c>
      <c r="F1092" s="27">
        <v>12</v>
      </c>
      <c r="G1092" s="18">
        <v>394.22</v>
      </c>
      <c r="H1092" s="27">
        <f t="shared" si="32"/>
        <v>394.22</v>
      </c>
      <c r="I1092" s="18">
        <v>394.22</v>
      </c>
      <c r="J1092" s="27">
        <v>394.22</v>
      </c>
      <c r="K1092" s="18">
        <f t="shared" si="33"/>
        <v>394.22</v>
      </c>
      <c r="L1092" s="27">
        <v>394.22</v>
      </c>
      <c r="M1092" s="36">
        <v>0</v>
      </c>
      <c r="T1092" s="41">
        <v>0</v>
      </c>
      <c r="U1092" s="41">
        <v>0</v>
      </c>
      <c r="V1092" s="42" t="s">
        <v>113</v>
      </c>
      <c r="W1092" s="42">
        <v>394.22</v>
      </c>
      <c r="X1092" s="42">
        <v>394.22</v>
      </c>
    </row>
    <row r="1093" spans="1:24">
      <c r="A1093" s="27" t="s">
        <v>2131</v>
      </c>
      <c r="B1093" s="28" t="s">
        <v>215</v>
      </c>
      <c r="C1093" s="27" t="s">
        <v>2132</v>
      </c>
      <c r="D1093" s="27" t="s">
        <v>230</v>
      </c>
      <c r="E1093" s="29">
        <v>40169</v>
      </c>
      <c r="F1093" s="27">
        <v>12</v>
      </c>
      <c r="G1093" s="18">
        <v>394.22</v>
      </c>
      <c r="H1093" s="27">
        <f t="shared" si="32"/>
        <v>394.22</v>
      </c>
      <c r="I1093" s="18">
        <v>394.22</v>
      </c>
      <c r="J1093" s="27">
        <v>394.22</v>
      </c>
      <c r="K1093" s="18">
        <f t="shared" si="33"/>
        <v>394.22</v>
      </c>
      <c r="L1093" s="27">
        <v>394.22</v>
      </c>
      <c r="M1093" s="36">
        <v>0</v>
      </c>
      <c r="T1093" s="41">
        <v>0</v>
      </c>
      <c r="U1093" s="41">
        <v>0</v>
      </c>
      <c r="V1093" s="42" t="s">
        <v>113</v>
      </c>
      <c r="W1093" s="42">
        <v>394.22</v>
      </c>
      <c r="X1093" s="42">
        <v>394.22</v>
      </c>
    </row>
    <row r="1094" spans="1:24">
      <c r="A1094" s="27" t="s">
        <v>2133</v>
      </c>
      <c r="B1094" s="28" t="s">
        <v>215</v>
      </c>
      <c r="C1094" s="27" t="s">
        <v>2134</v>
      </c>
      <c r="D1094" s="27" t="s">
        <v>230</v>
      </c>
      <c r="E1094" s="29">
        <v>40169</v>
      </c>
      <c r="F1094" s="27">
        <v>12</v>
      </c>
      <c r="G1094" s="18">
        <v>4594.22</v>
      </c>
      <c r="H1094" s="27">
        <f t="shared" ref="H1094:H1157" si="34">IFERROR(IF(ROUND((G1094-I1094)/G1094,2)&lt;=0.05,G1094,0),0)</f>
        <v>4594.22</v>
      </c>
      <c r="I1094" s="18">
        <v>4594.22</v>
      </c>
      <c r="J1094" s="27">
        <v>4594.22</v>
      </c>
      <c r="K1094" s="18">
        <f t="shared" ref="K1094:K1157" si="35">IFERROR(IF(ROUND((J1094-L1094)/J1094,2)&lt;=0.05,J1094,0),0)</f>
        <v>4594.22</v>
      </c>
      <c r="L1094" s="27">
        <v>4594.22</v>
      </c>
      <c r="M1094" s="36">
        <v>0</v>
      </c>
      <c r="T1094" s="41">
        <v>0</v>
      </c>
      <c r="U1094" s="41">
        <v>0</v>
      </c>
      <c r="V1094" s="42" t="s">
        <v>113</v>
      </c>
      <c r="W1094" s="42">
        <v>4594.22</v>
      </c>
      <c r="X1094" s="42">
        <v>4594.22</v>
      </c>
    </row>
    <row r="1095" spans="1:24">
      <c r="A1095" s="27" t="s">
        <v>2135</v>
      </c>
      <c r="B1095" s="28" t="s">
        <v>215</v>
      </c>
      <c r="C1095" s="27" t="s">
        <v>2136</v>
      </c>
      <c r="D1095" s="27" t="s">
        <v>230</v>
      </c>
      <c r="E1095" s="29">
        <v>40169</v>
      </c>
      <c r="F1095" s="27">
        <v>12</v>
      </c>
      <c r="G1095" s="18">
        <v>394.22</v>
      </c>
      <c r="H1095" s="27">
        <f t="shared" si="34"/>
        <v>394.22</v>
      </c>
      <c r="I1095" s="18">
        <v>394.22</v>
      </c>
      <c r="J1095" s="27">
        <v>394.22</v>
      </c>
      <c r="K1095" s="18">
        <f t="shared" si="35"/>
        <v>394.22</v>
      </c>
      <c r="L1095" s="27">
        <v>394.22</v>
      </c>
      <c r="M1095" s="36">
        <v>0</v>
      </c>
      <c r="T1095" s="41">
        <v>0</v>
      </c>
      <c r="U1095" s="41">
        <v>0</v>
      </c>
      <c r="V1095" s="42" t="s">
        <v>113</v>
      </c>
      <c r="W1095" s="42">
        <v>394.22</v>
      </c>
      <c r="X1095" s="42">
        <v>394.22</v>
      </c>
    </row>
    <row r="1096" spans="1:24">
      <c r="A1096" s="27" t="s">
        <v>2137</v>
      </c>
      <c r="B1096" s="28" t="s">
        <v>215</v>
      </c>
      <c r="C1096" s="27" t="s">
        <v>2138</v>
      </c>
      <c r="D1096" s="27" t="s">
        <v>230</v>
      </c>
      <c r="E1096" s="29">
        <v>40169</v>
      </c>
      <c r="F1096" s="27">
        <v>12</v>
      </c>
      <c r="G1096" s="18">
        <v>394.22</v>
      </c>
      <c r="H1096" s="27">
        <f t="shared" si="34"/>
        <v>394.22</v>
      </c>
      <c r="I1096" s="18">
        <v>394.22</v>
      </c>
      <c r="J1096" s="27">
        <v>394.22</v>
      </c>
      <c r="K1096" s="18">
        <f t="shared" si="35"/>
        <v>394.22</v>
      </c>
      <c r="L1096" s="27">
        <v>394.22</v>
      </c>
      <c r="M1096" s="36">
        <v>0</v>
      </c>
      <c r="T1096" s="41">
        <v>0</v>
      </c>
      <c r="U1096" s="41">
        <v>0</v>
      </c>
      <c r="V1096" s="42" t="s">
        <v>113</v>
      </c>
      <c r="W1096" s="42">
        <v>394.22</v>
      </c>
      <c r="X1096" s="42">
        <v>394.22</v>
      </c>
    </row>
    <row r="1097" spans="1:24">
      <c r="A1097" s="27" t="s">
        <v>2139</v>
      </c>
      <c r="B1097" s="28" t="s">
        <v>215</v>
      </c>
      <c r="C1097" s="27" t="s">
        <v>2140</v>
      </c>
      <c r="D1097" s="27" t="s">
        <v>230</v>
      </c>
      <c r="E1097" s="29">
        <v>40169</v>
      </c>
      <c r="F1097" s="27">
        <v>12</v>
      </c>
      <c r="G1097" s="18">
        <v>394.22</v>
      </c>
      <c r="H1097" s="27">
        <f t="shared" si="34"/>
        <v>394.22</v>
      </c>
      <c r="I1097" s="18">
        <v>394.22</v>
      </c>
      <c r="J1097" s="27">
        <v>394.22</v>
      </c>
      <c r="K1097" s="18">
        <f t="shared" si="35"/>
        <v>394.22</v>
      </c>
      <c r="L1097" s="27">
        <v>394.22</v>
      </c>
      <c r="M1097" s="36">
        <v>0</v>
      </c>
      <c r="T1097" s="41">
        <v>0</v>
      </c>
      <c r="U1097" s="41">
        <v>0</v>
      </c>
      <c r="V1097" s="42" t="s">
        <v>113</v>
      </c>
      <c r="W1097" s="42">
        <v>394.22</v>
      </c>
      <c r="X1097" s="42">
        <v>394.22</v>
      </c>
    </row>
    <row r="1098" spans="1:24">
      <c r="A1098" s="27" t="s">
        <v>2141</v>
      </c>
      <c r="B1098" s="28" t="s">
        <v>215</v>
      </c>
      <c r="C1098" s="27" t="s">
        <v>2142</v>
      </c>
      <c r="D1098" s="27" t="s">
        <v>230</v>
      </c>
      <c r="E1098" s="29">
        <v>40169</v>
      </c>
      <c r="F1098" s="27">
        <v>12</v>
      </c>
      <c r="G1098" s="18">
        <v>394.22</v>
      </c>
      <c r="H1098" s="27">
        <f t="shared" si="34"/>
        <v>394.22</v>
      </c>
      <c r="I1098" s="18">
        <v>394.22</v>
      </c>
      <c r="J1098" s="27">
        <v>394.22</v>
      </c>
      <c r="K1098" s="18">
        <f t="shared" si="35"/>
        <v>394.22</v>
      </c>
      <c r="L1098" s="27">
        <v>394.22</v>
      </c>
      <c r="M1098" s="36">
        <v>0</v>
      </c>
      <c r="T1098" s="41">
        <v>0</v>
      </c>
      <c r="U1098" s="41">
        <v>0</v>
      </c>
      <c r="V1098" s="42" t="s">
        <v>113</v>
      </c>
      <c r="W1098" s="42">
        <v>394.22</v>
      </c>
      <c r="X1098" s="42">
        <v>394.22</v>
      </c>
    </row>
    <row r="1099" spans="1:24">
      <c r="A1099" s="27" t="s">
        <v>2143</v>
      </c>
      <c r="B1099" s="28" t="s">
        <v>215</v>
      </c>
      <c r="C1099" s="27" t="s">
        <v>2144</v>
      </c>
      <c r="D1099" s="27" t="s">
        <v>230</v>
      </c>
      <c r="E1099" s="29">
        <v>40169</v>
      </c>
      <c r="F1099" s="27">
        <v>12</v>
      </c>
      <c r="G1099" s="18">
        <v>394.22</v>
      </c>
      <c r="H1099" s="27">
        <f t="shared" si="34"/>
        <v>394.22</v>
      </c>
      <c r="I1099" s="18">
        <v>394.22</v>
      </c>
      <c r="J1099" s="27">
        <v>394.22</v>
      </c>
      <c r="K1099" s="18">
        <f t="shared" si="35"/>
        <v>394.22</v>
      </c>
      <c r="L1099" s="27">
        <v>394.22</v>
      </c>
      <c r="M1099" s="36">
        <v>0</v>
      </c>
      <c r="T1099" s="41">
        <v>0</v>
      </c>
      <c r="U1099" s="41">
        <v>0</v>
      </c>
      <c r="V1099" s="42" t="s">
        <v>113</v>
      </c>
      <c r="W1099" s="42">
        <v>394.22</v>
      </c>
      <c r="X1099" s="42">
        <v>394.22</v>
      </c>
    </row>
    <row r="1100" spans="1:24">
      <c r="A1100" s="27" t="s">
        <v>2145</v>
      </c>
      <c r="B1100" s="28" t="s">
        <v>215</v>
      </c>
      <c r="C1100" s="27" t="s">
        <v>2146</v>
      </c>
      <c r="D1100" s="27" t="s">
        <v>230</v>
      </c>
      <c r="E1100" s="29">
        <v>40169</v>
      </c>
      <c r="F1100" s="27">
        <v>12</v>
      </c>
      <c r="G1100" s="18">
        <v>394.22</v>
      </c>
      <c r="H1100" s="27">
        <f t="shared" si="34"/>
        <v>394.22</v>
      </c>
      <c r="I1100" s="18">
        <v>394.22</v>
      </c>
      <c r="J1100" s="27">
        <v>394.22</v>
      </c>
      <c r="K1100" s="18">
        <f t="shared" si="35"/>
        <v>394.22</v>
      </c>
      <c r="L1100" s="27">
        <v>394.22</v>
      </c>
      <c r="M1100" s="36">
        <v>0</v>
      </c>
      <c r="T1100" s="41">
        <v>0</v>
      </c>
      <c r="U1100" s="41">
        <v>0</v>
      </c>
      <c r="V1100" s="42" t="s">
        <v>113</v>
      </c>
      <c r="W1100" s="42">
        <v>394.22</v>
      </c>
      <c r="X1100" s="42">
        <v>394.22</v>
      </c>
    </row>
    <row r="1101" spans="1:24">
      <c r="A1101" s="27" t="s">
        <v>2147</v>
      </c>
      <c r="B1101" s="28" t="s">
        <v>215</v>
      </c>
      <c r="C1101" s="27" t="s">
        <v>2148</v>
      </c>
      <c r="D1101" s="27" t="s">
        <v>230</v>
      </c>
      <c r="E1101" s="29">
        <v>40169</v>
      </c>
      <c r="F1101" s="27">
        <v>12</v>
      </c>
      <c r="G1101" s="18">
        <v>394.22</v>
      </c>
      <c r="H1101" s="27">
        <f t="shared" si="34"/>
        <v>394.22</v>
      </c>
      <c r="I1101" s="18">
        <v>394.22</v>
      </c>
      <c r="J1101" s="27">
        <v>394.22</v>
      </c>
      <c r="K1101" s="18">
        <f t="shared" si="35"/>
        <v>394.22</v>
      </c>
      <c r="L1101" s="27">
        <v>394.22</v>
      </c>
      <c r="M1101" s="36">
        <v>0</v>
      </c>
      <c r="T1101" s="41">
        <v>0</v>
      </c>
      <c r="U1101" s="41">
        <v>0</v>
      </c>
      <c r="V1101" s="42" t="s">
        <v>113</v>
      </c>
      <c r="W1101" s="42">
        <v>394.22</v>
      </c>
      <c r="X1101" s="42">
        <v>394.22</v>
      </c>
    </row>
    <row r="1102" spans="1:24">
      <c r="A1102" s="27" t="s">
        <v>2149</v>
      </c>
      <c r="B1102" s="28" t="s">
        <v>215</v>
      </c>
      <c r="C1102" s="27" t="s">
        <v>2150</v>
      </c>
      <c r="D1102" s="27" t="s">
        <v>230</v>
      </c>
      <c r="E1102" s="29">
        <v>40169</v>
      </c>
      <c r="F1102" s="27">
        <v>12</v>
      </c>
      <c r="G1102" s="18">
        <v>394.22</v>
      </c>
      <c r="H1102" s="27">
        <f t="shared" si="34"/>
        <v>394.22</v>
      </c>
      <c r="I1102" s="18">
        <v>394.22</v>
      </c>
      <c r="J1102" s="27">
        <v>394.22</v>
      </c>
      <c r="K1102" s="18">
        <f t="shared" si="35"/>
        <v>394.22</v>
      </c>
      <c r="L1102" s="27">
        <v>394.22</v>
      </c>
      <c r="M1102" s="36">
        <v>0</v>
      </c>
      <c r="T1102" s="41">
        <v>0</v>
      </c>
      <c r="U1102" s="41">
        <v>0</v>
      </c>
      <c r="V1102" s="42" t="s">
        <v>113</v>
      </c>
      <c r="W1102" s="42">
        <v>394.22</v>
      </c>
      <c r="X1102" s="42">
        <v>394.22</v>
      </c>
    </row>
    <row r="1103" spans="1:24">
      <c r="A1103" s="27" t="s">
        <v>2151</v>
      </c>
      <c r="B1103" s="28" t="s">
        <v>215</v>
      </c>
      <c r="C1103" s="27" t="s">
        <v>2152</v>
      </c>
      <c r="D1103" s="27" t="s">
        <v>230</v>
      </c>
      <c r="E1103" s="29">
        <v>40169</v>
      </c>
      <c r="F1103" s="27">
        <v>12</v>
      </c>
      <c r="G1103" s="18">
        <v>394.22</v>
      </c>
      <c r="H1103" s="27">
        <f t="shared" si="34"/>
        <v>394.22</v>
      </c>
      <c r="I1103" s="18">
        <v>394.22</v>
      </c>
      <c r="J1103" s="27">
        <v>394.22</v>
      </c>
      <c r="K1103" s="18">
        <f t="shared" si="35"/>
        <v>394.22</v>
      </c>
      <c r="L1103" s="27">
        <v>394.22</v>
      </c>
      <c r="M1103" s="36">
        <v>0</v>
      </c>
      <c r="T1103" s="41">
        <v>0</v>
      </c>
      <c r="U1103" s="41">
        <v>0</v>
      </c>
      <c r="V1103" s="42" t="s">
        <v>113</v>
      </c>
      <c r="W1103" s="42">
        <v>394.22</v>
      </c>
      <c r="X1103" s="42">
        <v>394.22</v>
      </c>
    </row>
    <row r="1104" spans="1:24">
      <c r="A1104" s="27" t="s">
        <v>2153</v>
      </c>
      <c r="B1104" s="28" t="s">
        <v>215</v>
      </c>
      <c r="C1104" s="27" t="s">
        <v>1198</v>
      </c>
      <c r="D1104" s="27" t="s">
        <v>230</v>
      </c>
      <c r="E1104" s="29">
        <v>40169</v>
      </c>
      <c r="F1104" s="27">
        <v>12</v>
      </c>
      <c r="G1104" s="18">
        <v>394.22</v>
      </c>
      <c r="H1104" s="27">
        <f t="shared" si="34"/>
        <v>394.22</v>
      </c>
      <c r="I1104" s="18">
        <v>394.22</v>
      </c>
      <c r="J1104" s="27">
        <v>394.22</v>
      </c>
      <c r="K1104" s="18">
        <f t="shared" si="35"/>
        <v>394.22</v>
      </c>
      <c r="L1104" s="27">
        <v>394.22</v>
      </c>
      <c r="M1104" s="36">
        <v>0</v>
      </c>
      <c r="T1104" s="41">
        <v>0</v>
      </c>
      <c r="U1104" s="41">
        <v>0</v>
      </c>
      <c r="V1104" s="42" t="s">
        <v>113</v>
      </c>
      <c r="W1104" s="42">
        <v>394.22</v>
      </c>
      <c r="X1104" s="42">
        <v>394.22</v>
      </c>
    </row>
    <row r="1105" spans="1:24">
      <c r="A1105" s="27" t="s">
        <v>2154</v>
      </c>
      <c r="B1105" s="28" t="s">
        <v>215</v>
      </c>
      <c r="C1105" s="27" t="s">
        <v>2155</v>
      </c>
      <c r="D1105" s="27" t="s">
        <v>112</v>
      </c>
      <c r="E1105" s="29">
        <v>40169</v>
      </c>
      <c r="F1105" s="27">
        <v>12</v>
      </c>
      <c r="G1105" s="18">
        <v>394.22</v>
      </c>
      <c r="H1105" s="27">
        <f t="shared" si="34"/>
        <v>394.22</v>
      </c>
      <c r="I1105" s="18">
        <v>394.22</v>
      </c>
      <c r="J1105" s="27">
        <v>394.22</v>
      </c>
      <c r="K1105" s="18">
        <f t="shared" si="35"/>
        <v>394.22</v>
      </c>
      <c r="L1105" s="27">
        <v>394.22</v>
      </c>
      <c r="M1105" s="36">
        <v>0</v>
      </c>
      <c r="T1105" s="41">
        <v>0</v>
      </c>
      <c r="U1105" s="41">
        <v>0</v>
      </c>
      <c r="V1105" s="42" t="s">
        <v>113</v>
      </c>
      <c r="W1105" s="42">
        <v>394.22</v>
      </c>
      <c r="X1105" s="42">
        <v>394.22</v>
      </c>
    </row>
    <row r="1106" spans="1:24">
      <c r="A1106" s="27" t="s">
        <v>2156</v>
      </c>
      <c r="B1106" s="28" t="s">
        <v>215</v>
      </c>
      <c r="C1106" s="27" t="s">
        <v>2157</v>
      </c>
      <c r="D1106" s="27" t="s">
        <v>112</v>
      </c>
      <c r="E1106" s="29">
        <v>40169</v>
      </c>
      <c r="F1106" s="27">
        <v>12</v>
      </c>
      <c r="G1106" s="18">
        <v>394.22</v>
      </c>
      <c r="H1106" s="27">
        <f t="shared" si="34"/>
        <v>394.22</v>
      </c>
      <c r="I1106" s="18">
        <v>394.22</v>
      </c>
      <c r="J1106" s="27">
        <v>394.22</v>
      </c>
      <c r="K1106" s="18">
        <f t="shared" si="35"/>
        <v>394.22</v>
      </c>
      <c r="L1106" s="27">
        <v>394.22</v>
      </c>
      <c r="M1106" s="36">
        <v>0</v>
      </c>
      <c r="T1106" s="41">
        <v>0</v>
      </c>
      <c r="U1106" s="41">
        <v>0</v>
      </c>
      <c r="V1106" s="42" t="s">
        <v>113</v>
      </c>
      <c r="W1106" s="42">
        <v>394.22</v>
      </c>
      <c r="X1106" s="42">
        <v>394.22</v>
      </c>
    </row>
    <row r="1107" spans="1:24">
      <c r="A1107" s="27" t="s">
        <v>2158</v>
      </c>
      <c r="B1107" s="28" t="s">
        <v>215</v>
      </c>
      <c r="C1107" s="27" t="s">
        <v>2159</v>
      </c>
      <c r="D1107" s="27" t="s">
        <v>112</v>
      </c>
      <c r="E1107" s="29">
        <v>40169</v>
      </c>
      <c r="F1107" s="27">
        <v>12</v>
      </c>
      <c r="G1107" s="18">
        <v>394.22</v>
      </c>
      <c r="H1107" s="27">
        <f t="shared" si="34"/>
        <v>394.22</v>
      </c>
      <c r="I1107" s="18">
        <v>394.22</v>
      </c>
      <c r="J1107" s="27">
        <v>394.22</v>
      </c>
      <c r="K1107" s="18">
        <f t="shared" si="35"/>
        <v>394.22</v>
      </c>
      <c r="L1107" s="27">
        <v>394.22</v>
      </c>
      <c r="M1107" s="36">
        <v>0</v>
      </c>
      <c r="T1107" s="41">
        <v>0</v>
      </c>
      <c r="U1107" s="41">
        <v>0</v>
      </c>
      <c r="V1107" s="42" t="s">
        <v>113</v>
      </c>
      <c r="W1107" s="42">
        <v>394.22</v>
      </c>
      <c r="X1107" s="42">
        <v>394.22</v>
      </c>
    </row>
    <row r="1108" spans="1:24">
      <c r="A1108" s="27" t="s">
        <v>2160</v>
      </c>
      <c r="B1108" s="28" t="s">
        <v>215</v>
      </c>
      <c r="C1108" s="27" t="s">
        <v>2161</v>
      </c>
      <c r="D1108" s="27" t="s">
        <v>230</v>
      </c>
      <c r="E1108" s="29">
        <v>40169</v>
      </c>
      <c r="F1108" s="27">
        <v>12</v>
      </c>
      <c r="G1108" s="18">
        <v>394.22</v>
      </c>
      <c r="H1108" s="27">
        <f t="shared" si="34"/>
        <v>394.22</v>
      </c>
      <c r="I1108" s="18">
        <v>394.22</v>
      </c>
      <c r="J1108" s="27">
        <v>394.22</v>
      </c>
      <c r="K1108" s="18">
        <f t="shared" si="35"/>
        <v>394.22</v>
      </c>
      <c r="L1108" s="27">
        <v>394.22</v>
      </c>
      <c r="M1108" s="36">
        <v>0</v>
      </c>
      <c r="T1108" s="41">
        <v>0</v>
      </c>
      <c r="U1108" s="41">
        <v>0</v>
      </c>
      <c r="V1108" s="42" t="s">
        <v>113</v>
      </c>
      <c r="W1108" s="42">
        <v>394.22</v>
      </c>
      <c r="X1108" s="42">
        <v>394.22</v>
      </c>
    </row>
    <row r="1109" spans="1:24">
      <c r="A1109" s="27" t="s">
        <v>2162</v>
      </c>
      <c r="B1109" s="28" t="s">
        <v>215</v>
      </c>
      <c r="C1109" s="27" t="s">
        <v>2163</v>
      </c>
      <c r="D1109" s="27" t="s">
        <v>230</v>
      </c>
      <c r="E1109" s="29">
        <v>40169</v>
      </c>
      <c r="F1109" s="27">
        <v>12</v>
      </c>
      <c r="G1109" s="18">
        <v>394.22</v>
      </c>
      <c r="H1109" s="27">
        <f t="shared" si="34"/>
        <v>394.22</v>
      </c>
      <c r="I1109" s="18">
        <v>394.22</v>
      </c>
      <c r="J1109" s="27">
        <v>394.22</v>
      </c>
      <c r="K1109" s="18">
        <f t="shared" si="35"/>
        <v>394.22</v>
      </c>
      <c r="L1109" s="27">
        <v>394.22</v>
      </c>
      <c r="M1109" s="36">
        <v>0</v>
      </c>
      <c r="T1109" s="41">
        <v>0</v>
      </c>
      <c r="U1109" s="41">
        <v>0</v>
      </c>
      <c r="V1109" s="42" t="s">
        <v>113</v>
      </c>
      <c r="W1109" s="42">
        <v>394.22</v>
      </c>
      <c r="X1109" s="42">
        <v>394.22</v>
      </c>
    </row>
    <row r="1110" spans="1:24">
      <c r="A1110" s="27" t="s">
        <v>2164</v>
      </c>
      <c r="B1110" s="28" t="s">
        <v>215</v>
      </c>
      <c r="C1110" s="27" t="s">
        <v>2165</v>
      </c>
      <c r="D1110" s="27" t="s">
        <v>230</v>
      </c>
      <c r="E1110" s="29">
        <v>40169</v>
      </c>
      <c r="F1110" s="27">
        <v>12</v>
      </c>
      <c r="G1110" s="18">
        <v>394.22</v>
      </c>
      <c r="H1110" s="27">
        <f t="shared" si="34"/>
        <v>394.22</v>
      </c>
      <c r="I1110" s="18">
        <v>394.22</v>
      </c>
      <c r="J1110" s="27">
        <v>394.22</v>
      </c>
      <c r="K1110" s="18">
        <f t="shared" si="35"/>
        <v>394.22</v>
      </c>
      <c r="L1110" s="27">
        <v>394.22</v>
      </c>
      <c r="M1110" s="36">
        <v>0</v>
      </c>
      <c r="T1110" s="41">
        <v>0</v>
      </c>
      <c r="U1110" s="41">
        <v>0</v>
      </c>
      <c r="V1110" s="42" t="s">
        <v>113</v>
      </c>
      <c r="W1110" s="42">
        <v>394.22</v>
      </c>
      <c r="X1110" s="42">
        <v>394.22</v>
      </c>
    </row>
    <row r="1111" spans="1:24">
      <c r="A1111" s="27" t="s">
        <v>2166</v>
      </c>
      <c r="B1111" s="28" t="s">
        <v>215</v>
      </c>
      <c r="C1111" s="27" t="s">
        <v>2167</v>
      </c>
      <c r="D1111" s="27" t="s">
        <v>230</v>
      </c>
      <c r="E1111" s="29">
        <v>40169</v>
      </c>
      <c r="F1111" s="27">
        <v>12</v>
      </c>
      <c r="G1111" s="18">
        <v>788.48</v>
      </c>
      <c r="H1111" s="27">
        <f t="shared" si="34"/>
        <v>788.48</v>
      </c>
      <c r="I1111" s="18">
        <v>788.48</v>
      </c>
      <c r="J1111" s="27">
        <v>788.48</v>
      </c>
      <c r="K1111" s="18">
        <f t="shared" si="35"/>
        <v>788.48</v>
      </c>
      <c r="L1111" s="27">
        <v>788.48</v>
      </c>
      <c r="M1111" s="36">
        <v>0</v>
      </c>
      <c r="T1111" s="41">
        <v>0</v>
      </c>
      <c r="U1111" s="41">
        <v>0</v>
      </c>
      <c r="V1111" s="42" t="s">
        <v>113</v>
      </c>
      <c r="W1111" s="42">
        <v>788.48</v>
      </c>
      <c r="X1111" s="42">
        <v>788.48</v>
      </c>
    </row>
    <row r="1112" spans="1:24">
      <c r="A1112" s="27" t="s">
        <v>2168</v>
      </c>
      <c r="B1112" s="28" t="s">
        <v>215</v>
      </c>
      <c r="C1112" s="27" t="s">
        <v>2169</v>
      </c>
      <c r="D1112" s="27" t="s">
        <v>112</v>
      </c>
      <c r="E1112" s="29">
        <v>40169</v>
      </c>
      <c r="F1112" s="27">
        <v>15</v>
      </c>
      <c r="G1112" s="18">
        <v>8323.94</v>
      </c>
      <c r="H1112" s="27">
        <f t="shared" si="34"/>
        <v>8323.94</v>
      </c>
      <c r="I1112" s="18">
        <v>7907.73</v>
      </c>
      <c r="J1112" s="27">
        <v>8323.94</v>
      </c>
      <c r="K1112" s="18">
        <f t="shared" si="35"/>
        <v>8323.94</v>
      </c>
      <c r="L1112" s="27">
        <v>7907.73</v>
      </c>
      <c r="M1112" s="36">
        <v>0</v>
      </c>
      <c r="T1112" s="41">
        <v>0</v>
      </c>
      <c r="U1112" s="41">
        <v>0</v>
      </c>
      <c r="V1112" s="42" t="s">
        <v>113</v>
      </c>
      <c r="W1112" s="42">
        <v>8323.94</v>
      </c>
      <c r="X1112" s="42">
        <v>8323.94</v>
      </c>
    </row>
    <row r="1113" spans="1:24">
      <c r="A1113" s="27" t="s">
        <v>2170</v>
      </c>
      <c r="B1113" s="28" t="s">
        <v>215</v>
      </c>
      <c r="C1113" s="27" t="s">
        <v>2171</v>
      </c>
      <c r="D1113" s="27" t="s">
        <v>112</v>
      </c>
      <c r="E1113" s="29">
        <v>40169</v>
      </c>
      <c r="F1113" s="27">
        <v>12</v>
      </c>
      <c r="G1113" s="18">
        <v>3889.01</v>
      </c>
      <c r="H1113" s="27">
        <f t="shared" si="34"/>
        <v>3889.01</v>
      </c>
      <c r="I1113" s="18">
        <v>3889.01</v>
      </c>
      <c r="J1113" s="27">
        <v>3889.01</v>
      </c>
      <c r="K1113" s="18">
        <f t="shared" si="35"/>
        <v>3889.01</v>
      </c>
      <c r="L1113" s="27">
        <v>3889.01</v>
      </c>
      <c r="M1113" s="36">
        <v>0</v>
      </c>
      <c r="T1113" s="41">
        <v>0</v>
      </c>
      <c r="U1113" s="41">
        <v>0</v>
      </c>
      <c r="V1113" s="42" t="s">
        <v>113</v>
      </c>
      <c r="W1113" s="42">
        <v>3889.01</v>
      </c>
      <c r="X1113" s="42">
        <v>3889.01</v>
      </c>
    </row>
    <row r="1114" spans="1:24">
      <c r="A1114" s="27" t="s">
        <v>2172</v>
      </c>
      <c r="B1114" s="28" t="s">
        <v>215</v>
      </c>
      <c r="C1114" s="27" t="s">
        <v>2173</v>
      </c>
      <c r="D1114" s="27" t="s">
        <v>112</v>
      </c>
      <c r="E1114" s="29">
        <v>40169</v>
      </c>
      <c r="F1114" s="27">
        <v>12</v>
      </c>
      <c r="G1114" s="18">
        <v>1414.17</v>
      </c>
      <c r="H1114" s="27">
        <f t="shared" si="34"/>
        <v>1414.17</v>
      </c>
      <c r="I1114" s="18">
        <v>1414.17</v>
      </c>
      <c r="J1114" s="27">
        <v>1414.17</v>
      </c>
      <c r="K1114" s="18">
        <f t="shared" si="35"/>
        <v>1414.17</v>
      </c>
      <c r="L1114" s="27">
        <v>1414.17</v>
      </c>
      <c r="M1114" s="36">
        <v>0</v>
      </c>
      <c r="T1114" s="41">
        <v>0</v>
      </c>
      <c r="U1114" s="41">
        <v>0</v>
      </c>
      <c r="V1114" s="42" t="s">
        <v>113</v>
      </c>
      <c r="W1114" s="42">
        <v>1414.17</v>
      </c>
      <c r="X1114" s="42">
        <v>1414.17</v>
      </c>
    </row>
    <row r="1115" spans="1:24">
      <c r="A1115" s="27" t="s">
        <v>2174</v>
      </c>
      <c r="B1115" s="28" t="s">
        <v>215</v>
      </c>
      <c r="C1115" s="27" t="s">
        <v>2175</v>
      </c>
      <c r="D1115" s="27" t="s">
        <v>112</v>
      </c>
      <c r="E1115" s="29">
        <v>40169</v>
      </c>
      <c r="F1115" s="27">
        <v>12</v>
      </c>
      <c r="G1115" s="18">
        <v>1060.6300000000001</v>
      </c>
      <c r="H1115" s="27">
        <f t="shared" si="34"/>
        <v>1060.6300000000001</v>
      </c>
      <c r="I1115" s="18">
        <v>1060.6300000000001</v>
      </c>
      <c r="J1115" s="27">
        <v>1060.6300000000001</v>
      </c>
      <c r="K1115" s="18">
        <f t="shared" si="35"/>
        <v>1060.6300000000001</v>
      </c>
      <c r="L1115" s="27">
        <v>1060.6300000000001</v>
      </c>
      <c r="M1115" s="36">
        <v>0</v>
      </c>
      <c r="T1115" s="41">
        <v>0</v>
      </c>
      <c r="U1115" s="41">
        <v>0</v>
      </c>
      <c r="V1115" s="42" t="s">
        <v>113</v>
      </c>
      <c r="W1115" s="42">
        <v>1060.6300000000001</v>
      </c>
      <c r="X1115" s="42">
        <v>1060.6300000000001</v>
      </c>
    </row>
    <row r="1116" spans="1:24">
      <c r="A1116" s="27" t="s">
        <v>2176</v>
      </c>
      <c r="B1116" s="28" t="s">
        <v>215</v>
      </c>
      <c r="C1116" s="27" t="s">
        <v>2177</v>
      </c>
      <c r="D1116" s="27" t="s">
        <v>112</v>
      </c>
      <c r="E1116" s="29">
        <v>40169</v>
      </c>
      <c r="F1116" s="27">
        <v>12</v>
      </c>
      <c r="G1116" s="18">
        <v>1767.72</v>
      </c>
      <c r="H1116" s="27">
        <f t="shared" si="34"/>
        <v>1767.72</v>
      </c>
      <c r="I1116" s="18">
        <v>1767.72</v>
      </c>
      <c r="J1116" s="27">
        <v>1767.72</v>
      </c>
      <c r="K1116" s="18">
        <f t="shared" si="35"/>
        <v>1767.72</v>
      </c>
      <c r="L1116" s="27">
        <v>1767.72</v>
      </c>
      <c r="M1116" s="36">
        <v>0</v>
      </c>
      <c r="T1116" s="41">
        <v>0</v>
      </c>
      <c r="U1116" s="41">
        <v>0</v>
      </c>
      <c r="V1116" s="42" t="s">
        <v>113</v>
      </c>
      <c r="W1116" s="42">
        <v>1767.72</v>
      </c>
      <c r="X1116" s="42">
        <v>1767.72</v>
      </c>
    </row>
    <row r="1117" spans="1:24">
      <c r="A1117" s="27" t="s">
        <v>2178</v>
      </c>
      <c r="B1117" s="28" t="s">
        <v>215</v>
      </c>
      <c r="C1117" s="27" t="s">
        <v>2179</v>
      </c>
      <c r="D1117" s="27" t="s">
        <v>112</v>
      </c>
      <c r="E1117" s="29">
        <v>40169</v>
      </c>
      <c r="F1117" s="27">
        <v>15</v>
      </c>
      <c r="G1117" s="18">
        <v>44879</v>
      </c>
      <c r="H1117" s="27">
        <f t="shared" si="34"/>
        <v>0</v>
      </c>
      <c r="I1117" s="18">
        <v>38271.61</v>
      </c>
      <c r="J1117" s="27">
        <v>44879</v>
      </c>
      <c r="K1117" s="18">
        <f t="shared" si="35"/>
        <v>0</v>
      </c>
      <c r="L1117" s="27">
        <v>39362.47</v>
      </c>
      <c r="M1117" s="36">
        <v>1090.8599999999999</v>
      </c>
      <c r="T1117" s="41">
        <v>0</v>
      </c>
      <c r="U1117" s="41">
        <v>0</v>
      </c>
      <c r="V1117" s="42" t="s">
        <v>113</v>
      </c>
      <c r="W1117" s="42">
        <v>0</v>
      </c>
      <c r="X1117" s="42">
        <v>0</v>
      </c>
    </row>
    <row r="1118" spans="1:24">
      <c r="A1118" s="27" t="s">
        <v>2180</v>
      </c>
      <c r="B1118" s="28" t="s">
        <v>215</v>
      </c>
      <c r="C1118" s="27" t="s">
        <v>1834</v>
      </c>
      <c r="D1118" s="27" t="s">
        <v>230</v>
      </c>
      <c r="E1118" s="29">
        <v>40169</v>
      </c>
      <c r="F1118" s="27">
        <v>15</v>
      </c>
      <c r="G1118" s="18">
        <v>12000</v>
      </c>
      <c r="H1118" s="27">
        <f t="shared" si="34"/>
        <v>0</v>
      </c>
      <c r="I1118" s="18">
        <v>9228.57</v>
      </c>
      <c r="J1118" s="27">
        <v>12000</v>
      </c>
      <c r="K1118" s="18">
        <f t="shared" si="35"/>
        <v>0</v>
      </c>
      <c r="L1118" s="27">
        <v>9771.43</v>
      </c>
      <c r="M1118" s="36">
        <v>542.86</v>
      </c>
      <c r="T1118" s="41">
        <v>0</v>
      </c>
      <c r="U1118" s="41">
        <v>0</v>
      </c>
      <c r="V1118" s="42" t="s">
        <v>113</v>
      </c>
      <c r="W1118" s="42">
        <v>0</v>
      </c>
      <c r="X1118" s="42">
        <v>0</v>
      </c>
    </row>
    <row r="1119" spans="1:24">
      <c r="A1119" s="27" t="s">
        <v>2181</v>
      </c>
      <c r="B1119" s="28" t="s">
        <v>215</v>
      </c>
      <c r="C1119" s="27" t="s">
        <v>2182</v>
      </c>
      <c r="D1119" s="27" t="s">
        <v>220</v>
      </c>
      <c r="E1119" s="29">
        <v>40079</v>
      </c>
      <c r="F1119" s="27">
        <v>15</v>
      </c>
      <c r="G1119" s="18">
        <v>111399.93</v>
      </c>
      <c r="H1119" s="27">
        <f t="shared" si="34"/>
        <v>111399.93</v>
      </c>
      <c r="I1119" s="18">
        <v>105829.93</v>
      </c>
      <c r="J1119" s="27">
        <v>111399.93</v>
      </c>
      <c r="K1119" s="18">
        <f t="shared" si="35"/>
        <v>111399.93</v>
      </c>
      <c r="L1119" s="27">
        <v>105829.93</v>
      </c>
      <c r="M1119" s="36">
        <v>0</v>
      </c>
      <c r="T1119" s="41">
        <v>0</v>
      </c>
      <c r="U1119" s="41">
        <v>0</v>
      </c>
      <c r="V1119" s="42" t="s">
        <v>113</v>
      </c>
      <c r="W1119" s="42">
        <v>111399.93</v>
      </c>
      <c r="X1119" s="42">
        <v>111399.93</v>
      </c>
    </row>
    <row r="1120" spans="1:24">
      <c r="A1120" s="27" t="s">
        <v>2183</v>
      </c>
      <c r="B1120" s="28" t="s">
        <v>215</v>
      </c>
      <c r="C1120" s="27" t="s">
        <v>2184</v>
      </c>
      <c r="D1120" s="27" t="s">
        <v>220</v>
      </c>
      <c r="E1120" s="29">
        <v>40079</v>
      </c>
      <c r="F1120" s="27">
        <v>15</v>
      </c>
      <c r="G1120" s="18">
        <v>146121.65</v>
      </c>
      <c r="H1120" s="27">
        <f t="shared" si="34"/>
        <v>146121.65</v>
      </c>
      <c r="I1120" s="18">
        <v>138815.57</v>
      </c>
      <c r="J1120" s="27">
        <v>146121.65</v>
      </c>
      <c r="K1120" s="18">
        <f t="shared" si="35"/>
        <v>146121.65</v>
      </c>
      <c r="L1120" s="27">
        <v>138815.57</v>
      </c>
      <c r="M1120" s="36">
        <v>0</v>
      </c>
      <c r="T1120" s="41">
        <v>0</v>
      </c>
      <c r="U1120" s="41">
        <v>0</v>
      </c>
      <c r="V1120" s="42" t="s">
        <v>113</v>
      </c>
      <c r="W1120" s="42">
        <v>146121.65</v>
      </c>
      <c r="X1120" s="42">
        <v>146121.65</v>
      </c>
    </row>
    <row r="1121" spans="1:24">
      <c r="A1121" s="27" t="s">
        <v>2185</v>
      </c>
      <c r="B1121" s="28" t="s">
        <v>215</v>
      </c>
      <c r="C1121" s="27" t="s">
        <v>2186</v>
      </c>
      <c r="D1121" s="27" t="s">
        <v>220</v>
      </c>
      <c r="E1121" s="29">
        <v>40288</v>
      </c>
      <c r="F1121" s="27">
        <v>15</v>
      </c>
      <c r="G1121" s="18">
        <v>10400</v>
      </c>
      <c r="H1121" s="27">
        <f t="shared" si="34"/>
        <v>10400</v>
      </c>
      <c r="I1121" s="18">
        <v>9880</v>
      </c>
      <c r="J1121" s="27">
        <v>10400</v>
      </c>
      <c r="K1121" s="18">
        <f t="shared" si="35"/>
        <v>10400</v>
      </c>
      <c r="L1121" s="27">
        <v>9880</v>
      </c>
      <c r="M1121" s="36">
        <v>0</v>
      </c>
      <c r="T1121" s="41">
        <v>0</v>
      </c>
      <c r="U1121" s="41">
        <v>0</v>
      </c>
      <c r="V1121" s="42" t="s">
        <v>113</v>
      </c>
      <c r="W1121" s="42">
        <v>10400</v>
      </c>
      <c r="X1121" s="42">
        <v>10400</v>
      </c>
    </row>
    <row r="1122" spans="1:24">
      <c r="A1122" s="27" t="s">
        <v>2187</v>
      </c>
      <c r="B1122" s="28" t="s">
        <v>215</v>
      </c>
      <c r="C1122" s="27" t="s">
        <v>2188</v>
      </c>
      <c r="D1122" s="27" t="s">
        <v>118</v>
      </c>
      <c r="E1122" s="29">
        <v>40171</v>
      </c>
      <c r="F1122" s="27">
        <v>12</v>
      </c>
      <c r="G1122" s="18">
        <v>2331</v>
      </c>
      <c r="H1122" s="27">
        <f t="shared" si="34"/>
        <v>2331</v>
      </c>
      <c r="I1122" s="18">
        <v>2331</v>
      </c>
      <c r="J1122" s="27">
        <v>2331</v>
      </c>
      <c r="K1122" s="18">
        <f t="shared" si="35"/>
        <v>2331</v>
      </c>
      <c r="L1122" s="27">
        <v>2331</v>
      </c>
      <c r="M1122" s="36">
        <v>0</v>
      </c>
      <c r="T1122" s="41">
        <v>0</v>
      </c>
      <c r="U1122" s="41">
        <v>0</v>
      </c>
      <c r="V1122" s="42" t="s">
        <v>113</v>
      </c>
      <c r="W1122" s="42">
        <v>2331</v>
      </c>
      <c r="X1122" s="42">
        <v>2331</v>
      </c>
    </row>
    <row r="1123" spans="1:24">
      <c r="A1123" s="27" t="s">
        <v>2189</v>
      </c>
      <c r="B1123" s="28" t="s">
        <v>215</v>
      </c>
      <c r="C1123" s="27" t="s">
        <v>2190</v>
      </c>
      <c r="D1123" s="27" t="s">
        <v>118</v>
      </c>
      <c r="E1123" s="29">
        <v>40511</v>
      </c>
      <c r="F1123" s="27">
        <v>15</v>
      </c>
      <c r="G1123" s="18">
        <v>325650.33</v>
      </c>
      <c r="H1123" s="27">
        <f t="shared" si="34"/>
        <v>0</v>
      </c>
      <c r="I1123" s="18">
        <v>218883.1</v>
      </c>
      <c r="J1123" s="27">
        <v>325650.33</v>
      </c>
      <c r="K1123" s="18">
        <f t="shared" si="35"/>
        <v>0</v>
      </c>
      <c r="L1123" s="27">
        <v>233360.65</v>
      </c>
      <c r="M1123" s="36">
        <v>14477.55</v>
      </c>
      <c r="T1123" s="41">
        <v>0</v>
      </c>
      <c r="U1123" s="41">
        <v>0</v>
      </c>
      <c r="V1123" s="42" t="s">
        <v>113</v>
      </c>
      <c r="W1123" s="42">
        <v>0</v>
      </c>
      <c r="X1123" s="42">
        <v>0</v>
      </c>
    </row>
    <row r="1124" spans="1:24">
      <c r="A1124" s="27" t="s">
        <v>2191</v>
      </c>
      <c r="B1124" s="28" t="s">
        <v>215</v>
      </c>
      <c r="C1124" s="27" t="s">
        <v>2192</v>
      </c>
      <c r="D1124" s="27" t="s">
        <v>118</v>
      </c>
      <c r="E1124" s="29">
        <v>40511</v>
      </c>
      <c r="F1124" s="27">
        <v>15</v>
      </c>
      <c r="G1124" s="18">
        <v>45390.92</v>
      </c>
      <c r="H1124" s="27">
        <f t="shared" si="34"/>
        <v>0</v>
      </c>
      <c r="I1124" s="18">
        <v>30746.52</v>
      </c>
      <c r="J1124" s="27">
        <v>45390.92</v>
      </c>
      <c r="K1124" s="18">
        <f t="shared" si="35"/>
        <v>0</v>
      </c>
      <c r="L1124" s="27">
        <v>32726.5</v>
      </c>
      <c r="M1124" s="36">
        <v>1979.98</v>
      </c>
      <c r="T1124" s="41">
        <v>0</v>
      </c>
      <c r="U1124" s="41">
        <v>0</v>
      </c>
      <c r="V1124" s="42" t="s">
        <v>113</v>
      </c>
      <c r="W1124" s="42">
        <v>0</v>
      </c>
      <c r="X1124" s="42">
        <v>0</v>
      </c>
    </row>
    <row r="1125" spans="1:24">
      <c r="A1125" s="27" t="s">
        <v>2193</v>
      </c>
      <c r="B1125" s="28" t="s">
        <v>215</v>
      </c>
      <c r="C1125" s="27" t="s">
        <v>2194</v>
      </c>
      <c r="D1125" s="27" t="s">
        <v>118</v>
      </c>
      <c r="E1125" s="29">
        <v>40511</v>
      </c>
      <c r="F1125" s="27">
        <v>15</v>
      </c>
      <c r="G1125" s="18">
        <v>36547.949999999997</v>
      </c>
      <c r="H1125" s="27">
        <f t="shared" si="34"/>
        <v>0</v>
      </c>
      <c r="I1125" s="18">
        <v>24756.53</v>
      </c>
      <c r="J1125" s="27">
        <v>36547.949999999997</v>
      </c>
      <c r="K1125" s="18">
        <f t="shared" si="35"/>
        <v>0</v>
      </c>
      <c r="L1125" s="27">
        <v>26350.77</v>
      </c>
      <c r="M1125" s="36">
        <v>1594.24</v>
      </c>
      <c r="T1125" s="41">
        <v>0</v>
      </c>
      <c r="U1125" s="41">
        <v>0</v>
      </c>
      <c r="V1125" s="42" t="s">
        <v>113</v>
      </c>
      <c r="W1125" s="42">
        <v>0</v>
      </c>
      <c r="X1125" s="42">
        <v>0</v>
      </c>
    </row>
    <row r="1126" spans="1:24">
      <c r="A1126" s="27" t="s">
        <v>2195</v>
      </c>
      <c r="B1126" s="28" t="s">
        <v>215</v>
      </c>
      <c r="C1126" s="27" t="s">
        <v>2196</v>
      </c>
      <c r="D1126" s="27" t="s">
        <v>118</v>
      </c>
      <c r="E1126" s="29">
        <v>40511</v>
      </c>
      <c r="F1126" s="27">
        <v>15</v>
      </c>
      <c r="G1126" s="18">
        <v>41713.800000000003</v>
      </c>
      <c r="H1126" s="27">
        <f t="shared" si="34"/>
        <v>0</v>
      </c>
      <c r="I1126" s="18">
        <v>28255.74</v>
      </c>
      <c r="J1126" s="27">
        <v>41713.800000000003</v>
      </c>
      <c r="K1126" s="18">
        <f t="shared" si="35"/>
        <v>0</v>
      </c>
      <c r="L1126" s="27">
        <v>30075.32</v>
      </c>
      <c r="M1126" s="36">
        <v>1819.58</v>
      </c>
      <c r="T1126" s="41">
        <v>0</v>
      </c>
      <c r="U1126" s="41">
        <v>0</v>
      </c>
      <c r="V1126" s="42" t="s">
        <v>113</v>
      </c>
      <c r="W1126" s="42">
        <v>0</v>
      </c>
      <c r="X1126" s="42">
        <v>0</v>
      </c>
    </row>
    <row r="1127" spans="1:24">
      <c r="A1127" s="27" t="s">
        <v>2197</v>
      </c>
      <c r="B1127" s="28" t="s">
        <v>215</v>
      </c>
      <c r="C1127" s="27" t="s">
        <v>2198</v>
      </c>
      <c r="D1127" s="27" t="s">
        <v>118</v>
      </c>
      <c r="E1127" s="29">
        <v>40389</v>
      </c>
      <c r="F1127" s="27">
        <v>15</v>
      </c>
      <c r="G1127" s="18">
        <v>1217687.92</v>
      </c>
      <c r="H1127" s="27">
        <f t="shared" si="34"/>
        <v>0</v>
      </c>
      <c r="I1127" s="18">
        <v>793181.44</v>
      </c>
      <c r="J1127" s="27">
        <v>1217687.92</v>
      </c>
      <c r="K1127" s="18">
        <f t="shared" si="35"/>
        <v>0</v>
      </c>
      <c r="L1127" s="27">
        <v>848415.17</v>
      </c>
      <c r="M1127" s="36">
        <v>55233.73</v>
      </c>
      <c r="T1127" s="41">
        <v>0</v>
      </c>
      <c r="U1127" s="41">
        <v>0</v>
      </c>
      <c r="V1127" s="42" t="s">
        <v>113</v>
      </c>
      <c r="W1127" s="42">
        <v>0</v>
      </c>
      <c r="X1127" s="42">
        <v>0</v>
      </c>
    </row>
    <row r="1128" spans="1:24">
      <c r="A1128" s="27" t="s">
        <v>2199</v>
      </c>
      <c r="B1128" s="28" t="s">
        <v>215</v>
      </c>
      <c r="C1128" s="27" t="s">
        <v>2200</v>
      </c>
      <c r="D1128" s="27" t="s">
        <v>230</v>
      </c>
      <c r="E1128" s="29">
        <v>40543</v>
      </c>
      <c r="F1128" s="27">
        <v>15</v>
      </c>
      <c r="G1128" s="18">
        <v>18903.03</v>
      </c>
      <c r="H1128" s="27">
        <f t="shared" si="34"/>
        <v>0</v>
      </c>
      <c r="I1128" s="18">
        <v>11672.62</v>
      </c>
      <c r="J1128" s="27">
        <v>18903.03</v>
      </c>
      <c r="K1128" s="18">
        <f t="shared" si="35"/>
        <v>0</v>
      </c>
      <c r="L1128" s="27">
        <v>12570.51</v>
      </c>
      <c r="M1128" s="36">
        <v>897.89</v>
      </c>
      <c r="T1128" s="41">
        <v>0</v>
      </c>
      <c r="U1128" s="41">
        <v>0</v>
      </c>
      <c r="V1128" s="42" t="s">
        <v>113</v>
      </c>
      <c r="W1128" s="42">
        <v>0</v>
      </c>
      <c r="X1128" s="42">
        <v>0</v>
      </c>
    </row>
    <row r="1129" spans="1:24">
      <c r="A1129" s="27" t="s">
        <v>2201</v>
      </c>
      <c r="B1129" s="28" t="s">
        <v>215</v>
      </c>
      <c r="C1129" s="27" t="s">
        <v>2202</v>
      </c>
      <c r="D1129" s="27" t="s">
        <v>230</v>
      </c>
      <c r="E1129" s="29">
        <v>40543</v>
      </c>
      <c r="F1129" s="27">
        <v>15</v>
      </c>
      <c r="G1129" s="18">
        <v>37806.06</v>
      </c>
      <c r="H1129" s="27">
        <f t="shared" si="34"/>
        <v>0</v>
      </c>
      <c r="I1129" s="18">
        <v>23345.23</v>
      </c>
      <c r="J1129" s="27">
        <v>37806.06</v>
      </c>
      <c r="K1129" s="18">
        <f t="shared" si="35"/>
        <v>0</v>
      </c>
      <c r="L1129" s="27">
        <v>25141.02</v>
      </c>
      <c r="M1129" s="36">
        <v>1795.79</v>
      </c>
      <c r="T1129" s="41">
        <v>0</v>
      </c>
      <c r="U1129" s="41">
        <v>0</v>
      </c>
      <c r="V1129" s="42" t="s">
        <v>113</v>
      </c>
      <c r="W1129" s="42">
        <v>0</v>
      </c>
      <c r="X1129" s="42">
        <v>0</v>
      </c>
    </row>
    <row r="1130" spans="1:24">
      <c r="A1130" s="27" t="s">
        <v>2203</v>
      </c>
      <c r="B1130" s="28" t="s">
        <v>215</v>
      </c>
      <c r="C1130" s="27" t="s">
        <v>2204</v>
      </c>
      <c r="D1130" s="27" t="s">
        <v>230</v>
      </c>
      <c r="E1130" s="29">
        <v>40543</v>
      </c>
      <c r="F1130" s="27">
        <v>15</v>
      </c>
      <c r="G1130" s="18">
        <v>37806.06</v>
      </c>
      <c r="H1130" s="27">
        <f t="shared" si="34"/>
        <v>0</v>
      </c>
      <c r="I1130" s="18">
        <v>23345.23</v>
      </c>
      <c r="J1130" s="27">
        <v>37806.06</v>
      </c>
      <c r="K1130" s="18">
        <f t="shared" si="35"/>
        <v>0</v>
      </c>
      <c r="L1130" s="27">
        <v>25141.02</v>
      </c>
      <c r="M1130" s="36">
        <v>1795.79</v>
      </c>
      <c r="T1130" s="41">
        <v>0</v>
      </c>
      <c r="U1130" s="41">
        <v>0</v>
      </c>
      <c r="V1130" s="42" t="s">
        <v>113</v>
      </c>
      <c r="W1130" s="42">
        <v>0</v>
      </c>
      <c r="X1130" s="42">
        <v>0</v>
      </c>
    </row>
    <row r="1131" spans="1:24">
      <c r="A1131" s="27" t="s">
        <v>2205</v>
      </c>
      <c r="B1131" s="28" t="s">
        <v>215</v>
      </c>
      <c r="C1131" s="27" t="s">
        <v>2206</v>
      </c>
      <c r="D1131" s="27" t="s">
        <v>230</v>
      </c>
      <c r="E1131" s="29">
        <v>40543</v>
      </c>
      <c r="F1131" s="27">
        <v>15</v>
      </c>
      <c r="G1131" s="18">
        <v>37806.06</v>
      </c>
      <c r="H1131" s="27">
        <f t="shared" si="34"/>
        <v>0</v>
      </c>
      <c r="I1131" s="18">
        <v>23345.23</v>
      </c>
      <c r="J1131" s="27">
        <v>37806.06</v>
      </c>
      <c r="K1131" s="18">
        <f t="shared" si="35"/>
        <v>0</v>
      </c>
      <c r="L1131" s="27">
        <v>25141.02</v>
      </c>
      <c r="M1131" s="36">
        <v>1795.79</v>
      </c>
      <c r="T1131" s="41">
        <v>0</v>
      </c>
      <c r="U1131" s="41">
        <v>0</v>
      </c>
      <c r="V1131" s="42" t="s">
        <v>113</v>
      </c>
      <c r="W1131" s="42">
        <v>0</v>
      </c>
      <c r="X1131" s="42">
        <v>0</v>
      </c>
    </row>
    <row r="1132" spans="1:24">
      <c r="A1132" s="27" t="s">
        <v>2207</v>
      </c>
      <c r="B1132" s="28" t="s">
        <v>215</v>
      </c>
      <c r="C1132" s="27" t="s">
        <v>2208</v>
      </c>
      <c r="D1132" s="27" t="s">
        <v>230</v>
      </c>
      <c r="E1132" s="29">
        <v>40543</v>
      </c>
      <c r="F1132" s="27">
        <v>15</v>
      </c>
      <c r="G1132" s="18">
        <v>37806.06</v>
      </c>
      <c r="H1132" s="27">
        <f t="shared" si="34"/>
        <v>0</v>
      </c>
      <c r="I1132" s="18">
        <v>23345.23</v>
      </c>
      <c r="J1132" s="27">
        <v>37806.06</v>
      </c>
      <c r="K1132" s="18">
        <f t="shared" si="35"/>
        <v>0</v>
      </c>
      <c r="L1132" s="27">
        <v>25141.02</v>
      </c>
      <c r="M1132" s="36">
        <v>1795.79</v>
      </c>
      <c r="T1132" s="41">
        <v>0</v>
      </c>
      <c r="U1132" s="41">
        <v>0</v>
      </c>
      <c r="V1132" s="42" t="s">
        <v>113</v>
      </c>
      <c r="W1132" s="42">
        <v>0</v>
      </c>
      <c r="X1132" s="42">
        <v>0</v>
      </c>
    </row>
    <row r="1133" spans="1:24">
      <c r="A1133" s="27" t="s">
        <v>2209</v>
      </c>
      <c r="B1133" s="28" t="s">
        <v>215</v>
      </c>
      <c r="C1133" s="27" t="s">
        <v>1183</v>
      </c>
      <c r="D1133" s="27" t="s">
        <v>112</v>
      </c>
      <c r="E1133" s="29">
        <v>40543</v>
      </c>
      <c r="F1133" s="27">
        <v>15</v>
      </c>
      <c r="G1133" s="18">
        <v>37806.06</v>
      </c>
      <c r="H1133" s="27">
        <f t="shared" si="34"/>
        <v>0</v>
      </c>
      <c r="I1133" s="18">
        <v>23345.23</v>
      </c>
      <c r="J1133" s="27">
        <v>37806.06</v>
      </c>
      <c r="K1133" s="18">
        <f t="shared" si="35"/>
        <v>0</v>
      </c>
      <c r="L1133" s="27">
        <v>25141.02</v>
      </c>
      <c r="M1133" s="36">
        <v>1795.79</v>
      </c>
      <c r="T1133" s="41">
        <v>0</v>
      </c>
      <c r="U1133" s="41">
        <v>0</v>
      </c>
      <c r="V1133" s="42" t="s">
        <v>113</v>
      </c>
      <c r="W1133" s="42">
        <v>0</v>
      </c>
      <c r="X1133" s="42">
        <v>0</v>
      </c>
    </row>
    <row r="1134" spans="1:24">
      <c r="A1134" s="27" t="s">
        <v>2210</v>
      </c>
      <c r="B1134" s="28" t="s">
        <v>215</v>
      </c>
      <c r="C1134" s="27" t="s">
        <v>2211</v>
      </c>
      <c r="D1134" s="27" t="s">
        <v>112</v>
      </c>
      <c r="E1134" s="29">
        <v>40543</v>
      </c>
      <c r="F1134" s="27">
        <v>15</v>
      </c>
      <c r="G1134" s="18">
        <v>37806.06</v>
      </c>
      <c r="H1134" s="27">
        <f t="shared" si="34"/>
        <v>0</v>
      </c>
      <c r="I1134" s="18">
        <v>23345.23</v>
      </c>
      <c r="J1134" s="27">
        <v>37806.06</v>
      </c>
      <c r="K1134" s="18">
        <f t="shared" si="35"/>
        <v>0</v>
      </c>
      <c r="L1134" s="27">
        <v>25141.02</v>
      </c>
      <c r="M1134" s="36">
        <v>1795.79</v>
      </c>
      <c r="T1134" s="41">
        <v>0</v>
      </c>
      <c r="U1134" s="41">
        <v>0</v>
      </c>
      <c r="V1134" s="42" t="s">
        <v>113</v>
      </c>
      <c r="W1134" s="42">
        <v>0</v>
      </c>
      <c r="X1134" s="42">
        <v>0</v>
      </c>
    </row>
    <row r="1135" spans="1:24">
      <c r="A1135" s="27" t="s">
        <v>2212</v>
      </c>
      <c r="B1135" s="28" t="s">
        <v>215</v>
      </c>
      <c r="C1135" s="27" t="s">
        <v>2213</v>
      </c>
      <c r="D1135" s="27" t="s">
        <v>230</v>
      </c>
      <c r="E1135" s="29">
        <v>40543</v>
      </c>
      <c r="F1135" s="27">
        <v>15</v>
      </c>
      <c r="G1135" s="18">
        <v>137663</v>
      </c>
      <c r="H1135" s="27">
        <f t="shared" si="34"/>
        <v>0</v>
      </c>
      <c r="I1135" s="18">
        <v>85006.92</v>
      </c>
      <c r="J1135" s="27">
        <v>137663</v>
      </c>
      <c r="K1135" s="18">
        <f t="shared" si="35"/>
        <v>0</v>
      </c>
      <c r="L1135" s="27">
        <v>91545.91</v>
      </c>
      <c r="M1135" s="36">
        <v>6538.99</v>
      </c>
      <c r="T1135" s="41">
        <v>0</v>
      </c>
      <c r="U1135" s="41">
        <v>0</v>
      </c>
      <c r="V1135" s="42" t="s">
        <v>113</v>
      </c>
      <c r="W1135" s="42">
        <v>0</v>
      </c>
      <c r="X1135" s="42">
        <v>0</v>
      </c>
    </row>
    <row r="1136" spans="1:24">
      <c r="A1136" s="27" t="s">
        <v>2214</v>
      </c>
      <c r="B1136" s="28" t="s">
        <v>215</v>
      </c>
      <c r="C1136" s="27" t="s">
        <v>2215</v>
      </c>
      <c r="D1136" s="27" t="s">
        <v>230</v>
      </c>
      <c r="E1136" s="29">
        <v>38534</v>
      </c>
      <c r="F1136" s="27">
        <v>15</v>
      </c>
      <c r="G1136" s="18">
        <v>74141.539999999994</v>
      </c>
      <c r="H1136" s="27">
        <f t="shared" si="34"/>
        <v>74141.539999999994</v>
      </c>
      <c r="I1136" s="18">
        <v>70434.460000000006</v>
      </c>
      <c r="J1136" s="27">
        <v>74141.539999999994</v>
      </c>
      <c r="K1136" s="18">
        <f t="shared" si="35"/>
        <v>74141.539999999994</v>
      </c>
      <c r="L1136" s="27">
        <v>70434.460000000006</v>
      </c>
      <c r="M1136" s="36">
        <v>0</v>
      </c>
      <c r="T1136" s="41">
        <v>0</v>
      </c>
      <c r="U1136" s="41">
        <v>0</v>
      </c>
      <c r="V1136" s="42" t="s">
        <v>113</v>
      </c>
      <c r="W1136" s="42">
        <v>74141.539999999994</v>
      </c>
      <c r="X1136" s="42">
        <v>74141.539999999994</v>
      </c>
    </row>
    <row r="1137" spans="1:24">
      <c r="A1137" s="27" t="s">
        <v>2216</v>
      </c>
      <c r="B1137" s="28" t="s">
        <v>215</v>
      </c>
      <c r="C1137" s="27" t="s">
        <v>2217</v>
      </c>
      <c r="D1137" s="27" t="s">
        <v>230</v>
      </c>
      <c r="E1137" s="29">
        <v>38534</v>
      </c>
      <c r="F1137" s="27">
        <v>15</v>
      </c>
      <c r="G1137" s="18">
        <v>74141.539999999994</v>
      </c>
      <c r="H1137" s="27">
        <f t="shared" si="34"/>
        <v>74141.539999999994</v>
      </c>
      <c r="I1137" s="18">
        <v>70434.460000000006</v>
      </c>
      <c r="J1137" s="27">
        <v>74141.539999999994</v>
      </c>
      <c r="K1137" s="18">
        <f t="shared" si="35"/>
        <v>74141.539999999994</v>
      </c>
      <c r="L1137" s="27">
        <v>70434.460000000006</v>
      </c>
      <c r="M1137" s="36">
        <v>0</v>
      </c>
      <c r="T1137" s="41">
        <v>0</v>
      </c>
      <c r="U1137" s="41">
        <v>0</v>
      </c>
      <c r="V1137" s="42" t="s">
        <v>113</v>
      </c>
      <c r="W1137" s="42">
        <v>74141.539999999994</v>
      </c>
      <c r="X1137" s="42">
        <v>74141.539999999994</v>
      </c>
    </row>
    <row r="1138" spans="1:24">
      <c r="A1138" s="27" t="s">
        <v>2218</v>
      </c>
      <c r="B1138" s="28" t="s">
        <v>215</v>
      </c>
      <c r="C1138" s="27" t="s">
        <v>2219</v>
      </c>
      <c r="D1138" s="27" t="s">
        <v>230</v>
      </c>
      <c r="E1138" s="29">
        <v>38534</v>
      </c>
      <c r="F1138" s="27">
        <v>15</v>
      </c>
      <c r="G1138" s="18">
        <v>74141.539999999994</v>
      </c>
      <c r="H1138" s="27">
        <f t="shared" si="34"/>
        <v>74141.539999999994</v>
      </c>
      <c r="I1138" s="18">
        <v>70434.460000000006</v>
      </c>
      <c r="J1138" s="27">
        <v>74141.539999999994</v>
      </c>
      <c r="K1138" s="18">
        <f t="shared" si="35"/>
        <v>74141.539999999994</v>
      </c>
      <c r="L1138" s="27">
        <v>70434.460000000006</v>
      </c>
      <c r="M1138" s="36">
        <v>0</v>
      </c>
      <c r="T1138" s="41">
        <v>0</v>
      </c>
      <c r="U1138" s="41">
        <v>0</v>
      </c>
      <c r="V1138" s="42" t="s">
        <v>113</v>
      </c>
      <c r="W1138" s="42">
        <v>74141.539999999994</v>
      </c>
      <c r="X1138" s="42">
        <v>74141.539999999994</v>
      </c>
    </row>
    <row r="1139" spans="1:24">
      <c r="A1139" s="27" t="s">
        <v>2220</v>
      </c>
      <c r="B1139" s="28" t="s">
        <v>215</v>
      </c>
      <c r="C1139" s="27" t="s">
        <v>2221</v>
      </c>
      <c r="D1139" s="27" t="s">
        <v>230</v>
      </c>
      <c r="E1139" s="29">
        <v>38534</v>
      </c>
      <c r="F1139" s="27">
        <v>15</v>
      </c>
      <c r="G1139" s="18">
        <v>30102.59</v>
      </c>
      <c r="H1139" s="27">
        <f t="shared" si="34"/>
        <v>30102.59</v>
      </c>
      <c r="I1139" s="18">
        <v>28597.46</v>
      </c>
      <c r="J1139" s="27">
        <v>30102.59</v>
      </c>
      <c r="K1139" s="18">
        <f t="shared" si="35"/>
        <v>30102.59</v>
      </c>
      <c r="L1139" s="27">
        <v>28597.46</v>
      </c>
      <c r="M1139" s="36">
        <v>0</v>
      </c>
      <c r="T1139" s="41">
        <v>0</v>
      </c>
      <c r="U1139" s="41">
        <v>0</v>
      </c>
      <c r="V1139" s="42" t="s">
        <v>113</v>
      </c>
      <c r="W1139" s="42">
        <v>30102.59</v>
      </c>
      <c r="X1139" s="42">
        <v>30102.59</v>
      </c>
    </row>
    <row r="1140" spans="1:24">
      <c r="A1140" s="27" t="s">
        <v>2222</v>
      </c>
      <c r="B1140" s="28" t="s">
        <v>215</v>
      </c>
      <c r="C1140" s="27" t="s">
        <v>2223</v>
      </c>
      <c r="D1140" s="27" t="s">
        <v>230</v>
      </c>
      <c r="E1140" s="29">
        <v>38534</v>
      </c>
      <c r="F1140" s="27">
        <v>15</v>
      </c>
      <c r="G1140" s="18">
        <v>30102.59</v>
      </c>
      <c r="H1140" s="27">
        <f t="shared" si="34"/>
        <v>30102.59</v>
      </c>
      <c r="I1140" s="18">
        <v>28597.46</v>
      </c>
      <c r="J1140" s="27">
        <v>30102.59</v>
      </c>
      <c r="K1140" s="18">
        <f t="shared" si="35"/>
        <v>30102.59</v>
      </c>
      <c r="L1140" s="27">
        <v>28597.46</v>
      </c>
      <c r="M1140" s="36">
        <v>0</v>
      </c>
      <c r="T1140" s="41">
        <v>0</v>
      </c>
      <c r="U1140" s="41">
        <v>0</v>
      </c>
      <c r="V1140" s="42" t="s">
        <v>113</v>
      </c>
      <c r="W1140" s="42">
        <v>30102.59</v>
      </c>
      <c r="X1140" s="42">
        <v>30102.59</v>
      </c>
    </row>
    <row r="1141" spans="1:24">
      <c r="A1141" s="27" t="s">
        <v>2224</v>
      </c>
      <c r="B1141" s="28" t="s">
        <v>215</v>
      </c>
      <c r="C1141" s="27" t="s">
        <v>2225</v>
      </c>
      <c r="D1141" s="27" t="s">
        <v>230</v>
      </c>
      <c r="E1141" s="29">
        <v>38534</v>
      </c>
      <c r="F1141" s="27">
        <v>15</v>
      </c>
      <c r="G1141" s="18">
        <v>30102.59</v>
      </c>
      <c r="H1141" s="27">
        <f t="shared" si="34"/>
        <v>30102.59</v>
      </c>
      <c r="I1141" s="18">
        <v>28597.46</v>
      </c>
      <c r="J1141" s="27">
        <v>30102.59</v>
      </c>
      <c r="K1141" s="18">
        <f t="shared" si="35"/>
        <v>30102.59</v>
      </c>
      <c r="L1141" s="27">
        <v>28597.46</v>
      </c>
      <c r="M1141" s="36">
        <v>0</v>
      </c>
      <c r="T1141" s="41">
        <v>0</v>
      </c>
      <c r="U1141" s="41">
        <v>0</v>
      </c>
      <c r="V1141" s="42" t="s">
        <v>113</v>
      </c>
      <c r="W1141" s="42">
        <v>30102.59</v>
      </c>
      <c r="X1141" s="42">
        <v>30102.59</v>
      </c>
    </row>
    <row r="1142" spans="1:24">
      <c r="A1142" s="27" t="s">
        <v>2226</v>
      </c>
      <c r="B1142" s="28" t="s">
        <v>215</v>
      </c>
      <c r="C1142" s="27" t="s">
        <v>2227</v>
      </c>
      <c r="D1142" s="27" t="s">
        <v>230</v>
      </c>
      <c r="E1142" s="29">
        <v>40083</v>
      </c>
      <c r="F1142" s="27">
        <v>15</v>
      </c>
      <c r="G1142" s="18">
        <v>5731.33</v>
      </c>
      <c r="H1142" s="27">
        <f t="shared" si="34"/>
        <v>5731.33</v>
      </c>
      <c r="I1142" s="18">
        <v>5444.76</v>
      </c>
      <c r="J1142" s="27">
        <v>5731.33</v>
      </c>
      <c r="K1142" s="18">
        <f t="shared" si="35"/>
        <v>5731.33</v>
      </c>
      <c r="L1142" s="27">
        <v>5444.76</v>
      </c>
      <c r="M1142" s="36">
        <v>0</v>
      </c>
      <c r="T1142" s="41">
        <v>0</v>
      </c>
      <c r="U1142" s="41">
        <v>0</v>
      </c>
      <c r="V1142" s="42" t="s">
        <v>113</v>
      </c>
      <c r="W1142" s="42">
        <v>5731.33</v>
      </c>
      <c r="X1142" s="42">
        <v>5731.33</v>
      </c>
    </row>
    <row r="1143" spans="1:24">
      <c r="A1143" s="27" t="s">
        <v>2228</v>
      </c>
      <c r="B1143" s="28" t="s">
        <v>215</v>
      </c>
      <c r="C1143" s="27" t="s">
        <v>2229</v>
      </c>
      <c r="D1143" s="27" t="s">
        <v>230</v>
      </c>
      <c r="E1143" s="29">
        <v>40083</v>
      </c>
      <c r="F1143" s="27">
        <v>15</v>
      </c>
      <c r="G1143" s="18">
        <v>5731.32</v>
      </c>
      <c r="H1143" s="27">
        <f t="shared" si="34"/>
        <v>5731.32</v>
      </c>
      <c r="I1143" s="18">
        <v>5444.75</v>
      </c>
      <c r="J1143" s="27">
        <v>5731.32</v>
      </c>
      <c r="K1143" s="18">
        <f t="shared" si="35"/>
        <v>5731.32</v>
      </c>
      <c r="L1143" s="27">
        <v>5444.75</v>
      </c>
      <c r="M1143" s="36">
        <v>0</v>
      </c>
      <c r="T1143" s="41">
        <v>0</v>
      </c>
      <c r="U1143" s="41">
        <v>0</v>
      </c>
      <c r="V1143" s="42" t="s">
        <v>113</v>
      </c>
      <c r="W1143" s="42">
        <v>5731.32</v>
      </c>
      <c r="X1143" s="42">
        <v>5731.32</v>
      </c>
    </row>
    <row r="1144" spans="1:24">
      <c r="A1144" s="27" t="s">
        <v>2230</v>
      </c>
      <c r="B1144" s="28" t="s">
        <v>215</v>
      </c>
      <c r="C1144" s="27" t="s">
        <v>2231</v>
      </c>
      <c r="D1144" s="27" t="s">
        <v>230</v>
      </c>
      <c r="E1144" s="29">
        <v>40083</v>
      </c>
      <c r="F1144" s="27">
        <v>15</v>
      </c>
      <c r="G1144" s="18">
        <v>5731.32</v>
      </c>
      <c r="H1144" s="27">
        <f t="shared" si="34"/>
        <v>5731.32</v>
      </c>
      <c r="I1144" s="18">
        <v>5444.75</v>
      </c>
      <c r="J1144" s="27">
        <v>5731.32</v>
      </c>
      <c r="K1144" s="18">
        <f t="shared" si="35"/>
        <v>5731.32</v>
      </c>
      <c r="L1144" s="27">
        <v>5444.75</v>
      </c>
      <c r="M1144" s="36">
        <v>0</v>
      </c>
      <c r="T1144" s="41">
        <v>0</v>
      </c>
      <c r="U1144" s="41">
        <v>0</v>
      </c>
      <c r="V1144" s="42" t="s">
        <v>113</v>
      </c>
      <c r="W1144" s="42">
        <v>5731.32</v>
      </c>
      <c r="X1144" s="42">
        <v>5731.32</v>
      </c>
    </row>
    <row r="1145" spans="1:24">
      <c r="A1145" s="27" t="s">
        <v>2232</v>
      </c>
      <c r="B1145" s="28" t="s">
        <v>215</v>
      </c>
      <c r="C1145" s="27" t="s">
        <v>2233</v>
      </c>
      <c r="D1145" s="27" t="s">
        <v>230</v>
      </c>
      <c r="E1145" s="29">
        <v>40083</v>
      </c>
      <c r="F1145" s="27">
        <v>15</v>
      </c>
      <c r="G1145" s="18">
        <v>22919.33</v>
      </c>
      <c r="H1145" s="27">
        <f t="shared" si="34"/>
        <v>22919.33</v>
      </c>
      <c r="I1145" s="18">
        <v>21773.360000000001</v>
      </c>
      <c r="J1145" s="27">
        <v>22919.33</v>
      </c>
      <c r="K1145" s="18">
        <f t="shared" si="35"/>
        <v>22919.33</v>
      </c>
      <c r="L1145" s="27">
        <v>21773.360000000001</v>
      </c>
      <c r="M1145" s="36">
        <v>0</v>
      </c>
      <c r="T1145" s="41">
        <v>0</v>
      </c>
      <c r="U1145" s="41">
        <v>0</v>
      </c>
      <c r="V1145" s="42" t="s">
        <v>113</v>
      </c>
      <c r="W1145" s="42">
        <v>22919.33</v>
      </c>
      <c r="X1145" s="42">
        <v>22919.33</v>
      </c>
    </row>
    <row r="1146" spans="1:24">
      <c r="A1146" s="27" t="s">
        <v>2234</v>
      </c>
      <c r="B1146" s="28" t="s">
        <v>215</v>
      </c>
      <c r="C1146" s="27" t="s">
        <v>2235</v>
      </c>
      <c r="D1146" s="27" t="s">
        <v>230</v>
      </c>
      <c r="E1146" s="29">
        <v>40083</v>
      </c>
      <c r="F1146" s="27">
        <v>15</v>
      </c>
      <c r="G1146" s="18">
        <v>22919.33</v>
      </c>
      <c r="H1146" s="27">
        <f t="shared" si="34"/>
        <v>22919.33</v>
      </c>
      <c r="I1146" s="18">
        <v>21773.360000000001</v>
      </c>
      <c r="J1146" s="27">
        <v>22919.33</v>
      </c>
      <c r="K1146" s="18">
        <f t="shared" si="35"/>
        <v>22919.33</v>
      </c>
      <c r="L1146" s="27">
        <v>21773.360000000001</v>
      </c>
      <c r="M1146" s="36">
        <v>0</v>
      </c>
      <c r="T1146" s="41">
        <v>0</v>
      </c>
      <c r="U1146" s="41">
        <v>0</v>
      </c>
      <c r="V1146" s="42" t="s">
        <v>113</v>
      </c>
      <c r="W1146" s="42">
        <v>22919.33</v>
      </c>
      <c r="X1146" s="42">
        <v>22919.33</v>
      </c>
    </row>
    <row r="1147" spans="1:24">
      <c r="A1147" s="27" t="s">
        <v>2236</v>
      </c>
      <c r="B1147" s="28" t="s">
        <v>215</v>
      </c>
      <c r="C1147" s="27" t="s">
        <v>2237</v>
      </c>
      <c r="D1147" s="27" t="s">
        <v>230</v>
      </c>
      <c r="E1147" s="29">
        <v>40083</v>
      </c>
      <c r="F1147" s="27">
        <v>15</v>
      </c>
      <c r="G1147" s="18">
        <v>22919.33</v>
      </c>
      <c r="H1147" s="27">
        <f t="shared" si="34"/>
        <v>22919.33</v>
      </c>
      <c r="I1147" s="18">
        <v>21773.360000000001</v>
      </c>
      <c r="J1147" s="27">
        <v>22919.33</v>
      </c>
      <c r="K1147" s="18">
        <f t="shared" si="35"/>
        <v>22919.33</v>
      </c>
      <c r="L1147" s="27">
        <v>21773.360000000001</v>
      </c>
      <c r="M1147" s="36">
        <v>0</v>
      </c>
      <c r="T1147" s="41">
        <v>0</v>
      </c>
      <c r="U1147" s="41">
        <v>0</v>
      </c>
      <c r="V1147" s="42" t="s">
        <v>113</v>
      </c>
      <c r="W1147" s="42">
        <v>22919.33</v>
      </c>
      <c r="X1147" s="42">
        <v>22919.33</v>
      </c>
    </row>
    <row r="1148" spans="1:24">
      <c r="A1148" s="27" t="s">
        <v>2238</v>
      </c>
      <c r="B1148" s="28" t="s">
        <v>215</v>
      </c>
      <c r="C1148" s="27" t="s">
        <v>2239</v>
      </c>
      <c r="D1148" s="27" t="s">
        <v>230</v>
      </c>
      <c r="E1148" s="29">
        <v>40083</v>
      </c>
      <c r="F1148" s="27">
        <v>15</v>
      </c>
      <c r="G1148" s="18">
        <v>22919.33</v>
      </c>
      <c r="H1148" s="27">
        <f t="shared" si="34"/>
        <v>22919.33</v>
      </c>
      <c r="I1148" s="18">
        <v>21773.360000000001</v>
      </c>
      <c r="J1148" s="27">
        <v>22919.33</v>
      </c>
      <c r="K1148" s="18">
        <f t="shared" si="35"/>
        <v>22919.33</v>
      </c>
      <c r="L1148" s="27">
        <v>21773.360000000001</v>
      </c>
      <c r="M1148" s="36">
        <v>0</v>
      </c>
      <c r="T1148" s="41">
        <v>0</v>
      </c>
      <c r="U1148" s="41">
        <v>0</v>
      </c>
      <c r="V1148" s="42" t="s">
        <v>113</v>
      </c>
      <c r="W1148" s="42">
        <v>22919.33</v>
      </c>
      <c r="X1148" s="42">
        <v>22919.33</v>
      </c>
    </row>
    <row r="1149" spans="1:24">
      <c r="A1149" s="27" t="s">
        <v>2240</v>
      </c>
      <c r="B1149" s="28" t="s">
        <v>215</v>
      </c>
      <c r="C1149" s="27" t="s">
        <v>2241</v>
      </c>
      <c r="D1149" s="27" t="s">
        <v>230</v>
      </c>
      <c r="E1149" s="29">
        <v>40083</v>
      </c>
      <c r="F1149" s="27">
        <v>15</v>
      </c>
      <c r="G1149" s="18">
        <v>22919.33</v>
      </c>
      <c r="H1149" s="27">
        <f t="shared" si="34"/>
        <v>22919.33</v>
      </c>
      <c r="I1149" s="18">
        <v>21773.360000000001</v>
      </c>
      <c r="J1149" s="27">
        <v>22919.33</v>
      </c>
      <c r="K1149" s="18">
        <f t="shared" si="35"/>
        <v>22919.33</v>
      </c>
      <c r="L1149" s="27">
        <v>21773.360000000001</v>
      </c>
      <c r="M1149" s="36">
        <v>0</v>
      </c>
      <c r="T1149" s="41">
        <v>0</v>
      </c>
      <c r="U1149" s="41">
        <v>0</v>
      </c>
      <c r="V1149" s="42" t="s">
        <v>113</v>
      </c>
      <c r="W1149" s="42">
        <v>22919.33</v>
      </c>
      <c r="X1149" s="42">
        <v>22919.33</v>
      </c>
    </row>
    <row r="1150" spans="1:24">
      <c r="A1150" s="27" t="s">
        <v>2242</v>
      </c>
      <c r="B1150" s="28" t="s">
        <v>215</v>
      </c>
      <c r="C1150" s="27" t="s">
        <v>2243</v>
      </c>
      <c r="D1150" s="27" t="s">
        <v>230</v>
      </c>
      <c r="E1150" s="29">
        <v>40083</v>
      </c>
      <c r="F1150" s="27">
        <v>15</v>
      </c>
      <c r="G1150" s="18">
        <v>22919.33</v>
      </c>
      <c r="H1150" s="27">
        <f t="shared" si="34"/>
        <v>22919.33</v>
      </c>
      <c r="I1150" s="18">
        <v>21773.360000000001</v>
      </c>
      <c r="J1150" s="27">
        <v>22919.33</v>
      </c>
      <c r="K1150" s="18">
        <f t="shared" si="35"/>
        <v>22919.33</v>
      </c>
      <c r="L1150" s="27">
        <v>21773.360000000001</v>
      </c>
      <c r="M1150" s="36">
        <v>0</v>
      </c>
      <c r="T1150" s="41">
        <v>0</v>
      </c>
      <c r="U1150" s="41">
        <v>0</v>
      </c>
      <c r="V1150" s="42" t="s">
        <v>113</v>
      </c>
      <c r="W1150" s="42">
        <v>22919.33</v>
      </c>
      <c r="X1150" s="42">
        <v>22919.33</v>
      </c>
    </row>
    <row r="1151" spans="1:24">
      <c r="A1151" s="27" t="s">
        <v>2244</v>
      </c>
      <c r="B1151" s="28" t="s">
        <v>215</v>
      </c>
      <c r="C1151" s="27" t="s">
        <v>2245</v>
      </c>
      <c r="D1151" s="27" t="s">
        <v>230</v>
      </c>
      <c r="E1151" s="29">
        <v>40083</v>
      </c>
      <c r="F1151" s="27">
        <v>15</v>
      </c>
      <c r="G1151" s="18">
        <v>22919.33</v>
      </c>
      <c r="H1151" s="27">
        <f t="shared" si="34"/>
        <v>22919.33</v>
      </c>
      <c r="I1151" s="18">
        <v>21773.360000000001</v>
      </c>
      <c r="J1151" s="27">
        <v>22919.33</v>
      </c>
      <c r="K1151" s="18">
        <f t="shared" si="35"/>
        <v>22919.33</v>
      </c>
      <c r="L1151" s="27">
        <v>21773.360000000001</v>
      </c>
      <c r="M1151" s="36">
        <v>0</v>
      </c>
      <c r="T1151" s="41">
        <v>0</v>
      </c>
      <c r="U1151" s="41">
        <v>0</v>
      </c>
      <c r="V1151" s="42" t="s">
        <v>113</v>
      </c>
      <c r="W1151" s="42">
        <v>22919.33</v>
      </c>
      <c r="X1151" s="42">
        <v>22919.33</v>
      </c>
    </row>
    <row r="1152" spans="1:24">
      <c r="A1152" s="27" t="s">
        <v>2246</v>
      </c>
      <c r="B1152" s="28" t="s">
        <v>215</v>
      </c>
      <c r="C1152" s="27" t="s">
        <v>2247</v>
      </c>
      <c r="D1152" s="27" t="s">
        <v>230</v>
      </c>
      <c r="E1152" s="29">
        <v>40083</v>
      </c>
      <c r="F1152" s="27">
        <v>15</v>
      </c>
      <c r="G1152" s="18">
        <v>22919.33</v>
      </c>
      <c r="H1152" s="27">
        <f t="shared" si="34"/>
        <v>22919.33</v>
      </c>
      <c r="I1152" s="18">
        <v>21773.360000000001</v>
      </c>
      <c r="J1152" s="27">
        <v>22919.33</v>
      </c>
      <c r="K1152" s="18">
        <f t="shared" si="35"/>
        <v>22919.33</v>
      </c>
      <c r="L1152" s="27">
        <v>21773.360000000001</v>
      </c>
      <c r="M1152" s="36">
        <v>0</v>
      </c>
      <c r="T1152" s="41">
        <v>0</v>
      </c>
      <c r="U1152" s="41">
        <v>0</v>
      </c>
      <c r="V1152" s="42" t="s">
        <v>113</v>
      </c>
      <c r="W1152" s="42">
        <v>22919.33</v>
      </c>
      <c r="X1152" s="42">
        <v>22919.33</v>
      </c>
    </row>
    <row r="1153" spans="1:24">
      <c r="A1153" s="27" t="s">
        <v>2248</v>
      </c>
      <c r="B1153" s="28" t="s">
        <v>215</v>
      </c>
      <c r="C1153" s="27" t="s">
        <v>2249</v>
      </c>
      <c r="D1153" s="27" t="s">
        <v>230</v>
      </c>
      <c r="E1153" s="29">
        <v>40083</v>
      </c>
      <c r="F1153" s="27">
        <v>15</v>
      </c>
      <c r="G1153" s="18">
        <v>22919.33</v>
      </c>
      <c r="H1153" s="27">
        <f t="shared" si="34"/>
        <v>22919.33</v>
      </c>
      <c r="I1153" s="18">
        <v>21773.360000000001</v>
      </c>
      <c r="J1153" s="27">
        <v>22919.33</v>
      </c>
      <c r="K1153" s="18">
        <f t="shared" si="35"/>
        <v>22919.33</v>
      </c>
      <c r="L1153" s="27">
        <v>21773.360000000001</v>
      </c>
      <c r="M1153" s="36">
        <v>0</v>
      </c>
      <c r="T1153" s="41">
        <v>0</v>
      </c>
      <c r="U1153" s="41">
        <v>0</v>
      </c>
      <c r="V1153" s="42" t="s">
        <v>113</v>
      </c>
      <c r="W1153" s="42">
        <v>22919.33</v>
      </c>
      <c r="X1153" s="42">
        <v>22919.33</v>
      </c>
    </row>
    <row r="1154" spans="1:24">
      <c r="A1154" s="27" t="s">
        <v>2250</v>
      </c>
      <c r="B1154" s="28" t="s">
        <v>215</v>
      </c>
      <c r="C1154" s="27" t="s">
        <v>1011</v>
      </c>
      <c r="D1154" s="27" t="s">
        <v>230</v>
      </c>
      <c r="E1154" s="29">
        <v>40165</v>
      </c>
      <c r="F1154" s="27">
        <v>15</v>
      </c>
      <c r="G1154" s="18">
        <v>98186.77</v>
      </c>
      <c r="H1154" s="27">
        <f t="shared" si="34"/>
        <v>98186.77</v>
      </c>
      <c r="I1154" s="18">
        <v>93277.43</v>
      </c>
      <c r="J1154" s="27">
        <v>98186.77</v>
      </c>
      <c r="K1154" s="18">
        <f t="shared" si="35"/>
        <v>98186.77</v>
      </c>
      <c r="L1154" s="27">
        <v>93277.43</v>
      </c>
      <c r="M1154" s="36">
        <v>0</v>
      </c>
      <c r="T1154" s="41">
        <v>0</v>
      </c>
      <c r="U1154" s="41">
        <v>0</v>
      </c>
      <c r="V1154" s="42" t="s">
        <v>113</v>
      </c>
      <c r="W1154" s="42">
        <v>98186.77</v>
      </c>
      <c r="X1154" s="42">
        <v>98186.77</v>
      </c>
    </row>
    <row r="1155" spans="1:24">
      <c r="A1155" s="27" t="s">
        <v>2251</v>
      </c>
      <c r="B1155" s="28" t="s">
        <v>215</v>
      </c>
      <c r="C1155" s="27" t="s">
        <v>2252</v>
      </c>
      <c r="D1155" s="27" t="s">
        <v>118</v>
      </c>
      <c r="E1155" s="29">
        <v>35765</v>
      </c>
      <c r="F1155" s="27">
        <v>12</v>
      </c>
      <c r="G1155" s="18">
        <v>2400</v>
      </c>
      <c r="H1155" s="27">
        <f t="shared" si="34"/>
        <v>2400</v>
      </c>
      <c r="I1155" s="18">
        <v>2400</v>
      </c>
      <c r="J1155" s="27">
        <v>2400</v>
      </c>
      <c r="K1155" s="18">
        <f t="shared" si="35"/>
        <v>2400</v>
      </c>
      <c r="L1155" s="27">
        <v>2400</v>
      </c>
      <c r="M1155" s="36">
        <v>0</v>
      </c>
      <c r="T1155" s="41">
        <v>0</v>
      </c>
      <c r="U1155" s="41">
        <v>0</v>
      </c>
      <c r="V1155" s="42" t="s">
        <v>113</v>
      </c>
      <c r="W1155" s="42">
        <v>2400</v>
      </c>
      <c r="X1155" s="42">
        <v>2400</v>
      </c>
    </row>
    <row r="1156" spans="1:24">
      <c r="A1156" s="27" t="s">
        <v>2253</v>
      </c>
      <c r="B1156" s="28" t="s">
        <v>215</v>
      </c>
      <c r="C1156" s="27" t="s">
        <v>2254</v>
      </c>
      <c r="D1156" s="27" t="s">
        <v>118</v>
      </c>
      <c r="E1156" s="29">
        <v>35765</v>
      </c>
      <c r="F1156" s="27">
        <v>12</v>
      </c>
      <c r="G1156" s="18">
        <v>2400</v>
      </c>
      <c r="H1156" s="27">
        <f t="shared" si="34"/>
        <v>2400</v>
      </c>
      <c r="I1156" s="18">
        <v>2400</v>
      </c>
      <c r="J1156" s="27">
        <v>2400</v>
      </c>
      <c r="K1156" s="18">
        <f t="shared" si="35"/>
        <v>2400</v>
      </c>
      <c r="L1156" s="27">
        <v>2400</v>
      </c>
      <c r="M1156" s="36">
        <v>0</v>
      </c>
      <c r="T1156" s="41">
        <v>0</v>
      </c>
      <c r="U1156" s="41">
        <v>0</v>
      </c>
      <c r="V1156" s="42" t="s">
        <v>113</v>
      </c>
      <c r="W1156" s="42">
        <v>2400</v>
      </c>
      <c r="X1156" s="42">
        <v>2400</v>
      </c>
    </row>
    <row r="1157" spans="1:24">
      <c r="A1157" s="27" t="s">
        <v>2255</v>
      </c>
      <c r="B1157" s="28" t="s">
        <v>215</v>
      </c>
      <c r="C1157" s="27" t="s">
        <v>2256</v>
      </c>
      <c r="D1157" s="27" t="s">
        <v>118</v>
      </c>
      <c r="E1157" s="29">
        <v>35765</v>
      </c>
      <c r="F1157" s="27">
        <v>12</v>
      </c>
      <c r="G1157" s="18">
        <v>2400</v>
      </c>
      <c r="H1157" s="27">
        <f t="shared" si="34"/>
        <v>2400</v>
      </c>
      <c r="I1157" s="18">
        <v>2400</v>
      </c>
      <c r="J1157" s="27">
        <v>2400</v>
      </c>
      <c r="K1157" s="18">
        <f t="shared" si="35"/>
        <v>2400</v>
      </c>
      <c r="L1157" s="27">
        <v>2400</v>
      </c>
      <c r="M1157" s="36">
        <v>0</v>
      </c>
      <c r="T1157" s="41">
        <v>0</v>
      </c>
      <c r="U1157" s="41">
        <v>0</v>
      </c>
      <c r="V1157" s="42" t="s">
        <v>113</v>
      </c>
      <c r="W1157" s="42">
        <v>2400</v>
      </c>
      <c r="X1157" s="42">
        <v>2400</v>
      </c>
    </row>
    <row r="1158" spans="1:24">
      <c r="A1158" s="27" t="s">
        <v>2257</v>
      </c>
      <c r="B1158" s="28" t="s">
        <v>215</v>
      </c>
      <c r="C1158" s="27" t="s">
        <v>2258</v>
      </c>
      <c r="D1158" s="27" t="s">
        <v>118</v>
      </c>
      <c r="E1158" s="29">
        <v>35765</v>
      </c>
      <c r="F1158" s="27">
        <v>12</v>
      </c>
      <c r="G1158" s="18">
        <v>2400</v>
      </c>
      <c r="H1158" s="27">
        <f t="shared" ref="H1158:H1221" si="36">IFERROR(IF(ROUND((G1158-I1158)/G1158,2)&lt;=0.05,G1158,0),0)</f>
        <v>2400</v>
      </c>
      <c r="I1158" s="18">
        <v>2400</v>
      </c>
      <c r="J1158" s="27">
        <v>2400</v>
      </c>
      <c r="K1158" s="18">
        <f t="shared" ref="K1158:K1221" si="37">IFERROR(IF(ROUND((J1158-L1158)/J1158,2)&lt;=0.05,J1158,0),0)</f>
        <v>2400</v>
      </c>
      <c r="L1158" s="27">
        <v>2400</v>
      </c>
      <c r="M1158" s="36">
        <v>0</v>
      </c>
      <c r="T1158" s="41">
        <v>0</v>
      </c>
      <c r="U1158" s="41">
        <v>0</v>
      </c>
      <c r="V1158" s="42" t="s">
        <v>113</v>
      </c>
      <c r="W1158" s="42">
        <v>2400</v>
      </c>
      <c r="X1158" s="42">
        <v>2400</v>
      </c>
    </row>
    <row r="1159" spans="1:24">
      <c r="A1159" s="27" t="s">
        <v>2259</v>
      </c>
      <c r="B1159" s="28" t="s">
        <v>215</v>
      </c>
      <c r="C1159" s="27" t="s">
        <v>2260</v>
      </c>
      <c r="D1159" s="27" t="s">
        <v>118</v>
      </c>
      <c r="E1159" s="29">
        <v>35765</v>
      </c>
      <c r="F1159" s="27">
        <v>12</v>
      </c>
      <c r="G1159" s="18">
        <v>2400</v>
      </c>
      <c r="H1159" s="27">
        <f t="shared" si="36"/>
        <v>2400</v>
      </c>
      <c r="I1159" s="18">
        <v>2400</v>
      </c>
      <c r="J1159" s="27">
        <v>2400</v>
      </c>
      <c r="K1159" s="18">
        <f t="shared" si="37"/>
        <v>2400</v>
      </c>
      <c r="L1159" s="27">
        <v>2400</v>
      </c>
      <c r="M1159" s="36">
        <v>0</v>
      </c>
      <c r="T1159" s="41">
        <v>0</v>
      </c>
      <c r="U1159" s="41">
        <v>0</v>
      </c>
      <c r="V1159" s="42" t="s">
        <v>113</v>
      </c>
      <c r="W1159" s="42">
        <v>2400</v>
      </c>
      <c r="X1159" s="42">
        <v>2400</v>
      </c>
    </row>
    <row r="1160" spans="1:24">
      <c r="A1160" s="27" t="s">
        <v>2261</v>
      </c>
      <c r="B1160" s="28" t="s">
        <v>215</v>
      </c>
      <c r="C1160" s="27" t="s">
        <v>2262</v>
      </c>
      <c r="D1160" s="27" t="s">
        <v>118</v>
      </c>
      <c r="E1160" s="29">
        <v>35765</v>
      </c>
      <c r="F1160" s="27">
        <v>12</v>
      </c>
      <c r="G1160" s="18">
        <v>2400</v>
      </c>
      <c r="H1160" s="27">
        <f t="shared" si="36"/>
        <v>2400</v>
      </c>
      <c r="I1160" s="18">
        <v>2400</v>
      </c>
      <c r="J1160" s="27">
        <v>2400</v>
      </c>
      <c r="K1160" s="18">
        <f t="shared" si="37"/>
        <v>2400</v>
      </c>
      <c r="L1160" s="27">
        <v>2400</v>
      </c>
      <c r="M1160" s="36">
        <v>0</v>
      </c>
      <c r="T1160" s="41">
        <v>0</v>
      </c>
      <c r="U1160" s="41">
        <v>0</v>
      </c>
      <c r="V1160" s="42" t="s">
        <v>113</v>
      </c>
      <c r="W1160" s="42">
        <v>2400</v>
      </c>
      <c r="X1160" s="42">
        <v>2400</v>
      </c>
    </row>
    <row r="1161" spans="1:24">
      <c r="A1161" s="27" t="s">
        <v>2263</v>
      </c>
      <c r="B1161" s="28" t="s">
        <v>215</v>
      </c>
      <c r="C1161" s="27" t="s">
        <v>2264</v>
      </c>
      <c r="D1161" s="27" t="s">
        <v>118</v>
      </c>
      <c r="E1161" s="29">
        <v>35765</v>
      </c>
      <c r="F1161" s="27">
        <v>12</v>
      </c>
      <c r="G1161" s="18">
        <v>2400</v>
      </c>
      <c r="H1161" s="27">
        <f t="shared" si="36"/>
        <v>2400</v>
      </c>
      <c r="I1161" s="18">
        <v>2400</v>
      </c>
      <c r="J1161" s="27">
        <v>2400</v>
      </c>
      <c r="K1161" s="18">
        <f t="shared" si="37"/>
        <v>2400</v>
      </c>
      <c r="L1161" s="27">
        <v>2400</v>
      </c>
      <c r="M1161" s="36">
        <v>0</v>
      </c>
      <c r="T1161" s="41">
        <v>0</v>
      </c>
      <c r="U1161" s="41">
        <v>0</v>
      </c>
      <c r="V1161" s="42" t="s">
        <v>113</v>
      </c>
      <c r="W1161" s="42">
        <v>2400</v>
      </c>
      <c r="X1161" s="42">
        <v>2400</v>
      </c>
    </row>
    <row r="1162" spans="1:24">
      <c r="A1162" s="27" t="s">
        <v>2265</v>
      </c>
      <c r="B1162" s="28" t="s">
        <v>215</v>
      </c>
      <c r="C1162" s="27" t="s">
        <v>2266</v>
      </c>
      <c r="D1162" s="27" t="s">
        <v>118</v>
      </c>
      <c r="E1162" s="29">
        <v>39417</v>
      </c>
      <c r="F1162" s="27">
        <v>15</v>
      </c>
      <c r="G1162" s="18">
        <v>18786.47</v>
      </c>
      <c r="H1162" s="27">
        <f t="shared" si="36"/>
        <v>0</v>
      </c>
      <c r="I1162" s="18">
        <v>15176.26</v>
      </c>
      <c r="J1162" s="27">
        <v>18786.47</v>
      </c>
      <c r="K1162" s="18">
        <f t="shared" si="37"/>
        <v>0</v>
      </c>
      <c r="L1162" s="27">
        <v>15843.98</v>
      </c>
      <c r="M1162" s="36">
        <v>667.72</v>
      </c>
      <c r="T1162" s="41">
        <v>0</v>
      </c>
      <c r="U1162" s="41">
        <v>0</v>
      </c>
      <c r="V1162" s="42" t="s">
        <v>113</v>
      </c>
      <c r="W1162" s="42">
        <v>0</v>
      </c>
      <c r="X1162" s="42">
        <v>0</v>
      </c>
    </row>
    <row r="1163" spans="1:24">
      <c r="A1163" s="27" t="s">
        <v>2267</v>
      </c>
      <c r="B1163" s="28" t="s">
        <v>215</v>
      </c>
      <c r="C1163" s="27" t="s">
        <v>2268</v>
      </c>
      <c r="D1163" s="27" t="s">
        <v>118</v>
      </c>
      <c r="E1163" s="29">
        <v>35765</v>
      </c>
      <c r="F1163" s="27">
        <v>12</v>
      </c>
      <c r="G1163" s="18">
        <v>2400</v>
      </c>
      <c r="H1163" s="27">
        <f t="shared" si="36"/>
        <v>2400</v>
      </c>
      <c r="I1163" s="18">
        <v>2400</v>
      </c>
      <c r="J1163" s="27">
        <v>2400</v>
      </c>
      <c r="K1163" s="18">
        <f t="shared" si="37"/>
        <v>2400</v>
      </c>
      <c r="L1163" s="27">
        <v>2400</v>
      </c>
      <c r="M1163" s="36">
        <v>0</v>
      </c>
      <c r="T1163" s="41">
        <v>0</v>
      </c>
      <c r="U1163" s="41">
        <v>0</v>
      </c>
      <c r="V1163" s="42" t="s">
        <v>113</v>
      </c>
      <c r="W1163" s="42">
        <v>2400</v>
      </c>
      <c r="X1163" s="42">
        <v>2400</v>
      </c>
    </row>
    <row r="1164" spans="1:24">
      <c r="A1164" s="27" t="s">
        <v>2269</v>
      </c>
      <c r="B1164" s="28" t="s">
        <v>215</v>
      </c>
      <c r="C1164" s="27" t="s">
        <v>2270</v>
      </c>
      <c r="D1164" s="27" t="s">
        <v>118</v>
      </c>
      <c r="E1164" s="29">
        <v>35765</v>
      </c>
      <c r="F1164" s="27">
        <v>12</v>
      </c>
      <c r="G1164" s="18">
        <v>2400</v>
      </c>
      <c r="H1164" s="27">
        <f t="shared" si="36"/>
        <v>2400</v>
      </c>
      <c r="I1164" s="18">
        <v>2400</v>
      </c>
      <c r="J1164" s="27">
        <v>2400</v>
      </c>
      <c r="K1164" s="18">
        <f t="shared" si="37"/>
        <v>2400</v>
      </c>
      <c r="L1164" s="27">
        <v>2400</v>
      </c>
      <c r="M1164" s="36">
        <v>0</v>
      </c>
      <c r="T1164" s="41">
        <v>0</v>
      </c>
      <c r="U1164" s="41">
        <v>0</v>
      </c>
      <c r="V1164" s="42" t="s">
        <v>113</v>
      </c>
      <c r="W1164" s="42">
        <v>2400</v>
      </c>
      <c r="X1164" s="42">
        <v>2400</v>
      </c>
    </row>
    <row r="1165" spans="1:24">
      <c r="A1165" s="27" t="s">
        <v>2271</v>
      </c>
      <c r="B1165" s="28" t="s">
        <v>215</v>
      </c>
      <c r="C1165" s="27" t="s">
        <v>2272</v>
      </c>
      <c r="D1165" s="27" t="s">
        <v>118</v>
      </c>
      <c r="E1165" s="29">
        <v>37652</v>
      </c>
      <c r="F1165" s="27">
        <v>15</v>
      </c>
      <c r="G1165" s="18">
        <v>30000</v>
      </c>
      <c r="H1165" s="27">
        <f t="shared" si="36"/>
        <v>30000</v>
      </c>
      <c r="I1165" s="18">
        <v>28500</v>
      </c>
      <c r="J1165" s="27">
        <v>30000</v>
      </c>
      <c r="K1165" s="18">
        <f t="shared" si="37"/>
        <v>30000</v>
      </c>
      <c r="L1165" s="27">
        <v>28500</v>
      </c>
      <c r="M1165" s="36">
        <v>0</v>
      </c>
      <c r="T1165" s="41">
        <v>0</v>
      </c>
      <c r="U1165" s="41">
        <v>0</v>
      </c>
      <c r="V1165" s="42" t="s">
        <v>113</v>
      </c>
      <c r="W1165" s="42">
        <v>30000</v>
      </c>
      <c r="X1165" s="42">
        <v>30000</v>
      </c>
    </row>
    <row r="1166" spans="1:24">
      <c r="A1166" s="27" t="s">
        <v>2273</v>
      </c>
      <c r="B1166" s="28" t="s">
        <v>215</v>
      </c>
      <c r="C1166" s="27" t="s">
        <v>2274</v>
      </c>
      <c r="D1166" s="27" t="s">
        <v>118</v>
      </c>
      <c r="E1166" s="29">
        <v>37652</v>
      </c>
      <c r="F1166" s="27">
        <v>15</v>
      </c>
      <c r="G1166" s="18">
        <v>30000</v>
      </c>
      <c r="H1166" s="27">
        <f t="shared" si="36"/>
        <v>30000</v>
      </c>
      <c r="I1166" s="18">
        <v>28500</v>
      </c>
      <c r="J1166" s="27">
        <v>30000</v>
      </c>
      <c r="K1166" s="18">
        <f t="shared" si="37"/>
        <v>30000</v>
      </c>
      <c r="L1166" s="27">
        <v>28500</v>
      </c>
      <c r="M1166" s="36">
        <v>0</v>
      </c>
      <c r="T1166" s="41">
        <v>0</v>
      </c>
      <c r="U1166" s="41">
        <v>0</v>
      </c>
      <c r="V1166" s="42" t="s">
        <v>113</v>
      </c>
      <c r="W1166" s="42">
        <v>30000</v>
      </c>
      <c r="X1166" s="42">
        <v>30000</v>
      </c>
    </row>
    <row r="1167" spans="1:24">
      <c r="A1167" s="27" t="s">
        <v>2275</v>
      </c>
      <c r="B1167" s="28" t="s">
        <v>215</v>
      </c>
      <c r="C1167" s="27" t="s">
        <v>2276</v>
      </c>
      <c r="D1167" s="27" t="s">
        <v>118</v>
      </c>
      <c r="E1167" s="29">
        <v>35765</v>
      </c>
      <c r="F1167" s="27">
        <v>12</v>
      </c>
      <c r="G1167" s="18">
        <v>2400</v>
      </c>
      <c r="H1167" s="27">
        <f t="shared" si="36"/>
        <v>2400</v>
      </c>
      <c r="I1167" s="18">
        <v>2400</v>
      </c>
      <c r="J1167" s="27">
        <v>2400</v>
      </c>
      <c r="K1167" s="18">
        <f t="shared" si="37"/>
        <v>2400</v>
      </c>
      <c r="L1167" s="27">
        <v>2400</v>
      </c>
      <c r="M1167" s="36">
        <v>0</v>
      </c>
      <c r="T1167" s="41">
        <v>0</v>
      </c>
      <c r="U1167" s="41">
        <v>0</v>
      </c>
      <c r="V1167" s="42" t="s">
        <v>113</v>
      </c>
      <c r="W1167" s="42">
        <v>2400</v>
      </c>
      <c r="X1167" s="42">
        <v>2400</v>
      </c>
    </row>
    <row r="1168" spans="1:24">
      <c r="A1168" s="27" t="s">
        <v>2277</v>
      </c>
      <c r="B1168" s="28" t="s">
        <v>215</v>
      </c>
      <c r="C1168" s="27" t="s">
        <v>2278</v>
      </c>
      <c r="D1168" s="27" t="s">
        <v>118</v>
      </c>
      <c r="E1168" s="29">
        <v>35765</v>
      </c>
      <c r="F1168" s="27">
        <v>12</v>
      </c>
      <c r="G1168" s="18">
        <v>2400</v>
      </c>
      <c r="H1168" s="27">
        <f t="shared" si="36"/>
        <v>2400</v>
      </c>
      <c r="I1168" s="18">
        <v>2400</v>
      </c>
      <c r="J1168" s="27">
        <v>2400</v>
      </c>
      <c r="K1168" s="18">
        <f t="shared" si="37"/>
        <v>2400</v>
      </c>
      <c r="L1168" s="27">
        <v>2400</v>
      </c>
      <c r="M1168" s="36">
        <v>0</v>
      </c>
      <c r="T1168" s="41">
        <v>0</v>
      </c>
      <c r="U1168" s="41">
        <v>0</v>
      </c>
      <c r="V1168" s="42" t="s">
        <v>113</v>
      </c>
      <c r="W1168" s="42">
        <v>2400</v>
      </c>
      <c r="X1168" s="42">
        <v>2400</v>
      </c>
    </row>
    <row r="1169" spans="1:24">
      <c r="A1169" s="27" t="s">
        <v>2279</v>
      </c>
      <c r="B1169" s="28" t="s">
        <v>215</v>
      </c>
      <c r="C1169" s="27" t="s">
        <v>2280</v>
      </c>
      <c r="D1169" s="27" t="s">
        <v>118</v>
      </c>
      <c r="E1169" s="29">
        <v>39417</v>
      </c>
      <c r="F1169" s="27">
        <v>15</v>
      </c>
      <c r="G1169" s="18">
        <v>18786.47</v>
      </c>
      <c r="H1169" s="27">
        <f t="shared" si="36"/>
        <v>0</v>
      </c>
      <c r="I1169" s="18">
        <v>15176.26</v>
      </c>
      <c r="J1169" s="27">
        <v>18786.47</v>
      </c>
      <c r="K1169" s="18">
        <f t="shared" si="37"/>
        <v>0</v>
      </c>
      <c r="L1169" s="27">
        <v>15843.98</v>
      </c>
      <c r="M1169" s="36">
        <v>667.72</v>
      </c>
      <c r="T1169" s="41">
        <v>0</v>
      </c>
      <c r="U1169" s="41">
        <v>0</v>
      </c>
      <c r="V1169" s="42" t="s">
        <v>113</v>
      </c>
      <c r="W1169" s="42">
        <v>0</v>
      </c>
      <c r="X1169" s="42">
        <v>0</v>
      </c>
    </row>
    <row r="1170" spans="1:24">
      <c r="A1170" s="27" t="s">
        <v>2281</v>
      </c>
      <c r="B1170" s="28" t="s">
        <v>215</v>
      </c>
      <c r="C1170" s="27" t="s">
        <v>2282</v>
      </c>
      <c r="D1170" s="27" t="s">
        <v>230</v>
      </c>
      <c r="E1170" s="29">
        <v>35643</v>
      </c>
      <c r="F1170" s="27">
        <v>12</v>
      </c>
      <c r="G1170" s="18">
        <v>2587.5</v>
      </c>
      <c r="H1170" s="27">
        <f t="shared" si="36"/>
        <v>2587.5</v>
      </c>
      <c r="I1170" s="18">
        <v>2587.5</v>
      </c>
      <c r="J1170" s="27">
        <v>2587.5</v>
      </c>
      <c r="K1170" s="18">
        <f t="shared" si="37"/>
        <v>2587.5</v>
      </c>
      <c r="L1170" s="27">
        <v>2587.5</v>
      </c>
      <c r="M1170" s="36">
        <v>0</v>
      </c>
      <c r="T1170" s="41">
        <v>0</v>
      </c>
      <c r="U1170" s="41">
        <v>0</v>
      </c>
      <c r="V1170" s="42" t="s">
        <v>113</v>
      </c>
      <c r="W1170" s="42">
        <v>2587.5</v>
      </c>
      <c r="X1170" s="42">
        <v>2587.5</v>
      </c>
    </row>
    <row r="1171" spans="1:24">
      <c r="A1171" s="27" t="s">
        <v>2283</v>
      </c>
      <c r="B1171" s="28" t="s">
        <v>215</v>
      </c>
      <c r="C1171" s="27" t="s">
        <v>1261</v>
      </c>
      <c r="D1171" s="27" t="s">
        <v>230</v>
      </c>
      <c r="E1171" s="29">
        <v>35643</v>
      </c>
      <c r="F1171" s="27">
        <v>15</v>
      </c>
      <c r="G1171" s="18">
        <v>167641.94</v>
      </c>
      <c r="H1171" s="27">
        <f t="shared" si="36"/>
        <v>167641.94</v>
      </c>
      <c r="I1171" s="18">
        <v>159259.84</v>
      </c>
      <c r="J1171" s="27">
        <v>167641.94</v>
      </c>
      <c r="K1171" s="18">
        <f t="shared" si="37"/>
        <v>167641.94</v>
      </c>
      <c r="L1171" s="27">
        <v>159259.84</v>
      </c>
      <c r="M1171" s="36">
        <v>0</v>
      </c>
      <c r="T1171" s="41">
        <v>0</v>
      </c>
      <c r="U1171" s="41">
        <v>0</v>
      </c>
      <c r="V1171" s="42" t="s">
        <v>113</v>
      </c>
      <c r="W1171" s="42">
        <v>167641.94</v>
      </c>
      <c r="X1171" s="42">
        <v>167641.94</v>
      </c>
    </row>
    <row r="1172" spans="1:24">
      <c r="A1172" s="27" t="s">
        <v>2284</v>
      </c>
      <c r="B1172" s="28" t="s">
        <v>215</v>
      </c>
      <c r="C1172" s="27" t="s">
        <v>1237</v>
      </c>
      <c r="D1172" s="27" t="s">
        <v>230</v>
      </c>
      <c r="E1172" s="29">
        <v>40268</v>
      </c>
      <c r="F1172" s="27">
        <v>15</v>
      </c>
      <c r="G1172" s="18">
        <v>210962.89</v>
      </c>
      <c r="H1172" s="27">
        <f t="shared" si="36"/>
        <v>0</v>
      </c>
      <c r="I1172" s="18">
        <v>163217.51</v>
      </c>
      <c r="J1172" s="27">
        <v>210962.89</v>
      </c>
      <c r="K1172" s="18">
        <f t="shared" si="37"/>
        <v>0</v>
      </c>
      <c r="L1172" s="27">
        <v>169169.07</v>
      </c>
      <c r="M1172" s="36">
        <v>5951.56</v>
      </c>
      <c r="T1172" s="41">
        <v>0</v>
      </c>
      <c r="U1172" s="41">
        <v>0</v>
      </c>
      <c r="V1172" s="42" t="s">
        <v>113</v>
      </c>
      <c r="W1172" s="42">
        <v>0</v>
      </c>
      <c r="X1172" s="42">
        <v>0</v>
      </c>
    </row>
    <row r="1173" spans="1:24">
      <c r="A1173" s="27" t="s">
        <v>2285</v>
      </c>
      <c r="B1173" s="28" t="s">
        <v>215</v>
      </c>
      <c r="C1173" s="27" t="s">
        <v>2286</v>
      </c>
      <c r="D1173" s="27" t="s">
        <v>112</v>
      </c>
      <c r="E1173" s="29">
        <v>40268</v>
      </c>
      <c r="F1173" s="27">
        <v>15</v>
      </c>
      <c r="G1173" s="18">
        <v>49100.61</v>
      </c>
      <c r="H1173" s="27">
        <f t="shared" si="36"/>
        <v>0</v>
      </c>
      <c r="I1173" s="18">
        <v>43141.2</v>
      </c>
      <c r="J1173" s="27">
        <v>49100.61</v>
      </c>
      <c r="K1173" s="18">
        <f t="shared" si="37"/>
        <v>0</v>
      </c>
      <c r="L1173" s="27">
        <v>43701.9</v>
      </c>
      <c r="M1173" s="36">
        <v>560.70000000000005</v>
      </c>
      <c r="T1173" s="41">
        <v>0</v>
      </c>
      <c r="U1173" s="41">
        <v>0</v>
      </c>
      <c r="V1173" s="42" t="s">
        <v>113</v>
      </c>
      <c r="W1173" s="42">
        <v>0</v>
      </c>
      <c r="X1173" s="42">
        <v>0</v>
      </c>
    </row>
    <row r="1174" spans="1:24">
      <c r="A1174" s="27" t="s">
        <v>2287</v>
      </c>
      <c r="B1174" s="28" t="s">
        <v>215</v>
      </c>
      <c r="C1174" s="27" t="s">
        <v>2288</v>
      </c>
      <c r="D1174" s="27" t="s">
        <v>112</v>
      </c>
      <c r="E1174" s="29">
        <v>40268</v>
      </c>
      <c r="F1174" s="27">
        <v>15</v>
      </c>
      <c r="G1174" s="18">
        <v>53129.24</v>
      </c>
      <c r="H1174" s="27">
        <f t="shared" si="36"/>
        <v>0</v>
      </c>
      <c r="I1174" s="18">
        <v>46052.32</v>
      </c>
      <c r="J1174" s="27">
        <v>53129.24</v>
      </c>
      <c r="K1174" s="18">
        <f t="shared" si="37"/>
        <v>0</v>
      </c>
      <c r="L1174" s="27">
        <v>46759.59</v>
      </c>
      <c r="M1174" s="36">
        <v>707.27</v>
      </c>
      <c r="T1174" s="41">
        <v>0</v>
      </c>
      <c r="U1174" s="41">
        <v>0</v>
      </c>
      <c r="V1174" s="42" t="s">
        <v>113</v>
      </c>
      <c r="W1174" s="42">
        <v>0</v>
      </c>
      <c r="X1174" s="42">
        <v>0</v>
      </c>
    </row>
    <row r="1175" spans="1:24">
      <c r="A1175" s="27" t="s">
        <v>2289</v>
      </c>
      <c r="B1175" s="28" t="s">
        <v>215</v>
      </c>
      <c r="C1175" s="27" t="s">
        <v>2290</v>
      </c>
      <c r="D1175" s="27" t="s">
        <v>112</v>
      </c>
      <c r="E1175" s="29">
        <v>40268</v>
      </c>
      <c r="F1175" s="27">
        <v>15</v>
      </c>
      <c r="G1175" s="18">
        <v>39690.519999999997</v>
      </c>
      <c r="H1175" s="27">
        <f t="shared" si="36"/>
        <v>0</v>
      </c>
      <c r="I1175" s="18">
        <v>30116.27</v>
      </c>
      <c r="J1175" s="27">
        <v>39690.519999999997</v>
      </c>
      <c r="K1175" s="18">
        <f t="shared" si="37"/>
        <v>0</v>
      </c>
      <c r="L1175" s="27">
        <v>31330.63</v>
      </c>
      <c r="M1175" s="36">
        <v>1214.3599999999999</v>
      </c>
      <c r="T1175" s="41">
        <v>0</v>
      </c>
      <c r="U1175" s="41">
        <v>0</v>
      </c>
      <c r="V1175" s="42" t="s">
        <v>113</v>
      </c>
      <c r="W1175" s="42">
        <v>0</v>
      </c>
      <c r="X1175" s="42">
        <v>0</v>
      </c>
    </row>
    <row r="1176" spans="1:24">
      <c r="A1176" s="27" t="s">
        <v>2291</v>
      </c>
      <c r="B1176" s="28" t="s">
        <v>215</v>
      </c>
      <c r="C1176" s="27" t="s">
        <v>2292</v>
      </c>
      <c r="D1176" s="27" t="s">
        <v>112</v>
      </c>
      <c r="E1176" s="29">
        <v>40268</v>
      </c>
      <c r="F1176" s="27">
        <v>15</v>
      </c>
      <c r="G1176" s="18">
        <v>16089.72</v>
      </c>
      <c r="H1176" s="27">
        <f t="shared" si="36"/>
        <v>0</v>
      </c>
      <c r="I1176" s="18">
        <v>10895.88</v>
      </c>
      <c r="J1176" s="27">
        <v>16089.72</v>
      </c>
      <c r="K1176" s="18">
        <f t="shared" si="37"/>
        <v>0</v>
      </c>
      <c r="L1176" s="27">
        <v>11598.18</v>
      </c>
      <c r="M1176" s="36">
        <v>702.3</v>
      </c>
      <c r="T1176" s="41">
        <v>0</v>
      </c>
      <c r="U1176" s="41">
        <v>0</v>
      </c>
      <c r="V1176" s="42" t="s">
        <v>113</v>
      </c>
      <c r="W1176" s="42">
        <v>0</v>
      </c>
      <c r="X1176" s="42">
        <v>0</v>
      </c>
    </row>
    <row r="1177" spans="1:24">
      <c r="A1177" s="27" t="s">
        <v>2293</v>
      </c>
      <c r="B1177" s="28" t="s">
        <v>215</v>
      </c>
      <c r="C1177" s="27" t="s">
        <v>2294</v>
      </c>
      <c r="D1177" s="27" t="s">
        <v>112</v>
      </c>
      <c r="E1177" s="29">
        <v>40268</v>
      </c>
      <c r="F1177" s="27">
        <v>12</v>
      </c>
      <c r="G1177" s="18">
        <v>1916.06</v>
      </c>
      <c r="H1177" s="27">
        <f t="shared" si="36"/>
        <v>1916.06</v>
      </c>
      <c r="I1177" s="18">
        <v>1916.06</v>
      </c>
      <c r="J1177" s="27">
        <v>1916.06</v>
      </c>
      <c r="K1177" s="18">
        <f t="shared" si="37"/>
        <v>1916.06</v>
      </c>
      <c r="L1177" s="27">
        <v>1916.06</v>
      </c>
      <c r="M1177" s="36">
        <v>0</v>
      </c>
      <c r="T1177" s="41">
        <v>0</v>
      </c>
      <c r="U1177" s="41">
        <v>0</v>
      </c>
      <c r="V1177" s="42" t="s">
        <v>113</v>
      </c>
      <c r="W1177" s="42">
        <v>1916.06</v>
      </c>
      <c r="X1177" s="42">
        <v>1916.06</v>
      </c>
    </row>
    <row r="1178" spans="1:24">
      <c r="A1178" s="27" t="s">
        <v>2295</v>
      </c>
      <c r="B1178" s="28" t="s">
        <v>215</v>
      </c>
      <c r="C1178" s="27" t="s">
        <v>1011</v>
      </c>
      <c r="D1178" s="27" t="s">
        <v>230</v>
      </c>
      <c r="E1178" s="29">
        <v>40268</v>
      </c>
      <c r="F1178" s="27">
        <v>15</v>
      </c>
      <c r="G1178" s="18">
        <v>121587.55</v>
      </c>
      <c r="H1178" s="27">
        <f t="shared" si="36"/>
        <v>0</v>
      </c>
      <c r="I1178" s="18">
        <v>83100.5</v>
      </c>
      <c r="J1178" s="27">
        <v>121587.55</v>
      </c>
      <c r="K1178" s="18">
        <f t="shared" si="37"/>
        <v>0</v>
      </c>
      <c r="L1178" s="27">
        <v>88285.73</v>
      </c>
      <c r="M1178" s="36">
        <v>5185.2299999999996</v>
      </c>
      <c r="T1178" s="41">
        <v>0</v>
      </c>
      <c r="U1178" s="41">
        <v>0</v>
      </c>
      <c r="V1178" s="42" t="s">
        <v>113</v>
      </c>
      <c r="W1178" s="42">
        <v>0</v>
      </c>
      <c r="X1178" s="42">
        <v>0</v>
      </c>
    </row>
    <row r="1179" spans="1:24">
      <c r="A1179" s="27" t="s">
        <v>2296</v>
      </c>
      <c r="B1179" s="28" t="s">
        <v>215</v>
      </c>
      <c r="C1179" s="27" t="s">
        <v>2297</v>
      </c>
      <c r="D1179" s="27" t="s">
        <v>230</v>
      </c>
      <c r="E1179" s="29">
        <v>40268</v>
      </c>
      <c r="F1179" s="27">
        <v>15</v>
      </c>
      <c r="G1179" s="18">
        <v>125571.74</v>
      </c>
      <c r="H1179" s="27">
        <f t="shared" si="36"/>
        <v>0</v>
      </c>
      <c r="I1179" s="18">
        <v>105053.38</v>
      </c>
      <c r="J1179" s="27">
        <v>125571.74</v>
      </c>
      <c r="K1179" s="18">
        <f t="shared" si="37"/>
        <v>0</v>
      </c>
      <c r="L1179" s="27">
        <v>107331.74</v>
      </c>
      <c r="M1179" s="36">
        <v>2278.36</v>
      </c>
      <c r="T1179" s="41">
        <v>0</v>
      </c>
      <c r="U1179" s="41">
        <v>0</v>
      </c>
      <c r="V1179" s="42" t="s">
        <v>113</v>
      </c>
      <c r="W1179" s="42">
        <v>0</v>
      </c>
      <c r="X1179" s="42">
        <v>0</v>
      </c>
    </row>
    <row r="1180" spans="1:24">
      <c r="A1180" s="27" t="s">
        <v>2298</v>
      </c>
      <c r="B1180" s="28" t="s">
        <v>215</v>
      </c>
      <c r="C1180" s="27" t="s">
        <v>2299</v>
      </c>
      <c r="D1180" s="27" t="s">
        <v>112</v>
      </c>
      <c r="E1180" s="29">
        <v>40268</v>
      </c>
      <c r="F1180" s="27">
        <v>15</v>
      </c>
      <c r="G1180" s="18">
        <v>9786.08</v>
      </c>
      <c r="H1180" s="27">
        <f t="shared" si="36"/>
        <v>9786.08</v>
      </c>
      <c r="I1180" s="18">
        <v>9786.08</v>
      </c>
      <c r="J1180" s="27">
        <v>9786.08</v>
      </c>
      <c r="K1180" s="18">
        <f t="shared" si="37"/>
        <v>9786.08</v>
      </c>
      <c r="L1180" s="27">
        <v>9296.7800000000007</v>
      </c>
      <c r="M1180" s="36">
        <v>-489.3</v>
      </c>
      <c r="T1180" s="41">
        <v>0</v>
      </c>
      <c r="U1180" s="41">
        <v>0</v>
      </c>
      <c r="V1180" s="42" t="s">
        <v>113</v>
      </c>
      <c r="W1180" s="42">
        <v>9786.08</v>
      </c>
      <c r="X1180" s="42">
        <v>9786.08</v>
      </c>
    </row>
    <row r="1181" spans="1:24">
      <c r="A1181" s="27" t="s">
        <v>2300</v>
      </c>
      <c r="B1181" s="28" t="s">
        <v>215</v>
      </c>
      <c r="C1181" s="27" t="s">
        <v>485</v>
      </c>
      <c r="D1181" s="27" t="s">
        <v>112</v>
      </c>
      <c r="E1181" s="29">
        <v>40268</v>
      </c>
      <c r="F1181" s="27">
        <v>15</v>
      </c>
      <c r="G1181" s="18">
        <v>47631.42</v>
      </c>
      <c r="H1181" s="27">
        <f t="shared" si="36"/>
        <v>47631.42</v>
      </c>
      <c r="I1181" s="18">
        <v>47631.42</v>
      </c>
      <c r="J1181" s="27">
        <v>47631.42</v>
      </c>
      <c r="K1181" s="18">
        <f t="shared" si="37"/>
        <v>47631.42</v>
      </c>
      <c r="L1181" s="27">
        <v>45249.85</v>
      </c>
      <c r="M1181" s="36">
        <v>-2381.5700000000002</v>
      </c>
      <c r="T1181" s="41">
        <v>0</v>
      </c>
      <c r="U1181" s="41">
        <v>0</v>
      </c>
      <c r="V1181" s="42" t="s">
        <v>113</v>
      </c>
      <c r="W1181" s="42">
        <v>47631.42</v>
      </c>
      <c r="X1181" s="42">
        <v>47631.42</v>
      </c>
    </row>
    <row r="1182" spans="1:24">
      <c r="A1182" s="27" t="s">
        <v>2301</v>
      </c>
      <c r="B1182" s="28" t="s">
        <v>215</v>
      </c>
      <c r="C1182" s="27" t="s">
        <v>2302</v>
      </c>
      <c r="D1182" s="27" t="s">
        <v>112</v>
      </c>
      <c r="E1182" s="29">
        <v>40268</v>
      </c>
      <c r="F1182" s="27">
        <v>15</v>
      </c>
      <c r="G1182" s="18">
        <v>16089.72</v>
      </c>
      <c r="H1182" s="27">
        <f t="shared" si="36"/>
        <v>0</v>
      </c>
      <c r="I1182" s="18">
        <v>10895.89</v>
      </c>
      <c r="J1182" s="27">
        <v>16089.72</v>
      </c>
      <c r="K1182" s="18">
        <f t="shared" si="37"/>
        <v>0</v>
      </c>
      <c r="L1182" s="27">
        <v>11598.18</v>
      </c>
      <c r="M1182" s="36">
        <v>702.29</v>
      </c>
      <c r="T1182" s="41">
        <v>0</v>
      </c>
      <c r="U1182" s="41">
        <v>0</v>
      </c>
      <c r="V1182" s="42" t="s">
        <v>113</v>
      </c>
      <c r="W1182" s="42">
        <v>0</v>
      </c>
      <c r="X1182" s="42">
        <v>0</v>
      </c>
    </row>
    <row r="1183" spans="1:24">
      <c r="A1183" s="27" t="s">
        <v>2303</v>
      </c>
      <c r="B1183" s="28" t="s">
        <v>215</v>
      </c>
      <c r="C1183" s="27" t="s">
        <v>2304</v>
      </c>
      <c r="D1183" s="27" t="s">
        <v>112</v>
      </c>
      <c r="E1183" s="29">
        <v>40268</v>
      </c>
      <c r="F1183" s="27">
        <v>15</v>
      </c>
      <c r="G1183" s="18">
        <v>9058.67</v>
      </c>
      <c r="H1183" s="27">
        <f t="shared" si="36"/>
        <v>9058.67</v>
      </c>
      <c r="I1183" s="18">
        <v>9058.67</v>
      </c>
      <c r="J1183" s="27">
        <v>9058.67</v>
      </c>
      <c r="K1183" s="18">
        <f t="shared" si="37"/>
        <v>9058.67</v>
      </c>
      <c r="L1183" s="27">
        <v>8605.74</v>
      </c>
      <c r="M1183" s="36">
        <v>-452.93</v>
      </c>
      <c r="T1183" s="41">
        <v>0</v>
      </c>
      <c r="U1183" s="41">
        <v>0</v>
      </c>
      <c r="V1183" s="42" t="s">
        <v>113</v>
      </c>
      <c r="W1183" s="42">
        <v>9058.67</v>
      </c>
      <c r="X1183" s="42">
        <v>9058.67</v>
      </c>
    </row>
    <row r="1184" spans="1:24">
      <c r="A1184" s="27" t="s">
        <v>2305</v>
      </c>
      <c r="B1184" s="28" t="s">
        <v>215</v>
      </c>
      <c r="C1184" s="27" t="s">
        <v>2306</v>
      </c>
      <c r="D1184" s="27" t="s">
        <v>112</v>
      </c>
      <c r="E1184" s="29">
        <v>40268</v>
      </c>
      <c r="F1184" s="27">
        <v>15</v>
      </c>
      <c r="G1184" s="18">
        <v>9058.64</v>
      </c>
      <c r="H1184" s="27">
        <f t="shared" si="36"/>
        <v>9058.64</v>
      </c>
      <c r="I1184" s="18">
        <v>9058.64</v>
      </c>
      <c r="J1184" s="27">
        <v>9058.64</v>
      </c>
      <c r="K1184" s="18">
        <f t="shared" si="37"/>
        <v>9058.64</v>
      </c>
      <c r="L1184" s="27">
        <v>8605.7099999999991</v>
      </c>
      <c r="M1184" s="36">
        <v>-452.93</v>
      </c>
      <c r="T1184" s="41">
        <v>0</v>
      </c>
      <c r="U1184" s="41">
        <v>0</v>
      </c>
      <c r="V1184" s="42" t="s">
        <v>113</v>
      </c>
      <c r="W1184" s="42">
        <v>9058.64</v>
      </c>
      <c r="X1184" s="42">
        <v>9058.64</v>
      </c>
    </row>
    <row r="1185" spans="1:24">
      <c r="A1185" s="27" t="s">
        <v>2307</v>
      </c>
      <c r="B1185" s="28" t="s">
        <v>215</v>
      </c>
      <c r="C1185" s="27" t="s">
        <v>2308</v>
      </c>
      <c r="D1185" s="27" t="s">
        <v>230</v>
      </c>
      <c r="E1185" s="29">
        <v>40268</v>
      </c>
      <c r="F1185" s="27">
        <v>15</v>
      </c>
      <c r="G1185" s="18">
        <v>125571.74</v>
      </c>
      <c r="H1185" s="27">
        <f t="shared" si="36"/>
        <v>0</v>
      </c>
      <c r="I1185" s="18">
        <v>105053.38</v>
      </c>
      <c r="J1185" s="27">
        <v>125571.74</v>
      </c>
      <c r="K1185" s="18">
        <f t="shared" si="37"/>
        <v>0</v>
      </c>
      <c r="L1185" s="27">
        <v>107331.74</v>
      </c>
      <c r="M1185" s="36">
        <v>2278.36</v>
      </c>
      <c r="T1185" s="41">
        <v>0</v>
      </c>
      <c r="U1185" s="41">
        <v>0</v>
      </c>
      <c r="V1185" s="42" t="s">
        <v>113</v>
      </c>
      <c r="W1185" s="42">
        <v>0</v>
      </c>
      <c r="X1185" s="42">
        <v>0</v>
      </c>
    </row>
    <row r="1186" spans="1:24">
      <c r="A1186" s="27" t="s">
        <v>2309</v>
      </c>
      <c r="B1186" s="28" t="s">
        <v>215</v>
      </c>
      <c r="C1186" s="27" t="s">
        <v>2310</v>
      </c>
      <c r="D1186" s="27" t="s">
        <v>230</v>
      </c>
      <c r="E1186" s="29">
        <v>40268</v>
      </c>
      <c r="F1186" s="27">
        <v>15</v>
      </c>
      <c r="G1186" s="18">
        <v>125571.74</v>
      </c>
      <c r="H1186" s="27">
        <f t="shared" si="36"/>
        <v>0</v>
      </c>
      <c r="I1186" s="18">
        <v>105053.39</v>
      </c>
      <c r="J1186" s="27">
        <v>125571.74</v>
      </c>
      <c r="K1186" s="18">
        <f t="shared" si="37"/>
        <v>0</v>
      </c>
      <c r="L1186" s="27">
        <v>107331.75</v>
      </c>
      <c r="M1186" s="36">
        <v>2278.36</v>
      </c>
      <c r="T1186" s="41">
        <v>0</v>
      </c>
      <c r="U1186" s="41">
        <v>0</v>
      </c>
      <c r="V1186" s="42" t="s">
        <v>113</v>
      </c>
      <c r="W1186" s="42">
        <v>0</v>
      </c>
      <c r="X1186" s="42">
        <v>0</v>
      </c>
    </row>
    <row r="1187" spans="1:24">
      <c r="A1187" s="27" t="s">
        <v>2311</v>
      </c>
      <c r="B1187" s="28" t="s">
        <v>215</v>
      </c>
      <c r="C1187" s="27" t="s">
        <v>2312</v>
      </c>
      <c r="D1187" s="27" t="s">
        <v>112</v>
      </c>
      <c r="E1187" s="29">
        <v>40268</v>
      </c>
      <c r="F1187" s="27">
        <v>15</v>
      </c>
      <c r="G1187" s="18">
        <v>29358.240000000002</v>
      </c>
      <c r="H1187" s="27">
        <f t="shared" si="36"/>
        <v>29358.240000000002</v>
      </c>
      <c r="I1187" s="18">
        <v>29358.240000000002</v>
      </c>
      <c r="J1187" s="27">
        <v>29358.240000000002</v>
      </c>
      <c r="K1187" s="18">
        <f t="shared" si="37"/>
        <v>29358.240000000002</v>
      </c>
      <c r="L1187" s="27">
        <v>27890.33</v>
      </c>
      <c r="M1187" s="36">
        <v>-1467.91</v>
      </c>
      <c r="T1187" s="41">
        <v>0</v>
      </c>
      <c r="U1187" s="41">
        <v>0</v>
      </c>
      <c r="V1187" s="42" t="s">
        <v>113</v>
      </c>
      <c r="W1187" s="42">
        <v>29358.240000000002</v>
      </c>
      <c r="X1187" s="42">
        <v>29358.240000000002</v>
      </c>
    </row>
    <row r="1188" spans="1:24">
      <c r="A1188" s="27" t="s">
        <v>2313</v>
      </c>
      <c r="B1188" s="28" t="s">
        <v>215</v>
      </c>
      <c r="C1188" s="27" t="s">
        <v>2314</v>
      </c>
      <c r="D1188" s="27" t="s">
        <v>112</v>
      </c>
      <c r="E1188" s="29">
        <v>40268</v>
      </c>
      <c r="F1188" s="27">
        <v>15</v>
      </c>
      <c r="G1188" s="18">
        <v>9786.14</v>
      </c>
      <c r="H1188" s="27">
        <f t="shared" si="36"/>
        <v>9786.14</v>
      </c>
      <c r="I1188" s="18">
        <v>9786.14</v>
      </c>
      <c r="J1188" s="27">
        <v>9786.14</v>
      </c>
      <c r="K1188" s="18">
        <f t="shared" si="37"/>
        <v>9786.14</v>
      </c>
      <c r="L1188" s="27">
        <v>9296.83</v>
      </c>
      <c r="M1188" s="36">
        <v>-489.31</v>
      </c>
      <c r="T1188" s="41">
        <v>0</v>
      </c>
      <c r="U1188" s="41">
        <v>0</v>
      </c>
      <c r="V1188" s="42" t="s">
        <v>113</v>
      </c>
      <c r="W1188" s="42">
        <v>9786.14</v>
      </c>
      <c r="X1188" s="42">
        <v>9786.14</v>
      </c>
    </row>
    <row r="1189" spans="1:24">
      <c r="A1189" s="27" t="s">
        <v>2315</v>
      </c>
      <c r="B1189" s="28" t="s">
        <v>215</v>
      </c>
      <c r="C1189" s="27" t="s">
        <v>2006</v>
      </c>
      <c r="D1189" s="27" t="s">
        <v>112</v>
      </c>
      <c r="E1189" s="29">
        <v>40074</v>
      </c>
      <c r="F1189" s="27">
        <v>15</v>
      </c>
      <c r="G1189" s="18">
        <v>158237.22</v>
      </c>
      <c r="H1189" s="27">
        <f t="shared" si="36"/>
        <v>0</v>
      </c>
      <c r="I1189" s="18">
        <v>135692.06</v>
      </c>
      <c r="J1189" s="27">
        <v>158237.22</v>
      </c>
      <c r="K1189" s="18">
        <f t="shared" si="37"/>
        <v>0</v>
      </c>
      <c r="L1189" s="27">
        <v>139350.39000000001</v>
      </c>
      <c r="M1189" s="36">
        <v>3658.33</v>
      </c>
      <c r="T1189" s="41">
        <v>0</v>
      </c>
      <c r="U1189" s="41">
        <v>0</v>
      </c>
      <c r="V1189" s="42" t="s">
        <v>113</v>
      </c>
      <c r="W1189" s="42">
        <v>0</v>
      </c>
      <c r="X1189" s="42">
        <v>0</v>
      </c>
    </row>
    <row r="1190" spans="1:24">
      <c r="A1190" s="27" t="s">
        <v>2316</v>
      </c>
      <c r="B1190" s="28" t="s">
        <v>215</v>
      </c>
      <c r="C1190" s="27" t="s">
        <v>1245</v>
      </c>
      <c r="D1190" s="27" t="s">
        <v>230</v>
      </c>
      <c r="E1190" s="29">
        <v>41272</v>
      </c>
      <c r="F1190" s="27">
        <v>15</v>
      </c>
      <c r="G1190" s="18">
        <v>218753.4</v>
      </c>
      <c r="H1190" s="27">
        <f t="shared" si="36"/>
        <v>218753.4</v>
      </c>
      <c r="I1190" s="18">
        <v>217459.33</v>
      </c>
      <c r="J1190" s="27">
        <v>218753.4</v>
      </c>
      <c r="K1190" s="18">
        <f t="shared" si="37"/>
        <v>218753.4</v>
      </c>
      <c r="L1190" s="27">
        <v>207815.73</v>
      </c>
      <c r="M1190" s="36">
        <v>-9643.6</v>
      </c>
      <c r="T1190" s="41">
        <v>0</v>
      </c>
      <c r="U1190" s="41">
        <v>0</v>
      </c>
      <c r="V1190" s="42" t="s">
        <v>113</v>
      </c>
      <c r="W1190" s="42">
        <v>218753.4</v>
      </c>
      <c r="X1190" s="42">
        <v>218753.4</v>
      </c>
    </row>
    <row r="1191" spans="1:24">
      <c r="A1191" s="27" t="s">
        <v>2317</v>
      </c>
      <c r="B1191" s="28" t="s">
        <v>215</v>
      </c>
      <c r="C1191" s="27" t="s">
        <v>2318</v>
      </c>
      <c r="D1191" s="27" t="s">
        <v>230</v>
      </c>
      <c r="E1191" s="29">
        <v>41272</v>
      </c>
      <c r="F1191" s="27">
        <v>15</v>
      </c>
      <c r="G1191" s="18">
        <v>159918.79</v>
      </c>
      <c r="H1191" s="27">
        <f t="shared" si="36"/>
        <v>0</v>
      </c>
      <c r="I1191" s="18">
        <v>135658.85999999999</v>
      </c>
      <c r="J1191" s="27">
        <v>159918.79</v>
      </c>
      <c r="K1191" s="18">
        <f t="shared" si="37"/>
        <v>0</v>
      </c>
      <c r="L1191" s="27">
        <v>137465.97</v>
      </c>
      <c r="M1191" s="36">
        <v>1807.11</v>
      </c>
      <c r="T1191" s="41">
        <v>0</v>
      </c>
      <c r="U1191" s="41">
        <v>0</v>
      </c>
      <c r="V1191" s="42" t="s">
        <v>113</v>
      </c>
      <c r="W1191" s="42">
        <v>0</v>
      </c>
      <c r="X1191" s="42">
        <v>0</v>
      </c>
    </row>
    <row r="1192" spans="1:24">
      <c r="A1192" s="27" t="s">
        <v>2319</v>
      </c>
      <c r="B1192" s="28" t="s">
        <v>215</v>
      </c>
      <c r="C1192" s="27" t="s">
        <v>2320</v>
      </c>
      <c r="D1192" s="27" t="s">
        <v>230</v>
      </c>
      <c r="E1192" s="29">
        <v>41272</v>
      </c>
      <c r="F1192" s="27">
        <v>15</v>
      </c>
      <c r="G1192" s="18">
        <v>159918.78</v>
      </c>
      <c r="H1192" s="27">
        <f t="shared" si="36"/>
        <v>0</v>
      </c>
      <c r="I1192" s="18">
        <v>135658.84</v>
      </c>
      <c r="J1192" s="27">
        <v>159918.78</v>
      </c>
      <c r="K1192" s="18">
        <f t="shared" si="37"/>
        <v>0</v>
      </c>
      <c r="L1192" s="27">
        <v>137465.95000000001</v>
      </c>
      <c r="M1192" s="36">
        <v>1807.11</v>
      </c>
      <c r="T1192" s="41">
        <v>0</v>
      </c>
      <c r="U1192" s="41">
        <v>0</v>
      </c>
      <c r="V1192" s="42" t="s">
        <v>113</v>
      </c>
      <c r="W1192" s="42">
        <v>0</v>
      </c>
      <c r="X1192" s="42">
        <v>0</v>
      </c>
    </row>
    <row r="1193" spans="1:24">
      <c r="A1193" s="27" t="s">
        <v>2321</v>
      </c>
      <c r="B1193" s="28" t="s">
        <v>215</v>
      </c>
      <c r="C1193" s="27" t="s">
        <v>1237</v>
      </c>
      <c r="D1193" s="27" t="s">
        <v>230</v>
      </c>
      <c r="E1193" s="29">
        <v>41272</v>
      </c>
      <c r="F1193" s="27">
        <v>15</v>
      </c>
      <c r="G1193" s="18">
        <v>300575.49</v>
      </c>
      <c r="H1193" s="27">
        <f t="shared" si="36"/>
        <v>300575.49</v>
      </c>
      <c r="I1193" s="18">
        <v>300575.49</v>
      </c>
      <c r="J1193" s="27">
        <v>300575.49</v>
      </c>
      <c r="K1193" s="18">
        <f t="shared" si="37"/>
        <v>300575.49</v>
      </c>
      <c r="L1193" s="27">
        <v>285546.71999999997</v>
      </c>
      <c r="M1193" s="36">
        <v>-15028.77</v>
      </c>
      <c r="T1193" s="41">
        <v>0</v>
      </c>
      <c r="U1193" s="41">
        <v>0</v>
      </c>
      <c r="V1193" s="42" t="s">
        <v>113</v>
      </c>
      <c r="W1193" s="42">
        <v>300575.49</v>
      </c>
      <c r="X1193" s="42">
        <v>300575.49</v>
      </c>
    </row>
    <row r="1194" spans="1:24">
      <c r="A1194" s="27" t="s">
        <v>2322</v>
      </c>
      <c r="B1194" s="28" t="s">
        <v>215</v>
      </c>
      <c r="C1194" s="27" t="s">
        <v>1011</v>
      </c>
      <c r="D1194" s="27" t="s">
        <v>230</v>
      </c>
      <c r="E1194" s="29">
        <v>41272</v>
      </c>
      <c r="F1194" s="27">
        <v>15</v>
      </c>
      <c r="G1194" s="18">
        <v>149469.60999999999</v>
      </c>
      <c r="H1194" s="27">
        <f t="shared" si="36"/>
        <v>0</v>
      </c>
      <c r="I1194" s="18">
        <v>135215.38</v>
      </c>
      <c r="J1194" s="27">
        <v>149469.60999999999</v>
      </c>
      <c r="K1194" s="18">
        <f t="shared" si="37"/>
        <v>0</v>
      </c>
      <c r="L1194" s="27">
        <v>135968.79999999999</v>
      </c>
      <c r="M1194" s="36">
        <v>753.42</v>
      </c>
      <c r="T1194" s="41">
        <v>0</v>
      </c>
      <c r="U1194" s="41">
        <v>0</v>
      </c>
      <c r="V1194" s="42" t="s">
        <v>113</v>
      </c>
      <c r="W1194" s="42">
        <v>0</v>
      </c>
      <c r="X1194" s="42">
        <v>0</v>
      </c>
    </row>
    <row r="1195" spans="1:24">
      <c r="A1195" s="27" t="s">
        <v>2323</v>
      </c>
      <c r="B1195" s="28" t="s">
        <v>215</v>
      </c>
      <c r="C1195" s="27" t="s">
        <v>2324</v>
      </c>
      <c r="D1195" s="27" t="s">
        <v>230</v>
      </c>
      <c r="E1195" s="29">
        <v>41272</v>
      </c>
      <c r="F1195" s="27">
        <v>15</v>
      </c>
      <c r="G1195" s="18">
        <v>151203.84</v>
      </c>
      <c r="H1195" s="27">
        <f t="shared" si="36"/>
        <v>0</v>
      </c>
      <c r="I1195" s="18">
        <v>131993.19</v>
      </c>
      <c r="J1195" s="27">
        <v>151203.84</v>
      </c>
      <c r="K1195" s="18">
        <f t="shared" si="37"/>
        <v>0</v>
      </c>
      <c r="L1195" s="27">
        <v>133287.69</v>
      </c>
      <c r="M1195" s="36">
        <v>1294.5</v>
      </c>
      <c r="T1195" s="41">
        <v>0</v>
      </c>
      <c r="U1195" s="41">
        <v>0</v>
      </c>
      <c r="V1195" s="42" t="s">
        <v>113</v>
      </c>
      <c r="W1195" s="42">
        <v>0</v>
      </c>
      <c r="X1195" s="42">
        <v>0</v>
      </c>
    </row>
    <row r="1196" spans="1:24">
      <c r="A1196" s="27" t="s">
        <v>2325</v>
      </c>
      <c r="B1196" s="28" t="s">
        <v>215</v>
      </c>
      <c r="C1196" s="27" t="s">
        <v>2326</v>
      </c>
      <c r="D1196" s="27" t="s">
        <v>118</v>
      </c>
      <c r="E1196" s="29">
        <v>40079</v>
      </c>
      <c r="F1196" s="27">
        <v>15</v>
      </c>
      <c r="G1196" s="18">
        <v>11200</v>
      </c>
      <c r="H1196" s="27">
        <f t="shared" si="36"/>
        <v>11200</v>
      </c>
      <c r="I1196" s="18">
        <v>10640</v>
      </c>
      <c r="J1196" s="27">
        <v>11200</v>
      </c>
      <c r="K1196" s="18">
        <f t="shared" si="37"/>
        <v>11200</v>
      </c>
      <c r="L1196" s="27">
        <v>10640</v>
      </c>
      <c r="M1196" s="36">
        <v>0</v>
      </c>
      <c r="T1196" s="41">
        <v>0</v>
      </c>
      <c r="U1196" s="41">
        <v>0</v>
      </c>
      <c r="V1196" s="42" t="s">
        <v>113</v>
      </c>
      <c r="W1196" s="42">
        <v>11200</v>
      </c>
      <c r="X1196" s="42">
        <v>11200</v>
      </c>
    </row>
    <row r="1197" spans="1:24">
      <c r="A1197" s="27" t="s">
        <v>2327</v>
      </c>
      <c r="B1197" s="28" t="s">
        <v>215</v>
      </c>
      <c r="C1197" s="27" t="s">
        <v>2328</v>
      </c>
      <c r="D1197" s="27" t="s">
        <v>118</v>
      </c>
      <c r="E1197" s="29">
        <v>40079</v>
      </c>
      <c r="F1197" s="27">
        <v>15</v>
      </c>
      <c r="G1197" s="18">
        <v>12000</v>
      </c>
      <c r="H1197" s="27">
        <f t="shared" si="36"/>
        <v>12000</v>
      </c>
      <c r="I1197" s="18">
        <v>11400</v>
      </c>
      <c r="J1197" s="27">
        <v>12000</v>
      </c>
      <c r="K1197" s="18">
        <f t="shared" si="37"/>
        <v>12000</v>
      </c>
      <c r="L1197" s="27">
        <v>11400</v>
      </c>
      <c r="M1197" s="36">
        <v>0</v>
      </c>
      <c r="T1197" s="41">
        <v>0</v>
      </c>
      <c r="U1197" s="41">
        <v>0</v>
      </c>
      <c r="V1197" s="42" t="s">
        <v>113</v>
      </c>
      <c r="W1197" s="42">
        <v>12000</v>
      </c>
      <c r="X1197" s="42">
        <v>12000</v>
      </c>
    </row>
    <row r="1198" spans="1:24">
      <c r="A1198" s="27" t="s">
        <v>2329</v>
      </c>
      <c r="B1198" s="28" t="s">
        <v>215</v>
      </c>
      <c r="C1198" s="27" t="s">
        <v>2330</v>
      </c>
      <c r="D1198" s="27" t="s">
        <v>118</v>
      </c>
      <c r="E1198" s="29">
        <v>40079</v>
      </c>
      <c r="F1198" s="27">
        <v>15</v>
      </c>
      <c r="G1198" s="18">
        <v>12000</v>
      </c>
      <c r="H1198" s="27">
        <f t="shared" si="36"/>
        <v>12000</v>
      </c>
      <c r="I1198" s="18">
        <v>11400</v>
      </c>
      <c r="J1198" s="27">
        <v>12000</v>
      </c>
      <c r="K1198" s="18">
        <f t="shared" si="37"/>
        <v>12000</v>
      </c>
      <c r="L1198" s="27">
        <v>11400</v>
      </c>
      <c r="M1198" s="36">
        <v>0</v>
      </c>
      <c r="T1198" s="41">
        <v>0</v>
      </c>
      <c r="U1198" s="41">
        <v>0</v>
      </c>
      <c r="V1198" s="42" t="s">
        <v>113</v>
      </c>
      <c r="W1198" s="42">
        <v>12000</v>
      </c>
      <c r="X1198" s="42">
        <v>12000</v>
      </c>
    </row>
    <row r="1199" spans="1:24">
      <c r="A1199" s="27" t="s">
        <v>2331</v>
      </c>
      <c r="B1199" s="28" t="s">
        <v>215</v>
      </c>
      <c r="C1199" s="27" t="s">
        <v>2332</v>
      </c>
      <c r="D1199" s="27" t="s">
        <v>118</v>
      </c>
      <c r="E1199" s="29">
        <v>39387</v>
      </c>
      <c r="F1199" s="27">
        <v>12</v>
      </c>
      <c r="G1199" s="18">
        <v>2400</v>
      </c>
      <c r="H1199" s="27">
        <f t="shared" si="36"/>
        <v>2400</v>
      </c>
      <c r="I1199" s="18">
        <v>2400</v>
      </c>
      <c r="J1199" s="27">
        <v>2400</v>
      </c>
      <c r="K1199" s="18">
        <f t="shared" si="37"/>
        <v>2400</v>
      </c>
      <c r="L1199" s="27">
        <v>2400</v>
      </c>
      <c r="M1199" s="36">
        <v>0</v>
      </c>
      <c r="T1199" s="41">
        <v>0</v>
      </c>
      <c r="U1199" s="41">
        <v>0</v>
      </c>
      <c r="V1199" s="42" t="s">
        <v>113</v>
      </c>
      <c r="W1199" s="42">
        <v>2400</v>
      </c>
      <c r="X1199" s="42">
        <v>2400</v>
      </c>
    </row>
    <row r="1200" spans="1:24">
      <c r="A1200" s="27" t="s">
        <v>2333</v>
      </c>
      <c r="B1200" s="28" t="s">
        <v>215</v>
      </c>
      <c r="C1200" s="27" t="s">
        <v>2334</v>
      </c>
      <c r="D1200" s="27" t="s">
        <v>118</v>
      </c>
      <c r="E1200" s="29">
        <v>39387</v>
      </c>
      <c r="F1200" s="27">
        <v>12</v>
      </c>
      <c r="G1200" s="18">
        <v>2400</v>
      </c>
      <c r="H1200" s="27">
        <f t="shared" si="36"/>
        <v>2400</v>
      </c>
      <c r="I1200" s="18">
        <v>2400</v>
      </c>
      <c r="J1200" s="27">
        <v>2400</v>
      </c>
      <c r="K1200" s="18">
        <f t="shared" si="37"/>
        <v>2400</v>
      </c>
      <c r="L1200" s="27">
        <v>2400</v>
      </c>
      <c r="M1200" s="36">
        <v>0</v>
      </c>
      <c r="T1200" s="41">
        <v>0</v>
      </c>
      <c r="U1200" s="41">
        <v>0</v>
      </c>
      <c r="V1200" s="42" t="s">
        <v>113</v>
      </c>
      <c r="W1200" s="42">
        <v>2400</v>
      </c>
      <c r="X1200" s="42">
        <v>2400</v>
      </c>
    </row>
    <row r="1201" spans="1:24">
      <c r="A1201" s="27" t="s">
        <v>2335</v>
      </c>
      <c r="B1201" s="28" t="s">
        <v>215</v>
      </c>
      <c r="C1201" s="27" t="s">
        <v>2336</v>
      </c>
      <c r="D1201" s="27" t="s">
        <v>118</v>
      </c>
      <c r="E1201" s="29">
        <v>39387</v>
      </c>
      <c r="F1201" s="27">
        <v>12</v>
      </c>
      <c r="G1201" s="18">
        <v>2400</v>
      </c>
      <c r="H1201" s="27">
        <f t="shared" si="36"/>
        <v>2400</v>
      </c>
      <c r="I1201" s="18">
        <v>2400</v>
      </c>
      <c r="J1201" s="27">
        <v>2400</v>
      </c>
      <c r="K1201" s="18">
        <f t="shared" si="37"/>
        <v>2400</v>
      </c>
      <c r="L1201" s="27">
        <v>2400</v>
      </c>
      <c r="M1201" s="36">
        <v>0</v>
      </c>
      <c r="T1201" s="41">
        <v>0</v>
      </c>
      <c r="U1201" s="41">
        <v>0</v>
      </c>
      <c r="V1201" s="42" t="s">
        <v>113</v>
      </c>
      <c r="W1201" s="42">
        <v>2400</v>
      </c>
      <c r="X1201" s="42">
        <v>2400</v>
      </c>
    </row>
    <row r="1202" spans="1:24">
      <c r="A1202" s="27" t="s">
        <v>2337</v>
      </c>
      <c r="B1202" s="28" t="s">
        <v>215</v>
      </c>
      <c r="C1202" s="27" t="s">
        <v>2338</v>
      </c>
      <c r="D1202" s="27" t="s">
        <v>118</v>
      </c>
      <c r="E1202" s="29">
        <v>40179</v>
      </c>
      <c r="F1202" s="27">
        <v>15</v>
      </c>
      <c r="G1202" s="18">
        <v>65000</v>
      </c>
      <c r="H1202" s="27">
        <f t="shared" si="36"/>
        <v>65000</v>
      </c>
      <c r="I1202" s="18">
        <v>61750</v>
      </c>
      <c r="J1202" s="27">
        <v>65000</v>
      </c>
      <c r="K1202" s="18">
        <f t="shared" si="37"/>
        <v>65000</v>
      </c>
      <c r="L1202" s="27">
        <v>61750</v>
      </c>
      <c r="M1202" s="36">
        <v>0</v>
      </c>
      <c r="T1202" s="41">
        <v>0</v>
      </c>
      <c r="U1202" s="41">
        <v>0</v>
      </c>
      <c r="V1202" s="42" t="s">
        <v>113</v>
      </c>
      <c r="W1202" s="42">
        <v>65000</v>
      </c>
      <c r="X1202" s="42">
        <v>65000</v>
      </c>
    </row>
    <row r="1203" spans="1:24">
      <c r="A1203" s="27" t="s">
        <v>2339</v>
      </c>
      <c r="B1203" s="28" t="s">
        <v>215</v>
      </c>
      <c r="C1203" s="27" t="s">
        <v>2340</v>
      </c>
      <c r="D1203" s="27" t="s">
        <v>118</v>
      </c>
      <c r="E1203" s="29">
        <v>40079</v>
      </c>
      <c r="F1203" s="27">
        <v>15</v>
      </c>
      <c r="G1203" s="18">
        <v>8000</v>
      </c>
      <c r="H1203" s="27">
        <f t="shared" si="36"/>
        <v>8000</v>
      </c>
      <c r="I1203" s="18">
        <v>7600</v>
      </c>
      <c r="J1203" s="27">
        <v>8000</v>
      </c>
      <c r="K1203" s="18">
        <f t="shared" si="37"/>
        <v>8000</v>
      </c>
      <c r="L1203" s="27">
        <v>7600</v>
      </c>
      <c r="M1203" s="36">
        <v>0</v>
      </c>
      <c r="T1203" s="41">
        <v>0</v>
      </c>
      <c r="U1203" s="41">
        <v>0</v>
      </c>
      <c r="V1203" s="42" t="s">
        <v>113</v>
      </c>
      <c r="W1203" s="42">
        <v>8000</v>
      </c>
      <c r="X1203" s="42">
        <v>8000</v>
      </c>
    </row>
    <row r="1204" spans="1:24">
      <c r="A1204" s="27" t="s">
        <v>2341</v>
      </c>
      <c r="B1204" s="28" t="s">
        <v>215</v>
      </c>
      <c r="C1204" s="27" t="s">
        <v>2342</v>
      </c>
      <c r="D1204" s="27" t="s">
        <v>118</v>
      </c>
      <c r="E1204" s="29">
        <v>40079</v>
      </c>
      <c r="F1204" s="27">
        <v>15</v>
      </c>
      <c r="G1204" s="18">
        <v>8000</v>
      </c>
      <c r="H1204" s="27">
        <f t="shared" si="36"/>
        <v>8000</v>
      </c>
      <c r="I1204" s="18">
        <v>7600</v>
      </c>
      <c r="J1204" s="27">
        <v>8000</v>
      </c>
      <c r="K1204" s="18">
        <f t="shared" si="37"/>
        <v>8000</v>
      </c>
      <c r="L1204" s="27">
        <v>7600</v>
      </c>
      <c r="M1204" s="36">
        <v>0</v>
      </c>
      <c r="T1204" s="41">
        <v>0</v>
      </c>
      <c r="U1204" s="41">
        <v>0</v>
      </c>
      <c r="V1204" s="42" t="s">
        <v>113</v>
      </c>
      <c r="W1204" s="42">
        <v>8000</v>
      </c>
      <c r="X1204" s="42">
        <v>8000</v>
      </c>
    </row>
    <row r="1205" spans="1:24">
      <c r="A1205" s="27" t="s">
        <v>2343</v>
      </c>
      <c r="B1205" s="28" t="s">
        <v>215</v>
      </c>
      <c r="C1205" s="27" t="s">
        <v>2344</v>
      </c>
      <c r="D1205" s="27" t="s">
        <v>118</v>
      </c>
      <c r="E1205" s="29">
        <v>39387</v>
      </c>
      <c r="F1205" s="27">
        <v>12</v>
      </c>
      <c r="G1205" s="18">
        <v>2400</v>
      </c>
      <c r="H1205" s="27">
        <f t="shared" si="36"/>
        <v>2400</v>
      </c>
      <c r="I1205" s="18">
        <v>2400</v>
      </c>
      <c r="J1205" s="27">
        <v>2400</v>
      </c>
      <c r="K1205" s="18">
        <f t="shared" si="37"/>
        <v>2400</v>
      </c>
      <c r="L1205" s="27">
        <v>2400</v>
      </c>
      <c r="M1205" s="36">
        <v>0</v>
      </c>
      <c r="T1205" s="41">
        <v>0</v>
      </c>
      <c r="U1205" s="41">
        <v>0</v>
      </c>
      <c r="V1205" s="42" t="s">
        <v>113</v>
      </c>
      <c r="W1205" s="42">
        <v>2400</v>
      </c>
      <c r="X1205" s="42">
        <v>2400</v>
      </c>
    </row>
    <row r="1206" spans="1:24">
      <c r="A1206" s="27" t="s">
        <v>2345</v>
      </c>
      <c r="B1206" s="28" t="s">
        <v>215</v>
      </c>
      <c r="C1206" s="27" t="s">
        <v>2346</v>
      </c>
      <c r="D1206" s="27" t="s">
        <v>118</v>
      </c>
      <c r="E1206" s="29">
        <v>39387</v>
      </c>
      <c r="F1206" s="27">
        <v>12</v>
      </c>
      <c r="G1206" s="18">
        <v>2400</v>
      </c>
      <c r="H1206" s="27">
        <f t="shared" si="36"/>
        <v>2400</v>
      </c>
      <c r="I1206" s="18">
        <v>2400</v>
      </c>
      <c r="J1206" s="27">
        <v>2400</v>
      </c>
      <c r="K1206" s="18">
        <f t="shared" si="37"/>
        <v>2400</v>
      </c>
      <c r="L1206" s="27">
        <v>2400</v>
      </c>
      <c r="M1206" s="36">
        <v>0</v>
      </c>
      <c r="T1206" s="41">
        <v>0</v>
      </c>
      <c r="U1206" s="41">
        <v>0</v>
      </c>
      <c r="V1206" s="42" t="s">
        <v>113</v>
      </c>
      <c r="W1206" s="42">
        <v>2400</v>
      </c>
      <c r="X1206" s="42">
        <v>2400</v>
      </c>
    </row>
    <row r="1207" spans="1:24">
      <c r="A1207" s="27" t="s">
        <v>2347</v>
      </c>
      <c r="B1207" s="28" t="s">
        <v>215</v>
      </c>
      <c r="C1207" s="27" t="s">
        <v>2348</v>
      </c>
      <c r="D1207" s="27" t="s">
        <v>118</v>
      </c>
      <c r="E1207" s="29">
        <v>39387</v>
      </c>
      <c r="F1207" s="27">
        <v>12</v>
      </c>
      <c r="G1207" s="18">
        <v>2400</v>
      </c>
      <c r="H1207" s="27">
        <f t="shared" si="36"/>
        <v>2400</v>
      </c>
      <c r="I1207" s="18">
        <v>2400</v>
      </c>
      <c r="J1207" s="27">
        <v>2400</v>
      </c>
      <c r="K1207" s="18">
        <f t="shared" si="37"/>
        <v>2400</v>
      </c>
      <c r="L1207" s="27">
        <v>2400</v>
      </c>
      <c r="M1207" s="36">
        <v>0</v>
      </c>
      <c r="T1207" s="41">
        <v>0</v>
      </c>
      <c r="U1207" s="41">
        <v>0</v>
      </c>
      <c r="V1207" s="42" t="s">
        <v>113</v>
      </c>
      <c r="W1207" s="42">
        <v>2400</v>
      </c>
      <c r="X1207" s="42">
        <v>2400</v>
      </c>
    </row>
    <row r="1208" spans="1:24">
      <c r="A1208" s="27" t="s">
        <v>2349</v>
      </c>
      <c r="B1208" s="28" t="s">
        <v>215</v>
      </c>
      <c r="C1208" s="27" t="s">
        <v>2350</v>
      </c>
      <c r="D1208" s="27" t="s">
        <v>118</v>
      </c>
      <c r="E1208" s="29">
        <v>39387</v>
      </c>
      <c r="F1208" s="27">
        <v>12</v>
      </c>
      <c r="G1208" s="18">
        <v>2400</v>
      </c>
      <c r="H1208" s="27">
        <f t="shared" si="36"/>
        <v>2400</v>
      </c>
      <c r="I1208" s="18">
        <v>2400</v>
      </c>
      <c r="J1208" s="27">
        <v>2400</v>
      </c>
      <c r="K1208" s="18">
        <f t="shared" si="37"/>
        <v>2400</v>
      </c>
      <c r="L1208" s="27">
        <v>2400</v>
      </c>
      <c r="M1208" s="36">
        <v>0</v>
      </c>
      <c r="T1208" s="41">
        <v>0</v>
      </c>
      <c r="U1208" s="41">
        <v>0</v>
      </c>
      <c r="V1208" s="42" t="s">
        <v>113</v>
      </c>
      <c r="W1208" s="42">
        <v>2400</v>
      </c>
      <c r="X1208" s="42">
        <v>2400</v>
      </c>
    </row>
    <row r="1209" spans="1:24">
      <c r="A1209" s="27" t="s">
        <v>2351</v>
      </c>
      <c r="B1209" s="28" t="s">
        <v>215</v>
      </c>
      <c r="C1209" s="27" t="s">
        <v>2352</v>
      </c>
      <c r="D1209" s="27" t="s">
        <v>118</v>
      </c>
      <c r="E1209" s="29">
        <v>39387</v>
      </c>
      <c r="F1209" s="27">
        <v>12</v>
      </c>
      <c r="G1209" s="18">
        <v>2400</v>
      </c>
      <c r="H1209" s="27">
        <f t="shared" si="36"/>
        <v>2400</v>
      </c>
      <c r="I1209" s="18">
        <v>2400</v>
      </c>
      <c r="J1209" s="27">
        <v>2400</v>
      </c>
      <c r="K1209" s="18">
        <f t="shared" si="37"/>
        <v>2400</v>
      </c>
      <c r="L1209" s="27">
        <v>2400</v>
      </c>
      <c r="M1209" s="36">
        <v>0</v>
      </c>
      <c r="T1209" s="41">
        <v>0</v>
      </c>
      <c r="U1209" s="41">
        <v>0</v>
      </c>
      <c r="V1209" s="42" t="s">
        <v>113</v>
      </c>
      <c r="W1209" s="42">
        <v>2400</v>
      </c>
      <c r="X1209" s="42">
        <v>2400</v>
      </c>
    </row>
    <row r="1210" spans="1:24">
      <c r="A1210" s="27" t="s">
        <v>2353</v>
      </c>
      <c r="B1210" s="28" t="s">
        <v>215</v>
      </c>
      <c r="C1210" s="27" t="s">
        <v>2354</v>
      </c>
      <c r="D1210" s="27" t="s">
        <v>118</v>
      </c>
      <c r="E1210" s="29">
        <v>38564</v>
      </c>
      <c r="F1210" s="27">
        <v>12</v>
      </c>
      <c r="G1210" s="18">
        <v>1200</v>
      </c>
      <c r="H1210" s="27">
        <f t="shared" si="36"/>
        <v>1200</v>
      </c>
      <c r="I1210" s="18">
        <v>1200</v>
      </c>
      <c r="J1210" s="27">
        <v>1200</v>
      </c>
      <c r="K1210" s="18">
        <f t="shared" si="37"/>
        <v>1200</v>
      </c>
      <c r="L1210" s="27">
        <v>1200</v>
      </c>
      <c r="M1210" s="36">
        <v>0</v>
      </c>
      <c r="T1210" s="41">
        <v>0</v>
      </c>
      <c r="U1210" s="41">
        <v>0</v>
      </c>
      <c r="V1210" s="42" t="s">
        <v>113</v>
      </c>
      <c r="W1210" s="42">
        <v>1200</v>
      </c>
      <c r="X1210" s="42">
        <v>1200</v>
      </c>
    </row>
    <row r="1211" spans="1:24">
      <c r="A1211" s="27" t="s">
        <v>2355</v>
      </c>
      <c r="B1211" s="28" t="s">
        <v>215</v>
      </c>
      <c r="C1211" s="27" t="s">
        <v>2356</v>
      </c>
      <c r="D1211" s="27" t="s">
        <v>118</v>
      </c>
      <c r="E1211" s="29">
        <v>38564</v>
      </c>
      <c r="F1211" s="27">
        <v>12</v>
      </c>
      <c r="G1211" s="18">
        <v>1200</v>
      </c>
      <c r="H1211" s="27">
        <f t="shared" si="36"/>
        <v>1200</v>
      </c>
      <c r="I1211" s="18">
        <v>1200</v>
      </c>
      <c r="J1211" s="27">
        <v>1200</v>
      </c>
      <c r="K1211" s="18">
        <f t="shared" si="37"/>
        <v>1200</v>
      </c>
      <c r="L1211" s="27">
        <v>1200</v>
      </c>
      <c r="M1211" s="36">
        <v>0</v>
      </c>
      <c r="T1211" s="41">
        <v>0</v>
      </c>
      <c r="U1211" s="41">
        <v>0</v>
      </c>
      <c r="V1211" s="42" t="s">
        <v>113</v>
      </c>
      <c r="W1211" s="42">
        <v>1200</v>
      </c>
      <c r="X1211" s="42">
        <v>1200</v>
      </c>
    </row>
    <row r="1212" spans="1:24">
      <c r="A1212" s="27" t="s">
        <v>2357</v>
      </c>
      <c r="B1212" s="28" t="s">
        <v>215</v>
      </c>
      <c r="C1212" s="27" t="s">
        <v>2358</v>
      </c>
      <c r="D1212" s="27" t="s">
        <v>118</v>
      </c>
      <c r="E1212" s="29">
        <v>38564</v>
      </c>
      <c r="F1212" s="27">
        <v>12</v>
      </c>
      <c r="G1212" s="18">
        <v>1200</v>
      </c>
      <c r="H1212" s="27">
        <f t="shared" si="36"/>
        <v>1200</v>
      </c>
      <c r="I1212" s="18">
        <v>1200</v>
      </c>
      <c r="J1212" s="27">
        <v>1200</v>
      </c>
      <c r="K1212" s="18">
        <f t="shared" si="37"/>
        <v>1200</v>
      </c>
      <c r="L1212" s="27">
        <v>1200</v>
      </c>
      <c r="M1212" s="36">
        <v>0</v>
      </c>
      <c r="T1212" s="41">
        <v>0</v>
      </c>
      <c r="U1212" s="41">
        <v>0</v>
      </c>
      <c r="V1212" s="42" t="s">
        <v>113</v>
      </c>
      <c r="W1212" s="42">
        <v>1200</v>
      </c>
      <c r="X1212" s="42">
        <v>1200</v>
      </c>
    </row>
    <row r="1213" spans="1:24">
      <c r="A1213" s="27" t="s">
        <v>2359</v>
      </c>
      <c r="B1213" s="28" t="s">
        <v>215</v>
      </c>
      <c r="C1213" s="27" t="s">
        <v>2360</v>
      </c>
      <c r="D1213" s="27" t="s">
        <v>118</v>
      </c>
      <c r="E1213" s="29">
        <v>38564</v>
      </c>
      <c r="F1213" s="27">
        <v>12</v>
      </c>
      <c r="G1213" s="18">
        <v>1200</v>
      </c>
      <c r="H1213" s="27">
        <f t="shared" si="36"/>
        <v>1200</v>
      </c>
      <c r="I1213" s="18">
        <v>1200</v>
      </c>
      <c r="J1213" s="27">
        <v>1200</v>
      </c>
      <c r="K1213" s="18">
        <f t="shared" si="37"/>
        <v>1200</v>
      </c>
      <c r="L1213" s="27">
        <v>1200</v>
      </c>
      <c r="M1213" s="36">
        <v>0</v>
      </c>
      <c r="T1213" s="41">
        <v>0</v>
      </c>
      <c r="U1213" s="41">
        <v>0</v>
      </c>
      <c r="V1213" s="42" t="s">
        <v>113</v>
      </c>
      <c r="W1213" s="42">
        <v>1200</v>
      </c>
      <c r="X1213" s="42">
        <v>1200</v>
      </c>
    </row>
    <row r="1214" spans="1:24">
      <c r="A1214" s="27" t="s">
        <v>2361</v>
      </c>
      <c r="B1214" s="28" t="s">
        <v>215</v>
      </c>
      <c r="C1214" s="27" t="s">
        <v>2362</v>
      </c>
      <c r="D1214" s="27" t="s">
        <v>118</v>
      </c>
      <c r="E1214" s="29">
        <v>38564</v>
      </c>
      <c r="F1214" s="27">
        <v>12</v>
      </c>
      <c r="G1214" s="18">
        <v>1200</v>
      </c>
      <c r="H1214" s="27">
        <f t="shared" si="36"/>
        <v>1200</v>
      </c>
      <c r="I1214" s="18">
        <v>1200</v>
      </c>
      <c r="J1214" s="27">
        <v>1200</v>
      </c>
      <c r="K1214" s="18">
        <f t="shared" si="37"/>
        <v>1200</v>
      </c>
      <c r="L1214" s="27">
        <v>1200</v>
      </c>
      <c r="M1214" s="36">
        <v>0</v>
      </c>
      <c r="T1214" s="41">
        <v>0</v>
      </c>
      <c r="U1214" s="41">
        <v>0</v>
      </c>
      <c r="V1214" s="42" t="s">
        <v>113</v>
      </c>
      <c r="W1214" s="42">
        <v>1200</v>
      </c>
      <c r="X1214" s="42">
        <v>1200</v>
      </c>
    </row>
    <row r="1215" spans="1:24">
      <c r="A1215" s="27" t="s">
        <v>2363</v>
      </c>
      <c r="B1215" s="28" t="s">
        <v>215</v>
      </c>
      <c r="C1215" s="27" t="s">
        <v>2364</v>
      </c>
      <c r="D1215" s="27" t="s">
        <v>118</v>
      </c>
      <c r="E1215" s="29">
        <v>38564</v>
      </c>
      <c r="F1215" s="27">
        <v>12</v>
      </c>
      <c r="G1215" s="18">
        <v>1200</v>
      </c>
      <c r="H1215" s="27">
        <f t="shared" si="36"/>
        <v>1200</v>
      </c>
      <c r="I1215" s="18">
        <v>1200</v>
      </c>
      <c r="J1215" s="27">
        <v>1200</v>
      </c>
      <c r="K1215" s="18">
        <f t="shared" si="37"/>
        <v>1200</v>
      </c>
      <c r="L1215" s="27">
        <v>1200</v>
      </c>
      <c r="M1215" s="36">
        <v>0</v>
      </c>
      <c r="T1215" s="41">
        <v>0</v>
      </c>
      <c r="U1215" s="41">
        <v>0</v>
      </c>
      <c r="V1215" s="42" t="s">
        <v>113</v>
      </c>
      <c r="W1215" s="42">
        <v>1200</v>
      </c>
      <c r="X1215" s="42">
        <v>1200</v>
      </c>
    </row>
    <row r="1216" spans="1:24">
      <c r="A1216" s="27" t="s">
        <v>2365</v>
      </c>
      <c r="B1216" s="28" t="s">
        <v>215</v>
      </c>
      <c r="C1216" s="27" t="s">
        <v>2366</v>
      </c>
      <c r="D1216" s="27" t="s">
        <v>118</v>
      </c>
      <c r="E1216" s="29">
        <v>40179</v>
      </c>
      <c r="F1216" s="27">
        <v>15</v>
      </c>
      <c r="G1216" s="18">
        <v>65000</v>
      </c>
      <c r="H1216" s="27">
        <f t="shared" si="36"/>
        <v>65000</v>
      </c>
      <c r="I1216" s="18">
        <v>61750</v>
      </c>
      <c r="J1216" s="27">
        <v>65000</v>
      </c>
      <c r="K1216" s="18">
        <f t="shared" si="37"/>
        <v>65000</v>
      </c>
      <c r="L1216" s="27">
        <v>61750</v>
      </c>
      <c r="M1216" s="36">
        <v>0</v>
      </c>
      <c r="T1216" s="41">
        <v>0</v>
      </c>
      <c r="U1216" s="41">
        <v>0</v>
      </c>
      <c r="V1216" s="42" t="s">
        <v>113</v>
      </c>
      <c r="W1216" s="42">
        <v>65000</v>
      </c>
      <c r="X1216" s="42">
        <v>65000</v>
      </c>
    </row>
    <row r="1217" spans="1:24">
      <c r="A1217" s="27" t="s">
        <v>2367</v>
      </c>
      <c r="B1217" s="28" t="s">
        <v>215</v>
      </c>
      <c r="C1217" s="27" t="s">
        <v>638</v>
      </c>
      <c r="D1217" s="27" t="s">
        <v>118</v>
      </c>
      <c r="E1217" s="29">
        <v>40171</v>
      </c>
      <c r="F1217" s="27">
        <v>12</v>
      </c>
      <c r="G1217" s="18">
        <v>4477.9799999999996</v>
      </c>
      <c r="H1217" s="27">
        <f t="shared" si="36"/>
        <v>4477.9799999999996</v>
      </c>
      <c r="I1217" s="18">
        <v>4477.9799999999996</v>
      </c>
      <c r="J1217" s="27">
        <v>4477.9799999999996</v>
      </c>
      <c r="K1217" s="18">
        <f t="shared" si="37"/>
        <v>4477.9799999999996</v>
      </c>
      <c r="L1217" s="27">
        <v>4477.9799999999996</v>
      </c>
      <c r="M1217" s="36">
        <v>0</v>
      </c>
      <c r="T1217" s="41">
        <v>0</v>
      </c>
      <c r="U1217" s="41">
        <v>0</v>
      </c>
      <c r="V1217" s="42" t="s">
        <v>113</v>
      </c>
      <c r="W1217" s="42">
        <v>4477.9799999999996</v>
      </c>
      <c r="X1217" s="42">
        <v>4477.9799999999996</v>
      </c>
    </row>
    <row r="1218" spans="1:24">
      <c r="A1218" s="27" t="s">
        <v>2368</v>
      </c>
      <c r="B1218" s="28" t="s">
        <v>215</v>
      </c>
      <c r="C1218" s="27" t="s">
        <v>642</v>
      </c>
      <c r="D1218" s="27" t="s">
        <v>118</v>
      </c>
      <c r="E1218" s="29">
        <v>40171</v>
      </c>
      <c r="F1218" s="27">
        <v>12</v>
      </c>
      <c r="G1218" s="18">
        <v>4477.9799999999996</v>
      </c>
      <c r="H1218" s="27">
        <f t="shared" si="36"/>
        <v>4477.9799999999996</v>
      </c>
      <c r="I1218" s="18">
        <v>4477.9799999999996</v>
      </c>
      <c r="J1218" s="27">
        <v>4477.9799999999996</v>
      </c>
      <c r="K1218" s="18">
        <f t="shared" si="37"/>
        <v>4477.9799999999996</v>
      </c>
      <c r="L1218" s="27">
        <v>4477.9799999999996</v>
      </c>
      <c r="M1218" s="36">
        <v>0</v>
      </c>
      <c r="T1218" s="41">
        <v>0</v>
      </c>
      <c r="U1218" s="41">
        <v>0</v>
      </c>
      <c r="V1218" s="42" t="s">
        <v>113</v>
      </c>
      <c r="W1218" s="42">
        <v>4477.9799999999996</v>
      </c>
      <c r="X1218" s="42">
        <v>4477.9799999999996</v>
      </c>
    </row>
    <row r="1219" spans="1:24">
      <c r="A1219" s="27" t="s">
        <v>2369</v>
      </c>
      <c r="B1219" s="28" t="s">
        <v>215</v>
      </c>
      <c r="C1219" s="27" t="s">
        <v>640</v>
      </c>
      <c r="D1219" s="27" t="s">
        <v>118</v>
      </c>
      <c r="E1219" s="29">
        <v>40171</v>
      </c>
      <c r="F1219" s="27">
        <v>12</v>
      </c>
      <c r="G1219" s="18">
        <v>4477.9799999999996</v>
      </c>
      <c r="H1219" s="27">
        <f t="shared" si="36"/>
        <v>4477.9799999999996</v>
      </c>
      <c r="I1219" s="18">
        <v>4477.9799999999996</v>
      </c>
      <c r="J1219" s="27">
        <v>4477.9799999999996</v>
      </c>
      <c r="K1219" s="18">
        <f t="shared" si="37"/>
        <v>4477.9799999999996</v>
      </c>
      <c r="L1219" s="27">
        <v>4477.9799999999996</v>
      </c>
      <c r="M1219" s="36">
        <v>0</v>
      </c>
      <c r="T1219" s="41">
        <v>0</v>
      </c>
      <c r="U1219" s="41">
        <v>0</v>
      </c>
      <c r="V1219" s="42" t="s">
        <v>113</v>
      </c>
      <c r="W1219" s="42">
        <v>4477.9799999999996</v>
      </c>
      <c r="X1219" s="42">
        <v>4477.9799999999996</v>
      </c>
    </row>
    <row r="1220" spans="1:24">
      <c r="A1220" s="27" t="s">
        <v>2370</v>
      </c>
      <c r="B1220" s="28" t="s">
        <v>215</v>
      </c>
      <c r="C1220" s="27" t="s">
        <v>2371</v>
      </c>
      <c r="D1220" s="27" t="s">
        <v>118</v>
      </c>
      <c r="E1220" s="29">
        <v>40171</v>
      </c>
      <c r="F1220" s="27">
        <v>15</v>
      </c>
      <c r="G1220" s="18">
        <v>5344.3</v>
      </c>
      <c r="H1220" s="27">
        <f t="shared" si="36"/>
        <v>5344.3</v>
      </c>
      <c r="I1220" s="18">
        <v>5077.08</v>
      </c>
      <c r="J1220" s="27">
        <v>5344.3</v>
      </c>
      <c r="K1220" s="18">
        <f t="shared" si="37"/>
        <v>5344.3</v>
      </c>
      <c r="L1220" s="27">
        <v>5077.08</v>
      </c>
      <c r="M1220" s="36">
        <v>0</v>
      </c>
      <c r="T1220" s="41">
        <v>0</v>
      </c>
      <c r="U1220" s="41">
        <v>0</v>
      </c>
      <c r="V1220" s="42" t="s">
        <v>113</v>
      </c>
      <c r="W1220" s="42">
        <v>5344.3</v>
      </c>
      <c r="X1220" s="42">
        <v>5344.3</v>
      </c>
    </row>
    <row r="1221" spans="1:24">
      <c r="A1221" s="27" t="s">
        <v>2372</v>
      </c>
      <c r="B1221" s="28" t="s">
        <v>215</v>
      </c>
      <c r="C1221" s="27" t="s">
        <v>2373</v>
      </c>
      <c r="D1221" s="27" t="s">
        <v>118</v>
      </c>
      <c r="E1221" s="29">
        <v>40171</v>
      </c>
      <c r="F1221" s="27">
        <v>15</v>
      </c>
      <c r="G1221" s="18">
        <v>5344.3</v>
      </c>
      <c r="H1221" s="27">
        <f t="shared" si="36"/>
        <v>5344.3</v>
      </c>
      <c r="I1221" s="18">
        <v>5077.08</v>
      </c>
      <c r="J1221" s="27">
        <v>5344.3</v>
      </c>
      <c r="K1221" s="18">
        <f t="shared" si="37"/>
        <v>5344.3</v>
      </c>
      <c r="L1221" s="27">
        <v>5077.08</v>
      </c>
      <c r="M1221" s="36">
        <v>0</v>
      </c>
      <c r="T1221" s="41">
        <v>0</v>
      </c>
      <c r="U1221" s="41">
        <v>0</v>
      </c>
      <c r="V1221" s="42" t="s">
        <v>113</v>
      </c>
      <c r="W1221" s="42">
        <v>5344.3</v>
      </c>
      <c r="X1221" s="42">
        <v>5344.3</v>
      </c>
    </row>
    <row r="1222" spans="1:24">
      <c r="A1222" s="27" t="s">
        <v>2374</v>
      </c>
      <c r="B1222" s="28" t="s">
        <v>215</v>
      </c>
      <c r="C1222" s="27" t="s">
        <v>2375</v>
      </c>
      <c r="D1222" s="27" t="s">
        <v>118</v>
      </c>
      <c r="E1222" s="29">
        <v>40171</v>
      </c>
      <c r="F1222" s="27">
        <v>15</v>
      </c>
      <c r="G1222" s="18">
        <v>5344.3</v>
      </c>
      <c r="H1222" s="27">
        <f t="shared" ref="H1222:H1285" si="38">IFERROR(IF(ROUND((G1222-I1222)/G1222,2)&lt;=0.05,G1222,0),0)</f>
        <v>5344.3</v>
      </c>
      <c r="I1222" s="18">
        <v>5077.08</v>
      </c>
      <c r="J1222" s="27">
        <v>5344.3</v>
      </c>
      <c r="K1222" s="18">
        <f t="shared" ref="K1222:K1285" si="39">IFERROR(IF(ROUND((J1222-L1222)/J1222,2)&lt;=0.05,J1222,0),0)</f>
        <v>5344.3</v>
      </c>
      <c r="L1222" s="27">
        <v>5077.08</v>
      </c>
      <c r="M1222" s="36">
        <v>0</v>
      </c>
      <c r="T1222" s="41">
        <v>0</v>
      </c>
      <c r="U1222" s="41">
        <v>0</v>
      </c>
      <c r="V1222" s="42" t="s">
        <v>113</v>
      </c>
      <c r="W1222" s="42">
        <v>5344.3</v>
      </c>
      <c r="X1222" s="42">
        <v>5344.3</v>
      </c>
    </row>
    <row r="1223" spans="1:24">
      <c r="A1223" s="27" t="s">
        <v>2376</v>
      </c>
      <c r="B1223" s="28" t="s">
        <v>215</v>
      </c>
      <c r="C1223" s="27" t="s">
        <v>2377</v>
      </c>
      <c r="D1223" s="27" t="s">
        <v>230</v>
      </c>
      <c r="E1223" s="29">
        <v>40171</v>
      </c>
      <c r="F1223" s="27">
        <v>12</v>
      </c>
      <c r="G1223" s="18">
        <v>2870.71</v>
      </c>
      <c r="H1223" s="27">
        <f t="shared" si="38"/>
        <v>2870.71</v>
      </c>
      <c r="I1223" s="18">
        <v>2870.71</v>
      </c>
      <c r="J1223" s="27">
        <v>2870.71</v>
      </c>
      <c r="K1223" s="18">
        <f t="shared" si="39"/>
        <v>2870.71</v>
      </c>
      <c r="L1223" s="27">
        <v>2870.71</v>
      </c>
      <c r="M1223" s="36">
        <v>0</v>
      </c>
      <c r="T1223" s="41">
        <v>0</v>
      </c>
      <c r="U1223" s="41">
        <v>0</v>
      </c>
      <c r="V1223" s="42" t="s">
        <v>113</v>
      </c>
      <c r="W1223" s="42">
        <v>2870.71</v>
      </c>
      <c r="X1223" s="42">
        <v>2870.71</v>
      </c>
    </row>
    <row r="1224" spans="1:24">
      <c r="A1224" s="27" t="s">
        <v>2378</v>
      </c>
      <c r="B1224" s="28" t="s">
        <v>215</v>
      </c>
      <c r="C1224" s="27" t="s">
        <v>2379</v>
      </c>
      <c r="D1224" s="27" t="s">
        <v>112</v>
      </c>
      <c r="E1224" s="29">
        <v>40171</v>
      </c>
      <c r="F1224" s="27">
        <v>15</v>
      </c>
      <c r="G1224" s="18">
        <v>5109.29</v>
      </c>
      <c r="H1224" s="27">
        <f t="shared" si="38"/>
        <v>5109.29</v>
      </c>
      <c r="I1224" s="18">
        <v>4853.83</v>
      </c>
      <c r="J1224" s="27">
        <v>5109.29</v>
      </c>
      <c r="K1224" s="18">
        <f t="shared" si="39"/>
        <v>5109.29</v>
      </c>
      <c r="L1224" s="27">
        <v>4853.83</v>
      </c>
      <c r="M1224" s="36">
        <v>0</v>
      </c>
      <c r="T1224" s="41">
        <v>0</v>
      </c>
      <c r="U1224" s="41">
        <v>0</v>
      </c>
      <c r="V1224" s="42" t="s">
        <v>113</v>
      </c>
      <c r="W1224" s="42">
        <v>5109.29</v>
      </c>
      <c r="X1224" s="42">
        <v>5109.29</v>
      </c>
    </row>
    <row r="1225" spans="1:24">
      <c r="A1225" s="27" t="s">
        <v>2380</v>
      </c>
      <c r="B1225" s="28" t="s">
        <v>215</v>
      </c>
      <c r="C1225" s="27" t="s">
        <v>2381</v>
      </c>
      <c r="D1225" s="27" t="s">
        <v>230</v>
      </c>
      <c r="E1225" s="29">
        <v>40168</v>
      </c>
      <c r="F1225" s="27">
        <v>15</v>
      </c>
      <c r="G1225" s="18">
        <v>43650.36</v>
      </c>
      <c r="H1225" s="27">
        <f t="shared" si="38"/>
        <v>43650.36</v>
      </c>
      <c r="I1225" s="18">
        <v>41467.839999999997</v>
      </c>
      <c r="J1225" s="27">
        <v>43650.36</v>
      </c>
      <c r="K1225" s="18">
        <f t="shared" si="39"/>
        <v>43650.36</v>
      </c>
      <c r="L1225" s="27">
        <v>41467.839999999997</v>
      </c>
      <c r="M1225" s="36">
        <v>0</v>
      </c>
      <c r="T1225" s="41">
        <v>0</v>
      </c>
      <c r="U1225" s="41">
        <v>0</v>
      </c>
      <c r="V1225" s="42" t="s">
        <v>113</v>
      </c>
      <c r="W1225" s="42">
        <v>43650.36</v>
      </c>
      <c r="X1225" s="42">
        <v>43650.36</v>
      </c>
    </row>
    <row r="1226" spans="1:24">
      <c r="A1226" s="27" t="s">
        <v>2382</v>
      </c>
      <c r="B1226" s="28" t="s">
        <v>215</v>
      </c>
      <c r="C1226" s="27" t="s">
        <v>2383</v>
      </c>
      <c r="D1226" s="27" t="s">
        <v>230</v>
      </c>
      <c r="E1226" s="29">
        <v>40168</v>
      </c>
      <c r="F1226" s="27">
        <v>15</v>
      </c>
      <c r="G1226" s="18">
        <v>55475.54</v>
      </c>
      <c r="H1226" s="27">
        <f t="shared" si="38"/>
        <v>55475.54</v>
      </c>
      <c r="I1226" s="18">
        <v>52701.760000000002</v>
      </c>
      <c r="J1226" s="27">
        <v>55475.54</v>
      </c>
      <c r="K1226" s="18">
        <f t="shared" si="39"/>
        <v>55475.54</v>
      </c>
      <c r="L1226" s="27">
        <v>52701.760000000002</v>
      </c>
      <c r="M1226" s="36">
        <v>0</v>
      </c>
      <c r="T1226" s="41">
        <v>0</v>
      </c>
      <c r="U1226" s="41">
        <v>0</v>
      </c>
      <c r="V1226" s="42" t="s">
        <v>113</v>
      </c>
      <c r="W1226" s="42">
        <v>55475.54</v>
      </c>
      <c r="X1226" s="42">
        <v>55475.54</v>
      </c>
    </row>
    <row r="1227" spans="1:24">
      <c r="A1227" s="27" t="s">
        <v>2384</v>
      </c>
      <c r="B1227" s="28" t="s">
        <v>215</v>
      </c>
      <c r="C1227" s="27" t="s">
        <v>2385</v>
      </c>
      <c r="D1227" s="27" t="s">
        <v>230</v>
      </c>
      <c r="E1227" s="29">
        <v>40169</v>
      </c>
      <c r="F1227" s="27">
        <v>15</v>
      </c>
      <c r="G1227" s="18">
        <v>17921.28</v>
      </c>
      <c r="H1227" s="27">
        <f t="shared" si="38"/>
        <v>17921.28</v>
      </c>
      <c r="I1227" s="18">
        <v>17025.22</v>
      </c>
      <c r="J1227" s="27">
        <v>17921.28</v>
      </c>
      <c r="K1227" s="18">
        <f t="shared" si="39"/>
        <v>17921.28</v>
      </c>
      <c r="L1227" s="27">
        <v>17025.22</v>
      </c>
      <c r="M1227" s="36">
        <v>0</v>
      </c>
      <c r="T1227" s="41">
        <v>0</v>
      </c>
      <c r="U1227" s="41">
        <v>0</v>
      </c>
      <c r="V1227" s="42" t="s">
        <v>113</v>
      </c>
      <c r="W1227" s="42">
        <v>17921.28</v>
      </c>
      <c r="X1227" s="42">
        <v>17921.28</v>
      </c>
    </row>
    <row r="1228" spans="1:24">
      <c r="A1228" s="27" t="s">
        <v>2386</v>
      </c>
      <c r="B1228" s="28" t="s">
        <v>215</v>
      </c>
      <c r="C1228" s="27" t="s">
        <v>2387</v>
      </c>
      <c r="D1228" s="27" t="s">
        <v>230</v>
      </c>
      <c r="E1228" s="29">
        <v>40169</v>
      </c>
      <c r="F1228" s="27">
        <v>15</v>
      </c>
      <c r="G1228" s="18">
        <v>17921.28</v>
      </c>
      <c r="H1228" s="27">
        <f t="shared" si="38"/>
        <v>17921.28</v>
      </c>
      <c r="I1228" s="18">
        <v>17025.22</v>
      </c>
      <c r="J1228" s="27">
        <v>17921.28</v>
      </c>
      <c r="K1228" s="18">
        <f t="shared" si="39"/>
        <v>17921.28</v>
      </c>
      <c r="L1228" s="27">
        <v>17025.22</v>
      </c>
      <c r="M1228" s="36">
        <v>0</v>
      </c>
      <c r="T1228" s="41">
        <v>0</v>
      </c>
      <c r="U1228" s="41">
        <v>0</v>
      </c>
      <c r="V1228" s="42" t="s">
        <v>113</v>
      </c>
      <c r="W1228" s="42">
        <v>17921.28</v>
      </c>
      <c r="X1228" s="42">
        <v>17921.28</v>
      </c>
    </row>
    <row r="1229" spans="1:24">
      <c r="A1229" s="27" t="s">
        <v>2388</v>
      </c>
      <c r="B1229" s="28" t="s">
        <v>215</v>
      </c>
      <c r="C1229" s="27" t="s">
        <v>2389</v>
      </c>
      <c r="D1229" s="27" t="s">
        <v>230</v>
      </c>
      <c r="E1229" s="29">
        <v>40169</v>
      </c>
      <c r="F1229" s="27">
        <v>12</v>
      </c>
      <c r="G1229" s="18">
        <v>524.1</v>
      </c>
      <c r="H1229" s="27">
        <f t="shared" si="38"/>
        <v>524.1</v>
      </c>
      <c r="I1229" s="18">
        <v>524.1</v>
      </c>
      <c r="J1229" s="27">
        <v>524.1</v>
      </c>
      <c r="K1229" s="18">
        <f t="shared" si="39"/>
        <v>524.1</v>
      </c>
      <c r="L1229" s="27">
        <v>524.1</v>
      </c>
      <c r="M1229" s="36">
        <v>0</v>
      </c>
      <c r="T1229" s="41">
        <v>0</v>
      </c>
      <c r="U1229" s="41">
        <v>0</v>
      </c>
      <c r="V1229" s="42" t="s">
        <v>113</v>
      </c>
      <c r="W1229" s="42">
        <v>524.1</v>
      </c>
      <c r="X1229" s="42">
        <v>524.1</v>
      </c>
    </row>
    <row r="1230" spans="1:24">
      <c r="A1230" s="27" t="s">
        <v>2390</v>
      </c>
      <c r="B1230" s="28" t="s">
        <v>215</v>
      </c>
      <c r="C1230" s="27" t="s">
        <v>1015</v>
      </c>
      <c r="D1230" s="27" t="s">
        <v>112</v>
      </c>
      <c r="E1230" s="29">
        <v>37408</v>
      </c>
      <c r="F1230" s="27">
        <v>15</v>
      </c>
      <c r="G1230" s="18">
        <v>415134.06</v>
      </c>
      <c r="H1230" s="27">
        <f t="shared" si="38"/>
        <v>415134.06</v>
      </c>
      <c r="I1230" s="18">
        <v>394377.36</v>
      </c>
      <c r="J1230" s="27">
        <v>415134.06</v>
      </c>
      <c r="K1230" s="18">
        <f t="shared" si="39"/>
        <v>415134.06</v>
      </c>
      <c r="L1230" s="27">
        <v>394377.36</v>
      </c>
      <c r="M1230" s="36">
        <v>0</v>
      </c>
      <c r="T1230" s="41">
        <v>0</v>
      </c>
      <c r="U1230" s="41">
        <v>0</v>
      </c>
      <c r="V1230" s="42" t="s">
        <v>113</v>
      </c>
      <c r="W1230" s="42">
        <v>415134.06</v>
      </c>
      <c r="X1230" s="42">
        <v>415134.06</v>
      </c>
    </row>
    <row r="1231" spans="1:24">
      <c r="A1231" s="27" t="s">
        <v>2391</v>
      </c>
      <c r="B1231" s="28" t="s">
        <v>215</v>
      </c>
      <c r="C1231" s="27" t="s">
        <v>955</v>
      </c>
      <c r="D1231" s="27" t="s">
        <v>230</v>
      </c>
      <c r="E1231" s="29">
        <v>37408</v>
      </c>
      <c r="F1231" s="27">
        <v>15</v>
      </c>
      <c r="G1231" s="18">
        <v>278176.52</v>
      </c>
      <c r="H1231" s="27">
        <f t="shared" si="38"/>
        <v>278176.52</v>
      </c>
      <c r="I1231" s="18">
        <v>264267.69</v>
      </c>
      <c r="J1231" s="27">
        <v>278176.52</v>
      </c>
      <c r="K1231" s="18">
        <f t="shared" si="39"/>
        <v>278176.52</v>
      </c>
      <c r="L1231" s="27">
        <v>264267.69</v>
      </c>
      <c r="M1231" s="36">
        <v>0</v>
      </c>
      <c r="T1231" s="41">
        <v>0</v>
      </c>
      <c r="U1231" s="41">
        <v>0</v>
      </c>
      <c r="V1231" s="42" t="s">
        <v>113</v>
      </c>
      <c r="W1231" s="42">
        <v>278176.52</v>
      </c>
      <c r="X1231" s="42">
        <v>278176.52</v>
      </c>
    </row>
    <row r="1232" spans="1:24">
      <c r="A1232" s="27" t="s">
        <v>2392</v>
      </c>
      <c r="B1232" s="28" t="s">
        <v>215</v>
      </c>
      <c r="C1232" s="27" t="s">
        <v>2393</v>
      </c>
      <c r="D1232" s="27" t="s">
        <v>230</v>
      </c>
      <c r="E1232" s="29">
        <v>40169</v>
      </c>
      <c r="F1232" s="27">
        <v>15</v>
      </c>
      <c r="G1232" s="18">
        <v>388517.87</v>
      </c>
      <c r="H1232" s="27">
        <f t="shared" si="38"/>
        <v>0</v>
      </c>
      <c r="I1232" s="18">
        <v>327382.34999999998</v>
      </c>
      <c r="J1232" s="27">
        <v>388517.87</v>
      </c>
      <c r="K1232" s="18">
        <f t="shared" si="39"/>
        <v>0</v>
      </c>
      <c r="L1232" s="27">
        <v>335587.52</v>
      </c>
      <c r="M1232" s="36">
        <v>8205.17</v>
      </c>
      <c r="T1232" s="41">
        <v>0</v>
      </c>
      <c r="U1232" s="41">
        <v>0</v>
      </c>
      <c r="V1232" s="42" t="s">
        <v>113</v>
      </c>
      <c r="W1232" s="42">
        <v>0</v>
      </c>
      <c r="X1232" s="42">
        <v>0</v>
      </c>
    </row>
    <row r="1233" spans="1:24">
      <c r="A1233" s="27" t="s">
        <v>2394</v>
      </c>
      <c r="B1233" s="28" t="s">
        <v>215</v>
      </c>
      <c r="C1233" s="27" t="s">
        <v>2395</v>
      </c>
      <c r="D1233" s="27" t="s">
        <v>118</v>
      </c>
      <c r="E1233" s="29">
        <v>40169</v>
      </c>
      <c r="F1233" s="27">
        <v>15</v>
      </c>
      <c r="G1233" s="18">
        <v>125042.76</v>
      </c>
      <c r="H1233" s="27">
        <f t="shared" si="38"/>
        <v>125042.76</v>
      </c>
      <c r="I1233" s="18">
        <v>118790.62</v>
      </c>
      <c r="J1233" s="27">
        <v>125042.76</v>
      </c>
      <c r="K1233" s="18">
        <f t="shared" si="39"/>
        <v>125042.76</v>
      </c>
      <c r="L1233" s="27">
        <v>118790.62</v>
      </c>
      <c r="M1233" s="36">
        <v>0</v>
      </c>
      <c r="T1233" s="41">
        <v>0</v>
      </c>
      <c r="U1233" s="41">
        <v>0</v>
      </c>
      <c r="V1233" s="42" t="s">
        <v>113</v>
      </c>
      <c r="W1233" s="42">
        <v>125042.76</v>
      </c>
      <c r="X1233" s="42">
        <v>125042.76</v>
      </c>
    </row>
    <row r="1234" spans="1:24">
      <c r="A1234" s="27" t="s">
        <v>2396</v>
      </c>
      <c r="B1234" s="28" t="s">
        <v>215</v>
      </c>
      <c r="C1234" s="27" t="s">
        <v>2397</v>
      </c>
      <c r="D1234" s="27" t="s">
        <v>118</v>
      </c>
      <c r="E1234" s="29">
        <v>40169</v>
      </c>
      <c r="F1234" s="27">
        <v>15</v>
      </c>
      <c r="G1234" s="18">
        <v>125042.76</v>
      </c>
      <c r="H1234" s="27">
        <f t="shared" si="38"/>
        <v>125042.76</v>
      </c>
      <c r="I1234" s="18">
        <v>118790.62</v>
      </c>
      <c r="J1234" s="27">
        <v>125042.76</v>
      </c>
      <c r="K1234" s="18">
        <f t="shared" si="39"/>
        <v>125042.76</v>
      </c>
      <c r="L1234" s="27">
        <v>118790.62</v>
      </c>
      <c r="M1234" s="36">
        <v>0</v>
      </c>
      <c r="T1234" s="41">
        <v>0</v>
      </c>
      <c r="U1234" s="41">
        <v>0</v>
      </c>
      <c r="V1234" s="42" t="s">
        <v>113</v>
      </c>
      <c r="W1234" s="42">
        <v>125042.76</v>
      </c>
      <c r="X1234" s="42">
        <v>125042.76</v>
      </c>
    </row>
    <row r="1235" spans="1:24">
      <c r="A1235" s="27" t="s">
        <v>2398</v>
      </c>
      <c r="B1235" s="28" t="s">
        <v>215</v>
      </c>
      <c r="C1235" s="27" t="s">
        <v>2399</v>
      </c>
      <c r="D1235" s="27" t="s">
        <v>230</v>
      </c>
      <c r="E1235" s="29">
        <v>40169</v>
      </c>
      <c r="F1235" s="27">
        <v>15</v>
      </c>
      <c r="G1235" s="18">
        <v>431677.8</v>
      </c>
      <c r="H1235" s="27">
        <f t="shared" si="38"/>
        <v>0</v>
      </c>
      <c r="I1235" s="18">
        <v>379833.27</v>
      </c>
      <c r="J1235" s="27">
        <v>431677.8</v>
      </c>
      <c r="K1235" s="18">
        <f t="shared" si="39"/>
        <v>0</v>
      </c>
      <c r="L1235" s="27">
        <v>387244.04</v>
      </c>
      <c r="M1235" s="36">
        <v>7410.77</v>
      </c>
      <c r="T1235" s="41">
        <v>0</v>
      </c>
      <c r="U1235" s="41">
        <v>0</v>
      </c>
      <c r="V1235" s="42" t="s">
        <v>113</v>
      </c>
      <c r="W1235" s="42">
        <v>0</v>
      </c>
      <c r="X1235" s="42">
        <v>0</v>
      </c>
    </row>
    <row r="1236" spans="1:24">
      <c r="A1236" s="27" t="s">
        <v>2400</v>
      </c>
      <c r="B1236" s="28" t="s">
        <v>215</v>
      </c>
      <c r="C1236" s="27" t="s">
        <v>2401</v>
      </c>
      <c r="D1236" s="27" t="s">
        <v>112</v>
      </c>
      <c r="E1236" s="29">
        <v>40268</v>
      </c>
      <c r="F1236" s="27">
        <v>12</v>
      </c>
      <c r="G1236" s="18">
        <v>4033.56</v>
      </c>
      <c r="H1236" s="27">
        <f t="shared" si="38"/>
        <v>4033.56</v>
      </c>
      <c r="I1236" s="18">
        <v>4033.56</v>
      </c>
      <c r="J1236" s="27">
        <v>4033.56</v>
      </c>
      <c r="K1236" s="18">
        <f t="shared" si="39"/>
        <v>4033.56</v>
      </c>
      <c r="L1236" s="27">
        <v>4033.56</v>
      </c>
      <c r="M1236" s="36">
        <v>0</v>
      </c>
      <c r="T1236" s="41">
        <v>0</v>
      </c>
      <c r="U1236" s="41">
        <v>0</v>
      </c>
      <c r="V1236" s="42" t="s">
        <v>113</v>
      </c>
      <c r="W1236" s="42">
        <v>4033.56</v>
      </c>
      <c r="X1236" s="42">
        <v>4033.56</v>
      </c>
    </row>
    <row r="1237" spans="1:24">
      <c r="A1237" s="27" t="s">
        <v>2402</v>
      </c>
      <c r="B1237" s="28" t="s">
        <v>215</v>
      </c>
      <c r="C1237" s="27" t="s">
        <v>2403</v>
      </c>
      <c r="D1237" s="27" t="s">
        <v>112</v>
      </c>
      <c r="E1237" s="29">
        <v>40268</v>
      </c>
      <c r="F1237" s="27">
        <v>12</v>
      </c>
      <c r="G1237" s="18">
        <v>4033.56</v>
      </c>
      <c r="H1237" s="27">
        <f t="shared" si="38"/>
        <v>4033.56</v>
      </c>
      <c r="I1237" s="18">
        <v>4033.56</v>
      </c>
      <c r="J1237" s="27">
        <v>4033.56</v>
      </c>
      <c r="K1237" s="18">
        <f t="shared" si="39"/>
        <v>4033.56</v>
      </c>
      <c r="L1237" s="27">
        <v>4033.56</v>
      </c>
      <c r="M1237" s="36">
        <v>0</v>
      </c>
      <c r="T1237" s="41">
        <v>0</v>
      </c>
      <c r="U1237" s="41">
        <v>0</v>
      </c>
      <c r="V1237" s="42" t="s">
        <v>113</v>
      </c>
      <c r="W1237" s="42">
        <v>4033.56</v>
      </c>
      <c r="X1237" s="42">
        <v>4033.56</v>
      </c>
    </row>
    <row r="1238" spans="1:24">
      <c r="A1238" s="27" t="s">
        <v>2404</v>
      </c>
      <c r="B1238" s="28" t="s">
        <v>215</v>
      </c>
      <c r="C1238" s="27" t="s">
        <v>2405</v>
      </c>
      <c r="D1238" s="27" t="s">
        <v>112</v>
      </c>
      <c r="E1238" s="29">
        <v>40268</v>
      </c>
      <c r="F1238" s="27">
        <v>12</v>
      </c>
      <c r="G1238" s="18">
        <v>4033.56</v>
      </c>
      <c r="H1238" s="27">
        <f t="shared" si="38"/>
        <v>4033.56</v>
      </c>
      <c r="I1238" s="18">
        <v>4033.56</v>
      </c>
      <c r="J1238" s="27">
        <v>4033.56</v>
      </c>
      <c r="K1238" s="18">
        <f t="shared" si="39"/>
        <v>4033.56</v>
      </c>
      <c r="L1238" s="27">
        <v>4033.56</v>
      </c>
      <c r="M1238" s="36">
        <v>0</v>
      </c>
      <c r="T1238" s="41">
        <v>0</v>
      </c>
      <c r="U1238" s="41">
        <v>0</v>
      </c>
      <c r="V1238" s="42" t="s">
        <v>113</v>
      </c>
      <c r="W1238" s="42">
        <v>4033.56</v>
      </c>
      <c r="X1238" s="42">
        <v>4033.56</v>
      </c>
    </row>
    <row r="1239" spans="1:24">
      <c r="A1239" s="27" t="s">
        <v>2406</v>
      </c>
      <c r="B1239" s="28" t="s">
        <v>215</v>
      </c>
      <c r="C1239" s="27" t="s">
        <v>1083</v>
      </c>
      <c r="D1239" s="27" t="s">
        <v>230</v>
      </c>
      <c r="E1239" s="29">
        <v>40268</v>
      </c>
      <c r="F1239" s="27">
        <v>15</v>
      </c>
      <c r="G1239" s="18">
        <v>93916.62</v>
      </c>
      <c r="H1239" s="27">
        <f t="shared" si="38"/>
        <v>0</v>
      </c>
      <c r="I1239" s="18">
        <v>61652.35</v>
      </c>
      <c r="J1239" s="27">
        <v>93916.62</v>
      </c>
      <c r="K1239" s="18">
        <f t="shared" si="39"/>
        <v>0</v>
      </c>
      <c r="L1239" s="27">
        <v>66063.3</v>
      </c>
      <c r="M1239" s="36">
        <v>4410.95</v>
      </c>
      <c r="T1239" s="41">
        <v>0</v>
      </c>
      <c r="U1239" s="41">
        <v>0</v>
      </c>
      <c r="V1239" s="42" t="s">
        <v>113</v>
      </c>
      <c r="W1239" s="42">
        <v>0</v>
      </c>
      <c r="X1239" s="42">
        <v>0</v>
      </c>
    </row>
    <row r="1240" spans="1:24">
      <c r="A1240" s="27" t="s">
        <v>2407</v>
      </c>
      <c r="B1240" s="28" t="s">
        <v>215</v>
      </c>
      <c r="C1240" s="27" t="s">
        <v>882</v>
      </c>
      <c r="D1240" s="27" t="s">
        <v>230</v>
      </c>
      <c r="E1240" s="29">
        <v>40268</v>
      </c>
      <c r="F1240" s="27">
        <v>15</v>
      </c>
      <c r="G1240" s="18">
        <v>5483.42</v>
      </c>
      <c r="H1240" s="27">
        <f t="shared" si="38"/>
        <v>0</v>
      </c>
      <c r="I1240" s="18">
        <v>3763.22</v>
      </c>
      <c r="J1240" s="27">
        <v>5483.42</v>
      </c>
      <c r="K1240" s="18">
        <f t="shared" si="39"/>
        <v>0</v>
      </c>
      <c r="L1240" s="27">
        <v>3994.58</v>
      </c>
      <c r="M1240" s="36">
        <v>231.36</v>
      </c>
      <c r="T1240" s="41">
        <v>0</v>
      </c>
      <c r="U1240" s="41">
        <v>0</v>
      </c>
      <c r="V1240" s="42" t="s">
        <v>113</v>
      </c>
      <c r="W1240" s="42">
        <v>0</v>
      </c>
      <c r="X1240" s="42">
        <v>0</v>
      </c>
    </row>
    <row r="1241" spans="1:24">
      <c r="A1241" s="27" t="s">
        <v>2408</v>
      </c>
      <c r="B1241" s="28" t="s">
        <v>215</v>
      </c>
      <c r="C1241" s="27" t="s">
        <v>2409</v>
      </c>
      <c r="D1241" s="27" t="s">
        <v>230</v>
      </c>
      <c r="E1241" s="29">
        <v>40268</v>
      </c>
      <c r="F1241" s="27">
        <v>15</v>
      </c>
      <c r="G1241" s="18">
        <v>8483.42</v>
      </c>
      <c r="H1241" s="27">
        <f t="shared" si="38"/>
        <v>0</v>
      </c>
      <c r="I1241" s="18">
        <v>5822.09</v>
      </c>
      <c r="J1241" s="27">
        <v>8483.42</v>
      </c>
      <c r="K1241" s="18">
        <f t="shared" si="39"/>
        <v>0</v>
      </c>
      <c r="L1241" s="27">
        <v>6180.04</v>
      </c>
      <c r="M1241" s="36">
        <v>357.95</v>
      </c>
      <c r="T1241" s="41">
        <v>0</v>
      </c>
      <c r="U1241" s="41">
        <v>0</v>
      </c>
      <c r="V1241" s="42" t="s">
        <v>113</v>
      </c>
      <c r="W1241" s="42">
        <v>0</v>
      </c>
      <c r="X1241" s="42">
        <v>0</v>
      </c>
    </row>
    <row r="1242" spans="1:24">
      <c r="A1242" s="27" t="s">
        <v>2410</v>
      </c>
      <c r="B1242" s="28" t="s">
        <v>215</v>
      </c>
      <c r="C1242" s="27" t="s">
        <v>2411</v>
      </c>
      <c r="D1242" s="27" t="s">
        <v>230</v>
      </c>
      <c r="E1242" s="29">
        <v>40268</v>
      </c>
      <c r="F1242" s="27">
        <v>15</v>
      </c>
      <c r="G1242" s="18">
        <v>8483.42</v>
      </c>
      <c r="H1242" s="27">
        <f t="shared" si="38"/>
        <v>0</v>
      </c>
      <c r="I1242" s="18">
        <v>5822.09</v>
      </c>
      <c r="J1242" s="27">
        <v>8483.42</v>
      </c>
      <c r="K1242" s="18">
        <f t="shared" si="39"/>
        <v>0</v>
      </c>
      <c r="L1242" s="27">
        <v>6180.04</v>
      </c>
      <c r="M1242" s="36">
        <v>357.95</v>
      </c>
      <c r="T1242" s="41">
        <v>0</v>
      </c>
      <c r="U1242" s="41">
        <v>0</v>
      </c>
      <c r="V1242" s="42" t="s">
        <v>113</v>
      </c>
      <c r="W1242" s="42">
        <v>0</v>
      </c>
      <c r="X1242" s="42">
        <v>0</v>
      </c>
    </row>
    <row r="1243" spans="1:24">
      <c r="A1243" s="27" t="s">
        <v>2412</v>
      </c>
      <c r="B1243" s="28" t="s">
        <v>215</v>
      </c>
      <c r="C1243" s="27" t="s">
        <v>2413</v>
      </c>
      <c r="D1243" s="27" t="s">
        <v>230</v>
      </c>
      <c r="E1243" s="29">
        <v>40268</v>
      </c>
      <c r="F1243" s="27">
        <v>15</v>
      </c>
      <c r="G1243" s="18">
        <v>8483.42</v>
      </c>
      <c r="H1243" s="27">
        <f t="shared" si="38"/>
        <v>0</v>
      </c>
      <c r="I1243" s="18">
        <v>5822.09</v>
      </c>
      <c r="J1243" s="27">
        <v>8483.42</v>
      </c>
      <c r="K1243" s="18">
        <f t="shared" si="39"/>
        <v>0</v>
      </c>
      <c r="L1243" s="27">
        <v>6180.04</v>
      </c>
      <c r="M1243" s="36">
        <v>357.95</v>
      </c>
      <c r="T1243" s="41">
        <v>0</v>
      </c>
      <c r="U1243" s="41">
        <v>0</v>
      </c>
      <c r="V1243" s="42" t="s">
        <v>113</v>
      </c>
      <c r="W1243" s="42">
        <v>0</v>
      </c>
      <c r="X1243" s="42">
        <v>0</v>
      </c>
    </row>
    <row r="1244" spans="1:24">
      <c r="A1244" s="27" t="s">
        <v>2414</v>
      </c>
      <c r="B1244" s="28" t="s">
        <v>215</v>
      </c>
      <c r="C1244" s="27" t="s">
        <v>2415</v>
      </c>
      <c r="D1244" s="27" t="s">
        <v>230</v>
      </c>
      <c r="E1244" s="29">
        <v>40268</v>
      </c>
      <c r="F1244" s="27">
        <v>15</v>
      </c>
      <c r="G1244" s="18">
        <v>8483.42</v>
      </c>
      <c r="H1244" s="27">
        <f t="shared" si="38"/>
        <v>0</v>
      </c>
      <c r="I1244" s="18">
        <v>5822.09</v>
      </c>
      <c r="J1244" s="27">
        <v>8483.42</v>
      </c>
      <c r="K1244" s="18">
        <f t="shared" si="39"/>
        <v>0</v>
      </c>
      <c r="L1244" s="27">
        <v>6180.04</v>
      </c>
      <c r="M1244" s="36">
        <v>357.95</v>
      </c>
      <c r="T1244" s="41">
        <v>0</v>
      </c>
      <c r="U1244" s="41">
        <v>0</v>
      </c>
      <c r="V1244" s="42" t="s">
        <v>113</v>
      </c>
      <c r="W1244" s="42">
        <v>0</v>
      </c>
      <c r="X1244" s="42">
        <v>0</v>
      </c>
    </row>
    <row r="1245" spans="1:24">
      <c r="A1245" s="27" t="s">
        <v>2416</v>
      </c>
      <c r="B1245" s="28" t="s">
        <v>215</v>
      </c>
      <c r="C1245" s="27" t="s">
        <v>2417</v>
      </c>
      <c r="D1245" s="27" t="s">
        <v>230</v>
      </c>
      <c r="E1245" s="29">
        <v>40268</v>
      </c>
      <c r="F1245" s="27">
        <v>15</v>
      </c>
      <c r="G1245" s="18">
        <v>8483.42</v>
      </c>
      <c r="H1245" s="27">
        <f t="shared" si="38"/>
        <v>0</v>
      </c>
      <c r="I1245" s="18">
        <v>5822.09</v>
      </c>
      <c r="J1245" s="27">
        <v>8483.42</v>
      </c>
      <c r="K1245" s="18">
        <f t="shared" si="39"/>
        <v>0</v>
      </c>
      <c r="L1245" s="27">
        <v>6180.04</v>
      </c>
      <c r="M1245" s="36">
        <v>357.95</v>
      </c>
      <c r="T1245" s="41">
        <v>0</v>
      </c>
      <c r="U1245" s="41">
        <v>0</v>
      </c>
      <c r="V1245" s="42" t="s">
        <v>113</v>
      </c>
      <c r="W1245" s="42">
        <v>0</v>
      </c>
      <c r="X1245" s="42">
        <v>0</v>
      </c>
    </row>
    <row r="1246" spans="1:24">
      <c r="A1246" s="27" t="s">
        <v>2418</v>
      </c>
      <c r="B1246" s="28" t="s">
        <v>215</v>
      </c>
      <c r="C1246" s="27" t="s">
        <v>2419</v>
      </c>
      <c r="D1246" s="27" t="s">
        <v>230</v>
      </c>
      <c r="E1246" s="29">
        <v>40268</v>
      </c>
      <c r="F1246" s="27">
        <v>15</v>
      </c>
      <c r="G1246" s="18">
        <v>8483.42</v>
      </c>
      <c r="H1246" s="27">
        <f t="shared" si="38"/>
        <v>0</v>
      </c>
      <c r="I1246" s="18">
        <v>5822.09</v>
      </c>
      <c r="J1246" s="27">
        <v>8483.42</v>
      </c>
      <c r="K1246" s="18">
        <f t="shared" si="39"/>
        <v>0</v>
      </c>
      <c r="L1246" s="27">
        <v>6180.04</v>
      </c>
      <c r="M1246" s="36">
        <v>357.95</v>
      </c>
      <c r="T1246" s="41">
        <v>0</v>
      </c>
      <c r="U1246" s="41">
        <v>0</v>
      </c>
      <c r="V1246" s="42" t="s">
        <v>113</v>
      </c>
      <c r="W1246" s="42">
        <v>0</v>
      </c>
      <c r="X1246" s="42">
        <v>0</v>
      </c>
    </row>
    <row r="1247" spans="1:24">
      <c r="A1247" s="27" t="s">
        <v>2420</v>
      </c>
      <c r="B1247" s="28" t="s">
        <v>215</v>
      </c>
      <c r="C1247" s="27" t="s">
        <v>2421</v>
      </c>
      <c r="D1247" s="27" t="s">
        <v>112</v>
      </c>
      <c r="E1247" s="29">
        <v>40268</v>
      </c>
      <c r="F1247" s="27">
        <v>12</v>
      </c>
      <c r="G1247" s="18">
        <v>1295.6099999999999</v>
      </c>
      <c r="H1247" s="27">
        <f t="shared" si="38"/>
        <v>1295.6099999999999</v>
      </c>
      <c r="I1247" s="18">
        <v>1295.6099999999999</v>
      </c>
      <c r="J1247" s="27">
        <v>1295.6099999999999</v>
      </c>
      <c r="K1247" s="18">
        <f t="shared" si="39"/>
        <v>1295.6099999999999</v>
      </c>
      <c r="L1247" s="27">
        <v>1295.6099999999999</v>
      </c>
      <c r="M1247" s="36">
        <v>0</v>
      </c>
      <c r="T1247" s="41">
        <v>0</v>
      </c>
      <c r="U1247" s="41">
        <v>0</v>
      </c>
      <c r="V1247" s="42" t="s">
        <v>113</v>
      </c>
      <c r="W1247" s="42">
        <v>1295.6099999999999</v>
      </c>
      <c r="X1247" s="42">
        <v>1295.6099999999999</v>
      </c>
    </row>
    <row r="1248" spans="1:24">
      <c r="A1248" s="27" t="s">
        <v>2422</v>
      </c>
      <c r="B1248" s="28" t="s">
        <v>215</v>
      </c>
      <c r="C1248" s="27" t="s">
        <v>2423</v>
      </c>
      <c r="D1248" s="27" t="s">
        <v>112</v>
      </c>
      <c r="E1248" s="29">
        <v>40268</v>
      </c>
      <c r="F1248" s="27">
        <v>12</v>
      </c>
      <c r="G1248" s="18">
        <v>1295.6099999999999</v>
      </c>
      <c r="H1248" s="27">
        <f t="shared" si="38"/>
        <v>1295.6099999999999</v>
      </c>
      <c r="I1248" s="18">
        <v>1295.6099999999999</v>
      </c>
      <c r="J1248" s="27">
        <v>1295.6099999999999</v>
      </c>
      <c r="K1248" s="18">
        <f t="shared" si="39"/>
        <v>1295.6099999999999</v>
      </c>
      <c r="L1248" s="27">
        <v>1295.6099999999999</v>
      </c>
      <c r="M1248" s="36">
        <v>0</v>
      </c>
      <c r="T1248" s="41">
        <v>0</v>
      </c>
      <c r="U1248" s="41">
        <v>0</v>
      </c>
      <c r="V1248" s="42" t="s">
        <v>113</v>
      </c>
      <c r="W1248" s="42">
        <v>1295.6099999999999</v>
      </c>
      <c r="X1248" s="42">
        <v>1295.6099999999999</v>
      </c>
    </row>
    <row r="1249" spans="1:24">
      <c r="A1249" s="27" t="s">
        <v>2424</v>
      </c>
      <c r="B1249" s="28" t="s">
        <v>215</v>
      </c>
      <c r="C1249" s="27" t="s">
        <v>2425</v>
      </c>
      <c r="D1249" s="27" t="s">
        <v>112</v>
      </c>
      <c r="E1249" s="29">
        <v>40268</v>
      </c>
      <c r="F1249" s="27">
        <v>12</v>
      </c>
      <c r="G1249" s="18">
        <v>1295.6199999999999</v>
      </c>
      <c r="H1249" s="27">
        <f t="shared" si="38"/>
        <v>1295.6199999999999</v>
      </c>
      <c r="I1249" s="18">
        <v>1295.6199999999999</v>
      </c>
      <c r="J1249" s="27">
        <v>1295.6199999999999</v>
      </c>
      <c r="K1249" s="18">
        <f t="shared" si="39"/>
        <v>1295.6199999999999</v>
      </c>
      <c r="L1249" s="27">
        <v>1295.6199999999999</v>
      </c>
      <c r="M1249" s="36">
        <v>0</v>
      </c>
      <c r="T1249" s="41">
        <v>0</v>
      </c>
      <c r="U1249" s="41">
        <v>0</v>
      </c>
      <c r="V1249" s="42" t="s">
        <v>113</v>
      </c>
      <c r="W1249" s="42">
        <v>1295.6199999999999</v>
      </c>
      <c r="X1249" s="42">
        <v>1295.6199999999999</v>
      </c>
    </row>
    <row r="1250" spans="1:24">
      <c r="A1250" s="27" t="s">
        <v>2426</v>
      </c>
      <c r="B1250" s="28" t="s">
        <v>215</v>
      </c>
      <c r="C1250" s="27" t="s">
        <v>2427</v>
      </c>
      <c r="D1250" s="27" t="s">
        <v>112</v>
      </c>
      <c r="E1250" s="29">
        <v>40268</v>
      </c>
      <c r="F1250" s="27">
        <v>12</v>
      </c>
      <c r="G1250" s="18">
        <v>6745.04</v>
      </c>
      <c r="H1250" s="27">
        <f t="shared" si="38"/>
        <v>6745.04</v>
      </c>
      <c r="I1250" s="18">
        <v>6745.04</v>
      </c>
      <c r="J1250" s="27">
        <v>6745.04</v>
      </c>
      <c r="K1250" s="18">
        <f t="shared" si="39"/>
        <v>6745.04</v>
      </c>
      <c r="L1250" s="27">
        <v>6407.79</v>
      </c>
      <c r="M1250" s="36">
        <v>-337.25</v>
      </c>
      <c r="T1250" s="41">
        <v>0</v>
      </c>
      <c r="U1250" s="41">
        <v>0</v>
      </c>
      <c r="V1250" s="42" t="s">
        <v>113</v>
      </c>
      <c r="W1250" s="42">
        <v>6745.04</v>
      </c>
      <c r="X1250" s="42">
        <v>6745.04</v>
      </c>
    </row>
    <row r="1251" spans="1:24">
      <c r="A1251" s="27" t="s">
        <v>2428</v>
      </c>
      <c r="B1251" s="28" t="s">
        <v>215</v>
      </c>
      <c r="C1251" s="27" t="s">
        <v>2429</v>
      </c>
      <c r="D1251" s="27" t="s">
        <v>112</v>
      </c>
      <c r="E1251" s="29">
        <v>40268</v>
      </c>
      <c r="F1251" s="27">
        <v>12</v>
      </c>
      <c r="G1251" s="18">
        <v>6745.04</v>
      </c>
      <c r="H1251" s="27">
        <f t="shared" si="38"/>
        <v>6745.04</v>
      </c>
      <c r="I1251" s="18">
        <v>6745.04</v>
      </c>
      <c r="J1251" s="27">
        <v>6745.04</v>
      </c>
      <c r="K1251" s="18">
        <f t="shared" si="39"/>
        <v>6745.04</v>
      </c>
      <c r="L1251" s="27">
        <v>6407.79</v>
      </c>
      <c r="M1251" s="36">
        <v>-337.25</v>
      </c>
      <c r="T1251" s="41">
        <v>0</v>
      </c>
      <c r="U1251" s="41">
        <v>0</v>
      </c>
      <c r="V1251" s="42" t="s">
        <v>113</v>
      </c>
      <c r="W1251" s="42">
        <v>6745.04</v>
      </c>
      <c r="X1251" s="42">
        <v>6745.04</v>
      </c>
    </row>
    <row r="1252" spans="1:24">
      <c r="A1252" s="27" t="s">
        <v>2430</v>
      </c>
      <c r="B1252" s="28" t="s">
        <v>215</v>
      </c>
      <c r="C1252" s="27" t="s">
        <v>2431</v>
      </c>
      <c r="D1252" s="27" t="s">
        <v>112</v>
      </c>
      <c r="E1252" s="29">
        <v>40268</v>
      </c>
      <c r="F1252" s="27">
        <v>12</v>
      </c>
      <c r="G1252" s="18">
        <v>6745.04</v>
      </c>
      <c r="H1252" s="27">
        <f t="shared" si="38"/>
        <v>6745.04</v>
      </c>
      <c r="I1252" s="18">
        <v>6745.04</v>
      </c>
      <c r="J1252" s="27">
        <v>6745.04</v>
      </c>
      <c r="K1252" s="18">
        <f t="shared" si="39"/>
        <v>6745.04</v>
      </c>
      <c r="L1252" s="27">
        <v>6407.79</v>
      </c>
      <c r="M1252" s="36">
        <v>-337.25</v>
      </c>
      <c r="T1252" s="41">
        <v>0</v>
      </c>
      <c r="U1252" s="41">
        <v>0</v>
      </c>
      <c r="V1252" s="42" t="s">
        <v>113</v>
      </c>
      <c r="W1252" s="42">
        <v>6745.04</v>
      </c>
      <c r="X1252" s="42">
        <v>6745.04</v>
      </c>
    </row>
    <row r="1253" spans="1:24">
      <c r="A1253" s="27" t="s">
        <v>2432</v>
      </c>
      <c r="B1253" s="28" t="s">
        <v>215</v>
      </c>
      <c r="C1253" s="27" t="s">
        <v>485</v>
      </c>
      <c r="D1253" s="27" t="s">
        <v>112</v>
      </c>
      <c r="E1253" s="29">
        <v>40268</v>
      </c>
      <c r="F1253" s="27">
        <v>12</v>
      </c>
      <c r="G1253" s="18">
        <v>3372.52</v>
      </c>
      <c r="H1253" s="27">
        <f t="shared" si="38"/>
        <v>3372.52</v>
      </c>
      <c r="I1253" s="18">
        <v>3372.52</v>
      </c>
      <c r="J1253" s="27">
        <v>3372.52</v>
      </c>
      <c r="K1253" s="18">
        <f t="shared" si="39"/>
        <v>3372.52</v>
      </c>
      <c r="L1253" s="27">
        <v>3372.52</v>
      </c>
      <c r="M1253" s="36">
        <v>0</v>
      </c>
      <c r="T1253" s="41">
        <v>0</v>
      </c>
      <c r="U1253" s="41">
        <v>0</v>
      </c>
      <c r="V1253" s="42" t="s">
        <v>113</v>
      </c>
      <c r="W1253" s="42">
        <v>3372.52</v>
      </c>
      <c r="X1253" s="42">
        <v>3372.52</v>
      </c>
    </row>
    <row r="1254" spans="1:24">
      <c r="A1254" s="27" t="s">
        <v>2433</v>
      </c>
      <c r="B1254" s="28" t="s">
        <v>215</v>
      </c>
      <c r="C1254" s="27" t="s">
        <v>2434</v>
      </c>
      <c r="D1254" s="27" t="s">
        <v>112</v>
      </c>
      <c r="E1254" s="29">
        <v>40268</v>
      </c>
      <c r="F1254" s="27">
        <v>12</v>
      </c>
      <c r="G1254" s="18">
        <v>6745.04</v>
      </c>
      <c r="H1254" s="27">
        <f t="shared" si="38"/>
        <v>6745.04</v>
      </c>
      <c r="I1254" s="18">
        <v>6745.04</v>
      </c>
      <c r="J1254" s="27">
        <v>6745.04</v>
      </c>
      <c r="K1254" s="18">
        <f t="shared" si="39"/>
        <v>6745.04</v>
      </c>
      <c r="L1254" s="27">
        <v>6407.79</v>
      </c>
      <c r="M1254" s="36">
        <v>-337.25</v>
      </c>
      <c r="T1254" s="41">
        <v>0</v>
      </c>
      <c r="U1254" s="41">
        <v>0</v>
      </c>
      <c r="V1254" s="42" t="s">
        <v>113</v>
      </c>
      <c r="W1254" s="42">
        <v>6745.04</v>
      </c>
      <c r="X1254" s="42">
        <v>6745.04</v>
      </c>
    </row>
    <row r="1255" spans="1:24">
      <c r="A1255" s="27" t="s">
        <v>2435</v>
      </c>
      <c r="B1255" s="28" t="s">
        <v>215</v>
      </c>
      <c r="C1255" s="27" t="s">
        <v>2436</v>
      </c>
      <c r="D1255" s="27" t="s">
        <v>112</v>
      </c>
      <c r="E1255" s="29">
        <v>40268</v>
      </c>
      <c r="F1255" s="27">
        <v>15</v>
      </c>
      <c r="G1255" s="18">
        <v>20523.099999999999</v>
      </c>
      <c r="H1255" s="27">
        <f t="shared" si="38"/>
        <v>0</v>
      </c>
      <c r="I1255" s="18">
        <v>16084.83</v>
      </c>
      <c r="J1255" s="27">
        <v>20523.099999999999</v>
      </c>
      <c r="K1255" s="18">
        <f t="shared" si="39"/>
        <v>0</v>
      </c>
      <c r="L1255" s="27">
        <v>16630.77</v>
      </c>
      <c r="M1255" s="36">
        <v>545.94000000000005</v>
      </c>
      <c r="T1255" s="41">
        <v>0</v>
      </c>
      <c r="U1255" s="41">
        <v>0</v>
      </c>
      <c r="V1255" s="42" t="s">
        <v>113</v>
      </c>
      <c r="W1255" s="42">
        <v>0</v>
      </c>
      <c r="X1255" s="42">
        <v>0</v>
      </c>
    </row>
    <row r="1256" spans="1:24">
      <c r="A1256" s="27" t="s">
        <v>2437</v>
      </c>
      <c r="B1256" s="28" t="s">
        <v>215</v>
      </c>
      <c r="C1256" s="27" t="s">
        <v>2438</v>
      </c>
      <c r="D1256" s="27" t="s">
        <v>112</v>
      </c>
      <c r="E1256" s="29">
        <v>40268</v>
      </c>
      <c r="F1256" s="27">
        <v>15</v>
      </c>
      <c r="G1256" s="18">
        <v>20523.099999999999</v>
      </c>
      <c r="H1256" s="27">
        <f t="shared" si="38"/>
        <v>0</v>
      </c>
      <c r="I1256" s="18">
        <v>16084.83</v>
      </c>
      <c r="J1256" s="27">
        <v>20523.099999999999</v>
      </c>
      <c r="K1256" s="18">
        <f t="shared" si="39"/>
        <v>0</v>
      </c>
      <c r="L1256" s="27">
        <v>16630.77</v>
      </c>
      <c r="M1256" s="36">
        <v>545.94000000000005</v>
      </c>
      <c r="T1256" s="41">
        <v>0</v>
      </c>
      <c r="U1256" s="41">
        <v>0</v>
      </c>
      <c r="V1256" s="42" t="s">
        <v>113</v>
      </c>
      <c r="W1256" s="42">
        <v>0</v>
      </c>
      <c r="X1256" s="42">
        <v>0</v>
      </c>
    </row>
    <row r="1257" spans="1:24">
      <c r="A1257" s="27" t="s">
        <v>2439</v>
      </c>
      <c r="B1257" s="28" t="s">
        <v>215</v>
      </c>
      <c r="C1257" s="27" t="s">
        <v>2440</v>
      </c>
      <c r="D1257" s="27" t="s">
        <v>112</v>
      </c>
      <c r="E1257" s="29">
        <v>40268</v>
      </c>
      <c r="F1257" s="27">
        <v>15</v>
      </c>
      <c r="G1257" s="18">
        <v>20523.099999999999</v>
      </c>
      <c r="H1257" s="27">
        <f t="shared" si="38"/>
        <v>0</v>
      </c>
      <c r="I1257" s="18">
        <v>16084.83</v>
      </c>
      <c r="J1257" s="27">
        <v>20523.099999999999</v>
      </c>
      <c r="K1257" s="18">
        <f t="shared" si="39"/>
        <v>0</v>
      </c>
      <c r="L1257" s="27">
        <v>16630.77</v>
      </c>
      <c r="M1257" s="36">
        <v>545.94000000000005</v>
      </c>
      <c r="T1257" s="41">
        <v>0</v>
      </c>
      <c r="U1257" s="41">
        <v>0</v>
      </c>
      <c r="V1257" s="42" t="s">
        <v>113</v>
      </c>
      <c r="W1257" s="42">
        <v>0</v>
      </c>
      <c r="X1257" s="42">
        <v>0</v>
      </c>
    </row>
    <row r="1258" spans="1:24">
      <c r="A1258" s="27" t="s">
        <v>2441</v>
      </c>
      <c r="B1258" s="28" t="s">
        <v>215</v>
      </c>
      <c r="C1258" s="27" t="s">
        <v>2442</v>
      </c>
      <c r="D1258" s="27" t="s">
        <v>112</v>
      </c>
      <c r="E1258" s="29">
        <v>40268</v>
      </c>
      <c r="F1258" s="27">
        <v>15</v>
      </c>
      <c r="G1258" s="18">
        <v>20523.099999999999</v>
      </c>
      <c r="H1258" s="27">
        <f t="shared" si="38"/>
        <v>0</v>
      </c>
      <c r="I1258" s="18">
        <v>16084.83</v>
      </c>
      <c r="J1258" s="27">
        <v>20523.099999999999</v>
      </c>
      <c r="K1258" s="18">
        <f t="shared" si="39"/>
        <v>0</v>
      </c>
      <c r="L1258" s="27">
        <v>16630.77</v>
      </c>
      <c r="M1258" s="36">
        <v>545.94000000000005</v>
      </c>
      <c r="T1258" s="41">
        <v>0</v>
      </c>
      <c r="U1258" s="41">
        <v>0</v>
      </c>
      <c r="V1258" s="42" t="s">
        <v>113</v>
      </c>
      <c r="W1258" s="42">
        <v>0</v>
      </c>
      <c r="X1258" s="42">
        <v>0</v>
      </c>
    </row>
    <row r="1259" spans="1:24">
      <c r="A1259" s="27" t="s">
        <v>2443</v>
      </c>
      <c r="B1259" s="28" t="s">
        <v>215</v>
      </c>
      <c r="C1259" s="27" t="s">
        <v>2444</v>
      </c>
      <c r="D1259" s="27" t="s">
        <v>112</v>
      </c>
      <c r="E1259" s="29">
        <v>40268</v>
      </c>
      <c r="F1259" s="27">
        <v>15</v>
      </c>
      <c r="G1259" s="18">
        <v>13778.08</v>
      </c>
      <c r="H1259" s="27">
        <f t="shared" si="38"/>
        <v>0</v>
      </c>
      <c r="I1259" s="18">
        <v>9455.76</v>
      </c>
      <c r="J1259" s="27">
        <v>13778.08</v>
      </c>
      <c r="K1259" s="18">
        <f t="shared" si="39"/>
        <v>0</v>
      </c>
      <c r="L1259" s="27">
        <v>10037.11</v>
      </c>
      <c r="M1259" s="36">
        <v>581.35</v>
      </c>
      <c r="T1259" s="41">
        <v>0</v>
      </c>
      <c r="U1259" s="41">
        <v>0</v>
      </c>
      <c r="V1259" s="42" t="s">
        <v>113</v>
      </c>
      <c r="W1259" s="42">
        <v>0</v>
      </c>
      <c r="X1259" s="42">
        <v>0</v>
      </c>
    </row>
    <row r="1260" spans="1:24">
      <c r="A1260" s="27" t="s">
        <v>2445</v>
      </c>
      <c r="B1260" s="28" t="s">
        <v>215</v>
      </c>
      <c r="C1260" s="27" t="s">
        <v>2446</v>
      </c>
      <c r="D1260" s="27" t="s">
        <v>112</v>
      </c>
      <c r="E1260" s="29">
        <v>40268</v>
      </c>
      <c r="F1260" s="27">
        <v>15</v>
      </c>
      <c r="G1260" s="18">
        <v>141905.96</v>
      </c>
      <c r="H1260" s="27">
        <f t="shared" si="38"/>
        <v>0</v>
      </c>
      <c r="I1260" s="18">
        <v>98145.600000000006</v>
      </c>
      <c r="J1260" s="27">
        <v>141905.96</v>
      </c>
      <c r="K1260" s="18">
        <f t="shared" si="39"/>
        <v>0</v>
      </c>
      <c r="L1260" s="27">
        <v>104012.01</v>
      </c>
      <c r="M1260" s="36">
        <v>5866.41</v>
      </c>
      <c r="T1260" s="41">
        <v>0</v>
      </c>
      <c r="U1260" s="41">
        <v>0</v>
      </c>
      <c r="V1260" s="42" t="s">
        <v>113</v>
      </c>
      <c r="W1260" s="42">
        <v>0</v>
      </c>
      <c r="X1260" s="42">
        <v>0</v>
      </c>
    </row>
    <row r="1261" spans="1:24">
      <c r="A1261" s="27" t="s">
        <v>2447</v>
      </c>
      <c r="B1261" s="28" t="s">
        <v>215</v>
      </c>
      <c r="C1261" s="27" t="s">
        <v>2448</v>
      </c>
      <c r="D1261" s="27" t="s">
        <v>230</v>
      </c>
      <c r="E1261" s="29">
        <v>40268</v>
      </c>
      <c r="F1261" s="27">
        <v>15</v>
      </c>
      <c r="G1261" s="18">
        <v>49701.98</v>
      </c>
      <c r="H1261" s="27">
        <f t="shared" si="38"/>
        <v>0</v>
      </c>
      <c r="I1261" s="18">
        <v>34109.93</v>
      </c>
      <c r="J1261" s="27">
        <v>49701.98</v>
      </c>
      <c r="K1261" s="18">
        <f t="shared" si="39"/>
        <v>0</v>
      </c>
      <c r="L1261" s="27">
        <v>36207.040000000001</v>
      </c>
      <c r="M1261" s="36">
        <v>2097.11</v>
      </c>
      <c r="T1261" s="41">
        <v>0</v>
      </c>
      <c r="U1261" s="41">
        <v>0</v>
      </c>
      <c r="V1261" s="42" t="s">
        <v>113</v>
      </c>
      <c r="W1261" s="42">
        <v>0</v>
      </c>
      <c r="X1261" s="42">
        <v>0</v>
      </c>
    </row>
    <row r="1262" spans="1:24">
      <c r="A1262" s="27" t="s">
        <v>2449</v>
      </c>
      <c r="B1262" s="28" t="s">
        <v>215</v>
      </c>
      <c r="C1262" s="27" t="s">
        <v>2450</v>
      </c>
      <c r="D1262" s="27" t="s">
        <v>230</v>
      </c>
      <c r="E1262" s="29">
        <v>40268</v>
      </c>
      <c r="F1262" s="27">
        <v>15</v>
      </c>
      <c r="G1262" s="18">
        <v>49701.98</v>
      </c>
      <c r="H1262" s="27">
        <f t="shared" si="38"/>
        <v>0</v>
      </c>
      <c r="I1262" s="18">
        <v>34109.93</v>
      </c>
      <c r="J1262" s="27">
        <v>49701.98</v>
      </c>
      <c r="K1262" s="18">
        <f t="shared" si="39"/>
        <v>0</v>
      </c>
      <c r="L1262" s="27">
        <v>36207.040000000001</v>
      </c>
      <c r="M1262" s="36">
        <v>2097.11</v>
      </c>
      <c r="T1262" s="41">
        <v>0</v>
      </c>
      <c r="U1262" s="41">
        <v>0</v>
      </c>
      <c r="V1262" s="42" t="s">
        <v>113</v>
      </c>
      <c r="W1262" s="42">
        <v>0</v>
      </c>
      <c r="X1262" s="42">
        <v>0</v>
      </c>
    </row>
    <row r="1263" spans="1:24">
      <c r="A1263" s="27" t="s">
        <v>2451</v>
      </c>
      <c r="B1263" s="28" t="s">
        <v>215</v>
      </c>
      <c r="C1263" s="27" t="s">
        <v>2452</v>
      </c>
      <c r="D1263" s="27" t="s">
        <v>230</v>
      </c>
      <c r="E1263" s="29">
        <v>40268</v>
      </c>
      <c r="F1263" s="27">
        <v>15</v>
      </c>
      <c r="G1263" s="18">
        <v>49701.99</v>
      </c>
      <c r="H1263" s="27">
        <f t="shared" si="38"/>
        <v>0</v>
      </c>
      <c r="I1263" s="18">
        <v>34109.94</v>
      </c>
      <c r="J1263" s="27">
        <v>49701.99</v>
      </c>
      <c r="K1263" s="18">
        <f t="shared" si="39"/>
        <v>0</v>
      </c>
      <c r="L1263" s="27">
        <v>36207.050000000003</v>
      </c>
      <c r="M1263" s="36">
        <v>2097.11</v>
      </c>
      <c r="T1263" s="41">
        <v>0</v>
      </c>
      <c r="U1263" s="41">
        <v>0</v>
      </c>
      <c r="V1263" s="42" t="s">
        <v>113</v>
      </c>
      <c r="W1263" s="42">
        <v>0</v>
      </c>
      <c r="X1263" s="42">
        <v>0</v>
      </c>
    </row>
    <row r="1264" spans="1:24">
      <c r="A1264" s="27" t="s">
        <v>2453</v>
      </c>
      <c r="B1264" s="28" t="s">
        <v>215</v>
      </c>
      <c r="C1264" s="27" t="s">
        <v>2454</v>
      </c>
      <c r="D1264" s="27" t="s">
        <v>112</v>
      </c>
      <c r="E1264" s="29">
        <v>40268</v>
      </c>
      <c r="F1264" s="27">
        <v>15</v>
      </c>
      <c r="G1264" s="18">
        <v>30002.83</v>
      </c>
      <c r="H1264" s="27">
        <f t="shared" si="38"/>
        <v>0</v>
      </c>
      <c r="I1264" s="18">
        <v>20484.830000000002</v>
      </c>
      <c r="J1264" s="27">
        <v>30002.83</v>
      </c>
      <c r="K1264" s="18">
        <f t="shared" si="39"/>
        <v>0</v>
      </c>
      <c r="L1264" s="27">
        <v>21767.69</v>
      </c>
      <c r="M1264" s="36">
        <v>1282.8599999999999</v>
      </c>
      <c r="T1264" s="41">
        <v>0</v>
      </c>
      <c r="U1264" s="41">
        <v>0</v>
      </c>
      <c r="V1264" s="42" t="s">
        <v>113</v>
      </c>
      <c r="W1264" s="42">
        <v>0</v>
      </c>
      <c r="X1264" s="42">
        <v>0</v>
      </c>
    </row>
    <row r="1265" spans="1:24">
      <c r="A1265" s="27" t="s">
        <v>2455</v>
      </c>
      <c r="B1265" s="28" t="s">
        <v>215</v>
      </c>
      <c r="C1265" s="27" t="s">
        <v>2456</v>
      </c>
      <c r="D1265" s="27" t="s">
        <v>112</v>
      </c>
      <c r="E1265" s="29">
        <v>40268</v>
      </c>
      <c r="F1265" s="27">
        <v>12</v>
      </c>
      <c r="G1265" s="18">
        <v>805.95</v>
      </c>
      <c r="H1265" s="27">
        <f t="shared" si="38"/>
        <v>805.95</v>
      </c>
      <c r="I1265" s="18">
        <v>805.95</v>
      </c>
      <c r="J1265" s="27">
        <v>805.95</v>
      </c>
      <c r="K1265" s="18">
        <f t="shared" si="39"/>
        <v>805.95</v>
      </c>
      <c r="L1265" s="27">
        <v>805.95</v>
      </c>
      <c r="M1265" s="36">
        <v>0</v>
      </c>
      <c r="T1265" s="41">
        <v>0</v>
      </c>
      <c r="U1265" s="41">
        <v>0</v>
      </c>
      <c r="V1265" s="42" t="s">
        <v>113</v>
      </c>
      <c r="W1265" s="42">
        <v>805.95</v>
      </c>
      <c r="X1265" s="42">
        <v>805.95</v>
      </c>
    </row>
    <row r="1266" spans="1:24">
      <c r="A1266" s="27" t="s">
        <v>2457</v>
      </c>
      <c r="B1266" s="28" t="s">
        <v>215</v>
      </c>
      <c r="C1266" s="27" t="s">
        <v>2458</v>
      </c>
      <c r="D1266" s="27" t="s">
        <v>112</v>
      </c>
      <c r="E1266" s="29">
        <v>40268</v>
      </c>
      <c r="F1266" s="27">
        <v>12</v>
      </c>
      <c r="G1266" s="18">
        <v>805.95</v>
      </c>
      <c r="H1266" s="27">
        <f t="shared" si="38"/>
        <v>805.95</v>
      </c>
      <c r="I1266" s="18">
        <v>805.95</v>
      </c>
      <c r="J1266" s="27">
        <v>805.95</v>
      </c>
      <c r="K1266" s="18">
        <f t="shared" si="39"/>
        <v>805.95</v>
      </c>
      <c r="L1266" s="27">
        <v>805.95</v>
      </c>
      <c r="M1266" s="36">
        <v>0</v>
      </c>
      <c r="T1266" s="41">
        <v>0</v>
      </c>
      <c r="U1266" s="41">
        <v>0</v>
      </c>
      <c r="V1266" s="42" t="s">
        <v>113</v>
      </c>
      <c r="W1266" s="42">
        <v>805.95</v>
      </c>
      <c r="X1266" s="42">
        <v>805.95</v>
      </c>
    </row>
    <row r="1267" spans="1:24">
      <c r="A1267" s="27" t="s">
        <v>2459</v>
      </c>
      <c r="B1267" s="28" t="s">
        <v>215</v>
      </c>
      <c r="C1267" s="27" t="s">
        <v>2460</v>
      </c>
      <c r="D1267" s="27" t="s">
        <v>112</v>
      </c>
      <c r="E1267" s="29">
        <v>40268</v>
      </c>
      <c r="F1267" s="27">
        <v>12</v>
      </c>
      <c r="G1267" s="18">
        <v>805.95</v>
      </c>
      <c r="H1267" s="27">
        <f t="shared" si="38"/>
        <v>805.95</v>
      </c>
      <c r="I1267" s="18">
        <v>805.95</v>
      </c>
      <c r="J1267" s="27">
        <v>805.95</v>
      </c>
      <c r="K1267" s="18">
        <f t="shared" si="39"/>
        <v>805.95</v>
      </c>
      <c r="L1267" s="27">
        <v>805.95</v>
      </c>
      <c r="M1267" s="36">
        <v>0</v>
      </c>
      <c r="T1267" s="41">
        <v>0</v>
      </c>
      <c r="U1267" s="41">
        <v>0</v>
      </c>
      <c r="V1267" s="42" t="s">
        <v>113</v>
      </c>
      <c r="W1267" s="42">
        <v>805.95</v>
      </c>
      <c r="X1267" s="42">
        <v>805.95</v>
      </c>
    </row>
    <row r="1268" spans="1:24">
      <c r="A1268" s="27" t="s">
        <v>2461</v>
      </c>
      <c r="B1268" s="28" t="s">
        <v>215</v>
      </c>
      <c r="C1268" s="27" t="s">
        <v>2462</v>
      </c>
      <c r="D1268" s="27" t="s">
        <v>112</v>
      </c>
      <c r="E1268" s="29">
        <v>40268</v>
      </c>
      <c r="F1268" s="27">
        <v>12</v>
      </c>
      <c r="G1268" s="18">
        <v>1916.08</v>
      </c>
      <c r="H1268" s="27">
        <f t="shared" si="38"/>
        <v>1916.08</v>
      </c>
      <c r="I1268" s="18">
        <v>1916.08</v>
      </c>
      <c r="J1268" s="27">
        <v>1916.08</v>
      </c>
      <c r="K1268" s="18">
        <f t="shared" si="39"/>
        <v>1916.08</v>
      </c>
      <c r="L1268" s="27">
        <v>1916.08</v>
      </c>
      <c r="M1268" s="36">
        <v>0</v>
      </c>
      <c r="T1268" s="41">
        <v>0</v>
      </c>
      <c r="U1268" s="41">
        <v>0</v>
      </c>
      <c r="V1268" s="42" t="s">
        <v>113</v>
      </c>
      <c r="W1268" s="42">
        <v>1916.08</v>
      </c>
      <c r="X1268" s="42">
        <v>1916.08</v>
      </c>
    </row>
    <row r="1269" spans="1:24">
      <c r="A1269" s="27" t="s">
        <v>2463</v>
      </c>
      <c r="B1269" s="28" t="s">
        <v>215</v>
      </c>
      <c r="C1269" s="27" t="s">
        <v>2464</v>
      </c>
      <c r="D1269" s="27" t="s">
        <v>112</v>
      </c>
      <c r="E1269" s="29">
        <v>40268</v>
      </c>
      <c r="F1269" s="27">
        <v>12</v>
      </c>
      <c r="G1269" s="18">
        <v>1916.08</v>
      </c>
      <c r="H1269" s="27">
        <f t="shared" si="38"/>
        <v>1916.08</v>
      </c>
      <c r="I1269" s="18">
        <v>1916.08</v>
      </c>
      <c r="J1269" s="27">
        <v>1916.08</v>
      </c>
      <c r="K1269" s="18">
        <f t="shared" si="39"/>
        <v>1916.08</v>
      </c>
      <c r="L1269" s="27">
        <v>1916.08</v>
      </c>
      <c r="M1269" s="36">
        <v>0</v>
      </c>
      <c r="T1269" s="41">
        <v>0</v>
      </c>
      <c r="U1269" s="41">
        <v>0</v>
      </c>
      <c r="V1269" s="42" t="s">
        <v>113</v>
      </c>
      <c r="W1269" s="42">
        <v>1916.08</v>
      </c>
      <c r="X1269" s="42">
        <v>1916.08</v>
      </c>
    </row>
    <row r="1270" spans="1:24">
      <c r="A1270" s="27" t="s">
        <v>2465</v>
      </c>
      <c r="B1270" s="28" t="s">
        <v>215</v>
      </c>
      <c r="C1270" s="27" t="s">
        <v>2466</v>
      </c>
      <c r="D1270" s="27" t="s">
        <v>112</v>
      </c>
      <c r="E1270" s="29">
        <v>40268</v>
      </c>
      <c r="F1270" s="27">
        <v>12</v>
      </c>
      <c r="G1270" s="18">
        <v>1916.08</v>
      </c>
      <c r="H1270" s="27">
        <f t="shared" si="38"/>
        <v>1916.08</v>
      </c>
      <c r="I1270" s="18">
        <v>1916.08</v>
      </c>
      <c r="J1270" s="27">
        <v>1916.08</v>
      </c>
      <c r="K1270" s="18">
        <f t="shared" si="39"/>
        <v>1916.08</v>
      </c>
      <c r="L1270" s="27">
        <v>1916.08</v>
      </c>
      <c r="M1270" s="36">
        <v>0</v>
      </c>
      <c r="T1270" s="41">
        <v>0</v>
      </c>
      <c r="U1270" s="41">
        <v>0</v>
      </c>
      <c r="V1270" s="42" t="s">
        <v>113</v>
      </c>
      <c r="W1270" s="42">
        <v>1916.08</v>
      </c>
      <c r="X1270" s="42">
        <v>1916.08</v>
      </c>
    </row>
    <row r="1271" spans="1:24">
      <c r="A1271" s="27" t="s">
        <v>2467</v>
      </c>
      <c r="B1271" s="28" t="s">
        <v>215</v>
      </c>
      <c r="C1271" s="27" t="s">
        <v>2468</v>
      </c>
      <c r="D1271" s="27" t="s">
        <v>112</v>
      </c>
      <c r="E1271" s="29">
        <v>40268</v>
      </c>
      <c r="F1271" s="27">
        <v>12</v>
      </c>
      <c r="G1271" s="18">
        <v>3012.49</v>
      </c>
      <c r="H1271" s="27">
        <f t="shared" si="38"/>
        <v>3012.49</v>
      </c>
      <c r="I1271" s="18">
        <v>3012.49</v>
      </c>
      <c r="J1271" s="27">
        <v>3012.49</v>
      </c>
      <c r="K1271" s="18">
        <f t="shared" si="39"/>
        <v>3012.49</v>
      </c>
      <c r="L1271" s="27">
        <v>3012.49</v>
      </c>
      <c r="M1271" s="36">
        <v>0</v>
      </c>
      <c r="T1271" s="41">
        <v>0</v>
      </c>
      <c r="U1271" s="41">
        <v>0</v>
      </c>
      <c r="V1271" s="42" t="s">
        <v>113</v>
      </c>
      <c r="W1271" s="42">
        <v>3012.49</v>
      </c>
      <c r="X1271" s="42">
        <v>3012.49</v>
      </c>
    </row>
    <row r="1272" spans="1:24">
      <c r="A1272" s="27" t="s">
        <v>2469</v>
      </c>
      <c r="B1272" s="28" t="s">
        <v>215</v>
      </c>
      <c r="C1272" s="27" t="s">
        <v>2470</v>
      </c>
      <c r="D1272" s="27" t="s">
        <v>112</v>
      </c>
      <c r="E1272" s="29">
        <v>40268</v>
      </c>
      <c r="F1272" s="27">
        <v>12</v>
      </c>
      <c r="G1272" s="18">
        <v>3012.49</v>
      </c>
      <c r="H1272" s="27">
        <f t="shared" si="38"/>
        <v>3012.49</v>
      </c>
      <c r="I1272" s="18">
        <v>3012.49</v>
      </c>
      <c r="J1272" s="27">
        <v>3012.49</v>
      </c>
      <c r="K1272" s="18">
        <f t="shared" si="39"/>
        <v>3012.49</v>
      </c>
      <c r="L1272" s="27">
        <v>3012.49</v>
      </c>
      <c r="M1272" s="36">
        <v>0</v>
      </c>
      <c r="T1272" s="41">
        <v>0</v>
      </c>
      <c r="U1272" s="41">
        <v>0</v>
      </c>
      <c r="V1272" s="42" t="s">
        <v>113</v>
      </c>
      <c r="W1272" s="42">
        <v>3012.49</v>
      </c>
      <c r="X1272" s="42">
        <v>3012.49</v>
      </c>
    </row>
    <row r="1273" spans="1:24">
      <c r="A1273" s="27" t="s">
        <v>2471</v>
      </c>
      <c r="B1273" s="28" t="s">
        <v>215</v>
      </c>
      <c r="C1273" s="27" t="s">
        <v>2472</v>
      </c>
      <c r="D1273" s="27" t="s">
        <v>112</v>
      </c>
      <c r="E1273" s="29">
        <v>40268</v>
      </c>
      <c r="F1273" s="27">
        <v>12</v>
      </c>
      <c r="G1273" s="18">
        <v>3012.5</v>
      </c>
      <c r="H1273" s="27">
        <f t="shared" si="38"/>
        <v>3012.5</v>
      </c>
      <c r="I1273" s="18">
        <v>3012.5</v>
      </c>
      <c r="J1273" s="27">
        <v>3012.5</v>
      </c>
      <c r="K1273" s="18">
        <f t="shared" si="39"/>
        <v>3012.5</v>
      </c>
      <c r="L1273" s="27">
        <v>3012.5</v>
      </c>
      <c r="M1273" s="36">
        <v>0</v>
      </c>
      <c r="T1273" s="41">
        <v>0</v>
      </c>
      <c r="U1273" s="41">
        <v>0</v>
      </c>
      <c r="V1273" s="42" t="s">
        <v>113</v>
      </c>
      <c r="W1273" s="42">
        <v>3012.5</v>
      </c>
      <c r="X1273" s="42">
        <v>3012.5</v>
      </c>
    </row>
    <row r="1274" spans="1:24">
      <c r="A1274" s="27" t="s">
        <v>2473</v>
      </c>
      <c r="B1274" s="28" t="s">
        <v>215</v>
      </c>
      <c r="C1274" s="27" t="s">
        <v>2474</v>
      </c>
      <c r="D1274" s="27" t="s">
        <v>112</v>
      </c>
      <c r="E1274" s="29">
        <v>40268</v>
      </c>
      <c r="F1274" s="27">
        <v>12</v>
      </c>
      <c r="G1274" s="18">
        <v>3836.78</v>
      </c>
      <c r="H1274" s="27">
        <f t="shared" si="38"/>
        <v>3836.78</v>
      </c>
      <c r="I1274" s="18">
        <v>3836.78</v>
      </c>
      <c r="J1274" s="27">
        <v>3836.78</v>
      </c>
      <c r="K1274" s="18">
        <f t="shared" si="39"/>
        <v>3836.78</v>
      </c>
      <c r="L1274" s="27">
        <v>3836.78</v>
      </c>
      <c r="M1274" s="36">
        <v>0</v>
      </c>
      <c r="T1274" s="41">
        <v>0</v>
      </c>
      <c r="U1274" s="41">
        <v>0</v>
      </c>
      <c r="V1274" s="42" t="s">
        <v>113</v>
      </c>
      <c r="W1274" s="42">
        <v>3836.78</v>
      </c>
      <c r="X1274" s="42">
        <v>3836.78</v>
      </c>
    </row>
    <row r="1275" spans="1:24">
      <c r="A1275" s="27" t="s">
        <v>2475</v>
      </c>
      <c r="B1275" s="28" t="s">
        <v>215</v>
      </c>
      <c r="C1275" s="27" t="s">
        <v>2476</v>
      </c>
      <c r="D1275" s="27" t="s">
        <v>112</v>
      </c>
      <c r="E1275" s="29">
        <v>40268</v>
      </c>
      <c r="F1275" s="27">
        <v>12</v>
      </c>
      <c r="G1275" s="18">
        <v>3836.78</v>
      </c>
      <c r="H1275" s="27">
        <f t="shared" si="38"/>
        <v>3836.78</v>
      </c>
      <c r="I1275" s="18">
        <v>3836.78</v>
      </c>
      <c r="J1275" s="27">
        <v>3836.78</v>
      </c>
      <c r="K1275" s="18">
        <f t="shared" si="39"/>
        <v>3836.78</v>
      </c>
      <c r="L1275" s="27">
        <v>3836.78</v>
      </c>
      <c r="M1275" s="36">
        <v>0</v>
      </c>
      <c r="T1275" s="41">
        <v>0</v>
      </c>
      <c r="U1275" s="41">
        <v>0</v>
      </c>
      <c r="V1275" s="42" t="s">
        <v>113</v>
      </c>
      <c r="W1275" s="42">
        <v>3836.78</v>
      </c>
      <c r="X1275" s="42">
        <v>3836.78</v>
      </c>
    </row>
    <row r="1276" spans="1:24">
      <c r="A1276" s="27" t="s">
        <v>2477</v>
      </c>
      <c r="B1276" s="28" t="s">
        <v>215</v>
      </c>
      <c r="C1276" s="27" t="s">
        <v>2478</v>
      </c>
      <c r="D1276" s="27" t="s">
        <v>112</v>
      </c>
      <c r="E1276" s="29">
        <v>40268</v>
      </c>
      <c r="F1276" s="27">
        <v>12</v>
      </c>
      <c r="G1276" s="18">
        <v>3836.72</v>
      </c>
      <c r="H1276" s="27">
        <f t="shared" si="38"/>
        <v>3836.72</v>
      </c>
      <c r="I1276" s="18">
        <v>3836.72</v>
      </c>
      <c r="J1276" s="27">
        <v>3836.72</v>
      </c>
      <c r="K1276" s="18">
        <f t="shared" si="39"/>
        <v>3836.72</v>
      </c>
      <c r="L1276" s="27">
        <v>3836.72</v>
      </c>
      <c r="M1276" s="36">
        <v>0</v>
      </c>
      <c r="T1276" s="41">
        <v>0</v>
      </c>
      <c r="U1276" s="41">
        <v>0</v>
      </c>
      <c r="V1276" s="42" t="s">
        <v>113</v>
      </c>
      <c r="W1276" s="42">
        <v>3836.72</v>
      </c>
      <c r="X1276" s="42">
        <v>3836.72</v>
      </c>
    </row>
    <row r="1277" spans="1:24">
      <c r="A1277" s="27" t="s">
        <v>2479</v>
      </c>
      <c r="B1277" s="28" t="s">
        <v>215</v>
      </c>
      <c r="C1277" s="27" t="s">
        <v>2480</v>
      </c>
      <c r="D1277" s="27" t="s">
        <v>112</v>
      </c>
      <c r="E1277" s="29">
        <v>40268</v>
      </c>
      <c r="F1277" s="27">
        <v>12</v>
      </c>
      <c r="G1277" s="18">
        <v>1918.39</v>
      </c>
      <c r="H1277" s="27">
        <f t="shared" si="38"/>
        <v>1918.39</v>
      </c>
      <c r="I1277" s="18">
        <v>1918.39</v>
      </c>
      <c r="J1277" s="27">
        <v>1918.39</v>
      </c>
      <c r="K1277" s="18">
        <f t="shared" si="39"/>
        <v>1918.39</v>
      </c>
      <c r="L1277" s="27">
        <v>1918.39</v>
      </c>
      <c r="M1277" s="36">
        <v>0</v>
      </c>
      <c r="T1277" s="41">
        <v>0</v>
      </c>
      <c r="U1277" s="41">
        <v>0</v>
      </c>
      <c r="V1277" s="42" t="s">
        <v>113</v>
      </c>
      <c r="W1277" s="42">
        <v>1918.39</v>
      </c>
      <c r="X1277" s="42">
        <v>1918.39</v>
      </c>
    </row>
    <row r="1278" spans="1:24">
      <c r="A1278" s="27" t="s">
        <v>2481</v>
      </c>
      <c r="B1278" s="28" t="s">
        <v>215</v>
      </c>
      <c r="C1278" s="27" t="s">
        <v>2482</v>
      </c>
      <c r="D1278" s="27" t="s">
        <v>112</v>
      </c>
      <c r="E1278" s="29">
        <v>40268</v>
      </c>
      <c r="F1278" s="27">
        <v>12</v>
      </c>
      <c r="G1278" s="18">
        <v>1918.39</v>
      </c>
      <c r="H1278" s="27">
        <f t="shared" si="38"/>
        <v>1918.39</v>
      </c>
      <c r="I1278" s="18">
        <v>1918.39</v>
      </c>
      <c r="J1278" s="27">
        <v>1918.39</v>
      </c>
      <c r="K1278" s="18">
        <f t="shared" si="39"/>
        <v>1918.39</v>
      </c>
      <c r="L1278" s="27">
        <v>1918.39</v>
      </c>
      <c r="M1278" s="36">
        <v>0</v>
      </c>
      <c r="T1278" s="41">
        <v>0</v>
      </c>
      <c r="U1278" s="41">
        <v>0</v>
      </c>
      <c r="V1278" s="42" t="s">
        <v>113</v>
      </c>
      <c r="W1278" s="42">
        <v>1918.39</v>
      </c>
      <c r="X1278" s="42">
        <v>1918.39</v>
      </c>
    </row>
    <row r="1279" spans="1:24">
      <c r="A1279" s="27" t="s">
        <v>2483</v>
      </c>
      <c r="B1279" s="28" t="s">
        <v>215</v>
      </c>
      <c r="C1279" s="27" t="s">
        <v>2484</v>
      </c>
      <c r="D1279" s="27" t="s">
        <v>112</v>
      </c>
      <c r="E1279" s="29">
        <v>40268</v>
      </c>
      <c r="F1279" s="27">
        <v>12</v>
      </c>
      <c r="G1279" s="18">
        <v>1918.39</v>
      </c>
      <c r="H1279" s="27">
        <f t="shared" si="38"/>
        <v>1918.39</v>
      </c>
      <c r="I1279" s="18">
        <v>1918.39</v>
      </c>
      <c r="J1279" s="27">
        <v>1918.39</v>
      </c>
      <c r="K1279" s="18">
        <f t="shared" si="39"/>
        <v>1918.39</v>
      </c>
      <c r="L1279" s="27">
        <v>1918.39</v>
      </c>
      <c r="M1279" s="36">
        <v>0</v>
      </c>
      <c r="T1279" s="41">
        <v>0</v>
      </c>
      <c r="U1279" s="41">
        <v>0</v>
      </c>
      <c r="V1279" s="42" t="s">
        <v>113</v>
      </c>
      <c r="W1279" s="42">
        <v>1918.39</v>
      </c>
      <c r="X1279" s="42">
        <v>1918.39</v>
      </c>
    </row>
    <row r="1280" spans="1:24">
      <c r="A1280" s="27" t="s">
        <v>2485</v>
      </c>
      <c r="B1280" s="28" t="s">
        <v>215</v>
      </c>
      <c r="C1280" s="27" t="s">
        <v>2486</v>
      </c>
      <c r="D1280" s="27" t="s">
        <v>230</v>
      </c>
      <c r="E1280" s="29">
        <v>40543</v>
      </c>
      <c r="F1280" s="27">
        <v>15</v>
      </c>
      <c r="G1280" s="18">
        <v>18903.03</v>
      </c>
      <c r="H1280" s="27">
        <f t="shared" si="38"/>
        <v>0</v>
      </c>
      <c r="I1280" s="18">
        <v>11672.62</v>
      </c>
      <c r="J1280" s="27">
        <v>18903.03</v>
      </c>
      <c r="K1280" s="18">
        <f t="shared" si="39"/>
        <v>0</v>
      </c>
      <c r="L1280" s="27">
        <v>12570.51</v>
      </c>
      <c r="M1280" s="36">
        <v>897.89</v>
      </c>
      <c r="T1280" s="41">
        <v>0</v>
      </c>
      <c r="U1280" s="41">
        <v>0</v>
      </c>
      <c r="V1280" s="42" t="s">
        <v>113</v>
      </c>
      <c r="W1280" s="42">
        <v>0</v>
      </c>
      <c r="X1280" s="42">
        <v>0</v>
      </c>
    </row>
    <row r="1281" spans="1:24">
      <c r="A1281" s="27" t="s">
        <v>2487</v>
      </c>
      <c r="B1281" s="28" t="s">
        <v>215</v>
      </c>
      <c r="C1281" s="27" t="s">
        <v>2488</v>
      </c>
      <c r="D1281" s="27" t="s">
        <v>230</v>
      </c>
      <c r="E1281" s="29">
        <v>40543</v>
      </c>
      <c r="F1281" s="27">
        <v>15</v>
      </c>
      <c r="G1281" s="18">
        <v>18903.03</v>
      </c>
      <c r="H1281" s="27">
        <f t="shared" si="38"/>
        <v>0</v>
      </c>
      <c r="I1281" s="18">
        <v>11672.62</v>
      </c>
      <c r="J1281" s="27">
        <v>18903.03</v>
      </c>
      <c r="K1281" s="18">
        <f t="shared" si="39"/>
        <v>0</v>
      </c>
      <c r="L1281" s="27">
        <v>12570.51</v>
      </c>
      <c r="M1281" s="36">
        <v>897.89</v>
      </c>
      <c r="T1281" s="41">
        <v>0</v>
      </c>
      <c r="U1281" s="41">
        <v>0</v>
      </c>
      <c r="V1281" s="42" t="s">
        <v>113</v>
      </c>
      <c r="W1281" s="42">
        <v>0</v>
      </c>
      <c r="X1281" s="42">
        <v>0</v>
      </c>
    </row>
    <row r="1282" spans="1:24">
      <c r="A1282" s="27" t="s">
        <v>2489</v>
      </c>
      <c r="B1282" s="28" t="s">
        <v>215</v>
      </c>
      <c r="C1282" s="27" t="s">
        <v>2490</v>
      </c>
      <c r="D1282" s="27" t="s">
        <v>230</v>
      </c>
      <c r="E1282" s="29">
        <v>40543</v>
      </c>
      <c r="F1282" s="27">
        <v>15</v>
      </c>
      <c r="G1282" s="18">
        <v>18903.03</v>
      </c>
      <c r="H1282" s="27">
        <f t="shared" si="38"/>
        <v>0</v>
      </c>
      <c r="I1282" s="18">
        <v>11672.62</v>
      </c>
      <c r="J1282" s="27">
        <v>18903.03</v>
      </c>
      <c r="K1282" s="18">
        <f t="shared" si="39"/>
        <v>0</v>
      </c>
      <c r="L1282" s="27">
        <v>12570.51</v>
      </c>
      <c r="M1282" s="36">
        <v>897.89</v>
      </c>
      <c r="T1282" s="41">
        <v>0</v>
      </c>
      <c r="U1282" s="41">
        <v>0</v>
      </c>
      <c r="V1282" s="42" t="s">
        <v>113</v>
      </c>
      <c r="W1282" s="42">
        <v>0</v>
      </c>
      <c r="X1282" s="42">
        <v>0</v>
      </c>
    </row>
    <row r="1283" spans="1:24">
      <c r="A1283" s="27" t="s">
        <v>2491</v>
      </c>
      <c r="B1283" s="28" t="s">
        <v>215</v>
      </c>
      <c r="C1283" s="27" t="s">
        <v>2492</v>
      </c>
      <c r="D1283" s="27" t="s">
        <v>230</v>
      </c>
      <c r="E1283" s="29">
        <v>40543</v>
      </c>
      <c r="F1283" s="27">
        <v>15</v>
      </c>
      <c r="G1283" s="18">
        <v>128211.5</v>
      </c>
      <c r="H1283" s="27">
        <f t="shared" si="38"/>
        <v>0</v>
      </c>
      <c r="I1283" s="18">
        <v>79170.61</v>
      </c>
      <c r="J1283" s="27">
        <v>128211.5</v>
      </c>
      <c r="K1283" s="18">
        <f t="shared" si="39"/>
        <v>0</v>
      </c>
      <c r="L1283" s="27">
        <v>85260.65</v>
      </c>
      <c r="M1283" s="36">
        <v>6090.04</v>
      </c>
      <c r="T1283" s="41">
        <v>0</v>
      </c>
      <c r="U1283" s="41">
        <v>0</v>
      </c>
      <c r="V1283" s="42" t="s">
        <v>113</v>
      </c>
      <c r="W1283" s="42">
        <v>0</v>
      </c>
      <c r="X1283" s="42">
        <v>0</v>
      </c>
    </row>
    <row r="1284" spans="1:24">
      <c r="A1284" s="27" t="s">
        <v>2493</v>
      </c>
      <c r="B1284" s="28" t="s">
        <v>215</v>
      </c>
      <c r="C1284" s="27" t="s">
        <v>2494</v>
      </c>
      <c r="D1284" s="27" t="s">
        <v>230</v>
      </c>
      <c r="E1284" s="29">
        <v>40543</v>
      </c>
      <c r="F1284" s="27">
        <v>15</v>
      </c>
      <c r="G1284" s="18">
        <v>37806.06</v>
      </c>
      <c r="H1284" s="27">
        <f t="shared" si="38"/>
        <v>0</v>
      </c>
      <c r="I1284" s="18">
        <v>23345.25</v>
      </c>
      <c r="J1284" s="27">
        <v>37806.06</v>
      </c>
      <c r="K1284" s="18">
        <f t="shared" si="39"/>
        <v>0</v>
      </c>
      <c r="L1284" s="27">
        <v>25141.040000000001</v>
      </c>
      <c r="M1284" s="36">
        <v>1795.79</v>
      </c>
      <c r="T1284" s="41">
        <v>0</v>
      </c>
      <c r="U1284" s="41">
        <v>0</v>
      </c>
      <c r="V1284" s="42" t="s">
        <v>113</v>
      </c>
      <c r="W1284" s="42">
        <v>0</v>
      </c>
      <c r="X1284" s="42">
        <v>0</v>
      </c>
    </row>
    <row r="1285" spans="1:24">
      <c r="A1285" s="27" t="s">
        <v>2495</v>
      </c>
      <c r="B1285" s="28" t="s">
        <v>215</v>
      </c>
      <c r="C1285" s="27" t="s">
        <v>2496</v>
      </c>
      <c r="D1285" s="27" t="s">
        <v>230</v>
      </c>
      <c r="E1285" s="29">
        <v>40543</v>
      </c>
      <c r="F1285" s="27">
        <v>15</v>
      </c>
      <c r="G1285" s="18">
        <v>109308.47</v>
      </c>
      <c r="H1285" s="27">
        <f t="shared" si="38"/>
        <v>0</v>
      </c>
      <c r="I1285" s="18">
        <v>67497.990000000005</v>
      </c>
      <c r="J1285" s="27">
        <v>109308.47</v>
      </c>
      <c r="K1285" s="18">
        <f t="shared" si="39"/>
        <v>0</v>
      </c>
      <c r="L1285" s="27">
        <v>72690.14</v>
      </c>
      <c r="M1285" s="36">
        <v>5192.1499999999996</v>
      </c>
      <c r="T1285" s="41">
        <v>0</v>
      </c>
      <c r="U1285" s="41">
        <v>0</v>
      </c>
      <c r="V1285" s="42" t="s">
        <v>113</v>
      </c>
      <c r="W1285" s="42">
        <v>0</v>
      </c>
      <c r="X1285" s="42">
        <v>0</v>
      </c>
    </row>
    <row r="1286" spans="1:24">
      <c r="A1286" s="27" t="s">
        <v>2497</v>
      </c>
      <c r="B1286" s="28" t="s">
        <v>215</v>
      </c>
      <c r="C1286" s="27" t="s">
        <v>2498</v>
      </c>
      <c r="D1286" s="27" t="s">
        <v>230</v>
      </c>
      <c r="E1286" s="29">
        <v>40543</v>
      </c>
      <c r="F1286" s="27">
        <v>15</v>
      </c>
      <c r="G1286" s="18">
        <v>119663</v>
      </c>
      <c r="H1286" s="27">
        <f t="shared" ref="H1286:H1349" si="40">IFERROR(IF(ROUND((G1286-I1286)/G1286,2)&lt;=0.05,G1286,0),0)</f>
        <v>0</v>
      </c>
      <c r="I1286" s="18">
        <v>73891.92</v>
      </c>
      <c r="J1286" s="27">
        <v>119663</v>
      </c>
      <c r="K1286" s="18">
        <f t="shared" ref="K1286:K1349" si="41">IFERROR(IF(ROUND((J1286-L1286)/J1286,2)&lt;=0.05,J1286,0),0)</f>
        <v>0</v>
      </c>
      <c r="L1286" s="27">
        <v>79575.91</v>
      </c>
      <c r="M1286" s="36">
        <v>5683.99</v>
      </c>
      <c r="T1286" s="41">
        <v>0</v>
      </c>
      <c r="U1286" s="41">
        <v>0</v>
      </c>
      <c r="V1286" s="42" t="s">
        <v>113</v>
      </c>
      <c r="W1286" s="42">
        <v>0</v>
      </c>
      <c r="X1286" s="42">
        <v>0</v>
      </c>
    </row>
    <row r="1287" spans="1:24">
      <c r="A1287" s="27" t="s">
        <v>2499</v>
      </c>
      <c r="B1287" s="28" t="s">
        <v>215</v>
      </c>
      <c r="C1287" s="27" t="s">
        <v>2500</v>
      </c>
      <c r="D1287" s="27" t="s">
        <v>230</v>
      </c>
      <c r="E1287" s="29">
        <v>40543</v>
      </c>
      <c r="F1287" s="27">
        <v>15</v>
      </c>
      <c r="G1287" s="18">
        <v>119663</v>
      </c>
      <c r="H1287" s="27">
        <f t="shared" si="40"/>
        <v>0</v>
      </c>
      <c r="I1287" s="18">
        <v>73891.92</v>
      </c>
      <c r="J1287" s="27">
        <v>119663</v>
      </c>
      <c r="K1287" s="18">
        <f t="shared" si="41"/>
        <v>0</v>
      </c>
      <c r="L1287" s="27">
        <v>79575.91</v>
      </c>
      <c r="M1287" s="36">
        <v>5683.99</v>
      </c>
      <c r="T1287" s="41">
        <v>0</v>
      </c>
      <c r="U1287" s="41">
        <v>0</v>
      </c>
      <c r="V1287" s="42" t="s">
        <v>113</v>
      </c>
      <c r="W1287" s="42">
        <v>0</v>
      </c>
      <c r="X1287" s="42">
        <v>0</v>
      </c>
    </row>
    <row r="1288" spans="1:24">
      <c r="A1288" s="27" t="s">
        <v>2501</v>
      </c>
      <c r="B1288" s="28" t="s">
        <v>215</v>
      </c>
      <c r="C1288" s="27" t="s">
        <v>2502</v>
      </c>
      <c r="D1288" s="27" t="s">
        <v>230</v>
      </c>
      <c r="E1288" s="29">
        <v>40543</v>
      </c>
      <c r="F1288" s="27">
        <v>15</v>
      </c>
      <c r="G1288" s="18">
        <v>137663</v>
      </c>
      <c r="H1288" s="27">
        <f t="shared" si="40"/>
        <v>0</v>
      </c>
      <c r="I1288" s="18">
        <v>85006.91</v>
      </c>
      <c r="J1288" s="27">
        <v>137663</v>
      </c>
      <c r="K1288" s="18">
        <f t="shared" si="41"/>
        <v>0</v>
      </c>
      <c r="L1288" s="27">
        <v>91545.9</v>
      </c>
      <c r="M1288" s="36">
        <v>6538.99</v>
      </c>
      <c r="T1288" s="41">
        <v>0</v>
      </c>
      <c r="U1288" s="41">
        <v>0</v>
      </c>
      <c r="V1288" s="42" t="s">
        <v>113</v>
      </c>
      <c r="W1288" s="42">
        <v>0</v>
      </c>
      <c r="X1288" s="42">
        <v>0</v>
      </c>
    </row>
    <row r="1289" spans="1:24">
      <c r="A1289" s="27" t="s">
        <v>2503</v>
      </c>
      <c r="B1289" s="28" t="s">
        <v>215</v>
      </c>
      <c r="C1289" s="27" t="s">
        <v>2504</v>
      </c>
      <c r="D1289" s="27" t="s">
        <v>230</v>
      </c>
      <c r="E1289" s="29">
        <v>40543</v>
      </c>
      <c r="F1289" s="27">
        <v>15</v>
      </c>
      <c r="G1289" s="18">
        <v>211384.83</v>
      </c>
      <c r="H1289" s="27">
        <f t="shared" si="40"/>
        <v>0</v>
      </c>
      <c r="I1289" s="18">
        <v>130530.15</v>
      </c>
      <c r="J1289" s="27">
        <v>211384.83</v>
      </c>
      <c r="K1289" s="18">
        <f t="shared" si="41"/>
        <v>0</v>
      </c>
      <c r="L1289" s="27">
        <v>140570.93</v>
      </c>
      <c r="M1289" s="36">
        <v>10040.780000000001</v>
      </c>
      <c r="T1289" s="41">
        <v>0</v>
      </c>
      <c r="U1289" s="41">
        <v>0</v>
      </c>
      <c r="V1289" s="42" t="s">
        <v>113</v>
      </c>
      <c r="W1289" s="42">
        <v>0</v>
      </c>
      <c r="X1289" s="42">
        <v>0</v>
      </c>
    </row>
    <row r="1290" spans="1:24">
      <c r="A1290" s="27" t="s">
        <v>2505</v>
      </c>
      <c r="B1290" s="28" t="s">
        <v>215</v>
      </c>
      <c r="C1290" s="27" t="s">
        <v>1015</v>
      </c>
      <c r="D1290" s="27" t="s">
        <v>112</v>
      </c>
      <c r="E1290" s="29">
        <v>40543</v>
      </c>
      <c r="F1290" s="27">
        <v>15</v>
      </c>
      <c r="G1290" s="18">
        <v>201933.33</v>
      </c>
      <c r="H1290" s="27">
        <f t="shared" si="40"/>
        <v>0</v>
      </c>
      <c r="I1290" s="18">
        <v>124693.84</v>
      </c>
      <c r="J1290" s="27">
        <v>201933.33</v>
      </c>
      <c r="K1290" s="18">
        <f t="shared" si="41"/>
        <v>0</v>
      </c>
      <c r="L1290" s="27">
        <v>134285.67000000001</v>
      </c>
      <c r="M1290" s="36">
        <v>9591.83</v>
      </c>
      <c r="T1290" s="41">
        <v>0</v>
      </c>
      <c r="U1290" s="41">
        <v>0</v>
      </c>
      <c r="V1290" s="42" t="s">
        <v>113</v>
      </c>
      <c r="W1290" s="42">
        <v>0</v>
      </c>
      <c r="X1290" s="42">
        <v>0</v>
      </c>
    </row>
    <row r="1291" spans="1:24">
      <c r="A1291" s="27" t="s">
        <v>2506</v>
      </c>
      <c r="B1291" s="28" t="s">
        <v>215</v>
      </c>
      <c r="C1291" s="27" t="s">
        <v>2507</v>
      </c>
      <c r="D1291" s="27" t="s">
        <v>118</v>
      </c>
      <c r="E1291" s="29">
        <v>40543</v>
      </c>
      <c r="F1291" s="27">
        <v>15</v>
      </c>
      <c r="G1291" s="18">
        <v>56709.09</v>
      </c>
      <c r="H1291" s="27">
        <f t="shared" si="40"/>
        <v>0</v>
      </c>
      <c r="I1291" s="18">
        <v>35335.01</v>
      </c>
      <c r="J1291" s="27">
        <v>56709.09</v>
      </c>
      <c r="K1291" s="18">
        <f t="shared" si="41"/>
        <v>0</v>
      </c>
      <c r="L1291" s="27">
        <v>37983.39</v>
      </c>
      <c r="M1291" s="36">
        <v>2648.38</v>
      </c>
      <c r="T1291" s="41">
        <v>0</v>
      </c>
      <c r="U1291" s="41">
        <v>0</v>
      </c>
      <c r="V1291" s="42" t="s">
        <v>113</v>
      </c>
      <c r="W1291" s="42">
        <v>0</v>
      </c>
      <c r="X1291" s="42">
        <v>0</v>
      </c>
    </row>
    <row r="1292" spans="1:24">
      <c r="A1292" s="27" t="s">
        <v>2508</v>
      </c>
      <c r="B1292" s="28" t="s">
        <v>215</v>
      </c>
      <c r="C1292" s="27" t="s">
        <v>1575</v>
      </c>
      <c r="D1292" s="27" t="s">
        <v>118</v>
      </c>
      <c r="E1292" s="29">
        <v>40543</v>
      </c>
      <c r="F1292" s="27">
        <v>15</v>
      </c>
      <c r="G1292" s="18">
        <v>37806.06</v>
      </c>
      <c r="H1292" s="27">
        <f t="shared" si="40"/>
        <v>0</v>
      </c>
      <c r="I1292" s="18">
        <v>23503.82</v>
      </c>
      <c r="J1292" s="27">
        <v>37806.06</v>
      </c>
      <c r="K1292" s="18">
        <f t="shared" si="41"/>
        <v>0</v>
      </c>
      <c r="L1292" s="27">
        <v>25276.95</v>
      </c>
      <c r="M1292" s="36">
        <v>1773.13</v>
      </c>
      <c r="T1292" s="41">
        <v>0</v>
      </c>
      <c r="U1292" s="41">
        <v>0</v>
      </c>
      <c r="V1292" s="42" t="s">
        <v>113</v>
      </c>
      <c r="W1292" s="42">
        <v>0</v>
      </c>
      <c r="X1292" s="42">
        <v>0</v>
      </c>
    </row>
    <row r="1293" spans="1:24">
      <c r="A1293" s="27" t="s">
        <v>2509</v>
      </c>
      <c r="B1293" s="28" t="s">
        <v>215</v>
      </c>
      <c r="C1293" s="27" t="s">
        <v>532</v>
      </c>
      <c r="D1293" s="27" t="s">
        <v>118</v>
      </c>
      <c r="E1293" s="29">
        <v>40543</v>
      </c>
      <c r="F1293" s="27">
        <v>15</v>
      </c>
      <c r="G1293" s="18">
        <v>18903.03</v>
      </c>
      <c r="H1293" s="27">
        <f t="shared" si="40"/>
        <v>0</v>
      </c>
      <c r="I1293" s="18">
        <v>11672.62</v>
      </c>
      <c r="J1293" s="27">
        <v>18903.03</v>
      </c>
      <c r="K1293" s="18">
        <f t="shared" si="41"/>
        <v>0</v>
      </c>
      <c r="L1293" s="27">
        <v>12570.51</v>
      </c>
      <c r="M1293" s="36">
        <v>897.89</v>
      </c>
      <c r="T1293" s="41">
        <v>0</v>
      </c>
      <c r="U1293" s="41">
        <v>0</v>
      </c>
      <c r="V1293" s="42" t="s">
        <v>113</v>
      </c>
      <c r="W1293" s="42">
        <v>0</v>
      </c>
      <c r="X1293" s="42">
        <v>0</v>
      </c>
    </row>
    <row r="1294" spans="1:24">
      <c r="A1294" s="27" t="s">
        <v>2510</v>
      </c>
      <c r="B1294" s="28" t="s">
        <v>215</v>
      </c>
      <c r="C1294" s="27" t="s">
        <v>2511</v>
      </c>
      <c r="D1294" s="27" t="s">
        <v>118</v>
      </c>
      <c r="E1294" s="29">
        <v>40543</v>
      </c>
      <c r="F1294" s="27">
        <v>15</v>
      </c>
      <c r="G1294" s="18">
        <v>75612.11</v>
      </c>
      <c r="H1294" s="27">
        <f t="shared" si="40"/>
        <v>0</v>
      </c>
      <c r="I1294" s="18">
        <v>47166.2</v>
      </c>
      <c r="J1294" s="27">
        <v>75612.11</v>
      </c>
      <c r="K1294" s="18">
        <f t="shared" si="41"/>
        <v>0</v>
      </c>
      <c r="L1294" s="27">
        <v>50689.81</v>
      </c>
      <c r="M1294" s="36">
        <v>3523.61</v>
      </c>
      <c r="T1294" s="41">
        <v>0</v>
      </c>
      <c r="U1294" s="41">
        <v>0</v>
      </c>
      <c r="V1294" s="42" t="s">
        <v>113</v>
      </c>
      <c r="W1294" s="42">
        <v>0</v>
      </c>
      <c r="X1294" s="42">
        <v>0</v>
      </c>
    </row>
    <row r="1295" spans="1:24">
      <c r="A1295" s="27" t="s">
        <v>2512</v>
      </c>
      <c r="B1295" s="28" t="s">
        <v>215</v>
      </c>
      <c r="C1295" s="27" t="s">
        <v>2513</v>
      </c>
      <c r="D1295" s="27" t="s">
        <v>118</v>
      </c>
      <c r="E1295" s="29">
        <v>40543</v>
      </c>
      <c r="F1295" s="27">
        <v>15</v>
      </c>
      <c r="G1295" s="18">
        <v>56709.09</v>
      </c>
      <c r="H1295" s="27">
        <f t="shared" si="40"/>
        <v>0</v>
      </c>
      <c r="I1295" s="18">
        <v>35335.019999999997</v>
      </c>
      <c r="J1295" s="27">
        <v>56709.09</v>
      </c>
      <c r="K1295" s="18">
        <f t="shared" si="41"/>
        <v>0</v>
      </c>
      <c r="L1295" s="27">
        <v>37983.39</v>
      </c>
      <c r="M1295" s="36">
        <v>2648.37</v>
      </c>
      <c r="T1295" s="41">
        <v>0</v>
      </c>
      <c r="U1295" s="41">
        <v>0</v>
      </c>
      <c r="V1295" s="42" t="s">
        <v>113</v>
      </c>
      <c r="W1295" s="42">
        <v>0</v>
      </c>
      <c r="X1295" s="42">
        <v>0</v>
      </c>
    </row>
    <row r="1296" spans="1:24">
      <c r="A1296" s="27" t="s">
        <v>2514</v>
      </c>
      <c r="B1296" s="28" t="s">
        <v>215</v>
      </c>
      <c r="C1296" s="27" t="s">
        <v>2515</v>
      </c>
      <c r="D1296" s="27" t="s">
        <v>230</v>
      </c>
      <c r="E1296" s="29">
        <v>40543</v>
      </c>
      <c r="F1296" s="27">
        <v>15</v>
      </c>
      <c r="G1296" s="18">
        <v>18903.03</v>
      </c>
      <c r="H1296" s="27">
        <f t="shared" si="40"/>
        <v>0</v>
      </c>
      <c r="I1296" s="18">
        <v>11672.62</v>
      </c>
      <c r="J1296" s="27">
        <v>18903.03</v>
      </c>
      <c r="K1296" s="18">
        <f t="shared" si="41"/>
        <v>0</v>
      </c>
      <c r="L1296" s="27">
        <v>12570.51</v>
      </c>
      <c r="M1296" s="36">
        <v>897.89</v>
      </c>
      <c r="T1296" s="41">
        <v>0</v>
      </c>
      <c r="U1296" s="41">
        <v>0</v>
      </c>
      <c r="V1296" s="42" t="s">
        <v>113</v>
      </c>
      <c r="W1296" s="42">
        <v>0</v>
      </c>
      <c r="X1296" s="42">
        <v>0</v>
      </c>
    </row>
    <row r="1297" spans="1:24">
      <c r="A1297" s="27" t="s">
        <v>2516</v>
      </c>
      <c r="B1297" s="28" t="s">
        <v>215</v>
      </c>
      <c r="C1297" s="27" t="s">
        <v>2517</v>
      </c>
      <c r="D1297" s="27" t="s">
        <v>118</v>
      </c>
      <c r="E1297" s="29">
        <v>40543</v>
      </c>
      <c r="F1297" s="27">
        <v>15</v>
      </c>
      <c r="G1297" s="18">
        <v>18903.03</v>
      </c>
      <c r="H1297" s="27">
        <f t="shared" si="40"/>
        <v>0</v>
      </c>
      <c r="I1297" s="18">
        <v>11672.62</v>
      </c>
      <c r="J1297" s="27">
        <v>18903.03</v>
      </c>
      <c r="K1297" s="18">
        <f t="shared" si="41"/>
        <v>0</v>
      </c>
      <c r="L1297" s="27">
        <v>12570.51</v>
      </c>
      <c r="M1297" s="36">
        <v>897.89</v>
      </c>
      <c r="T1297" s="41">
        <v>0</v>
      </c>
      <c r="U1297" s="41">
        <v>0</v>
      </c>
      <c r="V1297" s="42" t="s">
        <v>113</v>
      </c>
      <c r="W1297" s="42">
        <v>0</v>
      </c>
      <c r="X1297" s="42">
        <v>0</v>
      </c>
    </row>
    <row r="1298" spans="1:24">
      <c r="A1298" s="27" t="s">
        <v>2518</v>
      </c>
      <c r="B1298" s="28" t="s">
        <v>215</v>
      </c>
      <c r="C1298" s="27" t="s">
        <v>1061</v>
      </c>
      <c r="D1298" s="27" t="s">
        <v>230</v>
      </c>
      <c r="E1298" s="29">
        <v>40543</v>
      </c>
      <c r="F1298" s="27">
        <v>15</v>
      </c>
      <c r="G1298" s="18">
        <v>198152.7</v>
      </c>
      <c r="H1298" s="27">
        <f t="shared" si="40"/>
        <v>0</v>
      </c>
      <c r="I1298" s="18">
        <v>122676.45</v>
      </c>
      <c r="J1298" s="27">
        <v>198152.7</v>
      </c>
      <c r="K1298" s="18">
        <f t="shared" si="41"/>
        <v>0</v>
      </c>
      <c r="L1298" s="27">
        <v>132043.39000000001</v>
      </c>
      <c r="M1298" s="36">
        <v>9366.94</v>
      </c>
      <c r="T1298" s="41">
        <v>0</v>
      </c>
      <c r="U1298" s="41">
        <v>0</v>
      </c>
      <c r="V1298" s="42" t="s">
        <v>113</v>
      </c>
      <c r="W1298" s="42">
        <v>0</v>
      </c>
      <c r="X1298" s="42">
        <v>0</v>
      </c>
    </row>
    <row r="1299" spans="1:24">
      <c r="A1299" s="27" t="s">
        <v>2519</v>
      </c>
      <c r="B1299" s="28" t="s">
        <v>215</v>
      </c>
      <c r="C1299" s="27" t="s">
        <v>2520</v>
      </c>
      <c r="D1299" s="27" t="s">
        <v>230</v>
      </c>
      <c r="E1299" s="29">
        <v>40543</v>
      </c>
      <c r="F1299" s="27">
        <v>15</v>
      </c>
      <c r="G1299" s="18">
        <v>75612.12</v>
      </c>
      <c r="H1299" s="27">
        <f t="shared" si="40"/>
        <v>0</v>
      </c>
      <c r="I1299" s="18">
        <v>46690.49</v>
      </c>
      <c r="J1299" s="27">
        <v>75612.12</v>
      </c>
      <c r="K1299" s="18">
        <f t="shared" si="41"/>
        <v>0</v>
      </c>
      <c r="L1299" s="27">
        <v>50282.06</v>
      </c>
      <c r="M1299" s="36">
        <v>3591.57</v>
      </c>
      <c r="T1299" s="41">
        <v>0</v>
      </c>
      <c r="U1299" s="41">
        <v>0</v>
      </c>
      <c r="V1299" s="42" t="s">
        <v>113</v>
      </c>
      <c r="W1299" s="42">
        <v>0</v>
      </c>
      <c r="X1299" s="42">
        <v>0</v>
      </c>
    </row>
    <row r="1300" spans="1:24">
      <c r="A1300" s="27" t="s">
        <v>2521</v>
      </c>
      <c r="B1300" s="28" t="s">
        <v>215</v>
      </c>
      <c r="C1300" s="27" t="s">
        <v>1065</v>
      </c>
      <c r="D1300" s="27" t="s">
        <v>230</v>
      </c>
      <c r="E1300" s="29">
        <v>40543</v>
      </c>
      <c r="F1300" s="27">
        <v>15</v>
      </c>
      <c r="G1300" s="18">
        <v>198152.7</v>
      </c>
      <c r="H1300" s="27">
        <f t="shared" si="40"/>
        <v>0</v>
      </c>
      <c r="I1300" s="18">
        <v>122676.46</v>
      </c>
      <c r="J1300" s="27">
        <v>198152.7</v>
      </c>
      <c r="K1300" s="18">
        <f t="shared" si="41"/>
        <v>0</v>
      </c>
      <c r="L1300" s="27">
        <v>132043.4</v>
      </c>
      <c r="M1300" s="36">
        <v>9366.94</v>
      </c>
      <c r="T1300" s="41">
        <v>0</v>
      </c>
      <c r="U1300" s="41">
        <v>0</v>
      </c>
      <c r="V1300" s="42" t="s">
        <v>113</v>
      </c>
      <c r="W1300" s="42">
        <v>0</v>
      </c>
      <c r="X1300" s="42">
        <v>0</v>
      </c>
    </row>
    <row r="1301" spans="1:24">
      <c r="A1301" s="27" t="s">
        <v>2522</v>
      </c>
      <c r="B1301" s="28" t="s">
        <v>215</v>
      </c>
      <c r="C1301" s="27" t="s">
        <v>2523</v>
      </c>
      <c r="D1301" s="27" t="s">
        <v>230</v>
      </c>
      <c r="E1301" s="29">
        <v>40543</v>
      </c>
      <c r="F1301" s="27">
        <v>15</v>
      </c>
      <c r="G1301" s="18">
        <v>238178.1</v>
      </c>
      <c r="H1301" s="27">
        <f t="shared" si="40"/>
        <v>0</v>
      </c>
      <c r="I1301" s="18">
        <v>147233.54</v>
      </c>
      <c r="J1301" s="27">
        <v>238178.1</v>
      </c>
      <c r="K1301" s="18">
        <f t="shared" si="41"/>
        <v>0</v>
      </c>
      <c r="L1301" s="27">
        <v>158524.35</v>
      </c>
      <c r="M1301" s="36">
        <v>11290.81</v>
      </c>
      <c r="T1301" s="41">
        <v>0</v>
      </c>
      <c r="U1301" s="41">
        <v>0</v>
      </c>
      <c r="V1301" s="42" t="s">
        <v>113</v>
      </c>
      <c r="W1301" s="42">
        <v>0</v>
      </c>
      <c r="X1301" s="42">
        <v>0</v>
      </c>
    </row>
    <row r="1302" spans="1:24">
      <c r="A1302" s="27" t="s">
        <v>2524</v>
      </c>
      <c r="B1302" s="28" t="s">
        <v>215</v>
      </c>
      <c r="C1302" s="27" t="s">
        <v>2525</v>
      </c>
      <c r="D1302" s="27" t="s">
        <v>230</v>
      </c>
      <c r="E1302" s="29">
        <v>40543</v>
      </c>
      <c r="F1302" s="27">
        <v>15</v>
      </c>
      <c r="G1302" s="18">
        <v>137663</v>
      </c>
      <c r="H1302" s="27">
        <f t="shared" si="40"/>
        <v>0</v>
      </c>
      <c r="I1302" s="18">
        <v>85006.91</v>
      </c>
      <c r="J1302" s="27">
        <v>137663</v>
      </c>
      <c r="K1302" s="18">
        <f t="shared" si="41"/>
        <v>0</v>
      </c>
      <c r="L1302" s="27">
        <v>91545.9</v>
      </c>
      <c r="M1302" s="36">
        <v>6538.99</v>
      </c>
      <c r="T1302" s="41">
        <v>0</v>
      </c>
      <c r="U1302" s="41">
        <v>0</v>
      </c>
      <c r="V1302" s="42" t="s">
        <v>113</v>
      </c>
      <c r="W1302" s="42">
        <v>0</v>
      </c>
      <c r="X1302" s="42">
        <v>0</v>
      </c>
    </row>
    <row r="1303" spans="1:24">
      <c r="A1303" s="27" t="s">
        <v>2526</v>
      </c>
      <c r="B1303" s="28" t="s">
        <v>215</v>
      </c>
      <c r="C1303" s="27" t="s">
        <v>2527</v>
      </c>
      <c r="D1303" s="27" t="s">
        <v>230</v>
      </c>
      <c r="E1303" s="29">
        <v>40543</v>
      </c>
      <c r="F1303" s="27">
        <v>15</v>
      </c>
      <c r="G1303" s="18">
        <v>137663</v>
      </c>
      <c r="H1303" s="27">
        <f t="shared" si="40"/>
        <v>0</v>
      </c>
      <c r="I1303" s="18">
        <v>85006.92</v>
      </c>
      <c r="J1303" s="27">
        <v>137663</v>
      </c>
      <c r="K1303" s="18">
        <f t="shared" si="41"/>
        <v>0</v>
      </c>
      <c r="L1303" s="27">
        <v>91545.91</v>
      </c>
      <c r="M1303" s="36">
        <v>6538.99</v>
      </c>
      <c r="T1303" s="41">
        <v>0</v>
      </c>
      <c r="U1303" s="41">
        <v>0</v>
      </c>
      <c r="V1303" s="42" t="s">
        <v>113</v>
      </c>
      <c r="W1303" s="42">
        <v>0</v>
      </c>
      <c r="X1303" s="42">
        <v>0</v>
      </c>
    </row>
    <row r="1304" spans="1:24">
      <c r="A1304" s="27" t="s">
        <v>2528</v>
      </c>
      <c r="B1304" s="28" t="s">
        <v>215</v>
      </c>
      <c r="C1304" s="27" t="s">
        <v>2529</v>
      </c>
      <c r="D1304" s="27" t="s">
        <v>230</v>
      </c>
      <c r="E1304" s="29">
        <v>40543</v>
      </c>
      <c r="F1304" s="27">
        <v>15</v>
      </c>
      <c r="G1304" s="18">
        <v>112101.78</v>
      </c>
      <c r="H1304" s="27">
        <f t="shared" si="40"/>
        <v>0</v>
      </c>
      <c r="I1304" s="18">
        <v>69222.850000000006</v>
      </c>
      <c r="J1304" s="27">
        <v>112101.78</v>
      </c>
      <c r="K1304" s="18">
        <f t="shared" si="41"/>
        <v>0</v>
      </c>
      <c r="L1304" s="27">
        <v>74547.679999999993</v>
      </c>
      <c r="M1304" s="36">
        <v>5324.83</v>
      </c>
      <c r="T1304" s="41">
        <v>0</v>
      </c>
      <c r="U1304" s="41">
        <v>0</v>
      </c>
      <c r="V1304" s="42" t="s">
        <v>113</v>
      </c>
      <c r="W1304" s="42">
        <v>0</v>
      </c>
      <c r="X1304" s="42">
        <v>0</v>
      </c>
    </row>
    <row r="1305" spans="1:24">
      <c r="A1305" s="27" t="s">
        <v>2530</v>
      </c>
      <c r="B1305" s="28" t="s">
        <v>215</v>
      </c>
      <c r="C1305" s="27" t="s">
        <v>2531</v>
      </c>
      <c r="D1305" s="27" t="s">
        <v>230</v>
      </c>
      <c r="E1305" s="29">
        <v>40543</v>
      </c>
      <c r="F1305" s="27">
        <v>15</v>
      </c>
      <c r="G1305" s="18">
        <v>119663</v>
      </c>
      <c r="H1305" s="27">
        <f t="shared" si="40"/>
        <v>0</v>
      </c>
      <c r="I1305" s="18">
        <v>73891.92</v>
      </c>
      <c r="J1305" s="27">
        <v>119663</v>
      </c>
      <c r="K1305" s="18">
        <f t="shared" si="41"/>
        <v>0</v>
      </c>
      <c r="L1305" s="27">
        <v>79575.91</v>
      </c>
      <c r="M1305" s="36">
        <v>5683.99</v>
      </c>
      <c r="T1305" s="41">
        <v>0</v>
      </c>
      <c r="U1305" s="41">
        <v>0</v>
      </c>
      <c r="V1305" s="42" t="s">
        <v>113</v>
      </c>
      <c r="W1305" s="42">
        <v>0</v>
      </c>
      <c r="X1305" s="42">
        <v>0</v>
      </c>
    </row>
    <row r="1306" spans="1:24">
      <c r="A1306" s="27" t="s">
        <v>2532</v>
      </c>
      <c r="B1306" s="28" t="s">
        <v>215</v>
      </c>
      <c r="C1306" s="27" t="s">
        <v>2533</v>
      </c>
      <c r="D1306" s="27" t="s">
        <v>230</v>
      </c>
      <c r="E1306" s="29">
        <v>40543</v>
      </c>
      <c r="F1306" s="27">
        <v>15</v>
      </c>
      <c r="G1306" s="18">
        <v>137663</v>
      </c>
      <c r="H1306" s="27">
        <f t="shared" si="40"/>
        <v>0</v>
      </c>
      <c r="I1306" s="18">
        <v>85006.91</v>
      </c>
      <c r="J1306" s="27">
        <v>137663</v>
      </c>
      <c r="K1306" s="18">
        <f t="shared" si="41"/>
        <v>0</v>
      </c>
      <c r="L1306" s="27">
        <v>91545.9</v>
      </c>
      <c r="M1306" s="36">
        <v>6538.99</v>
      </c>
      <c r="T1306" s="41">
        <v>0</v>
      </c>
      <c r="U1306" s="41">
        <v>0</v>
      </c>
      <c r="V1306" s="42" t="s">
        <v>113</v>
      </c>
      <c r="W1306" s="42">
        <v>0</v>
      </c>
      <c r="X1306" s="42">
        <v>0</v>
      </c>
    </row>
    <row r="1307" spans="1:24">
      <c r="A1307" s="27" t="s">
        <v>2534</v>
      </c>
      <c r="B1307" s="28" t="s">
        <v>215</v>
      </c>
      <c r="C1307" s="27" t="s">
        <v>2535</v>
      </c>
      <c r="D1307" s="27" t="s">
        <v>230</v>
      </c>
      <c r="E1307" s="29">
        <v>40543</v>
      </c>
      <c r="F1307" s="27">
        <v>15</v>
      </c>
      <c r="G1307" s="18">
        <v>137663</v>
      </c>
      <c r="H1307" s="27">
        <f t="shared" si="40"/>
        <v>0</v>
      </c>
      <c r="I1307" s="18">
        <v>85006.92</v>
      </c>
      <c r="J1307" s="27">
        <v>137663</v>
      </c>
      <c r="K1307" s="18">
        <f t="shared" si="41"/>
        <v>0</v>
      </c>
      <c r="L1307" s="27">
        <v>91545.91</v>
      </c>
      <c r="M1307" s="36">
        <v>6538.99</v>
      </c>
      <c r="T1307" s="41">
        <v>0</v>
      </c>
      <c r="U1307" s="41">
        <v>0</v>
      </c>
      <c r="V1307" s="42" t="s">
        <v>113</v>
      </c>
      <c r="W1307" s="42">
        <v>0</v>
      </c>
      <c r="X1307" s="42">
        <v>0</v>
      </c>
    </row>
    <row r="1308" spans="1:24">
      <c r="A1308" s="27" t="s">
        <v>2536</v>
      </c>
      <c r="B1308" s="28" t="s">
        <v>215</v>
      </c>
      <c r="C1308" s="27" t="s">
        <v>2537</v>
      </c>
      <c r="D1308" s="27" t="s">
        <v>230</v>
      </c>
      <c r="E1308" s="29">
        <v>40543</v>
      </c>
      <c r="F1308" s="27">
        <v>15</v>
      </c>
      <c r="G1308" s="18">
        <v>211384.83</v>
      </c>
      <c r="H1308" s="27">
        <f t="shared" si="40"/>
        <v>0</v>
      </c>
      <c r="I1308" s="18">
        <v>130530.15</v>
      </c>
      <c r="J1308" s="27">
        <v>211384.83</v>
      </c>
      <c r="K1308" s="18">
        <f t="shared" si="41"/>
        <v>0</v>
      </c>
      <c r="L1308" s="27">
        <v>140570.93</v>
      </c>
      <c r="M1308" s="36">
        <v>10040.780000000001</v>
      </c>
      <c r="T1308" s="41">
        <v>0</v>
      </c>
      <c r="U1308" s="41">
        <v>0</v>
      </c>
      <c r="V1308" s="42" t="s">
        <v>113</v>
      </c>
      <c r="W1308" s="42">
        <v>0</v>
      </c>
      <c r="X1308" s="42">
        <v>0</v>
      </c>
    </row>
    <row r="1309" spans="1:24">
      <c r="A1309" s="27" t="s">
        <v>2538</v>
      </c>
      <c r="B1309" s="28" t="s">
        <v>215</v>
      </c>
      <c r="C1309" s="27" t="s">
        <v>2539</v>
      </c>
      <c r="D1309" s="27" t="s">
        <v>230</v>
      </c>
      <c r="E1309" s="29">
        <v>40543</v>
      </c>
      <c r="F1309" s="27">
        <v>15</v>
      </c>
      <c r="G1309" s="18">
        <v>211384.83</v>
      </c>
      <c r="H1309" s="27">
        <f t="shared" si="40"/>
        <v>0</v>
      </c>
      <c r="I1309" s="18">
        <v>130530.15</v>
      </c>
      <c r="J1309" s="27">
        <v>211384.83</v>
      </c>
      <c r="K1309" s="18">
        <f t="shared" si="41"/>
        <v>0</v>
      </c>
      <c r="L1309" s="27">
        <v>140570.93</v>
      </c>
      <c r="M1309" s="36">
        <v>10040.780000000001</v>
      </c>
      <c r="T1309" s="41">
        <v>0</v>
      </c>
      <c r="U1309" s="41">
        <v>0</v>
      </c>
      <c r="V1309" s="42" t="s">
        <v>113</v>
      </c>
      <c r="W1309" s="42">
        <v>0</v>
      </c>
      <c r="X1309" s="42">
        <v>0</v>
      </c>
    </row>
    <row r="1310" spans="1:24">
      <c r="A1310" s="27" t="s">
        <v>2540</v>
      </c>
      <c r="B1310" s="28" t="s">
        <v>215</v>
      </c>
      <c r="C1310" s="27" t="s">
        <v>1013</v>
      </c>
      <c r="D1310" s="27" t="s">
        <v>112</v>
      </c>
      <c r="E1310" s="29">
        <v>40543</v>
      </c>
      <c r="F1310" s="27">
        <v>15</v>
      </c>
      <c r="G1310" s="18">
        <v>201933.33</v>
      </c>
      <c r="H1310" s="27">
        <f t="shared" si="40"/>
        <v>0</v>
      </c>
      <c r="I1310" s="18">
        <v>124693.85</v>
      </c>
      <c r="J1310" s="27">
        <v>201933.33</v>
      </c>
      <c r="K1310" s="18">
        <f t="shared" si="41"/>
        <v>0</v>
      </c>
      <c r="L1310" s="27">
        <v>134285.68</v>
      </c>
      <c r="M1310" s="36">
        <v>9591.83</v>
      </c>
      <c r="T1310" s="41">
        <v>0</v>
      </c>
      <c r="U1310" s="41">
        <v>0</v>
      </c>
      <c r="V1310" s="42" t="s">
        <v>113</v>
      </c>
      <c r="W1310" s="42">
        <v>0</v>
      </c>
      <c r="X1310" s="42">
        <v>0</v>
      </c>
    </row>
    <row r="1311" spans="1:24">
      <c r="A1311" s="27" t="s">
        <v>2541</v>
      </c>
      <c r="B1311" s="28" t="s">
        <v>215</v>
      </c>
      <c r="C1311" s="27" t="s">
        <v>2542</v>
      </c>
      <c r="D1311" s="27" t="s">
        <v>112</v>
      </c>
      <c r="E1311" s="29">
        <v>40543</v>
      </c>
      <c r="F1311" s="27">
        <v>15</v>
      </c>
      <c r="G1311" s="18">
        <v>306693.28000000003</v>
      </c>
      <c r="H1311" s="27">
        <f t="shared" si="40"/>
        <v>0</v>
      </c>
      <c r="I1311" s="18">
        <v>189383.13</v>
      </c>
      <c r="J1311" s="27">
        <v>306693.28000000003</v>
      </c>
      <c r="K1311" s="18">
        <f t="shared" si="41"/>
        <v>0</v>
      </c>
      <c r="L1311" s="27">
        <v>203951.06</v>
      </c>
      <c r="M1311" s="36">
        <v>14567.93</v>
      </c>
      <c r="T1311" s="41">
        <v>0</v>
      </c>
      <c r="U1311" s="41">
        <v>0</v>
      </c>
      <c r="V1311" s="42" t="s">
        <v>113</v>
      </c>
      <c r="W1311" s="42">
        <v>0</v>
      </c>
      <c r="X1311" s="42">
        <v>0</v>
      </c>
    </row>
    <row r="1312" spans="1:24">
      <c r="A1312" s="27" t="s">
        <v>2543</v>
      </c>
      <c r="B1312" s="28" t="s">
        <v>215</v>
      </c>
      <c r="C1312" s="27" t="s">
        <v>2544</v>
      </c>
      <c r="D1312" s="27" t="s">
        <v>112</v>
      </c>
      <c r="E1312" s="29">
        <v>40543</v>
      </c>
      <c r="F1312" s="27">
        <v>15</v>
      </c>
      <c r="G1312" s="18">
        <v>94515.15</v>
      </c>
      <c r="H1312" s="27">
        <f t="shared" si="40"/>
        <v>0</v>
      </c>
      <c r="I1312" s="18">
        <v>58363.11</v>
      </c>
      <c r="J1312" s="27">
        <v>94515.15</v>
      </c>
      <c r="K1312" s="18">
        <f t="shared" si="41"/>
        <v>0</v>
      </c>
      <c r="L1312" s="27">
        <v>62852.58</v>
      </c>
      <c r="M1312" s="36">
        <v>4489.47</v>
      </c>
      <c r="T1312" s="41">
        <v>0</v>
      </c>
      <c r="U1312" s="41">
        <v>0</v>
      </c>
      <c r="V1312" s="42" t="s">
        <v>113</v>
      </c>
      <c r="W1312" s="42">
        <v>0</v>
      </c>
      <c r="X1312" s="42">
        <v>0</v>
      </c>
    </row>
    <row r="1313" spans="1:24">
      <c r="A1313" s="27" t="s">
        <v>2545</v>
      </c>
      <c r="B1313" s="28" t="s">
        <v>215</v>
      </c>
      <c r="C1313" s="27" t="s">
        <v>2546</v>
      </c>
      <c r="D1313" s="27" t="s">
        <v>112</v>
      </c>
      <c r="E1313" s="29">
        <v>40543</v>
      </c>
      <c r="F1313" s="27">
        <v>15</v>
      </c>
      <c r="G1313" s="18">
        <v>37806.06</v>
      </c>
      <c r="H1313" s="27">
        <f t="shared" si="40"/>
        <v>0</v>
      </c>
      <c r="I1313" s="18">
        <v>23345.26</v>
      </c>
      <c r="J1313" s="27">
        <v>37806.06</v>
      </c>
      <c r="K1313" s="18">
        <f t="shared" si="41"/>
        <v>0</v>
      </c>
      <c r="L1313" s="27">
        <v>25141.05</v>
      </c>
      <c r="M1313" s="36">
        <v>1795.79</v>
      </c>
      <c r="T1313" s="41">
        <v>0</v>
      </c>
      <c r="U1313" s="41">
        <v>0</v>
      </c>
      <c r="V1313" s="42" t="s">
        <v>113</v>
      </c>
      <c r="W1313" s="42">
        <v>0</v>
      </c>
      <c r="X1313" s="42">
        <v>0</v>
      </c>
    </row>
    <row r="1314" spans="1:24">
      <c r="A1314" s="27" t="s">
        <v>2547</v>
      </c>
      <c r="B1314" s="28" t="s">
        <v>215</v>
      </c>
      <c r="C1314" s="27" t="s">
        <v>2548</v>
      </c>
      <c r="D1314" s="27" t="s">
        <v>112</v>
      </c>
      <c r="E1314" s="29">
        <v>40543</v>
      </c>
      <c r="F1314" s="27">
        <v>15</v>
      </c>
      <c r="G1314" s="18">
        <v>235958.74</v>
      </c>
      <c r="H1314" s="27">
        <f t="shared" si="40"/>
        <v>0</v>
      </c>
      <c r="I1314" s="18">
        <v>145704.54</v>
      </c>
      <c r="J1314" s="27">
        <v>235958.74</v>
      </c>
      <c r="K1314" s="18">
        <f t="shared" si="41"/>
        <v>0</v>
      </c>
      <c r="L1314" s="27">
        <v>156912.57999999999</v>
      </c>
      <c r="M1314" s="36">
        <v>11208.04</v>
      </c>
      <c r="T1314" s="41">
        <v>0</v>
      </c>
      <c r="U1314" s="41">
        <v>0</v>
      </c>
      <c r="V1314" s="42" t="s">
        <v>113</v>
      </c>
      <c r="W1314" s="42">
        <v>0</v>
      </c>
      <c r="X1314" s="42">
        <v>0</v>
      </c>
    </row>
    <row r="1315" spans="1:24">
      <c r="A1315" s="27" t="s">
        <v>2549</v>
      </c>
      <c r="B1315" s="28" t="s">
        <v>215</v>
      </c>
      <c r="C1315" s="27" t="s">
        <v>2550</v>
      </c>
      <c r="D1315" s="27" t="s">
        <v>112</v>
      </c>
      <c r="E1315" s="29">
        <v>40543</v>
      </c>
      <c r="F1315" s="27">
        <v>15</v>
      </c>
      <c r="G1315" s="18">
        <v>306693.28000000003</v>
      </c>
      <c r="H1315" s="27">
        <f t="shared" si="40"/>
        <v>0</v>
      </c>
      <c r="I1315" s="18">
        <v>189383.13</v>
      </c>
      <c r="J1315" s="27">
        <v>306693.28000000003</v>
      </c>
      <c r="K1315" s="18">
        <f t="shared" si="41"/>
        <v>0</v>
      </c>
      <c r="L1315" s="27">
        <v>203951.06</v>
      </c>
      <c r="M1315" s="36">
        <v>14567.93</v>
      </c>
      <c r="T1315" s="41">
        <v>0</v>
      </c>
      <c r="U1315" s="41">
        <v>0</v>
      </c>
      <c r="V1315" s="42" t="s">
        <v>113</v>
      </c>
      <c r="W1315" s="42">
        <v>0</v>
      </c>
      <c r="X1315" s="42">
        <v>0</v>
      </c>
    </row>
    <row r="1316" spans="1:24">
      <c r="A1316" s="27" t="s">
        <v>2551</v>
      </c>
      <c r="B1316" s="28" t="s">
        <v>215</v>
      </c>
      <c r="C1316" s="27" t="s">
        <v>2552</v>
      </c>
      <c r="D1316" s="27" t="s">
        <v>230</v>
      </c>
      <c r="E1316" s="29">
        <v>40543</v>
      </c>
      <c r="F1316" s="27">
        <v>15</v>
      </c>
      <c r="G1316" s="18">
        <v>115882.39</v>
      </c>
      <c r="H1316" s="27">
        <f t="shared" si="40"/>
        <v>0</v>
      </c>
      <c r="I1316" s="18">
        <v>71557.37</v>
      </c>
      <c r="J1316" s="27">
        <v>115882.39</v>
      </c>
      <c r="K1316" s="18">
        <f t="shared" si="41"/>
        <v>0</v>
      </c>
      <c r="L1316" s="27">
        <v>77061.78</v>
      </c>
      <c r="M1316" s="36">
        <v>5504.41</v>
      </c>
      <c r="T1316" s="41">
        <v>0</v>
      </c>
      <c r="U1316" s="41">
        <v>0</v>
      </c>
      <c r="V1316" s="42" t="s">
        <v>113</v>
      </c>
      <c r="W1316" s="42">
        <v>0</v>
      </c>
      <c r="X1316" s="42">
        <v>0</v>
      </c>
    </row>
    <row r="1317" spans="1:24">
      <c r="A1317" s="27" t="s">
        <v>2553</v>
      </c>
      <c r="B1317" s="28" t="s">
        <v>215</v>
      </c>
      <c r="C1317" s="27" t="s">
        <v>2554</v>
      </c>
      <c r="D1317" s="27" t="s">
        <v>230</v>
      </c>
      <c r="E1317" s="29">
        <v>40543</v>
      </c>
      <c r="F1317" s="27">
        <v>15</v>
      </c>
      <c r="G1317" s="18">
        <v>238178.1</v>
      </c>
      <c r="H1317" s="27">
        <f t="shared" si="40"/>
        <v>0</v>
      </c>
      <c r="I1317" s="18">
        <v>147233.54999999999</v>
      </c>
      <c r="J1317" s="27">
        <v>238178.1</v>
      </c>
      <c r="K1317" s="18">
        <f t="shared" si="41"/>
        <v>0</v>
      </c>
      <c r="L1317" s="27">
        <v>158524.35999999999</v>
      </c>
      <c r="M1317" s="36">
        <v>11290.81</v>
      </c>
      <c r="T1317" s="41">
        <v>0</v>
      </c>
      <c r="U1317" s="41">
        <v>0</v>
      </c>
      <c r="V1317" s="42" t="s">
        <v>113</v>
      </c>
      <c r="W1317" s="42">
        <v>0</v>
      </c>
      <c r="X1317" s="42">
        <v>0</v>
      </c>
    </row>
    <row r="1318" spans="1:24">
      <c r="A1318" s="27" t="s">
        <v>2555</v>
      </c>
      <c r="B1318" s="28" t="s">
        <v>215</v>
      </c>
      <c r="C1318" s="27" t="s">
        <v>2556</v>
      </c>
      <c r="D1318" s="27" t="s">
        <v>230</v>
      </c>
      <c r="E1318" s="29">
        <v>40543</v>
      </c>
      <c r="F1318" s="27">
        <v>15</v>
      </c>
      <c r="G1318" s="18">
        <v>137663</v>
      </c>
      <c r="H1318" s="27">
        <f t="shared" si="40"/>
        <v>0</v>
      </c>
      <c r="I1318" s="18">
        <v>85006.9</v>
      </c>
      <c r="J1318" s="27">
        <v>137663</v>
      </c>
      <c r="K1318" s="18">
        <f t="shared" si="41"/>
        <v>0</v>
      </c>
      <c r="L1318" s="27">
        <v>91545.89</v>
      </c>
      <c r="M1318" s="36">
        <v>6538.99</v>
      </c>
      <c r="T1318" s="41">
        <v>0</v>
      </c>
      <c r="U1318" s="41">
        <v>0</v>
      </c>
      <c r="V1318" s="42" t="s">
        <v>113</v>
      </c>
      <c r="W1318" s="42">
        <v>0</v>
      </c>
      <c r="X1318" s="42">
        <v>0</v>
      </c>
    </row>
    <row r="1319" spans="1:24">
      <c r="A1319" s="27" t="s">
        <v>2557</v>
      </c>
      <c r="B1319" s="28" t="s">
        <v>215</v>
      </c>
      <c r="C1319" s="27" t="s">
        <v>2558</v>
      </c>
      <c r="D1319" s="27" t="s">
        <v>230</v>
      </c>
      <c r="E1319" s="29">
        <v>40543</v>
      </c>
      <c r="F1319" s="27">
        <v>15</v>
      </c>
      <c r="G1319" s="18">
        <v>119663</v>
      </c>
      <c r="H1319" s="27">
        <f t="shared" si="40"/>
        <v>0</v>
      </c>
      <c r="I1319" s="18">
        <v>73891.91</v>
      </c>
      <c r="J1319" s="27">
        <v>119663</v>
      </c>
      <c r="K1319" s="18">
        <f t="shared" si="41"/>
        <v>0</v>
      </c>
      <c r="L1319" s="27">
        <v>79575.899999999994</v>
      </c>
      <c r="M1319" s="36">
        <v>5683.99</v>
      </c>
      <c r="T1319" s="41">
        <v>0</v>
      </c>
      <c r="U1319" s="41">
        <v>0</v>
      </c>
      <c r="V1319" s="42" t="s">
        <v>113</v>
      </c>
      <c r="W1319" s="42">
        <v>0</v>
      </c>
      <c r="X1319" s="42">
        <v>0</v>
      </c>
    </row>
    <row r="1320" spans="1:24">
      <c r="A1320" s="27" t="s">
        <v>2559</v>
      </c>
      <c r="B1320" s="28" t="s">
        <v>215</v>
      </c>
      <c r="C1320" s="27" t="s">
        <v>2560</v>
      </c>
      <c r="D1320" s="27" t="s">
        <v>230</v>
      </c>
      <c r="E1320" s="29">
        <v>40543</v>
      </c>
      <c r="F1320" s="27">
        <v>15</v>
      </c>
      <c r="G1320" s="18">
        <v>118759.97</v>
      </c>
      <c r="H1320" s="27">
        <f t="shared" si="40"/>
        <v>0</v>
      </c>
      <c r="I1320" s="18">
        <v>73334.289999999994</v>
      </c>
      <c r="J1320" s="27">
        <v>118759.97</v>
      </c>
      <c r="K1320" s="18">
        <f t="shared" si="41"/>
        <v>0</v>
      </c>
      <c r="L1320" s="27">
        <v>78975.39</v>
      </c>
      <c r="M1320" s="36">
        <v>5641.1</v>
      </c>
      <c r="T1320" s="41">
        <v>0</v>
      </c>
      <c r="U1320" s="41">
        <v>0</v>
      </c>
      <c r="V1320" s="42" t="s">
        <v>113</v>
      </c>
      <c r="W1320" s="42">
        <v>0</v>
      </c>
      <c r="X1320" s="42">
        <v>0</v>
      </c>
    </row>
    <row r="1321" spans="1:24">
      <c r="A1321" s="27" t="s">
        <v>2561</v>
      </c>
      <c r="B1321" s="28" t="s">
        <v>215</v>
      </c>
      <c r="C1321" s="27" t="s">
        <v>2562</v>
      </c>
      <c r="D1321" s="27" t="s">
        <v>230</v>
      </c>
      <c r="E1321" s="29">
        <v>40543</v>
      </c>
      <c r="F1321" s="27">
        <v>15</v>
      </c>
      <c r="G1321" s="18">
        <v>211384.83</v>
      </c>
      <c r="H1321" s="27">
        <f t="shared" si="40"/>
        <v>0</v>
      </c>
      <c r="I1321" s="18">
        <v>130530.15</v>
      </c>
      <c r="J1321" s="27">
        <v>211384.83</v>
      </c>
      <c r="K1321" s="18">
        <f t="shared" si="41"/>
        <v>0</v>
      </c>
      <c r="L1321" s="27">
        <v>140570.93</v>
      </c>
      <c r="M1321" s="36">
        <v>10040.780000000001</v>
      </c>
      <c r="T1321" s="41">
        <v>0</v>
      </c>
      <c r="U1321" s="41">
        <v>0</v>
      </c>
      <c r="V1321" s="42" t="s">
        <v>113</v>
      </c>
      <c r="W1321" s="42">
        <v>0</v>
      </c>
      <c r="X1321" s="42">
        <v>0</v>
      </c>
    </row>
    <row r="1322" spans="1:24">
      <c r="A1322" s="27" t="s">
        <v>2563</v>
      </c>
      <c r="B1322" s="28" t="s">
        <v>215</v>
      </c>
      <c r="C1322" s="27" t="s">
        <v>1017</v>
      </c>
      <c r="D1322" s="27" t="s">
        <v>112</v>
      </c>
      <c r="E1322" s="29">
        <v>40543</v>
      </c>
      <c r="F1322" s="27">
        <v>15</v>
      </c>
      <c r="G1322" s="18">
        <v>194701.2</v>
      </c>
      <c r="H1322" s="27">
        <f t="shared" si="40"/>
        <v>0</v>
      </c>
      <c r="I1322" s="18">
        <v>120228</v>
      </c>
      <c r="J1322" s="27">
        <v>194701.2</v>
      </c>
      <c r="K1322" s="18">
        <f t="shared" si="41"/>
        <v>0</v>
      </c>
      <c r="L1322" s="27">
        <v>129476.31</v>
      </c>
      <c r="M1322" s="36">
        <v>9248.31</v>
      </c>
      <c r="T1322" s="41">
        <v>0</v>
      </c>
      <c r="U1322" s="41">
        <v>0</v>
      </c>
      <c r="V1322" s="42" t="s">
        <v>113</v>
      </c>
      <c r="W1322" s="42">
        <v>0</v>
      </c>
      <c r="X1322" s="42">
        <v>0</v>
      </c>
    </row>
    <row r="1323" spans="1:24">
      <c r="A1323" s="27" t="s">
        <v>2564</v>
      </c>
      <c r="B1323" s="28" t="s">
        <v>215</v>
      </c>
      <c r="C1323" s="27" t="s">
        <v>2565</v>
      </c>
      <c r="D1323" s="27" t="s">
        <v>112</v>
      </c>
      <c r="E1323" s="29">
        <v>40543</v>
      </c>
      <c r="F1323" s="27">
        <v>15</v>
      </c>
      <c r="G1323" s="18">
        <v>326693.28000000003</v>
      </c>
      <c r="H1323" s="27">
        <f t="shared" si="40"/>
        <v>0</v>
      </c>
      <c r="I1323" s="18">
        <v>201733.13</v>
      </c>
      <c r="J1323" s="27">
        <v>326693.28000000003</v>
      </c>
      <c r="K1323" s="18">
        <f t="shared" si="41"/>
        <v>0</v>
      </c>
      <c r="L1323" s="27">
        <v>217251.06</v>
      </c>
      <c r="M1323" s="36">
        <v>15517.93</v>
      </c>
      <c r="T1323" s="41">
        <v>0</v>
      </c>
      <c r="U1323" s="41">
        <v>0</v>
      </c>
      <c r="V1323" s="42" t="s">
        <v>113</v>
      </c>
      <c r="W1323" s="42">
        <v>0</v>
      </c>
      <c r="X1323" s="42">
        <v>0</v>
      </c>
    </row>
    <row r="1324" spans="1:24">
      <c r="A1324" s="27" t="s">
        <v>2566</v>
      </c>
      <c r="B1324" s="28" t="s">
        <v>215</v>
      </c>
      <c r="C1324" s="27" t="s">
        <v>1019</v>
      </c>
      <c r="D1324" s="27" t="s">
        <v>112</v>
      </c>
      <c r="E1324" s="29">
        <v>40543</v>
      </c>
      <c r="F1324" s="27">
        <v>15</v>
      </c>
      <c r="G1324" s="18">
        <v>175798.17</v>
      </c>
      <c r="H1324" s="27">
        <f t="shared" si="40"/>
        <v>0</v>
      </c>
      <c r="I1324" s="18">
        <v>108555.37</v>
      </c>
      <c r="J1324" s="27">
        <v>175798.17</v>
      </c>
      <c r="K1324" s="18">
        <f t="shared" si="41"/>
        <v>0</v>
      </c>
      <c r="L1324" s="27">
        <v>116905.78</v>
      </c>
      <c r="M1324" s="36">
        <v>8350.41</v>
      </c>
      <c r="T1324" s="41">
        <v>0</v>
      </c>
      <c r="U1324" s="41">
        <v>0</v>
      </c>
      <c r="V1324" s="42" t="s">
        <v>113</v>
      </c>
      <c r="W1324" s="42">
        <v>0</v>
      </c>
      <c r="X1324" s="42">
        <v>0</v>
      </c>
    </row>
    <row r="1325" spans="1:24">
      <c r="A1325" s="27" t="s">
        <v>2567</v>
      </c>
      <c r="B1325" s="28" t="s">
        <v>215</v>
      </c>
      <c r="C1325" s="27" t="s">
        <v>2568</v>
      </c>
      <c r="D1325" s="27" t="s">
        <v>118</v>
      </c>
      <c r="E1325" s="29">
        <v>40543</v>
      </c>
      <c r="F1325" s="27">
        <v>15</v>
      </c>
      <c r="G1325" s="18">
        <v>56709.09</v>
      </c>
      <c r="H1325" s="27">
        <f t="shared" si="40"/>
        <v>0</v>
      </c>
      <c r="I1325" s="18">
        <v>35335.01</v>
      </c>
      <c r="J1325" s="27">
        <v>56709.09</v>
      </c>
      <c r="K1325" s="18">
        <f t="shared" si="41"/>
        <v>0</v>
      </c>
      <c r="L1325" s="27">
        <v>37983.39</v>
      </c>
      <c r="M1325" s="36">
        <v>2648.38</v>
      </c>
      <c r="T1325" s="41">
        <v>0</v>
      </c>
      <c r="U1325" s="41">
        <v>0</v>
      </c>
      <c r="V1325" s="42" t="s">
        <v>113</v>
      </c>
      <c r="W1325" s="42">
        <v>0</v>
      </c>
      <c r="X1325" s="42">
        <v>0</v>
      </c>
    </row>
    <row r="1326" spans="1:24">
      <c r="A1326" s="27" t="s">
        <v>2569</v>
      </c>
      <c r="B1326" s="28" t="s">
        <v>215</v>
      </c>
      <c r="C1326" s="27" t="s">
        <v>2570</v>
      </c>
      <c r="D1326" s="27" t="s">
        <v>118</v>
      </c>
      <c r="E1326" s="29">
        <v>40543</v>
      </c>
      <c r="F1326" s="27">
        <v>15</v>
      </c>
      <c r="G1326" s="18">
        <v>37806.06</v>
      </c>
      <c r="H1326" s="27">
        <f t="shared" si="40"/>
        <v>0</v>
      </c>
      <c r="I1326" s="18">
        <v>23503.82</v>
      </c>
      <c r="J1326" s="27">
        <v>37806.06</v>
      </c>
      <c r="K1326" s="18">
        <f t="shared" si="41"/>
        <v>0</v>
      </c>
      <c r="L1326" s="27">
        <v>25276.95</v>
      </c>
      <c r="M1326" s="36">
        <v>1773.13</v>
      </c>
      <c r="T1326" s="41">
        <v>0</v>
      </c>
      <c r="U1326" s="41">
        <v>0</v>
      </c>
      <c r="V1326" s="42" t="s">
        <v>113</v>
      </c>
      <c r="W1326" s="42">
        <v>0</v>
      </c>
      <c r="X1326" s="42">
        <v>0</v>
      </c>
    </row>
    <row r="1327" spans="1:24">
      <c r="A1327" s="27" t="s">
        <v>2571</v>
      </c>
      <c r="B1327" s="28" t="s">
        <v>215</v>
      </c>
      <c r="C1327" s="27" t="s">
        <v>2572</v>
      </c>
      <c r="D1327" s="27" t="s">
        <v>118</v>
      </c>
      <c r="E1327" s="29">
        <v>40543</v>
      </c>
      <c r="F1327" s="27">
        <v>15</v>
      </c>
      <c r="G1327" s="18">
        <v>37806.06</v>
      </c>
      <c r="H1327" s="27">
        <f t="shared" si="40"/>
        <v>0</v>
      </c>
      <c r="I1327" s="18">
        <v>23503.82</v>
      </c>
      <c r="J1327" s="27">
        <v>37806.06</v>
      </c>
      <c r="K1327" s="18">
        <f t="shared" si="41"/>
        <v>0</v>
      </c>
      <c r="L1327" s="27">
        <v>25276.95</v>
      </c>
      <c r="M1327" s="36">
        <v>1773.13</v>
      </c>
      <c r="T1327" s="41">
        <v>0</v>
      </c>
      <c r="U1327" s="41">
        <v>0</v>
      </c>
      <c r="V1327" s="42" t="s">
        <v>113</v>
      </c>
      <c r="W1327" s="42">
        <v>0</v>
      </c>
      <c r="X1327" s="42">
        <v>0</v>
      </c>
    </row>
    <row r="1328" spans="1:24">
      <c r="A1328" s="27" t="s">
        <v>2573</v>
      </c>
      <c r="B1328" s="28" t="s">
        <v>215</v>
      </c>
      <c r="C1328" s="27" t="s">
        <v>2574</v>
      </c>
      <c r="D1328" s="27" t="s">
        <v>118</v>
      </c>
      <c r="E1328" s="29">
        <v>40543</v>
      </c>
      <c r="F1328" s="27">
        <v>15</v>
      </c>
      <c r="G1328" s="18">
        <v>37806.06</v>
      </c>
      <c r="H1328" s="27">
        <f t="shared" si="40"/>
        <v>0</v>
      </c>
      <c r="I1328" s="18">
        <v>23503.82</v>
      </c>
      <c r="J1328" s="27">
        <v>37806.06</v>
      </c>
      <c r="K1328" s="18">
        <f t="shared" si="41"/>
        <v>0</v>
      </c>
      <c r="L1328" s="27">
        <v>25276.95</v>
      </c>
      <c r="M1328" s="36">
        <v>1773.13</v>
      </c>
      <c r="T1328" s="41">
        <v>0</v>
      </c>
      <c r="U1328" s="41">
        <v>0</v>
      </c>
      <c r="V1328" s="42" t="s">
        <v>113</v>
      </c>
      <c r="W1328" s="42">
        <v>0</v>
      </c>
      <c r="X1328" s="42">
        <v>0</v>
      </c>
    </row>
    <row r="1329" spans="1:24">
      <c r="A1329" s="27" t="s">
        <v>2575</v>
      </c>
      <c r="B1329" s="28" t="s">
        <v>215</v>
      </c>
      <c r="C1329" s="27" t="s">
        <v>2576</v>
      </c>
      <c r="D1329" s="27" t="s">
        <v>118</v>
      </c>
      <c r="E1329" s="29">
        <v>40543</v>
      </c>
      <c r="F1329" s="27">
        <v>15</v>
      </c>
      <c r="G1329" s="18">
        <v>37806.06</v>
      </c>
      <c r="H1329" s="27">
        <f t="shared" si="40"/>
        <v>0</v>
      </c>
      <c r="I1329" s="18">
        <v>23344.37</v>
      </c>
      <c r="J1329" s="27">
        <v>37806.06</v>
      </c>
      <c r="K1329" s="18">
        <f t="shared" si="41"/>
        <v>0</v>
      </c>
      <c r="L1329" s="27">
        <v>25140.28</v>
      </c>
      <c r="M1329" s="36">
        <v>1795.91</v>
      </c>
      <c r="T1329" s="41">
        <v>0</v>
      </c>
      <c r="U1329" s="41">
        <v>0</v>
      </c>
      <c r="V1329" s="42" t="s">
        <v>113</v>
      </c>
      <c r="W1329" s="42">
        <v>0</v>
      </c>
      <c r="X1329" s="42">
        <v>0</v>
      </c>
    </row>
    <row r="1330" spans="1:24">
      <c r="A1330" s="27" t="s">
        <v>2577</v>
      </c>
      <c r="B1330" s="28" t="s">
        <v>215</v>
      </c>
      <c r="C1330" s="27" t="s">
        <v>2578</v>
      </c>
      <c r="D1330" s="27" t="s">
        <v>112</v>
      </c>
      <c r="E1330" s="29">
        <v>40543</v>
      </c>
      <c r="F1330" s="27">
        <v>15</v>
      </c>
      <c r="G1330" s="18">
        <v>18903.03</v>
      </c>
      <c r="H1330" s="27">
        <f t="shared" si="40"/>
        <v>0</v>
      </c>
      <c r="I1330" s="18">
        <v>11672.62</v>
      </c>
      <c r="J1330" s="27">
        <v>18903.03</v>
      </c>
      <c r="K1330" s="18">
        <f t="shared" si="41"/>
        <v>0</v>
      </c>
      <c r="L1330" s="27">
        <v>12570.51</v>
      </c>
      <c r="M1330" s="36">
        <v>897.89</v>
      </c>
      <c r="T1330" s="41">
        <v>0</v>
      </c>
      <c r="U1330" s="41">
        <v>0</v>
      </c>
      <c r="V1330" s="42" t="s">
        <v>113</v>
      </c>
      <c r="W1330" s="42">
        <v>0</v>
      </c>
      <c r="X1330" s="42">
        <v>0</v>
      </c>
    </row>
    <row r="1331" spans="1:24">
      <c r="A1331" s="27" t="s">
        <v>2579</v>
      </c>
      <c r="B1331" s="28" t="s">
        <v>215</v>
      </c>
      <c r="C1331" s="27" t="s">
        <v>2019</v>
      </c>
      <c r="D1331" s="27" t="s">
        <v>112</v>
      </c>
      <c r="E1331" s="29">
        <v>40543</v>
      </c>
      <c r="F1331" s="27">
        <v>15</v>
      </c>
      <c r="G1331" s="18">
        <v>18903.03</v>
      </c>
      <c r="H1331" s="27">
        <f t="shared" si="40"/>
        <v>0</v>
      </c>
      <c r="I1331" s="18">
        <v>11672.62</v>
      </c>
      <c r="J1331" s="27">
        <v>18903.03</v>
      </c>
      <c r="K1331" s="18">
        <f t="shared" si="41"/>
        <v>0</v>
      </c>
      <c r="L1331" s="27">
        <v>12570.51</v>
      </c>
      <c r="M1331" s="36">
        <v>897.89</v>
      </c>
      <c r="T1331" s="41">
        <v>0</v>
      </c>
      <c r="U1331" s="41">
        <v>0</v>
      </c>
      <c r="V1331" s="42" t="s">
        <v>113</v>
      </c>
      <c r="W1331" s="42">
        <v>0</v>
      </c>
      <c r="X1331" s="42">
        <v>0</v>
      </c>
    </row>
    <row r="1332" spans="1:24">
      <c r="A1332" s="27" t="s">
        <v>2580</v>
      </c>
      <c r="B1332" s="28" t="s">
        <v>215</v>
      </c>
      <c r="C1332" s="27" t="s">
        <v>2581</v>
      </c>
      <c r="D1332" s="27" t="s">
        <v>118</v>
      </c>
      <c r="E1332" s="29">
        <v>40543</v>
      </c>
      <c r="F1332" s="27">
        <v>15</v>
      </c>
      <c r="G1332" s="18">
        <v>75612.100000000006</v>
      </c>
      <c r="H1332" s="27">
        <f t="shared" si="40"/>
        <v>0</v>
      </c>
      <c r="I1332" s="18">
        <v>47007.63</v>
      </c>
      <c r="J1332" s="27">
        <v>75612.100000000006</v>
      </c>
      <c r="K1332" s="18">
        <f t="shared" si="41"/>
        <v>0</v>
      </c>
      <c r="L1332" s="27">
        <v>50553.9</v>
      </c>
      <c r="M1332" s="36">
        <v>3546.27</v>
      </c>
      <c r="T1332" s="41">
        <v>0</v>
      </c>
      <c r="U1332" s="41">
        <v>0</v>
      </c>
      <c r="V1332" s="42" t="s">
        <v>113</v>
      </c>
      <c r="W1332" s="42">
        <v>0</v>
      </c>
      <c r="X1332" s="42">
        <v>0</v>
      </c>
    </row>
    <row r="1333" spans="1:24">
      <c r="A1333" s="27" t="s">
        <v>2582</v>
      </c>
      <c r="B1333" s="28" t="s">
        <v>215</v>
      </c>
      <c r="C1333" s="27" t="s">
        <v>2583</v>
      </c>
      <c r="D1333" s="27" t="s">
        <v>118</v>
      </c>
      <c r="E1333" s="29">
        <v>40543</v>
      </c>
      <c r="F1333" s="27">
        <v>15</v>
      </c>
      <c r="G1333" s="18">
        <v>56709.08</v>
      </c>
      <c r="H1333" s="27">
        <f t="shared" si="40"/>
        <v>0</v>
      </c>
      <c r="I1333" s="18">
        <v>35176.44</v>
      </c>
      <c r="J1333" s="27">
        <v>56709.08</v>
      </c>
      <c r="K1333" s="18">
        <f t="shared" si="41"/>
        <v>0</v>
      </c>
      <c r="L1333" s="27">
        <v>37847.47</v>
      </c>
      <c r="M1333" s="36">
        <v>2671.03</v>
      </c>
      <c r="T1333" s="41">
        <v>0</v>
      </c>
      <c r="U1333" s="41">
        <v>0</v>
      </c>
      <c r="V1333" s="42" t="s">
        <v>113</v>
      </c>
      <c r="W1333" s="42">
        <v>0</v>
      </c>
      <c r="X1333" s="42">
        <v>0</v>
      </c>
    </row>
    <row r="1334" spans="1:24">
      <c r="A1334" s="27" t="s">
        <v>2584</v>
      </c>
      <c r="B1334" s="28" t="s">
        <v>215</v>
      </c>
      <c r="C1334" s="27" t="s">
        <v>2585</v>
      </c>
      <c r="D1334" s="27" t="s">
        <v>118</v>
      </c>
      <c r="E1334" s="29">
        <v>40543</v>
      </c>
      <c r="F1334" s="27">
        <v>12</v>
      </c>
      <c r="G1334" s="18">
        <v>1890.3</v>
      </c>
      <c r="H1334" s="27">
        <f t="shared" si="40"/>
        <v>1890.3</v>
      </c>
      <c r="I1334" s="18">
        <v>1890.3</v>
      </c>
      <c r="J1334" s="27">
        <v>1890.3</v>
      </c>
      <c r="K1334" s="18">
        <f t="shared" si="41"/>
        <v>1890.3</v>
      </c>
      <c r="L1334" s="27">
        <v>1890.3</v>
      </c>
      <c r="M1334" s="36">
        <v>0</v>
      </c>
      <c r="T1334" s="41">
        <v>0</v>
      </c>
      <c r="U1334" s="41">
        <v>0</v>
      </c>
      <c r="V1334" s="42" t="s">
        <v>113</v>
      </c>
      <c r="W1334" s="42">
        <v>1890.3</v>
      </c>
      <c r="X1334" s="42">
        <v>1890.3</v>
      </c>
    </row>
    <row r="1335" spans="1:24">
      <c r="A1335" s="27" t="s">
        <v>2586</v>
      </c>
      <c r="B1335" s="28" t="s">
        <v>215</v>
      </c>
      <c r="C1335" s="27" t="s">
        <v>2587</v>
      </c>
      <c r="D1335" s="27" t="s">
        <v>118</v>
      </c>
      <c r="E1335" s="29">
        <v>40543</v>
      </c>
      <c r="F1335" s="27">
        <v>12</v>
      </c>
      <c r="G1335" s="18">
        <v>1890.3</v>
      </c>
      <c r="H1335" s="27">
        <f t="shared" si="40"/>
        <v>1890.3</v>
      </c>
      <c r="I1335" s="18">
        <v>1890.3</v>
      </c>
      <c r="J1335" s="27">
        <v>1890.3</v>
      </c>
      <c r="K1335" s="18">
        <f t="shared" si="41"/>
        <v>1890.3</v>
      </c>
      <c r="L1335" s="27">
        <v>1890.3</v>
      </c>
      <c r="M1335" s="36">
        <v>0</v>
      </c>
      <c r="T1335" s="41">
        <v>0</v>
      </c>
      <c r="U1335" s="41">
        <v>0</v>
      </c>
      <c r="V1335" s="42" t="s">
        <v>113</v>
      </c>
      <c r="W1335" s="42">
        <v>1890.3</v>
      </c>
      <c r="X1335" s="42">
        <v>1890.3</v>
      </c>
    </row>
    <row r="1336" spans="1:24">
      <c r="A1336" s="27" t="s">
        <v>2588</v>
      </c>
      <c r="B1336" s="28" t="s">
        <v>215</v>
      </c>
      <c r="C1336" s="27" t="s">
        <v>2589</v>
      </c>
      <c r="D1336" s="27" t="s">
        <v>118</v>
      </c>
      <c r="E1336" s="29">
        <v>40543</v>
      </c>
      <c r="F1336" s="27">
        <v>12</v>
      </c>
      <c r="G1336" s="18">
        <v>1890.3</v>
      </c>
      <c r="H1336" s="27">
        <f t="shared" si="40"/>
        <v>1890.3</v>
      </c>
      <c r="I1336" s="18">
        <v>1890.3</v>
      </c>
      <c r="J1336" s="27">
        <v>1890.3</v>
      </c>
      <c r="K1336" s="18">
        <f t="shared" si="41"/>
        <v>1890.3</v>
      </c>
      <c r="L1336" s="27">
        <v>1890.3</v>
      </c>
      <c r="M1336" s="36">
        <v>0</v>
      </c>
      <c r="T1336" s="41">
        <v>0</v>
      </c>
      <c r="U1336" s="41">
        <v>0</v>
      </c>
      <c r="V1336" s="42" t="s">
        <v>113</v>
      </c>
      <c r="W1336" s="42">
        <v>1890.3</v>
      </c>
      <c r="X1336" s="42">
        <v>1890.3</v>
      </c>
    </row>
    <row r="1337" spans="1:24">
      <c r="A1337" s="27" t="s">
        <v>2590</v>
      </c>
      <c r="B1337" s="28" t="s">
        <v>215</v>
      </c>
      <c r="C1337" s="27" t="s">
        <v>2591</v>
      </c>
      <c r="D1337" s="27" t="s">
        <v>118</v>
      </c>
      <c r="E1337" s="29">
        <v>40543</v>
      </c>
      <c r="F1337" s="27">
        <v>12</v>
      </c>
      <c r="G1337" s="18">
        <v>1890.3</v>
      </c>
      <c r="H1337" s="27">
        <f t="shared" si="40"/>
        <v>1890.3</v>
      </c>
      <c r="I1337" s="18">
        <v>1890.3</v>
      </c>
      <c r="J1337" s="27">
        <v>1890.3</v>
      </c>
      <c r="K1337" s="18">
        <f t="shared" si="41"/>
        <v>1890.3</v>
      </c>
      <c r="L1337" s="27">
        <v>1890.3</v>
      </c>
      <c r="M1337" s="36">
        <v>0</v>
      </c>
      <c r="T1337" s="41">
        <v>0</v>
      </c>
      <c r="U1337" s="41">
        <v>0</v>
      </c>
      <c r="V1337" s="42" t="s">
        <v>113</v>
      </c>
      <c r="W1337" s="42">
        <v>1890.3</v>
      </c>
      <c r="X1337" s="42">
        <v>1890.3</v>
      </c>
    </row>
    <row r="1338" spans="1:24">
      <c r="A1338" s="27" t="s">
        <v>2592</v>
      </c>
      <c r="B1338" s="28" t="s">
        <v>215</v>
      </c>
      <c r="C1338" s="27" t="s">
        <v>2593</v>
      </c>
      <c r="D1338" s="27" t="s">
        <v>118</v>
      </c>
      <c r="E1338" s="29">
        <v>40543</v>
      </c>
      <c r="F1338" s="27">
        <v>12</v>
      </c>
      <c r="G1338" s="18">
        <v>1890.3</v>
      </c>
      <c r="H1338" s="27">
        <f t="shared" si="40"/>
        <v>1890.3</v>
      </c>
      <c r="I1338" s="18">
        <v>1890.3</v>
      </c>
      <c r="J1338" s="27">
        <v>1890.3</v>
      </c>
      <c r="K1338" s="18">
        <f t="shared" si="41"/>
        <v>1890.3</v>
      </c>
      <c r="L1338" s="27">
        <v>1890.3</v>
      </c>
      <c r="M1338" s="36">
        <v>0</v>
      </c>
      <c r="T1338" s="41">
        <v>0</v>
      </c>
      <c r="U1338" s="41">
        <v>0</v>
      </c>
      <c r="V1338" s="42" t="s">
        <v>113</v>
      </c>
      <c r="W1338" s="42">
        <v>1890.3</v>
      </c>
      <c r="X1338" s="42">
        <v>1890.3</v>
      </c>
    </row>
    <row r="1339" spans="1:24">
      <c r="A1339" s="27" t="s">
        <v>2594</v>
      </c>
      <c r="B1339" s="28" t="s">
        <v>215</v>
      </c>
      <c r="C1339" s="27" t="s">
        <v>538</v>
      </c>
      <c r="D1339" s="27" t="s">
        <v>118</v>
      </c>
      <c r="E1339" s="29">
        <v>40543</v>
      </c>
      <c r="F1339" s="27">
        <v>12</v>
      </c>
      <c r="G1339" s="18">
        <v>1890.3</v>
      </c>
      <c r="H1339" s="27">
        <f t="shared" si="40"/>
        <v>1890.3</v>
      </c>
      <c r="I1339" s="18">
        <v>1890.3</v>
      </c>
      <c r="J1339" s="27">
        <v>1890.3</v>
      </c>
      <c r="K1339" s="18">
        <f t="shared" si="41"/>
        <v>1890.3</v>
      </c>
      <c r="L1339" s="27">
        <v>1890.3</v>
      </c>
      <c r="M1339" s="36">
        <v>0</v>
      </c>
      <c r="T1339" s="41">
        <v>0</v>
      </c>
      <c r="U1339" s="41">
        <v>0</v>
      </c>
      <c r="V1339" s="42" t="s">
        <v>113</v>
      </c>
      <c r="W1339" s="42">
        <v>1890.3</v>
      </c>
      <c r="X1339" s="42">
        <v>1890.3</v>
      </c>
    </row>
    <row r="1340" spans="1:24">
      <c r="A1340" s="27" t="s">
        <v>2595</v>
      </c>
      <c r="B1340" s="28" t="s">
        <v>215</v>
      </c>
      <c r="C1340" s="27" t="s">
        <v>2596</v>
      </c>
      <c r="D1340" s="27" t="s">
        <v>112</v>
      </c>
      <c r="E1340" s="29">
        <v>40543</v>
      </c>
      <c r="F1340" s="27">
        <v>12</v>
      </c>
      <c r="G1340" s="18">
        <v>1890.3</v>
      </c>
      <c r="H1340" s="27">
        <f t="shared" si="40"/>
        <v>1890.3</v>
      </c>
      <c r="I1340" s="18">
        <v>1890.3</v>
      </c>
      <c r="J1340" s="27">
        <v>1890.3</v>
      </c>
      <c r="K1340" s="18">
        <f t="shared" si="41"/>
        <v>1890.3</v>
      </c>
      <c r="L1340" s="27">
        <v>1890.3</v>
      </c>
      <c r="M1340" s="36">
        <v>0</v>
      </c>
      <c r="T1340" s="41">
        <v>0</v>
      </c>
      <c r="U1340" s="41">
        <v>0</v>
      </c>
      <c r="V1340" s="42" t="s">
        <v>113</v>
      </c>
      <c r="W1340" s="42">
        <v>1890.3</v>
      </c>
      <c r="X1340" s="42">
        <v>1890.3</v>
      </c>
    </row>
    <row r="1341" spans="1:24">
      <c r="A1341" s="27" t="s">
        <v>2597</v>
      </c>
      <c r="B1341" s="28" t="s">
        <v>215</v>
      </c>
      <c r="C1341" s="27" t="s">
        <v>2598</v>
      </c>
      <c r="D1341" s="27" t="s">
        <v>112</v>
      </c>
      <c r="E1341" s="29">
        <v>40543</v>
      </c>
      <c r="F1341" s="27">
        <v>12</v>
      </c>
      <c r="G1341" s="18">
        <v>1890.3</v>
      </c>
      <c r="H1341" s="27">
        <f t="shared" si="40"/>
        <v>1890.3</v>
      </c>
      <c r="I1341" s="18">
        <v>1890.3</v>
      </c>
      <c r="J1341" s="27">
        <v>1890.3</v>
      </c>
      <c r="K1341" s="18">
        <f t="shared" si="41"/>
        <v>1890.3</v>
      </c>
      <c r="L1341" s="27">
        <v>1890.3</v>
      </c>
      <c r="M1341" s="36">
        <v>0</v>
      </c>
      <c r="T1341" s="41">
        <v>0</v>
      </c>
      <c r="U1341" s="41">
        <v>0</v>
      </c>
      <c r="V1341" s="42" t="s">
        <v>113</v>
      </c>
      <c r="W1341" s="42">
        <v>1890.3</v>
      </c>
      <c r="X1341" s="42">
        <v>1890.3</v>
      </c>
    </row>
    <row r="1342" spans="1:24">
      <c r="A1342" s="27" t="s">
        <v>2599</v>
      </c>
      <c r="B1342" s="28" t="s">
        <v>215</v>
      </c>
      <c r="C1342" s="27" t="s">
        <v>2600</v>
      </c>
      <c r="D1342" s="27" t="s">
        <v>112</v>
      </c>
      <c r="E1342" s="29">
        <v>40543</v>
      </c>
      <c r="F1342" s="27">
        <v>12</v>
      </c>
      <c r="G1342" s="18">
        <v>1890.3</v>
      </c>
      <c r="H1342" s="27">
        <f t="shared" si="40"/>
        <v>1890.3</v>
      </c>
      <c r="I1342" s="18">
        <v>1890.3</v>
      </c>
      <c r="J1342" s="27">
        <v>1890.3</v>
      </c>
      <c r="K1342" s="18">
        <f t="shared" si="41"/>
        <v>1890.3</v>
      </c>
      <c r="L1342" s="27">
        <v>1890.3</v>
      </c>
      <c r="M1342" s="36">
        <v>0</v>
      </c>
      <c r="T1342" s="41">
        <v>0</v>
      </c>
      <c r="U1342" s="41">
        <v>0</v>
      </c>
      <c r="V1342" s="42" t="s">
        <v>113</v>
      </c>
      <c r="W1342" s="42">
        <v>1890.3</v>
      </c>
      <c r="X1342" s="42">
        <v>1890.3</v>
      </c>
    </row>
    <row r="1343" spans="1:24">
      <c r="A1343" s="27" t="s">
        <v>2601</v>
      </c>
      <c r="B1343" s="28" t="s">
        <v>215</v>
      </c>
      <c r="C1343" s="27" t="s">
        <v>2602</v>
      </c>
      <c r="D1343" s="27" t="s">
        <v>112</v>
      </c>
      <c r="E1343" s="29">
        <v>40543</v>
      </c>
      <c r="F1343" s="27">
        <v>12</v>
      </c>
      <c r="G1343" s="18">
        <v>1890.3</v>
      </c>
      <c r="H1343" s="27">
        <f t="shared" si="40"/>
        <v>1890.3</v>
      </c>
      <c r="I1343" s="18">
        <v>1890.3</v>
      </c>
      <c r="J1343" s="27">
        <v>1890.3</v>
      </c>
      <c r="K1343" s="18">
        <f t="shared" si="41"/>
        <v>1890.3</v>
      </c>
      <c r="L1343" s="27">
        <v>1890.3</v>
      </c>
      <c r="M1343" s="36">
        <v>0</v>
      </c>
      <c r="T1343" s="41">
        <v>0</v>
      </c>
      <c r="U1343" s="41">
        <v>0</v>
      </c>
      <c r="V1343" s="42" t="s">
        <v>113</v>
      </c>
      <c r="W1343" s="42">
        <v>1890.3</v>
      </c>
      <c r="X1343" s="42">
        <v>1890.3</v>
      </c>
    </row>
    <row r="1344" spans="1:24">
      <c r="A1344" s="27" t="s">
        <v>2603</v>
      </c>
      <c r="B1344" s="28" t="s">
        <v>215</v>
      </c>
      <c r="C1344" s="27" t="s">
        <v>2604</v>
      </c>
      <c r="D1344" s="27" t="s">
        <v>112</v>
      </c>
      <c r="E1344" s="29">
        <v>40543</v>
      </c>
      <c r="F1344" s="27">
        <v>12</v>
      </c>
      <c r="G1344" s="18">
        <v>1890.3</v>
      </c>
      <c r="H1344" s="27">
        <f t="shared" si="40"/>
        <v>1890.3</v>
      </c>
      <c r="I1344" s="18">
        <v>1890.3</v>
      </c>
      <c r="J1344" s="27">
        <v>1890.3</v>
      </c>
      <c r="K1344" s="18">
        <f t="shared" si="41"/>
        <v>1890.3</v>
      </c>
      <c r="L1344" s="27">
        <v>1890.3</v>
      </c>
      <c r="M1344" s="36">
        <v>0</v>
      </c>
      <c r="T1344" s="41">
        <v>0</v>
      </c>
      <c r="U1344" s="41">
        <v>0</v>
      </c>
      <c r="V1344" s="42" t="s">
        <v>113</v>
      </c>
      <c r="W1344" s="42">
        <v>1890.3</v>
      </c>
      <c r="X1344" s="42">
        <v>1890.3</v>
      </c>
    </row>
    <row r="1345" spans="1:24">
      <c r="A1345" s="27" t="s">
        <v>2605</v>
      </c>
      <c r="B1345" s="28" t="s">
        <v>215</v>
      </c>
      <c r="C1345" s="27" t="s">
        <v>2606</v>
      </c>
      <c r="D1345" s="27" t="s">
        <v>112</v>
      </c>
      <c r="E1345" s="29">
        <v>40543</v>
      </c>
      <c r="F1345" s="27">
        <v>12</v>
      </c>
      <c r="G1345" s="18">
        <v>1890.3</v>
      </c>
      <c r="H1345" s="27">
        <f t="shared" si="40"/>
        <v>1890.3</v>
      </c>
      <c r="I1345" s="18">
        <v>1890.3</v>
      </c>
      <c r="J1345" s="27">
        <v>1890.3</v>
      </c>
      <c r="K1345" s="18">
        <f t="shared" si="41"/>
        <v>1890.3</v>
      </c>
      <c r="L1345" s="27">
        <v>1890.3</v>
      </c>
      <c r="M1345" s="36">
        <v>0</v>
      </c>
      <c r="T1345" s="41">
        <v>0</v>
      </c>
      <c r="U1345" s="41">
        <v>0</v>
      </c>
      <c r="V1345" s="42" t="s">
        <v>113</v>
      </c>
      <c r="W1345" s="42">
        <v>1890.3</v>
      </c>
      <c r="X1345" s="42">
        <v>1890.3</v>
      </c>
    </row>
    <row r="1346" spans="1:24">
      <c r="A1346" s="27" t="s">
        <v>2607</v>
      </c>
      <c r="B1346" s="28" t="s">
        <v>215</v>
      </c>
      <c r="C1346" s="27" t="s">
        <v>2608</v>
      </c>
      <c r="D1346" s="27" t="s">
        <v>112</v>
      </c>
      <c r="E1346" s="29">
        <v>40543</v>
      </c>
      <c r="F1346" s="27">
        <v>12</v>
      </c>
      <c r="G1346" s="18">
        <v>1890.3</v>
      </c>
      <c r="H1346" s="27">
        <f t="shared" si="40"/>
        <v>1890.3</v>
      </c>
      <c r="I1346" s="18">
        <v>1890.3</v>
      </c>
      <c r="J1346" s="27">
        <v>1890.3</v>
      </c>
      <c r="K1346" s="18">
        <f t="shared" si="41"/>
        <v>1890.3</v>
      </c>
      <c r="L1346" s="27">
        <v>1890.3</v>
      </c>
      <c r="M1346" s="36">
        <v>0</v>
      </c>
      <c r="T1346" s="41">
        <v>0</v>
      </c>
      <c r="U1346" s="41">
        <v>0</v>
      </c>
      <c r="V1346" s="42" t="s">
        <v>113</v>
      </c>
      <c r="W1346" s="42">
        <v>1890.3</v>
      </c>
      <c r="X1346" s="42">
        <v>1890.3</v>
      </c>
    </row>
    <row r="1347" spans="1:24">
      <c r="A1347" s="27" t="s">
        <v>2609</v>
      </c>
      <c r="B1347" s="28" t="s">
        <v>215</v>
      </c>
      <c r="C1347" s="27" t="s">
        <v>540</v>
      </c>
      <c r="D1347" s="27" t="s">
        <v>118</v>
      </c>
      <c r="E1347" s="29">
        <v>40543</v>
      </c>
      <c r="F1347" s="27">
        <v>12</v>
      </c>
      <c r="G1347" s="18">
        <v>1890.3</v>
      </c>
      <c r="H1347" s="27">
        <f t="shared" si="40"/>
        <v>1890.3</v>
      </c>
      <c r="I1347" s="18">
        <v>1890.3</v>
      </c>
      <c r="J1347" s="27">
        <v>1890.3</v>
      </c>
      <c r="K1347" s="18">
        <f t="shared" si="41"/>
        <v>1890.3</v>
      </c>
      <c r="L1347" s="27">
        <v>1890.3</v>
      </c>
      <c r="M1347" s="36">
        <v>0</v>
      </c>
      <c r="T1347" s="41">
        <v>0</v>
      </c>
      <c r="U1347" s="41">
        <v>0</v>
      </c>
      <c r="V1347" s="42" t="s">
        <v>113</v>
      </c>
      <c r="W1347" s="42">
        <v>1890.3</v>
      </c>
      <c r="X1347" s="42">
        <v>1890.3</v>
      </c>
    </row>
    <row r="1348" spans="1:24">
      <c r="A1348" s="27" t="s">
        <v>2610</v>
      </c>
      <c r="B1348" s="28" t="s">
        <v>215</v>
      </c>
      <c r="C1348" s="27" t="s">
        <v>556</v>
      </c>
      <c r="D1348" s="27" t="s">
        <v>112</v>
      </c>
      <c r="E1348" s="29">
        <v>40543</v>
      </c>
      <c r="F1348" s="27">
        <v>12</v>
      </c>
      <c r="G1348" s="18">
        <v>1890.3</v>
      </c>
      <c r="H1348" s="27">
        <f t="shared" si="40"/>
        <v>1890.3</v>
      </c>
      <c r="I1348" s="18">
        <v>1890.3</v>
      </c>
      <c r="J1348" s="27">
        <v>1890.3</v>
      </c>
      <c r="K1348" s="18">
        <f t="shared" si="41"/>
        <v>1890.3</v>
      </c>
      <c r="L1348" s="27">
        <v>1890.3</v>
      </c>
      <c r="M1348" s="36">
        <v>0</v>
      </c>
      <c r="T1348" s="41">
        <v>0</v>
      </c>
      <c r="U1348" s="41">
        <v>0</v>
      </c>
      <c r="V1348" s="42" t="s">
        <v>113</v>
      </c>
      <c r="W1348" s="42">
        <v>1890.3</v>
      </c>
      <c r="X1348" s="42">
        <v>1890.3</v>
      </c>
    </row>
    <row r="1349" spans="1:24">
      <c r="A1349" s="27" t="s">
        <v>2611</v>
      </c>
      <c r="B1349" s="28" t="s">
        <v>215</v>
      </c>
      <c r="C1349" s="27" t="s">
        <v>2612</v>
      </c>
      <c r="D1349" s="27" t="s">
        <v>118</v>
      </c>
      <c r="E1349" s="29">
        <v>40543</v>
      </c>
      <c r="F1349" s="27">
        <v>15</v>
      </c>
      <c r="G1349" s="18">
        <v>47257.56</v>
      </c>
      <c r="H1349" s="27">
        <f t="shared" si="40"/>
        <v>0</v>
      </c>
      <c r="I1349" s="18">
        <v>29181.54</v>
      </c>
      <c r="J1349" s="27">
        <v>47257.56</v>
      </c>
      <c r="K1349" s="18">
        <f t="shared" si="41"/>
        <v>0</v>
      </c>
      <c r="L1349" s="27">
        <v>31426.27</v>
      </c>
      <c r="M1349" s="36">
        <v>2244.73</v>
      </c>
      <c r="T1349" s="41">
        <v>0</v>
      </c>
      <c r="U1349" s="41">
        <v>0</v>
      </c>
      <c r="V1349" s="42" t="s">
        <v>113</v>
      </c>
      <c r="W1349" s="42">
        <v>0</v>
      </c>
      <c r="X1349" s="42">
        <v>0</v>
      </c>
    </row>
    <row r="1350" spans="1:24">
      <c r="A1350" s="27" t="s">
        <v>2613</v>
      </c>
      <c r="B1350" s="28" t="s">
        <v>215</v>
      </c>
      <c r="C1350" s="27" t="s">
        <v>2614</v>
      </c>
      <c r="D1350" s="27" t="s">
        <v>118</v>
      </c>
      <c r="E1350" s="29">
        <v>40543</v>
      </c>
      <c r="F1350" s="27">
        <v>15</v>
      </c>
      <c r="G1350" s="18">
        <v>18903.03</v>
      </c>
      <c r="H1350" s="27">
        <f t="shared" ref="H1350:H1413" si="42">IFERROR(IF(ROUND((G1350-I1350)/G1350,2)&lt;=0.05,G1350,0),0)</f>
        <v>0</v>
      </c>
      <c r="I1350" s="18">
        <v>11672.62</v>
      </c>
      <c r="J1350" s="27">
        <v>18903.03</v>
      </c>
      <c r="K1350" s="18">
        <f t="shared" ref="K1350:K1413" si="43">IFERROR(IF(ROUND((J1350-L1350)/J1350,2)&lt;=0.05,J1350,0),0)</f>
        <v>0</v>
      </c>
      <c r="L1350" s="27">
        <v>12570.51</v>
      </c>
      <c r="M1350" s="36">
        <v>897.89</v>
      </c>
      <c r="T1350" s="41">
        <v>0</v>
      </c>
      <c r="U1350" s="41">
        <v>0</v>
      </c>
      <c r="V1350" s="42" t="s">
        <v>113</v>
      </c>
      <c r="W1350" s="42">
        <v>0</v>
      </c>
      <c r="X1350" s="42">
        <v>0</v>
      </c>
    </row>
    <row r="1351" spans="1:24">
      <c r="A1351" s="27" t="s">
        <v>2615</v>
      </c>
      <c r="B1351" s="28" t="s">
        <v>215</v>
      </c>
      <c r="C1351" s="27" t="s">
        <v>2616</v>
      </c>
      <c r="D1351" s="27" t="s">
        <v>118</v>
      </c>
      <c r="E1351" s="29">
        <v>40543</v>
      </c>
      <c r="F1351" s="27">
        <v>15</v>
      </c>
      <c r="G1351" s="18">
        <v>18903.03</v>
      </c>
      <c r="H1351" s="27">
        <f t="shared" si="42"/>
        <v>0</v>
      </c>
      <c r="I1351" s="18">
        <v>11672.62</v>
      </c>
      <c r="J1351" s="27">
        <v>18903.03</v>
      </c>
      <c r="K1351" s="18">
        <f t="shared" si="43"/>
        <v>0</v>
      </c>
      <c r="L1351" s="27">
        <v>12570.51</v>
      </c>
      <c r="M1351" s="36">
        <v>897.89</v>
      </c>
      <c r="T1351" s="41">
        <v>0</v>
      </c>
      <c r="U1351" s="41">
        <v>0</v>
      </c>
      <c r="V1351" s="42" t="s">
        <v>113</v>
      </c>
      <c r="W1351" s="42">
        <v>0</v>
      </c>
      <c r="X1351" s="42">
        <v>0</v>
      </c>
    </row>
    <row r="1352" spans="1:24">
      <c r="A1352" s="27" t="s">
        <v>2617</v>
      </c>
      <c r="B1352" s="28" t="s">
        <v>215</v>
      </c>
      <c r="C1352" s="27" t="s">
        <v>2618</v>
      </c>
      <c r="D1352" s="27" t="s">
        <v>118</v>
      </c>
      <c r="E1352" s="29">
        <v>40543</v>
      </c>
      <c r="F1352" s="27">
        <v>15</v>
      </c>
      <c r="G1352" s="18">
        <v>18903.03</v>
      </c>
      <c r="H1352" s="27">
        <f t="shared" si="42"/>
        <v>0</v>
      </c>
      <c r="I1352" s="18">
        <v>11672.62</v>
      </c>
      <c r="J1352" s="27">
        <v>18903.03</v>
      </c>
      <c r="K1352" s="18">
        <f t="shared" si="43"/>
        <v>0</v>
      </c>
      <c r="L1352" s="27">
        <v>12570.51</v>
      </c>
      <c r="M1352" s="36">
        <v>897.89</v>
      </c>
      <c r="T1352" s="41">
        <v>0</v>
      </c>
      <c r="U1352" s="41">
        <v>0</v>
      </c>
      <c r="V1352" s="42" t="s">
        <v>113</v>
      </c>
      <c r="W1352" s="42">
        <v>0</v>
      </c>
      <c r="X1352" s="42">
        <v>0</v>
      </c>
    </row>
    <row r="1353" spans="1:24">
      <c r="A1353" s="27" t="s">
        <v>2619</v>
      </c>
      <c r="B1353" s="28" t="s">
        <v>215</v>
      </c>
      <c r="C1353" s="27" t="s">
        <v>2620</v>
      </c>
      <c r="D1353" s="27" t="s">
        <v>118</v>
      </c>
      <c r="E1353" s="29">
        <v>40543</v>
      </c>
      <c r="F1353" s="27">
        <v>15</v>
      </c>
      <c r="G1353" s="18">
        <v>18903.03</v>
      </c>
      <c r="H1353" s="27">
        <f t="shared" si="42"/>
        <v>0</v>
      </c>
      <c r="I1353" s="18">
        <v>11672.62</v>
      </c>
      <c r="J1353" s="27">
        <v>18903.03</v>
      </c>
      <c r="K1353" s="18">
        <f t="shared" si="43"/>
        <v>0</v>
      </c>
      <c r="L1353" s="27">
        <v>12570.51</v>
      </c>
      <c r="M1353" s="36">
        <v>897.89</v>
      </c>
      <c r="T1353" s="41">
        <v>0</v>
      </c>
      <c r="U1353" s="41">
        <v>0</v>
      </c>
      <c r="V1353" s="42" t="s">
        <v>113</v>
      </c>
      <c r="W1353" s="42">
        <v>0</v>
      </c>
      <c r="X1353" s="42">
        <v>0</v>
      </c>
    </row>
    <row r="1354" spans="1:24">
      <c r="A1354" s="27" t="s">
        <v>2621</v>
      </c>
      <c r="B1354" s="28" t="s">
        <v>215</v>
      </c>
      <c r="C1354" s="27" t="s">
        <v>2622</v>
      </c>
      <c r="D1354" s="27" t="s">
        <v>118</v>
      </c>
      <c r="E1354" s="29">
        <v>40543</v>
      </c>
      <c r="F1354" s="27">
        <v>15</v>
      </c>
      <c r="G1354" s="18">
        <v>18903.03</v>
      </c>
      <c r="H1354" s="27">
        <f t="shared" si="42"/>
        <v>0</v>
      </c>
      <c r="I1354" s="18">
        <v>11672.62</v>
      </c>
      <c r="J1354" s="27">
        <v>18903.03</v>
      </c>
      <c r="K1354" s="18">
        <f t="shared" si="43"/>
        <v>0</v>
      </c>
      <c r="L1354" s="27">
        <v>12570.51</v>
      </c>
      <c r="M1354" s="36">
        <v>897.89</v>
      </c>
      <c r="T1354" s="41">
        <v>0</v>
      </c>
      <c r="U1354" s="41">
        <v>0</v>
      </c>
      <c r="V1354" s="42" t="s">
        <v>113</v>
      </c>
      <c r="W1354" s="42">
        <v>0</v>
      </c>
      <c r="X1354" s="42">
        <v>0</v>
      </c>
    </row>
    <row r="1355" spans="1:24">
      <c r="A1355" s="27" t="s">
        <v>2623</v>
      </c>
      <c r="B1355" s="28" t="s">
        <v>215</v>
      </c>
      <c r="C1355" s="27" t="s">
        <v>2624</v>
      </c>
      <c r="D1355" s="27" t="s">
        <v>118</v>
      </c>
      <c r="E1355" s="29">
        <v>40543</v>
      </c>
      <c r="F1355" s="27">
        <v>15</v>
      </c>
      <c r="G1355" s="18">
        <v>47257.56</v>
      </c>
      <c r="H1355" s="27">
        <f t="shared" si="42"/>
        <v>0</v>
      </c>
      <c r="I1355" s="18">
        <v>29181.54</v>
      </c>
      <c r="J1355" s="27">
        <v>47257.56</v>
      </c>
      <c r="K1355" s="18">
        <f t="shared" si="43"/>
        <v>0</v>
      </c>
      <c r="L1355" s="27">
        <v>31426.27</v>
      </c>
      <c r="M1355" s="36">
        <v>2244.73</v>
      </c>
      <c r="T1355" s="41">
        <v>0</v>
      </c>
      <c r="U1355" s="41">
        <v>0</v>
      </c>
      <c r="V1355" s="42" t="s">
        <v>113</v>
      </c>
      <c r="W1355" s="42">
        <v>0</v>
      </c>
      <c r="X1355" s="42">
        <v>0</v>
      </c>
    </row>
    <row r="1356" spans="1:24">
      <c r="A1356" s="27" t="s">
        <v>2625</v>
      </c>
      <c r="B1356" s="28" t="s">
        <v>215</v>
      </c>
      <c r="C1356" s="27" t="s">
        <v>2626</v>
      </c>
      <c r="D1356" s="27" t="s">
        <v>118</v>
      </c>
      <c r="E1356" s="29">
        <v>40543</v>
      </c>
      <c r="F1356" s="27">
        <v>15</v>
      </c>
      <c r="G1356" s="18">
        <v>135772.69</v>
      </c>
      <c r="H1356" s="27">
        <f t="shared" si="42"/>
        <v>0</v>
      </c>
      <c r="I1356" s="18">
        <v>83839.64</v>
      </c>
      <c r="J1356" s="27">
        <v>135772.69</v>
      </c>
      <c r="K1356" s="18">
        <f t="shared" si="43"/>
        <v>0</v>
      </c>
      <c r="L1356" s="27">
        <v>90288.84</v>
      </c>
      <c r="M1356" s="36">
        <v>6449.2</v>
      </c>
      <c r="T1356" s="41">
        <v>0</v>
      </c>
      <c r="U1356" s="41">
        <v>0</v>
      </c>
      <c r="V1356" s="42" t="s">
        <v>113</v>
      </c>
      <c r="W1356" s="42">
        <v>0</v>
      </c>
      <c r="X1356" s="42">
        <v>0</v>
      </c>
    </row>
    <row r="1357" spans="1:24">
      <c r="A1357" s="27" t="s">
        <v>2627</v>
      </c>
      <c r="B1357" s="28" t="s">
        <v>215</v>
      </c>
      <c r="C1357" s="27" t="s">
        <v>2628</v>
      </c>
      <c r="D1357" s="27" t="s">
        <v>118</v>
      </c>
      <c r="E1357" s="29">
        <v>40543</v>
      </c>
      <c r="F1357" s="27">
        <v>15</v>
      </c>
      <c r="G1357" s="18">
        <v>47257.56</v>
      </c>
      <c r="H1357" s="27">
        <f t="shared" si="42"/>
        <v>0</v>
      </c>
      <c r="I1357" s="18">
        <v>29181.54</v>
      </c>
      <c r="J1357" s="27">
        <v>47257.56</v>
      </c>
      <c r="K1357" s="18">
        <f t="shared" si="43"/>
        <v>0</v>
      </c>
      <c r="L1357" s="27">
        <v>31426.27</v>
      </c>
      <c r="M1357" s="36">
        <v>2244.73</v>
      </c>
      <c r="T1357" s="41">
        <v>0</v>
      </c>
      <c r="U1357" s="41">
        <v>0</v>
      </c>
      <c r="V1357" s="42" t="s">
        <v>113</v>
      </c>
      <c r="W1357" s="42">
        <v>0</v>
      </c>
      <c r="X1357" s="42">
        <v>0</v>
      </c>
    </row>
    <row r="1358" spans="1:24">
      <c r="A1358" s="27" t="s">
        <v>2629</v>
      </c>
      <c r="B1358" s="28" t="s">
        <v>215</v>
      </c>
      <c r="C1358" s="27" t="s">
        <v>2630</v>
      </c>
      <c r="D1358" s="27" t="s">
        <v>118</v>
      </c>
      <c r="E1358" s="29">
        <v>40543</v>
      </c>
      <c r="F1358" s="27">
        <v>15</v>
      </c>
      <c r="G1358" s="18">
        <v>47257.56</v>
      </c>
      <c r="H1358" s="27">
        <f t="shared" si="42"/>
        <v>0</v>
      </c>
      <c r="I1358" s="18">
        <v>29181.54</v>
      </c>
      <c r="J1358" s="27">
        <v>47257.56</v>
      </c>
      <c r="K1358" s="18">
        <f t="shared" si="43"/>
        <v>0</v>
      </c>
      <c r="L1358" s="27">
        <v>31426.27</v>
      </c>
      <c r="M1358" s="36">
        <v>2244.73</v>
      </c>
      <c r="T1358" s="41">
        <v>0</v>
      </c>
      <c r="U1358" s="41">
        <v>0</v>
      </c>
      <c r="V1358" s="42" t="s">
        <v>113</v>
      </c>
      <c r="W1358" s="42">
        <v>0</v>
      </c>
      <c r="X1358" s="42">
        <v>0</v>
      </c>
    </row>
    <row r="1359" spans="1:24">
      <c r="A1359" s="27" t="s">
        <v>2631</v>
      </c>
      <c r="B1359" s="28" t="s">
        <v>215</v>
      </c>
      <c r="C1359" s="27" t="s">
        <v>2632</v>
      </c>
      <c r="D1359" s="27" t="s">
        <v>118</v>
      </c>
      <c r="E1359" s="29">
        <v>40543</v>
      </c>
      <c r="F1359" s="27">
        <v>15</v>
      </c>
      <c r="G1359" s="18">
        <v>18903.03</v>
      </c>
      <c r="H1359" s="27">
        <f t="shared" si="42"/>
        <v>0</v>
      </c>
      <c r="I1359" s="18">
        <v>11672.62</v>
      </c>
      <c r="J1359" s="27">
        <v>18903.03</v>
      </c>
      <c r="K1359" s="18">
        <f t="shared" si="43"/>
        <v>0</v>
      </c>
      <c r="L1359" s="27">
        <v>12570.51</v>
      </c>
      <c r="M1359" s="36">
        <v>897.89</v>
      </c>
      <c r="T1359" s="41">
        <v>0</v>
      </c>
      <c r="U1359" s="41">
        <v>0</v>
      </c>
      <c r="V1359" s="42" t="s">
        <v>113</v>
      </c>
      <c r="W1359" s="42">
        <v>0</v>
      </c>
      <c r="X1359" s="42">
        <v>0</v>
      </c>
    </row>
    <row r="1360" spans="1:24">
      <c r="A1360" s="27" t="s">
        <v>2633</v>
      </c>
      <c r="B1360" s="28" t="s">
        <v>215</v>
      </c>
      <c r="C1360" s="27" t="s">
        <v>2634</v>
      </c>
      <c r="D1360" s="27" t="s">
        <v>118</v>
      </c>
      <c r="E1360" s="29">
        <v>40543</v>
      </c>
      <c r="F1360" s="27">
        <v>15</v>
      </c>
      <c r="G1360" s="18">
        <v>18903.03</v>
      </c>
      <c r="H1360" s="27">
        <f t="shared" si="42"/>
        <v>0</v>
      </c>
      <c r="I1360" s="18">
        <v>11672.62</v>
      </c>
      <c r="J1360" s="27">
        <v>18903.03</v>
      </c>
      <c r="K1360" s="18">
        <f t="shared" si="43"/>
        <v>0</v>
      </c>
      <c r="L1360" s="27">
        <v>12570.51</v>
      </c>
      <c r="M1360" s="36">
        <v>897.89</v>
      </c>
      <c r="T1360" s="41">
        <v>0</v>
      </c>
      <c r="U1360" s="41">
        <v>0</v>
      </c>
      <c r="V1360" s="42" t="s">
        <v>113</v>
      </c>
      <c r="W1360" s="42">
        <v>0</v>
      </c>
      <c r="X1360" s="42">
        <v>0</v>
      </c>
    </row>
    <row r="1361" spans="1:24">
      <c r="A1361" s="27" t="s">
        <v>2635</v>
      </c>
      <c r="B1361" s="28" t="s">
        <v>215</v>
      </c>
      <c r="C1361" s="27" t="s">
        <v>2636</v>
      </c>
      <c r="D1361" s="27" t="s">
        <v>118</v>
      </c>
      <c r="E1361" s="29">
        <v>40543</v>
      </c>
      <c r="F1361" s="27">
        <v>15</v>
      </c>
      <c r="G1361" s="18">
        <v>18903.03</v>
      </c>
      <c r="H1361" s="27">
        <f t="shared" si="42"/>
        <v>0</v>
      </c>
      <c r="I1361" s="18">
        <v>11672.62</v>
      </c>
      <c r="J1361" s="27">
        <v>18903.03</v>
      </c>
      <c r="K1361" s="18">
        <f t="shared" si="43"/>
        <v>0</v>
      </c>
      <c r="L1361" s="27">
        <v>12570.51</v>
      </c>
      <c r="M1361" s="36">
        <v>897.89</v>
      </c>
      <c r="T1361" s="41">
        <v>0</v>
      </c>
      <c r="U1361" s="41">
        <v>0</v>
      </c>
      <c r="V1361" s="42" t="s">
        <v>113</v>
      </c>
      <c r="W1361" s="42">
        <v>0</v>
      </c>
      <c r="X1361" s="42">
        <v>0</v>
      </c>
    </row>
    <row r="1362" spans="1:24">
      <c r="A1362" s="27" t="s">
        <v>2637</v>
      </c>
      <c r="B1362" s="28" t="s">
        <v>215</v>
      </c>
      <c r="C1362" s="27" t="s">
        <v>2638</v>
      </c>
      <c r="D1362" s="27" t="s">
        <v>118</v>
      </c>
      <c r="E1362" s="29">
        <v>40543</v>
      </c>
      <c r="F1362" s="27">
        <v>15</v>
      </c>
      <c r="G1362" s="18">
        <v>18903.03</v>
      </c>
      <c r="H1362" s="27">
        <f t="shared" si="42"/>
        <v>0</v>
      </c>
      <c r="I1362" s="18">
        <v>11672.62</v>
      </c>
      <c r="J1362" s="27">
        <v>18903.03</v>
      </c>
      <c r="K1362" s="18">
        <f t="shared" si="43"/>
        <v>0</v>
      </c>
      <c r="L1362" s="27">
        <v>12570.51</v>
      </c>
      <c r="M1362" s="36">
        <v>897.89</v>
      </c>
      <c r="T1362" s="41">
        <v>0</v>
      </c>
      <c r="U1362" s="41">
        <v>0</v>
      </c>
      <c r="V1362" s="42" t="s">
        <v>113</v>
      </c>
      <c r="W1362" s="42">
        <v>0</v>
      </c>
      <c r="X1362" s="42">
        <v>0</v>
      </c>
    </row>
    <row r="1363" spans="1:24">
      <c r="A1363" s="27" t="s">
        <v>2639</v>
      </c>
      <c r="B1363" s="28" t="s">
        <v>215</v>
      </c>
      <c r="C1363" s="27" t="s">
        <v>2640</v>
      </c>
      <c r="D1363" s="27" t="s">
        <v>118</v>
      </c>
      <c r="E1363" s="29">
        <v>40543</v>
      </c>
      <c r="F1363" s="27">
        <v>15</v>
      </c>
      <c r="G1363" s="18">
        <v>18903.03</v>
      </c>
      <c r="H1363" s="27">
        <f t="shared" si="42"/>
        <v>0</v>
      </c>
      <c r="I1363" s="18">
        <v>11672.62</v>
      </c>
      <c r="J1363" s="27">
        <v>18903.03</v>
      </c>
      <c r="K1363" s="18">
        <f t="shared" si="43"/>
        <v>0</v>
      </c>
      <c r="L1363" s="27">
        <v>12570.51</v>
      </c>
      <c r="M1363" s="36">
        <v>897.89</v>
      </c>
      <c r="T1363" s="41">
        <v>0</v>
      </c>
      <c r="U1363" s="41">
        <v>0</v>
      </c>
      <c r="V1363" s="42" t="s">
        <v>113</v>
      </c>
      <c r="W1363" s="42">
        <v>0</v>
      </c>
      <c r="X1363" s="42">
        <v>0</v>
      </c>
    </row>
    <row r="1364" spans="1:24">
      <c r="A1364" s="27" t="s">
        <v>2641</v>
      </c>
      <c r="B1364" s="28" t="s">
        <v>215</v>
      </c>
      <c r="C1364" s="27" t="s">
        <v>2642</v>
      </c>
      <c r="D1364" s="27" t="s">
        <v>118</v>
      </c>
      <c r="E1364" s="29">
        <v>40543</v>
      </c>
      <c r="F1364" s="27">
        <v>15</v>
      </c>
      <c r="G1364" s="18">
        <v>18903.03</v>
      </c>
      <c r="H1364" s="27">
        <f t="shared" si="42"/>
        <v>0</v>
      </c>
      <c r="I1364" s="18">
        <v>11672.62</v>
      </c>
      <c r="J1364" s="27">
        <v>18903.03</v>
      </c>
      <c r="K1364" s="18">
        <f t="shared" si="43"/>
        <v>0</v>
      </c>
      <c r="L1364" s="27">
        <v>12570.51</v>
      </c>
      <c r="M1364" s="36">
        <v>897.89</v>
      </c>
      <c r="T1364" s="41">
        <v>0</v>
      </c>
      <c r="U1364" s="41">
        <v>0</v>
      </c>
      <c r="V1364" s="42" t="s">
        <v>113</v>
      </c>
      <c r="W1364" s="42">
        <v>0</v>
      </c>
      <c r="X1364" s="42">
        <v>0</v>
      </c>
    </row>
    <row r="1365" spans="1:24">
      <c r="A1365" s="27" t="s">
        <v>2643</v>
      </c>
      <c r="B1365" s="28" t="s">
        <v>215</v>
      </c>
      <c r="C1365" s="27" t="s">
        <v>2644</v>
      </c>
      <c r="D1365" s="27" t="s">
        <v>118</v>
      </c>
      <c r="E1365" s="29">
        <v>40543</v>
      </c>
      <c r="F1365" s="27">
        <v>15</v>
      </c>
      <c r="G1365" s="18">
        <v>47257.56</v>
      </c>
      <c r="H1365" s="27">
        <f t="shared" si="42"/>
        <v>0</v>
      </c>
      <c r="I1365" s="18">
        <v>29181.54</v>
      </c>
      <c r="J1365" s="27">
        <v>47257.56</v>
      </c>
      <c r="K1365" s="18">
        <f t="shared" si="43"/>
        <v>0</v>
      </c>
      <c r="L1365" s="27">
        <v>31426.27</v>
      </c>
      <c r="M1365" s="36">
        <v>2244.73</v>
      </c>
      <c r="T1365" s="41">
        <v>0</v>
      </c>
      <c r="U1365" s="41">
        <v>0</v>
      </c>
      <c r="V1365" s="42" t="s">
        <v>113</v>
      </c>
      <c r="W1365" s="42">
        <v>0</v>
      </c>
      <c r="X1365" s="42">
        <v>0</v>
      </c>
    </row>
    <row r="1366" spans="1:24">
      <c r="A1366" s="27" t="s">
        <v>2645</v>
      </c>
      <c r="B1366" s="28" t="s">
        <v>215</v>
      </c>
      <c r="C1366" s="27" t="s">
        <v>2646</v>
      </c>
      <c r="D1366" s="27" t="s">
        <v>118</v>
      </c>
      <c r="E1366" s="29">
        <v>40543</v>
      </c>
      <c r="F1366" s="27">
        <v>15</v>
      </c>
      <c r="G1366" s="18">
        <v>141772.69</v>
      </c>
      <c r="H1366" s="27">
        <f t="shared" si="42"/>
        <v>0</v>
      </c>
      <c r="I1366" s="18">
        <v>87544.639999999999</v>
      </c>
      <c r="J1366" s="27">
        <v>141772.69</v>
      </c>
      <c r="K1366" s="18">
        <f t="shared" si="43"/>
        <v>0</v>
      </c>
      <c r="L1366" s="27">
        <v>94278.84</v>
      </c>
      <c r="M1366" s="36">
        <v>6734.2</v>
      </c>
      <c r="T1366" s="41">
        <v>0</v>
      </c>
      <c r="U1366" s="41">
        <v>0</v>
      </c>
      <c r="V1366" s="42" t="s">
        <v>113</v>
      </c>
      <c r="W1366" s="42">
        <v>0</v>
      </c>
      <c r="X1366" s="42">
        <v>0</v>
      </c>
    </row>
    <row r="1367" spans="1:24">
      <c r="A1367" s="27" t="s">
        <v>2647</v>
      </c>
      <c r="B1367" s="28" t="s">
        <v>215</v>
      </c>
      <c r="C1367" s="27" t="s">
        <v>2648</v>
      </c>
      <c r="D1367" s="27" t="s">
        <v>118</v>
      </c>
      <c r="E1367" s="29">
        <v>40543</v>
      </c>
      <c r="F1367" s="27">
        <v>15</v>
      </c>
      <c r="G1367" s="18">
        <v>47257.56</v>
      </c>
      <c r="H1367" s="27">
        <f t="shared" si="42"/>
        <v>0</v>
      </c>
      <c r="I1367" s="18">
        <v>29181.54</v>
      </c>
      <c r="J1367" s="27">
        <v>47257.56</v>
      </c>
      <c r="K1367" s="18">
        <f t="shared" si="43"/>
        <v>0</v>
      </c>
      <c r="L1367" s="27">
        <v>31426.27</v>
      </c>
      <c r="M1367" s="36">
        <v>2244.73</v>
      </c>
      <c r="T1367" s="41">
        <v>0</v>
      </c>
      <c r="U1367" s="41">
        <v>0</v>
      </c>
      <c r="V1367" s="42" t="s">
        <v>113</v>
      </c>
      <c r="W1367" s="42">
        <v>0</v>
      </c>
      <c r="X1367" s="42">
        <v>0</v>
      </c>
    </row>
    <row r="1368" spans="1:24">
      <c r="A1368" s="27" t="s">
        <v>2649</v>
      </c>
      <c r="B1368" s="28" t="s">
        <v>215</v>
      </c>
      <c r="C1368" s="27" t="s">
        <v>2650</v>
      </c>
      <c r="D1368" s="27" t="s">
        <v>118</v>
      </c>
      <c r="E1368" s="29">
        <v>40543</v>
      </c>
      <c r="F1368" s="27">
        <v>15</v>
      </c>
      <c r="G1368" s="18">
        <v>47257.56</v>
      </c>
      <c r="H1368" s="27">
        <f t="shared" si="42"/>
        <v>0</v>
      </c>
      <c r="I1368" s="18">
        <v>29181.54</v>
      </c>
      <c r="J1368" s="27">
        <v>47257.56</v>
      </c>
      <c r="K1368" s="18">
        <f t="shared" si="43"/>
        <v>0</v>
      </c>
      <c r="L1368" s="27">
        <v>31426.27</v>
      </c>
      <c r="M1368" s="36">
        <v>2244.73</v>
      </c>
      <c r="T1368" s="41">
        <v>0</v>
      </c>
      <c r="U1368" s="41">
        <v>0</v>
      </c>
      <c r="V1368" s="42" t="s">
        <v>113</v>
      </c>
      <c r="W1368" s="42">
        <v>0</v>
      </c>
      <c r="X1368" s="42">
        <v>0</v>
      </c>
    </row>
    <row r="1369" spans="1:24">
      <c r="A1369" s="27" t="s">
        <v>2651</v>
      </c>
      <c r="B1369" s="28" t="s">
        <v>215</v>
      </c>
      <c r="C1369" s="27" t="s">
        <v>2652</v>
      </c>
      <c r="D1369" s="27" t="s">
        <v>118</v>
      </c>
      <c r="E1369" s="29">
        <v>40543</v>
      </c>
      <c r="F1369" s="27">
        <v>15</v>
      </c>
      <c r="G1369" s="18">
        <v>47257.56</v>
      </c>
      <c r="H1369" s="27">
        <f t="shared" si="42"/>
        <v>0</v>
      </c>
      <c r="I1369" s="18">
        <v>29181.54</v>
      </c>
      <c r="J1369" s="27">
        <v>47257.56</v>
      </c>
      <c r="K1369" s="18">
        <f t="shared" si="43"/>
        <v>0</v>
      </c>
      <c r="L1369" s="27">
        <v>31426.27</v>
      </c>
      <c r="M1369" s="36">
        <v>2244.73</v>
      </c>
      <c r="T1369" s="41">
        <v>0</v>
      </c>
      <c r="U1369" s="41">
        <v>0</v>
      </c>
      <c r="V1369" s="42" t="s">
        <v>113</v>
      </c>
      <c r="W1369" s="42">
        <v>0</v>
      </c>
      <c r="X1369" s="42">
        <v>0</v>
      </c>
    </row>
    <row r="1370" spans="1:24">
      <c r="A1370" s="27" t="s">
        <v>2653</v>
      </c>
      <c r="B1370" s="28" t="s">
        <v>215</v>
      </c>
      <c r="C1370" s="27" t="s">
        <v>2654</v>
      </c>
      <c r="D1370" s="27" t="s">
        <v>118</v>
      </c>
      <c r="E1370" s="29">
        <v>40543</v>
      </c>
      <c r="F1370" s="27">
        <v>15</v>
      </c>
      <c r="G1370" s="18">
        <v>135772.69</v>
      </c>
      <c r="H1370" s="27">
        <f t="shared" si="42"/>
        <v>0</v>
      </c>
      <c r="I1370" s="18">
        <v>83839.64</v>
      </c>
      <c r="J1370" s="27">
        <v>135772.69</v>
      </c>
      <c r="K1370" s="18">
        <f t="shared" si="43"/>
        <v>0</v>
      </c>
      <c r="L1370" s="27">
        <v>90288.84</v>
      </c>
      <c r="M1370" s="36">
        <v>6449.2</v>
      </c>
      <c r="T1370" s="41">
        <v>0</v>
      </c>
      <c r="U1370" s="41">
        <v>0</v>
      </c>
      <c r="V1370" s="42" t="s">
        <v>113</v>
      </c>
      <c r="W1370" s="42">
        <v>0</v>
      </c>
      <c r="X1370" s="42">
        <v>0</v>
      </c>
    </row>
    <row r="1371" spans="1:24">
      <c r="A1371" s="27" t="s">
        <v>2655</v>
      </c>
      <c r="B1371" s="28" t="s">
        <v>215</v>
      </c>
      <c r="C1371" s="27" t="s">
        <v>2656</v>
      </c>
      <c r="D1371" s="27" t="s">
        <v>118</v>
      </c>
      <c r="E1371" s="29">
        <v>40544</v>
      </c>
      <c r="F1371" s="27">
        <v>15</v>
      </c>
      <c r="G1371" s="18">
        <v>6331</v>
      </c>
      <c r="H1371" s="27">
        <f t="shared" si="42"/>
        <v>6331</v>
      </c>
      <c r="I1371" s="18">
        <v>6014.45</v>
      </c>
      <c r="J1371" s="27">
        <v>6331</v>
      </c>
      <c r="K1371" s="18">
        <f t="shared" si="43"/>
        <v>6331</v>
      </c>
      <c r="L1371" s="27">
        <v>6014.45</v>
      </c>
      <c r="M1371" s="36">
        <v>0</v>
      </c>
      <c r="T1371" s="41">
        <v>0</v>
      </c>
      <c r="U1371" s="41">
        <v>0</v>
      </c>
      <c r="V1371" s="42" t="s">
        <v>113</v>
      </c>
      <c r="W1371" s="42">
        <v>6331</v>
      </c>
      <c r="X1371" s="42">
        <v>6331</v>
      </c>
    </row>
    <row r="1372" spans="1:24">
      <c r="A1372" s="27" t="s">
        <v>2657</v>
      </c>
      <c r="B1372" s="28" t="s">
        <v>215</v>
      </c>
      <c r="C1372" s="27" t="s">
        <v>2658</v>
      </c>
      <c r="D1372" s="27" t="s">
        <v>118</v>
      </c>
      <c r="E1372" s="29">
        <v>40544</v>
      </c>
      <c r="F1372" s="27">
        <v>15</v>
      </c>
      <c r="G1372" s="18">
        <v>9718.75</v>
      </c>
      <c r="H1372" s="27">
        <f t="shared" si="42"/>
        <v>9718.75</v>
      </c>
      <c r="I1372" s="18">
        <v>9232.81</v>
      </c>
      <c r="J1372" s="27">
        <v>9718.75</v>
      </c>
      <c r="K1372" s="18">
        <f t="shared" si="43"/>
        <v>9718.75</v>
      </c>
      <c r="L1372" s="27">
        <v>9232.81</v>
      </c>
      <c r="M1372" s="36">
        <v>0</v>
      </c>
      <c r="T1372" s="41">
        <v>0</v>
      </c>
      <c r="U1372" s="41">
        <v>0</v>
      </c>
      <c r="V1372" s="42" t="s">
        <v>113</v>
      </c>
      <c r="W1372" s="42">
        <v>9718.75</v>
      </c>
      <c r="X1372" s="42">
        <v>9718.75</v>
      </c>
    </row>
    <row r="1373" spans="1:24">
      <c r="A1373" s="27" t="s">
        <v>2659</v>
      </c>
      <c r="B1373" s="28" t="s">
        <v>215</v>
      </c>
      <c r="C1373" s="27" t="s">
        <v>2660</v>
      </c>
      <c r="D1373" s="27" t="s">
        <v>112</v>
      </c>
      <c r="E1373" s="29">
        <v>35765</v>
      </c>
      <c r="F1373" s="27">
        <v>15</v>
      </c>
      <c r="G1373" s="18">
        <v>6523</v>
      </c>
      <c r="H1373" s="27">
        <f t="shared" si="42"/>
        <v>6523</v>
      </c>
      <c r="I1373" s="18">
        <v>6196.85</v>
      </c>
      <c r="J1373" s="27">
        <v>6523</v>
      </c>
      <c r="K1373" s="18">
        <f t="shared" si="43"/>
        <v>6523</v>
      </c>
      <c r="L1373" s="27">
        <v>6196.85</v>
      </c>
      <c r="M1373" s="36">
        <v>0</v>
      </c>
      <c r="T1373" s="41">
        <v>0</v>
      </c>
      <c r="U1373" s="41">
        <v>0</v>
      </c>
      <c r="V1373" s="42" t="s">
        <v>113</v>
      </c>
      <c r="W1373" s="42">
        <v>6523</v>
      </c>
      <c r="X1373" s="42">
        <v>6523</v>
      </c>
    </row>
    <row r="1374" spans="1:24">
      <c r="A1374" s="27" t="s">
        <v>2661</v>
      </c>
      <c r="B1374" s="28" t="s">
        <v>215</v>
      </c>
      <c r="C1374" s="27" t="s">
        <v>2662</v>
      </c>
      <c r="D1374" s="27" t="s">
        <v>112</v>
      </c>
      <c r="E1374" s="29">
        <v>35765</v>
      </c>
      <c r="F1374" s="27">
        <v>15</v>
      </c>
      <c r="G1374" s="18">
        <v>6523</v>
      </c>
      <c r="H1374" s="27">
        <f t="shared" si="42"/>
        <v>6523</v>
      </c>
      <c r="I1374" s="18">
        <v>6196.85</v>
      </c>
      <c r="J1374" s="27">
        <v>6523</v>
      </c>
      <c r="K1374" s="18">
        <f t="shared" si="43"/>
        <v>6523</v>
      </c>
      <c r="L1374" s="27">
        <v>6196.85</v>
      </c>
      <c r="M1374" s="36">
        <v>0</v>
      </c>
      <c r="T1374" s="41">
        <v>0</v>
      </c>
      <c r="U1374" s="41">
        <v>0</v>
      </c>
      <c r="V1374" s="42" t="s">
        <v>113</v>
      </c>
      <c r="W1374" s="42">
        <v>6523</v>
      </c>
      <c r="X1374" s="42">
        <v>6523</v>
      </c>
    </row>
    <row r="1375" spans="1:24">
      <c r="A1375" s="27" t="s">
        <v>2663</v>
      </c>
      <c r="B1375" s="28" t="s">
        <v>215</v>
      </c>
      <c r="C1375" s="27" t="s">
        <v>2664</v>
      </c>
      <c r="D1375" s="27" t="s">
        <v>112</v>
      </c>
      <c r="E1375" s="29">
        <v>40165</v>
      </c>
      <c r="F1375" s="27">
        <v>12</v>
      </c>
      <c r="G1375" s="18">
        <v>4484.18</v>
      </c>
      <c r="H1375" s="27">
        <f t="shared" si="42"/>
        <v>4484.18</v>
      </c>
      <c r="I1375" s="18">
        <v>4484.18</v>
      </c>
      <c r="J1375" s="27">
        <v>4484.18</v>
      </c>
      <c r="K1375" s="18">
        <f t="shared" si="43"/>
        <v>4484.18</v>
      </c>
      <c r="L1375" s="27">
        <v>4484.18</v>
      </c>
      <c r="M1375" s="36">
        <v>0</v>
      </c>
      <c r="T1375" s="41">
        <v>0</v>
      </c>
      <c r="U1375" s="41">
        <v>0</v>
      </c>
      <c r="V1375" s="42" t="s">
        <v>113</v>
      </c>
      <c r="W1375" s="42">
        <v>4484.18</v>
      </c>
      <c r="X1375" s="42">
        <v>4484.18</v>
      </c>
    </row>
    <row r="1376" spans="1:24">
      <c r="A1376" s="27" t="s">
        <v>2665</v>
      </c>
      <c r="B1376" s="28" t="s">
        <v>215</v>
      </c>
      <c r="C1376" s="27" t="s">
        <v>2666</v>
      </c>
      <c r="D1376" s="27" t="s">
        <v>112</v>
      </c>
      <c r="E1376" s="29">
        <v>40165</v>
      </c>
      <c r="F1376" s="27">
        <v>12</v>
      </c>
      <c r="G1376" s="18">
        <v>4484.1899999999996</v>
      </c>
      <c r="H1376" s="27">
        <f t="shared" si="42"/>
        <v>4484.1899999999996</v>
      </c>
      <c r="I1376" s="18">
        <v>4484.1899999999996</v>
      </c>
      <c r="J1376" s="27">
        <v>4484.1899999999996</v>
      </c>
      <c r="K1376" s="18">
        <f t="shared" si="43"/>
        <v>4484.1899999999996</v>
      </c>
      <c r="L1376" s="27">
        <v>4484.1899999999996</v>
      </c>
      <c r="M1376" s="36">
        <v>0</v>
      </c>
      <c r="T1376" s="41">
        <v>0</v>
      </c>
      <c r="U1376" s="41">
        <v>0</v>
      </c>
      <c r="V1376" s="42" t="s">
        <v>113</v>
      </c>
      <c r="W1376" s="42">
        <v>4484.1899999999996</v>
      </c>
      <c r="X1376" s="42">
        <v>4484.1899999999996</v>
      </c>
    </row>
    <row r="1377" spans="1:24">
      <c r="A1377" s="27" t="s">
        <v>2667</v>
      </c>
      <c r="B1377" s="28" t="s">
        <v>215</v>
      </c>
      <c r="C1377" s="27" t="s">
        <v>2668</v>
      </c>
      <c r="D1377" s="27" t="s">
        <v>112</v>
      </c>
      <c r="E1377" s="29">
        <v>40165</v>
      </c>
      <c r="F1377" s="27">
        <v>12</v>
      </c>
      <c r="G1377" s="18">
        <v>4484.1899999999996</v>
      </c>
      <c r="H1377" s="27">
        <f t="shared" si="42"/>
        <v>4484.1899999999996</v>
      </c>
      <c r="I1377" s="18">
        <v>4484.1899999999996</v>
      </c>
      <c r="J1377" s="27">
        <v>4484.1899999999996</v>
      </c>
      <c r="K1377" s="18">
        <f t="shared" si="43"/>
        <v>4484.1899999999996</v>
      </c>
      <c r="L1377" s="27">
        <v>4484.1899999999996</v>
      </c>
      <c r="M1377" s="36">
        <v>0</v>
      </c>
      <c r="T1377" s="41">
        <v>0</v>
      </c>
      <c r="U1377" s="41">
        <v>0</v>
      </c>
      <c r="V1377" s="42" t="s">
        <v>113</v>
      </c>
      <c r="W1377" s="42">
        <v>4484.1899999999996</v>
      </c>
      <c r="X1377" s="42">
        <v>4484.1899999999996</v>
      </c>
    </row>
    <row r="1378" spans="1:24">
      <c r="A1378" s="27" t="s">
        <v>2669</v>
      </c>
      <c r="B1378" s="28" t="s">
        <v>215</v>
      </c>
      <c r="C1378" s="27" t="s">
        <v>2670</v>
      </c>
      <c r="D1378" s="27" t="s">
        <v>230</v>
      </c>
      <c r="E1378" s="29">
        <v>40114</v>
      </c>
      <c r="F1378" s="27">
        <v>15</v>
      </c>
      <c r="G1378" s="18">
        <v>57628.81</v>
      </c>
      <c r="H1378" s="27">
        <f t="shared" si="42"/>
        <v>0</v>
      </c>
      <c r="I1378" s="18">
        <v>47140.44</v>
      </c>
      <c r="J1378" s="27">
        <v>57628.81</v>
      </c>
      <c r="K1378" s="18">
        <f t="shared" si="43"/>
        <v>0</v>
      </c>
      <c r="L1378" s="27">
        <v>48895.89</v>
      </c>
      <c r="M1378" s="36">
        <v>1755.45</v>
      </c>
      <c r="T1378" s="41">
        <v>0</v>
      </c>
      <c r="U1378" s="41">
        <v>0</v>
      </c>
      <c r="V1378" s="42" t="s">
        <v>113</v>
      </c>
      <c r="W1378" s="42">
        <v>0</v>
      </c>
      <c r="X1378" s="42">
        <v>0</v>
      </c>
    </row>
    <row r="1379" spans="1:24">
      <c r="A1379" s="27" t="s">
        <v>2671</v>
      </c>
      <c r="B1379" s="28" t="s">
        <v>215</v>
      </c>
      <c r="C1379" s="27" t="s">
        <v>2672</v>
      </c>
      <c r="D1379" s="27" t="s">
        <v>230</v>
      </c>
      <c r="E1379" s="29">
        <v>40114</v>
      </c>
      <c r="F1379" s="27">
        <v>15</v>
      </c>
      <c r="G1379" s="18">
        <v>172388.01</v>
      </c>
      <c r="H1379" s="27">
        <f t="shared" si="42"/>
        <v>0</v>
      </c>
      <c r="I1379" s="18">
        <v>141975.24</v>
      </c>
      <c r="J1379" s="27">
        <v>172388.01</v>
      </c>
      <c r="K1379" s="18">
        <f t="shared" si="43"/>
        <v>0</v>
      </c>
      <c r="L1379" s="27">
        <v>147004.48000000001</v>
      </c>
      <c r="M1379" s="36">
        <v>5029.24</v>
      </c>
      <c r="T1379" s="41">
        <v>0</v>
      </c>
      <c r="U1379" s="41">
        <v>0</v>
      </c>
      <c r="V1379" s="42" t="s">
        <v>113</v>
      </c>
      <c r="W1379" s="42">
        <v>0</v>
      </c>
      <c r="X1379" s="42">
        <v>0</v>
      </c>
    </row>
    <row r="1380" spans="1:24">
      <c r="A1380" s="27" t="s">
        <v>2673</v>
      </c>
      <c r="B1380" s="28" t="s">
        <v>215</v>
      </c>
      <c r="C1380" s="27" t="s">
        <v>2674</v>
      </c>
      <c r="D1380" s="27" t="s">
        <v>230</v>
      </c>
      <c r="E1380" s="29">
        <v>40908</v>
      </c>
      <c r="F1380" s="27">
        <v>15</v>
      </c>
      <c r="G1380" s="18">
        <v>70431.17</v>
      </c>
      <c r="H1380" s="27">
        <f t="shared" si="42"/>
        <v>0</v>
      </c>
      <c r="I1380" s="18">
        <v>38034.120000000003</v>
      </c>
      <c r="J1380" s="27">
        <v>70431.17</v>
      </c>
      <c r="K1380" s="18">
        <f t="shared" si="43"/>
        <v>0</v>
      </c>
      <c r="L1380" s="27">
        <v>41643.56</v>
      </c>
      <c r="M1380" s="36">
        <v>3609.44</v>
      </c>
      <c r="T1380" s="41">
        <v>0</v>
      </c>
      <c r="U1380" s="41">
        <v>0</v>
      </c>
      <c r="V1380" s="42" t="s">
        <v>113</v>
      </c>
      <c r="W1380" s="42">
        <v>0</v>
      </c>
      <c r="X1380" s="42">
        <v>0</v>
      </c>
    </row>
    <row r="1381" spans="1:24">
      <c r="A1381" s="27" t="s">
        <v>2675</v>
      </c>
      <c r="B1381" s="28" t="s">
        <v>215</v>
      </c>
      <c r="C1381" s="27" t="s">
        <v>2676</v>
      </c>
      <c r="D1381" s="27" t="s">
        <v>230</v>
      </c>
      <c r="E1381" s="29">
        <v>40908</v>
      </c>
      <c r="F1381" s="27">
        <v>15</v>
      </c>
      <c r="G1381" s="18">
        <v>70431.17</v>
      </c>
      <c r="H1381" s="27">
        <f t="shared" si="42"/>
        <v>0</v>
      </c>
      <c r="I1381" s="18">
        <v>38034.120000000003</v>
      </c>
      <c r="J1381" s="27">
        <v>70431.17</v>
      </c>
      <c r="K1381" s="18">
        <f t="shared" si="43"/>
        <v>0</v>
      </c>
      <c r="L1381" s="27">
        <v>41643.56</v>
      </c>
      <c r="M1381" s="36">
        <v>3609.44</v>
      </c>
      <c r="T1381" s="41">
        <v>0</v>
      </c>
      <c r="U1381" s="41">
        <v>0</v>
      </c>
      <c r="V1381" s="42" t="s">
        <v>113</v>
      </c>
      <c r="W1381" s="42">
        <v>0</v>
      </c>
      <c r="X1381" s="42">
        <v>0</v>
      </c>
    </row>
    <row r="1382" spans="1:24">
      <c r="A1382" s="27" t="s">
        <v>2677</v>
      </c>
      <c r="B1382" s="28" t="s">
        <v>215</v>
      </c>
      <c r="C1382" s="27" t="s">
        <v>2678</v>
      </c>
      <c r="D1382" s="27" t="s">
        <v>230</v>
      </c>
      <c r="E1382" s="29">
        <v>40908</v>
      </c>
      <c r="F1382" s="27">
        <v>15</v>
      </c>
      <c r="G1382" s="18">
        <v>70431.17</v>
      </c>
      <c r="H1382" s="27">
        <f t="shared" si="42"/>
        <v>0</v>
      </c>
      <c r="I1382" s="18">
        <v>38034.120000000003</v>
      </c>
      <c r="J1382" s="27">
        <v>70431.17</v>
      </c>
      <c r="K1382" s="18">
        <f t="shared" si="43"/>
        <v>0</v>
      </c>
      <c r="L1382" s="27">
        <v>41643.56</v>
      </c>
      <c r="M1382" s="36">
        <v>3609.44</v>
      </c>
      <c r="T1382" s="41">
        <v>0</v>
      </c>
      <c r="U1382" s="41">
        <v>0</v>
      </c>
      <c r="V1382" s="42" t="s">
        <v>113</v>
      </c>
      <c r="W1382" s="42">
        <v>0</v>
      </c>
      <c r="X1382" s="42">
        <v>0</v>
      </c>
    </row>
    <row r="1383" spans="1:24">
      <c r="A1383" s="27" t="s">
        <v>2679</v>
      </c>
      <c r="B1383" s="28" t="s">
        <v>215</v>
      </c>
      <c r="C1383" s="27" t="s">
        <v>2680</v>
      </c>
      <c r="D1383" s="27" t="s">
        <v>230</v>
      </c>
      <c r="E1383" s="29">
        <v>40908</v>
      </c>
      <c r="F1383" s="27">
        <v>15</v>
      </c>
      <c r="G1383" s="18">
        <v>330672.31</v>
      </c>
      <c r="H1383" s="27">
        <f t="shared" si="42"/>
        <v>0</v>
      </c>
      <c r="I1383" s="18">
        <v>192291.52</v>
      </c>
      <c r="J1383" s="27">
        <v>330672.31</v>
      </c>
      <c r="K1383" s="18">
        <f t="shared" si="43"/>
        <v>0</v>
      </c>
      <c r="L1383" s="27">
        <v>207522.42</v>
      </c>
      <c r="M1383" s="36">
        <v>15230.9</v>
      </c>
      <c r="T1383" s="41">
        <v>0</v>
      </c>
      <c r="U1383" s="41">
        <v>0</v>
      </c>
      <c r="V1383" s="42" t="s">
        <v>113</v>
      </c>
      <c r="W1383" s="42">
        <v>0</v>
      </c>
      <c r="X1383" s="42">
        <v>0</v>
      </c>
    </row>
    <row r="1384" spans="1:24">
      <c r="A1384" s="27" t="s">
        <v>2681</v>
      </c>
      <c r="B1384" s="28" t="s">
        <v>215</v>
      </c>
      <c r="C1384" s="27" t="s">
        <v>2682</v>
      </c>
      <c r="D1384" s="27" t="s">
        <v>230</v>
      </c>
      <c r="E1384" s="29">
        <v>40908</v>
      </c>
      <c r="F1384" s="27">
        <v>15</v>
      </c>
      <c r="G1384" s="18">
        <v>369637.89</v>
      </c>
      <c r="H1384" s="27">
        <f t="shared" si="42"/>
        <v>0</v>
      </c>
      <c r="I1384" s="18">
        <v>213798.65</v>
      </c>
      <c r="J1384" s="27">
        <v>369637.89</v>
      </c>
      <c r="K1384" s="18">
        <f t="shared" si="43"/>
        <v>0</v>
      </c>
      <c r="L1384" s="27">
        <v>230968.32000000001</v>
      </c>
      <c r="M1384" s="36">
        <v>17169.669999999998</v>
      </c>
      <c r="T1384" s="41">
        <v>0</v>
      </c>
      <c r="U1384" s="41">
        <v>0</v>
      </c>
      <c r="V1384" s="42" t="s">
        <v>113</v>
      </c>
      <c r="W1384" s="42">
        <v>0</v>
      </c>
      <c r="X1384" s="42">
        <v>0</v>
      </c>
    </row>
    <row r="1385" spans="1:24">
      <c r="A1385" s="27" t="s">
        <v>2683</v>
      </c>
      <c r="B1385" s="28" t="s">
        <v>215</v>
      </c>
      <c r="C1385" s="27" t="s">
        <v>2684</v>
      </c>
      <c r="D1385" s="27" t="s">
        <v>230</v>
      </c>
      <c r="E1385" s="29">
        <v>40908</v>
      </c>
      <c r="F1385" s="27">
        <v>15</v>
      </c>
      <c r="G1385" s="18">
        <v>284723.99</v>
      </c>
      <c r="H1385" s="27">
        <f t="shared" si="42"/>
        <v>0</v>
      </c>
      <c r="I1385" s="18">
        <v>168410.06</v>
      </c>
      <c r="J1385" s="27">
        <v>284723.99</v>
      </c>
      <c r="K1385" s="18">
        <f t="shared" si="43"/>
        <v>0</v>
      </c>
      <c r="L1385" s="27">
        <v>181169.78</v>
      </c>
      <c r="M1385" s="36">
        <v>12759.72</v>
      </c>
      <c r="T1385" s="41">
        <v>0</v>
      </c>
      <c r="U1385" s="41">
        <v>0</v>
      </c>
      <c r="V1385" s="42" t="s">
        <v>113</v>
      </c>
      <c r="W1385" s="42">
        <v>0</v>
      </c>
      <c r="X1385" s="42">
        <v>0</v>
      </c>
    </row>
    <row r="1386" spans="1:24">
      <c r="A1386" s="27" t="s">
        <v>2685</v>
      </c>
      <c r="B1386" s="28" t="s">
        <v>215</v>
      </c>
      <c r="C1386" s="27" t="s">
        <v>2686</v>
      </c>
      <c r="D1386" s="27" t="s">
        <v>118</v>
      </c>
      <c r="E1386" s="29">
        <v>40543</v>
      </c>
      <c r="F1386" s="27">
        <v>15</v>
      </c>
      <c r="G1386" s="18">
        <v>17242.5</v>
      </c>
      <c r="H1386" s="27">
        <f t="shared" si="42"/>
        <v>0</v>
      </c>
      <c r="I1386" s="18">
        <v>10777.55</v>
      </c>
      <c r="J1386" s="27">
        <v>17242.5</v>
      </c>
      <c r="K1386" s="18">
        <f t="shared" si="43"/>
        <v>0</v>
      </c>
      <c r="L1386" s="27">
        <v>11577.95</v>
      </c>
      <c r="M1386" s="36">
        <v>800.4</v>
      </c>
      <c r="T1386" s="41">
        <v>0</v>
      </c>
      <c r="U1386" s="41">
        <v>0</v>
      </c>
      <c r="V1386" s="42" t="s">
        <v>113</v>
      </c>
      <c r="W1386" s="42">
        <v>0</v>
      </c>
      <c r="X1386" s="42">
        <v>0</v>
      </c>
    </row>
    <row r="1387" spans="1:24">
      <c r="A1387" s="27" t="s">
        <v>2687</v>
      </c>
      <c r="B1387" s="28" t="s">
        <v>215</v>
      </c>
      <c r="C1387" s="27" t="s">
        <v>2688</v>
      </c>
      <c r="D1387" s="27" t="s">
        <v>118</v>
      </c>
      <c r="E1387" s="29">
        <v>40543</v>
      </c>
      <c r="F1387" s="27">
        <v>15</v>
      </c>
      <c r="G1387" s="18">
        <v>17242.5</v>
      </c>
      <c r="H1387" s="27">
        <f t="shared" si="42"/>
        <v>0</v>
      </c>
      <c r="I1387" s="18">
        <v>10777.54</v>
      </c>
      <c r="J1387" s="27">
        <v>17242.5</v>
      </c>
      <c r="K1387" s="18">
        <f t="shared" si="43"/>
        <v>0</v>
      </c>
      <c r="L1387" s="27">
        <v>11577.94</v>
      </c>
      <c r="M1387" s="36">
        <v>800.4</v>
      </c>
      <c r="T1387" s="41">
        <v>0</v>
      </c>
      <c r="U1387" s="41">
        <v>0</v>
      </c>
      <c r="V1387" s="42" t="s">
        <v>113</v>
      </c>
      <c r="W1387" s="42">
        <v>0</v>
      </c>
      <c r="X1387" s="42">
        <v>0</v>
      </c>
    </row>
    <row r="1388" spans="1:24">
      <c r="A1388" s="27" t="s">
        <v>2689</v>
      </c>
      <c r="B1388" s="28" t="s">
        <v>215</v>
      </c>
      <c r="C1388" s="27" t="s">
        <v>2690</v>
      </c>
      <c r="D1388" s="27" t="s">
        <v>230</v>
      </c>
      <c r="E1388" s="29">
        <v>40113</v>
      </c>
      <c r="F1388" s="27">
        <v>15</v>
      </c>
      <c r="G1388" s="18">
        <v>263800.61</v>
      </c>
      <c r="H1388" s="27">
        <f t="shared" si="42"/>
        <v>0</v>
      </c>
      <c r="I1388" s="18">
        <v>204596.13</v>
      </c>
      <c r="J1388" s="27">
        <v>263800.61</v>
      </c>
      <c r="K1388" s="18">
        <f t="shared" si="43"/>
        <v>0</v>
      </c>
      <c r="L1388" s="27">
        <v>214283.38</v>
      </c>
      <c r="M1388" s="36">
        <v>9687.25</v>
      </c>
      <c r="T1388" s="41">
        <v>0</v>
      </c>
      <c r="U1388" s="41">
        <v>0</v>
      </c>
      <c r="V1388" s="42" t="s">
        <v>113</v>
      </c>
      <c r="W1388" s="42">
        <v>0</v>
      </c>
      <c r="X1388" s="42">
        <v>0</v>
      </c>
    </row>
    <row r="1389" spans="1:24">
      <c r="A1389" s="27" t="s">
        <v>2691</v>
      </c>
      <c r="B1389" s="28" t="s">
        <v>215</v>
      </c>
      <c r="C1389" s="27" t="s">
        <v>2692</v>
      </c>
      <c r="D1389" s="27" t="s">
        <v>230</v>
      </c>
      <c r="E1389" s="29">
        <v>40113</v>
      </c>
      <c r="F1389" s="27">
        <v>15</v>
      </c>
      <c r="G1389" s="18">
        <v>263800.61</v>
      </c>
      <c r="H1389" s="27">
        <f t="shared" si="42"/>
        <v>0</v>
      </c>
      <c r="I1389" s="18">
        <v>204596.13</v>
      </c>
      <c r="J1389" s="27">
        <v>263800.61</v>
      </c>
      <c r="K1389" s="18">
        <f t="shared" si="43"/>
        <v>0</v>
      </c>
      <c r="L1389" s="27">
        <v>214283.38</v>
      </c>
      <c r="M1389" s="36">
        <v>9687.25</v>
      </c>
      <c r="T1389" s="41">
        <v>0</v>
      </c>
      <c r="U1389" s="41">
        <v>0</v>
      </c>
      <c r="V1389" s="42" t="s">
        <v>113</v>
      </c>
      <c r="W1389" s="42">
        <v>0</v>
      </c>
      <c r="X1389" s="42">
        <v>0</v>
      </c>
    </row>
    <row r="1390" spans="1:24">
      <c r="A1390" s="27" t="s">
        <v>2693</v>
      </c>
      <c r="B1390" s="28" t="s">
        <v>215</v>
      </c>
      <c r="C1390" s="27" t="s">
        <v>2694</v>
      </c>
      <c r="D1390" s="27" t="s">
        <v>230</v>
      </c>
      <c r="E1390" s="29">
        <v>40113</v>
      </c>
      <c r="F1390" s="27">
        <v>15</v>
      </c>
      <c r="G1390" s="18">
        <v>263800.61</v>
      </c>
      <c r="H1390" s="27">
        <f t="shared" si="42"/>
        <v>0</v>
      </c>
      <c r="I1390" s="18">
        <v>204596.13</v>
      </c>
      <c r="J1390" s="27">
        <v>263800.61</v>
      </c>
      <c r="K1390" s="18">
        <f t="shared" si="43"/>
        <v>0</v>
      </c>
      <c r="L1390" s="27">
        <v>214283.38</v>
      </c>
      <c r="M1390" s="36">
        <v>9687.25</v>
      </c>
      <c r="T1390" s="41">
        <v>0</v>
      </c>
      <c r="U1390" s="41">
        <v>0</v>
      </c>
      <c r="V1390" s="42" t="s">
        <v>113</v>
      </c>
      <c r="W1390" s="42">
        <v>0</v>
      </c>
      <c r="X1390" s="42">
        <v>0</v>
      </c>
    </row>
    <row r="1391" spans="1:24">
      <c r="A1391" s="27" t="s">
        <v>2695</v>
      </c>
      <c r="B1391" s="28" t="s">
        <v>215</v>
      </c>
      <c r="C1391" s="27" t="s">
        <v>2696</v>
      </c>
      <c r="D1391" s="27" t="s">
        <v>230</v>
      </c>
      <c r="E1391" s="29">
        <v>40084</v>
      </c>
      <c r="F1391" s="27">
        <v>15</v>
      </c>
      <c r="G1391" s="18">
        <v>51187.8</v>
      </c>
      <c r="H1391" s="27">
        <f t="shared" si="42"/>
        <v>0</v>
      </c>
      <c r="I1391" s="18">
        <v>40432.17</v>
      </c>
      <c r="J1391" s="27">
        <v>51187.8</v>
      </c>
      <c r="K1391" s="18">
        <f t="shared" si="43"/>
        <v>0</v>
      </c>
      <c r="L1391" s="27">
        <v>42157.69</v>
      </c>
      <c r="M1391" s="36">
        <v>1725.52</v>
      </c>
      <c r="T1391" s="41">
        <v>0</v>
      </c>
      <c r="U1391" s="41">
        <v>0</v>
      </c>
      <c r="V1391" s="42" t="s">
        <v>113</v>
      </c>
      <c r="W1391" s="42">
        <v>0</v>
      </c>
      <c r="X1391" s="42">
        <v>0</v>
      </c>
    </row>
    <row r="1392" spans="1:24">
      <c r="A1392" s="27" t="s">
        <v>2697</v>
      </c>
      <c r="B1392" s="28" t="s">
        <v>215</v>
      </c>
      <c r="C1392" s="27" t="s">
        <v>2698</v>
      </c>
      <c r="D1392" s="27" t="s">
        <v>230</v>
      </c>
      <c r="E1392" s="29">
        <v>40084</v>
      </c>
      <c r="F1392" s="27">
        <v>15</v>
      </c>
      <c r="G1392" s="18">
        <v>51187.8</v>
      </c>
      <c r="H1392" s="27">
        <f t="shared" si="42"/>
        <v>0</v>
      </c>
      <c r="I1392" s="18">
        <v>40432.17</v>
      </c>
      <c r="J1392" s="27">
        <v>51187.8</v>
      </c>
      <c r="K1392" s="18">
        <f t="shared" si="43"/>
        <v>0</v>
      </c>
      <c r="L1392" s="27">
        <v>42157.69</v>
      </c>
      <c r="M1392" s="36">
        <v>1725.52</v>
      </c>
      <c r="T1392" s="41">
        <v>0</v>
      </c>
      <c r="U1392" s="41">
        <v>0</v>
      </c>
      <c r="V1392" s="42" t="s">
        <v>113</v>
      </c>
      <c r="W1392" s="42">
        <v>0</v>
      </c>
      <c r="X1392" s="42">
        <v>0</v>
      </c>
    </row>
    <row r="1393" spans="1:24">
      <c r="A1393" s="27" t="s">
        <v>2699</v>
      </c>
      <c r="B1393" s="28" t="s">
        <v>215</v>
      </c>
      <c r="C1393" s="27" t="s">
        <v>2700</v>
      </c>
      <c r="D1393" s="27" t="s">
        <v>230</v>
      </c>
      <c r="E1393" s="29">
        <v>40113</v>
      </c>
      <c r="F1393" s="27">
        <v>15</v>
      </c>
      <c r="G1393" s="18">
        <v>13408.66</v>
      </c>
      <c r="H1393" s="27">
        <f t="shared" si="42"/>
        <v>0</v>
      </c>
      <c r="I1393" s="18">
        <v>10676.89</v>
      </c>
      <c r="J1393" s="27">
        <v>13408.66</v>
      </c>
      <c r="K1393" s="18">
        <f t="shared" si="43"/>
        <v>0</v>
      </c>
      <c r="L1393" s="27">
        <v>11110.86</v>
      </c>
      <c r="M1393" s="36">
        <v>433.97</v>
      </c>
      <c r="T1393" s="41">
        <v>0</v>
      </c>
      <c r="U1393" s="41">
        <v>0</v>
      </c>
      <c r="V1393" s="42" t="s">
        <v>113</v>
      </c>
      <c r="W1393" s="42">
        <v>0</v>
      </c>
      <c r="X1393" s="42">
        <v>0</v>
      </c>
    </row>
    <row r="1394" spans="1:24">
      <c r="A1394" s="27" t="s">
        <v>2701</v>
      </c>
      <c r="B1394" s="28" t="s">
        <v>215</v>
      </c>
      <c r="C1394" s="27" t="s">
        <v>2702</v>
      </c>
      <c r="D1394" s="27" t="s">
        <v>230</v>
      </c>
      <c r="E1394" s="29">
        <v>40084</v>
      </c>
      <c r="F1394" s="27">
        <v>15</v>
      </c>
      <c r="G1394" s="18">
        <v>51187.82</v>
      </c>
      <c r="H1394" s="27">
        <f t="shared" si="42"/>
        <v>0</v>
      </c>
      <c r="I1394" s="18">
        <v>40432.19</v>
      </c>
      <c r="J1394" s="27">
        <v>51187.82</v>
      </c>
      <c r="K1394" s="18">
        <f t="shared" si="43"/>
        <v>0</v>
      </c>
      <c r="L1394" s="27">
        <v>42157.71</v>
      </c>
      <c r="M1394" s="36">
        <v>1725.52</v>
      </c>
      <c r="T1394" s="41">
        <v>0</v>
      </c>
      <c r="U1394" s="41">
        <v>0</v>
      </c>
      <c r="V1394" s="42" t="s">
        <v>113</v>
      </c>
      <c r="W1394" s="42">
        <v>0</v>
      </c>
      <c r="X1394" s="42">
        <v>0</v>
      </c>
    </row>
    <row r="1395" spans="1:24">
      <c r="A1395" s="27" t="s">
        <v>2703</v>
      </c>
      <c r="B1395" s="28" t="s">
        <v>215</v>
      </c>
      <c r="C1395" s="27" t="s">
        <v>2704</v>
      </c>
      <c r="D1395" s="27" t="s">
        <v>230</v>
      </c>
      <c r="E1395" s="29">
        <v>40543</v>
      </c>
      <c r="F1395" s="27">
        <v>12</v>
      </c>
      <c r="G1395" s="18">
        <v>900</v>
      </c>
      <c r="H1395" s="27">
        <f t="shared" si="42"/>
        <v>900</v>
      </c>
      <c r="I1395" s="18">
        <v>900</v>
      </c>
      <c r="J1395" s="27">
        <v>900</v>
      </c>
      <c r="K1395" s="18">
        <f t="shared" si="43"/>
        <v>900</v>
      </c>
      <c r="L1395" s="27">
        <v>900</v>
      </c>
      <c r="M1395" s="36">
        <v>0</v>
      </c>
      <c r="T1395" s="41">
        <v>0</v>
      </c>
      <c r="U1395" s="41">
        <v>0</v>
      </c>
      <c r="V1395" s="42" t="s">
        <v>113</v>
      </c>
      <c r="W1395" s="42">
        <v>900</v>
      </c>
      <c r="X1395" s="42">
        <v>900</v>
      </c>
    </row>
    <row r="1396" spans="1:24">
      <c r="A1396" s="27" t="s">
        <v>2705</v>
      </c>
      <c r="B1396" s="28" t="s">
        <v>215</v>
      </c>
      <c r="C1396" s="27" t="s">
        <v>2706</v>
      </c>
      <c r="D1396" s="27" t="s">
        <v>230</v>
      </c>
      <c r="E1396" s="29">
        <v>40543</v>
      </c>
      <c r="F1396" s="27">
        <v>12</v>
      </c>
      <c r="G1396" s="18">
        <v>900</v>
      </c>
      <c r="H1396" s="27">
        <f t="shared" si="42"/>
        <v>900</v>
      </c>
      <c r="I1396" s="18">
        <v>900</v>
      </c>
      <c r="J1396" s="27">
        <v>900</v>
      </c>
      <c r="K1396" s="18">
        <f t="shared" si="43"/>
        <v>900</v>
      </c>
      <c r="L1396" s="27">
        <v>900</v>
      </c>
      <c r="M1396" s="36">
        <v>0</v>
      </c>
      <c r="T1396" s="41">
        <v>0</v>
      </c>
      <c r="U1396" s="41">
        <v>0</v>
      </c>
      <c r="V1396" s="42" t="s">
        <v>113</v>
      </c>
      <c r="W1396" s="42">
        <v>900</v>
      </c>
      <c r="X1396" s="42">
        <v>900</v>
      </c>
    </row>
    <row r="1397" spans="1:24">
      <c r="A1397" s="27" t="s">
        <v>2707</v>
      </c>
      <c r="B1397" s="28" t="s">
        <v>215</v>
      </c>
      <c r="C1397" s="27" t="s">
        <v>2708</v>
      </c>
      <c r="D1397" s="27" t="s">
        <v>230</v>
      </c>
      <c r="E1397" s="29">
        <v>40164</v>
      </c>
      <c r="F1397" s="27">
        <v>12</v>
      </c>
      <c r="G1397" s="18">
        <v>1721</v>
      </c>
      <c r="H1397" s="27">
        <f t="shared" si="42"/>
        <v>1721</v>
      </c>
      <c r="I1397" s="18">
        <v>1721</v>
      </c>
      <c r="J1397" s="27">
        <v>1721</v>
      </c>
      <c r="K1397" s="18">
        <f t="shared" si="43"/>
        <v>1721</v>
      </c>
      <c r="L1397" s="27">
        <v>1721</v>
      </c>
      <c r="M1397" s="36">
        <v>0</v>
      </c>
      <c r="T1397" s="41">
        <v>0</v>
      </c>
      <c r="U1397" s="41">
        <v>0</v>
      </c>
      <c r="V1397" s="42" t="s">
        <v>113</v>
      </c>
      <c r="W1397" s="42">
        <v>1721</v>
      </c>
      <c r="X1397" s="42">
        <v>1721</v>
      </c>
    </row>
    <row r="1398" spans="1:24">
      <c r="A1398" s="27" t="s">
        <v>2709</v>
      </c>
      <c r="B1398" s="28" t="s">
        <v>215</v>
      </c>
      <c r="C1398" s="27" t="s">
        <v>2710</v>
      </c>
      <c r="D1398" s="27" t="s">
        <v>230</v>
      </c>
      <c r="E1398" s="29">
        <v>40164</v>
      </c>
      <c r="F1398" s="27">
        <v>12</v>
      </c>
      <c r="G1398" s="18">
        <v>1721</v>
      </c>
      <c r="H1398" s="27">
        <f t="shared" si="42"/>
        <v>1721</v>
      </c>
      <c r="I1398" s="18">
        <v>1721</v>
      </c>
      <c r="J1398" s="27">
        <v>1721</v>
      </c>
      <c r="K1398" s="18">
        <f t="shared" si="43"/>
        <v>1721</v>
      </c>
      <c r="L1398" s="27">
        <v>1721</v>
      </c>
      <c r="M1398" s="36">
        <v>0</v>
      </c>
      <c r="T1398" s="41">
        <v>0</v>
      </c>
      <c r="U1398" s="41">
        <v>0</v>
      </c>
      <c r="V1398" s="42" t="s">
        <v>113</v>
      </c>
      <c r="W1398" s="42">
        <v>1721</v>
      </c>
      <c r="X1398" s="42">
        <v>1721</v>
      </c>
    </row>
    <row r="1399" spans="1:24">
      <c r="A1399" s="27" t="s">
        <v>2711</v>
      </c>
      <c r="B1399" s="28" t="s">
        <v>215</v>
      </c>
      <c r="C1399" s="27" t="s">
        <v>2712</v>
      </c>
      <c r="D1399" s="27" t="s">
        <v>118</v>
      </c>
      <c r="E1399" s="29">
        <v>40169</v>
      </c>
      <c r="F1399" s="27">
        <v>15</v>
      </c>
      <c r="G1399" s="18">
        <v>21610.85</v>
      </c>
      <c r="H1399" s="27">
        <f t="shared" si="42"/>
        <v>21610.85</v>
      </c>
      <c r="I1399" s="18">
        <v>20530.310000000001</v>
      </c>
      <c r="J1399" s="27">
        <v>21610.85</v>
      </c>
      <c r="K1399" s="18">
        <f t="shared" si="43"/>
        <v>21610.85</v>
      </c>
      <c r="L1399" s="27">
        <v>20530.310000000001</v>
      </c>
      <c r="M1399" s="36">
        <v>0</v>
      </c>
      <c r="T1399" s="41">
        <v>0</v>
      </c>
      <c r="U1399" s="41">
        <v>0</v>
      </c>
      <c r="V1399" s="42" t="s">
        <v>113</v>
      </c>
      <c r="W1399" s="42">
        <v>21610.85</v>
      </c>
      <c r="X1399" s="42">
        <v>21610.85</v>
      </c>
    </row>
    <row r="1400" spans="1:24">
      <c r="A1400" s="27" t="s">
        <v>2713</v>
      </c>
      <c r="B1400" s="28" t="s">
        <v>215</v>
      </c>
      <c r="C1400" s="27" t="s">
        <v>2714</v>
      </c>
      <c r="D1400" s="27" t="s">
        <v>220</v>
      </c>
      <c r="E1400" s="29">
        <v>41270</v>
      </c>
      <c r="F1400" s="27">
        <v>15</v>
      </c>
      <c r="G1400" s="18">
        <v>863357.83</v>
      </c>
      <c r="H1400" s="27">
        <f t="shared" si="42"/>
        <v>0</v>
      </c>
      <c r="I1400" s="18">
        <v>583926.72</v>
      </c>
      <c r="J1400" s="27">
        <v>858744.58</v>
      </c>
      <c r="K1400" s="18">
        <f t="shared" si="43"/>
        <v>0</v>
      </c>
      <c r="L1400" s="27">
        <v>610045.38</v>
      </c>
      <c r="M1400" s="36">
        <v>26118.66</v>
      </c>
      <c r="N1400" s="18" t="s">
        <v>123</v>
      </c>
      <c r="O1400" s="19">
        <v>-4613.25</v>
      </c>
      <c r="T1400" s="41">
        <v>0</v>
      </c>
      <c r="U1400" s="41">
        <v>0</v>
      </c>
      <c r="V1400" s="42" t="s">
        <v>113</v>
      </c>
      <c r="W1400" s="42">
        <v>0</v>
      </c>
      <c r="X1400" s="42">
        <v>0</v>
      </c>
    </row>
    <row r="1401" spans="1:24">
      <c r="A1401" s="27" t="s">
        <v>2715</v>
      </c>
      <c r="B1401" s="28" t="s">
        <v>215</v>
      </c>
      <c r="C1401" s="27" t="s">
        <v>2716</v>
      </c>
      <c r="D1401" s="27" t="s">
        <v>220</v>
      </c>
      <c r="E1401" s="29">
        <v>41270</v>
      </c>
      <c r="F1401" s="27">
        <v>15</v>
      </c>
      <c r="G1401" s="18">
        <v>162062.12</v>
      </c>
      <c r="H1401" s="27">
        <f t="shared" si="42"/>
        <v>0</v>
      </c>
      <c r="I1401" s="18">
        <v>70875.759999999995</v>
      </c>
      <c r="J1401" s="27">
        <v>162062.12</v>
      </c>
      <c r="K1401" s="18">
        <f t="shared" si="43"/>
        <v>0</v>
      </c>
      <c r="L1401" s="27">
        <v>80107.23</v>
      </c>
      <c r="M1401" s="36">
        <v>9231.4699999999993</v>
      </c>
      <c r="T1401" s="41">
        <v>0</v>
      </c>
      <c r="U1401" s="41">
        <v>0</v>
      </c>
      <c r="V1401" s="42" t="s">
        <v>113</v>
      </c>
      <c r="W1401" s="42">
        <v>0</v>
      </c>
      <c r="X1401" s="42">
        <v>0</v>
      </c>
    </row>
    <row r="1402" spans="1:24">
      <c r="A1402" s="27" t="s">
        <v>2717</v>
      </c>
      <c r="B1402" s="28" t="s">
        <v>215</v>
      </c>
      <c r="C1402" s="27" t="s">
        <v>2718</v>
      </c>
      <c r="D1402" s="27" t="s">
        <v>220</v>
      </c>
      <c r="E1402" s="29">
        <v>41270</v>
      </c>
      <c r="F1402" s="27">
        <v>15</v>
      </c>
      <c r="G1402" s="18">
        <v>182822.51</v>
      </c>
      <c r="H1402" s="27">
        <f t="shared" si="42"/>
        <v>0</v>
      </c>
      <c r="I1402" s="18">
        <v>80804.429999999993</v>
      </c>
      <c r="J1402" s="27">
        <v>182822.51</v>
      </c>
      <c r="K1402" s="18">
        <f t="shared" si="43"/>
        <v>0</v>
      </c>
      <c r="L1402" s="27">
        <v>91124.09</v>
      </c>
      <c r="M1402" s="36">
        <v>10319.66</v>
      </c>
      <c r="T1402" s="41">
        <v>0</v>
      </c>
      <c r="U1402" s="41">
        <v>0</v>
      </c>
      <c r="V1402" s="42" t="s">
        <v>113</v>
      </c>
      <c r="W1402" s="42">
        <v>0</v>
      </c>
      <c r="X1402" s="42">
        <v>0</v>
      </c>
    </row>
    <row r="1403" spans="1:24">
      <c r="A1403" s="27" t="s">
        <v>2719</v>
      </c>
      <c r="B1403" s="28" t="s">
        <v>215</v>
      </c>
      <c r="C1403" s="27" t="s">
        <v>2720</v>
      </c>
      <c r="D1403" s="27" t="s">
        <v>220</v>
      </c>
      <c r="E1403" s="29">
        <v>41270</v>
      </c>
      <c r="F1403" s="27">
        <v>15</v>
      </c>
      <c r="G1403" s="18">
        <v>207326.59</v>
      </c>
      <c r="H1403" s="27">
        <f t="shared" si="42"/>
        <v>0</v>
      </c>
      <c r="I1403" s="18">
        <v>92523.53</v>
      </c>
      <c r="J1403" s="27">
        <v>207326.59</v>
      </c>
      <c r="K1403" s="18">
        <f t="shared" si="43"/>
        <v>0</v>
      </c>
      <c r="L1403" s="27">
        <v>104127.61</v>
      </c>
      <c r="M1403" s="36">
        <v>11604.08</v>
      </c>
      <c r="T1403" s="41">
        <v>0</v>
      </c>
      <c r="U1403" s="41">
        <v>0</v>
      </c>
      <c r="V1403" s="42" t="s">
        <v>113</v>
      </c>
      <c r="W1403" s="42">
        <v>0</v>
      </c>
      <c r="X1403" s="42">
        <v>0</v>
      </c>
    </row>
    <row r="1404" spans="1:24">
      <c r="A1404" s="27" t="s">
        <v>2721</v>
      </c>
      <c r="B1404" s="28" t="s">
        <v>215</v>
      </c>
      <c r="C1404" s="27" t="s">
        <v>2722</v>
      </c>
      <c r="D1404" s="27" t="s">
        <v>220</v>
      </c>
      <c r="E1404" s="29">
        <v>41270</v>
      </c>
      <c r="F1404" s="27">
        <v>15</v>
      </c>
      <c r="G1404" s="18">
        <v>47988.03</v>
      </c>
      <c r="H1404" s="27">
        <f t="shared" si="42"/>
        <v>0</v>
      </c>
      <c r="I1404" s="18">
        <v>22950.31</v>
      </c>
      <c r="J1404" s="27">
        <v>47988.03</v>
      </c>
      <c r="K1404" s="18">
        <f t="shared" si="43"/>
        <v>0</v>
      </c>
      <c r="L1404" s="27">
        <v>25465.68</v>
      </c>
      <c r="M1404" s="36">
        <v>2515.37</v>
      </c>
      <c r="T1404" s="41">
        <v>0</v>
      </c>
      <c r="U1404" s="41">
        <v>0</v>
      </c>
      <c r="V1404" s="42" t="s">
        <v>113</v>
      </c>
      <c r="W1404" s="42">
        <v>0</v>
      </c>
      <c r="X1404" s="42">
        <v>0</v>
      </c>
    </row>
    <row r="1405" spans="1:24">
      <c r="A1405" s="27" t="s">
        <v>2723</v>
      </c>
      <c r="B1405" s="28" t="s">
        <v>215</v>
      </c>
      <c r="C1405" s="27" t="s">
        <v>2724</v>
      </c>
      <c r="D1405" s="27" t="s">
        <v>220</v>
      </c>
      <c r="E1405" s="29">
        <v>41270</v>
      </c>
      <c r="F1405" s="27">
        <v>15</v>
      </c>
      <c r="G1405" s="18">
        <v>47988.03</v>
      </c>
      <c r="H1405" s="27">
        <f t="shared" si="42"/>
        <v>0</v>
      </c>
      <c r="I1405" s="18">
        <v>22950.31</v>
      </c>
      <c r="J1405" s="27">
        <v>47988.03</v>
      </c>
      <c r="K1405" s="18">
        <f t="shared" si="43"/>
        <v>0</v>
      </c>
      <c r="L1405" s="27">
        <v>25465.68</v>
      </c>
      <c r="M1405" s="36">
        <v>2515.37</v>
      </c>
      <c r="T1405" s="41">
        <v>0</v>
      </c>
      <c r="U1405" s="41">
        <v>0</v>
      </c>
      <c r="V1405" s="42" t="s">
        <v>113</v>
      </c>
      <c r="W1405" s="42">
        <v>0</v>
      </c>
      <c r="X1405" s="42">
        <v>0</v>
      </c>
    </row>
    <row r="1406" spans="1:24">
      <c r="A1406" s="27" t="s">
        <v>2725</v>
      </c>
      <c r="B1406" s="28" t="s">
        <v>215</v>
      </c>
      <c r="C1406" s="27" t="s">
        <v>2726</v>
      </c>
      <c r="D1406" s="27" t="s">
        <v>220</v>
      </c>
      <c r="E1406" s="29">
        <v>41270</v>
      </c>
      <c r="F1406" s="27">
        <v>15</v>
      </c>
      <c r="G1406" s="18">
        <v>47988.03</v>
      </c>
      <c r="H1406" s="27">
        <f t="shared" si="42"/>
        <v>0</v>
      </c>
      <c r="I1406" s="18">
        <v>22950.31</v>
      </c>
      <c r="J1406" s="27">
        <v>47988.03</v>
      </c>
      <c r="K1406" s="18">
        <f t="shared" si="43"/>
        <v>0</v>
      </c>
      <c r="L1406" s="27">
        <v>25465.68</v>
      </c>
      <c r="M1406" s="36">
        <v>2515.37</v>
      </c>
      <c r="T1406" s="41">
        <v>0</v>
      </c>
      <c r="U1406" s="41">
        <v>0</v>
      </c>
      <c r="V1406" s="42" t="s">
        <v>113</v>
      </c>
      <c r="W1406" s="42">
        <v>0</v>
      </c>
      <c r="X1406" s="42">
        <v>0</v>
      </c>
    </row>
    <row r="1407" spans="1:24">
      <c r="A1407" s="27" t="s">
        <v>2727</v>
      </c>
      <c r="B1407" s="28" t="s">
        <v>215</v>
      </c>
      <c r="C1407" s="27" t="s">
        <v>2728</v>
      </c>
      <c r="D1407" s="27" t="s">
        <v>220</v>
      </c>
      <c r="E1407" s="29">
        <v>41270</v>
      </c>
      <c r="F1407" s="27">
        <v>15</v>
      </c>
      <c r="G1407" s="18">
        <v>34841.74</v>
      </c>
      <c r="H1407" s="27">
        <f t="shared" si="42"/>
        <v>0</v>
      </c>
      <c r="I1407" s="18">
        <v>16663.09</v>
      </c>
      <c r="J1407" s="27">
        <v>34841.74</v>
      </c>
      <c r="K1407" s="18">
        <f t="shared" si="43"/>
        <v>0</v>
      </c>
      <c r="L1407" s="27">
        <v>18489.37</v>
      </c>
      <c r="M1407" s="36">
        <v>1826.28</v>
      </c>
      <c r="T1407" s="41">
        <v>0</v>
      </c>
      <c r="U1407" s="41">
        <v>0</v>
      </c>
      <c r="V1407" s="42" t="s">
        <v>113</v>
      </c>
      <c r="W1407" s="42">
        <v>0</v>
      </c>
      <c r="X1407" s="42">
        <v>0</v>
      </c>
    </row>
    <row r="1408" spans="1:24">
      <c r="A1408" s="27" t="s">
        <v>2729</v>
      </c>
      <c r="B1408" s="28" t="s">
        <v>215</v>
      </c>
      <c r="C1408" s="27" t="s">
        <v>2730</v>
      </c>
      <c r="D1408" s="27" t="s">
        <v>118</v>
      </c>
      <c r="E1408" s="29">
        <v>39417</v>
      </c>
      <c r="F1408" s="27">
        <v>15</v>
      </c>
      <c r="G1408" s="18">
        <v>17242.5</v>
      </c>
      <c r="H1408" s="27">
        <f t="shared" si="42"/>
        <v>0</v>
      </c>
      <c r="I1408" s="18">
        <v>13929</v>
      </c>
      <c r="J1408" s="27">
        <v>17242.5</v>
      </c>
      <c r="K1408" s="18">
        <f t="shared" si="43"/>
        <v>0</v>
      </c>
      <c r="L1408" s="27">
        <v>14541.84</v>
      </c>
      <c r="M1408" s="36">
        <v>612.84</v>
      </c>
      <c r="T1408" s="41">
        <v>0</v>
      </c>
      <c r="U1408" s="41">
        <v>0</v>
      </c>
      <c r="V1408" s="42" t="s">
        <v>113</v>
      </c>
      <c r="W1408" s="42">
        <v>0</v>
      </c>
      <c r="X1408" s="42">
        <v>0</v>
      </c>
    </row>
    <row r="1409" spans="1:24">
      <c r="A1409" s="27" t="s">
        <v>2731</v>
      </c>
      <c r="B1409" s="28" t="s">
        <v>215</v>
      </c>
      <c r="C1409" s="27" t="s">
        <v>2732</v>
      </c>
      <c r="D1409" s="27" t="s">
        <v>118</v>
      </c>
      <c r="E1409" s="29">
        <v>39417</v>
      </c>
      <c r="F1409" s="27">
        <v>15</v>
      </c>
      <c r="G1409" s="18">
        <v>17242.5</v>
      </c>
      <c r="H1409" s="27">
        <f t="shared" si="42"/>
        <v>0</v>
      </c>
      <c r="I1409" s="18">
        <v>13929</v>
      </c>
      <c r="J1409" s="27">
        <v>17242.5</v>
      </c>
      <c r="K1409" s="18">
        <f t="shared" si="43"/>
        <v>0</v>
      </c>
      <c r="L1409" s="27">
        <v>14541.84</v>
      </c>
      <c r="M1409" s="36">
        <v>612.84</v>
      </c>
      <c r="T1409" s="41">
        <v>0</v>
      </c>
      <c r="U1409" s="41">
        <v>0</v>
      </c>
      <c r="V1409" s="42" t="s">
        <v>113</v>
      </c>
      <c r="W1409" s="42">
        <v>0</v>
      </c>
      <c r="X1409" s="42">
        <v>0</v>
      </c>
    </row>
    <row r="1410" spans="1:24">
      <c r="A1410" s="27" t="s">
        <v>2733</v>
      </c>
      <c r="B1410" s="28" t="s">
        <v>215</v>
      </c>
      <c r="C1410" s="27" t="s">
        <v>1834</v>
      </c>
      <c r="D1410" s="27" t="s">
        <v>230</v>
      </c>
      <c r="E1410" s="29">
        <v>40268</v>
      </c>
      <c r="F1410" s="27">
        <v>15</v>
      </c>
      <c r="G1410" s="18">
        <v>57242.5</v>
      </c>
      <c r="H1410" s="27">
        <f t="shared" si="42"/>
        <v>0</v>
      </c>
      <c r="I1410" s="18">
        <v>41689.17</v>
      </c>
      <c r="J1410" s="27">
        <v>57242.5</v>
      </c>
      <c r="K1410" s="18">
        <f t="shared" si="43"/>
        <v>0</v>
      </c>
      <c r="L1410" s="27">
        <v>43719.76</v>
      </c>
      <c r="M1410" s="36">
        <v>2030.59</v>
      </c>
      <c r="T1410" s="41">
        <v>0</v>
      </c>
      <c r="U1410" s="41">
        <v>0</v>
      </c>
      <c r="V1410" s="42" t="s">
        <v>113</v>
      </c>
      <c r="W1410" s="42">
        <v>0</v>
      </c>
      <c r="X1410" s="42">
        <v>0</v>
      </c>
    </row>
    <row r="1411" spans="1:24">
      <c r="A1411" s="27" t="s">
        <v>2734</v>
      </c>
      <c r="B1411" s="28" t="s">
        <v>215</v>
      </c>
      <c r="C1411" s="27" t="s">
        <v>1832</v>
      </c>
      <c r="D1411" s="27" t="s">
        <v>230</v>
      </c>
      <c r="E1411" s="29">
        <v>40268</v>
      </c>
      <c r="F1411" s="27">
        <v>15</v>
      </c>
      <c r="G1411" s="18">
        <v>57242.5</v>
      </c>
      <c r="H1411" s="27">
        <f t="shared" si="42"/>
        <v>0</v>
      </c>
      <c r="I1411" s="18">
        <v>41689.17</v>
      </c>
      <c r="J1411" s="27">
        <v>57242.5</v>
      </c>
      <c r="K1411" s="18">
        <f t="shared" si="43"/>
        <v>0</v>
      </c>
      <c r="L1411" s="27">
        <v>43719.76</v>
      </c>
      <c r="M1411" s="36">
        <v>2030.59</v>
      </c>
      <c r="T1411" s="41">
        <v>0</v>
      </c>
      <c r="U1411" s="41">
        <v>0</v>
      </c>
      <c r="V1411" s="42" t="s">
        <v>113</v>
      </c>
      <c r="W1411" s="42">
        <v>0</v>
      </c>
      <c r="X1411" s="42">
        <v>0</v>
      </c>
    </row>
    <row r="1412" spans="1:24">
      <c r="A1412" s="27" t="s">
        <v>2735</v>
      </c>
      <c r="B1412" s="28" t="s">
        <v>215</v>
      </c>
      <c r="C1412" s="27" t="s">
        <v>2736</v>
      </c>
      <c r="D1412" s="27" t="s">
        <v>118</v>
      </c>
      <c r="E1412" s="29">
        <v>39417</v>
      </c>
      <c r="F1412" s="27">
        <v>15</v>
      </c>
      <c r="G1412" s="18">
        <v>208884.54</v>
      </c>
      <c r="H1412" s="27">
        <f t="shared" si="42"/>
        <v>0</v>
      </c>
      <c r="I1412" s="18">
        <v>168743.1</v>
      </c>
      <c r="J1412" s="27">
        <v>208884.54</v>
      </c>
      <c r="K1412" s="18">
        <f t="shared" si="43"/>
        <v>0</v>
      </c>
      <c r="L1412" s="27">
        <v>176167.4</v>
      </c>
      <c r="M1412" s="36">
        <v>7424.3</v>
      </c>
      <c r="T1412" s="41">
        <v>0</v>
      </c>
      <c r="U1412" s="41">
        <v>0</v>
      </c>
      <c r="V1412" s="42" t="s">
        <v>113</v>
      </c>
      <c r="W1412" s="42">
        <v>0</v>
      </c>
      <c r="X1412" s="42">
        <v>0</v>
      </c>
    </row>
    <row r="1413" spans="1:24">
      <c r="A1413" s="27" t="s">
        <v>2737</v>
      </c>
      <c r="B1413" s="28" t="s">
        <v>215</v>
      </c>
      <c r="C1413" s="27" t="s">
        <v>2646</v>
      </c>
      <c r="D1413" s="27" t="s">
        <v>118</v>
      </c>
      <c r="E1413" s="29">
        <v>39417</v>
      </c>
      <c r="F1413" s="27">
        <v>15</v>
      </c>
      <c r="G1413" s="18">
        <v>208884.54</v>
      </c>
      <c r="H1413" s="27">
        <f t="shared" si="42"/>
        <v>0</v>
      </c>
      <c r="I1413" s="18">
        <v>168743.1</v>
      </c>
      <c r="J1413" s="27">
        <v>208884.54</v>
      </c>
      <c r="K1413" s="18">
        <f t="shared" si="43"/>
        <v>0</v>
      </c>
      <c r="L1413" s="27">
        <v>176167.4</v>
      </c>
      <c r="M1413" s="36">
        <v>7424.3</v>
      </c>
      <c r="T1413" s="41">
        <v>0</v>
      </c>
      <c r="U1413" s="41">
        <v>0</v>
      </c>
      <c r="V1413" s="42" t="s">
        <v>113</v>
      </c>
      <c r="W1413" s="42">
        <v>0</v>
      </c>
      <c r="X1413" s="42">
        <v>0</v>
      </c>
    </row>
    <row r="1414" spans="1:24">
      <c r="A1414" s="27" t="s">
        <v>2738</v>
      </c>
      <c r="B1414" s="28" t="s">
        <v>215</v>
      </c>
      <c r="C1414" s="27" t="s">
        <v>2739</v>
      </c>
      <c r="D1414" s="27" t="s">
        <v>118</v>
      </c>
      <c r="E1414" s="29">
        <v>39417</v>
      </c>
      <c r="F1414" s="27">
        <v>15</v>
      </c>
      <c r="G1414" s="18">
        <v>208884.54</v>
      </c>
      <c r="H1414" s="27">
        <f t="shared" ref="H1414:H1477" si="44">IFERROR(IF(ROUND((G1414-I1414)/G1414,2)&lt;=0.05,G1414,0),0)</f>
        <v>0</v>
      </c>
      <c r="I1414" s="18">
        <v>168743.1</v>
      </c>
      <c r="J1414" s="27">
        <v>208884.54</v>
      </c>
      <c r="K1414" s="18">
        <f t="shared" ref="K1414:K1477" si="45">IFERROR(IF(ROUND((J1414-L1414)/J1414,2)&lt;=0.05,J1414,0),0)</f>
        <v>0</v>
      </c>
      <c r="L1414" s="27">
        <v>176167.4</v>
      </c>
      <c r="M1414" s="36">
        <v>7424.3</v>
      </c>
      <c r="T1414" s="41">
        <v>0</v>
      </c>
      <c r="U1414" s="41">
        <v>0</v>
      </c>
      <c r="V1414" s="42" t="s">
        <v>113</v>
      </c>
      <c r="W1414" s="42">
        <v>0</v>
      </c>
      <c r="X1414" s="42">
        <v>0</v>
      </c>
    </row>
    <row r="1415" spans="1:24">
      <c r="A1415" s="27" t="s">
        <v>2740</v>
      </c>
      <c r="B1415" s="28" t="s">
        <v>215</v>
      </c>
      <c r="C1415" s="27" t="s">
        <v>2741</v>
      </c>
      <c r="D1415" s="27" t="s">
        <v>118</v>
      </c>
      <c r="E1415" s="29">
        <v>40169</v>
      </c>
      <c r="F1415" s="27">
        <v>15</v>
      </c>
      <c r="G1415" s="18">
        <v>6600</v>
      </c>
      <c r="H1415" s="27">
        <f t="shared" si="44"/>
        <v>6600</v>
      </c>
      <c r="I1415" s="18">
        <v>6270</v>
      </c>
      <c r="J1415" s="27">
        <v>6600</v>
      </c>
      <c r="K1415" s="18">
        <f t="shared" si="45"/>
        <v>6600</v>
      </c>
      <c r="L1415" s="27">
        <v>6270</v>
      </c>
      <c r="M1415" s="36">
        <v>0</v>
      </c>
      <c r="T1415" s="41">
        <v>0</v>
      </c>
      <c r="U1415" s="41">
        <v>0</v>
      </c>
      <c r="V1415" s="42" t="s">
        <v>113</v>
      </c>
      <c r="W1415" s="42">
        <v>6600</v>
      </c>
      <c r="X1415" s="42">
        <v>6600</v>
      </c>
    </row>
    <row r="1416" spans="1:24">
      <c r="A1416" s="27" t="s">
        <v>2742</v>
      </c>
      <c r="B1416" s="28" t="s">
        <v>215</v>
      </c>
      <c r="C1416" s="27" t="s">
        <v>2743</v>
      </c>
      <c r="D1416" s="27" t="s">
        <v>118</v>
      </c>
      <c r="E1416" s="29">
        <v>40169</v>
      </c>
      <c r="F1416" s="27">
        <v>15</v>
      </c>
      <c r="G1416" s="18">
        <v>331261.09000000003</v>
      </c>
      <c r="H1416" s="27">
        <f t="shared" si="44"/>
        <v>331261.09000000003</v>
      </c>
      <c r="I1416" s="18">
        <v>314698.03999999998</v>
      </c>
      <c r="J1416" s="27">
        <v>331261.09000000003</v>
      </c>
      <c r="K1416" s="18">
        <f t="shared" si="45"/>
        <v>331261.09000000003</v>
      </c>
      <c r="L1416" s="27">
        <v>314698.03999999998</v>
      </c>
      <c r="M1416" s="36">
        <v>0</v>
      </c>
      <c r="T1416" s="41">
        <v>0</v>
      </c>
      <c r="U1416" s="41">
        <v>0</v>
      </c>
      <c r="V1416" s="42" t="s">
        <v>113</v>
      </c>
      <c r="W1416" s="42">
        <v>331261.09000000003</v>
      </c>
      <c r="X1416" s="42">
        <v>331261.09000000003</v>
      </c>
    </row>
    <row r="1417" spans="1:24">
      <c r="A1417" s="27" t="s">
        <v>2744</v>
      </c>
      <c r="B1417" s="28" t="s">
        <v>215</v>
      </c>
      <c r="C1417" s="27" t="s">
        <v>2745</v>
      </c>
      <c r="D1417" s="27" t="s">
        <v>118</v>
      </c>
      <c r="E1417" s="29">
        <v>40169</v>
      </c>
      <c r="F1417" s="27">
        <v>15</v>
      </c>
      <c r="G1417" s="18">
        <v>47680.92</v>
      </c>
      <c r="H1417" s="27">
        <f t="shared" si="44"/>
        <v>47680.92</v>
      </c>
      <c r="I1417" s="18">
        <v>45296.87</v>
      </c>
      <c r="J1417" s="27">
        <v>47680.92</v>
      </c>
      <c r="K1417" s="18">
        <f t="shared" si="45"/>
        <v>47680.92</v>
      </c>
      <c r="L1417" s="27">
        <v>45296.87</v>
      </c>
      <c r="M1417" s="36">
        <v>0</v>
      </c>
      <c r="T1417" s="41">
        <v>0</v>
      </c>
      <c r="U1417" s="41">
        <v>0</v>
      </c>
      <c r="V1417" s="42" t="s">
        <v>113</v>
      </c>
      <c r="W1417" s="42">
        <v>47680.92</v>
      </c>
      <c r="X1417" s="42">
        <v>47680.92</v>
      </c>
    </row>
    <row r="1418" spans="1:24">
      <c r="A1418" s="27" t="s">
        <v>2746</v>
      </c>
      <c r="B1418" s="28" t="s">
        <v>215</v>
      </c>
      <c r="C1418" s="27" t="s">
        <v>2747</v>
      </c>
      <c r="D1418" s="27" t="s">
        <v>118</v>
      </c>
      <c r="E1418" s="29">
        <v>39417</v>
      </c>
      <c r="F1418" s="27">
        <v>15</v>
      </c>
      <c r="G1418" s="18">
        <v>208884.54</v>
      </c>
      <c r="H1418" s="27">
        <f t="shared" si="44"/>
        <v>0</v>
      </c>
      <c r="I1418" s="18">
        <v>168743.1</v>
      </c>
      <c r="J1418" s="27">
        <v>208884.54</v>
      </c>
      <c r="K1418" s="18">
        <f t="shared" si="45"/>
        <v>0</v>
      </c>
      <c r="L1418" s="27">
        <v>176167.4</v>
      </c>
      <c r="M1418" s="36">
        <v>7424.3</v>
      </c>
      <c r="T1418" s="41">
        <v>0</v>
      </c>
      <c r="U1418" s="41">
        <v>0</v>
      </c>
      <c r="V1418" s="42" t="s">
        <v>113</v>
      </c>
      <c r="W1418" s="42">
        <v>0</v>
      </c>
      <c r="X1418" s="42">
        <v>0</v>
      </c>
    </row>
    <row r="1419" spans="1:24">
      <c r="A1419" s="27" t="s">
        <v>2748</v>
      </c>
      <c r="B1419" s="28" t="s">
        <v>215</v>
      </c>
      <c r="C1419" s="27" t="s">
        <v>570</v>
      </c>
      <c r="D1419" s="27" t="s">
        <v>118</v>
      </c>
      <c r="E1419" s="29">
        <v>37652</v>
      </c>
      <c r="F1419" s="27">
        <v>15</v>
      </c>
      <c r="G1419" s="18">
        <v>54568.41</v>
      </c>
      <c r="H1419" s="27">
        <f t="shared" si="44"/>
        <v>54568.41</v>
      </c>
      <c r="I1419" s="18">
        <v>51839.99</v>
      </c>
      <c r="J1419" s="27">
        <v>54568.41</v>
      </c>
      <c r="K1419" s="18">
        <f t="shared" si="45"/>
        <v>54568.41</v>
      </c>
      <c r="L1419" s="27">
        <v>51839.99</v>
      </c>
      <c r="M1419" s="36">
        <v>0</v>
      </c>
      <c r="T1419" s="41">
        <v>0</v>
      </c>
      <c r="U1419" s="41">
        <v>0</v>
      </c>
      <c r="V1419" s="42" t="s">
        <v>113</v>
      </c>
      <c r="W1419" s="42">
        <v>54568.41</v>
      </c>
      <c r="X1419" s="42">
        <v>54568.41</v>
      </c>
    </row>
    <row r="1420" spans="1:24">
      <c r="A1420" s="27" t="s">
        <v>2749</v>
      </c>
      <c r="B1420" s="28" t="s">
        <v>215</v>
      </c>
      <c r="C1420" s="27" t="s">
        <v>2750</v>
      </c>
      <c r="D1420" s="27" t="s">
        <v>118</v>
      </c>
      <c r="E1420" s="29">
        <v>37652</v>
      </c>
      <c r="F1420" s="27">
        <v>15</v>
      </c>
      <c r="G1420" s="18">
        <v>54568.41</v>
      </c>
      <c r="H1420" s="27">
        <f t="shared" si="44"/>
        <v>54568.41</v>
      </c>
      <c r="I1420" s="18">
        <v>51839.99</v>
      </c>
      <c r="J1420" s="27">
        <v>54568.41</v>
      </c>
      <c r="K1420" s="18">
        <f t="shared" si="45"/>
        <v>54568.41</v>
      </c>
      <c r="L1420" s="27">
        <v>51839.99</v>
      </c>
      <c r="M1420" s="36">
        <v>0</v>
      </c>
      <c r="T1420" s="41">
        <v>0</v>
      </c>
      <c r="U1420" s="41">
        <v>0</v>
      </c>
      <c r="V1420" s="42" t="s">
        <v>113</v>
      </c>
      <c r="W1420" s="42">
        <v>54568.41</v>
      </c>
      <c r="X1420" s="42">
        <v>54568.41</v>
      </c>
    </row>
    <row r="1421" spans="1:24">
      <c r="A1421" s="27" t="s">
        <v>2751</v>
      </c>
      <c r="B1421" s="28" t="s">
        <v>215</v>
      </c>
      <c r="C1421" s="27" t="s">
        <v>2752</v>
      </c>
      <c r="D1421" s="27" t="s">
        <v>118</v>
      </c>
      <c r="E1421" s="29">
        <v>37652</v>
      </c>
      <c r="F1421" s="27">
        <v>15</v>
      </c>
      <c r="G1421" s="18">
        <v>84568.41</v>
      </c>
      <c r="H1421" s="27">
        <f t="shared" si="44"/>
        <v>84568.41</v>
      </c>
      <c r="I1421" s="18">
        <v>80339.990000000005</v>
      </c>
      <c r="J1421" s="27">
        <v>84568.41</v>
      </c>
      <c r="K1421" s="18">
        <f t="shared" si="45"/>
        <v>84568.41</v>
      </c>
      <c r="L1421" s="27">
        <v>80339.990000000005</v>
      </c>
      <c r="M1421" s="36">
        <v>0</v>
      </c>
      <c r="T1421" s="41">
        <v>0</v>
      </c>
      <c r="U1421" s="41">
        <v>0</v>
      </c>
      <c r="V1421" s="42" t="s">
        <v>113</v>
      </c>
      <c r="W1421" s="42">
        <v>84568.41</v>
      </c>
      <c r="X1421" s="42">
        <v>84568.41</v>
      </c>
    </row>
    <row r="1422" spans="1:24">
      <c r="A1422" s="27" t="s">
        <v>2753</v>
      </c>
      <c r="B1422" s="28" t="s">
        <v>215</v>
      </c>
      <c r="C1422" s="27" t="s">
        <v>2754</v>
      </c>
      <c r="D1422" s="27" t="s">
        <v>118</v>
      </c>
      <c r="E1422" s="29">
        <v>39417</v>
      </c>
      <c r="F1422" s="27">
        <v>15</v>
      </c>
      <c r="G1422" s="18">
        <v>25898.5</v>
      </c>
      <c r="H1422" s="27">
        <f t="shared" si="44"/>
        <v>0</v>
      </c>
      <c r="I1422" s="18">
        <v>20921.57</v>
      </c>
      <c r="J1422" s="27">
        <v>25898.5</v>
      </c>
      <c r="K1422" s="18">
        <f t="shared" si="45"/>
        <v>0</v>
      </c>
      <c r="L1422" s="27">
        <v>21842.07</v>
      </c>
      <c r="M1422" s="36">
        <v>920.5</v>
      </c>
      <c r="T1422" s="41">
        <v>0</v>
      </c>
      <c r="U1422" s="41">
        <v>0</v>
      </c>
      <c r="V1422" s="42" t="s">
        <v>113</v>
      </c>
      <c r="W1422" s="42">
        <v>0</v>
      </c>
      <c r="X1422" s="42">
        <v>0</v>
      </c>
    </row>
    <row r="1423" spans="1:24">
      <c r="A1423" s="27" t="s">
        <v>2755</v>
      </c>
      <c r="B1423" s="28" t="s">
        <v>215</v>
      </c>
      <c r="C1423" s="27" t="s">
        <v>2756</v>
      </c>
      <c r="D1423" s="27" t="s">
        <v>118</v>
      </c>
      <c r="E1423" s="29">
        <v>39417</v>
      </c>
      <c r="F1423" s="27">
        <v>15</v>
      </c>
      <c r="G1423" s="18">
        <v>25898.5</v>
      </c>
      <c r="H1423" s="27">
        <f t="shared" si="44"/>
        <v>0</v>
      </c>
      <c r="I1423" s="18">
        <v>20921.57</v>
      </c>
      <c r="J1423" s="27">
        <v>25898.5</v>
      </c>
      <c r="K1423" s="18">
        <f t="shared" si="45"/>
        <v>0</v>
      </c>
      <c r="L1423" s="27">
        <v>21842.07</v>
      </c>
      <c r="M1423" s="36">
        <v>920.5</v>
      </c>
      <c r="T1423" s="41">
        <v>0</v>
      </c>
      <c r="U1423" s="41">
        <v>0</v>
      </c>
      <c r="V1423" s="42" t="s">
        <v>113</v>
      </c>
      <c r="W1423" s="42">
        <v>0</v>
      </c>
      <c r="X1423" s="42">
        <v>0</v>
      </c>
    </row>
    <row r="1424" spans="1:24">
      <c r="A1424" s="27" t="s">
        <v>2757</v>
      </c>
      <c r="B1424" s="28" t="s">
        <v>215</v>
      </c>
      <c r="C1424" s="27" t="s">
        <v>1917</v>
      </c>
      <c r="D1424" s="27" t="s">
        <v>118</v>
      </c>
      <c r="E1424" s="29">
        <v>39417</v>
      </c>
      <c r="F1424" s="27">
        <v>15</v>
      </c>
      <c r="G1424" s="18">
        <v>25898.5</v>
      </c>
      <c r="H1424" s="27">
        <f t="shared" si="44"/>
        <v>0</v>
      </c>
      <c r="I1424" s="18">
        <v>20921.57</v>
      </c>
      <c r="J1424" s="27">
        <v>25898.5</v>
      </c>
      <c r="K1424" s="18">
        <f t="shared" si="45"/>
        <v>0</v>
      </c>
      <c r="L1424" s="27">
        <v>21842.07</v>
      </c>
      <c r="M1424" s="36">
        <v>920.5</v>
      </c>
      <c r="T1424" s="41">
        <v>0</v>
      </c>
      <c r="U1424" s="41">
        <v>0</v>
      </c>
      <c r="V1424" s="42" t="s">
        <v>113</v>
      </c>
      <c r="W1424" s="42">
        <v>0</v>
      </c>
      <c r="X1424" s="42">
        <v>0</v>
      </c>
    </row>
    <row r="1425" spans="1:24">
      <c r="A1425" s="27" t="s">
        <v>2758</v>
      </c>
      <c r="B1425" s="28" t="s">
        <v>215</v>
      </c>
      <c r="C1425" s="27" t="s">
        <v>1919</v>
      </c>
      <c r="D1425" s="27" t="s">
        <v>118</v>
      </c>
      <c r="E1425" s="29">
        <v>39417</v>
      </c>
      <c r="F1425" s="27">
        <v>15</v>
      </c>
      <c r="G1425" s="18">
        <v>25898.5</v>
      </c>
      <c r="H1425" s="27">
        <f t="shared" si="44"/>
        <v>0</v>
      </c>
      <c r="I1425" s="18">
        <v>20921.57</v>
      </c>
      <c r="J1425" s="27">
        <v>25898.5</v>
      </c>
      <c r="K1425" s="18">
        <f t="shared" si="45"/>
        <v>0</v>
      </c>
      <c r="L1425" s="27">
        <v>21842.07</v>
      </c>
      <c r="M1425" s="36">
        <v>920.5</v>
      </c>
      <c r="T1425" s="41">
        <v>0</v>
      </c>
      <c r="U1425" s="41">
        <v>0</v>
      </c>
      <c r="V1425" s="42" t="s">
        <v>113</v>
      </c>
      <c r="W1425" s="42">
        <v>0</v>
      </c>
      <c r="X1425" s="42">
        <v>0</v>
      </c>
    </row>
    <row r="1426" spans="1:24">
      <c r="A1426" s="27" t="s">
        <v>2759</v>
      </c>
      <c r="B1426" s="28" t="s">
        <v>215</v>
      </c>
      <c r="C1426" s="27" t="s">
        <v>1921</v>
      </c>
      <c r="D1426" s="27" t="s">
        <v>118</v>
      </c>
      <c r="E1426" s="29">
        <v>39417</v>
      </c>
      <c r="F1426" s="27">
        <v>15</v>
      </c>
      <c r="G1426" s="18">
        <v>25898.5</v>
      </c>
      <c r="H1426" s="27">
        <f t="shared" si="44"/>
        <v>0</v>
      </c>
      <c r="I1426" s="18">
        <v>20921.57</v>
      </c>
      <c r="J1426" s="27">
        <v>25898.5</v>
      </c>
      <c r="K1426" s="18">
        <f t="shared" si="45"/>
        <v>0</v>
      </c>
      <c r="L1426" s="27">
        <v>21842.07</v>
      </c>
      <c r="M1426" s="36">
        <v>920.5</v>
      </c>
      <c r="T1426" s="41">
        <v>0</v>
      </c>
      <c r="U1426" s="41">
        <v>0</v>
      </c>
      <c r="V1426" s="42" t="s">
        <v>113</v>
      </c>
      <c r="W1426" s="42">
        <v>0</v>
      </c>
      <c r="X1426" s="42">
        <v>0</v>
      </c>
    </row>
    <row r="1427" spans="1:24">
      <c r="A1427" s="27" t="s">
        <v>2760</v>
      </c>
      <c r="B1427" s="28" t="s">
        <v>215</v>
      </c>
      <c r="C1427" s="27" t="s">
        <v>2761</v>
      </c>
      <c r="D1427" s="27" t="s">
        <v>118</v>
      </c>
      <c r="E1427" s="29">
        <v>39417</v>
      </c>
      <c r="F1427" s="27">
        <v>15</v>
      </c>
      <c r="G1427" s="18">
        <v>25898.5</v>
      </c>
      <c r="H1427" s="27">
        <f t="shared" si="44"/>
        <v>0</v>
      </c>
      <c r="I1427" s="18">
        <v>20921.57</v>
      </c>
      <c r="J1427" s="27">
        <v>25898.5</v>
      </c>
      <c r="K1427" s="18">
        <f t="shared" si="45"/>
        <v>0</v>
      </c>
      <c r="L1427" s="27">
        <v>21842.07</v>
      </c>
      <c r="M1427" s="36">
        <v>920.5</v>
      </c>
      <c r="T1427" s="41">
        <v>0</v>
      </c>
      <c r="U1427" s="41">
        <v>0</v>
      </c>
      <c r="V1427" s="42" t="s">
        <v>113</v>
      </c>
      <c r="W1427" s="42">
        <v>0</v>
      </c>
      <c r="X1427" s="42">
        <v>0</v>
      </c>
    </row>
    <row r="1428" spans="1:24">
      <c r="A1428" s="27" t="s">
        <v>2762</v>
      </c>
      <c r="B1428" s="28" t="s">
        <v>215</v>
      </c>
      <c r="C1428" s="27" t="s">
        <v>2763</v>
      </c>
      <c r="D1428" s="27" t="s">
        <v>118</v>
      </c>
      <c r="E1428" s="29">
        <v>39417</v>
      </c>
      <c r="F1428" s="27">
        <v>15</v>
      </c>
      <c r="G1428" s="18">
        <v>25898.5</v>
      </c>
      <c r="H1428" s="27">
        <f t="shared" si="44"/>
        <v>0</v>
      </c>
      <c r="I1428" s="18">
        <v>20921.57</v>
      </c>
      <c r="J1428" s="27">
        <v>25898.5</v>
      </c>
      <c r="K1428" s="18">
        <f t="shared" si="45"/>
        <v>0</v>
      </c>
      <c r="L1428" s="27">
        <v>21842.07</v>
      </c>
      <c r="M1428" s="36">
        <v>920.5</v>
      </c>
      <c r="T1428" s="41">
        <v>0</v>
      </c>
      <c r="U1428" s="41">
        <v>0</v>
      </c>
      <c r="V1428" s="42" t="s">
        <v>113</v>
      </c>
      <c r="W1428" s="42">
        <v>0</v>
      </c>
      <c r="X1428" s="42">
        <v>0</v>
      </c>
    </row>
    <row r="1429" spans="1:24">
      <c r="A1429" s="27" t="s">
        <v>2764</v>
      </c>
      <c r="B1429" s="28" t="s">
        <v>215</v>
      </c>
      <c r="C1429" s="27" t="s">
        <v>2765</v>
      </c>
      <c r="D1429" s="27" t="s">
        <v>118</v>
      </c>
      <c r="E1429" s="29">
        <v>39417</v>
      </c>
      <c r="F1429" s="27">
        <v>15</v>
      </c>
      <c r="G1429" s="18">
        <v>25898.5</v>
      </c>
      <c r="H1429" s="27">
        <f t="shared" si="44"/>
        <v>0</v>
      </c>
      <c r="I1429" s="18">
        <v>20921.57</v>
      </c>
      <c r="J1429" s="27">
        <v>25898.5</v>
      </c>
      <c r="K1429" s="18">
        <f t="shared" si="45"/>
        <v>0</v>
      </c>
      <c r="L1429" s="27">
        <v>21842.07</v>
      </c>
      <c r="M1429" s="36">
        <v>920.5</v>
      </c>
      <c r="T1429" s="41">
        <v>0</v>
      </c>
      <c r="U1429" s="41">
        <v>0</v>
      </c>
      <c r="V1429" s="42" t="s">
        <v>113</v>
      </c>
      <c r="W1429" s="42">
        <v>0</v>
      </c>
      <c r="X1429" s="42">
        <v>0</v>
      </c>
    </row>
    <row r="1430" spans="1:24">
      <c r="A1430" s="27" t="s">
        <v>2766</v>
      </c>
      <c r="B1430" s="28" t="s">
        <v>215</v>
      </c>
      <c r="C1430" s="27" t="s">
        <v>2767</v>
      </c>
      <c r="D1430" s="27" t="s">
        <v>118</v>
      </c>
      <c r="E1430" s="29">
        <v>39417</v>
      </c>
      <c r="F1430" s="27">
        <v>15</v>
      </c>
      <c r="G1430" s="18">
        <v>25898.5</v>
      </c>
      <c r="H1430" s="27">
        <f t="shared" si="44"/>
        <v>0</v>
      </c>
      <c r="I1430" s="18">
        <v>20921.57</v>
      </c>
      <c r="J1430" s="27">
        <v>25898.5</v>
      </c>
      <c r="K1430" s="18">
        <f t="shared" si="45"/>
        <v>0</v>
      </c>
      <c r="L1430" s="27">
        <v>21842.07</v>
      </c>
      <c r="M1430" s="36">
        <v>920.5</v>
      </c>
      <c r="T1430" s="41">
        <v>0</v>
      </c>
      <c r="U1430" s="41">
        <v>0</v>
      </c>
      <c r="V1430" s="42" t="s">
        <v>113</v>
      </c>
      <c r="W1430" s="42">
        <v>0</v>
      </c>
      <c r="X1430" s="42">
        <v>0</v>
      </c>
    </row>
    <row r="1431" spans="1:24">
      <c r="A1431" s="27" t="s">
        <v>2768</v>
      </c>
      <c r="B1431" s="28" t="s">
        <v>215</v>
      </c>
      <c r="C1431" s="27" t="s">
        <v>530</v>
      </c>
      <c r="D1431" s="27" t="s">
        <v>118</v>
      </c>
      <c r="E1431" s="29">
        <v>39417</v>
      </c>
      <c r="F1431" s="27">
        <v>15</v>
      </c>
      <c r="G1431" s="18">
        <v>42209.89</v>
      </c>
      <c r="H1431" s="27">
        <f t="shared" si="44"/>
        <v>0</v>
      </c>
      <c r="I1431" s="18">
        <v>34098.400000000001</v>
      </c>
      <c r="J1431" s="27">
        <v>42209.89</v>
      </c>
      <c r="K1431" s="18">
        <f t="shared" si="45"/>
        <v>0</v>
      </c>
      <c r="L1431" s="27">
        <v>35598.65</v>
      </c>
      <c r="M1431" s="36">
        <v>1500.25</v>
      </c>
      <c r="T1431" s="41">
        <v>0</v>
      </c>
      <c r="U1431" s="41">
        <v>0</v>
      </c>
      <c r="V1431" s="42" t="s">
        <v>113</v>
      </c>
      <c r="W1431" s="42">
        <v>0</v>
      </c>
      <c r="X1431" s="42">
        <v>0</v>
      </c>
    </row>
    <row r="1432" spans="1:24">
      <c r="A1432" s="27" t="s">
        <v>2769</v>
      </c>
      <c r="B1432" s="28" t="s">
        <v>215</v>
      </c>
      <c r="C1432" s="27" t="s">
        <v>2770</v>
      </c>
      <c r="D1432" s="27" t="s">
        <v>118</v>
      </c>
      <c r="E1432" s="29">
        <v>39417</v>
      </c>
      <c r="F1432" s="27">
        <v>15</v>
      </c>
      <c r="G1432" s="18">
        <v>42209.89</v>
      </c>
      <c r="H1432" s="27">
        <f t="shared" si="44"/>
        <v>0</v>
      </c>
      <c r="I1432" s="18">
        <v>34098.400000000001</v>
      </c>
      <c r="J1432" s="27">
        <v>42209.89</v>
      </c>
      <c r="K1432" s="18">
        <f t="shared" si="45"/>
        <v>0</v>
      </c>
      <c r="L1432" s="27">
        <v>35598.65</v>
      </c>
      <c r="M1432" s="36">
        <v>1500.25</v>
      </c>
      <c r="T1432" s="41">
        <v>0</v>
      </c>
      <c r="U1432" s="41">
        <v>0</v>
      </c>
      <c r="V1432" s="42" t="s">
        <v>113</v>
      </c>
      <c r="W1432" s="42">
        <v>0</v>
      </c>
      <c r="X1432" s="42">
        <v>0</v>
      </c>
    </row>
    <row r="1433" spans="1:24">
      <c r="A1433" s="27" t="s">
        <v>2771</v>
      </c>
      <c r="B1433" s="28" t="s">
        <v>215</v>
      </c>
      <c r="C1433" s="27" t="s">
        <v>2570</v>
      </c>
      <c r="D1433" s="27" t="s">
        <v>118</v>
      </c>
      <c r="E1433" s="29">
        <v>39417</v>
      </c>
      <c r="F1433" s="27">
        <v>15</v>
      </c>
      <c r="G1433" s="18">
        <v>42209.89</v>
      </c>
      <c r="H1433" s="27">
        <f t="shared" si="44"/>
        <v>0</v>
      </c>
      <c r="I1433" s="18">
        <v>34098.400000000001</v>
      </c>
      <c r="J1433" s="27">
        <v>42209.89</v>
      </c>
      <c r="K1433" s="18">
        <f t="shared" si="45"/>
        <v>0</v>
      </c>
      <c r="L1433" s="27">
        <v>35598.65</v>
      </c>
      <c r="M1433" s="36">
        <v>1500.25</v>
      </c>
      <c r="T1433" s="41">
        <v>0</v>
      </c>
      <c r="U1433" s="41">
        <v>0</v>
      </c>
      <c r="V1433" s="42" t="s">
        <v>113</v>
      </c>
      <c r="W1433" s="42">
        <v>0</v>
      </c>
      <c r="X1433" s="42">
        <v>0</v>
      </c>
    </row>
    <row r="1434" spans="1:24">
      <c r="A1434" s="27" t="s">
        <v>2772</v>
      </c>
      <c r="B1434" s="28" t="s">
        <v>215</v>
      </c>
      <c r="C1434" s="27" t="s">
        <v>532</v>
      </c>
      <c r="D1434" s="27" t="s">
        <v>118</v>
      </c>
      <c r="E1434" s="29">
        <v>39417</v>
      </c>
      <c r="F1434" s="27">
        <v>15</v>
      </c>
      <c r="G1434" s="18">
        <v>42209.89</v>
      </c>
      <c r="H1434" s="27">
        <f t="shared" si="44"/>
        <v>0</v>
      </c>
      <c r="I1434" s="18">
        <v>34098.400000000001</v>
      </c>
      <c r="J1434" s="27">
        <v>42209.89</v>
      </c>
      <c r="K1434" s="18">
        <f t="shared" si="45"/>
        <v>0</v>
      </c>
      <c r="L1434" s="27">
        <v>35598.65</v>
      </c>
      <c r="M1434" s="36">
        <v>1500.25</v>
      </c>
      <c r="T1434" s="41">
        <v>0</v>
      </c>
      <c r="U1434" s="41">
        <v>0</v>
      </c>
      <c r="V1434" s="42" t="s">
        <v>113</v>
      </c>
      <c r="W1434" s="42">
        <v>0</v>
      </c>
      <c r="X1434" s="42">
        <v>0</v>
      </c>
    </row>
    <row r="1435" spans="1:24">
      <c r="A1435" s="27" t="s">
        <v>2773</v>
      </c>
      <c r="B1435" s="28" t="s">
        <v>215</v>
      </c>
      <c r="C1435" s="27" t="s">
        <v>2774</v>
      </c>
      <c r="D1435" s="27" t="s">
        <v>118</v>
      </c>
      <c r="E1435" s="29">
        <v>39417</v>
      </c>
      <c r="F1435" s="27">
        <v>15</v>
      </c>
      <c r="G1435" s="18">
        <v>42209.89</v>
      </c>
      <c r="H1435" s="27">
        <f t="shared" si="44"/>
        <v>0</v>
      </c>
      <c r="I1435" s="18">
        <v>34098.400000000001</v>
      </c>
      <c r="J1435" s="27">
        <v>42209.89</v>
      </c>
      <c r="K1435" s="18">
        <f t="shared" si="45"/>
        <v>0</v>
      </c>
      <c r="L1435" s="27">
        <v>35598.65</v>
      </c>
      <c r="M1435" s="36">
        <v>1500.25</v>
      </c>
      <c r="T1435" s="41">
        <v>0</v>
      </c>
      <c r="U1435" s="41">
        <v>0</v>
      </c>
      <c r="V1435" s="42" t="s">
        <v>113</v>
      </c>
      <c r="W1435" s="42">
        <v>0</v>
      </c>
      <c r="X1435" s="42">
        <v>0</v>
      </c>
    </row>
    <row r="1436" spans="1:24">
      <c r="A1436" s="27" t="s">
        <v>2775</v>
      </c>
      <c r="B1436" s="28" t="s">
        <v>215</v>
      </c>
      <c r="C1436" s="27" t="s">
        <v>2776</v>
      </c>
      <c r="D1436" s="27" t="s">
        <v>118</v>
      </c>
      <c r="E1436" s="29">
        <v>39417</v>
      </c>
      <c r="F1436" s="27">
        <v>15</v>
      </c>
      <c r="G1436" s="18">
        <v>18786.47</v>
      </c>
      <c r="H1436" s="27">
        <f t="shared" si="44"/>
        <v>0</v>
      </c>
      <c r="I1436" s="18">
        <v>15176.26</v>
      </c>
      <c r="J1436" s="27">
        <v>18786.47</v>
      </c>
      <c r="K1436" s="18">
        <f t="shared" si="45"/>
        <v>0</v>
      </c>
      <c r="L1436" s="27">
        <v>15843.98</v>
      </c>
      <c r="M1436" s="36">
        <v>667.72</v>
      </c>
      <c r="T1436" s="41">
        <v>0</v>
      </c>
      <c r="U1436" s="41">
        <v>0</v>
      </c>
      <c r="V1436" s="42" t="s">
        <v>113</v>
      </c>
      <c r="W1436" s="42">
        <v>0</v>
      </c>
      <c r="X1436" s="42">
        <v>0</v>
      </c>
    </row>
    <row r="1437" spans="1:24">
      <c r="A1437" s="27" t="s">
        <v>2777</v>
      </c>
      <c r="B1437" s="28" t="s">
        <v>215</v>
      </c>
      <c r="C1437" s="27" t="s">
        <v>2778</v>
      </c>
      <c r="D1437" s="27" t="s">
        <v>118</v>
      </c>
      <c r="E1437" s="29">
        <v>39417</v>
      </c>
      <c r="F1437" s="27">
        <v>15</v>
      </c>
      <c r="G1437" s="18">
        <v>18786.47</v>
      </c>
      <c r="H1437" s="27">
        <f t="shared" si="44"/>
        <v>0</v>
      </c>
      <c r="I1437" s="18">
        <v>15176.26</v>
      </c>
      <c r="J1437" s="27">
        <v>18786.47</v>
      </c>
      <c r="K1437" s="18">
        <f t="shared" si="45"/>
        <v>0</v>
      </c>
      <c r="L1437" s="27">
        <v>15843.98</v>
      </c>
      <c r="M1437" s="36">
        <v>667.72</v>
      </c>
      <c r="T1437" s="41">
        <v>0</v>
      </c>
      <c r="U1437" s="41">
        <v>0</v>
      </c>
      <c r="V1437" s="42" t="s">
        <v>113</v>
      </c>
      <c r="W1437" s="42">
        <v>0</v>
      </c>
      <c r="X1437" s="42">
        <v>0</v>
      </c>
    </row>
    <row r="1438" spans="1:24">
      <c r="A1438" s="27" t="s">
        <v>2779</v>
      </c>
      <c r="B1438" s="28" t="s">
        <v>215</v>
      </c>
      <c r="C1438" s="27" t="s">
        <v>2780</v>
      </c>
      <c r="D1438" s="27" t="s">
        <v>118</v>
      </c>
      <c r="E1438" s="29">
        <v>39417</v>
      </c>
      <c r="F1438" s="27">
        <v>15</v>
      </c>
      <c r="G1438" s="18">
        <v>18786.47</v>
      </c>
      <c r="H1438" s="27">
        <f t="shared" si="44"/>
        <v>0</v>
      </c>
      <c r="I1438" s="18">
        <v>15176.26</v>
      </c>
      <c r="J1438" s="27">
        <v>18786.47</v>
      </c>
      <c r="K1438" s="18">
        <f t="shared" si="45"/>
        <v>0</v>
      </c>
      <c r="L1438" s="27">
        <v>15843.98</v>
      </c>
      <c r="M1438" s="36">
        <v>667.72</v>
      </c>
      <c r="T1438" s="41">
        <v>0</v>
      </c>
      <c r="U1438" s="41">
        <v>0</v>
      </c>
      <c r="V1438" s="42" t="s">
        <v>113</v>
      </c>
      <c r="W1438" s="42">
        <v>0</v>
      </c>
      <c r="X1438" s="42">
        <v>0</v>
      </c>
    </row>
    <row r="1439" spans="1:24">
      <c r="A1439" s="27" t="s">
        <v>2781</v>
      </c>
      <c r="B1439" s="28" t="s">
        <v>215</v>
      </c>
      <c r="C1439" s="27" t="s">
        <v>2782</v>
      </c>
      <c r="D1439" s="27" t="s">
        <v>118</v>
      </c>
      <c r="E1439" s="29">
        <v>39417</v>
      </c>
      <c r="F1439" s="27">
        <v>15</v>
      </c>
      <c r="G1439" s="18">
        <v>18786.47</v>
      </c>
      <c r="H1439" s="27">
        <f t="shared" si="44"/>
        <v>0</v>
      </c>
      <c r="I1439" s="18">
        <v>15176.26</v>
      </c>
      <c r="J1439" s="27">
        <v>18786.47</v>
      </c>
      <c r="K1439" s="18">
        <f t="shared" si="45"/>
        <v>0</v>
      </c>
      <c r="L1439" s="27">
        <v>15843.98</v>
      </c>
      <c r="M1439" s="36">
        <v>667.72</v>
      </c>
      <c r="T1439" s="41">
        <v>0</v>
      </c>
      <c r="U1439" s="41">
        <v>0</v>
      </c>
      <c r="V1439" s="42" t="s">
        <v>113</v>
      </c>
      <c r="W1439" s="42">
        <v>0</v>
      </c>
      <c r="X1439" s="42">
        <v>0</v>
      </c>
    </row>
    <row r="1440" spans="1:24">
      <c r="A1440" s="27" t="s">
        <v>2783</v>
      </c>
      <c r="B1440" s="28" t="s">
        <v>215</v>
      </c>
      <c r="C1440" s="27" t="s">
        <v>2784</v>
      </c>
      <c r="D1440" s="27" t="s">
        <v>118</v>
      </c>
      <c r="E1440" s="29">
        <v>39417</v>
      </c>
      <c r="F1440" s="27">
        <v>15</v>
      </c>
      <c r="G1440" s="18">
        <v>18786.47</v>
      </c>
      <c r="H1440" s="27">
        <f t="shared" si="44"/>
        <v>0</v>
      </c>
      <c r="I1440" s="18">
        <v>15176.26</v>
      </c>
      <c r="J1440" s="27">
        <v>18786.47</v>
      </c>
      <c r="K1440" s="18">
        <f t="shared" si="45"/>
        <v>0</v>
      </c>
      <c r="L1440" s="27">
        <v>15843.98</v>
      </c>
      <c r="M1440" s="36">
        <v>667.72</v>
      </c>
      <c r="T1440" s="41">
        <v>0</v>
      </c>
      <c r="U1440" s="41">
        <v>0</v>
      </c>
      <c r="V1440" s="42" t="s">
        <v>113</v>
      </c>
      <c r="W1440" s="42">
        <v>0</v>
      </c>
      <c r="X1440" s="42">
        <v>0</v>
      </c>
    </row>
    <row r="1441" spans="1:24">
      <c r="A1441" s="27" t="s">
        <v>2785</v>
      </c>
      <c r="B1441" s="28" t="s">
        <v>215</v>
      </c>
      <c r="C1441" s="27" t="s">
        <v>2786</v>
      </c>
      <c r="D1441" s="27" t="s">
        <v>118</v>
      </c>
      <c r="E1441" s="29">
        <v>39417</v>
      </c>
      <c r="F1441" s="27">
        <v>15</v>
      </c>
      <c r="G1441" s="18">
        <v>18786.47</v>
      </c>
      <c r="H1441" s="27">
        <f t="shared" si="44"/>
        <v>0</v>
      </c>
      <c r="I1441" s="18">
        <v>15176.26</v>
      </c>
      <c r="J1441" s="27">
        <v>18786.47</v>
      </c>
      <c r="K1441" s="18">
        <f t="shared" si="45"/>
        <v>0</v>
      </c>
      <c r="L1441" s="27">
        <v>15843.98</v>
      </c>
      <c r="M1441" s="36">
        <v>667.72</v>
      </c>
      <c r="T1441" s="41">
        <v>0</v>
      </c>
      <c r="U1441" s="41">
        <v>0</v>
      </c>
      <c r="V1441" s="42" t="s">
        <v>113</v>
      </c>
      <c r="W1441" s="42">
        <v>0</v>
      </c>
      <c r="X1441" s="42">
        <v>0</v>
      </c>
    </row>
    <row r="1442" spans="1:24">
      <c r="A1442" s="27" t="s">
        <v>2787</v>
      </c>
      <c r="B1442" s="28" t="s">
        <v>215</v>
      </c>
      <c r="C1442" s="27" t="s">
        <v>2788</v>
      </c>
      <c r="D1442" s="27" t="s">
        <v>118</v>
      </c>
      <c r="E1442" s="29">
        <v>39417</v>
      </c>
      <c r="F1442" s="27">
        <v>15</v>
      </c>
      <c r="G1442" s="18">
        <v>18786.47</v>
      </c>
      <c r="H1442" s="27">
        <f t="shared" si="44"/>
        <v>0</v>
      </c>
      <c r="I1442" s="18">
        <v>15176.26</v>
      </c>
      <c r="J1442" s="27">
        <v>18786.47</v>
      </c>
      <c r="K1442" s="18">
        <f t="shared" si="45"/>
        <v>0</v>
      </c>
      <c r="L1442" s="27">
        <v>15843.98</v>
      </c>
      <c r="M1442" s="36">
        <v>667.72</v>
      </c>
      <c r="T1442" s="41">
        <v>0</v>
      </c>
      <c r="U1442" s="41">
        <v>0</v>
      </c>
      <c r="V1442" s="42" t="s">
        <v>113</v>
      </c>
      <c r="W1442" s="42">
        <v>0</v>
      </c>
      <c r="X1442" s="42">
        <v>0</v>
      </c>
    </row>
    <row r="1443" spans="1:24">
      <c r="A1443" s="27" t="s">
        <v>2789</v>
      </c>
      <c r="B1443" s="28" t="s">
        <v>215</v>
      </c>
      <c r="C1443" s="27" t="s">
        <v>2790</v>
      </c>
      <c r="D1443" s="27" t="s">
        <v>118</v>
      </c>
      <c r="E1443" s="29">
        <v>39417</v>
      </c>
      <c r="F1443" s="27">
        <v>15</v>
      </c>
      <c r="G1443" s="18">
        <v>18786.47</v>
      </c>
      <c r="H1443" s="27">
        <f t="shared" si="44"/>
        <v>0</v>
      </c>
      <c r="I1443" s="18">
        <v>15176.26</v>
      </c>
      <c r="J1443" s="27">
        <v>18786.47</v>
      </c>
      <c r="K1443" s="18">
        <f t="shared" si="45"/>
        <v>0</v>
      </c>
      <c r="L1443" s="27">
        <v>15843.98</v>
      </c>
      <c r="M1443" s="36">
        <v>667.72</v>
      </c>
      <c r="T1443" s="41">
        <v>0</v>
      </c>
      <c r="U1443" s="41">
        <v>0</v>
      </c>
      <c r="V1443" s="42" t="s">
        <v>113</v>
      </c>
      <c r="W1443" s="42">
        <v>0</v>
      </c>
      <c r="X1443" s="42">
        <v>0</v>
      </c>
    </row>
    <row r="1444" spans="1:24">
      <c r="A1444" s="27" t="s">
        <v>2791</v>
      </c>
      <c r="B1444" s="28" t="s">
        <v>215</v>
      </c>
      <c r="C1444" s="27" t="s">
        <v>2792</v>
      </c>
      <c r="D1444" s="27" t="s">
        <v>118</v>
      </c>
      <c r="E1444" s="29">
        <v>39417</v>
      </c>
      <c r="F1444" s="27">
        <v>15</v>
      </c>
      <c r="G1444" s="18">
        <v>18786.47</v>
      </c>
      <c r="H1444" s="27">
        <f t="shared" si="44"/>
        <v>0</v>
      </c>
      <c r="I1444" s="18">
        <v>15176.26</v>
      </c>
      <c r="J1444" s="27">
        <v>18786.47</v>
      </c>
      <c r="K1444" s="18">
        <f t="shared" si="45"/>
        <v>0</v>
      </c>
      <c r="L1444" s="27">
        <v>15843.98</v>
      </c>
      <c r="M1444" s="36">
        <v>667.72</v>
      </c>
      <c r="T1444" s="41">
        <v>0</v>
      </c>
      <c r="U1444" s="41">
        <v>0</v>
      </c>
      <c r="V1444" s="42" t="s">
        <v>113</v>
      </c>
      <c r="W1444" s="42">
        <v>0</v>
      </c>
      <c r="X1444" s="42">
        <v>0</v>
      </c>
    </row>
    <row r="1445" spans="1:24">
      <c r="A1445" s="27" t="s">
        <v>2793</v>
      </c>
      <c r="B1445" s="28" t="s">
        <v>215</v>
      </c>
      <c r="C1445" s="27" t="s">
        <v>2794</v>
      </c>
      <c r="D1445" s="27" t="s">
        <v>118</v>
      </c>
      <c r="E1445" s="29">
        <v>39417</v>
      </c>
      <c r="F1445" s="27">
        <v>15</v>
      </c>
      <c r="G1445" s="18">
        <v>18786.47</v>
      </c>
      <c r="H1445" s="27">
        <f t="shared" si="44"/>
        <v>0</v>
      </c>
      <c r="I1445" s="18">
        <v>15176.26</v>
      </c>
      <c r="J1445" s="27">
        <v>18786.47</v>
      </c>
      <c r="K1445" s="18">
        <f t="shared" si="45"/>
        <v>0</v>
      </c>
      <c r="L1445" s="27">
        <v>15843.98</v>
      </c>
      <c r="M1445" s="36">
        <v>667.72</v>
      </c>
      <c r="T1445" s="41">
        <v>0</v>
      </c>
      <c r="U1445" s="41">
        <v>0</v>
      </c>
      <c r="V1445" s="42" t="s">
        <v>113</v>
      </c>
      <c r="W1445" s="42">
        <v>0</v>
      </c>
      <c r="X1445" s="42">
        <v>0</v>
      </c>
    </row>
    <row r="1446" spans="1:24">
      <c r="A1446" s="27" t="s">
        <v>2795</v>
      </c>
      <c r="B1446" s="28" t="s">
        <v>215</v>
      </c>
      <c r="C1446" s="27" t="s">
        <v>2796</v>
      </c>
      <c r="D1446" s="27" t="s">
        <v>118</v>
      </c>
      <c r="E1446" s="29">
        <v>39417</v>
      </c>
      <c r="F1446" s="27">
        <v>15</v>
      </c>
      <c r="G1446" s="18">
        <v>18786.47</v>
      </c>
      <c r="H1446" s="27">
        <f t="shared" si="44"/>
        <v>0</v>
      </c>
      <c r="I1446" s="18">
        <v>15176.26</v>
      </c>
      <c r="J1446" s="27">
        <v>18786.47</v>
      </c>
      <c r="K1446" s="18">
        <f t="shared" si="45"/>
        <v>0</v>
      </c>
      <c r="L1446" s="27">
        <v>15843.98</v>
      </c>
      <c r="M1446" s="36">
        <v>667.72</v>
      </c>
      <c r="T1446" s="41">
        <v>0</v>
      </c>
      <c r="U1446" s="41">
        <v>0</v>
      </c>
      <c r="V1446" s="42" t="s">
        <v>113</v>
      </c>
      <c r="W1446" s="42">
        <v>0</v>
      </c>
      <c r="X1446" s="42">
        <v>0</v>
      </c>
    </row>
    <row r="1447" spans="1:24">
      <c r="A1447" s="27" t="s">
        <v>2797</v>
      </c>
      <c r="B1447" s="28" t="s">
        <v>215</v>
      </c>
      <c r="C1447" s="27" t="s">
        <v>2798</v>
      </c>
      <c r="D1447" s="27" t="s">
        <v>118</v>
      </c>
      <c r="E1447" s="29">
        <v>39417</v>
      </c>
      <c r="F1447" s="27">
        <v>15</v>
      </c>
      <c r="G1447" s="18">
        <v>18786.47</v>
      </c>
      <c r="H1447" s="27">
        <f t="shared" si="44"/>
        <v>0</v>
      </c>
      <c r="I1447" s="18">
        <v>15176.26</v>
      </c>
      <c r="J1447" s="27">
        <v>18786.47</v>
      </c>
      <c r="K1447" s="18">
        <f t="shared" si="45"/>
        <v>0</v>
      </c>
      <c r="L1447" s="27">
        <v>15843.98</v>
      </c>
      <c r="M1447" s="36">
        <v>667.72</v>
      </c>
      <c r="T1447" s="41">
        <v>0</v>
      </c>
      <c r="U1447" s="41">
        <v>0</v>
      </c>
      <c r="V1447" s="42" t="s">
        <v>113</v>
      </c>
      <c r="W1447" s="42">
        <v>0</v>
      </c>
      <c r="X1447" s="42">
        <v>0</v>
      </c>
    </row>
    <row r="1448" spans="1:24">
      <c r="A1448" s="27" t="s">
        <v>2799</v>
      </c>
      <c r="B1448" s="28" t="s">
        <v>215</v>
      </c>
      <c r="C1448" s="27" t="s">
        <v>2800</v>
      </c>
      <c r="D1448" s="27" t="s">
        <v>118</v>
      </c>
      <c r="E1448" s="29">
        <v>39417</v>
      </c>
      <c r="F1448" s="27">
        <v>15</v>
      </c>
      <c r="G1448" s="18">
        <v>18786.47</v>
      </c>
      <c r="H1448" s="27">
        <f t="shared" si="44"/>
        <v>0</v>
      </c>
      <c r="I1448" s="18">
        <v>15176.26</v>
      </c>
      <c r="J1448" s="27">
        <v>18786.47</v>
      </c>
      <c r="K1448" s="18">
        <f t="shared" si="45"/>
        <v>0</v>
      </c>
      <c r="L1448" s="27">
        <v>15843.98</v>
      </c>
      <c r="M1448" s="36">
        <v>667.72</v>
      </c>
      <c r="T1448" s="41">
        <v>0</v>
      </c>
      <c r="U1448" s="41">
        <v>0</v>
      </c>
      <c r="V1448" s="42" t="s">
        <v>113</v>
      </c>
      <c r="W1448" s="42">
        <v>0</v>
      </c>
      <c r="X1448" s="42">
        <v>0</v>
      </c>
    </row>
    <row r="1449" spans="1:24">
      <c r="A1449" s="27" t="s">
        <v>2801</v>
      </c>
      <c r="B1449" s="28" t="s">
        <v>215</v>
      </c>
      <c r="C1449" s="27" t="s">
        <v>2802</v>
      </c>
      <c r="D1449" s="27" t="s">
        <v>118</v>
      </c>
      <c r="E1449" s="29">
        <v>39417</v>
      </c>
      <c r="F1449" s="27">
        <v>15</v>
      </c>
      <c r="G1449" s="18">
        <v>18786.47</v>
      </c>
      <c r="H1449" s="27">
        <f t="shared" si="44"/>
        <v>0</v>
      </c>
      <c r="I1449" s="18">
        <v>15176.26</v>
      </c>
      <c r="J1449" s="27">
        <v>18786.47</v>
      </c>
      <c r="K1449" s="18">
        <f t="shared" si="45"/>
        <v>0</v>
      </c>
      <c r="L1449" s="27">
        <v>15843.98</v>
      </c>
      <c r="M1449" s="36">
        <v>667.72</v>
      </c>
      <c r="T1449" s="41">
        <v>0</v>
      </c>
      <c r="U1449" s="41">
        <v>0</v>
      </c>
      <c r="V1449" s="42" t="s">
        <v>113</v>
      </c>
      <c r="W1449" s="42">
        <v>0</v>
      </c>
      <c r="X1449" s="42">
        <v>0</v>
      </c>
    </row>
    <row r="1450" spans="1:24">
      <c r="A1450" s="27" t="s">
        <v>2803</v>
      </c>
      <c r="B1450" s="28" t="s">
        <v>215</v>
      </c>
      <c r="C1450" s="27" t="s">
        <v>2804</v>
      </c>
      <c r="D1450" s="27" t="s">
        <v>118</v>
      </c>
      <c r="E1450" s="29">
        <v>39417</v>
      </c>
      <c r="F1450" s="27">
        <v>15</v>
      </c>
      <c r="G1450" s="18">
        <v>12512</v>
      </c>
      <c r="H1450" s="27">
        <f t="shared" si="44"/>
        <v>0</v>
      </c>
      <c r="I1450" s="18">
        <v>10107.56</v>
      </c>
      <c r="J1450" s="27">
        <v>12512</v>
      </c>
      <c r="K1450" s="18">
        <f t="shared" si="45"/>
        <v>0</v>
      </c>
      <c r="L1450" s="27">
        <v>10552.27</v>
      </c>
      <c r="M1450" s="36">
        <v>444.71</v>
      </c>
      <c r="T1450" s="41">
        <v>0</v>
      </c>
      <c r="U1450" s="41">
        <v>0</v>
      </c>
      <c r="V1450" s="42" t="s">
        <v>113</v>
      </c>
      <c r="W1450" s="42">
        <v>0</v>
      </c>
      <c r="X1450" s="42">
        <v>0</v>
      </c>
    </row>
    <row r="1451" spans="1:24">
      <c r="A1451" s="27" t="s">
        <v>2805</v>
      </c>
      <c r="B1451" s="28" t="s">
        <v>215</v>
      </c>
      <c r="C1451" s="27" t="s">
        <v>2806</v>
      </c>
      <c r="D1451" s="27" t="s">
        <v>118</v>
      </c>
      <c r="E1451" s="29">
        <v>39417</v>
      </c>
      <c r="F1451" s="27">
        <v>15</v>
      </c>
      <c r="G1451" s="18">
        <v>12512</v>
      </c>
      <c r="H1451" s="27">
        <f t="shared" si="44"/>
        <v>0</v>
      </c>
      <c r="I1451" s="18">
        <v>10107.56</v>
      </c>
      <c r="J1451" s="27">
        <v>12512</v>
      </c>
      <c r="K1451" s="18">
        <f t="shared" si="45"/>
        <v>0</v>
      </c>
      <c r="L1451" s="27">
        <v>10552.27</v>
      </c>
      <c r="M1451" s="36">
        <v>444.71</v>
      </c>
      <c r="T1451" s="41">
        <v>0</v>
      </c>
      <c r="U1451" s="41">
        <v>0</v>
      </c>
      <c r="V1451" s="42" t="s">
        <v>113</v>
      </c>
      <c r="W1451" s="42">
        <v>0</v>
      </c>
      <c r="X1451" s="42">
        <v>0</v>
      </c>
    </row>
    <row r="1452" spans="1:24">
      <c r="A1452" s="27" t="s">
        <v>2807</v>
      </c>
      <c r="B1452" s="28" t="s">
        <v>215</v>
      </c>
      <c r="C1452" s="27" t="s">
        <v>2808</v>
      </c>
      <c r="D1452" s="27" t="s">
        <v>118</v>
      </c>
      <c r="E1452" s="29">
        <v>39417</v>
      </c>
      <c r="F1452" s="27">
        <v>15</v>
      </c>
      <c r="G1452" s="18">
        <v>12512</v>
      </c>
      <c r="H1452" s="27">
        <f t="shared" si="44"/>
        <v>0</v>
      </c>
      <c r="I1452" s="18">
        <v>10107.56</v>
      </c>
      <c r="J1452" s="27">
        <v>12512</v>
      </c>
      <c r="K1452" s="18">
        <f t="shared" si="45"/>
        <v>0</v>
      </c>
      <c r="L1452" s="27">
        <v>10552.27</v>
      </c>
      <c r="M1452" s="36">
        <v>444.71</v>
      </c>
      <c r="T1452" s="41">
        <v>0</v>
      </c>
      <c r="U1452" s="41">
        <v>0</v>
      </c>
      <c r="V1452" s="42" t="s">
        <v>113</v>
      </c>
      <c r="W1452" s="42">
        <v>0</v>
      </c>
      <c r="X1452" s="42">
        <v>0</v>
      </c>
    </row>
    <row r="1453" spans="1:24">
      <c r="A1453" s="27" t="s">
        <v>2809</v>
      </c>
      <c r="B1453" s="28" t="s">
        <v>215</v>
      </c>
      <c r="C1453" s="27" t="s">
        <v>2810</v>
      </c>
      <c r="D1453" s="27" t="s">
        <v>118</v>
      </c>
      <c r="E1453" s="29">
        <v>39417</v>
      </c>
      <c r="F1453" s="27">
        <v>15</v>
      </c>
      <c r="G1453" s="18">
        <v>12512</v>
      </c>
      <c r="H1453" s="27">
        <f t="shared" si="44"/>
        <v>0</v>
      </c>
      <c r="I1453" s="18">
        <v>10107.56</v>
      </c>
      <c r="J1453" s="27">
        <v>12512</v>
      </c>
      <c r="K1453" s="18">
        <f t="shared" si="45"/>
        <v>0</v>
      </c>
      <c r="L1453" s="27">
        <v>10552.27</v>
      </c>
      <c r="M1453" s="36">
        <v>444.71</v>
      </c>
      <c r="T1453" s="41">
        <v>0</v>
      </c>
      <c r="U1453" s="41">
        <v>0</v>
      </c>
      <c r="V1453" s="42" t="s">
        <v>113</v>
      </c>
      <c r="W1453" s="42">
        <v>0</v>
      </c>
      <c r="X1453" s="42">
        <v>0</v>
      </c>
    </row>
    <row r="1454" spans="1:24">
      <c r="A1454" s="27" t="s">
        <v>2811</v>
      </c>
      <c r="B1454" s="28" t="s">
        <v>215</v>
      </c>
      <c r="C1454" s="27" t="s">
        <v>2812</v>
      </c>
      <c r="D1454" s="27" t="s">
        <v>118</v>
      </c>
      <c r="E1454" s="29">
        <v>39417</v>
      </c>
      <c r="F1454" s="27">
        <v>15</v>
      </c>
      <c r="G1454" s="18">
        <v>12512</v>
      </c>
      <c r="H1454" s="27">
        <f t="shared" si="44"/>
        <v>0</v>
      </c>
      <c r="I1454" s="18">
        <v>10107.56</v>
      </c>
      <c r="J1454" s="27">
        <v>12512</v>
      </c>
      <c r="K1454" s="18">
        <f t="shared" si="45"/>
        <v>0</v>
      </c>
      <c r="L1454" s="27">
        <v>10552.27</v>
      </c>
      <c r="M1454" s="36">
        <v>444.71</v>
      </c>
      <c r="T1454" s="41">
        <v>0</v>
      </c>
      <c r="U1454" s="41">
        <v>0</v>
      </c>
      <c r="V1454" s="42" t="s">
        <v>113</v>
      </c>
      <c r="W1454" s="42">
        <v>0</v>
      </c>
      <c r="X1454" s="42">
        <v>0</v>
      </c>
    </row>
    <row r="1455" spans="1:24">
      <c r="A1455" s="27" t="s">
        <v>2813</v>
      </c>
      <c r="B1455" s="28" t="s">
        <v>215</v>
      </c>
      <c r="C1455" s="27" t="s">
        <v>2814</v>
      </c>
      <c r="D1455" s="27" t="s">
        <v>118</v>
      </c>
      <c r="E1455" s="29">
        <v>39417</v>
      </c>
      <c r="F1455" s="27">
        <v>15</v>
      </c>
      <c r="G1455" s="18">
        <v>12512</v>
      </c>
      <c r="H1455" s="27">
        <f t="shared" si="44"/>
        <v>0</v>
      </c>
      <c r="I1455" s="18">
        <v>10107.56</v>
      </c>
      <c r="J1455" s="27">
        <v>12512</v>
      </c>
      <c r="K1455" s="18">
        <f t="shared" si="45"/>
        <v>0</v>
      </c>
      <c r="L1455" s="27">
        <v>10552.27</v>
      </c>
      <c r="M1455" s="36">
        <v>444.71</v>
      </c>
      <c r="T1455" s="41">
        <v>0</v>
      </c>
      <c r="U1455" s="41">
        <v>0</v>
      </c>
      <c r="V1455" s="42" t="s">
        <v>113</v>
      </c>
      <c r="W1455" s="42">
        <v>0</v>
      </c>
      <c r="X1455" s="42">
        <v>0</v>
      </c>
    </row>
    <row r="1456" spans="1:24">
      <c r="A1456" s="27" t="s">
        <v>2815</v>
      </c>
      <c r="B1456" s="28" t="s">
        <v>215</v>
      </c>
      <c r="C1456" s="27" t="s">
        <v>538</v>
      </c>
      <c r="D1456" s="27" t="s">
        <v>118</v>
      </c>
      <c r="E1456" s="29">
        <v>39417</v>
      </c>
      <c r="F1456" s="27">
        <v>15</v>
      </c>
      <c r="G1456" s="18">
        <v>12512</v>
      </c>
      <c r="H1456" s="27">
        <f t="shared" si="44"/>
        <v>0</v>
      </c>
      <c r="I1456" s="18">
        <v>10107.56</v>
      </c>
      <c r="J1456" s="27">
        <v>12512</v>
      </c>
      <c r="K1456" s="18">
        <f t="shared" si="45"/>
        <v>0</v>
      </c>
      <c r="L1456" s="27">
        <v>10552.27</v>
      </c>
      <c r="M1456" s="36">
        <v>444.71</v>
      </c>
      <c r="T1456" s="41">
        <v>0</v>
      </c>
      <c r="U1456" s="41">
        <v>0</v>
      </c>
      <c r="V1456" s="42" t="s">
        <v>113</v>
      </c>
      <c r="W1456" s="42">
        <v>0</v>
      </c>
      <c r="X1456" s="42">
        <v>0</v>
      </c>
    </row>
    <row r="1457" spans="1:24">
      <c r="A1457" s="27" t="s">
        <v>2816</v>
      </c>
      <c r="B1457" s="28" t="s">
        <v>215</v>
      </c>
      <c r="C1457" s="27" t="s">
        <v>540</v>
      </c>
      <c r="D1457" s="27" t="s">
        <v>118</v>
      </c>
      <c r="E1457" s="29">
        <v>39417</v>
      </c>
      <c r="F1457" s="27">
        <v>15</v>
      </c>
      <c r="G1457" s="18">
        <v>12512</v>
      </c>
      <c r="H1457" s="27">
        <f t="shared" si="44"/>
        <v>0</v>
      </c>
      <c r="I1457" s="18">
        <v>10107.56</v>
      </c>
      <c r="J1457" s="27">
        <v>12512</v>
      </c>
      <c r="K1457" s="18">
        <f t="shared" si="45"/>
        <v>0</v>
      </c>
      <c r="L1457" s="27">
        <v>10552.27</v>
      </c>
      <c r="M1457" s="36">
        <v>444.71</v>
      </c>
      <c r="T1457" s="41">
        <v>0</v>
      </c>
      <c r="U1457" s="41">
        <v>0</v>
      </c>
      <c r="V1457" s="42" t="s">
        <v>113</v>
      </c>
      <c r="W1457" s="42">
        <v>0</v>
      </c>
      <c r="X1457" s="42">
        <v>0</v>
      </c>
    </row>
    <row r="1458" spans="1:24">
      <c r="A1458" s="27" t="s">
        <v>2817</v>
      </c>
      <c r="B1458" s="28" t="s">
        <v>215</v>
      </c>
      <c r="C1458" s="27" t="s">
        <v>2818</v>
      </c>
      <c r="D1458" s="27" t="s">
        <v>118</v>
      </c>
      <c r="E1458" s="29">
        <v>39417</v>
      </c>
      <c r="F1458" s="27">
        <v>15</v>
      </c>
      <c r="G1458" s="18">
        <v>12512</v>
      </c>
      <c r="H1458" s="27">
        <f t="shared" si="44"/>
        <v>0</v>
      </c>
      <c r="I1458" s="18">
        <v>10107.56</v>
      </c>
      <c r="J1458" s="27">
        <v>12512</v>
      </c>
      <c r="K1458" s="18">
        <f t="shared" si="45"/>
        <v>0</v>
      </c>
      <c r="L1458" s="27">
        <v>10552.27</v>
      </c>
      <c r="M1458" s="36">
        <v>444.71</v>
      </c>
      <c r="T1458" s="41">
        <v>0</v>
      </c>
      <c r="U1458" s="41">
        <v>0</v>
      </c>
      <c r="V1458" s="42" t="s">
        <v>113</v>
      </c>
      <c r="W1458" s="42">
        <v>0</v>
      </c>
      <c r="X1458" s="42">
        <v>0</v>
      </c>
    </row>
    <row r="1459" spans="1:24">
      <c r="A1459" s="27" t="s">
        <v>2819</v>
      </c>
      <c r="B1459" s="28" t="s">
        <v>215</v>
      </c>
      <c r="C1459" s="27" t="s">
        <v>2820</v>
      </c>
      <c r="D1459" s="27" t="s">
        <v>118</v>
      </c>
      <c r="E1459" s="29">
        <v>39417</v>
      </c>
      <c r="F1459" s="27">
        <v>15</v>
      </c>
      <c r="G1459" s="18">
        <v>12512</v>
      </c>
      <c r="H1459" s="27">
        <f t="shared" si="44"/>
        <v>0</v>
      </c>
      <c r="I1459" s="18">
        <v>10107.56</v>
      </c>
      <c r="J1459" s="27">
        <v>12512</v>
      </c>
      <c r="K1459" s="18">
        <f t="shared" si="45"/>
        <v>0</v>
      </c>
      <c r="L1459" s="27">
        <v>10552.27</v>
      </c>
      <c r="M1459" s="36">
        <v>444.71</v>
      </c>
      <c r="T1459" s="41">
        <v>0</v>
      </c>
      <c r="U1459" s="41">
        <v>0</v>
      </c>
      <c r="V1459" s="42" t="s">
        <v>113</v>
      </c>
      <c r="W1459" s="42">
        <v>0</v>
      </c>
      <c r="X1459" s="42">
        <v>0</v>
      </c>
    </row>
    <row r="1460" spans="1:24">
      <c r="A1460" s="27" t="s">
        <v>2821</v>
      </c>
      <c r="B1460" s="28" t="s">
        <v>215</v>
      </c>
      <c r="C1460" s="27" t="s">
        <v>2822</v>
      </c>
      <c r="D1460" s="27" t="s">
        <v>118</v>
      </c>
      <c r="E1460" s="29">
        <v>39417</v>
      </c>
      <c r="F1460" s="27">
        <v>15</v>
      </c>
      <c r="G1460" s="18">
        <v>12512</v>
      </c>
      <c r="H1460" s="27">
        <f t="shared" si="44"/>
        <v>0</v>
      </c>
      <c r="I1460" s="18">
        <v>10107.56</v>
      </c>
      <c r="J1460" s="27">
        <v>12512</v>
      </c>
      <c r="K1460" s="18">
        <f t="shared" si="45"/>
        <v>0</v>
      </c>
      <c r="L1460" s="27">
        <v>10552.27</v>
      </c>
      <c r="M1460" s="36">
        <v>444.71</v>
      </c>
      <c r="T1460" s="41">
        <v>0</v>
      </c>
      <c r="U1460" s="41">
        <v>0</v>
      </c>
      <c r="V1460" s="42" t="s">
        <v>113</v>
      </c>
      <c r="W1460" s="42">
        <v>0</v>
      </c>
      <c r="X1460" s="42">
        <v>0</v>
      </c>
    </row>
    <row r="1461" spans="1:24">
      <c r="A1461" s="27" t="s">
        <v>2823</v>
      </c>
      <c r="B1461" s="28" t="s">
        <v>215</v>
      </c>
      <c r="C1461" s="27" t="s">
        <v>2824</v>
      </c>
      <c r="D1461" s="27" t="s">
        <v>118</v>
      </c>
      <c r="E1461" s="29">
        <v>39417</v>
      </c>
      <c r="F1461" s="27">
        <v>15</v>
      </c>
      <c r="G1461" s="18">
        <v>42209.89</v>
      </c>
      <c r="H1461" s="27">
        <f t="shared" si="44"/>
        <v>0</v>
      </c>
      <c r="I1461" s="18">
        <v>34098.400000000001</v>
      </c>
      <c r="J1461" s="27">
        <v>42209.89</v>
      </c>
      <c r="K1461" s="18">
        <f t="shared" si="45"/>
        <v>0</v>
      </c>
      <c r="L1461" s="27">
        <v>35598.65</v>
      </c>
      <c r="M1461" s="36">
        <v>1500.25</v>
      </c>
      <c r="T1461" s="41">
        <v>0</v>
      </c>
      <c r="U1461" s="41">
        <v>0</v>
      </c>
      <c r="V1461" s="42" t="s">
        <v>113</v>
      </c>
      <c r="W1461" s="42">
        <v>0</v>
      </c>
      <c r="X1461" s="42">
        <v>0</v>
      </c>
    </row>
    <row r="1462" spans="1:24">
      <c r="A1462" s="27" t="s">
        <v>2825</v>
      </c>
      <c r="B1462" s="28" t="s">
        <v>215</v>
      </c>
      <c r="C1462" s="27" t="s">
        <v>2826</v>
      </c>
      <c r="D1462" s="27" t="s">
        <v>118</v>
      </c>
      <c r="E1462" s="29">
        <v>39417</v>
      </c>
      <c r="F1462" s="27">
        <v>15</v>
      </c>
      <c r="G1462" s="18">
        <v>42209.89</v>
      </c>
      <c r="H1462" s="27">
        <f t="shared" si="44"/>
        <v>0</v>
      </c>
      <c r="I1462" s="18">
        <v>34098.400000000001</v>
      </c>
      <c r="J1462" s="27">
        <v>42209.89</v>
      </c>
      <c r="K1462" s="18">
        <f t="shared" si="45"/>
        <v>0</v>
      </c>
      <c r="L1462" s="27">
        <v>35598.65</v>
      </c>
      <c r="M1462" s="36">
        <v>1500.25</v>
      </c>
      <c r="T1462" s="41">
        <v>0</v>
      </c>
      <c r="U1462" s="41">
        <v>0</v>
      </c>
      <c r="V1462" s="42" t="s">
        <v>113</v>
      </c>
      <c r="W1462" s="42">
        <v>0</v>
      </c>
      <c r="X1462" s="42">
        <v>0</v>
      </c>
    </row>
    <row r="1463" spans="1:24">
      <c r="A1463" s="27" t="s">
        <v>2827</v>
      </c>
      <c r="B1463" s="28" t="s">
        <v>215</v>
      </c>
      <c r="C1463" s="27" t="s">
        <v>2828</v>
      </c>
      <c r="D1463" s="27" t="s">
        <v>118</v>
      </c>
      <c r="E1463" s="29">
        <v>39417</v>
      </c>
      <c r="F1463" s="27">
        <v>15</v>
      </c>
      <c r="G1463" s="18">
        <v>42209.89</v>
      </c>
      <c r="H1463" s="27">
        <f t="shared" si="44"/>
        <v>0</v>
      </c>
      <c r="I1463" s="18">
        <v>34098.400000000001</v>
      </c>
      <c r="J1463" s="27">
        <v>42209.89</v>
      </c>
      <c r="K1463" s="18">
        <f t="shared" si="45"/>
        <v>0</v>
      </c>
      <c r="L1463" s="27">
        <v>35598.65</v>
      </c>
      <c r="M1463" s="36">
        <v>1500.25</v>
      </c>
      <c r="T1463" s="41">
        <v>0</v>
      </c>
      <c r="U1463" s="41">
        <v>0</v>
      </c>
      <c r="V1463" s="42" t="s">
        <v>113</v>
      </c>
      <c r="W1463" s="42">
        <v>0</v>
      </c>
      <c r="X1463" s="42">
        <v>0</v>
      </c>
    </row>
    <row r="1464" spans="1:24">
      <c r="A1464" s="27" t="s">
        <v>2829</v>
      </c>
      <c r="B1464" s="28" t="s">
        <v>215</v>
      </c>
      <c r="C1464" s="27" t="s">
        <v>1011</v>
      </c>
      <c r="D1464" s="27" t="s">
        <v>230</v>
      </c>
      <c r="E1464" s="29">
        <v>40268</v>
      </c>
      <c r="F1464" s="27">
        <v>15</v>
      </c>
      <c r="G1464" s="18">
        <v>21022.47</v>
      </c>
      <c r="H1464" s="27">
        <f t="shared" si="44"/>
        <v>0</v>
      </c>
      <c r="I1464" s="18">
        <v>15310.47</v>
      </c>
      <c r="J1464" s="27">
        <v>21022.47</v>
      </c>
      <c r="K1464" s="18">
        <f t="shared" si="45"/>
        <v>0</v>
      </c>
      <c r="L1464" s="27">
        <v>16056.21</v>
      </c>
      <c r="M1464" s="36">
        <v>745.74</v>
      </c>
      <c r="T1464" s="41">
        <v>0</v>
      </c>
      <c r="U1464" s="41">
        <v>0</v>
      </c>
      <c r="V1464" s="42" t="s">
        <v>113</v>
      </c>
      <c r="W1464" s="42">
        <v>0</v>
      </c>
      <c r="X1464" s="42">
        <v>0</v>
      </c>
    </row>
    <row r="1465" spans="1:24">
      <c r="A1465" s="27" t="s">
        <v>2830</v>
      </c>
      <c r="B1465" s="28" t="s">
        <v>215</v>
      </c>
      <c r="C1465" s="27" t="s">
        <v>955</v>
      </c>
      <c r="D1465" s="27" t="s">
        <v>230</v>
      </c>
      <c r="E1465" s="29">
        <v>40268</v>
      </c>
      <c r="F1465" s="27">
        <v>15</v>
      </c>
      <c r="G1465" s="18">
        <v>21022.42</v>
      </c>
      <c r="H1465" s="27">
        <f t="shared" si="44"/>
        <v>0</v>
      </c>
      <c r="I1465" s="18">
        <v>15310.42</v>
      </c>
      <c r="J1465" s="27">
        <v>21022.42</v>
      </c>
      <c r="K1465" s="18">
        <f t="shared" si="45"/>
        <v>0</v>
      </c>
      <c r="L1465" s="27">
        <v>16056.16</v>
      </c>
      <c r="M1465" s="36">
        <v>745.74</v>
      </c>
      <c r="T1465" s="41">
        <v>0</v>
      </c>
      <c r="U1465" s="41">
        <v>0</v>
      </c>
      <c r="V1465" s="42" t="s">
        <v>113</v>
      </c>
      <c r="W1465" s="42">
        <v>0</v>
      </c>
      <c r="X1465" s="42">
        <v>0</v>
      </c>
    </row>
    <row r="1466" spans="1:24">
      <c r="A1466" s="27" t="s">
        <v>2831</v>
      </c>
      <c r="B1466" s="28" t="s">
        <v>215</v>
      </c>
      <c r="C1466" s="27" t="s">
        <v>2832</v>
      </c>
      <c r="D1466" s="27" t="s">
        <v>112</v>
      </c>
      <c r="E1466" s="29">
        <v>40168</v>
      </c>
      <c r="F1466" s="27">
        <v>15</v>
      </c>
      <c r="G1466" s="18">
        <v>22978.03</v>
      </c>
      <c r="H1466" s="27">
        <f t="shared" si="44"/>
        <v>22978.03</v>
      </c>
      <c r="I1466" s="18">
        <v>21829.13</v>
      </c>
      <c r="J1466" s="27">
        <v>22978.03</v>
      </c>
      <c r="K1466" s="18">
        <f t="shared" si="45"/>
        <v>22978.03</v>
      </c>
      <c r="L1466" s="27">
        <v>21829.13</v>
      </c>
      <c r="M1466" s="36">
        <v>0</v>
      </c>
      <c r="T1466" s="41">
        <v>0</v>
      </c>
      <c r="U1466" s="41">
        <v>0</v>
      </c>
      <c r="V1466" s="42" t="s">
        <v>113</v>
      </c>
      <c r="W1466" s="42">
        <v>22978.03</v>
      </c>
      <c r="X1466" s="42">
        <v>22978.03</v>
      </c>
    </row>
    <row r="1467" spans="1:24">
      <c r="A1467" s="27" t="s">
        <v>2833</v>
      </c>
      <c r="B1467" s="28" t="s">
        <v>215</v>
      </c>
      <c r="C1467" s="27" t="s">
        <v>2834</v>
      </c>
      <c r="D1467" s="27" t="s">
        <v>118</v>
      </c>
      <c r="E1467" s="29">
        <v>40168</v>
      </c>
      <c r="F1467" s="27">
        <v>15</v>
      </c>
      <c r="G1467" s="18">
        <v>18000</v>
      </c>
      <c r="H1467" s="27">
        <f t="shared" si="44"/>
        <v>18000</v>
      </c>
      <c r="I1467" s="18">
        <v>17100</v>
      </c>
      <c r="J1467" s="27">
        <v>18000</v>
      </c>
      <c r="K1467" s="18">
        <f t="shared" si="45"/>
        <v>18000</v>
      </c>
      <c r="L1467" s="27">
        <v>17100</v>
      </c>
      <c r="M1467" s="36">
        <v>0</v>
      </c>
      <c r="T1467" s="41">
        <v>0</v>
      </c>
      <c r="U1467" s="41">
        <v>0</v>
      </c>
      <c r="V1467" s="42" t="s">
        <v>113</v>
      </c>
      <c r="W1467" s="42">
        <v>18000</v>
      </c>
      <c r="X1467" s="42">
        <v>18000</v>
      </c>
    </row>
    <row r="1468" spans="1:24">
      <c r="A1468" s="27" t="s">
        <v>2835</v>
      </c>
      <c r="B1468" s="28" t="s">
        <v>215</v>
      </c>
      <c r="C1468" s="27" t="s">
        <v>2836</v>
      </c>
      <c r="D1468" s="27" t="s">
        <v>118</v>
      </c>
      <c r="E1468" s="29">
        <v>40168</v>
      </c>
      <c r="F1468" s="27">
        <v>15</v>
      </c>
      <c r="G1468" s="18">
        <v>18000</v>
      </c>
      <c r="H1468" s="27">
        <f t="shared" si="44"/>
        <v>18000</v>
      </c>
      <c r="I1468" s="18">
        <v>17100</v>
      </c>
      <c r="J1468" s="27">
        <v>18000</v>
      </c>
      <c r="K1468" s="18">
        <f t="shared" si="45"/>
        <v>18000</v>
      </c>
      <c r="L1468" s="27">
        <v>17100</v>
      </c>
      <c r="M1468" s="36">
        <v>0</v>
      </c>
      <c r="T1468" s="41">
        <v>0</v>
      </c>
      <c r="U1468" s="41">
        <v>0</v>
      </c>
      <c r="V1468" s="42" t="s">
        <v>113</v>
      </c>
      <c r="W1468" s="42">
        <v>18000</v>
      </c>
      <c r="X1468" s="42">
        <v>18000</v>
      </c>
    </row>
    <row r="1469" spans="1:24">
      <c r="A1469" s="27" t="s">
        <v>2837</v>
      </c>
      <c r="B1469" s="28" t="s">
        <v>215</v>
      </c>
      <c r="C1469" s="27" t="s">
        <v>2838</v>
      </c>
      <c r="D1469" s="27" t="s">
        <v>118</v>
      </c>
      <c r="E1469" s="29">
        <v>40168</v>
      </c>
      <c r="F1469" s="27">
        <v>15</v>
      </c>
      <c r="G1469" s="18">
        <v>53610.85</v>
      </c>
      <c r="H1469" s="27">
        <f t="shared" si="44"/>
        <v>53610.85</v>
      </c>
      <c r="I1469" s="18">
        <v>50930.31</v>
      </c>
      <c r="J1469" s="27">
        <v>53610.85</v>
      </c>
      <c r="K1469" s="18">
        <f t="shared" si="45"/>
        <v>53610.85</v>
      </c>
      <c r="L1469" s="27">
        <v>50930.31</v>
      </c>
      <c r="M1469" s="36">
        <v>0</v>
      </c>
      <c r="T1469" s="41">
        <v>0</v>
      </c>
      <c r="U1469" s="41">
        <v>0</v>
      </c>
      <c r="V1469" s="42" t="s">
        <v>113</v>
      </c>
      <c r="W1469" s="42">
        <v>53610.85</v>
      </c>
      <c r="X1469" s="42">
        <v>53610.85</v>
      </c>
    </row>
    <row r="1470" spans="1:24">
      <c r="A1470" s="27" t="s">
        <v>2839</v>
      </c>
      <c r="B1470" s="28" t="s">
        <v>215</v>
      </c>
      <c r="C1470" s="27" t="s">
        <v>2840</v>
      </c>
      <c r="D1470" s="27" t="s">
        <v>118</v>
      </c>
      <c r="E1470" s="29">
        <v>40169</v>
      </c>
      <c r="F1470" s="27">
        <v>12</v>
      </c>
      <c r="G1470" s="18">
        <v>3000</v>
      </c>
      <c r="H1470" s="27">
        <f t="shared" si="44"/>
        <v>3000</v>
      </c>
      <c r="I1470" s="18">
        <v>3000</v>
      </c>
      <c r="J1470" s="27">
        <v>3000</v>
      </c>
      <c r="K1470" s="18">
        <f t="shared" si="45"/>
        <v>3000</v>
      </c>
      <c r="L1470" s="27">
        <v>3000</v>
      </c>
      <c r="M1470" s="36">
        <v>0</v>
      </c>
      <c r="T1470" s="41">
        <v>0</v>
      </c>
      <c r="U1470" s="41">
        <v>0</v>
      </c>
      <c r="V1470" s="42" t="s">
        <v>113</v>
      </c>
      <c r="W1470" s="42">
        <v>3000</v>
      </c>
      <c r="X1470" s="42">
        <v>3000</v>
      </c>
    </row>
    <row r="1471" spans="1:24">
      <c r="A1471" s="27" t="s">
        <v>2841</v>
      </c>
      <c r="B1471" s="28" t="s">
        <v>215</v>
      </c>
      <c r="C1471" s="27" t="s">
        <v>2842</v>
      </c>
      <c r="D1471" s="27" t="s">
        <v>118</v>
      </c>
      <c r="E1471" s="29">
        <v>40169</v>
      </c>
      <c r="F1471" s="27">
        <v>12</v>
      </c>
      <c r="G1471" s="18">
        <v>3000</v>
      </c>
      <c r="H1471" s="27">
        <f t="shared" si="44"/>
        <v>3000</v>
      </c>
      <c r="I1471" s="18">
        <v>3000</v>
      </c>
      <c r="J1471" s="27">
        <v>3000</v>
      </c>
      <c r="K1471" s="18">
        <f t="shared" si="45"/>
        <v>3000</v>
      </c>
      <c r="L1471" s="27">
        <v>3000</v>
      </c>
      <c r="M1471" s="36">
        <v>0</v>
      </c>
      <c r="T1471" s="41">
        <v>0</v>
      </c>
      <c r="U1471" s="41">
        <v>0</v>
      </c>
      <c r="V1471" s="42" t="s">
        <v>113</v>
      </c>
      <c r="W1471" s="42">
        <v>3000</v>
      </c>
      <c r="X1471" s="42">
        <v>3000</v>
      </c>
    </row>
    <row r="1472" spans="1:24">
      <c r="A1472" s="27" t="s">
        <v>2843</v>
      </c>
      <c r="B1472" s="28" t="s">
        <v>215</v>
      </c>
      <c r="C1472" s="27" t="s">
        <v>2844</v>
      </c>
      <c r="D1472" s="27" t="s">
        <v>112</v>
      </c>
      <c r="E1472" s="29">
        <v>40268</v>
      </c>
      <c r="F1472" s="27">
        <v>12</v>
      </c>
      <c r="G1472" s="18">
        <v>3706</v>
      </c>
      <c r="H1472" s="27">
        <f t="shared" si="44"/>
        <v>3706</v>
      </c>
      <c r="I1472" s="18">
        <v>3706</v>
      </c>
      <c r="J1472" s="27">
        <v>3706</v>
      </c>
      <c r="K1472" s="18">
        <f t="shared" si="45"/>
        <v>3706</v>
      </c>
      <c r="L1472" s="27">
        <v>3706</v>
      </c>
      <c r="M1472" s="36">
        <v>0</v>
      </c>
      <c r="T1472" s="41">
        <v>0</v>
      </c>
      <c r="U1472" s="41">
        <v>0</v>
      </c>
      <c r="V1472" s="42" t="s">
        <v>113</v>
      </c>
      <c r="W1472" s="42">
        <v>3706</v>
      </c>
      <c r="X1472" s="42">
        <v>3706</v>
      </c>
    </row>
    <row r="1473" spans="1:24">
      <c r="A1473" s="27" t="s">
        <v>2845</v>
      </c>
      <c r="B1473" s="28" t="s">
        <v>215</v>
      </c>
      <c r="C1473" s="27" t="s">
        <v>2846</v>
      </c>
      <c r="D1473" s="27" t="s">
        <v>230</v>
      </c>
      <c r="E1473" s="29">
        <v>40169</v>
      </c>
      <c r="F1473" s="27">
        <v>12</v>
      </c>
      <c r="G1473" s="18">
        <v>4000</v>
      </c>
      <c r="H1473" s="27">
        <f t="shared" si="44"/>
        <v>4000</v>
      </c>
      <c r="I1473" s="18">
        <v>4000</v>
      </c>
      <c r="J1473" s="27">
        <v>4000</v>
      </c>
      <c r="K1473" s="18">
        <f t="shared" si="45"/>
        <v>4000</v>
      </c>
      <c r="L1473" s="27">
        <v>4000</v>
      </c>
      <c r="M1473" s="36">
        <v>0</v>
      </c>
      <c r="T1473" s="41">
        <v>0</v>
      </c>
      <c r="U1473" s="41">
        <v>0</v>
      </c>
      <c r="V1473" s="42" t="s">
        <v>113</v>
      </c>
      <c r="W1473" s="42">
        <v>4000</v>
      </c>
      <c r="X1473" s="42">
        <v>4000</v>
      </c>
    </row>
    <row r="1474" spans="1:24">
      <c r="A1474" s="27" t="s">
        <v>2847</v>
      </c>
      <c r="B1474" s="28" t="s">
        <v>215</v>
      </c>
      <c r="C1474" s="27" t="s">
        <v>2848</v>
      </c>
      <c r="D1474" s="27" t="s">
        <v>230</v>
      </c>
      <c r="E1474" s="29">
        <v>40169</v>
      </c>
      <c r="F1474" s="27">
        <v>15</v>
      </c>
      <c r="G1474" s="18">
        <v>15637.1</v>
      </c>
      <c r="H1474" s="27">
        <f t="shared" si="44"/>
        <v>15637.1</v>
      </c>
      <c r="I1474" s="18">
        <v>14855.24</v>
      </c>
      <c r="J1474" s="27">
        <v>15637.1</v>
      </c>
      <c r="K1474" s="18">
        <f t="shared" si="45"/>
        <v>15637.1</v>
      </c>
      <c r="L1474" s="27">
        <v>14855.24</v>
      </c>
      <c r="M1474" s="36">
        <v>0</v>
      </c>
      <c r="T1474" s="41">
        <v>0</v>
      </c>
      <c r="U1474" s="41">
        <v>0</v>
      </c>
      <c r="V1474" s="42" t="s">
        <v>113</v>
      </c>
      <c r="W1474" s="42">
        <v>15637.1</v>
      </c>
      <c r="X1474" s="42">
        <v>15637.1</v>
      </c>
    </row>
    <row r="1475" spans="1:24">
      <c r="A1475" s="27" t="s">
        <v>2849</v>
      </c>
      <c r="B1475" s="28" t="s">
        <v>215</v>
      </c>
      <c r="C1475" s="27" t="s">
        <v>2850</v>
      </c>
      <c r="D1475" s="27" t="s">
        <v>230</v>
      </c>
      <c r="E1475" s="29">
        <v>40169</v>
      </c>
      <c r="F1475" s="27">
        <v>12</v>
      </c>
      <c r="G1475" s="18">
        <v>4000</v>
      </c>
      <c r="H1475" s="27">
        <f t="shared" si="44"/>
        <v>4000</v>
      </c>
      <c r="I1475" s="18">
        <v>4000</v>
      </c>
      <c r="J1475" s="27">
        <v>4000</v>
      </c>
      <c r="K1475" s="18">
        <f t="shared" si="45"/>
        <v>4000</v>
      </c>
      <c r="L1475" s="27">
        <v>4000</v>
      </c>
      <c r="M1475" s="36">
        <v>0</v>
      </c>
      <c r="T1475" s="41">
        <v>0</v>
      </c>
      <c r="U1475" s="41">
        <v>0</v>
      </c>
      <c r="V1475" s="42" t="s">
        <v>113</v>
      </c>
      <c r="W1475" s="42">
        <v>4000</v>
      </c>
      <c r="X1475" s="42">
        <v>4000</v>
      </c>
    </row>
    <row r="1476" spans="1:24">
      <c r="A1476" s="27" t="s">
        <v>2851</v>
      </c>
      <c r="B1476" s="28" t="s">
        <v>215</v>
      </c>
      <c r="C1476" s="27" t="s">
        <v>2852</v>
      </c>
      <c r="D1476" s="27" t="s">
        <v>230</v>
      </c>
      <c r="E1476" s="29">
        <v>40169</v>
      </c>
      <c r="F1476" s="27">
        <v>12</v>
      </c>
      <c r="G1476" s="18">
        <v>4000</v>
      </c>
      <c r="H1476" s="27">
        <f t="shared" si="44"/>
        <v>4000</v>
      </c>
      <c r="I1476" s="18">
        <v>4000</v>
      </c>
      <c r="J1476" s="27">
        <v>4000</v>
      </c>
      <c r="K1476" s="18">
        <f t="shared" si="45"/>
        <v>4000</v>
      </c>
      <c r="L1476" s="27">
        <v>4000</v>
      </c>
      <c r="M1476" s="36">
        <v>0</v>
      </c>
      <c r="T1476" s="41">
        <v>0</v>
      </c>
      <c r="U1476" s="41">
        <v>0</v>
      </c>
      <c r="V1476" s="42" t="s">
        <v>113</v>
      </c>
      <c r="W1476" s="42">
        <v>4000</v>
      </c>
      <c r="X1476" s="42">
        <v>4000</v>
      </c>
    </row>
    <row r="1477" spans="1:24">
      <c r="A1477" s="27" t="s">
        <v>2853</v>
      </c>
      <c r="B1477" s="28" t="s">
        <v>215</v>
      </c>
      <c r="C1477" s="27" t="s">
        <v>2854</v>
      </c>
      <c r="D1477" s="27" t="s">
        <v>230</v>
      </c>
      <c r="E1477" s="29">
        <v>40268</v>
      </c>
      <c r="F1477" s="27">
        <v>15</v>
      </c>
      <c r="G1477" s="18">
        <v>52965.68</v>
      </c>
      <c r="H1477" s="27">
        <f t="shared" si="44"/>
        <v>0</v>
      </c>
      <c r="I1477" s="18">
        <v>47914.07</v>
      </c>
      <c r="J1477" s="27">
        <v>52965.68</v>
      </c>
      <c r="K1477" s="18">
        <f t="shared" si="45"/>
        <v>0</v>
      </c>
      <c r="L1477" s="27">
        <v>48298.6</v>
      </c>
      <c r="M1477" s="36">
        <v>384.53</v>
      </c>
      <c r="T1477" s="41">
        <v>0</v>
      </c>
      <c r="U1477" s="41">
        <v>0</v>
      </c>
      <c r="V1477" s="42" t="s">
        <v>113</v>
      </c>
      <c r="W1477" s="42">
        <v>0</v>
      </c>
      <c r="X1477" s="42">
        <v>0</v>
      </c>
    </row>
    <row r="1478" spans="1:24">
      <c r="A1478" s="27" t="s">
        <v>2855</v>
      </c>
      <c r="B1478" s="28" t="s">
        <v>215</v>
      </c>
      <c r="C1478" s="27" t="s">
        <v>2856</v>
      </c>
      <c r="D1478" s="27" t="s">
        <v>230</v>
      </c>
      <c r="E1478" s="29">
        <v>40169</v>
      </c>
      <c r="F1478" s="27">
        <v>12</v>
      </c>
      <c r="G1478" s="18">
        <v>4000</v>
      </c>
      <c r="H1478" s="27">
        <f t="shared" ref="H1478:H1541" si="46">IFERROR(IF(ROUND((G1478-I1478)/G1478,2)&lt;=0.05,G1478,0),0)</f>
        <v>4000</v>
      </c>
      <c r="I1478" s="18">
        <v>4000</v>
      </c>
      <c r="J1478" s="27">
        <v>4000</v>
      </c>
      <c r="K1478" s="18">
        <f t="shared" ref="K1478:K1541" si="47">IFERROR(IF(ROUND((J1478-L1478)/J1478,2)&lt;=0.05,J1478,0),0)</f>
        <v>4000</v>
      </c>
      <c r="L1478" s="27">
        <v>4000</v>
      </c>
      <c r="M1478" s="36">
        <v>0</v>
      </c>
      <c r="T1478" s="41">
        <v>0</v>
      </c>
      <c r="U1478" s="41">
        <v>0</v>
      </c>
      <c r="V1478" s="42" t="s">
        <v>113</v>
      </c>
      <c r="W1478" s="42">
        <v>4000</v>
      </c>
      <c r="X1478" s="42">
        <v>4000</v>
      </c>
    </row>
    <row r="1479" spans="1:24">
      <c r="A1479" s="27" t="s">
        <v>2857</v>
      </c>
      <c r="B1479" s="28" t="s">
        <v>215</v>
      </c>
      <c r="C1479" s="27" t="s">
        <v>2858</v>
      </c>
      <c r="D1479" s="27" t="s">
        <v>230</v>
      </c>
      <c r="E1479" s="29">
        <v>40268</v>
      </c>
      <c r="F1479" s="27">
        <v>15</v>
      </c>
      <c r="G1479" s="18">
        <v>52965.68</v>
      </c>
      <c r="H1479" s="27">
        <f t="shared" si="46"/>
        <v>0</v>
      </c>
      <c r="I1479" s="18">
        <v>47914.07</v>
      </c>
      <c r="J1479" s="27">
        <v>52965.68</v>
      </c>
      <c r="K1479" s="18">
        <f t="shared" si="47"/>
        <v>0</v>
      </c>
      <c r="L1479" s="27">
        <v>48298.6</v>
      </c>
      <c r="M1479" s="36">
        <v>384.53</v>
      </c>
      <c r="T1479" s="41">
        <v>0</v>
      </c>
      <c r="U1479" s="41">
        <v>0</v>
      </c>
      <c r="V1479" s="42" t="s">
        <v>113</v>
      </c>
      <c r="W1479" s="42">
        <v>0</v>
      </c>
      <c r="X1479" s="42">
        <v>0</v>
      </c>
    </row>
    <row r="1480" spans="1:24">
      <c r="A1480" s="27" t="s">
        <v>2859</v>
      </c>
      <c r="B1480" s="28" t="s">
        <v>215</v>
      </c>
      <c r="C1480" s="27" t="s">
        <v>2860</v>
      </c>
      <c r="D1480" s="27" t="s">
        <v>230</v>
      </c>
      <c r="E1480" s="29">
        <v>40268</v>
      </c>
      <c r="F1480" s="27">
        <v>15</v>
      </c>
      <c r="G1480" s="18">
        <v>52965.68</v>
      </c>
      <c r="H1480" s="27">
        <f t="shared" si="46"/>
        <v>0</v>
      </c>
      <c r="I1480" s="18">
        <v>47914.07</v>
      </c>
      <c r="J1480" s="27">
        <v>52965.68</v>
      </c>
      <c r="K1480" s="18">
        <f t="shared" si="47"/>
        <v>0</v>
      </c>
      <c r="L1480" s="27">
        <v>48298.6</v>
      </c>
      <c r="M1480" s="36">
        <v>384.53</v>
      </c>
      <c r="T1480" s="41">
        <v>0</v>
      </c>
      <c r="U1480" s="41">
        <v>0</v>
      </c>
      <c r="V1480" s="42" t="s">
        <v>113</v>
      </c>
      <c r="W1480" s="42">
        <v>0</v>
      </c>
      <c r="X1480" s="42">
        <v>0</v>
      </c>
    </row>
    <row r="1481" spans="1:24">
      <c r="A1481" s="27" t="s">
        <v>2861</v>
      </c>
      <c r="B1481" s="28" t="s">
        <v>215</v>
      </c>
      <c r="C1481" s="27" t="s">
        <v>2862</v>
      </c>
      <c r="D1481" s="27" t="s">
        <v>230</v>
      </c>
      <c r="E1481" s="29">
        <v>40268</v>
      </c>
      <c r="F1481" s="27">
        <v>15</v>
      </c>
      <c r="G1481" s="18">
        <v>52965.68</v>
      </c>
      <c r="H1481" s="27">
        <f t="shared" si="46"/>
        <v>0</v>
      </c>
      <c r="I1481" s="18">
        <v>47914.07</v>
      </c>
      <c r="J1481" s="27">
        <v>52965.68</v>
      </c>
      <c r="K1481" s="18">
        <f t="shared" si="47"/>
        <v>0</v>
      </c>
      <c r="L1481" s="27">
        <v>48298.6</v>
      </c>
      <c r="M1481" s="36">
        <v>384.53</v>
      </c>
      <c r="T1481" s="41">
        <v>0</v>
      </c>
      <c r="U1481" s="41">
        <v>0</v>
      </c>
      <c r="V1481" s="42" t="s">
        <v>113</v>
      </c>
      <c r="W1481" s="42">
        <v>0</v>
      </c>
      <c r="X1481" s="42">
        <v>0</v>
      </c>
    </row>
    <row r="1482" spans="1:24">
      <c r="A1482" s="27" t="s">
        <v>2863</v>
      </c>
      <c r="B1482" s="28" t="s">
        <v>215</v>
      </c>
      <c r="C1482" s="27" t="s">
        <v>2864</v>
      </c>
      <c r="D1482" s="27" t="s">
        <v>230</v>
      </c>
      <c r="E1482" s="29">
        <v>40268</v>
      </c>
      <c r="F1482" s="27">
        <v>15</v>
      </c>
      <c r="G1482" s="18">
        <v>52965.68</v>
      </c>
      <c r="H1482" s="27">
        <f t="shared" si="46"/>
        <v>0</v>
      </c>
      <c r="I1482" s="18">
        <v>47914.07</v>
      </c>
      <c r="J1482" s="27">
        <v>52965.68</v>
      </c>
      <c r="K1482" s="18">
        <f t="shared" si="47"/>
        <v>0</v>
      </c>
      <c r="L1482" s="27">
        <v>48298.6</v>
      </c>
      <c r="M1482" s="36">
        <v>384.53</v>
      </c>
      <c r="T1482" s="41">
        <v>0</v>
      </c>
      <c r="U1482" s="41">
        <v>0</v>
      </c>
      <c r="V1482" s="42" t="s">
        <v>113</v>
      </c>
      <c r="W1482" s="42">
        <v>0</v>
      </c>
      <c r="X1482" s="42">
        <v>0</v>
      </c>
    </row>
    <row r="1483" spans="1:24">
      <c r="A1483" s="27" t="s">
        <v>2865</v>
      </c>
      <c r="B1483" s="28" t="s">
        <v>215</v>
      </c>
      <c r="C1483" s="27" t="s">
        <v>2866</v>
      </c>
      <c r="D1483" s="27" t="s">
        <v>112</v>
      </c>
      <c r="E1483" s="29">
        <v>41272</v>
      </c>
      <c r="F1483" s="27">
        <v>15</v>
      </c>
      <c r="G1483" s="18">
        <v>31545.66</v>
      </c>
      <c r="H1483" s="27">
        <f t="shared" si="46"/>
        <v>31545.66</v>
      </c>
      <c r="I1483" s="18">
        <v>31545.66</v>
      </c>
      <c r="J1483" s="27">
        <v>31545.66</v>
      </c>
      <c r="K1483" s="18">
        <f t="shared" si="47"/>
        <v>31545.66</v>
      </c>
      <c r="L1483" s="27">
        <v>29968.38</v>
      </c>
      <c r="M1483" s="36">
        <v>-1577.28</v>
      </c>
      <c r="T1483" s="41">
        <v>0</v>
      </c>
      <c r="U1483" s="41">
        <v>0</v>
      </c>
      <c r="V1483" s="42" t="s">
        <v>113</v>
      </c>
      <c r="W1483" s="42">
        <v>31545.66</v>
      </c>
      <c r="X1483" s="42">
        <v>31545.66</v>
      </c>
    </row>
    <row r="1484" spans="1:24">
      <c r="A1484" s="27" t="s">
        <v>2867</v>
      </c>
      <c r="B1484" s="28" t="s">
        <v>215</v>
      </c>
      <c r="C1484" s="27" t="s">
        <v>2868</v>
      </c>
      <c r="D1484" s="27" t="s">
        <v>112</v>
      </c>
      <c r="E1484" s="29">
        <v>41272</v>
      </c>
      <c r="F1484" s="27">
        <v>15</v>
      </c>
      <c r="G1484" s="18">
        <v>31545.66</v>
      </c>
      <c r="H1484" s="27">
        <f t="shared" si="46"/>
        <v>31545.66</v>
      </c>
      <c r="I1484" s="18">
        <v>31545.66</v>
      </c>
      <c r="J1484" s="27">
        <v>31545.66</v>
      </c>
      <c r="K1484" s="18">
        <f t="shared" si="47"/>
        <v>31545.66</v>
      </c>
      <c r="L1484" s="27">
        <v>29968.38</v>
      </c>
      <c r="M1484" s="36">
        <v>-1577.28</v>
      </c>
      <c r="T1484" s="41">
        <v>0</v>
      </c>
      <c r="U1484" s="41">
        <v>0</v>
      </c>
      <c r="V1484" s="42" t="s">
        <v>113</v>
      </c>
      <c r="W1484" s="42">
        <v>31545.66</v>
      </c>
      <c r="X1484" s="42">
        <v>31545.66</v>
      </c>
    </row>
    <row r="1485" spans="1:24">
      <c r="A1485" s="27" t="s">
        <v>2869</v>
      </c>
      <c r="B1485" s="28" t="s">
        <v>215</v>
      </c>
      <c r="C1485" s="27" t="s">
        <v>2870</v>
      </c>
      <c r="D1485" s="27" t="s">
        <v>112</v>
      </c>
      <c r="E1485" s="29">
        <v>41272</v>
      </c>
      <c r="F1485" s="27">
        <v>15</v>
      </c>
      <c r="G1485" s="18">
        <v>31545.66</v>
      </c>
      <c r="H1485" s="27">
        <f t="shared" si="46"/>
        <v>31545.66</v>
      </c>
      <c r="I1485" s="18">
        <v>31545.66</v>
      </c>
      <c r="J1485" s="27">
        <v>31545.66</v>
      </c>
      <c r="K1485" s="18">
        <f t="shared" si="47"/>
        <v>31545.66</v>
      </c>
      <c r="L1485" s="27">
        <v>29968.38</v>
      </c>
      <c r="M1485" s="36">
        <v>-1577.28</v>
      </c>
      <c r="T1485" s="41">
        <v>0</v>
      </c>
      <c r="U1485" s="41">
        <v>0</v>
      </c>
      <c r="V1485" s="42" t="s">
        <v>113</v>
      </c>
      <c r="W1485" s="42">
        <v>31545.66</v>
      </c>
      <c r="X1485" s="42">
        <v>31545.66</v>
      </c>
    </row>
    <row r="1486" spans="1:24">
      <c r="A1486" s="27" t="s">
        <v>2871</v>
      </c>
      <c r="B1486" s="28" t="s">
        <v>215</v>
      </c>
      <c r="C1486" s="27" t="s">
        <v>2872</v>
      </c>
      <c r="D1486" s="27" t="s">
        <v>112</v>
      </c>
      <c r="E1486" s="29">
        <v>41272</v>
      </c>
      <c r="F1486" s="27">
        <v>12</v>
      </c>
      <c r="G1486" s="18">
        <v>841.22</v>
      </c>
      <c r="H1486" s="27">
        <f t="shared" si="46"/>
        <v>841.22</v>
      </c>
      <c r="I1486" s="18">
        <v>841.22</v>
      </c>
      <c r="J1486" s="27">
        <v>841.22</v>
      </c>
      <c r="K1486" s="18">
        <f t="shared" si="47"/>
        <v>841.22</v>
      </c>
      <c r="L1486" s="27">
        <v>841.22</v>
      </c>
      <c r="M1486" s="36">
        <v>0</v>
      </c>
      <c r="T1486" s="41">
        <v>0</v>
      </c>
      <c r="U1486" s="41">
        <v>0</v>
      </c>
      <c r="V1486" s="42" t="s">
        <v>113</v>
      </c>
      <c r="W1486" s="42">
        <v>841.22</v>
      </c>
      <c r="X1486" s="42">
        <v>841.22</v>
      </c>
    </row>
    <row r="1487" spans="1:24">
      <c r="A1487" s="27" t="s">
        <v>2873</v>
      </c>
      <c r="B1487" s="28" t="s">
        <v>215</v>
      </c>
      <c r="C1487" s="27" t="s">
        <v>2874</v>
      </c>
      <c r="D1487" s="27" t="s">
        <v>112</v>
      </c>
      <c r="E1487" s="29">
        <v>41272</v>
      </c>
      <c r="F1487" s="27">
        <v>12</v>
      </c>
      <c r="G1487" s="18">
        <v>841.22</v>
      </c>
      <c r="H1487" s="27">
        <f t="shared" si="46"/>
        <v>841.22</v>
      </c>
      <c r="I1487" s="18">
        <v>841.22</v>
      </c>
      <c r="J1487" s="27">
        <v>841.22</v>
      </c>
      <c r="K1487" s="18">
        <f t="shared" si="47"/>
        <v>841.22</v>
      </c>
      <c r="L1487" s="27">
        <v>841.22</v>
      </c>
      <c r="M1487" s="36">
        <v>0</v>
      </c>
      <c r="T1487" s="41">
        <v>0</v>
      </c>
      <c r="U1487" s="41">
        <v>0</v>
      </c>
      <c r="V1487" s="42" t="s">
        <v>113</v>
      </c>
      <c r="W1487" s="42">
        <v>841.22</v>
      </c>
      <c r="X1487" s="42">
        <v>841.22</v>
      </c>
    </row>
    <row r="1488" spans="1:24">
      <c r="A1488" s="27" t="s">
        <v>2875</v>
      </c>
      <c r="B1488" s="28" t="s">
        <v>215</v>
      </c>
      <c r="C1488" s="27" t="s">
        <v>2876</v>
      </c>
      <c r="D1488" s="27" t="s">
        <v>112</v>
      </c>
      <c r="E1488" s="29">
        <v>41272</v>
      </c>
      <c r="F1488" s="27">
        <v>12</v>
      </c>
      <c r="G1488" s="18">
        <v>841.22</v>
      </c>
      <c r="H1488" s="27">
        <f t="shared" si="46"/>
        <v>841.22</v>
      </c>
      <c r="I1488" s="18">
        <v>841.22</v>
      </c>
      <c r="J1488" s="27">
        <v>841.22</v>
      </c>
      <c r="K1488" s="18">
        <f t="shared" si="47"/>
        <v>841.22</v>
      </c>
      <c r="L1488" s="27">
        <v>841.22</v>
      </c>
      <c r="M1488" s="36">
        <v>0</v>
      </c>
      <c r="T1488" s="41">
        <v>0</v>
      </c>
      <c r="U1488" s="41">
        <v>0</v>
      </c>
      <c r="V1488" s="42" t="s">
        <v>113</v>
      </c>
      <c r="W1488" s="42">
        <v>841.22</v>
      </c>
      <c r="X1488" s="42">
        <v>841.22</v>
      </c>
    </row>
    <row r="1489" spans="1:24">
      <c r="A1489" s="27" t="s">
        <v>2877</v>
      </c>
      <c r="B1489" s="28" t="s">
        <v>215</v>
      </c>
      <c r="C1489" s="27" t="s">
        <v>2878</v>
      </c>
      <c r="D1489" s="27" t="s">
        <v>112</v>
      </c>
      <c r="E1489" s="29">
        <v>41272</v>
      </c>
      <c r="F1489" s="27">
        <v>15</v>
      </c>
      <c r="G1489" s="18">
        <v>31545.66</v>
      </c>
      <c r="H1489" s="27">
        <f t="shared" si="46"/>
        <v>31545.66</v>
      </c>
      <c r="I1489" s="18">
        <v>31545.66</v>
      </c>
      <c r="J1489" s="27">
        <v>31545.66</v>
      </c>
      <c r="K1489" s="18">
        <f t="shared" si="47"/>
        <v>31545.66</v>
      </c>
      <c r="L1489" s="27">
        <v>29968.38</v>
      </c>
      <c r="M1489" s="36">
        <v>-1577.28</v>
      </c>
      <c r="T1489" s="41">
        <v>0</v>
      </c>
      <c r="U1489" s="41">
        <v>0</v>
      </c>
      <c r="V1489" s="42" t="s">
        <v>113</v>
      </c>
      <c r="W1489" s="42">
        <v>31545.66</v>
      </c>
      <c r="X1489" s="42">
        <v>31545.66</v>
      </c>
    </row>
    <row r="1490" spans="1:24">
      <c r="A1490" s="27" t="s">
        <v>2879</v>
      </c>
      <c r="B1490" s="28" t="s">
        <v>215</v>
      </c>
      <c r="C1490" s="27" t="s">
        <v>2880</v>
      </c>
      <c r="D1490" s="27" t="s">
        <v>112</v>
      </c>
      <c r="E1490" s="29">
        <v>41272</v>
      </c>
      <c r="F1490" s="27">
        <v>15</v>
      </c>
      <c r="G1490" s="18">
        <v>31545.66</v>
      </c>
      <c r="H1490" s="27">
        <f t="shared" si="46"/>
        <v>31545.66</v>
      </c>
      <c r="I1490" s="18">
        <v>31545.66</v>
      </c>
      <c r="J1490" s="27">
        <v>31545.66</v>
      </c>
      <c r="K1490" s="18">
        <f t="shared" si="47"/>
        <v>31545.66</v>
      </c>
      <c r="L1490" s="27">
        <v>29968.38</v>
      </c>
      <c r="M1490" s="36">
        <v>-1577.28</v>
      </c>
      <c r="T1490" s="41">
        <v>0</v>
      </c>
      <c r="U1490" s="41">
        <v>0</v>
      </c>
      <c r="V1490" s="42" t="s">
        <v>113</v>
      </c>
      <c r="W1490" s="42">
        <v>31545.66</v>
      </c>
      <c r="X1490" s="42">
        <v>31545.66</v>
      </c>
    </row>
    <row r="1491" spans="1:24">
      <c r="A1491" s="27" t="s">
        <v>2881</v>
      </c>
      <c r="B1491" s="28" t="s">
        <v>215</v>
      </c>
      <c r="C1491" s="27" t="s">
        <v>2882</v>
      </c>
      <c r="D1491" s="27" t="s">
        <v>112</v>
      </c>
      <c r="E1491" s="29">
        <v>41272</v>
      </c>
      <c r="F1491" s="27">
        <v>15</v>
      </c>
      <c r="G1491" s="18">
        <v>31545.66</v>
      </c>
      <c r="H1491" s="27">
        <f t="shared" si="46"/>
        <v>31545.66</v>
      </c>
      <c r="I1491" s="18">
        <v>31545.66</v>
      </c>
      <c r="J1491" s="27">
        <v>31545.66</v>
      </c>
      <c r="K1491" s="18">
        <f t="shared" si="47"/>
        <v>31545.66</v>
      </c>
      <c r="L1491" s="27">
        <v>29968.38</v>
      </c>
      <c r="M1491" s="36">
        <v>-1577.28</v>
      </c>
      <c r="T1491" s="41">
        <v>0</v>
      </c>
      <c r="U1491" s="41">
        <v>0</v>
      </c>
      <c r="V1491" s="42" t="s">
        <v>113</v>
      </c>
      <c r="W1491" s="42">
        <v>31545.66</v>
      </c>
      <c r="X1491" s="42">
        <v>31545.66</v>
      </c>
    </row>
    <row r="1492" spans="1:24">
      <c r="A1492" s="27" t="s">
        <v>2883</v>
      </c>
      <c r="B1492" s="28" t="s">
        <v>215</v>
      </c>
      <c r="C1492" s="27" t="s">
        <v>2884</v>
      </c>
      <c r="D1492" s="27" t="s">
        <v>112</v>
      </c>
      <c r="E1492" s="29">
        <v>41272</v>
      </c>
      <c r="F1492" s="27">
        <v>12</v>
      </c>
      <c r="G1492" s="18">
        <v>841.22</v>
      </c>
      <c r="H1492" s="27">
        <f t="shared" si="46"/>
        <v>841.22</v>
      </c>
      <c r="I1492" s="18">
        <v>841.22</v>
      </c>
      <c r="J1492" s="27">
        <v>841.22</v>
      </c>
      <c r="K1492" s="18">
        <f t="shared" si="47"/>
        <v>841.22</v>
      </c>
      <c r="L1492" s="27">
        <v>841.22</v>
      </c>
      <c r="M1492" s="36">
        <v>0</v>
      </c>
      <c r="T1492" s="41">
        <v>0</v>
      </c>
      <c r="U1492" s="41">
        <v>0</v>
      </c>
      <c r="V1492" s="42" t="s">
        <v>113</v>
      </c>
      <c r="W1492" s="42">
        <v>841.22</v>
      </c>
      <c r="X1492" s="42">
        <v>841.22</v>
      </c>
    </row>
    <row r="1493" spans="1:24">
      <c r="A1493" s="27" t="s">
        <v>2885</v>
      </c>
      <c r="B1493" s="28" t="s">
        <v>215</v>
      </c>
      <c r="C1493" s="27" t="s">
        <v>2886</v>
      </c>
      <c r="D1493" s="27" t="s">
        <v>112</v>
      </c>
      <c r="E1493" s="29">
        <v>41272</v>
      </c>
      <c r="F1493" s="27">
        <v>12</v>
      </c>
      <c r="G1493" s="18">
        <v>841.22</v>
      </c>
      <c r="H1493" s="27">
        <f t="shared" si="46"/>
        <v>841.22</v>
      </c>
      <c r="I1493" s="18">
        <v>841.22</v>
      </c>
      <c r="J1493" s="27">
        <v>841.22</v>
      </c>
      <c r="K1493" s="18">
        <f t="shared" si="47"/>
        <v>841.22</v>
      </c>
      <c r="L1493" s="27">
        <v>841.22</v>
      </c>
      <c r="M1493" s="36">
        <v>0</v>
      </c>
      <c r="T1493" s="41">
        <v>0</v>
      </c>
      <c r="U1493" s="41">
        <v>0</v>
      </c>
      <c r="V1493" s="42" t="s">
        <v>113</v>
      </c>
      <c r="W1493" s="42">
        <v>841.22</v>
      </c>
      <c r="X1493" s="42">
        <v>841.22</v>
      </c>
    </row>
    <row r="1494" spans="1:24">
      <c r="A1494" s="27" t="s">
        <v>2887</v>
      </c>
      <c r="B1494" s="28" t="s">
        <v>215</v>
      </c>
      <c r="C1494" s="27" t="s">
        <v>2888</v>
      </c>
      <c r="D1494" s="27" t="s">
        <v>112</v>
      </c>
      <c r="E1494" s="29">
        <v>41272</v>
      </c>
      <c r="F1494" s="27">
        <v>12</v>
      </c>
      <c r="G1494" s="18">
        <v>841.22</v>
      </c>
      <c r="H1494" s="27">
        <f t="shared" si="46"/>
        <v>841.22</v>
      </c>
      <c r="I1494" s="18">
        <v>841.22</v>
      </c>
      <c r="J1494" s="27">
        <v>841.22</v>
      </c>
      <c r="K1494" s="18">
        <f t="shared" si="47"/>
        <v>841.22</v>
      </c>
      <c r="L1494" s="27">
        <v>841.22</v>
      </c>
      <c r="M1494" s="36">
        <v>0</v>
      </c>
      <c r="T1494" s="41">
        <v>0</v>
      </c>
      <c r="U1494" s="41">
        <v>0</v>
      </c>
      <c r="V1494" s="42" t="s">
        <v>113</v>
      </c>
      <c r="W1494" s="42">
        <v>841.22</v>
      </c>
      <c r="X1494" s="42">
        <v>841.22</v>
      </c>
    </row>
    <row r="1495" spans="1:24">
      <c r="A1495" s="27" t="s">
        <v>2889</v>
      </c>
      <c r="B1495" s="28" t="s">
        <v>215</v>
      </c>
      <c r="C1495" s="27" t="s">
        <v>488</v>
      </c>
      <c r="D1495" s="27" t="s">
        <v>112</v>
      </c>
      <c r="E1495" s="29">
        <v>39417</v>
      </c>
      <c r="F1495" s="27">
        <v>15</v>
      </c>
      <c r="G1495" s="18">
        <v>36875.99</v>
      </c>
      <c r="H1495" s="27">
        <f t="shared" si="46"/>
        <v>0</v>
      </c>
      <c r="I1495" s="18">
        <v>29752.81</v>
      </c>
      <c r="J1495" s="27">
        <v>36875.99</v>
      </c>
      <c r="K1495" s="18">
        <f t="shared" si="47"/>
        <v>0</v>
      </c>
      <c r="L1495" s="27">
        <v>31072.66</v>
      </c>
      <c r="M1495" s="36">
        <v>1319.85</v>
      </c>
      <c r="T1495" s="41">
        <v>0</v>
      </c>
      <c r="U1495" s="41">
        <v>0</v>
      </c>
      <c r="V1495" s="42" t="s">
        <v>113</v>
      </c>
      <c r="W1495" s="42">
        <v>0</v>
      </c>
      <c r="X1495" s="42">
        <v>0</v>
      </c>
    </row>
    <row r="1496" spans="1:24">
      <c r="A1496" s="27" t="s">
        <v>2890</v>
      </c>
      <c r="B1496" s="28" t="s">
        <v>215</v>
      </c>
      <c r="C1496" s="27" t="s">
        <v>2891</v>
      </c>
      <c r="D1496" s="27" t="s">
        <v>112</v>
      </c>
      <c r="E1496" s="29">
        <v>41272</v>
      </c>
      <c r="F1496" s="27">
        <v>15</v>
      </c>
      <c r="G1496" s="18">
        <v>31545.66</v>
      </c>
      <c r="H1496" s="27">
        <f t="shared" si="46"/>
        <v>31545.66</v>
      </c>
      <c r="I1496" s="18">
        <v>31545.66</v>
      </c>
      <c r="J1496" s="27">
        <v>31545.66</v>
      </c>
      <c r="K1496" s="18">
        <f t="shared" si="47"/>
        <v>31545.66</v>
      </c>
      <c r="L1496" s="27">
        <v>29968.38</v>
      </c>
      <c r="M1496" s="36">
        <v>-1577.28</v>
      </c>
      <c r="T1496" s="41">
        <v>0</v>
      </c>
      <c r="U1496" s="41">
        <v>0</v>
      </c>
      <c r="V1496" s="42" t="s">
        <v>113</v>
      </c>
      <c r="W1496" s="42">
        <v>31545.66</v>
      </c>
      <c r="X1496" s="42">
        <v>31545.66</v>
      </c>
    </row>
    <row r="1497" spans="1:24">
      <c r="A1497" s="27" t="s">
        <v>2892</v>
      </c>
      <c r="B1497" s="28" t="s">
        <v>215</v>
      </c>
      <c r="C1497" s="27" t="s">
        <v>2893</v>
      </c>
      <c r="D1497" s="27" t="s">
        <v>112</v>
      </c>
      <c r="E1497" s="29">
        <v>41272</v>
      </c>
      <c r="F1497" s="27">
        <v>15</v>
      </c>
      <c r="G1497" s="18">
        <v>31545.66</v>
      </c>
      <c r="H1497" s="27">
        <f t="shared" si="46"/>
        <v>31545.66</v>
      </c>
      <c r="I1497" s="18">
        <v>31545.66</v>
      </c>
      <c r="J1497" s="27">
        <v>31545.66</v>
      </c>
      <c r="K1497" s="18">
        <f t="shared" si="47"/>
        <v>31545.66</v>
      </c>
      <c r="L1497" s="27">
        <v>29968.38</v>
      </c>
      <c r="M1497" s="36">
        <v>-1577.28</v>
      </c>
      <c r="T1497" s="41">
        <v>0</v>
      </c>
      <c r="U1497" s="41">
        <v>0</v>
      </c>
      <c r="V1497" s="42" t="s">
        <v>113</v>
      </c>
      <c r="W1497" s="42">
        <v>31545.66</v>
      </c>
      <c r="X1497" s="42">
        <v>31545.66</v>
      </c>
    </row>
    <row r="1498" spans="1:24">
      <c r="A1498" s="27" t="s">
        <v>2894</v>
      </c>
      <c r="B1498" s="28" t="s">
        <v>215</v>
      </c>
      <c r="C1498" s="27" t="s">
        <v>2895</v>
      </c>
      <c r="D1498" s="27" t="s">
        <v>112</v>
      </c>
      <c r="E1498" s="29">
        <v>41272</v>
      </c>
      <c r="F1498" s="27">
        <v>15</v>
      </c>
      <c r="G1498" s="18">
        <v>31545.66</v>
      </c>
      <c r="H1498" s="27">
        <f t="shared" si="46"/>
        <v>31545.66</v>
      </c>
      <c r="I1498" s="18">
        <v>31545.66</v>
      </c>
      <c r="J1498" s="27">
        <v>31545.66</v>
      </c>
      <c r="K1498" s="18">
        <f t="shared" si="47"/>
        <v>31545.66</v>
      </c>
      <c r="L1498" s="27">
        <v>29968.38</v>
      </c>
      <c r="M1498" s="36">
        <v>-1577.28</v>
      </c>
      <c r="T1498" s="41">
        <v>0</v>
      </c>
      <c r="U1498" s="41">
        <v>0</v>
      </c>
      <c r="V1498" s="42" t="s">
        <v>113</v>
      </c>
      <c r="W1498" s="42">
        <v>31545.66</v>
      </c>
      <c r="X1498" s="42">
        <v>31545.66</v>
      </c>
    </row>
    <row r="1499" spans="1:24">
      <c r="A1499" s="43" t="s">
        <v>2896</v>
      </c>
      <c r="B1499" s="44" t="s">
        <v>215</v>
      </c>
      <c r="C1499" s="43" t="s">
        <v>2897</v>
      </c>
      <c r="D1499" s="43" t="s">
        <v>112</v>
      </c>
      <c r="E1499" s="45">
        <v>39417</v>
      </c>
      <c r="F1499" s="43">
        <v>12</v>
      </c>
      <c r="G1499" s="18">
        <v>6168.5</v>
      </c>
      <c r="H1499" s="27">
        <f t="shared" si="46"/>
        <v>6168.5</v>
      </c>
      <c r="I1499" s="18">
        <v>6168.5</v>
      </c>
      <c r="J1499" s="43">
        <v>6168.5</v>
      </c>
      <c r="K1499" s="18">
        <f t="shared" si="47"/>
        <v>6168.5</v>
      </c>
      <c r="L1499" s="43">
        <v>5937.18</v>
      </c>
      <c r="M1499" s="46">
        <v>-231.32</v>
      </c>
      <c r="T1499" s="41">
        <v>0</v>
      </c>
      <c r="U1499" s="41">
        <v>0</v>
      </c>
      <c r="V1499" s="42" t="s">
        <v>113</v>
      </c>
      <c r="W1499" s="42">
        <v>6168.5</v>
      </c>
      <c r="X1499" s="42">
        <v>6168.5</v>
      </c>
    </row>
    <row r="1500" spans="1:24">
      <c r="A1500" s="27" t="s">
        <v>2898</v>
      </c>
      <c r="B1500" s="28" t="s">
        <v>215</v>
      </c>
      <c r="C1500" s="27" t="s">
        <v>2899</v>
      </c>
      <c r="D1500" s="27" t="s">
        <v>112</v>
      </c>
      <c r="E1500" s="29">
        <v>39417</v>
      </c>
      <c r="F1500" s="27">
        <v>12</v>
      </c>
      <c r="G1500" s="18">
        <v>9927.7900000000009</v>
      </c>
      <c r="H1500" s="27">
        <f t="shared" si="46"/>
        <v>9927.7900000000009</v>
      </c>
      <c r="I1500" s="18">
        <v>9927.7900000000009</v>
      </c>
      <c r="J1500" s="27">
        <v>9927.7900000000009</v>
      </c>
      <c r="K1500" s="18">
        <f t="shared" si="47"/>
        <v>9927.7900000000009</v>
      </c>
      <c r="L1500" s="27">
        <v>9431.4</v>
      </c>
      <c r="M1500" s="36">
        <v>-496.39</v>
      </c>
      <c r="T1500" s="41">
        <v>0</v>
      </c>
      <c r="U1500" s="41">
        <v>0</v>
      </c>
      <c r="V1500" s="42" t="s">
        <v>113</v>
      </c>
      <c r="W1500" s="42">
        <v>9927.7900000000009</v>
      </c>
      <c r="X1500" s="42">
        <v>9927.7900000000009</v>
      </c>
    </row>
    <row r="1501" spans="1:24">
      <c r="A1501" s="27" t="s">
        <v>2900</v>
      </c>
      <c r="B1501" s="28" t="s">
        <v>215</v>
      </c>
      <c r="C1501" s="27" t="s">
        <v>2901</v>
      </c>
      <c r="D1501" s="27" t="s">
        <v>112</v>
      </c>
      <c r="E1501" s="29">
        <v>39417</v>
      </c>
      <c r="F1501" s="27">
        <v>12</v>
      </c>
      <c r="G1501" s="18">
        <v>6622.14</v>
      </c>
      <c r="H1501" s="27">
        <f t="shared" si="46"/>
        <v>6622.14</v>
      </c>
      <c r="I1501" s="18">
        <v>6622.14</v>
      </c>
      <c r="J1501" s="27">
        <v>6622.14</v>
      </c>
      <c r="K1501" s="18">
        <f t="shared" si="47"/>
        <v>6622.14</v>
      </c>
      <c r="L1501" s="27">
        <v>6291.03</v>
      </c>
      <c r="M1501" s="36">
        <v>-331.11</v>
      </c>
      <c r="T1501" s="41">
        <v>0</v>
      </c>
      <c r="U1501" s="41">
        <v>0</v>
      </c>
      <c r="V1501" s="42" t="s">
        <v>113</v>
      </c>
      <c r="W1501" s="42">
        <v>6622.14</v>
      </c>
      <c r="X1501" s="42">
        <v>6622.14</v>
      </c>
    </row>
    <row r="1502" spans="1:24">
      <c r="A1502" s="27" t="s">
        <v>2902</v>
      </c>
      <c r="B1502" s="28" t="s">
        <v>215</v>
      </c>
      <c r="C1502" s="27" t="s">
        <v>2696</v>
      </c>
      <c r="D1502" s="27" t="s">
        <v>230</v>
      </c>
      <c r="E1502" s="29">
        <v>39417</v>
      </c>
      <c r="F1502" s="27">
        <v>15</v>
      </c>
      <c r="G1502" s="18">
        <v>141504.98000000001</v>
      </c>
      <c r="H1502" s="27">
        <f t="shared" si="46"/>
        <v>0</v>
      </c>
      <c r="I1502" s="18">
        <v>114171.03</v>
      </c>
      <c r="J1502" s="27">
        <v>141504.98000000001</v>
      </c>
      <c r="K1502" s="18">
        <f t="shared" si="47"/>
        <v>0</v>
      </c>
      <c r="L1502" s="27">
        <v>119235.71</v>
      </c>
      <c r="M1502" s="36">
        <v>5064.68</v>
      </c>
      <c r="T1502" s="41">
        <v>0</v>
      </c>
      <c r="U1502" s="41">
        <v>0</v>
      </c>
      <c r="V1502" s="42" t="s">
        <v>113</v>
      </c>
      <c r="W1502" s="42">
        <v>0</v>
      </c>
      <c r="X1502" s="42">
        <v>0</v>
      </c>
    </row>
    <row r="1503" spans="1:24">
      <c r="A1503" s="27" t="s">
        <v>2903</v>
      </c>
      <c r="B1503" s="28" t="s">
        <v>215</v>
      </c>
      <c r="C1503" s="27" t="s">
        <v>2904</v>
      </c>
      <c r="D1503" s="27" t="s">
        <v>112</v>
      </c>
      <c r="E1503" s="29">
        <v>39417</v>
      </c>
      <c r="F1503" s="27">
        <v>12</v>
      </c>
      <c r="G1503" s="18">
        <v>150</v>
      </c>
      <c r="H1503" s="27">
        <f t="shared" si="46"/>
        <v>150</v>
      </c>
      <c r="I1503" s="18">
        <v>150</v>
      </c>
      <c r="J1503" s="27">
        <v>150</v>
      </c>
      <c r="K1503" s="18">
        <f t="shared" si="47"/>
        <v>150</v>
      </c>
      <c r="L1503" s="27">
        <v>150</v>
      </c>
      <c r="M1503" s="36">
        <v>0</v>
      </c>
      <c r="T1503" s="41">
        <v>0</v>
      </c>
      <c r="U1503" s="41">
        <v>0</v>
      </c>
      <c r="V1503" s="42" t="s">
        <v>113</v>
      </c>
      <c r="W1503" s="42">
        <v>150</v>
      </c>
      <c r="X1503" s="42">
        <v>150</v>
      </c>
    </row>
    <row r="1504" spans="1:24">
      <c r="A1504" s="27" t="s">
        <v>2905</v>
      </c>
      <c r="B1504" s="28" t="s">
        <v>215</v>
      </c>
      <c r="C1504" s="27" t="s">
        <v>2906</v>
      </c>
      <c r="D1504" s="27" t="s">
        <v>112</v>
      </c>
      <c r="E1504" s="29">
        <v>39417</v>
      </c>
      <c r="F1504" s="27">
        <v>12</v>
      </c>
      <c r="G1504" s="18">
        <v>150</v>
      </c>
      <c r="H1504" s="27">
        <f t="shared" si="46"/>
        <v>150</v>
      </c>
      <c r="I1504" s="18">
        <v>150</v>
      </c>
      <c r="J1504" s="27">
        <v>150</v>
      </c>
      <c r="K1504" s="18">
        <f t="shared" si="47"/>
        <v>150</v>
      </c>
      <c r="L1504" s="27">
        <v>150</v>
      </c>
      <c r="M1504" s="36">
        <v>0</v>
      </c>
      <c r="T1504" s="41">
        <v>0</v>
      </c>
      <c r="U1504" s="41">
        <v>0</v>
      </c>
      <c r="V1504" s="42" t="s">
        <v>113</v>
      </c>
      <c r="W1504" s="42">
        <v>150</v>
      </c>
      <c r="X1504" s="42">
        <v>150</v>
      </c>
    </row>
    <row r="1505" spans="1:24">
      <c r="A1505" s="27" t="s">
        <v>2907</v>
      </c>
      <c r="B1505" s="28" t="s">
        <v>215</v>
      </c>
      <c r="C1505" s="27" t="s">
        <v>2908</v>
      </c>
      <c r="D1505" s="27" t="s">
        <v>112</v>
      </c>
      <c r="E1505" s="29">
        <v>39417</v>
      </c>
      <c r="F1505" s="27">
        <v>12</v>
      </c>
      <c r="G1505" s="18">
        <v>150</v>
      </c>
      <c r="H1505" s="27">
        <f t="shared" si="46"/>
        <v>150</v>
      </c>
      <c r="I1505" s="18">
        <v>150</v>
      </c>
      <c r="J1505" s="27">
        <v>150</v>
      </c>
      <c r="K1505" s="18">
        <f t="shared" si="47"/>
        <v>150</v>
      </c>
      <c r="L1505" s="27">
        <v>150</v>
      </c>
      <c r="M1505" s="36">
        <v>0</v>
      </c>
      <c r="T1505" s="41">
        <v>0</v>
      </c>
      <c r="U1505" s="41">
        <v>0</v>
      </c>
      <c r="V1505" s="42" t="s">
        <v>113</v>
      </c>
      <c r="W1505" s="42">
        <v>150</v>
      </c>
      <c r="X1505" s="42">
        <v>150</v>
      </c>
    </row>
    <row r="1506" spans="1:24">
      <c r="A1506" s="27" t="s">
        <v>2909</v>
      </c>
      <c r="B1506" s="28" t="s">
        <v>215</v>
      </c>
      <c r="C1506" s="27" t="s">
        <v>1061</v>
      </c>
      <c r="D1506" s="27" t="s">
        <v>230</v>
      </c>
      <c r="E1506" s="29">
        <v>40268</v>
      </c>
      <c r="F1506" s="27">
        <v>15</v>
      </c>
      <c r="G1506" s="18">
        <v>102748.36</v>
      </c>
      <c r="H1506" s="27">
        <f t="shared" si="46"/>
        <v>0</v>
      </c>
      <c r="I1506" s="18">
        <v>71736.740000000005</v>
      </c>
      <c r="J1506" s="27">
        <v>102748.36</v>
      </c>
      <c r="K1506" s="18">
        <f t="shared" si="47"/>
        <v>0</v>
      </c>
      <c r="L1506" s="27">
        <v>75876.61</v>
      </c>
      <c r="M1506" s="36">
        <v>4139.87</v>
      </c>
      <c r="T1506" s="41">
        <v>0</v>
      </c>
      <c r="U1506" s="41">
        <v>0</v>
      </c>
      <c r="V1506" s="42" t="s">
        <v>113</v>
      </c>
      <c r="W1506" s="42">
        <v>0</v>
      </c>
      <c r="X1506" s="42">
        <v>0</v>
      </c>
    </row>
    <row r="1507" spans="1:24">
      <c r="A1507" s="27" t="s">
        <v>2910</v>
      </c>
      <c r="B1507" s="28" t="s">
        <v>215</v>
      </c>
      <c r="C1507" s="27" t="s">
        <v>2911</v>
      </c>
      <c r="D1507" s="27" t="s">
        <v>230</v>
      </c>
      <c r="E1507" s="29">
        <v>39417</v>
      </c>
      <c r="F1507" s="27">
        <v>12</v>
      </c>
      <c r="G1507" s="18">
        <v>1024.3499999999999</v>
      </c>
      <c r="H1507" s="27">
        <f t="shared" si="46"/>
        <v>1024.3499999999999</v>
      </c>
      <c r="I1507" s="18">
        <v>1024.3499999999999</v>
      </c>
      <c r="J1507" s="27">
        <v>1024.3499999999999</v>
      </c>
      <c r="K1507" s="18">
        <f t="shared" si="47"/>
        <v>1024.3499999999999</v>
      </c>
      <c r="L1507" s="27">
        <v>1024.3499999999999</v>
      </c>
      <c r="M1507" s="36">
        <v>0</v>
      </c>
      <c r="T1507" s="41">
        <v>0</v>
      </c>
      <c r="U1507" s="41">
        <v>0</v>
      </c>
      <c r="V1507" s="42" t="s">
        <v>113</v>
      </c>
      <c r="W1507" s="42">
        <v>1024.3499999999999</v>
      </c>
      <c r="X1507" s="42">
        <v>1024.3499999999999</v>
      </c>
    </row>
    <row r="1508" spans="1:24">
      <c r="A1508" s="27" t="s">
        <v>2912</v>
      </c>
      <c r="B1508" s="28" t="s">
        <v>215</v>
      </c>
      <c r="C1508" s="27" t="s">
        <v>2913</v>
      </c>
      <c r="D1508" s="27" t="s">
        <v>230</v>
      </c>
      <c r="E1508" s="29">
        <v>39417</v>
      </c>
      <c r="F1508" s="27">
        <v>12</v>
      </c>
      <c r="G1508" s="18">
        <v>1024.3499999999999</v>
      </c>
      <c r="H1508" s="27">
        <f t="shared" si="46"/>
        <v>1024.3499999999999</v>
      </c>
      <c r="I1508" s="18">
        <v>1024.3499999999999</v>
      </c>
      <c r="J1508" s="27">
        <v>1024.3499999999999</v>
      </c>
      <c r="K1508" s="18">
        <f t="shared" si="47"/>
        <v>1024.3499999999999</v>
      </c>
      <c r="L1508" s="27">
        <v>1024.3499999999999</v>
      </c>
      <c r="M1508" s="36">
        <v>0</v>
      </c>
      <c r="T1508" s="41">
        <v>0</v>
      </c>
      <c r="U1508" s="41">
        <v>0</v>
      </c>
      <c r="V1508" s="42" t="s">
        <v>113</v>
      </c>
      <c r="W1508" s="42">
        <v>1024.3499999999999</v>
      </c>
      <c r="X1508" s="42">
        <v>1024.3499999999999</v>
      </c>
    </row>
    <row r="1509" spans="1:24">
      <c r="A1509" s="27" t="s">
        <v>2914</v>
      </c>
      <c r="B1509" s="28" t="s">
        <v>215</v>
      </c>
      <c r="C1509" s="27" t="s">
        <v>2915</v>
      </c>
      <c r="D1509" s="27" t="s">
        <v>230</v>
      </c>
      <c r="E1509" s="29">
        <v>39417</v>
      </c>
      <c r="F1509" s="27">
        <v>12</v>
      </c>
      <c r="G1509" s="18">
        <v>1024.3499999999999</v>
      </c>
      <c r="H1509" s="27">
        <f t="shared" si="46"/>
        <v>1024.3499999999999</v>
      </c>
      <c r="I1509" s="18">
        <v>1024.3499999999999</v>
      </c>
      <c r="J1509" s="27">
        <v>1024.3499999999999</v>
      </c>
      <c r="K1509" s="18">
        <f t="shared" si="47"/>
        <v>1024.3499999999999</v>
      </c>
      <c r="L1509" s="27">
        <v>1024.3499999999999</v>
      </c>
      <c r="M1509" s="36">
        <v>0</v>
      </c>
      <c r="T1509" s="41">
        <v>0</v>
      </c>
      <c r="U1509" s="41">
        <v>0</v>
      </c>
      <c r="V1509" s="42" t="s">
        <v>113</v>
      </c>
      <c r="W1509" s="42">
        <v>1024.3499999999999</v>
      </c>
      <c r="X1509" s="42">
        <v>1024.3499999999999</v>
      </c>
    </row>
    <row r="1510" spans="1:24">
      <c r="A1510" s="27" t="s">
        <v>2916</v>
      </c>
      <c r="B1510" s="28" t="s">
        <v>215</v>
      </c>
      <c r="C1510" s="27" t="s">
        <v>2917</v>
      </c>
      <c r="D1510" s="27" t="s">
        <v>230</v>
      </c>
      <c r="E1510" s="29">
        <v>39417</v>
      </c>
      <c r="F1510" s="27">
        <v>12</v>
      </c>
      <c r="G1510" s="18">
        <v>1024.3499999999999</v>
      </c>
      <c r="H1510" s="27">
        <f t="shared" si="46"/>
        <v>1024.3499999999999</v>
      </c>
      <c r="I1510" s="18">
        <v>1024.3499999999999</v>
      </c>
      <c r="J1510" s="27">
        <v>1024.3499999999999</v>
      </c>
      <c r="K1510" s="18">
        <f t="shared" si="47"/>
        <v>1024.3499999999999</v>
      </c>
      <c r="L1510" s="27">
        <v>1024.3499999999999</v>
      </c>
      <c r="M1510" s="36">
        <v>0</v>
      </c>
      <c r="T1510" s="41">
        <v>0</v>
      </c>
      <c r="U1510" s="41">
        <v>0</v>
      </c>
      <c r="V1510" s="42" t="s">
        <v>113</v>
      </c>
      <c r="W1510" s="42">
        <v>1024.3499999999999</v>
      </c>
      <c r="X1510" s="42">
        <v>1024.3499999999999</v>
      </c>
    </row>
    <row r="1511" spans="1:24">
      <c r="A1511" s="27" t="s">
        <v>2918</v>
      </c>
      <c r="B1511" s="28" t="s">
        <v>215</v>
      </c>
      <c r="C1511" s="27" t="s">
        <v>1011</v>
      </c>
      <c r="D1511" s="27" t="s">
        <v>230</v>
      </c>
      <c r="E1511" s="29">
        <v>40268</v>
      </c>
      <c r="F1511" s="27">
        <v>15</v>
      </c>
      <c r="G1511" s="18">
        <v>387548.42</v>
      </c>
      <c r="H1511" s="27">
        <f t="shared" si="46"/>
        <v>0</v>
      </c>
      <c r="I1511" s="18">
        <v>282247.90999999997</v>
      </c>
      <c r="J1511" s="27">
        <v>387548.42</v>
      </c>
      <c r="K1511" s="18">
        <f t="shared" si="47"/>
        <v>0</v>
      </c>
      <c r="L1511" s="27">
        <v>295995.59999999998</v>
      </c>
      <c r="M1511" s="36">
        <v>13747.69</v>
      </c>
      <c r="T1511" s="41">
        <v>0</v>
      </c>
      <c r="U1511" s="41">
        <v>0</v>
      </c>
      <c r="V1511" s="42" t="s">
        <v>113</v>
      </c>
      <c r="W1511" s="42">
        <v>0</v>
      </c>
      <c r="X1511" s="42">
        <v>0</v>
      </c>
    </row>
    <row r="1512" spans="1:24">
      <c r="A1512" s="27" t="s">
        <v>2919</v>
      </c>
      <c r="B1512" s="28" t="s">
        <v>215</v>
      </c>
      <c r="C1512" s="27" t="s">
        <v>955</v>
      </c>
      <c r="D1512" s="27" t="s">
        <v>230</v>
      </c>
      <c r="E1512" s="29">
        <v>40268</v>
      </c>
      <c r="F1512" s="27">
        <v>15</v>
      </c>
      <c r="G1512" s="18">
        <v>387548.42</v>
      </c>
      <c r="H1512" s="27">
        <f t="shared" si="46"/>
        <v>0</v>
      </c>
      <c r="I1512" s="18">
        <v>282247.90999999997</v>
      </c>
      <c r="J1512" s="27">
        <v>387548.42</v>
      </c>
      <c r="K1512" s="18">
        <f t="shared" si="47"/>
        <v>0</v>
      </c>
      <c r="L1512" s="27">
        <v>295995.59999999998</v>
      </c>
      <c r="M1512" s="36">
        <v>13747.69</v>
      </c>
      <c r="T1512" s="41">
        <v>0</v>
      </c>
      <c r="U1512" s="41">
        <v>0</v>
      </c>
      <c r="V1512" s="42" t="s">
        <v>113</v>
      </c>
      <c r="W1512" s="42">
        <v>0</v>
      </c>
      <c r="X1512" s="42">
        <v>0</v>
      </c>
    </row>
    <row r="1513" spans="1:24">
      <c r="A1513" s="27" t="s">
        <v>2920</v>
      </c>
      <c r="B1513" s="28" t="s">
        <v>215</v>
      </c>
      <c r="C1513" s="27" t="s">
        <v>2921</v>
      </c>
      <c r="D1513" s="27" t="s">
        <v>230</v>
      </c>
      <c r="E1513" s="29">
        <v>40268</v>
      </c>
      <c r="F1513" s="27">
        <v>15</v>
      </c>
      <c r="G1513" s="18">
        <v>100832.35</v>
      </c>
      <c r="H1513" s="27">
        <f t="shared" si="46"/>
        <v>0</v>
      </c>
      <c r="I1513" s="18">
        <v>73435.259999999995</v>
      </c>
      <c r="J1513" s="27">
        <v>100832.35</v>
      </c>
      <c r="K1513" s="18">
        <f t="shared" si="47"/>
        <v>0</v>
      </c>
      <c r="L1513" s="27">
        <v>77012.14</v>
      </c>
      <c r="M1513" s="36">
        <v>3576.88</v>
      </c>
      <c r="T1513" s="41">
        <v>0</v>
      </c>
      <c r="U1513" s="41">
        <v>0</v>
      </c>
      <c r="V1513" s="42" t="s">
        <v>113</v>
      </c>
      <c r="W1513" s="42">
        <v>0</v>
      </c>
      <c r="X1513" s="42">
        <v>0</v>
      </c>
    </row>
    <row r="1514" spans="1:24">
      <c r="A1514" s="27" t="s">
        <v>2922</v>
      </c>
      <c r="B1514" s="28" t="s">
        <v>215</v>
      </c>
      <c r="C1514" s="27" t="s">
        <v>2923</v>
      </c>
      <c r="D1514" s="27" t="s">
        <v>230</v>
      </c>
      <c r="E1514" s="29">
        <v>40268</v>
      </c>
      <c r="F1514" s="27">
        <v>15</v>
      </c>
      <c r="G1514" s="18">
        <v>100832.35</v>
      </c>
      <c r="H1514" s="27">
        <f t="shared" si="46"/>
        <v>0</v>
      </c>
      <c r="I1514" s="18">
        <v>73435.259999999995</v>
      </c>
      <c r="J1514" s="27">
        <v>100832.35</v>
      </c>
      <c r="K1514" s="18">
        <f t="shared" si="47"/>
        <v>0</v>
      </c>
      <c r="L1514" s="27">
        <v>77012.14</v>
      </c>
      <c r="M1514" s="36">
        <v>3576.88</v>
      </c>
      <c r="T1514" s="41">
        <v>0</v>
      </c>
      <c r="U1514" s="41">
        <v>0</v>
      </c>
      <c r="V1514" s="42" t="s">
        <v>113</v>
      </c>
      <c r="W1514" s="42">
        <v>0</v>
      </c>
      <c r="X1514" s="42">
        <v>0</v>
      </c>
    </row>
    <row r="1515" spans="1:24">
      <c r="A1515" s="27" t="s">
        <v>2924</v>
      </c>
      <c r="B1515" s="28" t="s">
        <v>215</v>
      </c>
      <c r="C1515" s="27" t="s">
        <v>2925</v>
      </c>
      <c r="D1515" s="27" t="s">
        <v>230</v>
      </c>
      <c r="E1515" s="29">
        <v>40268</v>
      </c>
      <c r="F1515" s="27">
        <v>15</v>
      </c>
      <c r="G1515" s="18">
        <v>141418.79</v>
      </c>
      <c r="H1515" s="27">
        <f t="shared" si="46"/>
        <v>0</v>
      </c>
      <c r="I1515" s="18">
        <v>102993.98</v>
      </c>
      <c r="J1515" s="27">
        <v>141418.79</v>
      </c>
      <c r="K1515" s="18">
        <f t="shared" si="47"/>
        <v>0</v>
      </c>
      <c r="L1515" s="27">
        <v>108010.6</v>
      </c>
      <c r="M1515" s="36">
        <v>5016.62</v>
      </c>
      <c r="T1515" s="41">
        <v>0</v>
      </c>
      <c r="U1515" s="41">
        <v>0</v>
      </c>
      <c r="V1515" s="42" t="s">
        <v>113</v>
      </c>
      <c r="W1515" s="42">
        <v>0</v>
      </c>
      <c r="X1515" s="42">
        <v>0</v>
      </c>
    </row>
    <row r="1516" spans="1:24">
      <c r="A1516" s="27" t="s">
        <v>2926</v>
      </c>
      <c r="B1516" s="28" t="s">
        <v>215</v>
      </c>
      <c r="C1516" s="27" t="s">
        <v>2927</v>
      </c>
      <c r="D1516" s="27" t="s">
        <v>230</v>
      </c>
      <c r="E1516" s="29">
        <v>40268</v>
      </c>
      <c r="F1516" s="27">
        <v>15</v>
      </c>
      <c r="G1516" s="18">
        <v>351697.09</v>
      </c>
      <c r="H1516" s="27">
        <f t="shared" si="46"/>
        <v>0</v>
      </c>
      <c r="I1516" s="18">
        <v>256137.72</v>
      </c>
      <c r="J1516" s="27">
        <v>351697.09</v>
      </c>
      <c r="K1516" s="18">
        <f t="shared" si="47"/>
        <v>0</v>
      </c>
      <c r="L1516" s="27">
        <v>268613.64</v>
      </c>
      <c r="M1516" s="36">
        <v>12475.92</v>
      </c>
      <c r="T1516" s="41">
        <v>0</v>
      </c>
      <c r="U1516" s="41">
        <v>0</v>
      </c>
      <c r="V1516" s="42" t="s">
        <v>113</v>
      </c>
      <c r="W1516" s="42">
        <v>0</v>
      </c>
      <c r="X1516" s="42">
        <v>0</v>
      </c>
    </row>
    <row r="1517" spans="1:24">
      <c r="A1517" s="27" t="s">
        <v>2928</v>
      </c>
      <c r="B1517" s="28" t="s">
        <v>215</v>
      </c>
      <c r="C1517" s="27" t="s">
        <v>1059</v>
      </c>
      <c r="D1517" s="27" t="s">
        <v>230</v>
      </c>
      <c r="E1517" s="29">
        <v>40268</v>
      </c>
      <c r="F1517" s="27">
        <v>15</v>
      </c>
      <c r="G1517" s="18">
        <v>143259.63</v>
      </c>
      <c r="H1517" s="27">
        <f t="shared" si="46"/>
        <v>0</v>
      </c>
      <c r="I1517" s="18">
        <v>104334.66</v>
      </c>
      <c r="J1517" s="27">
        <v>143259.63</v>
      </c>
      <c r="K1517" s="18">
        <f t="shared" si="47"/>
        <v>0</v>
      </c>
      <c r="L1517" s="27">
        <v>109416.58</v>
      </c>
      <c r="M1517" s="36">
        <v>5081.92</v>
      </c>
      <c r="T1517" s="41">
        <v>0</v>
      </c>
      <c r="U1517" s="41">
        <v>0</v>
      </c>
      <c r="V1517" s="42" t="s">
        <v>113</v>
      </c>
      <c r="W1517" s="42">
        <v>0</v>
      </c>
      <c r="X1517" s="42">
        <v>0</v>
      </c>
    </row>
    <row r="1518" spans="1:24">
      <c r="A1518" s="27" t="s">
        <v>2929</v>
      </c>
      <c r="B1518" s="28" t="s">
        <v>215</v>
      </c>
      <c r="C1518" s="27" t="s">
        <v>1758</v>
      </c>
      <c r="D1518" s="27" t="s">
        <v>230</v>
      </c>
      <c r="E1518" s="29">
        <v>40268</v>
      </c>
      <c r="F1518" s="27">
        <v>15</v>
      </c>
      <c r="G1518" s="18">
        <v>61201.07</v>
      </c>
      <c r="H1518" s="27">
        <f t="shared" si="46"/>
        <v>0</v>
      </c>
      <c r="I1518" s="18">
        <v>44572.18</v>
      </c>
      <c r="J1518" s="27">
        <v>61201.07</v>
      </c>
      <c r="K1518" s="18">
        <f t="shared" si="47"/>
        <v>0</v>
      </c>
      <c r="L1518" s="27">
        <v>46743.19</v>
      </c>
      <c r="M1518" s="36">
        <v>2171.0100000000002</v>
      </c>
      <c r="T1518" s="41">
        <v>0</v>
      </c>
      <c r="U1518" s="41">
        <v>0</v>
      </c>
      <c r="V1518" s="42" t="s">
        <v>113</v>
      </c>
      <c r="W1518" s="42">
        <v>0</v>
      </c>
      <c r="X1518" s="42">
        <v>0</v>
      </c>
    </row>
    <row r="1519" spans="1:24">
      <c r="A1519" s="27" t="s">
        <v>2930</v>
      </c>
      <c r="B1519" s="28" t="s">
        <v>215</v>
      </c>
      <c r="C1519" s="27" t="s">
        <v>2931</v>
      </c>
      <c r="D1519" s="27" t="s">
        <v>230</v>
      </c>
      <c r="E1519" s="29">
        <v>40268</v>
      </c>
      <c r="F1519" s="27">
        <v>12</v>
      </c>
      <c r="G1519" s="18">
        <v>2570.4699999999998</v>
      </c>
      <c r="H1519" s="27">
        <f t="shared" si="46"/>
        <v>2570.4699999999998</v>
      </c>
      <c r="I1519" s="18">
        <v>2570.4699999999998</v>
      </c>
      <c r="J1519" s="27">
        <v>2570.4699999999998</v>
      </c>
      <c r="K1519" s="18">
        <f t="shared" si="47"/>
        <v>2570.4699999999998</v>
      </c>
      <c r="L1519" s="27">
        <v>2570.4699999999998</v>
      </c>
      <c r="M1519" s="36">
        <v>0</v>
      </c>
      <c r="T1519" s="41">
        <v>0</v>
      </c>
      <c r="U1519" s="41">
        <v>0</v>
      </c>
      <c r="V1519" s="42" t="s">
        <v>113</v>
      </c>
      <c r="W1519" s="42">
        <v>2570.4699999999998</v>
      </c>
      <c r="X1519" s="42">
        <v>2570.4699999999998</v>
      </c>
    </row>
    <row r="1520" spans="1:24">
      <c r="A1520" s="27" t="s">
        <v>2932</v>
      </c>
      <c r="B1520" s="28" t="s">
        <v>215</v>
      </c>
      <c r="C1520" s="27" t="s">
        <v>2933</v>
      </c>
      <c r="D1520" s="27" t="s">
        <v>230</v>
      </c>
      <c r="E1520" s="29">
        <v>40268</v>
      </c>
      <c r="F1520" s="27">
        <v>12</v>
      </c>
      <c r="G1520" s="18">
        <v>2570.4699999999998</v>
      </c>
      <c r="H1520" s="27">
        <f t="shared" si="46"/>
        <v>2570.4699999999998</v>
      </c>
      <c r="I1520" s="18">
        <v>2570.4699999999998</v>
      </c>
      <c r="J1520" s="27">
        <v>2570.4699999999998</v>
      </c>
      <c r="K1520" s="18">
        <f t="shared" si="47"/>
        <v>2570.4699999999998</v>
      </c>
      <c r="L1520" s="27">
        <v>2570.4699999999998</v>
      </c>
      <c r="M1520" s="36">
        <v>0</v>
      </c>
      <c r="T1520" s="41">
        <v>0</v>
      </c>
      <c r="U1520" s="41">
        <v>0</v>
      </c>
      <c r="V1520" s="42" t="s">
        <v>113</v>
      </c>
      <c r="W1520" s="42">
        <v>2570.4699999999998</v>
      </c>
      <c r="X1520" s="42">
        <v>2570.4699999999998</v>
      </c>
    </row>
    <row r="1521" spans="1:24">
      <c r="A1521" s="27" t="s">
        <v>2934</v>
      </c>
      <c r="B1521" s="28" t="s">
        <v>215</v>
      </c>
      <c r="C1521" s="27" t="s">
        <v>1750</v>
      </c>
      <c r="D1521" s="27" t="s">
        <v>230</v>
      </c>
      <c r="E1521" s="29">
        <v>40268</v>
      </c>
      <c r="F1521" s="27">
        <v>15</v>
      </c>
      <c r="G1521" s="18">
        <v>61202.07</v>
      </c>
      <c r="H1521" s="27">
        <f t="shared" si="46"/>
        <v>0</v>
      </c>
      <c r="I1521" s="18">
        <v>44572.9</v>
      </c>
      <c r="J1521" s="27">
        <v>61202.07</v>
      </c>
      <c r="K1521" s="18">
        <f t="shared" si="47"/>
        <v>0</v>
      </c>
      <c r="L1521" s="27">
        <v>46743.95</v>
      </c>
      <c r="M1521" s="36">
        <v>2171.0500000000002</v>
      </c>
      <c r="T1521" s="41">
        <v>0</v>
      </c>
      <c r="U1521" s="41">
        <v>0</v>
      </c>
      <c r="V1521" s="42" t="s">
        <v>113</v>
      </c>
      <c r="W1521" s="42">
        <v>0</v>
      </c>
      <c r="X1521" s="42">
        <v>0</v>
      </c>
    </row>
    <row r="1522" spans="1:24">
      <c r="A1522" s="27" t="s">
        <v>2935</v>
      </c>
      <c r="B1522" s="28" t="s">
        <v>215</v>
      </c>
      <c r="C1522" s="27" t="s">
        <v>1063</v>
      </c>
      <c r="D1522" s="27" t="s">
        <v>230</v>
      </c>
      <c r="E1522" s="29">
        <v>40268</v>
      </c>
      <c r="F1522" s="27">
        <v>15</v>
      </c>
      <c r="G1522" s="18">
        <v>143259.63</v>
      </c>
      <c r="H1522" s="27">
        <f t="shared" si="46"/>
        <v>0</v>
      </c>
      <c r="I1522" s="18">
        <v>104334.66</v>
      </c>
      <c r="J1522" s="27">
        <v>143259.63</v>
      </c>
      <c r="K1522" s="18">
        <f t="shared" si="47"/>
        <v>0</v>
      </c>
      <c r="L1522" s="27">
        <v>109416.58</v>
      </c>
      <c r="M1522" s="36">
        <v>5081.92</v>
      </c>
      <c r="T1522" s="41">
        <v>0</v>
      </c>
      <c r="U1522" s="41">
        <v>0</v>
      </c>
      <c r="V1522" s="42" t="s">
        <v>113</v>
      </c>
      <c r="W1522" s="42">
        <v>0</v>
      </c>
      <c r="X1522" s="42">
        <v>0</v>
      </c>
    </row>
    <row r="1523" spans="1:24">
      <c r="A1523" s="27" t="s">
        <v>2936</v>
      </c>
      <c r="B1523" s="28" t="s">
        <v>215</v>
      </c>
      <c r="C1523" s="27" t="s">
        <v>2937</v>
      </c>
      <c r="D1523" s="27" t="s">
        <v>230</v>
      </c>
      <c r="E1523" s="29">
        <v>40268</v>
      </c>
      <c r="F1523" s="27">
        <v>15</v>
      </c>
      <c r="G1523" s="18">
        <v>139383.20000000001</v>
      </c>
      <c r="H1523" s="27">
        <f t="shared" si="46"/>
        <v>0</v>
      </c>
      <c r="I1523" s="18">
        <v>101511.49</v>
      </c>
      <c r="J1523" s="27">
        <v>139383.20000000001</v>
      </c>
      <c r="K1523" s="18">
        <f t="shared" si="47"/>
        <v>0</v>
      </c>
      <c r="L1523" s="27">
        <v>106455.9</v>
      </c>
      <c r="M1523" s="36">
        <v>4944.41</v>
      </c>
      <c r="T1523" s="41">
        <v>0</v>
      </c>
      <c r="U1523" s="41">
        <v>0</v>
      </c>
      <c r="V1523" s="42" t="s">
        <v>113</v>
      </c>
      <c r="W1523" s="42">
        <v>0</v>
      </c>
      <c r="X1523" s="42">
        <v>0</v>
      </c>
    </row>
    <row r="1524" spans="1:24">
      <c r="A1524" s="27" t="s">
        <v>2938</v>
      </c>
      <c r="B1524" s="28" t="s">
        <v>215</v>
      </c>
      <c r="C1524" s="27" t="s">
        <v>2939</v>
      </c>
      <c r="D1524" s="27" t="s">
        <v>230</v>
      </c>
      <c r="E1524" s="29">
        <v>40268</v>
      </c>
      <c r="F1524" s="27">
        <v>15</v>
      </c>
      <c r="G1524" s="18">
        <v>139383.20000000001</v>
      </c>
      <c r="H1524" s="27">
        <f t="shared" si="46"/>
        <v>0</v>
      </c>
      <c r="I1524" s="18">
        <v>101511.48</v>
      </c>
      <c r="J1524" s="27">
        <v>139383.20000000001</v>
      </c>
      <c r="K1524" s="18">
        <f t="shared" si="47"/>
        <v>0</v>
      </c>
      <c r="L1524" s="27">
        <v>106455.89</v>
      </c>
      <c r="M1524" s="36">
        <v>4944.41</v>
      </c>
      <c r="T1524" s="41">
        <v>0</v>
      </c>
      <c r="U1524" s="41">
        <v>0</v>
      </c>
      <c r="V1524" s="42" t="s">
        <v>113</v>
      </c>
      <c r="W1524" s="42">
        <v>0</v>
      </c>
      <c r="X1524" s="42">
        <v>0</v>
      </c>
    </row>
    <row r="1525" spans="1:24">
      <c r="A1525" s="27" t="s">
        <v>2940</v>
      </c>
      <c r="B1525" s="28" t="s">
        <v>215</v>
      </c>
      <c r="C1525" s="27" t="s">
        <v>2941</v>
      </c>
      <c r="D1525" s="27" t="s">
        <v>230</v>
      </c>
      <c r="E1525" s="29">
        <v>40268</v>
      </c>
      <c r="F1525" s="27">
        <v>15</v>
      </c>
      <c r="G1525" s="18">
        <v>139383.20000000001</v>
      </c>
      <c r="H1525" s="27">
        <f t="shared" si="46"/>
        <v>0</v>
      </c>
      <c r="I1525" s="18">
        <v>101511.48</v>
      </c>
      <c r="J1525" s="27">
        <v>139383.20000000001</v>
      </c>
      <c r="K1525" s="18">
        <f t="shared" si="47"/>
        <v>0</v>
      </c>
      <c r="L1525" s="27">
        <v>106455.89</v>
      </c>
      <c r="M1525" s="36">
        <v>4944.41</v>
      </c>
      <c r="T1525" s="41">
        <v>0</v>
      </c>
      <c r="U1525" s="41">
        <v>0</v>
      </c>
      <c r="V1525" s="42" t="s">
        <v>113</v>
      </c>
      <c r="W1525" s="42">
        <v>0</v>
      </c>
      <c r="X1525" s="42">
        <v>0</v>
      </c>
    </row>
    <row r="1526" spans="1:24">
      <c r="A1526" s="27" t="s">
        <v>2942</v>
      </c>
      <c r="B1526" s="28" t="s">
        <v>215</v>
      </c>
      <c r="C1526" s="27" t="s">
        <v>2943</v>
      </c>
      <c r="D1526" s="27" t="s">
        <v>230</v>
      </c>
      <c r="E1526" s="29">
        <v>40268</v>
      </c>
      <c r="F1526" s="27">
        <v>15</v>
      </c>
      <c r="G1526" s="18">
        <v>139383.20000000001</v>
      </c>
      <c r="H1526" s="27">
        <f t="shared" si="46"/>
        <v>0</v>
      </c>
      <c r="I1526" s="18">
        <v>101511.49</v>
      </c>
      <c r="J1526" s="27">
        <v>139383.20000000001</v>
      </c>
      <c r="K1526" s="18">
        <f t="shared" si="47"/>
        <v>0</v>
      </c>
      <c r="L1526" s="27">
        <v>106455.9</v>
      </c>
      <c r="M1526" s="36">
        <v>4944.41</v>
      </c>
      <c r="T1526" s="41">
        <v>0</v>
      </c>
      <c r="U1526" s="41">
        <v>0</v>
      </c>
      <c r="V1526" s="42" t="s">
        <v>113</v>
      </c>
      <c r="W1526" s="42">
        <v>0</v>
      </c>
      <c r="X1526" s="42">
        <v>0</v>
      </c>
    </row>
    <row r="1527" spans="1:24">
      <c r="A1527" s="27" t="s">
        <v>2944</v>
      </c>
      <c r="B1527" s="28" t="s">
        <v>215</v>
      </c>
      <c r="C1527" s="27" t="s">
        <v>2945</v>
      </c>
      <c r="D1527" s="27" t="s">
        <v>230</v>
      </c>
      <c r="E1527" s="29">
        <v>40268</v>
      </c>
      <c r="F1527" s="27">
        <v>15</v>
      </c>
      <c r="G1527" s="18">
        <v>139383.20000000001</v>
      </c>
      <c r="H1527" s="27">
        <f t="shared" si="46"/>
        <v>0</v>
      </c>
      <c r="I1527" s="18">
        <v>101511.48</v>
      </c>
      <c r="J1527" s="27">
        <v>139383.20000000001</v>
      </c>
      <c r="K1527" s="18">
        <f t="shared" si="47"/>
        <v>0</v>
      </c>
      <c r="L1527" s="27">
        <v>106455.89</v>
      </c>
      <c r="M1527" s="36">
        <v>4944.41</v>
      </c>
      <c r="T1527" s="41">
        <v>0</v>
      </c>
      <c r="U1527" s="41">
        <v>0</v>
      </c>
      <c r="V1527" s="42" t="s">
        <v>113</v>
      </c>
      <c r="W1527" s="42">
        <v>0</v>
      </c>
      <c r="X1527" s="42">
        <v>0</v>
      </c>
    </row>
    <row r="1528" spans="1:24">
      <c r="A1528" s="27" t="s">
        <v>2946</v>
      </c>
      <c r="B1528" s="28" t="s">
        <v>215</v>
      </c>
      <c r="C1528" s="27" t="s">
        <v>2947</v>
      </c>
      <c r="D1528" s="27" t="s">
        <v>230</v>
      </c>
      <c r="E1528" s="29">
        <v>40268</v>
      </c>
      <c r="F1528" s="27">
        <v>15</v>
      </c>
      <c r="G1528" s="18">
        <v>139383.20000000001</v>
      </c>
      <c r="H1528" s="27">
        <f t="shared" si="46"/>
        <v>0</v>
      </c>
      <c r="I1528" s="18">
        <v>101511.49</v>
      </c>
      <c r="J1528" s="27">
        <v>139383.20000000001</v>
      </c>
      <c r="K1528" s="18">
        <f t="shared" si="47"/>
        <v>0</v>
      </c>
      <c r="L1528" s="27">
        <v>106455.9</v>
      </c>
      <c r="M1528" s="36">
        <v>4944.41</v>
      </c>
      <c r="T1528" s="41">
        <v>0</v>
      </c>
      <c r="U1528" s="41">
        <v>0</v>
      </c>
      <c r="V1528" s="42" t="s">
        <v>113</v>
      </c>
      <c r="W1528" s="42">
        <v>0</v>
      </c>
      <c r="X1528" s="42">
        <v>0</v>
      </c>
    </row>
    <row r="1529" spans="1:24">
      <c r="A1529" s="27" t="s">
        <v>2948</v>
      </c>
      <c r="B1529" s="28" t="s">
        <v>215</v>
      </c>
      <c r="C1529" s="27" t="s">
        <v>2949</v>
      </c>
      <c r="D1529" s="27" t="s">
        <v>230</v>
      </c>
      <c r="E1529" s="29">
        <v>40268</v>
      </c>
      <c r="F1529" s="27">
        <v>15</v>
      </c>
      <c r="G1529" s="18">
        <v>139383.20000000001</v>
      </c>
      <c r="H1529" s="27">
        <f t="shared" si="46"/>
        <v>0</v>
      </c>
      <c r="I1529" s="18">
        <v>101511.48</v>
      </c>
      <c r="J1529" s="27">
        <v>139383.20000000001</v>
      </c>
      <c r="K1529" s="18">
        <f t="shared" si="47"/>
        <v>0</v>
      </c>
      <c r="L1529" s="27">
        <v>106455.89</v>
      </c>
      <c r="M1529" s="36">
        <v>4944.41</v>
      </c>
      <c r="T1529" s="41">
        <v>0</v>
      </c>
      <c r="U1529" s="41">
        <v>0</v>
      </c>
      <c r="V1529" s="42" t="s">
        <v>113</v>
      </c>
      <c r="W1529" s="42">
        <v>0</v>
      </c>
      <c r="X1529" s="42">
        <v>0</v>
      </c>
    </row>
    <row r="1530" spans="1:24">
      <c r="A1530" s="27" t="s">
        <v>2950</v>
      </c>
      <c r="B1530" s="28" t="s">
        <v>215</v>
      </c>
      <c r="C1530" s="27" t="s">
        <v>2951</v>
      </c>
      <c r="D1530" s="27" t="s">
        <v>230</v>
      </c>
      <c r="E1530" s="29">
        <v>40268</v>
      </c>
      <c r="F1530" s="27">
        <v>15</v>
      </c>
      <c r="G1530" s="18">
        <v>139383.20000000001</v>
      </c>
      <c r="H1530" s="27">
        <f t="shared" si="46"/>
        <v>0</v>
      </c>
      <c r="I1530" s="18">
        <v>101511.5</v>
      </c>
      <c r="J1530" s="27">
        <v>139383.20000000001</v>
      </c>
      <c r="K1530" s="18">
        <f t="shared" si="47"/>
        <v>0</v>
      </c>
      <c r="L1530" s="27">
        <v>106455.91</v>
      </c>
      <c r="M1530" s="36">
        <v>4944.41</v>
      </c>
      <c r="T1530" s="41">
        <v>0</v>
      </c>
      <c r="U1530" s="41">
        <v>0</v>
      </c>
      <c r="V1530" s="42" t="s">
        <v>113</v>
      </c>
      <c r="W1530" s="42">
        <v>0</v>
      </c>
      <c r="X1530" s="42">
        <v>0</v>
      </c>
    </row>
    <row r="1531" spans="1:24">
      <c r="A1531" s="27" t="s">
        <v>2952</v>
      </c>
      <c r="B1531" s="28" t="s">
        <v>215</v>
      </c>
      <c r="C1531" s="27" t="s">
        <v>2953</v>
      </c>
      <c r="D1531" s="27" t="s">
        <v>230</v>
      </c>
      <c r="E1531" s="29">
        <v>40268</v>
      </c>
      <c r="F1531" s="27">
        <v>15</v>
      </c>
      <c r="G1531" s="18">
        <v>139383.20000000001</v>
      </c>
      <c r="H1531" s="27">
        <f t="shared" si="46"/>
        <v>0</v>
      </c>
      <c r="I1531" s="18">
        <v>101511.5</v>
      </c>
      <c r="J1531" s="27">
        <v>139383.20000000001</v>
      </c>
      <c r="K1531" s="18">
        <f t="shared" si="47"/>
        <v>0</v>
      </c>
      <c r="L1531" s="27">
        <v>106455.91</v>
      </c>
      <c r="M1531" s="36">
        <v>4944.41</v>
      </c>
      <c r="T1531" s="41">
        <v>0</v>
      </c>
      <c r="U1531" s="41">
        <v>0</v>
      </c>
      <c r="V1531" s="42" t="s">
        <v>113</v>
      </c>
      <c r="W1531" s="42">
        <v>0</v>
      </c>
      <c r="X1531" s="42">
        <v>0</v>
      </c>
    </row>
    <row r="1532" spans="1:24">
      <c r="A1532" s="27" t="s">
        <v>2954</v>
      </c>
      <c r="B1532" s="28" t="s">
        <v>215</v>
      </c>
      <c r="C1532" s="27" t="s">
        <v>2955</v>
      </c>
      <c r="D1532" s="27" t="s">
        <v>230</v>
      </c>
      <c r="E1532" s="29">
        <v>40268</v>
      </c>
      <c r="F1532" s="27">
        <v>15</v>
      </c>
      <c r="G1532" s="18">
        <v>139383.20000000001</v>
      </c>
      <c r="H1532" s="27">
        <f t="shared" si="46"/>
        <v>0</v>
      </c>
      <c r="I1532" s="18">
        <v>101511.48</v>
      </c>
      <c r="J1532" s="27">
        <v>139383.20000000001</v>
      </c>
      <c r="K1532" s="18">
        <f t="shared" si="47"/>
        <v>0</v>
      </c>
      <c r="L1532" s="27">
        <v>106455.89</v>
      </c>
      <c r="M1532" s="36">
        <v>4944.41</v>
      </c>
      <c r="T1532" s="41">
        <v>0</v>
      </c>
      <c r="U1532" s="41">
        <v>0</v>
      </c>
      <c r="V1532" s="42" t="s">
        <v>113</v>
      </c>
      <c r="W1532" s="42">
        <v>0</v>
      </c>
      <c r="X1532" s="42">
        <v>0</v>
      </c>
    </row>
    <row r="1533" spans="1:24">
      <c r="A1533" s="27" t="s">
        <v>2956</v>
      </c>
      <c r="B1533" s="28" t="s">
        <v>215</v>
      </c>
      <c r="C1533" s="27" t="s">
        <v>2957</v>
      </c>
      <c r="D1533" s="27" t="s">
        <v>230</v>
      </c>
      <c r="E1533" s="29">
        <v>40268</v>
      </c>
      <c r="F1533" s="27">
        <v>15</v>
      </c>
      <c r="G1533" s="18">
        <v>139383.20000000001</v>
      </c>
      <c r="H1533" s="27">
        <f t="shared" si="46"/>
        <v>0</v>
      </c>
      <c r="I1533" s="18">
        <v>101511.5</v>
      </c>
      <c r="J1533" s="27">
        <v>139383.20000000001</v>
      </c>
      <c r="K1533" s="18">
        <f t="shared" si="47"/>
        <v>0</v>
      </c>
      <c r="L1533" s="27">
        <v>106455.91</v>
      </c>
      <c r="M1533" s="36">
        <v>4944.41</v>
      </c>
      <c r="T1533" s="41">
        <v>0</v>
      </c>
      <c r="U1533" s="41">
        <v>0</v>
      </c>
      <c r="V1533" s="42" t="s">
        <v>113</v>
      </c>
      <c r="W1533" s="42">
        <v>0</v>
      </c>
      <c r="X1533" s="42">
        <v>0</v>
      </c>
    </row>
    <row r="1534" spans="1:24">
      <c r="A1534" s="27" t="s">
        <v>2958</v>
      </c>
      <c r="B1534" s="28" t="s">
        <v>215</v>
      </c>
      <c r="C1534" s="27" t="s">
        <v>1637</v>
      </c>
      <c r="D1534" s="27" t="s">
        <v>230</v>
      </c>
      <c r="E1534" s="29">
        <v>40268</v>
      </c>
      <c r="F1534" s="27">
        <v>15</v>
      </c>
      <c r="G1534" s="18">
        <v>146613.76000000001</v>
      </c>
      <c r="H1534" s="27">
        <f t="shared" si="46"/>
        <v>0</v>
      </c>
      <c r="I1534" s="18">
        <v>106777.44</v>
      </c>
      <c r="J1534" s="27">
        <v>146613.76000000001</v>
      </c>
      <c r="K1534" s="18">
        <f t="shared" si="47"/>
        <v>0</v>
      </c>
      <c r="L1534" s="27">
        <v>111978.34</v>
      </c>
      <c r="M1534" s="36">
        <v>5200.8999999999996</v>
      </c>
      <c r="T1534" s="41">
        <v>0</v>
      </c>
      <c r="U1534" s="41">
        <v>0</v>
      </c>
      <c r="V1534" s="42" t="s">
        <v>113</v>
      </c>
      <c r="W1534" s="42">
        <v>0</v>
      </c>
      <c r="X1534" s="42">
        <v>0</v>
      </c>
    </row>
    <row r="1535" spans="1:24">
      <c r="A1535" s="27" t="s">
        <v>2959</v>
      </c>
      <c r="B1535" s="28" t="s">
        <v>215</v>
      </c>
      <c r="C1535" s="27" t="s">
        <v>2562</v>
      </c>
      <c r="D1535" s="27" t="s">
        <v>230</v>
      </c>
      <c r="E1535" s="29">
        <v>40268</v>
      </c>
      <c r="F1535" s="27">
        <v>15</v>
      </c>
      <c r="G1535" s="18">
        <v>113558.12</v>
      </c>
      <c r="H1535" s="27">
        <f t="shared" si="46"/>
        <v>0</v>
      </c>
      <c r="I1535" s="18">
        <v>82703.31</v>
      </c>
      <c r="J1535" s="27">
        <v>113558.12</v>
      </c>
      <c r="K1535" s="18">
        <f t="shared" si="47"/>
        <v>0</v>
      </c>
      <c r="L1535" s="27">
        <v>86731.61</v>
      </c>
      <c r="M1535" s="36">
        <v>4028.3</v>
      </c>
      <c r="T1535" s="41">
        <v>0</v>
      </c>
      <c r="U1535" s="41">
        <v>0</v>
      </c>
      <c r="V1535" s="42" t="s">
        <v>113</v>
      </c>
      <c r="W1535" s="42">
        <v>0</v>
      </c>
      <c r="X1535" s="42">
        <v>0</v>
      </c>
    </row>
    <row r="1536" spans="1:24">
      <c r="A1536" s="27" t="s">
        <v>2960</v>
      </c>
      <c r="B1536" s="28" t="s">
        <v>215</v>
      </c>
      <c r="C1536" s="27" t="s">
        <v>2961</v>
      </c>
      <c r="D1536" s="27" t="s">
        <v>230</v>
      </c>
      <c r="E1536" s="29">
        <v>40268</v>
      </c>
      <c r="F1536" s="27">
        <v>12</v>
      </c>
      <c r="G1536" s="18">
        <v>2570.4699999999998</v>
      </c>
      <c r="H1536" s="27">
        <f t="shared" si="46"/>
        <v>2570.4699999999998</v>
      </c>
      <c r="I1536" s="18">
        <v>2570.4699999999998</v>
      </c>
      <c r="J1536" s="27">
        <v>2570.4699999999998</v>
      </c>
      <c r="K1536" s="18">
        <f t="shared" si="47"/>
        <v>2570.4699999999998</v>
      </c>
      <c r="L1536" s="27">
        <v>2570.4699999999998</v>
      </c>
      <c r="M1536" s="36">
        <v>0</v>
      </c>
      <c r="T1536" s="41">
        <v>0</v>
      </c>
      <c r="U1536" s="41">
        <v>0</v>
      </c>
      <c r="V1536" s="42" t="s">
        <v>113</v>
      </c>
      <c r="W1536" s="42">
        <v>2570.4699999999998</v>
      </c>
      <c r="X1536" s="42">
        <v>2570.4699999999998</v>
      </c>
    </row>
    <row r="1537" spans="1:24">
      <c r="A1537" s="27" t="s">
        <v>2962</v>
      </c>
      <c r="B1537" s="28" t="s">
        <v>215</v>
      </c>
      <c r="C1537" s="27" t="s">
        <v>2963</v>
      </c>
      <c r="D1537" s="27" t="s">
        <v>230</v>
      </c>
      <c r="E1537" s="29">
        <v>40268</v>
      </c>
      <c r="F1537" s="27">
        <v>12</v>
      </c>
      <c r="G1537" s="18">
        <v>2570.4699999999998</v>
      </c>
      <c r="H1537" s="27">
        <f t="shared" si="46"/>
        <v>2570.4699999999998</v>
      </c>
      <c r="I1537" s="18">
        <v>2570.4699999999998</v>
      </c>
      <c r="J1537" s="27">
        <v>2570.4699999999998</v>
      </c>
      <c r="K1537" s="18">
        <f t="shared" si="47"/>
        <v>2570.4699999999998</v>
      </c>
      <c r="L1537" s="27">
        <v>2570.4699999999998</v>
      </c>
      <c r="M1537" s="36">
        <v>0</v>
      </c>
      <c r="T1537" s="41">
        <v>0</v>
      </c>
      <c r="U1537" s="41">
        <v>0</v>
      </c>
      <c r="V1537" s="42" t="s">
        <v>113</v>
      </c>
      <c r="W1537" s="42">
        <v>2570.4699999999998</v>
      </c>
      <c r="X1537" s="42">
        <v>2570.4699999999998</v>
      </c>
    </row>
    <row r="1538" spans="1:24">
      <c r="A1538" s="27" t="s">
        <v>2964</v>
      </c>
      <c r="B1538" s="28" t="s">
        <v>215</v>
      </c>
      <c r="C1538" s="27" t="s">
        <v>2965</v>
      </c>
      <c r="D1538" s="27" t="s">
        <v>230</v>
      </c>
      <c r="E1538" s="29">
        <v>40268</v>
      </c>
      <c r="F1538" s="27">
        <v>12</v>
      </c>
      <c r="G1538" s="18">
        <v>2570.4699999999998</v>
      </c>
      <c r="H1538" s="27">
        <f t="shared" si="46"/>
        <v>2570.4699999999998</v>
      </c>
      <c r="I1538" s="18">
        <v>2570.4699999999998</v>
      </c>
      <c r="J1538" s="27">
        <v>2570.4699999999998</v>
      </c>
      <c r="K1538" s="18">
        <f t="shared" si="47"/>
        <v>2570.4699999999998</v>
      </c>
      <c r="L1538" s="27">
        <v>2570.4699999999998</v>
      </c>
      <c r="M1538" s="36">
        <v>0</v>
      </c>
      <c r="T1538" s="41">
        <v>0</v>
      </c>
      <c r="U1538" s="41">
        <v>0</v>
      </c>
      <c r="V1538" s="42" t="s">
        <v>113</v>
      </c>
      <c r="W1538" s="42">
        <v>2570.4699999999998</v>
      </c>
      <c r="X1538" s="42">
        <v>2570.4699999999998</v>
      </c>
    </row>
    <row r="1539" spans="1:24">
      <c r="A1539" s="27" t="s">
        <v>2966</v>
      </c>
      <c r="B1539" s="28" t="s">
        <v>215</v>
      </c>
      <c r="C1539" s="27" t="s">
        <v>2204</v>
      </c>
      <c r="D1539" s="27" t="s">
        <v>230</v>
      </c>
      <c r="E1539" s="29">
        <v>40268</v>
      </c>
      <c r="F1539" s="27">
        <v>15</v>
      </c>
      <c r="G1539" s="18">
        <v>14340.25</v>
      </c>
      <c r="H1539" s="27">
        <f t="shared" si="46"/>
        <v>0</v>
      </c>
      <c r="I1539" s="18">
        <v>10443.870000000001</v>
      </c>
      <c r="J1539" s="27">
        <v>14340.25</v>
      </c>
      <c r="K1539" s="18">
        <f t="shared" si="47"/>
        <v>0</v>
      </c>
      <c r="L1539" s="27">
        <v>10952.57</v>
      </c>
      <c r="M1539" s="36">
        <v>508.7</v>
      </c>
      <c r="T1539" s="41">
        <v>0</v>
      </c>
      <c r="U1539" s="41">
        <v>0</v>
      </c>
      <c r="V1539" s="42" t="s">
        <v>113</v>
      </c>
      <c r="W1539" s="42">
        <v>0</v>
      </c>
      <c r="X1539" s="42">
        <v>0</v>
      </c>
    </row>
    <row r="1540" spans="1:24">
      <c r="A1540" s="27" t="s">
        <v>2967</v>
      </c>
      <c r="B1540" s="28" t="s">
        <v>215</v>
      </c>
      <c r="C1540" s="27" t="s">
        <v>2539</v>
      </c>
      <c r="D1540" s="27" t="s">
        <v>230</v>
      </c>
      <c r="E1540" s="29">
        <v>40268</v>
      </c>
      <c r="F1540" s="27">
        <v>15</v>
      </c>
      <c r="G1540" s="18">
        <v>113559</v>
      </c>
      <c r="H1540" s="27">
        <f t="shared" si="46"/>
        <v>0</v>
      </c>
      <c r="I1540" s="18">
        <v>82703.960000000006</v>
      </c>
      <c r="J1540" s="27">
        <v>113559</v>
      </c>
      <c r="K1540" s="18">
        <f t="shared" si="47"/>
        <v>0</v>
      </c>
      <c r="L1540" s="27">
        <v>86732.29</v>
      </c>
      <c r="M1540" s="36">
        <v>4028.33</v>
      </c>
      <c r="T1540" s="41">
        <v>0</v>
      </c>
      <c r="U1540" s="41">
        <v>0</v>
      </c>
      <c r="V1540" s="42" t="s">
        <v>113</v>
      </c>
      <c r="W1540" s="42">
        <v>0</v>
      </c>
      <c r="X1540" s="42">
        <v>0</v>
      </c>
    </row>
    <row r="1541" spans="1:24">
      <c r="A1541" s="27" t="s">
        <v>2968</v>
      </c>
      <c r="B1541" s="28" t="s">
        <v>215</v>
      </c>
      <c r="C1541" s="27" t="s">
        <v>1516</v>
      </c>
      <c r="D1541" s="27" t="s">
        <v>230</v>
      </c>
      <c r="E1541" s="29">
        <v>40268</v>
      </c>
      <c r="F1541" s="27">
        <v>15</v>
      </c>
      <c r="G1541" s="18">
        <v>97543.81</v>
      </c>
      <c r="H1541" s="27">
        <f t="shared" si="46"/>
        <v>0</v>
      </c>
      <c r="I1541" s="18">
        <v>71040.25</v>
      </c>
      <c r="J1541" s="27">
        <v>97543.81</v>
      </c>
      <c r="K1541" s="18">
        <f t="shared" si="47"/>
        <v>0</v>
      </c>
      <c r="L1541" s="27">
        <v>74500.47</v>
      </c>
      <c r="M1541" s="36">
        <v>3460.22</v>
      </c>
      <c r="T1541" s="41">
        <v>0</v>
      </c>
      <c r="U1541" s="41">
        <v>0</v>
      </c>
      <c r="V1541" s="42" t="s">
        <v>113</v>
      </c>
      <c r="W1541" s="42">
        <v>0</v>
      </c>
      <c r="X1541" s="42">
        <v>0</v>
      </c>
    </row>
    <row r="1542" spans="1:24">
      <c r="A1542" s="27" t="s">
        <v>2969</v>
      </c>
      <c r="B1542" s="28" t="s">
        <v>215</v>
      </c>
      <c r="C1542" s="27" t="s">
        <v>2970</v>
      </c>
      <c r="D1542" s="27" t="s">
        <v>230</v>
      </c>
      <c r="E1542" s="29">
        <v>40268</v>
      </c>
      <c r="F1542" s="27">
        <v>12</v>
      </c>
      <c r="G1542" s="18">
        <v>2570.4699999999998</v>
      </c>
      <c r="H1542" s="27">
        <f t="shared" ref="H1542:H1605" si="48">IFERROR(IF(ROUND((G1542-I1542)/G1542,2)&lt;=0.05,G1542,0),0)</f>
        <v>2570.4699999999998</v>
      </c>
      <c r="I1542" s="18">
        <v>2570.4699999999998</v>
      </c>
      <c r="J1542" s="27">
        <v>2570.4699999999998</v>
      </c>
      <c r="K1542" s="18">
        <f t="shared" ref="K1542:K1605" si="49">IFERROR(IF(ROUND((J1542-L1542)/J1542,2)&lt;=0.05,J1542,0),0)</f>
        <v>2570.4699999999998</v>
      </c>
      <c r="L1542" s="27">
        <v>2570.4699999999998</v>
      </c>
      <c r="M1542" s="36">
        <v>0</v>
      </c>
      <c r="T1542" s="41">
        <v>0</v>
      </c>
      <c r="U1542" s="41">
        <v>0</v>
      </c>
      <c r="V1542" s="42" t="s">
        <v>113</v>
      </c>
      <c r="W1542" s="42">
        <v>2570.4699999999998</v>
      </c>
      <c r="X1542" s="42">
        <v>2570.4699999999998</v>
      </c>
    </row>
    <row r="1543" spans="1:24">
      <c r="A1543" s="27" t="s">
        <v>2971</v>
      </c>
      <c r="B1543" s="28" t="s">
        <v>215</v>
      </c>
      <c r="C1543" s="27" t="s">
        <v>2972</v>
      </c>
      <c r="D1543" s="27" t="s">
        <v>230</v>
      </c>
      <c r="E1543" s="29">
        <v>40268</v>
      </c>
      <c r="F1543" s="27">
        <v>12</v>
      </c>
      <c r="G1543" s="18">
        <v>2570.4699999999998</v>
      </c>
      <c r="H1543" s="27">
        <f t="shared" si="48"/>
        <v>2570.4699999999998</v>
      </c>
      <c r="I1543" s="18">
        <v>2570.4699999999998</v>
      </c>
      <c r="J1543" s="27">
        <v>2570.4699999999998</v>
      </c>
      <c r="K1543" s="18">
        <f t="shared" si="49"/>
        <v>2570.4699999999998</v>
      </c>
      <c r="L1543" s="27">
        <v>2570.4699999999998</v>
      </c>
      <c r="M1543" s="36">
        <v>0</v>
      </c>
      <c r="T1543" s="41">
        <v>0</v>
      </c>
      <c r="U1543" s="41">
        <v>0</v>
      </c>
      <c r="V1543" s="42" t="s">
        <v>113</v>
      </c>
      <c r="W1543" s="42">
        <v>2570.4699999999998</v>
      </c>
      <c r="X1543" s="42">
        <v>2570.4699999999998</v>
      </c>
    </row>
    <row r="1544" spans="1:24">
      <c r="A1544" s="27" t="s">
        <v>2973</v>
      </c>
      <c r="B1544" s="28" t="s">
        <v>215</v>
      </c>
      <c r="C1544" s="27" t="s">
        <v>2974</v>
      </c>
      <c r="D1544" s="27" t="s">
        <v>230</v>
      </c>
      <c r="E1544" s="29">
        <v>40268</v>
      </c>
      <c r="F1544" s="27">
        <v>12</v>
      </c>
      <c r="G1544" s="18">
        <v>2570.4699999999998</v>
      </c>
      <c r="H1544" s="27">
        <f t="shared" si="48"/>
        <v>2570.4699999999998</v>
      </c>
      <c r="I1544" s="18">
        <v>2570.4699999999998</v>
      </c>
      <c r="J1544" s="27">
        <v>2570.4699999999998</v>
      </c>
      <c r="K1544" s="18">
        <f t="shared" si="49"/>
        <v>2570.4699999999998</v>
      </c>
      <c r="L1544" s="27">
        <v>2570.4699999999998</v>
      </c>
      <c r="M1544" s="36">
        <v>0</v>
      </c>
      <c r="T1544" s="41">
        <v>0</v>
      </c>
      <c r="U1544" s="41">
        <v>0</v>
      </c>
      <c r="V1544" s="42" t="s">
        <v>113</v>
      </c>
      <c r="W1544" s="42">
        <v>2570.4699999999998</v>
      </c>
      <c r="X1544" s="42">
        <v>2570.4699999999998</v>
      </c>
    </row>
    <row r="1545" spans="1:24">
      <c r="A1545" s="27" t="s">
        <v>2975</v>
      </c>
      <c r="B1545" s="28" t="s">
        <v>215</v>
      </c>
      <c r="C1545" s="27" t="s">
        <v>2504</v>
      </c>
      <c r="D1545" s="27" t="s">
        <v>230</v>
      </c>
      <c r="E1545" s="29">
        <v>40268</v>
      </c>
      <c r="F1545" s="27">
        <v>15</v>
      </c>
      <c r="G1545" s="18">
        <v>113559</v>
      </c>
      <c r="H1545" s="27">
        <f t="shared" si="48"/>
        <v>0</v>
      </c>
      <c r="I1545" s="18">
        <v>82703.960000000006</v>
      </c>
      <c r="J1545" s="27">
        <v>113559</v>
      </c>
      <c r="K1545" s="18">
        <f t="shared" si="49"/>
        <v>0</v>
      </c>
      <c r="L1545" s="27">
        <v>86732.29</v>
      </c>
      <c r="M1545" s="36">
        <v>4028.33</v>
      </c>
      <c r="T1545" s="41">
        <v>0</v>
      </c>
      <c r="U1545" s="41">
        <v>0</v>
      </c>
      <c r="V1545" s="42" t="s">
        <v>113</v>
      </c>
      <c r="W1545" s="42">
        <v>0</v>
      </c>
      <c r="X1545" s="42">
        <v>0</v>
      </c>
    </row>
    <row r="1546" spans="1:24">
      <c r="A1546" s="27" t="s">
        <v>2976</v>
      </c>
      <c r="B1546" s="28" t="s">
        <v>215</v>
      </c>
      <c r="C1546" s="27" t="s">
        <v>2977</v>
      </c>
      <c r="D1546" s="27" t="s">
        <v>230</v>
      </c>
      <c r="E1546" s="29">
        <v>40268</v>
      </c>
      <c r="F1546" s="27">
        <v>15</v>
      </c>
      <c r="G1546" s="18">
        <v>97544.81</v>
      </c>
      <c r="H1546" s="27">
        <f t="shared" si="48"/>
        <v>0</v>
      </c>
      <c r="I1546" s="18">
        <v>71040.98</v>
      </c>
      <c r="J1546" s="27">
        <v>97544.81</v>
      </c>
      <c r="K1546" s="18">
        <f t="shared" si="49"/>
        <v>0</v>
      </c>
      <c r="L1546" s="27">
        <v>74501.23</v>
      </c>
      <c r="M1546" s="36">
        <v>3460.25</v>
      </c>
      <c r="T1546" s="41">
        <v>0</v>
      </c>
      <c r="U1546" s="41">
        <v>0</v>
      </c>
      <c r="V1546" s="42" t="s">
        <v>113</v>
      </c>
      <c r="W1546" s="42">
        <v>0</v>
      </c>
      <c r="X1546" s="42">
        <v>0</v>
      </c>
    </row>
    <row r="1547" spans="1:24">
      <c r="A1547" s="27" t="s">
        <v>2978</v>
      </c>
      <c r="B1547" s="28" t="s">
        <v>215</v>
      </c>
      <c r="C1547" s="27" t="s">
        <v>2979</v>
      </c>
      <c r="D1547" s="27" t="s">
        <v>230</v>
      </c>
      <c r="E1547" s="29">
        <v>40268</v>
      </c>
      <c r="F1547" s="27">
        <v>12</v>
      </c>
      <c r="G1547" s="18">
        <v>2570.4699999999998</v>
      </c>
      <c r="H1547" s="27">
        <f t="shared" si="48"/>
        <v>2570.4699999999998</v>
      </c>
      <c r="I1547" s="18">
        <v>2570.4699999999998</v>
      </c>
      <c r="J1547" s="27">
        <v>2570.4699999999998</v>
      </c>
      <c r="K1547" s="18">
        <f t="shared" si="49"/>
        <v>2570.4699999999998</v>
      </c>
      <c r="L1547" s="27">
        <v>2570.4699999999998</v>
      </c>
      <c r="M1547" s="36">
        <v>0</v>
      </c>
      <c r="T1547" s="41">
        <v>0</v>
      </c>
      <c r="U1547" s="41">
        <v>0</v>
      </c>
      <c r="V1547" s="42" t="s">
        <v>113</v>
      </c>
      <c r="W1547" s="42">
        <v>2570.4699999999998</v>
      </c>
      <c r="X1547" s="42">
        <v>2570.4699999999998</v>
      </c>
    </row>
    <row r="1548" spans="1:24">
      <c r="A1548" s="27" t="s">
        <v>2980</v>
      </c>
      <c r="B1548" s="28" t="s">
        <v>215</v>
      </c>
      <c r="C1548" s="27" t="s">
        <v>2981</v>
      </c>
      <c r="D1548" s="27" t="s">
        <v>230</v>
      </c>
      <c r="E1548" s="29">
        <v>40268</v>
      </c>
      <c r="F1548" s="27">
        <v>12</v>
      </c>
      <c r="G1548" s="18">
        <v>2570.4699999999998</v>
      </c>
      <c r="H1548" s="27">
        <f t="shared" si="48"/>
        <v>2570.4699999999998</v>
      </c>
      <c r="I1548" s="18">
        <v>2570.4699999999998</v>
      </c>
      <c r="J1548" s="27">
        <v>2570.4699999999998</v>
      </c>
      <c r="K1548" s="18">
        <f t="shared" si="49"/>
        <v>2570.4699999999998</v>
      </c>
      <c r="L1548" s="27">
        <v>2570.4699999999998</v>
      </c>
      <c r="M1548" s="36">
        <v>0</v>
      </c>
      <c r="T1548" s="41">
        <v>0</v>
      </c>
      <c r="U1548" s="41">
        <v>0</v>
      </c>
      <c r="V1548" s="42" t="s">
        <v>113</v>
      </c>
      <c r="W1548" s="42">
        <v>2570.4699999999998</v>
      </c>
      <c r="X1548" s="42">
        <v>2570.4699999999998</v>
      </c>
    </row>
    <row r="1549" spans="1:24">
      <c r="A1549" s="27" t="s">
        <v>2982</v>
      </c>
      <c r="B1549" s="28" t="s">
        <v>215</v>
      </c>
      <c r="C1549" s="27" t="s">
        <v>2983</v>
      </c>
      <c r="D1549" s="27" t="s">
        <v>230</v>
      </c>
      <c r="E1549" s="29">
        <v>40268</v>
      </c>
      <c r="F1549" s="27">
        <v>12</v>
      </c>
      <c r="G1549" s="18">
        <v>2570.4699999999998</v>
      </c>
      <c r="H1549" s="27">
        <f t="shared" si="48"/>
        <v>2570.4699999999998</v>
      </c>
      <c r="I1549" s="18">
        <v>2570.4699999999998</v>
      </c>
      <c r="J1549" s="27">
        <v>2570.4699999999998</v>
      </c>
      <c r="K1549" s="18">
        <f t="shared" si="49"/>
        <v>2570.4699999999998</v>
      </c>
      <c r="L1549" s="27">
        <v>2570.4699999999998</v>
      </c>
      <c r="M1549" s="36">
        <v>0</v>
      </c>
      <c r="T1549" s="41">
        <v>0</v>
      </c>
      <c r="U1549" s="41">
        <v>0</v>
      </c>
      <c r="V1549" s="42" t="s">
        <v>113</v>
      </c>
      <c r="W1549" s="42">
        <v>2570.4699999999998</v>
      </c>
      <c r="X1549" s="42">
        <v>2570.4699999999998</v>
      </c>
    </row>
    <row r="1550" spans="1:24">
      <c r="A1550" s="27" t="s">
        <v>2984</v>
      </c>
      <c r="B1550" s="28" t="s">
        <v>215</v>
      </c>
      <c r="C1550" s="27" t="s">
        <v>2537</v>
      </c>
      <c r="D1550" s="27" t="s">
        <v>230</v>
      </c>
      <c r="E1550" s="29">
        <v>40268</v>
      </c>
      <c r="F1550" s="27">
        <v>15</v>
      </c>
      <c r="G1550" s="18">
        <v>113559</v>
      </c>
      <c r="H1550" s="27">
        <f t="shared" si="48"/>
        <v>0</v>
      </c>
      <c r="I1550" s="18">
        <v>82703.960000000006</v>
      </c>
      <c r="J1550" s="27">
        <v>113559</v>
      </c>
      <c r="K1550" s="18">
        <f t="shared" si="49"/>
        <v>0</v>
      </c>
      <c r="L1550" s="27">
        <v>86732.29</v>
      </c>
      <c r="M1550" s="36">
        <v>4028.33</v>
      </c>
      <c r="T1550" s="41">
        <v>0</v>
      </c>
      <c r="U1550" s="41">
        <v>0</v>
      </c>
      <c r="V1550" s="42" t="s">
        <v>113</v>
      </c>
      <c r="W1550" s="42">
        <v>0</v>
      </c>
      <c r="X1550" s="42">
        <v>0</v>
      </c>
    </row>
    <row r="1551" spans="1:24">
      <c r="A1551" s="27" t="s">
        <v>2985</v>
      </c>
      <c r="B1551" s="28" t="s">
        <v>215</v>
      </c>
      <c r="C1551" s="27" t="s">
        <v>1762</v>
      </c>
      <c r="D1551" s="27" t="s">
        <v>230</v>
      </c>
      <c r="E1551" s="29">
        <v>40268</v>
      </c>
      <c r="F1551" s="27">
        <v>15</v>
      </c>
      <c r="G1551" s="18">
        <v>14340.25</v>
      </c>
      <c r="H1551" s="27">
        <f t="shared" si="48"/>
        <v>0</v>
      </c>
      <c r="I1551" s="18">
        <v>10443.870000000001</v>
      </c>
      <c r="J1551" s="27">
        <v>14340.25</v>
      </c>
      <c r="K1551" s="18">
        <f t="shared" si="49"/>
        <v>0</v>
      </c>
      <c r="L1551" s="27">
        <v>10952.57</v>
      </c>
      <c r="M1551" s="36">
        <v>508.7</v>
      </c>
      <c r="T1551" s="41">
        <v>0</v>
      </c>
      <c r="U1551" s="41">
        <v>0</v>
      </c>
      <c r="V1551" s="42" t="s">
        <v>113</v>
      </c>
      <c r="W1551" s="42">
        <v>0</v>
      </c>
      <c r="X1551" s="42">
        <v>0</v>
      </c>
    </row>
    <row r="1552" spans="1:24">
      <c r="A1552" s="27" t="s">
        <v>2986</v>
      </c>
      <c r="B1552" s="28" t="s">
        <v>215</v>
      </c>
      <c r="C1552" s="27" t="s">
        <v>1746</v>
      </c>
      <c r="D1552" s="27" t="s">
        <v>230</v>
      </c>
      <c r="E1552" s="29">
        <v>40268</v>
      </c>
      <c r="F1552" s="27">
        <v>15</v>
      </c>
      <c r="G1552" s="18">
        <v>14340.25</v>
      </c>
      <c r="H1552" s="27">
        <f t="shared" si="48"/>
        <v>0</v>
      </c>
      <c r="I1552" s="18">
        <v>10443.870000000001</v>
      </c>
      <c r="J1552" s="27">
        <v>14340.25</v>
      </c>
      <c r="K1552" s="18">
        <f t="shared" si="49"/>
        <v>0</v>
      </c>
      <c r="L1552" s="27">
        <v>10952.57</v>
      </c>
      <c r="M1552" s="36">
        <v>508.7</v>
      </c>
      <c r="T1552" s="41">
        <v>0</v>
      </c>
      <c r="U1552" s="41">
        <v>0</v>
      </c>
      <c r="V1552" s="42" t="s">
        <v>113</v>
      </c>
      <c r="W1552" s="42">
        <v>0</v>
      </c>
      <c r="X1552" s="42">
        <v>0</v>
      </c>
    </row>
    <row r="1553" spans="1:24">
      <c r="A1553" s="27" t="s">
        <v>2987</v>
      </c>
      <c r="B1553" s="28" t="s">
        <v>215</v>
      </c>
      <c r="C1553" s="27" t="s">
        <v>2988</v>
      </c>
      <c r="D1553" s="27" t="s">
        <v>230</v>
      </c>
      <c r="E1553" s="29">
        <v>40268</v>
      </c>
      <c r="F1553" s="27">
        <v>12</v>
      </c>
      <c r="G1553" s="18">
        <v>2570.4699999999998</v>
      </c>
      <c r="H1553" s="27">
        <f t="shared" si="48"/>
        <v>2570.4699999999998</v>
      </c>
      <c r="I1553" s="18">
        <v>2570.4699999999998</v>
      </c>
      <c r="J1553" s="27">
        <v>2570.4699999999998</v>
      </c>
      <c r="K1553" s="18">
        <f t="shared" si="49"/>
        <v>2570.4699999999998</v>
      </c>
      <c r="L1553" s="27">
        <v>2570.4699999999998</v>
      </c>
      <c r="M1553" s="36">
        <v>0</v>
      </c>
      <c r="T1553" s="41">
        <v>0</v>
      </c>
      <c r="U1553" s="41">
        <v>0</v>
      </c>
      <c r="V1553" s="42" t="s">
        <v>113</v>
      </c>
      <c r="W1553" s="42">
        <v>2570.4699999999998</v>
      </c>
      <c r="X1553" s="42">
        <v>2570.4699999999998</v>
      </c>
    </row>
    <row r="1554" spans="1:24">
      <c r="A1554" s="27" t="s">
        <v>2989</v>
      </c>
      <c r="B1554" s="28" t="s">
        <v>215</v>
      </c>
      <c r="C1554" s="27" t="s">
        <v>2990</v>
      </c>
      <c r="D1554" s="27" t="s">
        <v>230</v>
      </c>
      <c r="E1554" s="29">
        <v>40268</v>
      </c>
      <c r="F1554" s="27">
        <v>12</v>
      </c>
      <c r="G1554" s="18">
        <v>2570.4699999999998</v>
      </c>
      <c r="H1554" s="27">
        <f t="shared" si="48"/>
        <v>2570.4699999999998</v>
      </c>
      <c r="I1554" s="18">
        <v>2570.4699999999998</v>
      </c>
      <c r="J1554" s="27">
        <v>2570.4699999999998</v>
      </c>
      <c r="K1554" s="18">
        <f t="shared" si="49"/>
        <v>2570.4699999999998</v>
      </c>
      <c r="L1554" s="27">
        <v>2570.4699999999998</v>
      </c>
      <c r="M1554" s="36">
        <v>0</v>
      </c>
      <c r="T1554" s="41">
        <v>0</v>
      </c>
      <c r="U1554" s="41">
        <v>0</v>
      </c>
      <c r="V1554" s="42" t="s">
        <v>113</v>
      </c>
      <c r="W1554" s="42">
        <v>2570.4699999999998</v>
      </c>
      <c r="X1554" s="42">
        <v>2570.4699999999998</v>
      </c>
    </row>
    <row r="1555" spans="1:24">
      <c r="A1555" s="27" t="s">
        <v>2991</v>
      </c>
      <c r="B1555" s="28" t="s">
        <v>215</v>
      </c>
      <c r="C1555" s="27" t="s">
        <v>2992</v>
      </c>
      <c r="D1555" s="27" t="s">
        <v>230</v>
      </c>
      <c r="E1555" s="29">
        <v>40268</v>
      </c>
      <c r="F1555" s="27">
        <v>12</v>
      </c>
      <c r="G1555" s="18">
        <v>2570.4699999999998</v>
      </c>
      <c r="H1555" s="27">
        <f t="shared" si="48"/>
        <v>2570.4699999999998</v>
      </c>
      <c r="I1555" s="18">
        <v>2570.4699999999998</v>
      </c>
      <c r="J1555" s="27">
        <v>2570.4699999999998</v>
      </c>
      <c r="K1555" s="18">
        <f t="shared" si="49"/>
        <v>2570.4699999999998</v>
      </c>
      <c r="L1555" s="27">
        <v>2570.4699999999998</v>
      </c>
      <c r="M1555" s="36">
        <v>0</v>
      </c>
      <c r="T1555" s="41">
        <v>0</v>
      </c>
      <c r="U1555" s="41">
        <v>0</v>
      </c>
      <c r="V1555" s="42" t="s">
        <v>113</v>
      </c>
      <c r="W1555" s="42">
        <v>2570.4699999999998</v>
      </c>
      <c r="X1555" s="42">
        <v>2570.4699999999998</v>
      </c>
    </row>
    <row r="1556" spans="1:24">
      <c r="A1556" s="27" t="s">
        <v>2993</v>
      </c>
      <c r="B1556" s="28" t="s">
        <v>215</v>
      </c>
      <c r="C1556" s="27" t="s">
        <v>2994</v>
      </c>
      <c r="D1556" s="27" t="s">
        <v>230</v>
      </c>
      <c r="E1556" s="29">
        <v>40268</v>
      </c>
      <c r="F1556" s="27">
        <v>12</v>
      </c>
      <c r="G1556" s="18">
        <v>2570.4699999999998</v>
      </c>
      <c r="H1556" s="27">
        <f t="shared" si="48"/>
        <v>2570.4699999999998</v>
      </c>
      <c r="I1556" s="18">
        <v>2570.4699999999998</v>
      </c>
      <c r="J1556" s="27">
        <v>2570.4699999999998</v>
      </c>
      <c r="K1556" s="18">
        <f t="shared" si="49"/>
        <v>2570.4699999999998</v>
      </c>
      <c r="L1556" s="27">
        <v>2570.4699999999998</v>
      </c>
      <c r="M1556" s="36">
        <v>0</v>
      </c>
      <c r="T1556" s="41">
        <v>0</v>
      </c>
      <c r="U1556" s="41">
        <v>0</v>
      </c>
      <c r="V1556" s="42" t="s">
        <v>113</v>
      </c>
      <c r="W1556" s="42">
        <v>2570.4699999999998</v>
      </c>
      <c r="X1556" s="42">
        <v>2570.4699999999998</v>
      </c>
    </row>
    <row r="1557" spans="1:24">
      <c r="A1557" s="27" t="s">
        <v>2995</v>
      </c>
      <c r="B1557" s="28" t="s">
        <v>215</v>
      </c>
      <c r="C1557" s="27" t="s">
        <v>2996</v>
      </c>
      <c r="D1557" s="27" t="s">
        <v>230</v>
      </c>
      <c r="E1557" s="29">
        <v>40268</v>
      </c>
      <c r="F1557" s="27">
        <v>12</v>
      </c>
      <c r="G1557" s="18">
        <v>2570.4699999999998</v>
      </c>
      <c r="H1557" s="27">
        <f t="shared" si="48"/>
        <v>2570.4699999999998</v>
      </c>
      <c r="I1557" s="18">
        <v>2570.4699999999998</v>
      </c>
      <c r="J1557" s="27">
        <v>2570.4699999999998</v>
      </c>
      <c r="K1557" s="18">
        <f t="shared" si="49"/>
        <v>2570.4699999999998</v>
      </c>
      <c r="L1557" s="27">
        <v>2570.4699999999998</v>
      </c>
      <c r="M1557" s="36">
        <v>0</v>
      </c>
      <c r="T1557" s="41">
        <v>0</v>
      </c>
      <c r="U1557" s="41">
        <v>0</v>
      </c>
      <c r="V1557" s="42" t="s">
        <v>113</v>
      </c>
      <c r="W1557" s="42">
        <v>2570.4699999999998</v>
      </c>
      <c r="X1557" s="42">
        <v>2570.4699999999998</v>
      </c>
    </row>
    <row r="1558" spans="1:24">
      <c r="A1558" s="27" t="s">
        <v>2997</v>
      </c>
      <c r="B1558" s="28" t="s">
        <v>215</v>
      </c>
      <c r="C1558" s="27" t="s">
        <v>2998</v>
      </c>
      <c r="D1558" s="27" t="s">
        <v>230</v>
      </c>
      <c r="E1558" s="29">
        <v>40268</v>
      </c>
      <c r="F1558" s="27">
        <v>12</v>
      </c>
      <c r="G1558" s="18">
        <v>2570.4699999999998</v>
      </c>
      <c r="H1558" s="27">
        <f t="shared" si="48"/>
        <v>2570.4699999999998</v>
      </c>
      <c r="I1558" s="18">
        <v>2570.4699999999998</v>
      </c>
      <c r="J1558" s="27">
        <v>2570.4699999999998</v>
      </c>
      <c r="K1558" s="18">
        <f t="shared" si="49"/>
        <v>2570.4699999999998</v>
      </c>
      <c r="L1558" s="27">
        <v>2570.4699999999998</v>
      </c>
      <c r="M1558" s="36">
        <v>0</v>
      </c>
      <c r="T1558" s="41">
        <v>0</v>
      </c>
      <c r="U1558" s="41">
        <v>0</v>
      </c>
      <c r="V1558" s="42" t="s">
        <v>113</v>
      </c>
      <c r="W1558" s="42">
        <v>2570.4699999999998</v>
      </c>
      <c r="X1558" s="42">
        <v>2570.4699999999998</v>
      </c>
    </row>
    <row r="1559" spans="1:24">
      <c r="A1559" s="27" t="s">
        <v>2999</v>
      </c>
      <c r="B1559" s="28" t="s">
        <v>215</v>
      </c>
      <c r="C1559" s="27" t="s">
        <v>3000</v>
      </c>
      <c r="D1559" s="27" t="s">
        <v>230</v>
      </c>
      <c r="E1559" s="29">
        <v>40268</v>
      </c>
      <c r="F1559" s="27">
        <v>15</v>
      </c>
      <c r="G1559" s="18">
        <v>21021.17</v>
      </c>
      <c r="H1559" s="27">
        <f t="shared" si="48"/>
        <v>0</v>
      </c>
      <c r="I1559" s="18">
        <v>15309.52</v>
      </c>
      <c r="J1559" s="27">
        <v>21021.17</v>
      </c>
      <c r="K1559" s="18">
        <f t="shared" si="49"/>
        <v>0</v>
      </c>
      <c r="L1559" s="27">
        <v>16055.21</v>
      </c>
      <c r="M1559" s="36">
        <v>745.69</v>
      </c>
      <c r="T1559" s="41">
        <v>0</v>
      </c>
      <c r="U1559" s="41">
        <v>0</v>
      </c>
      <c r="V1559" s="42" t="s">
        <v>113</v>
      </c>
      <c r="W1559" s="42">
        <v>0</v>
      </c>
      <c r="X1559" s="42">
        <v>0</v>
      </c>
    </row>
    <row r="1560" spans="1:24">
      <c r="A1560" s="27" t="s">
        <v>3001</v>
      </c>
      <c r="B1560" s="28" t="s">
        <v>215</v>
      </c>
      <c r="C1560" s="27" t="s">
        <v>3002</v>
      </c>
      <c r="D1560" s="27" t="s">
        <v>230</v>
      </c>
      <c r="E1560" s="29">
        <v>40268</v>
      </c>
      <c r="F1560" s="27">
        <v>15</v>
      </c>
      <c r="G1560" s="18">
        <v>21021.17</v>
      </c>
      <c r="H1560" s="27">
        <f t="shared" si="48"/>
        <v>0</v>
      </c>
      <c r="I1560" s="18">
        <v>15309.52</v>
      </c>
      <c r="J1560" s="27">
        <v>21021.17</v>
      </c>
      <c r="K1560" s="18">
        <f t="shared" si="49"/>
        <v>0</v>
      </c>
      <c r="L1560" s="27">
        <v>16055.21</v>
      </c>
      <c r="M1560" s="36">
        <v>745.69</v>
      </c>
      <c r="T1560" s="41">
        <v>0</v>
      </c>
      <c r="U1560" s="41">
        <v>0</v>
      </c>
      <c r="V1560" s="42" t="s">
        <v>113</v>
      </c>
      <c r="W1560" s="42">
        <v>0</v>
      </c>
      <c r="X1560" s="42">
        <v>0</v>
      </c>
    </row>
    <row r="1561" spans="1:24">
      <c r="A1561" s="27" t="s">
        <v>3003</v>
      </c>
      <c r="B1561" s="28" t="s">
        <v>215</v>
      </c>
      <c r="C1561" s="27" t="s">
        <v>3004</v>
      </c>
      <c r="D1561" s="27" t="s">
        <v>118</v>
      </c>
      <c r="E1561" s="29">
        <v>41269</v>
      </c>
      <c r="F1561" s="27">
        <v>15</v>
      </c>
      <c r="G1561" s="18">
        <v>596552.56999999995</v>
      </c>
      <c r="H1561" s="27">
        <f t="shared" si="48"/>
        <v>0</v>
      </c>
      <c r="I1561" s="18">
        <v>308871.48</v>
      </c>
      <c r="J1561" s="27">
        <v>596552.56999999995</v>
      </c>
      <c r="K1561" s="18">
        <f t="shared" si="49"/>
        <v>0</v>
      </c>
      <c r="L1561" s="27">
        <v>337521.86</v>
      </c>
      <c r="M1561" s="36">
        <v>28650.38</v>
      </c>
      <c r="T1561" s="41">
        <v>0</v>
      </c>
      <c r="U1561" s="41">
        <v>0</v>
      </c>
      <c r="V1561" s="42" t="s">
        <v>113</v>
      </c>
      <c r="W1561" s="42">
        <v>0</v>
      </c>
      <c r="X1561" s="42">
        <v>0</v>
      </c>
    </row>
    <row r="1562" spans="1:24">
      <c r="A1562" s="27" t="s">
        <v>3005</v>
      </c>
      <c r="B1562" s="28" t="s">
        <v>215</v>
      </c>
      <c r="C1562" s="27" t="s">
        <v>3006</v>
      </c>
      <c r="D1562" s="27" t="s">
        <v>118</v>
      </c>
      <c r="E1562" s="29">
        <v>41269</v>
      </c>
      <c r="F1562" s="27">
        <v>15</v>
      </c>
      <c r="G1562" s="18">
        <v>21527.77</v>
      </c>
      <c r="H1562" s="27">
        <f t="shared" si="48"/>
        <v>0</v>
      </c>
      <c r="I1562" s="18">
        <v>11146.24</v>
      </c>
      <c r="J1562" s="27">
        <v>21527.77</v>
      </c>
      <c r="K1562" s="18">
        <f t="shared" si="49"/>
        <v>0</v>
      </c>
      <c r="L1562" s="27">
        <v>12180.14</v>
      </c>
      <c r="M1562" s="36">
        <v>1033.9000000000001</v>
      </c>
      <c r="T1562" s="41">
        <v>0</v>
      </c>
      <c r="U1562" s="41">
        <v>0</v>
      </c>
      <c r="V1562" s="42" t="s">
        <v>113</v>
      </c>
      <c r="W1562" s="42">
        <v>0</v>
      </c>
      <c r="X1562" s="42">
        <v>0</v>
      </c>
    </row>
    <row r="1563" spans="1:24">
      <c r="A1563" s="27" t="s">
        <v>3007</v>
      </c>
      <c r="B1563" s="28" t="s">
        <v>215</v>
      </c>
      <c r="C1563" s="27" t="s">
        <v>3008</v>
      </c>
      <c r="D1563" s="27" t="s">
        <v>118</v>
      </c>
      <c r="E1563" s="29">
        <v>41269</v>
      </c>
      <c r="F1563" s="27">
        <v>15</v>
      </c>
      <c r="G1563" s="18">
        <v>4409.3</v>
      </c>
      <c r="H1563" s="27">
        <f t="shared" si="48"/>
        <v>0</v>
      </c>
      <c r="I1563" s="18">
        <v>2282.96</v>
      </c>
      <c r="J1563" s="27">
        <v>4409.3</v>
      </c>
      <c r="K1563" s="18">
        <f t="shared" si="49"/>
        <v>0</v>
      </c>
      <c r="L1563" s="27">
        <v>2494.7199999999998</v>
      </c>
      <c r="M1563" s="36">
        <v>211.76</v>
      </c>
      <c r="T1563" s="41">
        <v>0</v>
      </c>
      <c r="U1563" s="41">
        <v>0</v>
      </c>
      <c r="V1563" s="42" t="s">
        <v>113</v>
      </c>
      <c r="W1563" s="42">
        <v>0</v>
      </c>
      <c r="X1563" s="42">
        <v>0</v>
      </c>
    </row>
    <row r="1564" spans="1:24">
      <c r="A1564" s="27" t="s">
        <v>3009</v>
      </c>
      <c r="B1564" s="28" t="s">
        <v>215</v>
      </c>
      <c r="C1564" s="27" t="s">
        <v>3010</v>
      </c>
      <c r="D1564" s="27" t="s">
        <v>118</v>
      </c>
      <c r="E1564" s="29">
        <v>41269</v>
      </c>
      <c r="F1564" s="27">
        <v>15</v>
      </c>
      <c r="G1564" s="18">
        <v>4409.3</v>
      </c>
      <c r="H1564" s="27">
        <f t="shared" si="48"/>
        <v>0</v>
      </c>
      <c r="I1564" s="18">
        <v>2282.96</v>
      </c>
      <c r="J1564" s="27">
        <v>4409.3</v>
      </c>
      <c r="K1564" s="18">
        <f t="shared" si="49"/>
        <v>0</v>
      </c>
      <c r="L1564" s="27">
        <v>2494.7199999999998</v>
      </c>
      <c r="M1564" s="36">
        <v>211.76</v>
      </c>
      <c r="T1564" s="41">
        <v>0</v>
      </c>
      <c r="U1564" s="41">
        <v>0</v>
      </c>
      <c r="V1564" s="42" t="s">
        <v>113</v>
      </c>
      <c r="W1564" s="42">
        <v>0</v>
      </c>
      <c r="X1564" s="42">
        <v>0</v>
      </c>
    </row>
    <row r="1565" spans="1:24">
      <c r="A1565" s="27" t="s">
        <v>3011</v>
      </c>
      <c r="B1565" s="28" t="s">
        <v>215</v>
      </c>
      <c r="C1565" s="27" t="s">
        <v>3012</v>
      </c>
      <c r="D1565" s="27" t="s">
        <v>118</v>
      </c>
      <c r="E1565" s="29">
        <v>41269</v>
      </c>
      <c r="F1565" s="27">
        <v>15</v>
      </c>
      <c r="G1565" s="18">
        <v>4409.3</v>
      </c>
      <c r="H1565" s="27">
        <f t="shared" si="48"/>
        <v>0</v>
      </c>
      <c r="I1565" s="18">
        <v>2282.96</v>
      </c>
      <c r="J1565" s="27">
        <v>4409.3</v>
      </c>
      <c r="K1565" s="18">
        <f t="shared" si="49"/>
        <v>0</v>
      </c>
      <c r="L1565" s="27">
        <v>2494.7199999999998</v>
      </c>
      <c r="M1565" s="36">
        <v>211.76</v>
      </c>
      <c r="T1565" s="41">
        <v>0</v>
      </c>
      <c r="U1565" s="41">
        <v>0</v>
      </c>
      <c r="V1565" s="42" t="s">
        <v>113</v>
      </c>
      <c r="W1565" s="42">
        <v>0</v>
      </c>
      <c r="X1565" s="42">
        <v>0</v>
      </c>
    </row>
    <row r="1566" spans="1:24">
      <c r="A1566" s="27" t="s">
        <v>3013</v>
      </c>
      <c r="B1566" s="28" t="s">
        <v>215</v>
      </c>
      <c r="C1566" s="27" t="s">
        <v>3014</v>
      </c>
      <c r="D1566" s="27" t="s">
        <v>118</v>
      </c>
      <c r="E1566" s="29">
        <v>41269</v>
      </c>
      <c r="F1566" s="27">
        <v>15</v>
      </c>
      <c r="G1566" s="18">
        <v>596552.56999999995</v>
      </c>
      <c r="H1566" s="27">
        <f t="shared" si="48"/>
        <v>0</v>
      </c>
      <c r="I1566" s="18">
        <v>308871.48</v>
      </c>
      <c r="J1566" s="27">
        <v>596552.56999999995</v>
      </c>
      <c r="K1566" s="18">
        <f t="shared" si="49"/>
        <v>0</v>
      </c>
      <c r="L1566" s="27">
        <v>337521.86</v>
      </c>
      <c r="M1566" s="36">
        <v>28650.38</v>
      </c>
      <c r="T1566" s="41">
        <v>0</v>
      </c>
      <c r="U1566" s="41">
        <v>0</v>
      </c>
      <c r="V1566" s="42" t="s">
        <v>113</v>
      </c>
      <c r="W1566" s="42">
        <v>0</v>
      </c>
      <c r="X1566" s="42">
        <v>0</v>
      </c>
    </row>
    <row r="1567" spans="1:24">
      <c r="A1567" s="27" t="s">
        <v>3015</v>
      </c>
      <c r="B1567" s="28" t="s">
        <v>215</v>
      </c>
      <c r="C1567" s="27" t="s">
        <v>3016</v>
      </c>
      <c r="D1567" s="27" t="s">
        <v>118</v>
      </c>
      <c r="E1567" s="29">
        <v>41269</v>
      </c>
      <c r="F1567" s="27">
        <v>15</v>
      </c>
      <c r="G1567" s="18">
        <v>4409.3</v>
      </c>
      <c r="H1567" s="27">
        <f t="shared" si="48"/>
        <v>0</v>
      </c>
      <c r="I1567" s="18">
        <v>2282.96</v>
      </c>
      <c r="J1567" s="27">
        <v>4409.3</v>
      </c>
      <c r="K1567" s="18">
        <f t="shared" si="49"/>
        <v>0</v>
      </c>
      <c r="L1567" s="27">
        <v>2494.7199999999998</v>
      </c>
      <c r="M1567" s="36">
        <v>211.76</v>
      </c>
      <c r="T1567" s="41">
        <v>0</v>
      </c>
      <c r="U1567" s="41">
        <v>0</v>
      </c>
      <c r="V1567" s="42" t="s">
        <v>113</v>
      </c>
      <c r="W1567" s="42">
        <v>0</v>
      </c>
      <c r="X1567" s="42">
        <v>0</v>
      </c>
    </row>
    <row r="1568" spans="1:24">
      <c r="A1568" s="27" t="s">
        <v>3017</v>
      </c>
      <c r="B1568" s="28" t="s">
        <v>215</v>
      </c>
      <c r="C1568" s="27" t="s">
        <v>3018</v>
      </c>
      <c r="D1568" s="27" t="s">
        <v>118</v>
      </c>
      <c r="E1568" s="29">
        <v>41269</v>
      </c>
      <c r="F1568" s="27">
        <v>15</v>
      </c>
      <c r="G1568" s="18">
        <v>4409.3</v>
      </c>
      <c r="H1568" s="27">
        <f t="shared" si="48"/>
        <v>0</v>
      </c>
      <c r="I1568" s="18">
        <v>2282.96</v>
      </c>
      <c r="J1568" s="27">
        <v>4409.3</v>
      </c>
      <c r="K1568" s="18">
        <f t="shared" si="49"/>
        <v>0</v>
      </c>
      <c r="L1568" s="27">
        <v>2494.7199999999998</v>
      </c>
      <c r="M1568" s="36">
        <v>211.76</v>
      </c>
      <c r="T1568" s="41">
        <v>0</v>
      </c>
      <c r="U1568" s="41">
        <v>0</v>
      </c>
      <c r="V1568" s="42" t="s">
        <v>113</v>
      </c>
      <c r="W1568" s="42">
        <v>0</v>
      </c>
      <c r="X1568" s="42">
        <v>0</v>
      </c>
    </row>
    <row r="1569" spans="1:24">
      <c r="A1569" s="27" t="s">
        <v>3019</v>
      </c>
      <c r="B1569" s="28" t="s">
        <v>215</v>
      </c>
      <c r="C1569" s="27" t="s">
        <v>3020</v>
      </c>
      <c r="D1569" s="27" t="s">
        <v>118</v>
      </c>
      <c r="E1569" s="29">
        <v>41269</v>
      </c>
      <c r="F1569" s="27">
        <v>15</v>
      </c>
      <c r="G1569" s="18">
        <v>21527.77</v>
      </c>
      <c r="H1569" s="27">
        <f t="shared" si="48"/>
        <v>0</v>
      </c>
      <c r="I1569" s="18">
        <v>11146.24</v>
      </c>
      <c r="J1569" s="27">
        <v>21527.77</v>
      </c>
      <c r="K1569" s="18">
        <f t="shared" si="49"/>
        <v>0</v>
      </c>
      <c r="L1569" s="27">
        <v>12180.14</v>
      </c>
      <c r="M1569" s="36">
        <v>1033.9000000000001</v>
      </c>
      <c r="T1569" s="41">
        <v>0</v>
      </c>
      <c r="U1569" s="41">
        <v>0</v>
      </c>
      <c r="V1569" s="42" t="s">
        <v>113</v>
      </c>
      <c r="W1569" s="42">
        <v>0</v>
      </c>
      <c r="X1569" s="42">
        <v>0</v>
      </c>
    </row>
    <row r="1570" spans="1:24">
      <c r="A1570" s="27" t="s">
        <v>3021</v>
      </c>
      <c r="B1570" s="28" t="s">
        <v>215</v>
      </c>
      <c r="C1570" s="27" t="s">
        <v>3022</v>
      </c>
      <c r="D1570" s="27" t="s">
        <v>118</v>
      </c>
      <c r="E1570" s="29">
        <v>41269</v>
      </c>
      <c r="F1570" s="27">
        <v>15</v>
      </c>
      <c r="G1570" s="18">
        <v>4409.3</v>
      </c>
      <c r="H1570" s="27">
        <f t="shared" si="48"/>
        <v>0</v>
      </c>
      <c r="I1570" s="18">
        <v>2282.96</v>
      </c>
      <c r="J1570" s="27">
        <v>4409.3</v>
      </c>
      <c r="K1570" s="18">
        <f t="shared" si="49"/>
        <v>0</v>
      </c>
      <c r="L1570" s="27">
        <v>2494.7199999999998</v>
      </c>
      <c r="M1570" s="36">
        <v>211.76</v>
      </c>
      <c r="T1570" s="41">
        <v>0</v>
      </c>
      <c r="U1570" s="41">
        <v>0</v>
      </c>
      <c r="V1570" s="42" t="s">
        <v>113</v>
      </c>
      <c r="W1570" s="42">
        <v>0</v>
      </c>
      <c r="X1570" s="42">
        <v>0</v>
      </c>
    </row>
    <row r="1571" spans="1:24">
      <c r="A1571" s="27" t="s">
        <v>3023</v>
      </c>
      <c r="B1571" s="28" t="s">
        <v>215</v>
      </c>
      <c r="C1571" s="27" t="s">
        <v>3024</v>
      </c>
      <c r="D1571" s="27" t="s">
        <v>112</v>
      </c>
      <c r="E1571" s="29">
        <v>41271</v>
      </c>
      <c r="F1571" s="27">
        <v>15</v>
      </c>
      <c r="G1571" s="18">
        <v>58524.49</v>
      </c>
      <c r="H1571" s="27">
        <f t="shared" si="48"/>
        <v>0</v>
      </c>
      <c r="I1571" s="18">
        <v>28368.61</v>
      </c>
      <c r="J1571" s="27">
        <v>58524.49</v>
      </c>
      <c r="K1571" s="18">
        <f t="shared" si="49"/>
        <v>0</v>
      </c>
      <c r="L1571" s="27">
        <v>31394.13</v>
      </c>
      <c r="M1571" s="36">
        <v>3025.52</v>
      </c>
      <c r="T1571" s="41">
        <v>0</v>
      </c>
      <c r="U1571" s="41">
        <v>0</v>
      </c>
      <c r="V1571" s="42" t="s">
        <v>113</v>
      </c>
      <c r="W1571" s="42">
        <v>0</v>
      </c>
      <c r="X1571" s="42">
        <v>0</v>
      </c>
    </row>
    <row r="1572" spans="1:24">
      <c r="A1572" s="27" t="s">
        <v>3025</v>
      </c>
      <c r="B1572" s="28" t="s">
        <v>215</v>
      </c>
      <c r="C1572" s="27" t="s">
        <v>3026</v>
      </c>
      <c r="D1572" s="27" t="s">
        <v>112</v>
      </c>
      <c r="E1572" s="29">
        <v>41271</v>
      </c>
      <c r="F1572" s="27">
        <v>15</v>
      </c>
      <c r="G1572" s="18">
        <v>36874.89</v>
      </c>
      <c r="H1572" s="27">
        <f t="shared" si="48"/>
        <v>0</v>
      </c>
      <c r="I1572" s="18">
        <v>17874.400000000001</v>
      </c>
      <c r="J1572" s="27">
        <v>36874.89</v>
      </c>
      <c r="K1572" s="18">
        <f t="shared" si="49"/>
        <v>0</v>
      </c>
      <c r="L1572" s="27">
        <v>19780.71</v>
      </c>
      <c r="M1572" s="36">
        <v>1906.31</v>
      </c>
      <c r="T1572" s="41">
        <v>0</v>
      </c>
      <c r="U1572" s="41">
        <v>0</v>
      </c>
      <c r="V1572" s="42" t="s">
        <v>113</v>
      </c>
      <c r="W1572" s="42">
        <v>0</v>
      </c>
      <c r="X1572" s="42">
        <v>0</v>
      </c>
    </row>
    <row r="1573" spans="1:24">
      <c r="A1573" s="27" t="s">
        <v>3027</v>
      </c>
      <c r="B1573" s="28" t="s">
        <v>215</v>
      </c>
      <c r="C1573" s="27" t="s">
        <v>860</v>
      </c>
      <c r="D1573" s="27" t="s">
        <v>230</v>
      </c>
      <c r="E1573" s="29">
        <v>41271</v>
      </c>
      <c r="F1573" s="27">
        <v>15</v>
      </c>
      <c r="G1573" s="18">
        <v>9681.44</v>
      </c>
      <c r="H1573" s="27">
        <f t="shared" si="48"/>
        <v>0</v>
      </c>
      <c r="I1573" s="18">
        <v>4692.8999999999996</v>
      </c>
      <c r="J1573" s="27">
        <v>9681.44</v>
      </c>
      <c r="K1573" s="18">
        <f t="shared" si="49"/>
        <v>0</v>
      </c>
      <c r="L1573" s="27">
        <v>5193.3999999999996</v>
      </c>
      <c r="M1573" s="36">
        <v>500.5</v>
      </c>
      <c r="T1573" s="41">
        <v>0</v>
      </c>
      <c r="U1573" s="41">
        <v>0</v>
      </c>
      <c r="V1573" s="42" t="s">
        <v>113</v>
      </c>
      <c r="W1573" s="42">
        <v>0</v>
      </c>
      <c r="X1573" s="42">
        <v>0</v>
      </c>
    </row>
    <row r="1574" spans="1:24">
      <c r="A1574" s="27" t="s">
        <v>3028</v>
      </c>
      <c r="B1574" s="28" t="s">
        <v>215</v>
      </c>
      <c r="C1574" s="27" t="s">
        <v>3029</v>
      </c>
      <c r="D1574" s="27" t="s">
        <v>230</v>
      </c>
      <c r="E1574" s="29">
        <v>41271</v>
      </c>
      <c r="F1574" s="27">
        <v>15</v>
      </c>
      <c r="G1574" s="18">
        <v>66275.87</v>
      </c>
      <c r="H1574" s="27">
        <f t="shared" si="48"/>
        <v>0</v>
      </c>
      <c r="I1574" s="18">
        <v>32125.97</v>
      </c>
      <c r="J1574" s="27">
        <v>66275.87</v>
      </c>
      <c r="K1574" s="18">
        <f t="shared" si="49"/>
        <v>0</v>
      </c>
      <c r="L1574" s="27">
        <v>35552.199999999997</v>
      </c>
      <c r="M1574" s="36">
        <v>3426.23</v>
      </c>
      <c r="T1574" s="41">
        <v>0</v>
      </c>
      <c r="U1574" s="41">
        <v>0</v>
      </c>
      <c r="V1574" s="42" t="s">
        <v>113</v>
      </c>
      <c r="W1574" s="42">
        <v>0</v>
      </c>
      <c r="X1574" s="42">
        <v>0</v>
      </c>
    </row>
    <row r="1575" spans="1:24">
      <c r="A1575" s="27" t="s">
        <v>3030</v>
      </c>
      <c r="B1575" s="28" t="s">
        <v>215</v>
      </c>
      <c r="C1575" s="27" t="s">
        <v>3031</v>
      </c>
      <c r="D1575" s="27" t="s">
        <v>230</v>
      </c>
      <c r="E1575" s="29">
        <v>39417</v>
      </c>
      <c r="F1575" s="27">
        <v>12</v>
      </c>
      <c r="G1575" s="18">
        <v>4676</v>
      </c>
      <c r="H1575" s="27">
        <f t="shared" si="48"/>
        <v>4676</v>
      </c>
      <c r="I1575" s="18">
        <v>4676</v>
      </c>
      <c r="J1575" s="27">
        <v>4676</v>
      </c>
      <c r="K1575" s="18">
        <f t="shared" si="49"/>
        <v>4676</v>
      </c>
      <c r="L1575" s="27">
        <v>4676</v>
      </c>
      <c r="M1575" s="36">
        <v>0</v>
      </c>
      <c r="T1575" s="41">
        <v>0</v>
      </c>
      <c r="U1575" s="41">
        <v>0</v>
      </c>
      <c r="V1575" s="42" t="s">
        <v>113</v>
      </c>
      <c r="W1575" s="42">
        <v>4676</v>
      </c>
      <c r="X1575" s="42">
        <v>4676</v>
      </c>
    </row>
    <row r="1576" spans="1:24">
      <c r="A1576" s="27" t="s">
        <v>3032</v>
      </c>
      <c r="B1576" s="28" t="s">
        <v>215</v>
      </c>
      <c r="C1576" s="27" t="s">
        <v>3033</v>
      </c>
      <c r="D1576" s="27" t="s">
        <v>230</v>
      </c>
      <c r="E1576" s="29">
        <v>39417</v>
      </c>
      <c r="F1576" s="27">
        <v>12</v>
      </c>
      <c r="G1576" s="18">
        <v>4676</v>
      </c>
      <c r="H1576" s="27">
        <f t="shared" si="48"/>
        <v>4676</v>
      </c>
      <c r="I1576" s="18">
        <v>4676</v>
      </c>
      <c r="J1576" s="27">
        <v>4676</v>
      </c>
      <c r="K1576" s="18">
        <f t="shared" si="49"/>
        <v>4676</v>
      </c>
      <c r="L1576" s="27">
        <v>4676</v>
      </c>
      <c r="M1576" s="36">
        <v>0</v>
      </c>
      <c r="T1576" s="41">
        <v>0</v>
      </c>
      <c r="U1576" s="41">
        <v>0</v>
      </c>
      <c r="V1576" s="42" t="s">
        <v>113</v>
      </c>
      <c r="W1576" s="42">
        <v>4676</v>
      </c>
      <c r="X1576" s="42">
        <v>4676</v>
      </c>
    </row>
    <row r="1577" spans="1:24">
      <c r="A1577" s="27" t="s">
        <v>3034</v>
      </c>
      <c r="B1577" s="28" t="s">
        <v>215</v>
      </c>
      <c r="C1577" s="27" t="s">
        <v>3035</v>
      </c>
      <c r="D1577" s="27" t="s">
        <v>230</v>
      </c>
      <c r="E1577" s="29">
        <v>39417</v>
      </c>
      <c r="F1577" s="27">
        <v>12</v>
      </c>
      <c r="G1577" s="18">
        <v>1024.3499999999999</v>
      </c>
      <c r="H1577" s="27">
        <f t="shared" si="48"/>
        <v>1024.3499999999999</v>
      </c>
      <c r="I1577" s="18">
        <v>1024.3499999999999</v>
      </c>
      <c r="J1577" s="27">
        <v>1024.3499999999999</v>
      </c>
      <c r="K1577" s="18">
        <f t="shared" si="49"/>
        <v>1024.3499999999999</v>
      </c>
      <c r="L1577" s="27">
        <v>1024.3499999999999</v>
      </c>
      <c r="M1577" s="36">
        <v>0</v>
      </c>
      <c r="T1577" s="41">
        <v>0</v>
      </c>
      <c r="U1577" s="41">
        <v>0</v>
      </c>
      <c r="V1577" s="42" t="s">
        <v>113</v>
      </c>
      <c r="W1577" s="42">
        <v>1024.3499999999999</v>
      </c>
      <c r="X1577" s="42">
        <v>1024.3499999999999</v>
      </c>
    </row>
    <row r="1578" spans="1:24">
      <c r="A1578" s="27" t="s">
        <v>3036</v>
      </c>
      <c r="B1578" s="28" t="s">
        <v>215</v>
      </c>
      <c r="C1578" s="27" t="s">
        <v>3037</v>
      </c>
      <c r="D1578" s="27" t="s">
        <v>230</v>
      </c>
      <c r="E1578" s="29">
        <v>39417</v>
      </c>
      <c r="F1578" s="27">
        <v>12</v>
      </c>
      <c r="G1578" s="18">
        <v>1024.3499999999999</v>
      </c>
      <c r="H1578" s="27">
        <f t="shared" si="48"/>
        <v>1024.3499999999999</v>
      </c>
      <c r="I1578" s="18">
        <v>1024.3499999999999</v>
      </c>
      <c r="J1578" s="27">
        <v>1024.3499999999999</v>
      </c>
      <c r="K1578" s="18">
        <f t="shared" si="49"/>
        <v>1024.3499999999999</v>
      </c>
      <c r="L1578" s="27">
        <v>1024.3499999999999</v>
      </c>
      <c r="M1578" s="36">
        <v>0</v>
      </c>
      <c r="T1578" s="41">
        <v>0</v>
      </c>
      <c r="U1578" s="41">
        <v>0</v>
      </c>
      <c r="V1578" s="42" t="s">
        <v>113</v>
      </c>
      <c r="W1578" s="42">
        <v>1024.3499999999999</v>
      </c>
      <c r="X1578" s="42">
        <v>1024.3499999999999</v>
      </c>
    </row>
    <row r="1579" spans="1:24">
      <c r="A1579" s="27" t="s">
        <v>3038</v>
      </c>
      <c r="B1579" s="28" t="s">
        <v>215</v>
      </c>
      <c r="C1579" s="27" t="s">
        <v>3039</v>
      </c>
      <c r="D1579" s="27" t="s">
        <v>230</v>
      </c>
      <c r="E1579" s="29">
        <v>39417</v>
      </c>
      <c r="F1579" s="27">
        <v>12</v>
      </c>
      <c r="G1579" s="18">
        <v>1024.3499999999999</v>
      </c>
      <c r="H1579" s="27">
        <f t="shared" si="48"/>
        <v>1024.3499999999999</v>
      </c>
      <c r="I1579" s="18">
        <v>1024.3499999999999</v>
      </c>
      <c r="J1579" s="27">
        <v>1024.3499999999999</v>
      </c>
      <c r="K1579" s="18">
        <f t="shared" si="49"/>
        <v>1024.3499999999999</v>
      </c>
      <c r="L1579" s="27">
        <v>1024.3499999999999</v>
      </c>
      <c r="M1579" s="36">
        <v>0</v>
      </c>
      <c r="T1579" s="41">
        <v>0</v>
      </c>
      <c r="U1579" s="41">
        <v>0</v>
      </c>
      <c r="V1579" s="42" t="s">
        <v>113</v>
      </c>
      <c r="W1579" s="42">
        <v>1024.3499999999999</v>
      </c>
      <c r="X1579" s="42">
        <v>1024.3499999999999</v>
      </c>
    </row>
    <row r="1580" spans="1:24">
      <c r="A1580" s="27" t="s">
        <v>3040</v>
      </c>
      <c r="B1580" s="28" t="s">
        <v>215</v>
      </c>
      <c r="C1580" s="27" t="s">
        <v>3041</v>
      </c>
      <c r="D1580" s="27" t="s">
        <v>230</v>
      </c>
      <c r="E1580" s="29">
        <v>39417</v>
      </c>
      <c r="F1580" s="27">
        <v>12</v>
      </c>
      <c r="G1580" s="18">
        <v>1024.3499999999999</v>
      </c>
      <c r="H1580" s="27">
        <f t="shared" si="48"/>
        <v>1024.3499999999999</v>
      </c>
      <c r="I1580" s="18">
        <v>1024.3499999999999</v>
      </c>
      <c r="J1580" s="27">
        <v>1024.3499999999999</v>
      </c>
      <c r="K1580" s="18">
        <f t="shared" si="49"/>
        <v>1024.3499999999999</v>
      </c>
      <c r="L1580" s="27">
        <v>1024.3499999999999</v>
      </c>
      <c r="M1580" s="36">
        <v>0</v>
      </c>
      <c r="T1580" s="41">
        <v>0</v>
      </c>
      <c r="U1580" s="41">
        <v>0</v>
      </c>
      <c r="V1580" s="42" t="s">
        <v>113</v>
      </c>
      <c r="W1580" s="42">
        <v>1024.3499999999999</v>
      </c>
      <c r="X1580" s="42">
        <v>1024.3499999999999</v>
      </c>
    </row>
    <row r="1581" spans="1:24">
      <c r="A1581" s="27" t="s">
        <v>3042</v>
      </c>
      <c r="B1581" s="28" t="s">
        <v>215</v>
      </c>
      <c r="C1581" s="27" t="s">
        <v>3043</v>
      </c>
      <c r="D1581" s="27" t="s">
        <v>230</v>
      </c>
      <c r="E1581" s="29">
        <v>39417</v>
      </c>
      <c r="F1581" s="27">
        <v>12</v>
      </c>
      <c r="G1581" s="18">
        <v>1024.3499999999999</v>
      </c>
      <c r="H1581" s="27">
        <f t="shared" si="48"/>
        <v>1024.3499999999999</v>
      </c>
      <c r="I1581" s="18">
        <v>1024.3499999999999</v>
      </c>
      <c r="J1581" s="27">
        <v>1024.3499999999999</v>
      </c>
      <c r="K1581" s="18">
        <f t="shared" si="49"/>
        <v>1024.3499999999999</v>
      </c>
      <c r="L1581" s="27">
        <v>1024.3499999999999</v>
      </c>
      <c r="M1581" s="36">
        <v>0</v>
      </c>
      <c r="T1581" s="41">
        <v>0</v>
      </c>
      <c r="U1581" s="41">
        <v>0</v>
      </c>
      <c r="V1581" s="42" t="s">
        <v>113</v>
      </c>
      <c r="W1581" s="42">
        <v>1024.3499999999999</v>
      </c>
      <c r="X1581" s="42">
        <v>1024.3499999999999</v>
      </c>
    </row>
    <row r="1582" spans="1:24">
      <c r="A1582" s="27" t="s">
        <v>3044</v>
      </c>
      <c r="B1582" s="28" t="s">
        <v>215</v>
      </c>
      <c r="C1582" s="27" t="s">
        <v>3045</v>
      </c>
      <c r="D1582" s="27" t="s">
        <v>230</v>
      </c>
      <c r="E1582" s="29">
        <v>39417</v>
      </c>
      <c r="F1582" s="27">
        <v>12</v>
      </c>
      <c r="G1582" s="18">
        <v>4676</v>
      </c>
      <c r="H1582" s="27">
        <f t="shared" si="48"/>
        <v>4676</v>
      </c>
      <c r="I1582" s="18">
        <v>4676</v>
      </c>
      <c r="J1582" s="27">
        <v>4676</v>
      </c>
      <c r="K1582" s="18">
        <f t="shared" si="49"/>
        <v>4676</v>
      </c>
      <c r="L1582" s="27">
        <v>4676</v>
      </c>
      <c r="M1582" s="36">
        <v>0</v>
      </c>
      <c r="T1582" s="41">
        <v>0</v>
      </c>
      <c r="U1582" s="41">
        <v>0</v>
      </c>
      <c r="V1582" s="42" t="s">
        <v>113</v>
      </c>
      <c r="W1582" s="42">
        <v>4676</v>
      </c>
      <c r="X1582" s="42">
        <v>4676</v>
      </c>
    </row>
    <row r="1583" spans="1:24">
      <c r="A1583" s="27" t="s">
        <v>3046</v>
      </c>
      <c r="B1583" s="28" t="s">
        <v>215</v>
      </c>
      <c r="C1583" s="27" t="s">
        <v>3047</v>
      </c>
      <c r="D1583" s="27" t="s">
        <v>112</v>
      </c>
      <c r="E1583" s="29">
        <v>39417</v>
      </c>
      <c r="F1583" s="27">
        <v>12</v>
      </c>
      <c r="G1583" s="18">
        <v>3309.25</v>
      </c>
      <c r="H1583" s="27">
        <f t="shared" si="48"/>
        <v>3309.25</v>
      </c>
      <c r="I1583" s="18">
        <v>3309.25</v>
      </c>
      <c r="J1583" s="27">
        <v>3309.25</v>
      </c>
      <c r="K1583" s="18">
        <f t="shared" si="49"/>
        <v>3309.25</v>
      </c>
      <c r="L1583" s="27">
        <v>3309.25</v>
      </c>
      <c r="M1583" s="36">
        <v>0</v>
      </c>
      <c r="T1583" s="41">
        <v>0</v>
      </c>
      <c r="U1583" s="41">
        <v>0</v>
      </c>
      <c r="V1583" s="42" t="s">
        <v>113</v>
      </c>
      <c r="W1583" s="42">
        <v>3309.25</v>
      </c>
      <c r="X1583" s="42">
        <v>3309.25</v>
      </c>
    </row>
    <row r="1584" spans="1:24">
      <c r="A1584" s="27" t="s">
        <v>3048</v>
      </c>
      <c r="B1584" s="28" t="s">
        <v>215</v>
      </c>
      <c r="C1584" s="27" t="s">
        <v>3049</v>
      </c>
      <c r="D1584" s="27" t="s">
        <v>112</v>
      </c>
      <c r="E1584" s="29">
        <v>39417</v>
      </c>
      <c r="F1584" s="27">
        <v>15</v>
      </c>
      <c r="G1584" s="18">
        <v>36864.93</v>
      </c>
      <c r="H1584" s="27">
        <f t="shared" si="48"/>
        <v>0</v>
      </c>
      <c r="I1584" s="18">
        <v>29743.88</v>
      </c>
      <c r="J1584" s="27">
        <v>36864.93</v>
      </c>
      <c r="K1584" s="18">
        <f t="shared" si="49"/>
        <v>0</v>
      </c>
      <c r="L1584" s="27">
        <v>31063.33</v>
      </c>
      <c r="M1584" s="36">
        <v>1319.45</v>
      </c>
      <c r="T1584" s="41">
        <v>0</v>
      </c>
      <c r="U1584" s="41">
        <v>0</v>
      </c>
      <c r="V1584" s="42" t="s">
        <v>113</v>
      </c>
      <c r="W1584" s="42">
        <v>0</v>
      </c>
      <c r="X1584" s="42">
        <v>0</v>
      </c>
    </row>
    <row r="1585" spans="1:24">
      <c r="A1585" s="27" t="s">
        <v>3050</v>
      </c>
      <c r="B1585" s="28" t="s">
        <v>215</v>
      </c>
      <c r="C1585" s="27" t="s">
        <v>3051</v>
      </c>
      <c r="D1585" s="27" t="s">
        <v>112</v>
      </c>
      <c r="E1585" s="29">
        <v>41272</v>
      </c>
      <c r="F1585" s="27">
        <v>15</v>
      </c>
      <c r="G1585" s="18">
        <v>31545.66</v>
      </c>
      <c r="H1585" s="27">
        <f t="shared" si="48"/>
        <v>31545.66</v>
      </c>
      <c r="I1585" s="18">
        <v>31545.66</v>
      </c>
      <c r="J1585" s="27">
        <v>31545.66</v>
      </c>
      <c r="K1585" s="18">
        <f t="shared" si="49"/>
        <v>31545.66</v>
      </c>
      <c r="L1585" s="27">
        <v>29968.38</v>
      </c>
      <c r="M1585" s="36">
        <v>-1577.28</v>
      </c>
      <c r="T1585" s="41">
        <v>0</v>
      </c>
      <c r="U1585" s="41">
        <v>0</v>
      </c>
      <c r="V1585" s="42" t="s">
        <v>113</v>
      </c>
      <c r="W1585" s="42">
        <v>31545.66</v>
      </c>
      <c r="X1585" s="42">
        <v>31545.66</v>
      </c>
    </row>
    <row r="1586" spans="1:24">
      <c r="A1586" s="27" t="s">
        <v>3052</v>
      </c>
      <c r="B1586" s="28" t="s">
        <v>215</v>
      </c>
      <c r="C1586" s="27" t="s">
        <v>3053</v>
      </c>
      <c r="D1586" s="27" t="s">
        <v>112</v>
      </c>
      <c r="E1586" s="29">
        <v>41272</v>
      </c>
      <c r="F1586" s="27">
        <v>15</v>
      </c>
      <c r="G1586" s="18">
        <v>31545.66</v>
      </c>
      <c r="H1586" s="27">
        <f t="shared" si="48"/>
        <v>31545.66</v>
      </c>
      <c r="I1586" s="18">
        <v>31545.66</v>
      </c>
      <c r="J1586" s="27">
        <v>31545.66</v>
      </c>
      <c r="K1586" s="18">
        <f t="shared" si="49"/>
        <v>31545.66</v>
      </c>
      <c r="L1586" s="27">
        <v>29968.38</v>
      </c>
      <c r="M1586" s="36">
        <v>-1577.28</v>
      </c>
      <c r="T1586" s="41">
        <v>0</v>
      </c>
      <c r="U1586" s="41">
        <v>0</v>
      </c>
      <c r="V1586" s="42" t="s">
        <v>113</v>
      </c>
      <c r="W1586" s="42">
        <v>31545.66</v>
      </c>
      <c r="X1586" s="42">
        <v>31545.66</v>
      </c>
    </row>
    <row r="1587" spans="1:24">
      <c r="A1587" s="27" t="s">
        <v>3054</v>
      </c>
      <c r="B1587" s="28" t="s">
        <v>215</v>
      </c>
      <c r="C1587" s="27" t="s">
        <v>3055</v>
      </c>
      <c r="D1587" s="27" t="s">
        <v>112</v>
      </c>
      <c r="E1587" s="29">
        <v>41272</v>
      </c>
      <c r="F1587" s="27">
        <v>15</v>
      </c>
      <c r="G1587" s="18">
        <v>31545.66</v>
      </c>
      <c r="H1587" s="27">
        <f t="shared" si="48"/>
        <v>31545.66</v>
      </c>
      <c r="I1587" s="18">
        <v>31545.66</v>
      </c>
      <c r="J1587" s="27">
        <v>31545.66</v>
      </c>
      <c r="K1587" s="18">
        <f t="shared" si="49"/>
        <v>31545.66</v>
      </c>
      <c r="L1587" s="27">
        <v>29968.38</v>
      </c>
      <c r="M1587" s="36">
        <v>-1577.28</v>
      </c>
      <c r="T1587" s="41">
        <v>0</v>
      </c>
      <c r="U1587" s="41">
        <v>0</v>
      </c>
      <c r="V1587" s="42" t="s">
        <v>113</v>
      </c>
      <c r="W1587" s="42">
        <v>31545.66</v>
      </c>
      <c r="X1587" s="42">
        <v>31545.66</v>
      </c>
    </row>
    <row r="1588" spans="1:24">
      <c r="A1588" s="27" t="s">
        <v>3056</v>
      </c>
      <c r="B1588" s="28" t="s">
        <v>215</v>
      </c>
      <c r="C1588" s="27" t="s">
        <v>3057</v>
      </c>
      <c r="D1588" s="27" t="s">
        <v>112</v>
      </c>
      <c r="E1588" s="29">
        <v>41272</v>
      </c>
      <c r="F1588" s="27">
        <v>12</v>
      </c>
      <c r="G1588" s="18">
        <v>841.22</v>
      </c>
      <c r="H1588" s="27">
        <f t="shared" si="48"/>
        <v>841.22</v>
      </c>
      <c r="I1588" s="18">
        <v>841.22</v>
      </c>
      <c r="J1588" s="27">
        <v>841.22</v>
      </c>
      <c r="K1588" s="18">
        <f t="shared" si="49"/>
        <v>841.22</v>
      </c>
      <c r="L1588" s="27">
        <v>841.22</v>
      </c>
      <c r="M1588" s="36">
        <v>0</v>
      </c>
      <c r="T1588" s="41">
        <v>0</v>
      </c>
      <c r="U1588" s="41">
        <v>0</v>
      </c>
      <c r="V1588" s="42" t="s">
        <v>113</v>
      </c>
      <c r="W1588" s="42">
        <v>841.22</v>
      </c>
      <c r="X1588" s="42">
        <v>841.22</v>
      </c>
    </row>
    <row r="1589" spans="1:24">
      <c r="A1589" s="27" t="s">
        <v>3058</v>
      </c>
      <c r="B1589" s="28" t="s">
        <v>215</v>
      </c>
      <c r="C1589" s="27" t="s">
        <v>3059</v>
      </c>
      <c r="D1589" s="27" t="s">
        <v>112</v>
      </c>
      <c r="E1589" s="29">
        <v>41272</v>
      </c>
      <c r="F1589" s="27">
        <v>12</v>
      </c>
      <c r="G1589" s="18">
        <v>841.22</v>
      </c>
      <c r="H1589" s="27">
        <f t="shared" si="48"/>
        <v>841.22</v>
      </c>
      <c r="I1589" s="18">
        <v>841.22</v>
      </c>
      <c r="J1589" s="27">
        <v>841.22</v>
      </c>
      <c r="K1589" s="18">
        <f t="shared" si="49"/>
        <v>841.22</v>
      </c>
      <c r="L1589" s="27">
        <v>841.22</v>
      </c>
      <c r="M1589" s="36">
        <v>0</v>
      </c>
      <c r="T1589" s="41">
        <v>0</v>
      </c>
      <c r="U1589" s="41">
        <v>0</v>
      </c>
      <c r="V1589" s="42" t="s">
        <v>113</v>
      </c>
      <c r="W1589" s="42">
        <v>841.22</v>
      </c>
      <c r="X1589" s="42">
        <v>841.22</v>
      </c>
    </row>
    <row r="1590" spans="1:24">
      <c r="A1590" s="27" t="s">
        <v>3060</v>
      </c>
      <c r="B1590" s="28" t="s">
        <v>215</v>
      </c>
      <c r="C1590" s="27" t="s">
        <v>3061</v>
      </c>
      <c r="D1590" s="27" t="s">
        <v>112</v>
      </c>
      <c r="E1590" s="29">
        <v>41272</v>
      </c>
      <c r="F1590" s="27">
        <v>12</v>
      </c>
      <c r="G1590" s="18">
        <v>841.22</v>
      </c>
      <c r="H1590" s="27">
        <f t="shared" si="48"/>
        <v>841.22</v>
      </c>
      <c r="I1590" s="18">
        <v>841.22</v>
      </c>
      <c r="J1590" s="27">
        <v>841.22</v>
      </c>
      <c r="K1590" s="18">
        <f t="shared" si="49"/>
        <v>841.22</v>
      </c>
      <c r="L1590" s="27">
        <v>841.22</v>
      </c>
      <c r="M1590" s="36">
        <v>0</v>
      </c>
      <c r="T1590" s="41">
        <v>0</v>
      </c>
      <c r="U1590" s="41">
        <v>0</v>
      </c>
      <c r="V1590" s="42" t="s">
        <v>113</v>
      </c>
      <c r="W1590" s="42">
        <v>841.22</v>
      </c>
      <c r="X1590" s="42">
        <v>841.22</v>
      </c>
    </row>
    <row r="1591" spans="1:24">
      <c r="A1591" s="27" t="s">
        <v>3062</v>
      </c>
      <c r="B1591" s="28" t="s">
        <v>215</v>
      </c>
      <c r="C1591" s="27" t="s">
        <v>3063</v>
      </c>
      <c r="D1591" s="27" t="s">
        <v>112</v>
      </c>
      <c r="E1591" s="29">
        <v>39417</v>
      </c>
      <c r="F1591" s="27">
        <v>15</v>
      </c>
      <c r="G1591" s="18">
        <v>36864.93</v>
      </c>
      <c r="H1591" s="27">
        <f t="shared" si="48"/>
        <v>0</v>
      </c>
      <c r="I1591" s="18">
        <v>29743.88</v>
      </c>
      <c r="J1591" s="27">
        <v>36864.93</v>
      </c>
      <c r="K1591" s="18">
        <f t="shared" si="49"/>
        <v>0</v>
      </c>
      <c r="L1591" s="27">
        <v>31063.33</v>
      </c>
      <c r="M1591" s="36">
        <v>1319.45</v>
      </c>
      <c r="T1591" s="41">
        <v>0</v>
      </c>
      <c r="U1591" s="41">
        <v>0</v>
      </c>
      <c r="V1591" s="42" t="s">
        <v>113</v>
      </c>
      <c r="W1591" s="42">
        <v>0</v>
      </c>
      <c r="X1591" s="42">
        <v>0</v>
      </c>
    </row>
    <row r="1592" spans="1:24">
      <c r="A1592" s="43" t="s">
        <v>3064</v>
      </c>
      <c r="B1592" s="44" t="s">
        <v>215</v>
      </c>
      <c r="C1592" s="43" t="s">
        <v>3065</v>
      </c>
      <c r="D1592" s="43" t="s">
        <v>112</v>
      </c>
      <c r="E1592" s="45">
        <v>39417</v>
      </c>
      <c r="F1592" s="43">
        <v>12</v>
      </c>
      <c r="G1592" s="18">
        <v>6618.5</v>
      </c>
      <c r="H1592" s="27">
        <f t="shared" si="48"/>
        <v>6618.5</v>
      </c>
      <c r="I1592" s="18">
        <v>6618.5</v>
      </c>
      <c r="J1592" s="43">
        <v>6618.5</v>
      </c>
      <c r="K1592" s="18">
        <f t="shared" si="49"/>
        <v>6618.5</v>
      </c>
      <c r="L1592" s="43">
        <v>6370.3</v>
      </c>
      <c r="M1592" s="46">
        <v>-248.2</v>
      </c>
      <c r="T1592" s="41">
        <v>0</v>
      </c>
      <c r="U1592" s="41">
        <v>0</v>
      </c>
      <c r="V1592" s="42" t="s">
        <v>113</v>
      </c>
      <c r="W1592" s="42">
        <v>6618.5</v>
      </c>
      <c r="X1592" s="42">
        <v>6618.5</v>
      </c>
    </row>
    <row r="1593" spans="1:24">
      <c r="A1593" s="27" t="s">
        <v>3066</v>
      </c>
      <c r="B1593" s="28" t="s">
        <v>215</v>
      </c>
      <c r="C1593" s="27" t="s">
        <v>3067</v>
      </c>
      <c r="D1593" s="27" t="s">
        <v>112</v>
      </c>
      <c r="E1593" s="29">
        <v>39417</v>
      </c>
      <c r="F1593" s="27">
        <v>12</v>
      </c>
      <c r="G1593" s="18">
        <v>3309.25</v>
      </c>
      <c r="H1593" s="27">
        <f t="shared" si="48"/>
        <v>3309.25</v>
      </c>
      <c r="I1593" s="18">
        <v>3309.25</v>
      </c>
      <c r="J1593" s="27">
        <v>3309.25</v>
      </c>
      <c r="K1593" s="18">
        <f t="shared" si="49"/>
        <v>3309.25</v>
      </c>
      <c r="L1593" s="27">
        <v>3309.25</v>
      </c>
      <c r="M1593" s="36">
        <v>0</v>
      </c>
      <c r="T1593" s="41">
        <v>0</v>
      </c>
      <c r="U1593" s="41">
        <v>0</v>
      </c>
      <c r="V1593" s="42" t="s">
        <v>113</v>
      </c>
      <c r="W1593" s="42">
        <v>3309.25</v>
      </c>
      <c r="X1593" s="42">
        <v>3309.25</v>
      </c>
    </row>
    <row r="1594" spans="1:24">
      <c r="A1594" s="27" t="s">
        <v>3068</v>
      </c>
      <c r="B1594" s="28" t="s">
        <v>215</v>
      </c>
      <c r="C1594" s="27" t="s">
        <v>3069</v>
      </c>
      <c r="D1594" s="27" t="s">
        <v>112</v>
      </c>
      <c r="E1594" s="29">
        <v>41272</v>
      </c>
      <c r="F1594" s="27">
        <v>15</v>
      </c>
      <c r="G1594" s="18">
        <v>5257.61</v>
      </c>
      <c r="H1594" s="27">
        <f t="shared" si="48"/>
        <v>5257.61</v>
      </c>
      <c r="I1594" s="18">
        <v>5257.61</v>
      </c>
      <c r="J1594" s="27">
        <v>5257.61</v>
      </c>
      <c r="K1594" s="18">
        <f t="shared" si="49"/>
        <v>5257.61</v>
      </c>
      <c r="L1594" s="27">
        <v>4994.7299999999996</v>
      </c>
      <c r="M1594" s="36">
        <v>-262.88</v>
      </c>
      <c r="T1594" s="41">
        <v>0</v>
      </c>
      <c r="U1594" s="41">
        <v>0</v>
      </c>
      <c r="V1594" s="42" t="s">
        <v>113</v>
      </c>
      <c r="W1594" s="42">
        <v>5257.61</v>
      </c>
      <c r="X1594" s="42">
        <v>5257.61</v>
      </c>
    </row>
    <row r="1595" spans="1:24">
      <c r="A1595" s="27" t="s">
        <v>3070</v>
      </c>
      <c r="B1595" s="28" t="s">
        <v>215</v>
      </c>
      <c r="C1595" s="27" t="s">
        <v>3071</v>
      </c>
      <c r="D1595" s="27" t="s">
        <v>112</v>
      </c>
      <c r="E1595" s="29">
        <v>41272</v>
      </c>
      <c r="F1595" s="27">
        <v>15</v>
      </c>
      <c r="G1595" s="18">
        <v>5257.61</v>
      </c>
      <c r="H1595" s="27">
        <f t="shared" si="48"/>
        <v>5257.61</v>
      </c>
      <c r="I1595" s="18">
        <v>5257.61</v>
      </c>
      <c r="J1595" s="27">
        <v>5257.61</v>
      </c>
      <c r="K1595" s="18">
        <f t="shared" si="49"/>
        <v>5257.61</v>
      </c>
      <c r="L1595" s="27">
        <v>4994.7299999999996</v>
      </c>
      <c r="M1595" s="36">
        <v>-262.88</v>
      </c>
      <c r="T1595" s="41">
        <v>0</v>
      </c>
      <c r="U1595" s="41">
        <v>0</v>
      </c>
      <c r="V1595" s="42" t="s">
        <v>113</v>
      </c>
      <c r="W1595" s="42">
        <v>5257.61</v>
      </c>
      <c r="X1595" s="42">
        <v>5257.61</v>
      </c>
    </row>
    <row r="1596" spans="1:24">
      <c r="A1596" s="27" t="s">
        <v>3072</v>
      </c>
      <c r="B1596" s="28" t="s">
        <v>215</v>
      </c>
      <c r="C1596" s="27" t="s">
        <v>3073</v>
      </c>
      <c r="D1596" s="27" t="s">
        <v>230</v>
      </c>
      <c r="E1596" s="29">
        <v>40268</v>
      </c>
      <c r="F1596" s="27">
        <v>15</v>
      </c>
      <c r="G1596" s="18">
        <v>139381.20000000001</v>
      </c>
      <c r="H1596" s="27">
        <f t="shared" si="48"/>
        <v>0</v>
      </c>
      <c r="I1596" s="18">
        <v>101510.03</v>
      </c>
      <c r="J1596" s="27">
        <v>139381.20000000001</v>
      </c>
      <c r="K1596" s="18">
        <f t="shared" si="49"/>
        <v>0</v>
      </c>
      <c r="L1596" s="27">
        <v>106454.37</v>
      </c>
      <c r="M1596" s="36">
        <v>4944.34</v>
      </c>
      <c r="T1596" s="41">
        <v>0</v>
      </c>
      <c r="U1596" s="41">
        <v>0</v>
      </c>
      <c r="V1596" s="42" t="s">
        <v>113</v>
      </c>
      <c r="W1596" s="42">
        <v>0</v>
      </c>
      <c r="X1596" s="42">
        <v>0</v>
      </c>
    </row>
    <row r="1597" spans="1:24">
      <c r="A1597" s="27" t="s">
        <v>3074</v>
      </c>
      <c r="B1597" s="28" t="s">
        <v>215</v>
      </c>
      <c r="C1597" s="27" t="s">
        <v>3075</v>
      </c>
      <c r="D1597" s="27" t="s">
        <v>230</v>
      </c>
      <c r="E1597" s="29">
        <v>40268</v>
      </c>
      <c r="F1597" s="27">
        <v>15</v>
      </c>
      <c r="G1597" s="18">
        <v>139382.20000000001</v>
      </c>
      <c r="H1597" s="27">
        <f t="shared" si="48"/>
        <v>0</v>
      </c>
      <c r="I1597" s="18">
        <v>101510.75</v>
      </c>
      <c r="J1597" s="27">
        <v>139382.20000000001</v>
      </c>
      <c r="K1597" s="18">
        <f t="shared" si="49"/>
        <v>0</v>
      </c>
      <c r="L1597" s="27">
        <v>106455.12</v>
      </c>
      <c r="M1597" s="36">
        <v>4944.37</v>
      </c>
      <c r="T1597" s="41">
        <v>0</v>
      </c>
      <c r="U1597" s="41">
        <v>0</v>
      </c>
      <c r="V1597" s="42" t="s">
        <v>113</v>
      </c>
      <c r="W1597" s="42">
        <v>0</v>
      </c>
      <c r="X1597" s="42">
        <v>0</v>
      </c>
    </row>
    <row r="1598" spans="1:24">
      <c r="A1598" s="27" t="s">
        <v>3076</v>
      </c>
      <c r="B1598" s="28" t="s">
        <v>215</v>
      </c>
      <c r="C1598" s="27" t="s">
        <v>3077</v>
      </c>
      <c r="D1598" s="27" t="s">
        <v>230</v>
      </c>
      <c r="E1598" s="29">
        <v>40268</v>
      </c>
      <c r="F1598" s="27">
        <v>15</v>
      </c>
      <c r="G1598" s="18">
        <v>139383.20000000001</v>
      </c>
      <c r="H1598" s="27">
        <f t="shared" si="48"/>
        <v>0</v>
      </c>
      <c r="I1598" s="18">
        <v>101511.49</v>
      </c>
      <c r="J1598" s="27">
        <v>139383.20000000001</v>
      </c>
      <c r="K1598" s="18">
        <f t="shared" si="49"/>
        <v>0</v>
      </c>
      <c r="L1598" s="27">
        <v>106455.9</v>
      </c>
      <c r="M1598" s="36">
        <v>4944.41</v>
      </c>
      <c r="T1598" s="41">
        <v>0</v>
      </c>
      <c r="U1598" s="41">
        <v>0</v>
      </c>
      <c r="V1598" s="42" t="s">
        <v>113</v>
      </c>
      <c r="W1598" s="42">
        <v>0</v>
      </c>
      <c r="X1598" s="42">
        <v>0</v>
      </c>
    </row>
    <row r="1599" spans="1:24">
      <c r="A1599" s="27" t="s">
        <v>3078</v>
      </c>
      <c r="B1599" s="28" t="s">
        <v>215</v>
      </c>
      <c r="C1599" s="27" t="s">
        <v>3079</v>
      </c>
      <c r="D1599" s="27" t="s">
        <v>230</v>
      </c>
      <c r="E1599" s="29">
        <v>40268</v>
      </c>
      <c r="F1599" s="27">
        <v>15</v>
      </c>
      <c r="G1599" s="18">
        <v>139384.20000000001</v>
      </c>
      <c r="H1599" s="27">
        <f t="shared" si="48"/>
        <v>0</v>
      </c>
      <c r="I1599" s="18">
        <v>101512.21</v>
      </c>
      <c r="J1599" s="27">
        <v>139384.20000000001</v>
      </c>
      <c r="K1599" s="18">
        <f t="shared" si="49"/>
        <v>0</v>
      </c>
      <c r="L1599" s="27">
        <v>106456.65</v>
      </c>
      <c r="M1599" s="36">
        <v>4944.4399999999996</v>
      </c>
      <c r="T1599" s="41">
        <v>0</v>
      </c>
      <c r="U1599" s="41">
        <v>0</v>
      </c>
      <c r="V1599" s="42" t="s">
        <v>113</v>
      </c>
      <c r="W1599" s="42">
        <v>0</v>
      </c>
      <c r="X1599" s="42">
        <v>0</v>
      </c>
    </row>
    <row r="1600" spans="1:24">
      <c r="A1600" s="27" t="s">
        <v>3080</v>
      </c>
      <c r="B1600" s="28" t="s">
        <v>215</v>
      </c>
      <c r="C1600" s="27" t="s">
        <v>1756</v>
      </c>
      <c r="D1600" s="27" t="s">
        <v>230</v>
      </c>
      <c r="E1600" s="29">
        <v>40268</v>
      </c>
      <c r="F1600" s="27">
        <v>15</v>
      </c>
      <c r="G1600" s="18">
        <v>139385.20000000001</v>
      </c>
      <c r="H1600" s="27">
        <f t="shared" si="48"/>
        <v>0</v>
      </c>
      <c r="I1600" s="18">
        <v>101512.94</v>
      </c>
      <c r="J1600" s="27">
        <v>139385.20000000001</v>
      </c>
      <c r="K1600" s="18">
        <f t="shared" si="49"/>
        <v>0</v>
      </c>
      <c r="L1600" s="27">
        <v>106457.42</v>
      </c>
      <c r="M1600" s="36">
        <v>4944.4799999999996</v>
      </c>
      <c r="T1600" s="41">
        <v>0</v>
      </c>
      <c r="U1600" s="41">
        <v>0</v>
      </c>
      <c r="V1600" s="42" t="s">
        <v>113</v>
      </c>
      <c r="W1600" s="42">
        <v>0</v>
      </c>
      <c r="X1600" s="42">
        <v>0</v>
      </c>
    </row>
    <row r="1601" spans="1:24">
      <c r="A1601" s="27" t="s">
        <v>3081</v>
      </c>
      <c r="B1601" s="28" t="s">
        <v>215</v>
      </c>
      <c r="C1601" s="27" t="s">
        <v>3082</v>
      </c>
      <c r="D1601" s="27" t="s">
        <v>230</v>
      </c>
      <c r="E1601" s="29">
        <v>40268</v>
      </c>
      <c r="F1601" s="27">
        <v>15</v>
      </c>
      <c r="G1601" s="18">
        <v>139383.20000000001</v>
      </c>
      <c r="H1601" s="27">
        <f t="shared" si="48"/>
        <v>0</v>
      </c>
      <c r="I1601" s="18">
        <v>101511.49</v>
      </c>
      <c r="J1601" s="27">
        <v>139383.20000000001</v>
      </c>
      <c r="K1601" s="18">
        <f t="shared" si="49"/>
        <v>0</v>
      </c>
      <c r="L1601" s="27">
        <v>106455.9</v>
      </c>
      <c r="M1601" s="36">
        <v>4944.41</v>
      </c>
      <c r="T1601" s="41">
        <v>0</v>
      </c>
      <c r="U1601" s="41">
        <v>0</v>
      </c>
      <c r="V1601" s="42" t="s">
        <v>113</v>
      </c>
      <c r="W1601" s="42">
        <v>0</v>
      </c>
      <c r="X1601" s="42">
        <v>0</v>
      </c>
    </row>
    <row r="1602" spans="1:24">
      <c r="A1602" s="27" t="s">
        <v>3083</v>
      </c>
      <c r="B1602" s="28" t="s">
        <v>215</v>
      </c>
      <c r="C1602" s="27" t="s">
        <v>3084</v>
      </c>
      <c r="D1602" s="27" t="s">
        <v>230</v>
      </c>
      <c r="E1602" s="29">
        <v>40268</v>
      </c>
      <c r="F1602" s="27">
        <v>15</v>
      </c>
      <c r="G1602" s="18">
        <v>139383.20000000001</v>
      </c>
      <c r="H1602" s="27">
        <f t="shared" si="48"/>
        <v>0</v>
      </c>
      <c r="I1602" s="18">
        <v>101511.49</v>
      </c>
      <c r="J1602" s="27">
        <v>139383.20000000001</v>
      </c>
      <c r="K1602" s="18">
        <f t="shared" si="49"/>
        <v>0</v>
      </c>
      <c r="L1602" s="27">
        <v>106455.9</v>
      </c>
      <c r="M1602" s="36">
        <v>4944.41</v>
      </c>
      <c r="T1602" s="41">
        <v>0</v>
      </c>
      <c r="U1602" s="41">
        <v>0</v>
      </c>
      <c r="V1602" s="42" t="s">
        <v>113</v>
      </c>
      <c r="W1602" s="42">
        <v>0</v>
      </c>
      <c r="X1602" s="42">
        <v>0</v>
      </c>
    </row>
    <row r="1603" spans="1:24">
      <c r="A1603" s="27" t="s">
        <v>3085</v>
      </c>
      <c r="B1603" s="28" t="s">
        <v>215</v>
      </c>
      <c r="C1603" s="27" t="s">
        <v>3086</v>
      </c>
      <c r="D1603" s="27" t="s">
        <v>230</v>
      </c>
      <c r="E1603" s="29">
        <v>40268</v>
      </c>
      <c r="F1603" s="27">
        <v>15</v>
      </c>
      <c r="G1603" s="18">
        <v>139383.20000000001</v>
      </c>
      <c r="H1603" s="27">
        <f t="shared" si="48"/>
        <v>0</v>
      </c>
      <c r="I1603" s="18">
        <v>101511.49</v>
      </c>
      <c r="J1603" s="27">
        <v>139383.20000000001</v>
      </c>
      <c r="K1603" s="18">
        <f t="shared" si="49"/>
        <v>0</v>
      </c>
      <c r="L1603" s="27">
        <v>106455.9</v>
      </c>
      <c r="M1603" s="36">
        <v>4944.41</v>
      </c>
      <c r="T1603" s="41">
        <v>0</v>
      </c>
      <c r="U1603" s="41">
        <v>0</v>
      </c>
      <c r="V1603" s="42" t="s">
        <v>113</v>
      </c>
      <c r="W1603" s="42">
        <v>0</v>
      </c>
      <c r="X1603" s="42">
        <v>0</v>
      </c>
    </row>
    <row r="1604" spans="1:24">
      <c r="A1604" s="27" t="s">
        <v>3087</v>
      </c>
      <c r="B1604" s="28" t="s">
        <v>215</v>
      </c>
      <c r="C1604" s="27" t="s">
        <v>3088</v>
      </c>
      <c r="D1604" s="27" t="s">
        <v>230</v>
      </c>
      <c r="E1604" s="29">
        <v>40268</v>
      </c>
      <c r="F1604" s="27">
        <v>15</v>
      </c>
      <c r="G1604" s="18">
        <v>139383.20000000001</v>
      </c>
      <c r="H1604" s="27">
        <f t="shared" si="48"/>
        <v>0</v>
      </c>
      <c r="I1604" s="18">
        <v>101511.48</v>
      </c>
      <c r="J1604" s="27">
        <v>139383.20000000001</v>
      </c>
      <c r="K1604" s="18">
        <f t="shared" si="49"/>
        <v>0</v>
      </c>
      <c r="L1604" s="27">
        <v>106455.89</v>
      </c>
      <c r="M1604" s="36">
        <v>4944.41</v>
      </c>
      <c r="T1604" s="41">
        <v>0</v>
      </c>
      <c r="U1604" s="41">
        <v>0</v>
      </c>
      <c r="V1604" s="42" t="s">
        <v>113</v>
      </c>
      <c r="W1604" s="42">
        <v>0</v>
      </c>
      <c r="X1604" s="42">
        <v>0</v>
      </c>
    </row>
    <row r="1605" spans="1:24">
      <c r="A1605" s="27" t="s">
        <v>3089</v>
      </c>
      <c r="B1605" s="28" t="s">
        <v>215</v>
      </c>
      <c r="C1605" s="27" t="s">
        <v>3090</v>
      </c>
      <c r="D1605" s="27" t="s">
        <v>230</v>
      </c>
      <c r="E1605" s="29">
        <v>40268</v>
      </c>
      <c r="F1605" s="27">
        <v>15</v>
      </c>
      <c r="G1605" s="18">
        <v>146613.76000000001</v>
      </c>
      <c r="H1605" s="27">
        <f t="shared" si="48"/>
        <v>0</v>
      </c>
      <c r="I1605" s="18">
        <v>106777.44</v>
      </c>
      <c r="J1605" s="27">
        <v>146613.76000000001</v>
      </c>
      <c r="K1605" s="18">
        <f t="shared" si="49"/>
        <v>0</v>
      </c>
      <c r="L1605" s="27">
        <v>111978.34</v>
      </c>
      <c r="M1605" s="36">
        <v>5200.8999999999996</v>
      </c>
      <c r="T1605" s="41">
        <v>0</v>
      </c>
      <c r="U1605" s="41">
        <v>0</v>
      </c>
      <c r="V1605" s="42" t="s">
        <v>113</v>
      </c>
      <c r="W1605" s="42">
        <v>0</v>
      </c>
      <c r="X1605" s="42">
        <v>0</v>
      </c>
    </row>
    <row r="1606" spans="1:24">
      <c r="A1606" s="27" t="s">
        <v>3091</v>
      </c>
      <c r="B1606" s="28" t="s">
        <v>215</v>
      </c>
      <c r="C1606" s="27" t="s">
        <v>3092</v>
      </c>
      <c r="D1606" s="27" t="s">
        <v>230</v>
      </c>
      <c r="E1606" s="29">
        <v>40268</v>
      </c>
      <c r="F1606" s="27">
        <v>12</v>
      </c>
      <c r="G1606" s="18">
        <v>2570.4699999999998</v>
      </c>
      <c r="H1606" s="27">
        <f t="shared" ref="H1606:H1669" si="50">IFERROR(IF(ROUND((G1606-I1606)/G1606,2)&lt;=0.05,G1606,0),0)</f>
        <v>2570.4699999999998</v>
      </c>
      <c r="I1606" s="18">
        <v>2570.4699999999998</v>
      </c>
      <c r="J1606" s="27">
        <v>2570.4699999999998</v>
      </c>
      <c r="K1606" s="18">
        <f t="shared" ref="K1606:K1669" si="51">IFERROR(IF(ROUND((J1606-L1606)/J1606,2)&lt;=0.05,J1606,0),0)</f>
        <v>2570.4699999999998</v>
      </c>
      <c r="L1606" s="27">
        <v>2570.4699999999998</v>
      </c>
      <c r="M1606" s="36">
        <v>0</v>
      </c>
      <c r="T1606" s="41">
        <v>0</v>
      </c>
      <c r="U1606" s="41">
        <v>0</v>
      </c>
      <c r="V1606" s="42" t="s">
        <v>113</v>
      </c>
      <c r="W1606" s="42">
        <v>2570.4699999999998</v>
      </c>
      <c r="X1606" s="42">
        <v>2570.4699999999998</v>
      </c>
    </row>
    <row r="1607" spans="1:24">
      <c r="A1607" s="27" t="s">
        <v>3093</v>
      </c>
      <c r="B1607" s="28" t="s">
        <v>215</v>
      </c>
      <c r="C1607" s="27" t="s">
        <v>3094</v>
      </c>
      <c r="D1607" s="27" t="s">
        <v>230</v>
      </c>
      <c r="E1607" s="29">
        <v>40268</v>
      </c>
      <c r="F1607" s="27">
        <v>12</v>
      </c>
      <c r="G1607" s="18">
        <v>2570.4699999999998</v>
      </c>
      <c r="H1607" s="27">
        <f t="shared" si="50"/>
        <v>2570.4699999999998</v>
      </c>
      <c r="I1607" s="18">
        <v>2570.4699999999998</v>
      </c>
      <c r="J1607" s="27">
        <v>2570.4699999999998</v>
      </c>
      <c r="K1607" s="18">
        <f t="shared" si="51"/>
        <v>2570.4699999999998</v>
      </c>
      <c r="L1607" s="27">
        <v>2570.4699999999998</v>
      </c>
      <c r="M1607" s="36">
        <v>0</v>
      </c>
      <c r="T1607" s="41">
        <v>0</v>
      </c>
      <c r="U1607" s="41">
        <v>0</v>
      </c>
      <c r="V1607" s="42" t="s">
        <v>113</v>
      </c>
      <c r="W1607" s="42">
        <v>2570.4699999999998</v>
      </c>
      <c r="X1607" s="42">
        <v>2570.4699999999998</v>
      </c>
    </row>
    <row r="1608" spans="1:24">
      <c r="A1608" s="27" t="s">
        <v>3095</v>
      </c>
      <c r="B1608" s="28" t="s">
        <v>215</v>
      </c>
      <c r="C1608" s="27" t="s">
        <v>3096</v>
      </c>
      <c r="D1608" s="27" t="s">
        <v>230</v>
      </c>
      <c r="E1608" s="29">
        <v>40268</v>
      </c>
      <c r="F1608" s="27">
        <v>12</v>
      </c>
      <c r="G1608" s="18">
        <v>2570.4699999999998</v>
      </c>
      <c r="H1608" s="27">
        <f t="shared" si="50"/>
        <v>2570.4699999999998</v>
      </c>
      <c r="I1608" s="18">
        <v>2570.4699999999998</v>
      </c>
      <c r="J1608" s="27">
        <v>2570.4699999999998</v>
      </c>
      <c r="K1608" s="18">
        <f t="shared" si="51"/>
        <v>2570.4699999999998</v>
      </c>
      <c r="L1608" s="27">
        <v>2570.4699999999998</v>
      </c>
      <c r="M1608" s="36">
        <v>0</v>
      </c>
      <c r="T1608" s="41">
        <v>0</v>
      </c>
      <c r="U1608" s="41">
        <v>0</v>
      </c>
      <c r="V1608" s="42" t="s">
        <v>113</v>
      </c>
      <c r="W1608" s="42">
        <v>2570.4699999999998</v>
      </c>
      <c r="X1608" s="42">
        <v>2570.4699999999998</v>
      </c>
    </row>
    <row r="1609" spans="1:24">
      <c r="A1609" s="27" t="s">
        <v>3097</v>
      </c>
      <c r="B1609" s="28" t="s">
        <v>215</v>
      </c>
      <c r="C1609" s="27" t="s">
        <v>3098</v>
      </c>
      <c r="D1609" s="27" t="s">
        <v>230</v>
      </c>
      <c r="E1609" s="29">
        <v>40170</v>
      </c>
      <c r="F1609" s="27">
        <v>15</v>
      </c>
      <c r="G1609" s="18">
        <v>69847.740000000005</v>
      </c>
      <c r="H1609" s="27">
        <f t="shared" si="50"/>
        <v>69847.740000000005</v>
      </c>
      <c r="I1609" s="18">
        <v>66355.350000000006</v>
      </c>
      <c r="J1609" s="27">
        <v>69847.740000000005</v>
      </c>
      <c r="K1609" s="18">
        <f t="shared" si="51"/>
        <v>69847.740000000005</v>
      </c>
      <c r="L1609" s="27">
        <v>66355.350000000006</v>
      </c>
      <c r="M1609" s="36">
        <v>0</v>
      </c>
      <c r="T1609" s="41">
        <v>0</v>
      </c>
      <c r="U1609" s="41">
        <v>0</v>
      </c>
      <c r="V1609" s="42" t="s">
        <v>113</v>
      </c>
      <c r="W1609" s="42">
        <v>69847.740000000005</v>
      </c>
      <c r="X1609" s="42">
        <v>69847.740000000005</v>
      </c>
    </row>
    <row r="1610" spans="1:24">
      <c r="A1610" s="27" t="s">
        <v>3099</v>
      </c>
      <c r="B1610" s="28" t="s">
        <v>215</v>
      </c>
      <c r="C1610" s="27" t="s">
        <v>1671</v>
      </c>
      <c r="D1610" s="27" t="s">
        <v>230</v>
      </c>
      <c r="E1610" s="29">
        <v>40170</v>
      </c>
      <c r="F1610" s="27">
        <v>15</v>
      </c>
      <c r="G1610" s="18">
        <v>82454.53</v>
      </c>
      <c r="H1610" s="27">
        <f t="shared" si="50"/>
        <v>82454.53</v>
      </c>
      <c r="I1610" s="18">
        <v>78331.8</v>
      </c>
      <c r="J1610" s="27">
        <v>82454.53</v>
      </c>
      <c r="K1610" s="18">
        <f t="shared" si="51"/>
        <v>82454.53</v>
      </c>
      <c r="L1610" s="27">
        <v>78331.8</v>
      </c>
      <c r="M1610" s="36">
        <v>0</v>
      </c>
      <c r="T1610" s="41">
        <v>0</v>
      </c>
      <c r="U1610" s="41">
        <v>0</v>
      </c>
      <c r="V1610" s="42" t="s">
        <v>113</v>
      </c>
      <c r="W1610" s="42">
        <v>82454.53</v>
      </c>
      <c r="X1610" s="42">
        <v>82454.53</v>
      </c>
    </row>
    <row r="1611" spans="1:24">
      <c r="A1611" s="27" t="s">
        <v>3100</v>
      </c>
      <c r="B1611" s="28" t="s">
        <v>215</v>
      </c>
      <c r="C1611" s="27" t="s">
        <v>2202</v>
      </c>
      <c r="D1611" s="27" t="s">
        <v>230</v>
      </c>
      <c r="E1611" s="29">
        <v>40268</v>
      </c>
      <c r="F1611" s="27">
        <v>15</v>
      </c>
      <c r="G1611" s="18">
        <v>14320.25</v>
      </c>
      <c r="H1611" s="27">
        <f t="shared" si="50"/>
        <v>0</v>
      </c>
      <c r="I1611" s="18">
        <v>10429.31</v>
      </c>
      <c r="J1611" s="27">
        <v>14320.25</v>
      </c>
      <c r="K1611" s="18">
        <f t="shared" si="51"/>
        <v>0</v>
      </c>
      <c r="L1611" s="27">
        <v>10937.3</v>
      </c>
      <c r="M1611" s="36">
        <v>507.99</v>
      </c>
      <c r="T1611" s="41">
        <v>0</v>
      </c>
      <c r="U1611" s="41">
        <v>0</v>
      </c>
      <c r="V1611" s="42" t="s">
        <v>113</v>
      </c>
      <c r="W1611" s="42">
        <v>0</v>
      </c>
      <c r="X1611" s="42">
        <v>0</v>
      </c>
    </row>
    <row r="1612" spans="1:24">
      <c r="A1612" s="27" t="s">
        <v>3101</v>
      </c>
      <c r="B1612" s="28" t="s">
        <v>215</v>
      </c>
      <c r="C1612" s="27" t="s">
        <v>2208</v>
      </c>
      <c r="D1612" s="27" t="s">
        <v>230</v>
      </c>
      <c r="E1612" s="29">
        <v>40268</v>
      </c>
      <c r="F1612" s="27">
        <v>15</v>
      </c>
      <c r="G1612" s="18">
        <v>14320.25</v>
      </c>
      <c r="H1612" s="27">
        <f t="shared" si="50"/>
        <v>0</v>
      </c>
      <c r="I1612" s="18">
        <v>10429.31</v>
      </c>
      <c r="J1612" s="27">
        <v>14320.25</v>
      </c>
      <c r="K1612" s="18">
        <f t="shared" si="51"/>
        <v>0</v>
      </c>
      <c r="L1612" s="27">
        <v>10937.3</v>
      </c>
      <c r="M1612" s="36">
        <v>507.99</v>
      </c>
      <c r="T1612" s="41">
        <v>0</v>
      </c>
      <c r="U1612" s="41">
        <v>0</v>
      </c>
      <c r="V1612" s="42" t="s">
        <v>113</v>
      </c>
      <c r="W1612" s="42">
        <v>0</v>
      </c>
      <c r="X1612" s="42">
        <v>0</v>
      </c>
    </row>
    <row r="1613" spans="1:24">
      <c r="A1613" s="27" t="s">
        <v>3102</v>
      </c>
      <c r="B1613" s="28" t="s">
        <v>215</v>
      </c>
      <c r="C1613" s="27" t="s">
        <v>3103</v>
      </c>
      <c r="D1613" s="27" t="s">
        <v>230</v>
      </c>
      <c r="E1613" s="29">
        <v>39417</v>
      </c>
      <c r="F1613" s="27">
        <v>15</v>
      </c>
      <c r="G1613" s="18">
        <v>23166.68</v>
      </c>
      <c r="H1613" s="27">
        <f t="shared" si="50"/>
        <v>0</v>
      </c>
      <c r="I1613" s="18">
        <v>18691.669999999998</v>
      </c>
      <c r="J1613" s="27">
        <v>23166.68</v>
      </c>
      <c r="K1613" s="18">
        <f t="shared" si="51"/>
        <v>0</v>
      </c>
      <c r="L1613" s="27">
        <v>19520.84</v>
      </c>
      <c r="M1613" s="36">
        <v>829.17</v>
      </c>
      <c r="T1613" s="41">
        <v>0</v>
      </c>
      <c r="U1613" s="41">
        <v>0</v>
      </c>
      <c r="V1613" s="42" t="s">
        <v>113</v>
      </c>
      <c r="W1613" s="42">
        <v>0</v>
      </c>
      <c r="X1613" s="42">
        <v>0</v>
      </c>
    </row>
    <row r="1614" spans="1:24">
      <c r="A1614" s="27" t="s">
        <v>3104</v>
      </c>
      <c r="B1614" s="28" t="s">
        <v>215</v>
      </c>
      <c r="C1614" s="27" t="s">
        <v>3105</v>
      </c>
      <c r="D1614" s="27" t="s">
        <v>230</v>
      </c>
      <c r="E1614" s="29">
        <v>39417</v>
      </c>
      <c r="F1614" s="27">
        <v>15</v>
      </c>
      <c r="G1614" s="18">
        <v>23159.73</v>
      </c>
      <c r="H1614" s="27">
        <f t="shared" si="50"/>
        <v>0</v>
      </c>
      <c r="I1614" s="18">
        <v>18686.05</v>
      </c>
      <c r="J1614" s="27">
        <v>23159.73</v>
      </c>
      <c r="K1614" s="18">
        <f t="shared" si="51"/>
        <v>0</v>
      </c>
      <c r="L1614" s="27">
        <v>19514.97</v>
      </c>
      <c r="M1614" s="36">
        <v>828.92</v>
      </c>
      <c r="T1614" s="41">
        <v>0</v>
      </c>
      <c r="U1614" s="41">
        <v>0</v>
      </c>
      <c r="V1614" s="42" t="s">
        <v>113</v>
      </c>
      <c r="W1614" s="42">
        <v>0</v>
      </c>
      <c r="X1614" s="42">
        <v>0</v>
      </c>
    </row>
    <row r="1615" spans="1:24">
      <c r="A1615" s="27" t="s">
        <v>3106</v>
      </c>
      <c r="B1615" s="28" t="s">
        <v>215</v>
      </c>
      <c r="C1615" s="27" t="s">
        <v>3107</v>
      </c>
      <c r="D1615" s="27" t="s">
        <v>230</v>
      </c>
      <c r="E1615" s="29">
        <v>39417</v>
      </c>
      <c r="F1615" s="27">
        <v>15</v>
      </c>
      <c r="G1615" s="18">
        <v>23159.73</v>
      </c>
      <c r="H1615" s="27">
        <f t="shared" si="50"/>
        <v>0</v>
      </c>
      <c r="I1615" s="18">
        <v>18686.05</v>
      </c>
      <c r="J1615" s="27">
        <v>23159.73</v>
      </c>
      <c r="K1615" s="18">
        <f t="shared" si="51"/>
        <v>0</v>
      </c>
      <c r="L1615" s="27">
        <v>19514.97</v>
      </c>
      <c r="M1615" s="36">
        <v>828.92</v>
      </c>
      <c r="T1615" s="41">
        <v>0</v>
      </c>
      <c r="U1615" s="41">
        <v>0</v>
      </c>
      <c r="V1615" s="42" t="s">
        <v>113</v>
      </c>
      <c r="W1615" s="42">
        <v>0</v>
      </c>
      <c r="X1615" s="42">
        <v>0</v>
      </c>
    </row>
    <row r="1616" spans="1:24">
      <c r="A1616" s="27" t="s">
        <v>3108</v>
      </c>
      <c r="B1616" s="28" t="s">
        <v>215</v>
      </c>
      <c r="C1616" s="27" t="s">
        <v>1011</v>
      </c>
      <c r="D1616" s="27" t="s">
        <v>230</v>
      </c>
      <c r="E1616" s="29">
        <v>40268</v>
      </c>
      <c r="F1616" s="27">
        <v>15</v>
      </c>
      <c r="G1616" s="18">
        <v>75150.78</v>
      </c>
      <c r="H1616" s="27">
        <f t="shared" si="50"/>
        <v>0</v>
      </c>
      <c r="I1616" s="18">
        <v>51575.21</v>
      </c>
      <c r="J1616" s="27">
        <v>75150.78</v>
      </c>
      <c r="K1616" s="18">
        <f t="shared" si="51"/>
        <v>0</v>
      </c>
      <c r="L1616" s="27">
        <v>54746.09</v>
      </c>
      <c r="M1616" s="36">
        <v>3170.88</v>
      </c>
      <c r="T1616" s="41">
        <v>0</v>
      </c>
      <c r="U1616" s="41">
        <v>0</v>
      </c>
      <c r="V1616" s="42" t="s">
        <v>113</v>
      </c>
      <c r="W1616" s="42">
        <v>0</v>
      </c>
      <c r="X1616" s="42">
        <v>0</v>
      </c>
    </row>
    <row r="1617" spans="1:24">
      <c r="A1617" s="27" t="s">
        <v>3109</v>
      </c>
      <c r="B1617" s="28" t="s">
        <v>215</v>
      </c>
      <c r="C1617" s="27" t="s">
        <v>1267</v>
      </c>
      <c r="D1617" s="27" t="s">
        <v>230</v>
      </c>
      <c r="E1617" s="29">
        <v>40268</v>
      </c>
      <c r="F1617" s="27">
        <v>15</v>
      </c>
      <c r="G1617" s="18">
        <v>17836.240000000002</v>
      </c>
      <c r="H1617" s="27">
        <f t="shared" si="50"/>
        <v>0</v>
      </c>
      <c r="I1617" s="18">
        <v>12240.82</v>
      </c>
      <c r="J1617" s="27">
        <v>17836.240000000002</v>
      </c>
      <c r="K1617" s="18">
        <f t="shared" si="51"/>
        <v>0</v>
      </c>
      <c r="L1617" s="27">
        <v>12993.4</v>
      </c>
      <c r="M1617" s="36">
        <v>752.58</v>
      </c>
      <c r="T1617" s="41">
        <v>0</v>
      </c>
      <c r="U1617" s="41">
        <v>0</v>
      </c>
      <c r="V1617" s="42" t="s">
        <v>113</v>
      </c>
      <c r="W1617" s="42">
        <v>0</v>
      </c>
      <c r="X1617" s="42">
        <v>0</v>
      </c>
    </row>
    <row r="1618" spans="1:24">
      <c r="A1618" s="27" t="s">
        <v>3110</v>
      </c>
      <c r="B1618" s="28" t="s">
        <v>215</v>
      </c>
      <c r="C1618" s="27" t="s">
        <v>1011</v>
      </c>
      <c r="D1618" s="27" t="s">
        <v>230</v>
      </c>
      <c r="E1618" s="29">
        <v>40114</v>
      </c>
      <c r="F1618" s="27">
        <v>15</v>
      </c>
      <c r="G1618" s="18">
        <v>388136.24</v>
      </c>
      <c r="H1618" s="27">
        <f t="shared" si="50"/>
        <v>0</v>
      </c>
      <c r="I1618" s="18">
        <v>317657.11</v>
      </c>
      <c r="J1618" s="27">
        <v>388136.24</v>
      </c>
      <c r="K1618" s="18">
        <f t="shared" si="51"/>
        <v>0</v>
      </c>
      <c r="L1618" s="27">
        <v>329443.03000000003</v>
      </c>
      <c r="M1618" s="36">
        <v>11785.92</v>
      </c>
      <c r="T1618" s="41">
        <v>0</v>
      </c>
      <c r="U1618" s="41">
        <v>0</v>
      </c>
      <c r="V1618" s="42" t="s">
        <v>113</v>
      </c>
      <c r="W1618" s="42">
        <v>0</v>
      </c>
      <c r="X1618" s="42">
        <v>0</v>
      </c>
    </row>
    <row r="1619" spans="1:24">
      <c r="A1619" s="27" t="s">
        <v>3111</v>
      </c>
      <c r="B1619" s="28" t="s">
        <v>215</v>
      </c>
      <c r="C1619" s="27" t="s">
        <v>3112</v>
      </c>
      <c r="D1619" s="27" t="s">
        <v>220</v>
      </c>
      <c r="E1619" s="29">
        <v>41269</v>
      </c>
      <c r="F1619" s="27">
        <v>15</v>
      </c>
      <c r="G1619" s="18">
        <v>1614582.5</v>
      </c>
      <c r="H1619" s="27">
        <f t="shared" si="50"/>
        <v>0</v>
      </c>
      <c r="I1619" s="18">
        <v>835967.36</v>
      </c>
      <c r="J1619" s="27">
        <v>1614582.5</v>
      </c>
      <c r="K1619" s="18">
        <f t="shared" si="51"/>
        <v>0</v>
      </c>
      <c r="L1619" s="27">
        <v>913510.25</v>
      </c>
      <c r="M1619" s="36">
        <v>77542.89</v>
      </c>
      <c r="T1619" s="41">
        <v>0</v>
      </c>
      <c r="U1619" s="41">
        <v>0</v>
      </c>
      <c r="V1619" s="42" t="s">
        <v>113</v>
      </c>
      <c r="W1619" s="42">
        <v>0</v>
      </c>
      <c r="X1619" s="42">
        <v>0</v>
      </c>
    </row>
    <row r="1620" spans="1:24">
      <c r="A1620" s="27" t="s">
        <v>3113</v>
      </c>
      <c r="B1620" s="28" t="s">
        <v>215</v>
      </c>
      <c r="C1620" s="27" t="s">
        <v>3114</v>
      </c>
      <c r="D1620" s="27" t="s">
        <v>220</v>
      </c>
      <c r="E1620" s="29">
        <v>41269</v>
      </c>
      <c r="F1620" s="27">
        <v>15</v>
      </c>
      <c r="G1620" s="18">
        <v>1614582.51</v>
      </c>
      <c r="H1620" s="27">
        <f t="shared" si="50"/>
        <v>0</v>
      </c>
      <c r="I1620" s="18">
        <v>835967.37</v>
      </c>
      <c r="J1620" s="27">
        <v>1614582.51</v>
      </c>
      <c r="K1620" s="18">
        <f t="shared" si="51"/>
        <v>0</v>
      </c>
      <c r="L1620" s="27">
        <v>913510.26</v>
      </c>
      <c r="M1620" s="36">
        <v>77542.89</v>
      </c>
      <c r="T1620" s="41">
        <v>0</v>
      </c>
      <c r="U1620" s="41">
        <v>0</v>
      </c>
      <c r="V1620" s="42" t="s">
        <v>113</v>
      </c>
      <c r="W1620" s="42">
        <v>0</v>
      </c>
      <c r="X1620" s="42">
        <v>0</v>
      </c>
    </row>
    <row r="1621" spans="1:24">
      <c r="A1621" s="27" t="s">
        <v>3115</v>
      </c>
      <c r="B1621" s="28" t="s">
        <v>215</v>
      </c>
      <c r="C1621" s="27" t="s">
        <v>3116</v>
      </c>
      <c r="D1621" s="27" t="s">
        <v>220</v>
      </c>
      <c r="E1621" s="29">
        <v>41269</v>
      </c>
      <c r="F1621" s="27">
        <v>15</v>
      </c>
      <c r="G1621" s="18">
        <v>22759.77</v>
      </c>
      <c r="H1621" s="27">
        <f t="shared" si="50"/>
        <v>0</v>
      </c>
      <c r="I1621" s="18">
        <v>11784.11</v>
      </c>
      <c r="J1621" s="27">
        <v>22759.77</v>
      </c>
      <c r="K1621" s="18">
        <f t="shared" si="51"/>
        <v>0</v>
      </c>
      <c r="L1621" s="27">
        <v>12877.18</v>
      </c>
      <c r="M1621" s="36">
        <v>1093.07</v>
      </c>
      <c r="T1621" s="41">
        <v>0</v>
      </c>
      <c r="U1621" s="41">
        <v>0</v>
      </c>
      <c r="V1621" s="42" t="s">
        <v>113</v>
      </c>
      <c r="W1621" s="42">
        <v>0</v>
      </c>
      <c r="X1621" s="42">
        <v>0</v>
      </c>
    </row>
    <row r="1622" spans="1:24">
      <c r="A1622" s="27" t="s">
        <v>3117</v>
      </c>
      <c r="B1622" s="28" t="s">
        <v>215</v>
      </c>
      <c r="C1622" s="27" t="s">
        <v>3118</v>
      </c>
      <c r="D1622" s="27" t="s">
        <v>220</v>
      </c>
      <c r="E1622" s="29">
        <v>41269</v>
      </c>
      <c r="F1622" s="27">
        <v>15</v>
      </c>
      <c r="G1622" s="18">
        <v>8688.93</v>
      </c>
      <c r="H1622" s="27">
        <f t="shared" si="50"/>
        <v>0</v>
      </c>
      <c r="I1622" s="18">
        <v>4498.78</v>
      </c>
      <c r="J1622" s="27">
        <v>8688.93</v>
      </c>
      <c r="K1622" s="18">
        <f t="shared" si="51"/>
        <v>0</v>
      </c>
      <c r="L1622" s="27">
        <v>4916.08</v>
      </c>
      <c r="M1622" s="36">
        <v>417.3</v>
      </c>
      <c r="T1622" s="41">
        <v>0</v>
      </c>
      <c r="U1622" s="41">
        <v>0</v>
      </c>
      <c r="V1622" s="42" t="s">
        <v>113</v>
      </c>
      <c r="W1622" s="42">
        <v>0</v>
      </c>
      <c r="X1622" s="42">
        <v>0</v>
      </c>
    </row>
    <row r="1623" spans="1:24">
      <c r="A1623" s="27" t="s">
        <v>3119</v>
      </c>
      <c r="B1623" s="28" t="s">
        <v>215</v>
      </c>
      <c r="C1623" s="27" t="s">
        <v>3120</v>
      </c>
      <c r="D1623" s="27" t="s">
        <v>220</v>
      </c>
      <c r="E1623" s="29">
        <v>41269</v>
      </c>
      <c r="F1623" s="27">
        <v>15</v>
      </c>
      <c r="G1623" s="18">
        <v>8688.93</v>
      </c>
      <c r="H1623" s="27">
        <f t="shared" si="50"/>
        <v>0</v>
      </c>
      <c r="I1623" s="18">
        <v>4498.78</v>
      </c>
      <c r="J1623" s="27">
        <v>8688.93</v>
      </c>
      <c r="K1623" s="18">
        <f t="shared" si="51"/>
        <v>0</v>
      </c>
      <c r="L1623" s="27">
        <v>4916.08</v>
      </c>
      <c r="M1623" s="36">
        <v>417.3</v>
      </c>
      <c r="T1623" s="41">
        <v>0</v>
      </c>
      <c r="U1623" s="41">
        <v>0</v>
      </c>
      <c r="V1623" s="42" t="s">
        <v>113</v>
      </c>
      <c r="W1623" s="42">
        <v>0</v>
      </c>
      <c r="X1623" s="42">
        <v>0</v>
      </c>
    </row>
    <row r="1624" spans="1:24">
      <c r="A1624" s="27" t="s">
        <v>3121</v>
      </c>
      <c r="B1624" s="28" t="s">
        <v>215</v>
      </c>
      <c r="C1624" s="27" t="s">
        <v>3122</v>
      </c>
      <c r="D1624" s="27" t="s">
        <v>220</v>
      </c>
      <c r="E1624" s="29">
        <v>41269</v>
      </c>
      <c r="F1624" s="27">
        <v>15</v>
      </c>
      <c r="G1624" s="18">
        <v>8688.93</v>
      </c>
      <c r="H1624" s="27">
        <f t="shared" si="50"/>
        <v>0</v>
      </c>
      <c r="I1624" s="18">
        <v>4498.78</v>
      </c>
      <c r="J1624" s="27">
        <v>8688.93</v>
      </c>
      <c r="K1624" s="18">
        <f t="shared" si="51"/>
        <v>0</v>
      </c>
      <c r="L1624" s="27">
        <v>4916.08</v>
      </c>
      <c r="M1624" s="36">
        <v>417.3</v>
      </c>
      <c r="T1624" s="41">
        <v>0</v>
      </c>
      <c r="U1624" s="41">
        <v>0</v>
      </c>
      <c r="V1624" s="42" t="s">
        <v>113</v>
      </c>
      <c r="W1624" s="42">
        <v>0</v>
      </c>
      <c r="X1624" s="42">
        <v>0</v>
      </c>
    </row>
    <row r="1625" spans="1:24">
      <c r="A1625" s="27" t="s">
        <v>3123</v>
      </c>
      <c r="B1625" s="28" t="s">
        <v>215</v>
      </c>
      <c r="C1625" s="27" t="s">
        <v>3124</v>
      </c>
      <c r="D1625" s="27" t="s">
        <v>220</v>
      </c>
      <c r="E1625" s="29">
        <v>41269</v>
      </c>
      <c r="F1625" s="27">
        <v>15</v>
      </c>
      <c r="G1625" s="18">
        <v>1458960.09</v>
      </c>
      <c r="H1625" s="27">
        <f t="shared" si="50"/>
        <v>0</v>
      </c>
      <c r="I1625" s="18">
        <v>755392.2</v>
      </c>
      <c r="J1625" s="27">
        <v>1458960.09</v>
      </c>
      <c r="K1625" s="18">
        <f t="shared" si="51"/>
        <v>0</v>
      </c>
      <c r="L1625" s="27">
        <v>825461.08</v>
      </c>
      <c r="M1625" s="36">
        <v>70068.88</v>
      </c>
      <c r="T1625" s="41">
        <v>0</v>
      </c>
      <c r="U1625" s="41">
        <v>0</v>
      </c>
      <c r="V1625" s="42" t="s">
        <v>113</v>
      </c>
      <c r="W1625" s="42">
        <v>0</v>
      </c>
      <c r="X1625" s="42">
        <v>0</v>
      </c>
    </row>
    <row r="1626" spans="1:24">
      <c r="A1626" s="27" t="s">
        <v>3125</v>
      </c>
      <c r="B1626" s="28" t="s">
        <v>215</v>
      </c>
      <c r="C1626" s="27" t="s">
        <v>3126</v>
      </c>
      <c r="D1626" s="27" t="s">
        <v>220</v>
      </c>
      <c r="E1626" s="29">
        <v>41269</v>
      </c>
      <c r="F1626" s="27">
        <v>15</v>
      </c>
      <c r="G1626" s="18">
        <v>22759.78</v>
      </c>
      <c r="H1626" s="27">
        <f t="shared" si="50"/>
        <v>0</v>
      </c>
      <c r="I1626" s="18">
        <v>11784.12</v>
      </c>
      <c r="J1626" s="27">
        <v>22759.78</v>
      </c>
      <c r="K1626" s="18">
        <f t="shared" si="51"/>
        <v>0</v>
      </c>
      <c r="L1626" s="27">
        <v>12877.19</v>
      </c>
      <c r="M1626" s="36">
        <v>1093.07</v>
      </c>
      <c r="T1626" s="41">
        <v>0</v>
      </c>
      <c r="U1626" s="41">
        <v>0</v>
      </c>
      <c r="V1626" s="42" t="s">
        <v>113</v>
      </c>
      <c r="W1626" s="42">
        <v>0</v>
      </c>
      <c r="X1626" s="42">
        <v>0</v>
      </c>
    </row>
    <row r="1627" spans="1:24">
      <c r="A1627" s="27" t="s">
        <v>3127</v>
      </c>
      <c r="B1627" s="28" t="s">
        <v>215</v>
      </c>
      <c r="C1627" s="27" t="s">
        <v>3128</v>
      </c>
      <c r="D1627" s="27" t="s">
        <v>220</v>
      </c>
      <c r="E1627" s="29">
        <v>41269</v>
      </c>
      <c r="F1627" s="27">
        <v>15</v>
      </c>
      <c r="G1627" s="18">
        <v>8688.94</v>
      </c>
      <c r="H1627" s="27">
        <f t="shared" si="50"/>
        <v>0</v>
      </c>
      <c r="I1627" s="18">
        <v>4498.79</v>
      </c>
      <c r="J1627" s="27">
        <v>8688.94</v>
      </c>
      <c r="K1627" s="18">
        <f t="shared" si="51"/>
        <v>0</v>
      </c>
      <c r="L1627" s="27">
        <v>4916.09</v>
      </c>
      <c r="M1627" s="36">
        <v>417.3</v>
      </c>
      <c r="T1627" s="41">
        <v>0</v>
      </c>
      <c r="U1627" s="41">
        <v>0</v>
      </c>
      <c r="V1627" s="42" t="s">
        <v>113</v>
      </c>
      <c r="W1627" s="42">
        <v>0</v>
      </c>
      <c r="X1627" s="42">
        <v>0</v>
      </c>
    </row>
    <row r="1628" spans="1:24">
      <c r="A1628" s="27" t="s">
        <v>3129</v>
      </c>
      <c r="B1628" s="28" t="s">
        <v>215</v>
      </c>
      <c r="C1628" s="27" t="s">
        <v>3130</v>
      </c>
      <c r="D1628" s="27" t="s">
        <v>220</v>
      </c>
      <c r="E1628" s="29">
        <v>41269</v>
      </c>
      <c r="F1628" s="27">
        <v>15</v>
      </c>
      <c r="G1628" s="18">
        <v>8688.93</v>
      </c>
      <c r="H1628" s="27">
        <f t="shared" si="50"/>
        <v>0</v>
      </c>
      <c r="I1628" s="18">
        <v>4498.78</v>
      </c>
      <c r="J1628" s="27">
        <v>8688.93</v>
      </c>
      <c r="K1628" s="18">
        <f t="shared" si="51"/>
        <v>0</v>
      </c>
      <c r="L1628" s="27">
        <v>4916.08</v>
      </c>
      <c r="M1628" s="36">
        <v>417.3</v>
      </c>
      <c r="T1628" s="41">
        <v>0</v>
      </c>
      <c r="U1628" s="41">
        <v>0</v>
      </c>
      <c r="V1628" s="42" t="s">
        <v>113</v>
      </c>
      <c r="W1628" s="42">
        <v>0</v>
      </c>
      <c r="X1628" s="42">
        <v>0</v>
      </c>
    </row>
    <row r="1629" spans="1:24">
      <c r="A1629" s="27" t="s">
        <v>3131</v>
      </c>
      <c r="B1629" s="28" t="s">
        <v>215</v>
      </c>
      <c r="C1629" s="27" t="s">
        <v>3132</v>
      </c>
      <c r="D1629" s="27" t="s">
        <v>220</v>
      </c>
      <c r="E1629" s="29">
        <v>41269</v>
      </c>
      <c r="F1629" s="27">
        <v>15</v>
      </c>
      <c r="G1629" s="18">
        <v>8688.93</v>
      </c>
      <c r="H1629" s="27">
        <f t="shared" si="50"/>
        <v>0</v>
      </c>
      <c r="I1629" s="18">
        <v>4498.78</v>
      </c>
      <c r="J1629" s="27">
        <v>8688.93</v>
      </c>
      <c r="K1629" s="18">
        <f t="shared" si="51"/>
        <v>0</v>
      </c>
      <c r="L1629" s="27">
        <v>4916.08</v>
      </c>
      <c r="M1629" s="36">
        <v>417.3</v>
      </c>
      <c r="T1629" s="41">
        <v>0</v>
      </c>
      <c r="U1629" s="41">
        <v>0</v>
      </c>
      <c r="V1629" s="42" t="s">
        <v>113</v>
      </c>
      <c r="W1629" s="42">
        <v>0</v>
      </c>
      <c r="X1629" s="42">
        <v>0</v>
      </c>
    </row>
    <row r="1630" spans="1:24">
      <c r="A1630" s="27" t="s">
        <v>3133</v>
      </c>
      <c r="B1630" s="28" t="s">
        <v>215</v>
      </c>
      <c r="C1630" s="27" t="s">
        <v>3134</v>
      </c>
      <c r="D1630" s="27" t="s">
        <v>220</v>
      </c>
      <c r="E1630" s="29">
        <v>41269</v>
      </c>
      <c r="F1630" s="27">
        <v>15</v>
      </c>
      <c r="G1630" s="18">
        <v>1458960.1</v>
      </c>
      <c r="H1630" s="27">
        <f t="shared" si="50"/>
        <v>0</v>
      </c>
      <c r="I1630" s="18">
        <v>755392.2</v>
      </c>
      <c r="J1630" s="27">
        <v>1458960.1</v>
      </c>
      <c r="K1630" s="18">
        <f t="shared" si="51"/>
        <v>0</v>
      </c>
      <c r="L1630" s="27">
        <v>825461.08</v>
      </c>
      <c r="M1630" s="36">
        <v>70068.88</v>
      </c>
      <c r="T1630" s="41">
        <v>0</v>
      </c>
      <c r="U1630" s="41">
        <v>0</v>
      </c>
      <c r="V1630" s="42" t="s">
        <v>113</v>
      </c>
      <c r="W1630" s="42">
        <v>0</v>
      </c>
      <c r="X1630" s="42">
        <v>0</v>
      </c>
    </row>
    <row r="1631" spans="1:24">
      <c r="A1631" s="27" t="s">
        <v>3135</v>
      </c>
      <c r="B1631" s="28" t="s">
        <v>215</v>
      </c>
      <c r="C1631" s="27" t="s">
        <v>3136</v>
      </c>
      <c r="D1631" s="27" t="s">
        <v>220</v>
      </c>
      <c r="E1631" s="29">
        <v>41269</v>
      </c>
      <c r="F1631" s="27">
        <v>15</v>
      </c>
      <c r="G1631" s="18">
        <v>623462.28</v>
      </c>
      <c r="H1631" s="27">
        <f t="shared" si="50"/>
        <v>0</v>
      </c>
      <c r="I1631" s="18">
        <v>322804.28000000003</v>
      </c>
      <c r="J1631" s="27">
        <v>623462.28</v>
      </c>
      <c r="K1631" s="18">
        <f t="shared" si="51"/>
        <v>0</v>
      </c>
      <c r="L1631" s="27">
        <v>352747.05</v>
      </c>
      <c r="M1631" s="36">
        <v>29942.77</v>
      </c>
      <c r="T1631" s="41">
        <v>0</v>
      </c>
      <c r="U1631" s="41">
        <v>0</v>
      </c>
      <c r="V1631" s="42" t="s">
        <v>113</v>
      </c>
      <c r="W1631" s="42">
        <v>0</v>
      </c>
      <c r="X1631" s="42">
        <v>0</v>
      </c>
    </row>
    <row r="1632" spans="1:24">
      <c r="A1632" s="27" t="s">
        <v>3137</v>
      </c>
      <c r="B1632" s="28" t="s">
        <v>215</v>
      </c>
      <c r="C1632" s="27" t="s">
        <v>3138</v>
      </c>
      <c r="D1632" s="27" t="s">
        <v>220</v>
      </c>
      <c r="E1632" s="29">
        <v>41269</v>
      </c>
      <c r="F1632" s="27">
        <v>15</v>
      </c>
      <c r="G1632" s="18">
        <v>623462.28</v>
      </c>
      <c r="H1632" s="27">
        <f t="shared" si="50"/>
        <v>0</v>
      </c>
      <c r="I1632" s="18">
        <v>322804.28000000003</v>
      </c>
      <c r="J1632" s="27">
        <v>623462.28</v>
      </c>
      <c r="K1632" s="18">
        <f t="shared" si="51"/>
        <v>0</v>
      </c>
      <c r="L1632" s="27">
        <v>352747.05</v>
      </c>
      <c r="M1632" s="36">
        <v>29942.77</v>
      </c>
      <c r="T1632" s="41">
        <v>0</v>
      </c>
      <c r="U1632" s="41">
        <v>0</v>
      </c>
      <c r="V1632" s="42" t="s">
        <v>113</v>
      </c>
      <c r="W1632" s="42">
        <v>0</v>
      </c>
      <c r="X1632" s="42">
        <v>0</v>
      </c>
    </row>
    <row r="1633" spans="1:24">
      <c r="A1633" s="27" t="s">
        <v>3139</v>
      </c>
      <c r="B1633" s="28" t="s">
        <v>215</v>
      </c>
      <c r="C1633" s="27" t="s">
        <v>3140</v>
      </c>
      <c r="D1633" s="27" t="s">
        <v>220</v>
      </c>
      <c r="E1633" s="29">
        <v>41269</v>
      </c>
      <c r="F1633" s="27">
        <v>15</v>
      </c>
      <c r="G1633" s="18">
        <v>1154199.54</v>
      </c>
      <c r="H1633" s="27">
        <f t="shared" si="50"/>
        <v>0</v>
      </c>
      <c r="I1633" s="18">
        <v>597599.16</v>
      </c>
      <c r="J1633" s="27">
        <v>1154199.54</v>
      </c>
      <c r="K1633" s="18">
        <f t="shared" si="51"/>
        <v>0</v>
      </c>
      <c r="L1633" s="27">
        <v>653031.43000000005</v>
      </c>
      <c r="M1633" s="36">
        <v>55432.27</v>
      </c>
      <c r="T1633" s="41">
        <v>0</v>
      </c>
      <c r="U1633" s="41">
        <v>0</v>
      </c>
      <c r="V1633" s="42" t="s">
        <v>113</v>
      </c>
      <c r="W1633" s="42">
        <v>0</v>
      </c>
      <c r="X1633" s="42">
        <v>0</v>
      </c>
    </row>
    <row r="1634" spans="1:24">
      <c r="A1634" s="27" t="s">
        <v>3141</v>
      </c>
      <c r="B1634" s="28" t="s">
        <v>215</v>
      </c>
      <c r="C1634" s="27" t="s">
        <v>3142</v>
      </c>
      <c r="D1634" s="27" t="s">
        <v>118</v>
      </c>
      <c r="E1634" s="29">
        <v>41269</v>
      </c>
      <c r="F1634" s="27">
        <v>15</v>
      </c>
      <c r="G1634" s="18">
        <v>596552.56999999995</v>
      </c>
      <c r="H1634" s="27">
        <f t="shared" si="50"/>
        <v>0</v>
      </c>
      <c r="I1634" s="18">
        <v>308871.46999999997</v>
      </c>
      <c r="J1634" s="27">
        <v>596552.56999999995</v>
      </c>
      <c r="K1634" s="18">
        <f t="shared" si="51"/>
        <v>0</v>
      </c>
      <c r="L1634" s="27">
        <v>337521.86</v>
      </c>
      <c r="M1634" s="36">
        <v>28650.39</v>
      </c>
      <c r="T1634" s="41">
        <v>0</v>
      </c>
      <c r="U1634" s="41">
        <v>0</v>
      </c>
      <c r="V1634" s="42" t="s">
        <v>113</v>
      </c>
      <c r="W1634" s="42">
        <v>0</v>
      </c>
      <c r="X1634" s="42">
        <v>0</v>
      </c>
    </row>
    <row r="1635" spans="1:24">
      <c r="A1635" s="27" t="s">
        <v>3143</v>
      </c>
      <c r="B1635" s="28" t="s">
        <v>215</v>
      </c>
      <c r="C1635" s="27" t="s">
        <v>3144</v>
      </c>
      <c r="D1635" s="27" t="s">
        <v>118</v>
      </c>
      <c r="E1635" s="29">
        <v>41269</v>
      </c>
      <c r="F1635" s="27">
        <v>15</v>
      </c>
      <c r="G1635" s="18">
        <v>21527.759999999998</v>
      </c>
      <c r="H1635" s="27">
        <f t="shared" si="50"/>
        <v>0</v>
      </c>
      <c r="I1635" s="18">
        <v>11146.23</v>
      </c>
      <c r="J1635" s="27">
        <v>21527.759999999998</v>
      </c>
      <c r="K1635" s="18">
        <f t="shared" si="51"/>
        <v>0</v>
      </c>
      <c r="L1635" s="27">
        <v>12180.13</v>
      </c>
      <c r="M1635" s="36">
        <v>1033.9000000000001</v>
      </c>
      <c r="T1635" s="41">
        <v>0</v>
      </c>
      <c r="U1635" s="41">
        <v>0</v>
      </c>
      <c r="V1635" s="42" t="s">
        <v>113</v>
      </c>
      <c r="W1635" s="42">
        <v>0</v>
      </c>
      <c r="X1635" s="42">
        <v>0</v>
      </c>
    </row>
    <row r="1636" spans="1:24">
      <c r="A1636" s="27" t="s">
        <v>3145</v>
      </c>
      <c r="B1636" s="28" t="s">
        <v>215</v>
      </c>
      <c r="C1636" s="27" t="s">
        <v>3146</v>
      </c>
      <c r="D1636" s="27" t="s">
        <v>118</v>
      </c>
      <c r="E1636" s="29">
        <v>41269</v>
      </c>
      <c r="F1636" s="27">
        <v>15</v>
      </c>
      <c r="G1636" s="18">
        <v>4409.3</v>
      </c>
      <c r="H1636" s="27">
        <f t="shared" si="50"/>
        <v>0</v>
      </c>
      <c r="I1636" s="18">
        <v>2282.96</v>
      </c>
      <c r="J1636" s="27">
        <v>4409.3</v>
      </c>
      <c r="K1636" s="18">
        <f t="shared" si="51"/>
        <v>0</v>
      </c>
      <c r="L1636" s="27">
        <v>2494.7199999999998</v>
      </c>
      <c r="M1636" s="36">
        <v>211.76</v>
      </c>
      <c r="T1636" s="41">
        <v>0</v>
      </c>
      <c r="U1636" s="41">
        <v>0</v>
      </c>
      <c r="V1636" s="42" t="s">
        <v>113</v>
      </c>
      <c r="W1636" s="42">
        <v>0</v>
      </c>
      <c r="X1636" s="42">
        <v>0</v>
      </c>
    </row>
    <row r="1637" spans="1:24">
      <c r="A1637" s="27" t="s">
        <v>3147</v>
      </c>
      <c r="B1637" s="28" t="s">
        <v>215</v>
      </c>
      <c r="C1637" s="27" t="s">
        <v>3148</v>
      </c>
      <c r="D1637" s="27" t="s">
        <v>118</v>
      </c>
      <c r="E1637" s="29">
        <v>41269</v>
      </c>
      <c r="F1637" s="27">
        <v>15</v>
      </c>
      <c r="G1637" s="18">
        <v>4409.3</v>
      </c>
      <c r="H1637" s="27">
        <f t="shared" si="50"/>
        <v>0</v>
      </c>
      <c r="I1637" s="18">
        <v>2282.96</v>
      </c>
      <c r="J1637" s="27">
        <v>4409.3</v>
      </c>
      <c r="K1637" s="18">
        <f t="shared" si="51"/>
        <v>0</v>
      </c>
      <c r="L1637" s="27">
        <v>2494.7199999999998</v>
      </c>
      <c r="M1637" s="36">
        <v>211.76</v>
      </c>
      <c r="T1637" s="41">
        <v>0</v>
      </c>
      <c r="U1637" s="41">
        <v>0</v>
      </c>
      <c r="V1637" s="42" t="s">
        <v>113</v>
      </c>
      <c r="W1637" s="42">
        <v>0</v>
      </c>
      <c r="X1637" s="42">
        <v>0</v>
      </c>
    </row>
    <row r="1638" spans="1:24">
      <c r="A1638" s="27" t="s">
        <v>3149</v>
      </c>
      <c r="B1638" s="28" t="s">
        <v>215</v>
      </c>
      <c r="C1638" s="27" t="s">
        <v>3150</v>
      </c>
      <c r="D1638" s="27" t="s">
        <v>118</v>
      </c>
      <c r="E1638" s="29">
        <v>41269</v>
      </c>
      <c r="F1638" s="27">
        <v>15</v>
      </c>
      <c r="G1638" s="18">
        <v>4409.3</v>
      </c>
      <c r="H1638" s="27">
        <f t="shared" si="50"/>
        <v>0</v>
      </c>
      <c r="I1638" s="18">
        <v>2282.96</v>
      </c>
      <c r="J1638" s="27">
        <v>4409.3</v>
      </c>
      <c r="K1638" s="18">
        <f t="shared" si="51"/>
        <v>0</v>
      </c>
      <c r="L1638" s="27">
        <v>2494.7199999999998</v>
      </c>
      <c r="M1638" s="36">
        <v>211.76</v>
      </c>
      <c r="T1638" s="41">
        <v>0</v>
      </c>
      <c r="U1638" s="41">
        <v>0</v>
      </c>
      <c r="V1638" s="42" t="s">
        <v>113</v>
      </c>
      <c r="W1638" s="42">
        <v>0</v>
      </c>
      <c r="X1638" s="42">
        <v>0</v>
      </c>
    </row>
    <row r="1639" spans="1:24">
      <c r="A1639" s="27" t="s">
        <v>3151</v>
      </c>
      <c r="B1639" s="28" t="s">
        <v>215</v>
      </c>
      <c r="C1639" s="27" t="s">
        <v>3152</v>
      </c>
      <c r="D1639" s="27" t="s">
        <v>118</v>
      </c>
      <c r="E1639" s="29">
        <v>41269</v>
      </c>
      <c r="F1639" s="27">
        <v>15</v>
      </c>
      <c r="G1639" s="18">
        <v>596552.56999999995</v>
      </c>
      <c r="H1639" s="27">
        <f t="shared" si="50"/>
        <v>0</v>
      </c>
      <c r="I1639" s="18">
        <v>308871.48</v>
      </c>
      <c r="J1639" s="27">
        <v>596552.56999999995</v>
      </c>
      <c r="K1639" s="18">
        <f t="shared" si="51"/>
        <v>0</v>
      </c>
      <c r="L1639" s="27">
        <v>337521.86</v>
      </c>
      <c r="M1639" s="36">
        <v>28650.38</v>
      </c>
      <c r="T1639" s="41">
        <v>0</v>
      </c>
      <c r="U1639" s="41">
        <v>0</v>
      </c>
      <c r="V1639" s="42" t="s">
        <v>113</v>
      </c>
      <c r="W1639" s="42">
        <v>0</v>
      </c>
      <c r="X1639" s="42">
        <v>0</v>
      </c>
    </row>
    <row r="1640" spans="1:24">
      <c r="A1640" s="27" t="s">
        <v>3153</v>
      </c>
      <c r="B1640" s="28" t="s">
        <v>215</v>
      </c>
      <c r="C1640" s="27" t="s">
        <v>3154</v>
      </c>
      <c r="D1640" s="27" t="s">
        <v>118</v>
      </c>
      <c r="E1640" s="29">
        <v>41269</v>
      </c>
      <c r="F1640" s="27">
        <v>15</v>
      </c>
      <c r="G1640" s="18">
        <v>21527.77</v>
      </c>
      <c r="H1640" s="27">
        <f t="shared" si="50"/>
        <v>0</v>
      </c>
      <c r="I1640" s="18">
        <v>11146.24</v>
      </c>
      <c r="J1640" s="27">
        <v>21527.77</v>
      </c>
      <c r="K1640" s="18">
        <f t="shared" si="51"/>
        <v>0</v>
      </c>
      <c r="L1640" s="27">
        <v>12180.14</v>
      </c>
      <c r="M1640" s="36">
        <v>1033.9000000000001</v>
      </c>
      <c r="T1640" s="41">
        <v>0</v>
      </c>
      <c r="U1640" s="41">
        <v>0</v>
      </c>
      <c r="V1640" s="42" t="s">
        <v>113</v>
      </c>
      <c r="W1640" s="42">
        <v>0</v>
      </c>
      <c r="X1640" s="42">
        <v>0</v>
      </c>
    </row>
    <row r="1641" spans="1:24">
      <c r="A1641" s="27" t="s">
        <v>3155</v>
      </c>
      <c r="B1641" s="28" t="s">
        <v>215</v>
      </c>
      <c r="C1641" s="27" t="s">
        <v>3156</v>
      </c>
      <c r="D1641" s="27" t="s">
        <v>118</v>
      </c>
      <c r="E1641" s="29">
        <v>41269</v>
      </c>
      <c r="F1641" s="27">
        <v>15</v>
      </c>
      <c r="G1641" s="18">
        <v>4409.3</v>
      </c>
      <c r="H1641" s="27">
        <f t="shared" si="50"/>
        <v>0</v>
      </c>
      <c r="I1641" s="18">
        <v>2282.96</v>
      </c>
      <c r="J1641" s="27">
        <v>4409.3</v>
      </c>
      <c r="K1641" s="18">
        <f t="shared" si="51"/>
        <v>0</v>
      </c>
      <c r="L1641" s="27">
        <v>2494.7199999999998</v>
      </c>
      <c r="M1641" s="36">
        <v>211.76</v>
      </c>
      <c r="T1641" s="41">
        <v>0</v>
      </c>
      <c r="U1641" s="41">
        <v>0</v>
      </c>
      <c r="V1641" s="42" t="s">
        <v>113</v>
      </c>
      <c r="W1641" s="42">
        <v>0</v>
      </c>
      <c r="X1641" s="42">
        <v>0</v>
      </c>
    </row>
    <row r="1642" spans="1:24">
      <c r="A1642" s="27" t="s">
        <v>3157</v>
      </c>
      <c r="B1642" s="28" t="s">
        <v>215</v>
      </c>
      <c r="C1642" s="27" t="s">
        <v>3158</v>
      </c>
      <c r="D1642" s="27" t="s">
        <v>118</v>
      </c>
      <c r="E1642" s="29">
        <v>41269</v>
      </c>
      <c r="F1642" s="27">
        <v>15</v>
      </c>
      <c r="G1642" s="18">
        <v>4409.3</v>
      </c>
      <c r="H1642" s="27">
        <f t="shared" si="50"/>
        <v>0</v>
      </c>
      <c r="I1642" s="18">
        <v>2282.96</v>
      </c>
      <c r="J1642" s="27">
        <v>4409.3</v>
      </c>
      <c r="K1642" s="18">
        <f t="shared" si="51"/>
        <v>0</v>
      </c>
      <c r="L1642" s="27">
        <v>2494.7199999999998</v>
      </c>
      <c r="M1642" s="36">
        <v>211.76</v>
      </c>
      <c r="T1642" s="41">
        <v>0</v>
      </c>
      <c r="U1642" s="41">
        <v>0</v>
      </c>
      <c r="V1642" s="42" t="s">
        <v>113</v>
      </c>
      <c r="W1642" s="42">
        <v>0</v>
      </c>
      <c r="X1642" s="42">
        <v>0</v>
      </c>
    </row>
    <row r="1643" spans="1:24">
      <c r="A1643" s="27" t="s">
        <v>3159</v>
      </c>
      <c r="B1643" s="28" t="s">
        <v>215</v>
      </c>
      <c r="C1643" s="27" t="s">
        <v>3160</v>
      </c>
      <c r="D1643" s="27" t="s">
        <v>118</v>
      </c>
      <c r="E1643" s="29">
        <v>41269</v>
      </c>
      <c r="F1643" s="27">
        <v>15</v>
      </c>
      <c r="G1643" s="18">
        <v>4409.3</v>
      </c>
      <c r="H1643" s="27">
        <f t="shared" si="50"/>
        <v>0</v>
      </c>
      <c r="I1643" s="18">
        <v>2282.96</v>
      </c>
      <c r="J1643" s="27">
        <v>4409.3</v>
      </c>
      <c r="K1643" s="18">
        <f t="shared" si="51"/>
        <v>0</v>
      </c>
      <c r="L1643" s="27">
        <v>2494.7199999999998</v>
      </c>
      <c r="M1643" s="36">
        <v>211.76</v>
      </c>
      <c r="T1643" s="41">
        <v>0</v>
      </c>
      <c r="U1643" s="41">
        <v>0</v>
      </c>
      <c r="V1643" s="42" t="s">
        <v>113</v>
      </c>
      <c r="W1643" s="42">
        <v>0</v>
      </c>
      <c r="X1643" s="42">
        <v>0</v>
      </c>
    </row>
    <row r="1644" spans="1:24">
      <c r="A1644" s="27" t="s">
        <v>3161</v>
      </c>
      <c r="B1644" s="28" t="s">
        <v>215</v>
      </c>
      <c r="C1644" s="27" t="s">
        <v>3162</v>
      </c>
      <c r="D1644" s="27" t="s">
        <v>118</v>
      </c>
      <c r="E1644" s="29">
        <v>41269</v>
      </c>
      <c r="F1644" s="27">
        <v>15</v>
      </c>
      <c r="G1644" s="18">
        <v>596552.56999999995</v>
      </c>
      <c r="H1644" s="27">
        <f t="shared" si="50"/>
        <v>0</v>
      </c>
      <c r="I1644" s="18">
        <v>308871.46999999997</v>
      </c>
      <c r="J1644" s="27">
        <v>596552.56999999995</v>
      </c>
      <c r="K1644" s="18">
        <f t="shared" si="51"/>
        <v>0</v>
      </c>
      <c r="L1644" s="27">
        <v>337521.86</v>
      </c>
      <c r="M1644" s="36">
        <v>28650.39</v>
      </c>
      <c r="T1644" s="41">
        <v>0</v>
      </c>
      <c r="U1644" s="41">
        <v>0</v>
      </c>
      <c r="V1644" s="42" t="s">
        <v>113</v>
      </c>
      <c r="W1644" s="42">
        <v>0</v>
      </c>
      <c r="X1644" s="42">
        <v>0</v>
      </c>
    </row>
    <row r="1645" spans="1:24">
      <c r="A1645" s="27" t="s">
        <v>3163</v>
      </c>
      <c r="B1645" s="28" t="s">
        <v>215</v>
      </c>
      <c r="C1645" s="27" t="s">
        <v>3164</v>
      </c>
      <c r="D1645" s="27" t="s">
        <v>118</v>
      </c>
      <c r="E1645" s="29">
        <v>41269</v>
      </c>
      <c r="F1645" s="27">
        <v>15</v>
      </c>
      <c r="G1645" s="18">
        <v>4409.3</v>
      </c>
      <c r="H1645" s="27">
        <f t="shared" si="50"/>
        <v>0</v>
      </c>
      <c r="I1645" s="18">
        <v>2282.96</v>
      </c>
      <c r="J1645" s="27">
        <v>4409.3</v>
      </c>
      <c r="K1645" s="18">
        <f t="shared" si="51"/>
        <v>0</v>
      </c>
      <c r="L1645" s="27">
        <v>2494.7199999999998</v>
      </c>
      <c r="M1645" s="36">
        <v>211.76</v>
      </c>
      <c r="T1645" s="41">
        <v>0</v>
      </c>
      <c r="U1645" s="41">
        <v>0</v>
      </c>
      <c r="V1645" s="42" t="s">
        <v>113</v>
      </c>
      <c r="W1645" s="42">
        <v>0</v>
      </c>
      <c r="X1645" s="42">
        <v>0</v>
      </c>
    </row>
    <row r="1646" spans="1:24">
      <c r="A1646" s="27" t="s">
        <v>3165</v>
      </c>
      <c r="B1646" s="28" t="s">
        <v>215</v>
      </c>
      <c r="C1646" s="27" t="s">
        <v>3166</v>
      </c>
      <c r="D1646" s="27" t="s">
        <v>118</v>
      </c>
      <c r="E1646" s="29">
        <v>41269</v>
      </c>
      <c r="F1646" s="27">
        <v>15</v>
      </c>
      <c r="G1646" s="18">
        <v>21527.77</v>
      </c>
      <c r="H1646" s="27">
        <f t="shared" si="50"/>
        <v>0</v>
      </c>
      <c r="I1646" s="18">
        <v>11146.24</v>
      </c>
      <c r="J1646" s="27">
        <v>21527.77</v>
      </c>
      <c r="K1646" s="18">
        <f t="shared" si="51"/>
        <v>0</v>
      </c>
      <c r="L1646" s="27">
        <v>12180.14</v>
      </c>
      <c r="M1646" s="36">
        <v>1033.9000000000001</v>
      </c>
      <c r="T1646" s="41">
        <v>0</v>
      </c>
      <c r="U1646" s="41">
        <v>0</v>
      </c>
      <c r="V1646" s="42" t="s">
        <v>113</v>
      </c>
      <c r="W1646" s="42">
        <v>0</v>
      </c>
      <c r="X1646" s="42">
        <v>0</v>
      </c>
    </row>
    <row r="1647" spans="1:24">
      <c r="A1647" s="27" t="s">
        <v>3167</v>
      </c>
      <c r="B1647" s="28" t="s">
        <v>215</v>
      </c>
      <c r="C1647" s="27" t="s">
        <v>3168</v>
      </c>
      <c r="D1647" s="27" t="s">
        <v>118</v>
      </c>
      <c r="E1647" s="29">
        <v>41269</v>
      </c>
      <c r="F1647" s="27">
        <v>15</v>
      </c>
      <c r="G1647" s="18">
        <v>4409.3</v>
      </c>
      <c r="H1647" s="27">
        <f t="shared" si="50"/>
        <v>0</v>
      </c>
      <c r="I1647" s="18">
        <v>2282.96</v>
      </c>
      <c r="J1647" s="27">
        <v>4409.3</v>
      </c>
      <c r="K1647" s="18">
        <f t="shared" si="51"/>
        <v>0</v>
      </c>
      <c r="L1647" s="27">
        <v>2494.7199999999998</v>
      </c>
      <c r="M1647" s="36">
        <v>211.76</v>
      </c>
      <c r="T1647" s="41">
        <v>0</v>
      </c>
      <c r="U1647" s="41">
        <v>0</v>
      </c>
      <c r="V1647" s="42" t="s">
        <v>113</v>
      </c>
      <c r="W1647" s="42">
        <v>0</v>
      </c>
      <c r="X1647" s="42">
        <v>0</v>
      </c>
    </row>
    <row r="1648" spans="1:24">
      <c r="A1648" s="27" t="s">
        <v>3169</v>
      </c>
      <c r="B1648" s="28" t="s">
        <v>215</v>
      </c>
      <c r="C1648" s="27" t="s">
        <v>3170</v>
      </c>
      <c r="D1648" s="27" t="s">
        <v>118</v>
      </c>
      <c r="E1648" s="29">
        <v>41269</v>
      </c>
      <c r="F1648" s="27">
        <v>15</v>
      </c>
      <c r="G1648" s="18">
        <v>4409.3</v>
      </c>
      <c r="H1648" s="27">
        <f t="shared" si="50"/>
        <v>0</v>
      </c>
      <c r="I1648" s="18">
        <v>2282.96</v>
      </c>
      <c r="J1648" s="27">
        <v>4409.3</v>
      </c>
      <c r="K1648" s="18">
        <f t="shared" si="51"/>
        <v>0</v>
      </c>
      <c r="L1648" s="27">
        <v>2494.7199999999998</v>
      </c>
      <c r="M1648" s="36">
        <v>211.76</v>
      </c>
      <c r="T1648" s="41">
        <v>0</v>
      </c>
      <c r="U1648" s="41">
        <v>0</v>
      </c>
      <c r="V1648" s="42" t="s">
        <v>113</v>
      </c>
      <c r="W1648" s="42">
        <v>0</v>
      </c>
      <c r="X1648" s="42">
        <v>0</v>
      </c>
    </row>
    <row r="1649" spans="1:24">
      <c r="A1649" s="27" t="s">
        <v>3171</v>
      </c>
      <c r="B1649" s="28" t="s">
        <v>215</v>
      </c>
      <c r="C1649" s="27" t="s">
        <v>3172</v>
      </c>
      <c r="D1649" s="27" t="s">
        <v>118</v>
      </c>
      <c r="E1649" s="29">
        <v>41269</v>
      </c>
      <c r="F1649" s="27">
        <v>15</v>
      </c>
      <c r="G1649" s="18">
        <v>516147.67</v>
      </c>
      <c r="H1649" s="27">
        <f t="shared" si="50"/>
        <v>0</v>
      </c>
      <c r="I1649" s="18">
        <v>267240.98</v>
      </c>
      <c r="J1649" s="27">
        <v>516147.67</v>
      </c>
      <c r="K1649" s="18">
        <f t="shared" si="51"/>
        <v>0</v>
      </c>
      <c r="L1649" s="27">
        <v>292029.78999999998</v>
      </c>
      <c r="M1649" s="36">
        <v>24788.81</v>
      </c>
      <c r="T1649" s="41">
        <v>0</v>
      </c>
      <c r="U1649" s="41">
        <v>0</v>
      </c>
      <c r="V1649" s="42" t="s">
        <v>113</v>
      </c>
      <c r="W1649" s="42">
        <v>0</v>
      </c>
      <c r="X1649" s="42">
        <v>0</v>
      </c>
    </row>
    <row r="1650" spans="1:24">
      <c r="A1650" s="27" t="s">
        <v>3173</v>
      </c>
      <c r="B1650" s="28" t="s">
        <v>215</v>
      </c>
      <c r="C1650" s="27" t="s">
        <v>3174</v>
      </c>
      <c r="D1650" s="27" t="s">
        <v>118</v>
      </c>
      <c r="E1650" s="29">
        <v>41269</v>
      </c>
      <c r="F1650" s="27">
        <v>15</v>
      </c>
      <c r="G1650" s="18">
        <v>596552.6</v>
      </c>
      <c r="H1650" s="27">
        <f t="shared" si="50"/>
        <v>0</v>
      </c>
      <c r="I1650" s="18">
        <v>308871.49</v>
      </c>
      <c r="J1650" s="27">
        <v>596552.6</v>
      </c>
      <c r="K1650" s="18">
        <f t="shared" si="51"/>
        <v>0</v>
      </c>
      <c r="L1650" s="27">
        <v>337521.88</v>
      </c>
      <c r="M1650" s="36">
        <v>28650.39</v>
      </c>
      <c r="T1650" s="41">
        <v>0</v>
      </c>
      <c r="U1650" s="41">
        <v>0</v>
      </c>
      <c r="V1650" s="42" t="s">
        <v>113</v>
      </c>
      <c r="W1650" s="42">
        <v>0</v>
      </c>
      <c r="X1650" s="42">
        <v>0</v>
      </c>
    </row>
    <row r="1651" spans="1:24">
      <c r="A1651" s="27" t="s">
        <v>3175</v>
      </c>
      <c r="B1651" s="28" t="s">
        <v>215</v>
      </c>
      <c r="C1651" s="27" t="s">
        <v>3176</v>
      </c>
      <c r="D1651" s="27" t="s">
        <v>118</v>
      </c>
      <c r="E1651" s="29">
        <v>41269</v>
      </c>
      <c r="F1651" s="27">
        <v>15</v>
      </c>
      <c r="G1651" s="18">
        <v>596552.59</v>
      </c>
      <c r="H1651" s="27">
        <f t="shared" si="50"/>
        <v>0</v>
      </c>
      <c r="I1651" s="18">
        <v>308871.48</v>
      </c>
      <c r="J1651" s="27">
        <v>596552.59</v>
      </c>
      <c r="K1651" s="18">
        <f t="shared" si="51"/>
        <v>0</v>
      </c>
      <c r="L1651" s="27">
        <v>337521.87</v>
      </c>
      <c r="M1651" s="36">
        <v>28650.39</v>
      </c>
      <c r="T1651" s="41">
        <v>0</v>
      </c>
      <c r="U1651" s="41">
        <v>0</v>
      </c>
      <c r="V1651" s="42" t="s">
        <v>113</v>
      </c>
      <c r="W1651" s="42">
        <v>0</v>
      </c>
      <c r="X1651" s="42">
        <v>0</v>
      </c>
    </row>
    <row r="1652" spans="1:24">
      <c r="A1652" s="27" t="s">
        <v>3177</v>
      </c>
      <c r="B1652" s="28" t="s">
        <v>215</v>
      </c>
      <c r="C1652" s="27" t="s">
        <v>1657</v>
      </c>
      <c r="D1652" s="27" t="s">
        <v>118</v>
      </c>
      <c r="E1652" s="29">
        <v>41269</v>
      </c>
      <c r="F1652" s="27">
        <v>15</v>
      </c>
      <c r="G1652" s="18">
        <v>4409.3</v>
      </c>
      <c r="H1652" s="27">
        <f t="shared" si="50"/>
        <v>0</v>
      </c>
      <c r="I1652" s="18">
        <v>2282.96</v>
      </c>
      <c r="J1652" s="27">
        <v>4409.3</v>
      </c>
      <c r="K1652" s="18">
        <f t="shared" si="51"/>
        <v>0</v>
      </c>
      <c r="L1652" s="27">
        <v>2494.7199999999998</v>
      </c>
      <c r="M1652" s="36">
        <v>211.76</v>
      </c>
      <c r="T1652" s="41">
        <v>0</v>
      </c>
      <c r="U1652" s="41">
        <v>0</v>
      </c>
      <c r="V1652" s="42" t="s">
        <v>113</v>
      </c>
      <c r="W1652" s="42">
        <v>0</v>
      </c>
      <c r="X1652" s="42">
        <v>0</v>
      </c>
    </row>
    <row r="1653" spans="1:24">
      <c r="A1653" s="27" t="s">
        <v>3178</v>
      </c>
      <c r="B1653" s="28" t="s">
        <v>215</v>
      </c>
      <c r="C1653" s="27" t="s">
        <v>1655</v>
      </c>
      <c r="D1653" s="27" t="s">
        <v>118</v>
      </c>
      <c r="E1653" s="29">
        <v>41269</v>
      </c>
      <c r="F1653" s="27">
        <v>15</v>
      </c>
      <c r="G1653" s="18">
        <v>4409.3</v>
      </c>
      <c r="H1653" s="27">
        <f t="shared" si="50"/>
        <v>0</v>
      </c>
      <c r="I1653" s="18">
        <v>2282.96</v>
      </c>
      <c r="J1653" s="27">
        <v>4409.3</v>
      </c>
      <c r="K1653" s="18">
        <f t="shared" si="51"/>
        <v>0</v>
      </c>
      <c r="L1653" s="27">
        <v>2494.7199999999998</v>
      </c>
      <c r="M1653" s="36">
        <v>211.76</v>
      </c>
      <c r="T1653" s="41">
        <v>0</v>
      </c>
      <c r="U1653" s="41">
        <v>0</v>
      </c>
      <c r="V1653" s="42" t="s">
        <v>113</v>
      </c>
      <c r="W1653" s="42">
        <v>0</v>
      </c>
      <c r="X1653" s="42">
        <v>0</v>
      </c>
    </row>
    <row r="1654" spans="1:24">
      <c r="A1654" s="27" t="s">
        <v>3179</v>
      </c>
      <c r="B1654" s="28" t="s">
        <v>215</v>
      </c>
      <c r="C1654" s="27" t="s">
        <v>1659</v>
      </c>
      <c r="D1654" s="27" t="s">
        <v>118</v>
      </c>
      <c r="E1654" s="29">
        <v>41269</v>
      </c>
      <c r="F1654" s="27">
        <v>15</v>
      </c>
      <c r="G1654" s="18">
        <v>4409.3</v>
      </c>
      <c r="H1654" s="27">
        <f t="shared" si="50"/>
        <v>0</v>
      </c>
      <c r="I1654" s="18">
        <v>2282.96</v>
      </c>
      <c r="J1654" s="27">
        <v>4409.3</v>
      </c>
      <c r="K1654" s="18">
        <f t="shared" si="51"/>
        <v>0</v>
      </c>
      <c r="L1654" s="27">
        <v>2494.7199999999998</v>
      </c>
      <c r="M1654" s="36">
        <v>211.76</v>
      </c>
      <c r="T1654" s="41">
        <v>0</v>
      </c>
      <c r="U1654" s="41">
        <v>0</v>
      </c>
      <c r="V1654" s="42" t="s">
        <v>113</v>
      </c>
      <c r="W1654" s="42">
        <v>0</v>
      </c>
      <c r="X1654" s="42">
        <v>0</v>
      </c>
    </row>
    <row r="1655" spans="1:24">
      <c r="A1655" s="27" t="s">
        <v>3180</v>
      </c>
      <c r="B1655" s="28" t="s">
        <v>215</v>
      </c>
      <c r="C1655" s="27" t="s">
        <v>3181</v>
      </c>
      <c r="D1655" s="27" t="s">
        <v>118</v>
      </c>
      <c r="E1655" s="29">
        <v>41269</v>
      </c>
      <c r="F1655" s="27">
        <v>15</v>
      </c>
      <c r="G1655" s="18">
        <v>623462.27</v>
      </c>
      <c r="H1655" s="27">
        <f t="shared" si="50"/>
        <v>0</v>
      </c>
      <c r="I1655" s="18">
        <v>322804.26</v>
      </c>
      <c r="J1655" s="27">
        <v>623462.27</v>
      </c>
      <c r="K1655" s="18">
        <f t="shared" si="51"/>
        <v>0</v>
      </c>
      <c r="L1655" s="27">
        <v>352747.03</v>
      </c>
      <c r="M1655" s="36">
        <v>29942.77</v>
      </c>
      <c r="T1655" s="41">
        <v>0</v>
      </c>
      <c r="U1655" s="41">
        <v>0</v>
      </c>
      <c r="V1655" s="42" t="s">
        <v>113</v>
      </c>
      <c r="W1655" s="42">
        <v>0</v>
      </c>
      <c r="X1655" s="42">
        <v>0</v>
      </c>
    </row>
    <row r="1656" spans="1:24">
      <c r="A1656" s="27" t="s">
        <v>3182</v>
      </c>
      <c r="B1656" s="28" t="s">
        <v>215</v>
      </c>
      <c r="C1656" s="27" t="s">
        <v>3183</v>
      </c>
      <c r="D1656" s="27" t="s">
        <v>118</v>
      </c>
      <c r="E1656" s="29">
        <v>41269</v>
      </c>
      <c r="F1656" s="27">
        <v>15</v>
      </c>
      <c r="G1656" s="18">
        <v>623462.27</v>
      </c>
      <c r="H1656" s="27">
        <f t="shared" si="50"/>
        <v>0</v>
      </c>
      <c r="I1656" s="18">
        <v>322804.26</v>
      </c>
      <c r="J1656" s="27">
        <v>623462.27</v>
      </c>
      <c r="K1656" s="18">
        <f t="shared" si="51"/>
        <v>0</v>
      </c>
      <c r="L1656" s="27">
        <v>352747.03</v>
      </c>
      <c r="M1656" s="36">
        <v>29942.77</v>
      </c>
      <c r="T1656" s="41">
        <v>0</v>
      </c>
      <c r="U1656" s="41">
        <v>0</v>
      </c>
      <c r="V1656" s="42" t="s">
        <v>113</v>
      </c>
      <c r="W1656" s="42">
        <v>0</v>
      </c>
      <c r="X1656" s="42">
        <v>0</v>
      </c>
    </row>
    <row r="1657" spans="1:24">
      <c r="A1657" s="27" t="s">
        <v>3184</v>
      </c>
      <c r="B1657" s="28" t="s">
        <v>215</v>
      </c>
      <c r="C1657" s="27" t="s">
        <v>3185</v>
      </c>
      <c r="D1657" s="27" t="s">
        <v>230</v>
      </c>
      <c r="E1657" s="29">
        <v>41269</v>
      </c>
      <c r="F1657" s="27">
        <v>15</v>
      </c>
      <c r="G1657" s="18">
        <v>64842.67</v>
      </c>
      <c r="H1657" s="27">
        <f t="shared" si="50"/>
        <v>0</v>
      </c>
      <c r="I1657" s="18">
        <v>33572.980000000003</v>
      </c>
      <c r="J1657" s="27">
        <v>64842.67</v>
      </c>
      <c r="K1657" s="18">
        <f t="shared" si="51"/>
        <v>0</v>
      </c>
      <c r="L1657" s="27">
        <v>36687.15</v>
      </c>
      <c r="M1657" s="36">
        <v>3114.17</v>
      </c>
      <c r="T1657" s="41">
        <v>0</v>
      </c>
      <c r="U1657" s="41">
        <v>0</v>
      </c>
      <c r="V1657" s="42" t="s">
        <v>113</v>
      </c>
      <c r="W1657" s="42">
        <v>0</v>
      </c>
      <c r="X1657" s="42">
        <v>0</v>
      </c>
    </row>
    <row r="1658" spans="1:24">
      <c r="A1658" s="27" t="s">
        <v>3186</v>
      </c>
      <c r="B1658" s="28" t="s">
        <v>215</v>
      </c>
      <c r="C1658" s="27" t="s">
        <v>3187</v>
      </c>
      <c r="D1658" s="27" t="s">
        <v>230</v>
      </c>
      <c r="E1658" s="29">
        <v>41269</v>
      </c>
      <c r="F1658" s="27">
        <v>15</v>
      </c>
      <c r="G1658" s="18">
        <v>64842.66</v>
      </c>
      <c r="H1658" s="27">
        <f t="shared" si="50"/>
        <v>0</v>
      </c>
      <c r="I1658" s="18">
        <v>33572.980000000003</v>
      </c>
      <c r="J1658" s="27">
        <v>64842.66</v>
      </c>
      <c r="K1658" s="18">
        <f t="shared" si="51"/>
        <v>0</v>
      </c>
      <c r="L1658" s="27">
        <v>36687.15</v>
      </c>
      <c r="M1658" s="36">
        <v>3114.17</v>
      </c>
      <c r="T1658" s="41">
        <v>0</v>
      </c>
      <c r="U1658" s="41">
        <v>0</v>
      </c>
      <c r="V1658" s="42" t="s">
        <v>113</v>
      </c>
      <c r="W1658" s="42">
        <v>0</v>
      </c>
      <c r="X1658" s="42">
        <v>0</v>
      </c>
    </row>
    <row r="1659" spans="1:24">
      <c r="A1659" s="27" t="s">
        <v>3188</v>
      </c>
      <c r="B1659" s="28" t="s">
        <v>215</v>
      </c>
      <c r="C1659" s="27" t="s">
        <v>3189</v>
      </c>
      <c r="D1659" s="27" t="s">
        <v>230</v>
      </c>
      <c r="E1659" s="29">
        <v>41269</v>
      </c>
      <c r="F1659" s="27">
        <v>15</v>
      </c>
      <c r="G1659" s="18">
        <v>9108.9699999999993</v>
      </c>
      <c r="H1659" s="27">
        <f t="shared" si="50"/>
        <v>0</v>
      </c>
      <c r="I1659" s="18">
        <v>4716.26</v>
      </c>
      <c r="J1659" s="27">
        <v>9108.9699999999993</v>
      </c>
      <c r="K1659" s="18">
        <f t="shared" si="51"/>
        <v>0</v>
      </c>
      <c r="L1659" s="27">
        <v>5153.7299999999996</v>
      </c>
      <c r="M1659" s="36">
        <v>437.47</v>
      </c>
      <c r="T1659" s="41">
        <v>0</v>
      </c>
      <c r="U1659" s="41">
        <v>0</v>
      </c>
      <c r="V1659" s="42" t="s">
        <v>113</v>
      </c>
      <c r="W1659" s="42">
        <v>0</v>
      </c>
      <c r="X1659" s="42">
        <v>0</v>
      </c>
    </row>
    <row r="1660" spans="1:24">
      <c r="A1660" s="27" t="s">
        <v>3190</v>
      </c>
      <c r="B1660" s="28" t="s">
        <v>215</v>
      </c>
      <c r="C1660" s="27" t="s">
        <v>3191</v>
      </c>
      <c r="D1660" s="27" t="s">
        <v>230</v>
      </c>
      <c r="E1660" s="29">
        <v>41269</v>
      </c>
      <c r="F1660" s="27">
        <v>15</v>
      </c>
      <c r="G1660" s="18">
        <v>9108.9699999999993</v>
      </c>
      <c r="H1660" s="27">
        <f t="shared" si="50"/>
        <v>0</v>
      </c>
      <c r="I1660" s="18">
        <v>4716.26</v>
      </c>
      <c r="J1660" s="27">
        <v>9108.9699999999993</v>
      </c>
      <c r="K1660" s="18">
        <f t="shared" si="51"/>
        <v>0</v>
      </c>
      <c r="L1660" s="27">
        <v>5153.7299999999996</v>
      </c>
      <c r="M1660" s="36">
        <v>437.47</v>
      </c>
      <c r="T1660" s="41">
        <v>0</v>
      </c>
      <c r="U1660" s="41">
        <v>0</v>
      </c>
      <c r="V1660" s="42" t="s">
        <v>113</v>
      </c>
      <c r="W1660" s="42">
        <v>0</v>
      </c>
      <c r="X1660" s="42">
        <v>0</v>
      </c>
    </row>
    <row r="1661" spans="1:24">
      <c r="A1661" s="27" t="s">
        <v>3192</v>
      </c>
      <c r="B1661" s="28" t="s">
        <v>215</v>
      </c>
      <c r="C1661" s="27" t="s">
        <v>3193</v>
      </c>
      <c r="D1661" s="27" t="s">
        <v>230</v>
      </c>
      <c r="E1661" s="29">
        <v>41269</v>
      </c>
      <c r="F1661" s="27">
        <v>15</v>
      </c>
      <c r="G1661" s="18">
        <v>9108.9699999999993</v>
      </c>
      <c r="H1661" s="27">
        <f t="shared" si="50"/>
        <v>0</v>
      </c>
      <c r="I1661" s="18">
        <v>4716.26</v>
      </c>
      <c r="J1661" s="27">
        <v>9108.9699999999993</v>
      </c>
      <c r="K1661" s="18">
        <f t="shared" si="51"/>
        <v>0</v>
      </c>
      <c r="L1661" s="27">
        <v>5153.7299999999996</v>
      </c>
      <c r="M1661" s="36">
        <v>437.47</v>
      </c>
      <c r="T1661" s="41">
        <v>0</v>
      </c>
      <c r="U1661" s="41">
        <v>0</v>
      </c>
      <c r="V1661" s="42" t="s">
        <v>113</v>
      </c>
      <c r="W1661" s="42">
        <v>0</v>
      </c>
      <c r="X1661" s="42">
        <v>0</v>
      </c>
    </row>
    <row r="1662" spans="1:24">
      <c r="A1662" s="27" t="s">
        <v>3194</v>
      </c>
      <c r="B1662" s="28" t="s">
        <v>215</v>
      </c>
      <c r="C1662" s="27" t="s">
        <v>3195</v>
      </c>
      <c r="D1662" s="27" t="s">
        <v>220</v>
      </c>
      <c r="E1662" s="29">
        <v>41269</v>
      </c>
      <c r="F1662" s="27">
        <v>15</v>
      </c>
      <c r="G1662" s="18">
        <v>32805.199999999997</v>
      </c>
      <c r="H1662" s="27">
        <f t="shared" si="50"/>
        <v>0</v>
      </c>
      <c r="I1662" s="18">
        <v>16985.240000000002</v>
      </c>
      <c r="J1662" s="27">
        <v>32805.199999999997</v>
      </c>
      <c r="K1662" s="18">
        <f t="shared" si="51"/>
        <v>0</v>
      </c>
      <c r="L1662" s="27">
        <v>18560.759999999998</v>
      </c>
      <c r="M1662" s="36">
        <v>1575.52</v>
      </c>
      <c r="T1662" s="41">
        <v>0</v>
      </c>
      <c r="U1662" s="41">
        <v>0</v>
      </c>
      <c r="V1662" s="42" t="s">
        <v>113</v>
      </c>
      <c r="W1662" s="42">
        <v>0</v>
      </c>
      <c r="X1662" s="42">
        <v>0</v>
      </c>
    </row>
    <row r="1663" spans="1:24">
      <c r="A1663" s="27" t="s">
        <v>3196</v>
      </c>
      <c r="B1663" s="28" t="s">
        <v>215</v>
      </c>
      <c r="C1663" s="27" t="s">
        <v>2656</v>
      </c>
      <c r="D1663" s="27" t="s">
        <v>118</v>
      </c>
      <c r="E1663" s="29">
        <v>41269</v>
      </c>
      <c r="F1663" s="27">
        <v>15</v>
      </c>
      <c r="G1663" s="18">
        <v>26147.68</v>
      </c>
      <c r="H1663" s="27">
        <f t="shared" si="50"/>
        <v>0</v>
      </c>
      <c r="I1663" s="18">
        <v>13538.24</v>
      </c>
      <c r="J1663" s="27">
        <v>26147.68</v>
      </c>
      <c r="K1663" s="18">
        <f t="shared" si="51"/>
        <v>0</v>
      </c>
      <c r="L1663" s="27">
        <v>14794.02</v>
      </c>
      <c r="M1663" s="36">
        <v>1255.78</v>
      </c>
      <c r="T1663" s="41">
        <v>0</v>
      </c>
      <c r="U1663" s="41">
        <v>0</v>
      </c>
      <c r="V1663" s="42" t="s">
        <v>113</v>
      </c>
      <c r="W1663" s="42">
        <v>0</v>
      </c>
      <c r="X1663" s="42">
        <v>0</v>
      </c>
    </row>
    <row r="1664" spans="1:24">
      <c r="A1664" s="27" t="s">
        <v>3197</v>
      </c>
      <c r="B1664" s="28" t="s">
        <v>215</v>
      </c>
      <c r="C1664" s="27" t="s">
        <v>449</v>
      </c>
      <c r="D1664" s="27" t="s">
        <v>220</v>
      </c>
      <c r="E1664" s="29">
        <v>41269</v>
      </c>
      <c r="F1664" s="27">
        <v>15</v>
      </c>
      <c r="G1664" s="18">
        <v>32805.21</v>
      </c>
      <c r="H1664" s="27">
        <f t="shared" si="50"/>
        <v>0</v>
      </c>
      <c r="I1664" s="18">
        <v>16985.25</v>
      </c>
      <c r="J1664" s="27">
        <v>32805.21</v>
      </c>
      <c r="K1664" s="18">
        <f t="shared" si="51"/>
        <v>0</v>
      </c>
      <c r="L1664" s="27">
        <v>18560.77</v>
      </c>
      <c r="M1664" s="36">
        <v>1575.52</v>
      </c>
      <c r="T1664" s="41">
        <v>0</v>
      </c>
      <c r="U1664" s="41">
        <v>0</v>
      </c>
      <c r="V1664" s="42" t="s">
        <v>113</v>
      </c>
      <c r="W1664" s="42">
        <v>0</v>
      </c>
      <c r="X1664" s="42">
        <v>0</v>
      </c>
    </row>
    <row r="1665" spans="1:24">
      <c r="A1665" s="27" t="s">
        <v>3198</v>
      </c>
      <c r="B1665" s="28" t="s">
        <v>215</v>
      </c>
      <c r="C1665" s="27" t="s">
        <v>3199</v>
      </c>
      <c r="D1665" s="27" t="s">
        <v>118</v>
      </c>
      <c r="E1665" s="29">
        <v>41269</v>
      </c>
      <c r="F1665" s="27">
        <v>15</v>
      </c>
      <c r="G1665" s="18">
        <v>26147.67</v>
      </c>
      <c r="H1665" s="27">
        <f t="shared" si="50"/>
        <v>0</v>
      </c>
      <c r="I1665" s="18">
        <v>13538.24</v>
      </c>
      <c r="J1665" s="27">
        <v>26147.67</v>
      </c>
      <c r="K1665" s="18">
        <f t="shared" si="51"/>
        <v>0</v>
      </c>
      <c r="L1665" s="27">
        <v>14794.02</v>
      </c>
      <c r="M1665" s="36">
        <v>1255.78</v>
      </c>
      <c r="T1665" s="41">
        <v>0</v>
      </c>
      <c r="U1665" s="41">
        <v>0</v>
      </c>
      <c r="V1665" s="42" t="s">
        <v>113</v>
      </c>
      <c r="W1665" s="42">
        <v>0</v>
      </c>
      <c r="X1665" s="42">
        <v>0</v>
      </c>
    </row>
    <row r="1666" spans="1:24">
      <c r="A1666" s="27" t="s">
        <v>3200</v>
      </c>
      <c r="B1666" s="28" t="s">
        <v>215</v>
      </c>
      <c r="C1666" s="27" t="s">
        <v>2202</v>
      </c>
      <c r="D1666" s="27" t="s">
        <v>230</v>
      </c>
      <c r="E1666" s="29">
        <v>41269</v>
      </c>
      <c r="F1666" s="27">
        <v>15</v>
      </c>
      <c r="G1666" s="18">
        <v>9108.9699999999993</v>
      </c>
      <c r="H1666" s="27">
        <f t="shared" si="50"/>
        <v>0</v>
      </c>
      <c r="I1666" s="18">
        <v>4716.26</v>
      </c>
      <c r="J1666" s="27">
        <v>9108.9699999999993</v>
      </c>
      <c r="K1666" s="18">
        <f t="shared" si="51"/>
        <v>0</v>
      </c>
      <c r="L1666" s="27">
        <v>5153.7299999999996</v>
      </c>
      <c r="M1666" s="36">
        <v>437.47</v>
      </c>
      <c r="T1666" s="41">
        <v>0</v>
      </c>
      <c r="U1666" s="41">
        <v>0</v>
      </c>
      <c r="V1666" s="42" t="s">
        <v>113</v>
      </c>
      <c r="W1666" s="42">
        <v>0</v>
      </c>
      <c r="X1666" s="42">
        <v>0</v>
      </c>
    </row>
    <row r="1667" spans="1:24">
      <c r="A1667" s="27" t="s">
        <v>3201</v>
      </c>
      <c r="B1667" s="28" t="s">
        <v>215</v>
      </c>
      <c r="C1667" s="27" t="s">
        <v>3202</v>
      </c>
      <c r="D1667" s="27" t="s">
        <v>230</v>
      </c>
      <c r="E1667" s="29">
        <v>41269</v>
      </c>
      <c r="F1667" s="27">
        <v>15</v>
      </c>
      <c r="G1667" s="18">
        <v>9108.9699999999993</v>
      </c>
      <c r="H1667" s="27">
        <f t="shared" si="50"/>
        <v>0</v>
      </c>
      <c r="I1667" s="18">
        <v>4716.26</v>
      </c>
      <c r="J1667" s="27">
        <v>9108.9699999999993</v>
      </c>
      <c r="K1667" s="18">
        <f t="shared" si="51"/>
        <v>0</v>
      </c>
      <c r="L1667" s="27">
        <v>5153.7299999999996</v>
      </c>
      <c r="M1667" s="36">
        <v>437.47</v>
      </c>
      <c r="T1667" s="41">
        <v>0</v>
      </c>
      <c r="U1667" s="41">
        <v>0</v>
      </c>
      <c r="V1667" s="42" t="s">
        <v>113</v>
      </c>
      <c r="W1667" s="42">
        <v>0</v>
      </c>
      <c r="X1667" s="42">
        <v>0</v>
      </c>
    </row>
    <row r="1668" spans="1:24">
      <c r="A1668" s="27" t="s">
        <v>3203</v>
      </c>
      <c r="B1668" s="28" t="s">
        <v>215</v>
      </c>
      <c r="C1668" s="27" t="s">
        <v>3204</v>
      </c>
      <c r="D1668" s="27" t="s">
        <v>230</v>
      </c>
      <c r="E1668" s="29">
        <v>41269</v>
      </c>
      <c r="F1668" s="27">
        <v>15</v>
      </c>
      <c r="G1668" s="18">
        <v>9108.9699999999993</v>
      </c>
      <c r="H1668" s="27">
        <f t="shared" si="50"/>
        <v>0</v>
      </c>
      <c r="I1668" s="18">
        <v>4716.26</v>
      </c>
      <c r="J1668" s="27">
        <v>9108.9699999999993</v>
      </c>
      <c r="K1668" s="18">
        <f t="shared" si="51"/>
        <v>0</v>
      </c>
      <c r="L1668" s="27">
        <v>5153.7299999999996</v>
      </c>
      <c r="M1668" s="36">
        <v>437.47</v>
      </c>
      <c r="T1668" s="41">
        <v>0</v>
      </c>
      <c r="U1668" s="41">
        <v>0</v>
      </c>
      <c r="V1668" s="42" t="s">
        <v>113</v>
      </c>
      <c r="W1668" s="42">
        <v>0</v>
      </c>
      <c r="X1668" s="42">
        <v>0</v>
      </c>
    </row>
    <row r="1669" spans="1:24">
      <c r="A1669" s="27" t="s">
        <v>3205</v>
      </c>
      <c r="B1669" s="28" t="s">
        <v>215</v>
      </c>
      <c r="C1669" s="27" t="s">
        <v>3206</v>
      </c>
      <c r="D1669" s="27" t="s">
        <v>230</v>
      </c>
      <c r="E1669" s="29">
        <v>41269</v>
      </c>
      <c r="F1669" s="27">
        <v>15</v>
      </c>
      <c r="G1669" s="18">
        <v>9108.9699999999993</v>
      </c>
      <c r="H1669" s="27">
        <f t="shared" si="50"/>
        <v>0</v>
      </c>
      <c r="I1669" s="18">
        <v>4716.26</v>
      </c>
      <c r="J1669" s="27">
        <v>9108.9699999999993</v>
      </c>
      <c r="K1669" s="18">
        <f t="shared" si="51"/>
        <v>0</v>
      </c>
      <c r="L1669" s="27">
        <v>5153.7299999999996</v>
      </c>
      <c r="M1669" s="36">
        <v>437.47</v>
      </c>
      <c r="T1669" s="41">
        <v>0</v>
      </c>
      <c r="U1669" s="41">
        <v>0</v>
      </c>
      <c r="V1669" s="42" t="s">
        <v>113</v>
      </c>
      <c r="W1669" s="42">
        <v>0</v>
      </c>
      <c r="X1669" s="42">
        <v>0</v>
      </c>
    </row>
    <row r="1670" spans="1:24">
      <c r="A1670" s="27" t="s">
        <v>3207</v>
      </c>
      <c r="B1670" s="28" t="s">
        <v>215</v>
      </c>
      <c r="C1670" s="27" t="s">
        <v>3208</v>
      </c>
      <c r="D1670" s="27" t="s">
        <v>230</v>
      </c>
      <c r="E1670" s="29">
        <v>41269</v>
      </c>
      <c r="F1670" s="27">
        <v>15</v>
      </c>
      <c r="G1670" s="18">
        <v>9108.9699999999993</v>
      </c>
      <c r="H1670" s="27">
        <f t="shared" ref="H1670:H1733" si="52">IFERROR(IF(ROUND((G1670-I1670)/G1670,2)&lt;=0.05,G1670,0),0)</f>
        <v>0</v>
      </c>
      <c r="I1670" s="18">
        <v>4716.26</v>
      </c>
      <c r="J1670" s="27">
        <v>9108.9699999999993</v>
      </c>
      <c r="K1670" s="18">
        <f t="shared" ref="K1670:K1733" si="53">IFERROR(IF(ROUND((J1670-L1670)/J1670,2)&lt;=0.05,J1670,0),0)</f>
        <v>0</v>
      </c>
      <c r="L1670" s="27">
        <v>5153.7299999999996</v>
      </c>
      <c r="M1670" s="36">
        <v>437.47</v>
      </c>
      <c r="T1670" s="41">
        <v>0</v>
      </c>
      <c r="U1670" s="41">
        <v>0</v>
      </c>
      <c r="V1670" s="42" t="s">
        <v>113</v>
      </c>
      <c r="W1670" s="42">
        <v>0</v>
      </c>
      <c r="X1670" s="42">
        <v>0</v>
      </c>
    </row>
    <row r="1671" spans="1:24">
      <c r="A1671" s="27" t="s">
        <v>3209</v>
      </c>
      <c r="B1671" s="28" t="s">
        <v>215</v>
      </c>
      <c r="C1671" s="27" t="s">
        <v>2204</v>
      </c>
      <c r="D1671" s="27" t="s">
        <v>230</v>
      </c>
      <c r="E1671" s="29">
        <v>41269</v>
      </c>
      <c r="F1671" s="27">
        <v>15</v>
      </c>
      <c r="G1671" s="18">
        <v>9108.9699999999993</v>
      </c>
      <c r="H1671" s="27">
        <f t="shared" si="52"/>
        <v>0</v>
      </c>
      <c r="I1671" s="18">
        <v>4716.26</v>
      </c>
      <c r="J1671" s="27">
        <v>9108.9699999999993</v>
      </c>
      <c r="K1671" s="18">
        <f t="shared" si="53"/>
        <v>0</v>
      </c>
      <c r="L1671" s="27">
        <v>5153.7299999999996</v>
      </c>
      <c r="M1671" s="36">
        <v>437.47</v>
      </c>
      <c r="T1671" s="41">
        <v>0</v>
      </c>
      <c r="U1671" s="41">
        <v>0</v>
      </c>
      <c r="V1671" s="42" t="s">
        <v>113</v>
      </c>
      <c r="W1671" s="42">
        <v>0</v>
      </c>
      <c r="X1671" s="42">
        <v>0</v>
      </c>
    </row>
    <row r="1672" spans="1:24">
      <c r="A1672" s="27" t="s">
        <v>3210</v>
      </c>
      <c r="B1672" s="28" t="s">
        <v>215</v>
      </c>
      <c r="C1672" s="27" t="s">
        <v>3211</v>
      </c>
      <c r="D1672" s="27" t="s">
        <v>230</v>
      </c>
      <c r="E1672" s="29">
        <v>41269</v>
      </c>
      <c r="F1672" s="27">
        <v>15</v>
      </c>
      <c r="G1672" s="18">
        <v>9108.9699999999993</v>
      </c>
      <c r="H1672" s="27">
        <f t="shared" si="52"/>
        <v>0</v>
      </c>
      <c r="I1672" s="18">
        <v>4716.26</v>
      </c>
      <c r="J1672" s="27">
        <v>9108.9699999999993</v>
      </c>
      <c r="K1672" s="18">
        <f t="shared" si="53"/>
        <v>0</v>
      </c>
      <c r="L1672" s="27">
        <v>5153.7299999999996</v>
      </c>
      <c r="M1672" s="36">
        <v>437.47</v>
      </c>
      <c r="T1672" s="41">
        <v>0</v>
      </c>
      <c r="U1672" s="41">
        <v>0</v>
      </c>
      <c r="V1672" s="42" t="s">
        <v>113</v>
      </c>
      <c r="W1672" s="42">
        <v>0</v>
      </c>
      <c r="X1672" s="42">
        <v>0</v>
      </c>
    </row>
    <row r="1673" spans="1:24">
      <c r="A1673" s="27" t="s">
        <v>3212</v>
      </c>
      <c r="B1673" s="28" t="s">
        <v>215</v>
      </c>
      <c r="C1673" s="27" t="s">
        <v>2202</v>
      </c>
      <c r="D1673" s="27" t="s">
        <v>230</v>
      </c>
      <c r="E1673" s="29">
        <v>40268</v>
      </c>
      <c r="F1673" s="27">
        <v>15</v>
      </c>
      <c r="G1673" s="18">
        <v>14340.25</v>
      </c>
      <c r="H1673" s="27">
        <f t="shared" si="52"/>
        <v>0</v>
      </c>
      <c r="I1673" s="18">
        <v>10443.870000000001</v>
      </c>
      <c r="J1673" s="27">
        <v>14340.25</v>
      </c>
      <c r="K1673" s="18">
        <f t="shared" si="53"/>
        <v>0</v>
      </c>
      <c r="L1673" s="27">
        <v>10952.57</v>
      </c>
      <c r="M1673" s="36">
        <v>508.7</v>
      </c>
      <c r="T1673" s="41">
        <v>0</v>
      </c>
      <c r="U1673" s="41">
        <v>0</v>
      </c>
      <c r="V1673" s="42" t="s">
        <v>113</v>
      </c>
      <c r="W1673" s="42">
        <v>0</v>
      </c>
      <c r="X1673" s="42">
        <v>0</v>
      </c>
    </row>
    <row r="1674" spans="1:24">
      <c r="A1674" s="27" t="s">
        <v>3213</v>
      </c>
      <c r="B1674" s="28" t="s">
        <v>215</v>
      </c>
      <c r="C1674" s="27" t="s">
        <v>2206</v>
      </c>
      <c r="D1674" s="27" t="s">
        <v>230</v>
      </c>
      <c r="E1674" s="29">
        <v>40268</v>
      </c>
      <c r="F1674" s="27">
        <v>15</v>
      </c>
      <c r="G1674" s="18">
        <v>14320.25</v>
      </c>
      <c r="H1674" s="27">
        <f t="shared" si="52"/>
        <v>0</v>
      </c>
      <c r="I1674" s="18">
        <v>10429.31</v>
      </c>
      <c r="J1674" s="27">
        <v>14320.25</v>
      </c>
      <c r="K1674" s="18">
        <f t="shared" si="53"/>
        <v>0</v>
      </c>
      <c r="L1674" s="27">
        <v>10937.3</v>
      </c>
      <c r="M1674" s="36">
        <v>507.99</v>
      </c>
      <c r="T1674" s="41">
        <v>0</v>
      </c>
      <c r="U1674" s="41">
        <v>0</v>
      </c>
      <c r="V1674" s="42" t="s">
        <v>113</v>
      </c>
      <c r="W1674" s="42">
        <v>0</v>
      </c>
      <c r="X1674" s="42">
        <v>0</v>
      </c>
    </row>
    <row r="1675" spans="1:24">
      <c r="A1675" s="27" t="s">
        <v>3214</v>
      </c>
      <c r="B1675" s="28" t="s">
        <v>215</v>
      </c>
      <c r="C1675" s="27" t="s">
        <v>854</v>
      </c>
      <c r="D1675" s="27" t="s">
        <v>112</v>
      </c>
      <c r="E1675" s="29">
        <v>40170</v>
      </c>
      <c r="F1675" s="27">
        <v>15</v>
      </c>
      <c r="G1675" s="18">
        <v>13319</v>
      </c>
      <c r="H1675" s="27">
        <f t="shared" si="52"/>
        <v>13319</v>
      </c>
      <c r="I1675" s="18">
        <v>12653.05</v>
      </c>
      <c r="J1675" s="27">
        <v>13319</v>
      </c>
      <c r="K1675" s="18">
        <f t="shared" si="53"/>
        <v>13319</v>
      </c>
      <c r="L1675" s="27">
        <v>12653.05</v>
      </c>
      <c r="M1675" s="36">
        <v>0</v>
      </c>
      <c r="T1675" s="41">
        <v>0</v>
      </c>
      <c r="U1675" s="41">
        <v>0</v>
      </c>
      <c r="V1675" s="42" t="s">
        <v>113</v>
      </c>
      <c r="W1675" s="42">
        <v>13319</v>
      </c>
      <c r="X1675" s="42">
        <v>13319</v>
      </c>
    </row>
    <row r="1676" spans="1:24">
      <c r="A1676" s="27" t="s">
        <v>3215</v>
      </c>
      <c r="B1676" s="28" t="s">
        <v>215</v>
      </c>
      <c r="C1676" s="27" t="s">
        <v>3216</v>
      </c>
      <c r="D1676" s="27" t="s">
        <v>118</v>
      </c>
      <c r="E1676" s="29">
        <v>40079</v>
      </c>
      <c r="F1676" s="27">
        <v>15</v>
      </c>
      <c r="G1676" s="18">
        <v>8000</v>
      </c>
      <c r="H1676" s="27">
        <f t="shared" si="52"/>
        <v>8000</v>
      </c>
      <c r="I1676" s="18">
        <v>7600</v>
      </c>
      <c r="J1676" s="27">
        <v>8000</v>
      </c>
      <c r="K1676" s="18">
        <f t="shared" si="53"/>
        <v>8000</v>
      </c>
      <c r="L1676" s="27">
        <v>7600</v>
      </c>
      <c r="M1676" s="36">
        <v>0</v>
      </c>
      <c r="T1676" s="41">
        <v>0</v>
      </c>
      <c r="U1676" s="41">
        <v>0</v>
      </c>
      <c r="V1676" s="42" t="s">
        <v>113</v>
      </c>
      <c r="W1676" s="42">
        <v>8000</v>
      </c>
      <c r="X1676" s="42">
        <v>8000</v>
      </c>
    </row>
    <row r="1677" spans="1:24">
      <c r="A1677" s="27" t="s">
        <v>3217</v>
      </c>
      <c r="B1677" s="28" t="s">
        <v>215</v>
      </c>
      <c r="C1677" s="27" t="s">
        <v>882</v>
      </c>
      <c r="D1677" s="27" t="s">
        <v>230</v>
      </c>
      <c r="E1677" s="29">
        <v>39417</v>
      </c>
      <c r="F1677" s="27">
        <v>12</v>
      </c>
      <c r="G1677" s="18">
        <v>4492.22</v>
      </c>
      <c r="H1677" s="27">
        <f t="shared" si="52"/>
        <v>4492.22</v>
      </c>
      <c r="I1677" s="18">
        <v>4492.22</v>
      </c>
      <c r="J1677" s="27">
        <v>4492.22</v>
      </c>
      <c r="K1677" s="18">
        <f t="shared" si="53"/>
        <v>4492.22</v>
      </c>
      <c r="L1677" s="27">
        <v>4492.22</v>
      </c>
      <c r="M1677" s="36">
        <v>0</v>
      </c>
      <c r="T1677" s="41">
        <v>0</v>
      </c>
      <c r="U1677" s="41">
        <v>0</v>
      </c>
      <c r="V1677" s="42" t="s">
        <v>113</v>
      </c>
      <c r="W1677" s="42">
        <v>4492.22</v>
      </c>
      <c r="X1677" s="42">
        <v>4492.22</v>
      </c>
    </row>
    <row r="1678" spans="1:24">
      <c r="A1678" s="27" t="s">
        <v>3218</v>
      </c>
      <c r="B1678" s="28" t="s">
        <v>215</v>
      </c>
      <c r="C1678" s="27" t="s">
        <v>3219</v>
      </c>
      <c r="D1678" s="27" t="s">
        <v>230</v>
      </c>
      <c r="E1678" s="29">
        <v>40268</v>
      </c>
      <c r="F1678" s="27">
        <v>12</v>
      </c>
      <c r="G1678" s="18">
        <v>3000</v>
      </c>
      <c r="H1678" s="27">
        <f t="shared" si="52"/>
        <v>3000</v>
      </c>
      <c r="I1678" s="18">
        <v>3000</v>
      </c>
      <c r="J1678" s="27">
        <v>3000</v>
      </c>
      <c r="K1678" s="18">
        <f t="shared" si="53"/>
        <v>3000</v>
      </c>
      <c r="L1678" s="27">
        <v>3000</v>
      </c>
      <c r="M1678" s="36">
        <v>0</v>
      </c>
      <c r="T1678" s="41">
        <v>0</v>
      </c>
      <c r="U1678" s="41">
        <v>0</v>
      </c>
      <c r="V1678" s="42" t="s">
        <v>113</v>
      </c>
      <c r="W1678" s="42">
        <v>3000</v>
      </c>
      <c r="X1678" s="42">
        <v>3000</v>
      </c>
    </row>
    <row r="1679" spans="1:24">
      <c r="A1679" s="27" t="s">
        <v>3220</v>
      </c>
      <c r="B1679" s="28" t="s">
        <v>215</v>
      </c>
      <c r="C1679" s="27" t="s">
        <v>3221</v>
      </c>
      <c r="D1679" s="27" t="s">
        <v>230</v>
      </c>
      <c r="E1679" s="29">
        <v>41272</v>
      </c>
      <c r="F1679" s="27">
        <v>15</v>
      </c>
      <c r="G1679" s="18">
        <v>8252.7199999999993</v>
      </c>
      <c r="H1679" s="27">
        <f t="shared" si="52"/>
        <v>8252.7199999999993</v>
      </c>
      <c r="I1679" s="18">
        <v>8252.7199999999993</v>
      </c>
      <c r="J1679" s="27">
        <v>8252.7199999999993</v>
      </c>
      <c r="K1679" s="18">
        <f t="shared" si="53"/>
        <v>8252.7199999999993</v>
      </c>
      <c r="L1679" s="27">
        <v>7840.08</v>
      </c>
      <c r="M1679" s="36">
        <v>-412.64</v>
      </c>
      <c r="T1679" s="41">
        <v>0</v>
      </c>
      <c r="U1679" s="41">
        <v>0</v>
      </c>
      <c r="V1679" s="42" t="s">
        <v>113</v>
      </c>
      <c r="W1679" s="42">
        <v>8252.7199999999993</v>
      </c>
      <c r="X1679" s="42">
        <v>8252.7199999999993</v>
      </c>
    </row>
    <row r="1680" spans="1:24">
      <c r="A1680" s="27" t="s">
        <v>3222</v>
      </c>
      <c r="B1680" s="28" t="s">
        <v>215</v>
      </c>
      <c r="C1680" s="27" t="s">
        <v>1011</v>
      </c>
      <c r="D1680" s="27" t="s">
        <v>230</v>
      </c>
      <c r="E1680" s="29">
        <v>41269</v>
      </c>
      <c r="F1680" s="27">
        <v>15</v>
      </c>
      <c r="G1680" s="18">
        <v>231998</v>
      </c>
      <c r="H1680" s="27">
        <f t="shared" si="52"/>
        <v>0</v>
      </c>
      <c r="I1680" s="18">
        <v>120119.46</v>
      </c>
      <c r="J1680" s="27">
        <v>231998</v>
      </c>
      <c r="K1680" s="18">
        <f t="shared" si="53"/>
        <v>0</v>
      </c>
      <c r="L1680" s="27">
        <v>131261.53</v>
      </c>
      <c r="M1680" s="36">
        <v>11142.07</v>
      </c>
      <c r="T1680" s="41">
        <v>0</v>
      </c>
      <c r="U1680" s="41">
        <v>0</v>
      </c>
      <c r="V1680" s="42" t="s">
        <v>113</v>
      </c>
      <c r="W1680" s="42">
        <v>0</v>
      </c>
      <c r="X1680" s="42">
        <v>0</v>
      </c>
    </row>
    <row r="1681" spans="1:24">
      <c r="A1681" s="27" t="s">
        <v>3223</v>
      </c>
      <c r="B1681" s="28" t="s">
        <v>215</v>
      </c>
      <c r="C1681" s="27" t="s">
        <v>2562</v>
      </c>
      <c r="D1681" s="27" t="s">
        <v>230</v>
      </c>
      <c r="E1681" s="29">
        <v>41269</v>
      </c>
      <c r="F1681" s="27">
        <v>15</v>
      </c>
      <c r="G1681" s="18">
        <v>99991.29</v>
      </c>
      <c r="H1681" s="27">
        <f t="shared" si="52"/>
        <v>0</v>
      </c>
      <c r="I1681" s="18">
        <v>51771.56</v>
      </c>
      <c r="J1681" s="27">
        <v>99991.29</v>
      </c>
      <c r="K1681" s="18">
        <f t="shared" si="53"/>
        <v>0</v>
      </c>
      <c r="L1681" s="27">
        <v>56573.8</v>
      </c>
      <c r="M1681" s="36">
        <v>4802.24</v>
      </c>
      <c r="T1681" s="41">
        <v>0</v>
      </c>
      <c r="U1681" s="41">
        <v>0</v>
      </c>
      <c r="V1681" s="42" t="s">
        <v>113</v>
      </c>
      <c r="W1681" s="42">
        <v>0</v>
      </c>
      <c r="X1681" s="42">
        <v>0</v>
      </c>
    </row>
    <row r="1682" spans="1:24">
      <c r="A1682" s="27" t="s">
        <v>3224</v>
      </c>
      <c r="B1682" s="28" t="s">
        <v>215</v>
      </c>
      <c r="C1682" s="27" t="s">
        <v>3225</v>
      </c>
      <c r="D1682" s="27" t="s">
        <v>230</v>
      </c>
      <c r="E1682" s="29">
        <v>41269</v>
      </c>
      <c r="F1682" s="27">
        <v>15</v>
      </c>
      <c r="G1682" s="18">
        <v>99991.28</v>
      </c>
      <c r="H1682" s="27">
        <f t="shared" si="52"/>
        <v>0</v>
      </c>
      <c r="I1682" s="18">
        <v>51771.56</v>
      </c>
      <c r="J1682" s="27">
        <v>99991.28</v>
      </c>
      <c r="K1682" s="18">
        <f t="shared" si="53"/>
        <v>0</v>
      </c>
      <c r="L1682" s="27">
        <v>56573.8</v>
      </c>
      <c r="M1682" s="36">
        <v>4802.24</v>
      </c>
      <c r="T1682" s="41">
        <v>0</v>
      </c>
      <c r="U1682" s="41">
        <v>0</v>
      </c>
      <c r="V1682" s="42" t="s">
        <v>113</v>
      </c>
      <c r="W1682" s="42">
        <v>0</v>
      </c>
      <c r="X1682" s="42">
        <v>0</v>
      </c>
    </row>
    <row r="1683" spans="1:24">
      <c r="A1683" s="27" t="s">
        <v>3226</v>
      </c>
      <c r="B1683" s="28" t="s">
        <v>215</v>
      </c>
      <c r="C1683" s="27" t="s">
        <v>955</v>
      </c>
      <c r="D1683" s="27" t="s">
        <v>230</v>
      </c>
      <c r="E1683" s="29">
        <v>41269</v>
      </c>
      <c r="F1683" s="27">
        <v>15</v>
      </c>
      <c r="G1683" s="18">
        <v>231998</v>
      </c>
      <c r="H1683" s="27">
        <f t="shared" si="52"/>
        <v>0</v>
      </c>
      <c r="I1683" s="18">
        <v>120119.46</v>
      </c>
      <c r="J1683" s="27">
        <v>231998</v>
      </c>
      <c r="K1683" s="18">
        <f t="shared" si="53"/>
        <v>0</v>
      </c>
      <c r="L1683" s="27">
        <v>131261.53</v>
      </c>
      <c r="M1683" s="36">
        <v>11142.07</v>
      </c>
      <c r="T1683" s="41">
        <v>0</v>
      </c>
      <c r="U1683" s="41">
        <v>0</v>
      </c>
      <c r="V1683" s="42" t="s">
        <v>113</v>
      </c>
      <c r="W1683" s="42">
        <v>0</v>
      </c>
      <c r="X1683" s="42">
        <v>0</v>
      </c>
    </row>
    <row r="1684" spans="1:24">
      <c r="A1684" s="27" t="s">
        <v>3227</v>
      </c>
      <c r="B1684" s="28" t="s">
        <v>215</v>
      </c>
      <c r="C1684" s="27" t="s">
        <v>3228</v>
      </c>
      <c r="D1684" s="27" t="s">
        <v>230</v>
      </c>
      <c r="E1684" s="29">
        <v>41269</v>
      </c>
      <c r="F1684" s="27">
        <v>15</v>
      </c>
      <c r="G1684" s="18">
        <v>607.26</v>
      </c>
      <c r="H1684" s="27">
        <f t="shared" si="52"/>
        <v>0</v>
      </c>
      <c r="I1684" s="18">
        <v>314.42</v>
      </c>
      <c r="J1684" s="27">
        <v>607.26</v>
      </c>
      <c r="K1684" s="18">
        <f t="shared" si="53"/>
        <v>0</v>
      </c>
      <c r="L1684" s="27">
        <v>343.58</v>
      </c>
      <c r="M1684" s="36">
        <v>29.16</v>
      </c>
      <c r="T1684" s="41">
        <v>0</v>
      </c>
      <c r="U1684" s="41">
        <v>0</v>
      </c>
      <c r="V1684" s="42" t="s">
        <v>113</v>
      </c>
      <c r="W1684" s="42">
        <v>0</v>
      </c>
      <c r="X1684" s="42">
        <v>0</v>
      </c>
    </row>
    <row r="1685" spans="1:24">
      <c r="A1685" s="27" t="s">
        <v>3229</v>
      </c>
      <c r="B1685" s="28" t="s">
        <v>215</v>
      </c>
      <c r="C1685" s="27" t="s">
        <v>3230</v>
      </c>
      <c r="D1685" s="27" t="s">
        <v>230</v>
      </c>
      <c r="E1685" s="29">
        <v>41269</v>
      </c>
      <c r="F1685" s="27">
        <v>15</v>
      </c>
      <c r="G1685" s="18">
        <v>607.26</v>
      </c>
      <c r="H1685" s="27">
        <f t="shared" si="52"/>
        <v>0</v>
      </c>
      <c r="I1685" s="18">
        <v>314.42</v>
      </c>
      <c r="J1685" s="27">
        <v>607.26</v>
      </c>
      <c r="K1685" s="18">
        <f t="shared" si="53"/>
        <v>0</v>
      </c>
      <c r="L1685" s="27">
        <v>343.58</v>
      </c>
      <c r="M1685" s="36">
        <v>29.16</v>
      </c>
      <c r="T1685" s="41">
        <v>0</v>
      </c>
      <c r="U1685" s="41">
        <v>0</v>
      </c>
      <c r="V1685" s="42" t="s">
        <v>113</v>
      </c>
      <c r="W1685" s="42">
        <v>0</v>
      </c>
      <c r="X1685" s="42">
        <v>0</v>
      </c>
    </row>
    <row r="1686" spans="1:24">
      <c r="A1686" s="27" t="s">
        <v>3231</v>
      </c>
      <c r="B1686" s="28" t="s">
        <v>215</v>
      </c>
      <c r="C1686" s="27" t="s">
        <v>3232</v>
      </c>
      <c r="D1686" s="27" t="s">
        <v>230</v>
      </c>
      <c r="E1686" s="29">
        <v>41269</v>
      </c>
      <c r="F1686" s="27">
        <v>15</v>
      </c>
      <c r="G1686" s="18">
        <v>607.26</v>
      </c>
      <c r="H1686" s="27">
        <f t="shared" si="52"/>
        <v>0</v>
      </c>
      <c r="I1686" s="18">
        <v>314.42</v>
      </c>
      <c r="J1686" s="27">
        <v>607.26</v>
      </c>
      <c r="K1686" s="18">
        <f t="shared" si="53"/>
        <v>0</v>
      </c>
      <c r="L1686" s="27">
        <v>343.58</v>
      </c>
      <c r="M1686" s="36">
        <v>29.16</v>
      </c>
      <c r="T1686" s="41">
        <v>0</v>
      </c>
      <c r="U1686" s="41">
        <v>0</v>
      </c>
      <c r="V1686" s="42" t="s">
        <v>113</v>
      </c>
      <c r="W1686" s="42">
        <v>0</v>
      </c>
      <c r="X1686" s="42">
        <v>0</v>
      </c>
    </row>
    <row r="1687" spans="1:24">
      <c r="A1687" s="27" t="s">
        <v>3233</v>
      </c>
      <c r="B1687" s="28" t="s">
        <v>215</v>
      </c>
      <c r="C1687" s="27" t="s">
        <v>3234</v>
      </c>
      <c r="D1687" s="27" t="s">
        <v>230</v>
      </c>
      <c r="E1687" s="29">
        <v>41269</v>
      </c>
      <c r="F1687" s="27">
        <v>15</v>
      </c>
      <c r="G1687" s="18">
        <v>126918.36</v>
      </c>
      <c r="H1687" s="27">
        <f t="shared" si="52"/>
        <v>0</v>
      </c>
      <c r="I1687" s="18">
        <v>65713.350000000006</v>
      </c>
      <c r="J1687" s="27">
        <v>126918.36</v>
      </c>
      <c r="K1687" s="18">
        <f t="shared" si="53"/>
        <v>0</v>
      </c>
      <c r="L1687" s="27">
        <v>71808.800000000003</v>
      </c>
      <c r="M1687" s="36">
        <v>6095.45</v>
      </c>
      <c r="T1687" s="41">
        <v>0</v>
      </c>
      <c r="U1687" s="41">
        <v>0</v>
      </c>
      <c r="V1687" s="42" t="s">
        <v>113</v>
      </c>
      <c r="W1687" s="42">
        <v>0</v>
      </c>
      <c r="X1687" s="42">
        <v>0</v>
      </c>
    </row>
    <row r="1688" spans="1:24">
      <c r="A1688" s="27" t="s">
        <v>3235</v>
      </c>
      <c r="B1688" s="28" t="s">
        <v>215</v>
      </c>
      <c r="C1688" s="27" t="s">
        <v>3236</v>
      </c>
      <c r="D1688" s="27" t="s">
        <v>230</v>
      </c>
      <c r="E1688" s="29">
        <v>41269</v>
      </c>
      <c r="F1688" s="27">
        <v>15</v>
      </c>
      <c r="G1688" s="18">
        <v>607.26</v>
      </c>
      <c r="H1688" s="27">
        <f t="shared" si="52"/>
        <v>0</v>
      </c>
      <c r="I1688" s="18">
        <v>314.42</v>
      </c>
      <c r="J1688" s="27">
        <v>607.26</v>
      </c>
      <c r="K1688" s="18">
        <f t="shared" si="53"/>
        <v>0</v>
      </c>
      <c r="L1688" s="27">
        <v>343.58</v>
      </c>
      <c r="M1688" s="36">
        <v>29.16</v>
      </c>
      <c r="T1688" s="41">
        <v>0</v>
      </c>
      <c r="U1688" s="41">
        <v>0</v>
      </c>
      <c r="V1688" s="42" t="s">
        <v>113</v>
      </c>
      <c r="W1688" s="42">
        <v>0</v>
      </c>
      <c r="X1688" s="42">
        <v>0</v>
      </c>
    </row>
    <row r="1689" spans="1:24">
      <c r="A1689" s="27" t="s">
        <v>3237</v>
      </c>
      <c r="B1689" s="28" t="s">
        <v>215</v>
      </c>
      <c r="C1689" s="27" t="s">
        <v>3238</v>
      </c>
      <c r="D1689" s="27" t="s">
        <v>230</v>
      </c>
      <c r="E1689" s="29">
        <v>41269</v>
      </c>
      <c r="F1689" s="27">
        <v>15</v>
      </c>
      <c r="G1689" s="18">
        <v>607.26</v>
      </c>
      <c r="H1689" s="27">
        <f t="shared" si="52"/>
        <v>0</v>
      </c>
      <c r="I1689" s="18">
        <v>314.42</v>
      </c>
      <c r="J1689" s="27">
        <v>607.26</v>
      </c>
      <c r="K1689" s="18">
        <f t="shared" si="53"/>
        <v>0</v>
      </c>
      <c r="L1689" s="27">
        <v>343.58</v>
      </c>
      <c r="M1689" s="36">
        <v>29.16</v>
      </c>
      <c r="T1689" s="41">
        <v>0</v>
      </c>
      <c r="U1689" s="41">
        <v>0</v>
      </c>
      <c r="V1689" s="42" t="s">
        <v>113</v>
      </c>
      <c r="W1689" s="42">
        <v>0</v>
      </c>
      <c r="X1689" s="42">
        <v>0</v>
      </c>
    </row>
    <row r="1690" spans="1:24">
      <c r="A1690" s="27" t="s">
        <v>3239</v>
      </c>
      <c r="B1690" s="28" t="s">
        <v>215</v>
      </c>
      <c r="C1690" s="27" t="s">
        <v>3240</v>
      </c>
      <c r="D1690" s="27" t="s">
        <v>230</v>
      </c>
      <c r="E1690" s="29">
        <v>41269</v>
      </c>
      <c r="F1690" s="27">
        <v>15</v>
      </c>
      <c r="G1690" s="18">
        <v>607.26</v>
      </c>
      <c r="H1690" s="27">
        <f t="shared" si="52"/>
        <v>0</v>
      </c>
      <c r="I1690" s="18">
        <v>314.42</v>
      </c>
      <c r="J1690" s="27">
        <v>607.26</v>
      </c>
      <c r="K1690" s="18">
        <f t="shared" si="53"/>
        <v>0</v>
      </c>
      <c r="L1690" s="27">
        <v>343.58</v>
      </c>
      <c r="M1690" s="36">
        <v>29.16</v>
      </c>
      <c r="T1690" s="41">
        <v>0</v>
      </c>
      <c r="U1690" s="41">
        <v>0</v>
      </c>
      <c r="V1690" s="42" t="s">
        <v>113</v>
      </c>
      <c r="W1690" s="42">
        <v>0</v>
      </c>
      <c r="X1690" s="42">
        <v>0</v>
      </c>
    </row>
    <row r="1691" spans="1:24">
      <c r="A1691" s="27" t="s">
        <v>3241</v>
      </c>
      <c r="B1691" s="28" t="s">
        <v>215</v>
      </c>
      <c r="C1691" s="27" t="s">
        <v>3242</v>
      </c>
      <c r="D1691" s="27" t="s">
        <v>230</v>
      </c>
      <c r="E1691" s="29">
        <v>41269</v>
      </c>
      <c r="F1691" s="27">
        <v>15</v>
      </c>
      <c r="G1691" s="18">
        <v>126919.36</v>
      </c>
      <c r="H1691" s="27">
        <f t="shared" si="52"/>
        <v>0</v>
      </c>
      <c r="I1691" s="18">
        <v>65713.86</v>
      </c>
      <c r="J1691" s="27">
        <v>126919.36</v>
      </c>
      <c r="K1691" s="18">
        <f t="shared" si="53"/>
        <v>0</v>
      </c>
      <c r="L1691" s="27">
        <v>71809.36</v>
      </c>
      <c r="M1691" s="36">
        <v>6095.5</v>
      </c>
      <c r="T1691" s="41">
        <v>0</v>
      </c>
      <c r="U1691" s="41">
        <v>0</v>
      </c>
      <c r="V1691" s="42" t="s">
        <v>113</v>
      </c>
      <c r="W1691" s="42">
        <v>0</v>
      </c>
      <c r="X1691" s="42">
        <v>0</v>
      </c>
    </row>
    <row r="1692" spans="1:24">
      <c r="A1692" s="27" t="s">
        <v>3243</v>
      </c>
      <c r="B1692" s="28" t="s">
        <v>215</v>
      </c>
      <c r="C1692" s="27" t="s">
        <v>3244</v>
      </c>
      <c r="D1692" s="27" t="s">
        <v>230</v>
      </c>
      <c r="E1692" s="29">
        <v>41269</v>
      </c>
      <c r="F1692" s="27">
        <v>15</v>
      </c>
      <c r="G1692" s="18">
        <v>87397.54</v>
      </c>
      <c r="H1692" s="27">
        <f t="shared" si="52"/>
        <v>0</v>
      </c>
      <c r="I1692" s="18">
        <v>45251.02</v>
      </c>
      <c r="J1692" s="27">
        <v>87397.54</v>
      </c>
      <c r="K1692" s="18">
        <f t="shared" si="53"/>
        <v>0</v>
      </c>
      <c r="L1692" s="27">
        <v>49448.42</v>
      </c>
      <c r="M1692" s="36">
        <v>4197.3999999999996</v>
      </c>
      <c r="T1692" s="41">
        <v>0</v>
      </c>
      <c r="U1692" s="41">
        <v>0</v>
      </c>
      <c r="V1692" s="42" t="s">
        <v>113</v>
      </c>
      <c r="W1692" s="42">
        <v>0</v>
      </c>
      <c r="X1692" s="42">
        <v>0</v>
      </c>
    </row>
    <row r="1693" spans="1:24">
      <c r="A1693" s="27" t="s">
        <v>3245</v>
      </c>
      <c r="B1693" s="28" t="s">
        <v>215</v>
      </c>
      <c r="C1693" s="27" t="s">
        <v>3246</v>
      </c>
      <c r="D1693" s="27" t="s">
        <v>220</v>
      </c>
      <c r="E1693" s="29">
        <v>41269</v>
      </c>
      <c r="F1693" s="27">
        <v>15</v>
      </c>
      <c r="G1693" s="18">
        <v>8688.93</v>
      </c>
      <c r="H1693" s="27">
        <f t="shared" si="52"/>
        <v>0</v>
      </c>
      <c r="I1693" s="18">
        <v>4498.78</v>
      </c>
      <c r="J1693" s="27">
        <v>8688.93</v>
      </c>
      <c r="K1693" s="18">
        <f t="shared" si="53"/>
        <v>0</v>
      </c>
      <c r="L1693" s="27">
        <v>4916.08</v>
      </c>
      <c r="M1693" s="36">
        <v>417.3</v>
      </c>
      <c r="T1693" s="41">
        <v>0</v>
      </c>
      <c r="U1693" s="41">
        <v>0</v>
      </c>
      <c r="V1693" s="42" t="s">
        <v>113</v>
      </c>
      <c r="W1693" s="42">
        <v>0</v>
      </c>
      <c r="X1693" s="42">
        <v>0</v>
      </c>
    </row>
    <row r="1694" spans="1:24">
      <c r="A1694" s="27" t="s">
        <v>3247</v>
      </c>
      <c r="B1694" s="28" t="s">
        <v>215</v>
      </c>
      <c r="C1694" s="27" t="s">
        <v>3248</v>
      </c>
      <c r="D1694" s="27" t="s">
        <v>220</v>
      </c>
      <c r="E1694" s="29">
        <v>41269</v>
      </c>
      <c r="F1694" s="27">
        <v>15</v>
      </c>
      <c r="G1694" s="18">
        <v>8688.93</v>
      </c>
      <c r="H1694" s="27">
        <f t="shared" si="52"/>
        <v>0</v>
      </c>
      <c r="I1694" s="18">
        <v>4498.78</v>
      </c>
      <c r="J1694" s="27">
        <v>8688.93</v>
      </c>
      <c r="K1694" s="18">
        <f t="shared" si="53"/>
        <v>0</v>
      </c>
      <c r="L1694" s="27">
        <v>4916.08</v>
      </c>
      <c r="M1694" s="36">
        <v>417.3</v>
      </c>
      <c r="T1694" s="41">
        <v>0</v>
      </c>
      <c r="U1694" s="41">
        <v>0</v>
      </c>
      <c r="V1694" s="42" t="s">
        <v>113</v>
      </c>
      <c r="W1694" s="42">
        <v>0</v>
      </c>
      <c r="X1694" s="42">
        <v>0</v>
      </c>
    </row>
    <row r="1695" spans="1:24">
      <c r="A1695" s="27" t="s">
        <v>3249</v>
      </c>
      <c r="B1695" s="28" t="s">
        <v>215</v>
      </c>
      <c r="C1695" s="27" t="s">
        <v>3250</v>
      </c>
      <c r="D1695" s="27" t="s">
        <v>220</v>
      </c>
      <c r="E1695" s="29">
        <v>41269</v>
      </c>
      <c r="F1695" s="27">
        <v>15</v>
      </c>
      <c r="G1695" s="18">
        <v>8688.93</v>
      </c>
      <c r="H1695" s="27">
        <f t="shared" si="52"/>
        <v>0</v>
      </c>
      <c r="I1695" s="18">
        <v>4498.78</v>
      </c>
      <c r="J1695" s="27">
        <v>8688.93</v>
      </c>
      <c r="K1695" s="18">
        <f t="shared" si="53"/>
        <v>0</v>
      </c>
      <c r="L1695" s="27">
        <v>4916.08</v>
      </c>
      <c r="M1695" s="36">
        <v>417.3</v>
      </c>
      <c r="T1695" s="41">
        <v>0</v>
      </c>
      <c r="U1695" s="41">
        <v>0</v>
      </c>
      <c r="V1695" s="42" t="s">
        <v>113</v>
      </c>
      <c r="W1695" s="42">
        <v>0</v>
      </c>
      <c r="X1695" s="42">
        <v>0</v>
      </c>
    </row>
    <row r="1696" spans="1:24">
      <c r="A1696" s="27" t="s">
        <v>3251</v>
      </c>
      <c r="B1696" s="28" t="s">
        <v>215</v>
      </c>
      <c r="C1696" s="27" t="s">
        <v>3252</v>
      </c>
      <c r="D1696" s="27" t="s">
        <v>220</v>
      </c>
      <c r="E1696" s="29">
        <v>41269</v>
      </c>
      <c r="F1696" s="27">
        <v>15</v>
      </c>
      <c r="G1696" s="18">
        <v>4559.22</v>
      </c>
      <c r="H1696" s="27">
        <f t="shared" si="52"/>
        <v>0</v>
      </c>
      <c r="I1696" s="18">
        <v>2360.59</v>
      </c>
      <c r="J1696" s="27">
        <v>4559.22</v>
      </c>
      <c r="K1696" s="18">
        <f t="shared" si="53"/>
        <v>0</v>
      </c>
      <c r="L1696" s="27">
        <v>2579.5500000000002</v>
      </c>
      <c r="M1696" s="36">
        <v>218.96</v>
      </c>
      <c r="T1696" s="41">
        <v>0</v>
      </c>
      <c r="U1696" s="41">
        <v>0</v>
      </c>
      <c r="V1696" s="42" t="s">
        <v>113</v>
      </c>
      <c r="W1696" s="42">
        <v>0</v>
      </c>
      <c r="X1696" s="42">
        <v>0</v>
      </c>
    </row>
    <row r="1697" spans="1:24">
      <c r="A1697" s="27" t="s">
        <v>3253</v>
      </c>
      <c r="B1697" s="28" t="s">
        <v>215</v>
      </c>
      <c r="C1697" s="27" t="s">
        <v>3254</v>
      </c>
      <c r="D1697" s="27" t="s">
        <v>118</v>
      </c>
      <c r="E1697" s="29">
        <v>41269</v>
      </c>
      <c r="F1697" s="27">
        <v>15</v>
      </c>
      <c r="G1697" s="18">
        <v>3633.97</v>
      </c>
      <c r="H1697" s="27">
        <f t="shared" si="52"/>
        <v>0</v>
      </c>
      <c r="I1697" s="18">
        <v>1881.53</v>
      </c>
      <c r="J1697" s="27">
        <v>3633.97</v>
      </c>
      <c r="K1697" s="18">
        <f t="shared" si="53"/>
        <v>0</v>
      </c>
      <c r="L1697" s="27">
        <v>2056.06</v>
      </c>
      <c r="M1697" s="36">
        <v>174.53</v>
      </c>
      <c r="T1697" s="41">
        <v>0</v>
      </c>
      <c r="U1697" s="41">
        <v>0</v>
      </c>
      <c r="V1697" s="42" t="s">
        <v>113</v>
      </c>
      <c r="W1697" s="42">
        <v>0</v>
      </c>
      <c r="X1697" s="42">
        <v>0</v>
      </c>
    </row>
    <row r="1698" spans="1:24">
      <c r="A1698" s="27" t="s">
        <v>3255</v>
      </c>
      <c r="B1698" s="28" t="s">
        <v>215</v>
      </c>
      <c r="C1698" s="27" t="s">
        <v>3256</v>
      </c>
      <c r="D1698" s="27" t="s">
        <v>230</v>
      </c>
      <c r="E1698" s="29">
        <v>41269</v>
      </c>
      <c r="F1698" s="27">
        <v>15</v>
      </c>
      <c r="G1698" s="18">
        <v>531.72</v>
      </c>
      <c r="H1698" s="27">
        <f t="shared" si="52"/>
        <v>0</v>
      </c>
      <c r="I1698" s="18">
        <v>275.31</v>
      </c>
      <c r="J1698" s="27">
        <v>531.72</v>
      </c>
      <c r="K1698" s="18">
        <f t="shared" si="53"/>
        <v>0</v>
      </c>
      <c r="L1698" s="27">
        <v>300.85000000000002</v>
      </c>
      <c r="M1698" s="36">
        <v>25.54</v>
      </c>
      <c r="T1698" s="41">
        <v>0</v>
      </c>
      <c r="U1698" s="41">
        <v>0</v>
      </c>
      <c r="V1698" s="42" t="s">
        <v>113</v>
      </c>
      <c r="W1698" s="42">
        <v>0</v>
      </c>
      <c r="X1698" s="42">
        <v>0</v>
      </c>
    </row>
    <row r="1699" spans="1:24">
      <c r="A1699" s="27" t="s">
        <v>3257</v>
      </c>
      <c r="B1699" s="28" t="s">
        <v>215</v>
      </c>
      <c r="C1699" s="27" t="s">
        <v>3258</v>
      </c>
      <c r="D1699" s="27" t="s">
        <v>230</v>
      </c>
      <c r="E1699" s="29">
        <v>41269</v>
      </c>
      <c r="F1699" s="27">
        <v>15</v>
      </c>
      <c r="G1699" s="18">
        <v>531.71</v>
      </c>
      <c r="H1699" s="27">
        <f t="shared" si="52"/>
        <v>0</v>
      </c>
      <c r="I1699" s="18">
        <v>275.3</v>
      </c>
      <c r="J1699" s="27">
        <v>531.71</v>
      </c>
      <c r="K1699" s="18">
        <f t="shared" si="53"/>
        <v>0</v>
      </c>
      <c r="L1699" s="27">
        <v>300.83999999999997</v>
      </c>
      <c r="M1699" s="36">
        <v>25.54</v>
      </c>
      <c r="T1699" s="41">
        <v>0</v>
      </c>
      <c r="U1699" s="41">
        <v>0</v>
      </c>
      <c r="V1699" s="42" t="s">
        <v>113</v>
      </c>
      <c r="W1699" s="42">
        <v>0</v>
      </c>
      <c r="X1699" s="42">
        <v>0</v>
      </c>
    </row>
    <row r="1700" spans="1:24">
      <c r="A1700" s="27" t="s">
        <v>3259</v>
      </c>
      <c r="B1700" s="28" t="s">
        <v>215</v>
      </c>
      <c r="C1700" s="27" t="s">
        <v>3260</v>
      </c>
      <c r="D1700" s="27" t="s">
        <v>230</v>
      </c>
      <c r="E1700" s="29">
        <v>41269</v>
      </c>
      <c r="F1700" s="27">
        <v>15</v>
      </c>
      <c r="G1700" s="18">
        <v>531.71</v>
      </c>
      <c r="H1700" s="27">
        <f t="shared" si="52"/>
        <v>0</v>
      </c>
      <c r="I1700" s="18">
        <v>275.3</v>
      </c>
      <c r="J1700" s="27">
        <v>531.71</v>
      </c>
      <c r="K1700" s="18">
        <f t="shared" si="53"/>
        <v>0</v>
      </c>
      <c r="L1700" s="27">
        <v>300.83999999999997</v>
      </c>
      <c r="M1700" s="36">
        <v>25.54</v>
      </c>
      <c r="T1700" s="41">
        <v>0</v>
      </c>
      <c r="U1700" s="41">
        <v>0</v>
      </c>
      <c r="V1700" s="42" t="s">
        <v>113</v>
      </c>
      <c r="W1700" s="42">
        <v>0</v>
      </c>
      <c r="X1700" s="42">
        <v>0</v>
      </c>
    </row>
    <row r="1701" spans="1:24">
      <c r="A1701" s="27" t="s">
        <v>3261</v>
      </c>
      <c r="B1701" s="28" t="s">
        <v>215</v>
      </c>
      <c r="C1701" s="27" t="s">
        <v>3262</v>
      </c>
      <c r="D1701" s="27" t="s">
        <v>220</v>
      </c>
      <c r="E1701" s="29">
        <v>41269</v>
      </c>
      <c r="F1701" s="27">
        <v>15</v>
      </c>
      <c r="G1701" s="18">
        <v>6728.6</v>
      </c>
      <c r="H1701" s="27">
        <f t="shared" si="52"/>
        <v>0</v>
      </c>
      <c r="I1701" s="18">
        <v>3483.8</v>
      </c>
      <c r="J1701" s="27">
        <v>6728.6</v>
      </c>
      <c r="K1701" s="18">
        <f t="shared" si="53"/>
        <v>0</v>
      </c>
      <c r="L1701" s="27">
        <v>3806.95</v>
      </c>
      <c r="M1701" s="36">
        <v>323.14999999999998</v>
      </c>
      <c r="T1701" s="41">
        <v>0</v>
      </c>
      <c r="U1701" s="41">
        <v>0</v>
      </c>
      <c r="V1701" s="42" t="s">
        <v>113</v>
      </c>
      <c r="W1701" s="42">
        <v>0</v>
      </c>
      <c r="X1701" s="42">
        <v>0</v>
      </c>
    </row>
    <row r="1702" spans="1:24">
      <c r="A1702" s="27" t="s">
        <v>3263</v>
      </c>
      <c r="B1702" s="28" t="s">
        <v>215</v>
      </c>
      <c r="C1702" s="27" t="s">
        <v>3264</v>
      </c>
      <c r="D1702" s="27" t="s">
        <v>118</v>
      </c>
      <c r="E1702" s="29">
        <v>41269</v>
      </c>
      <c r="F1702" s="27">
        <v>15</v>
      </c>
      <c r="G1702" s="18">
        <v>5363.09</v>
      </c>
      <c r="H1702" s="27">
        <f t="shared" si="52"/>
        <v>0</v>
      </c>
      <c r="I1702" s="18">
        <v>2776.8</v>
      </c>
      <c r="J1702" s="27">
        <v>5363.09</v>
      </c>
      <c r="K1702" s="18">
        <f t="shared" si="53"/>
        <v>0</v>
      </c>
      <c r="L1702" s="27">
        <v>3034.37</v>
      </c>
      <c r="M1702" s="36">
        <v>257.57</v>
      </c>
      <c r="T1702" s="41">
        <v>0</v>
      </c>
      <c r="U1702" s="41">
        <v>0</v>
      </c>
      <c r="V1702" s="42" t="s">
        <v>113</v>
      </c>
      <c r="W1702" s="42">
        <v>0</v>
      </c>
      <c r="X1702" s="42">
        <v>0</v>
      </c>
    </row>
    <row r="1703" spans="1:24">
      <c r="A1703" s="27" t="s">
        <v>3265</v>
      </c>
      <c r="B1703" s="28" t="s">
        <v>215</v>
      </c>
      <c r="C1703" s="27" t="s">
        <v>3266</v>
      </c>
      <c r="D1703" s="27" t="s">
        <v>230</v>
      </c>
      <c r="E1703" s="29">
        <v>41269</v>
      </c>
      <c r="F1703" s="27">
        <v>15</v>
      </c>
      <c r="G1703" s="18">
        <v>98322.23</v>
      </c>
      <c r="H1703" s="27">
        <f t="shared" si="52"/>
        <v>0</v>
      </c>
      <c r="I1703" s="18">
        <v>50907.39</v>
      </c>
      <c r="J1703" s="27">
        <v>98322.23</v>
      </c>
      <c r="K1703" s="18">
        <f t="shared" si="53"/>
        <v>0</v>
      </c>
      <c r="L1703" s="27">
        <v>55629.47</v>
      </c>
      <c r="M1703" s="36">
        <v>4722.08</v>
      </c>
      <c r="T1703" s="41">
        <v>0</v>
      </c>
      <c r="U1703" s="41">
        <v>0</v>
      </c>
      <c r="V1703" s="42" t="s">
        <v>113</v>
      </c>
      <c r="W1703" s="42">
        <v>0</v>
      </c>
      <c r="X1703" s="42">
        <v>0</v>
      </c>
    </row>
    <row r="1704" spans="1:24">
      <c r="A1704" s="27" t="s">
        <v>3267</v>
      </c>
      <c r="B1704" s="28" t="s">
        <v>215</v>
      </c>
      <c r="C1704" s="27" t="s">
        <v>3268</v>
      </c>
      <c r="D1704" s="27" t="s">
        <v>230</v>
      </c>
      <c r="E1704" s="29">
        <v>41269</v>
      </c>
      <c r="F1704" s="27">
        <v>15</v>
      </c>
      <c r="G1704" s="18">
        <v>98322.240000000005</v>
      </c>
      <c r="H1704" s="27">
        <f t="shared" si="52"/>
        <v>0</v>
      </c>
      <c r="I1704" s="18">
        <v>50907.39</v>
      </c>
      <c r="J1704" s="27">
        <v>98322.240000000005</v>
      </c>
      <c r="K1704" s="18">
        <f t="shared" si="53"/>
        <v>0</v>
      </c>
      <c r="L1704" s="27">
        <v>55629.47</v>
      </c>
      <c r="M1704" s="36">
        <v>4722.08</v>
      </c>
      <c r="T1704" s="41">
        <v>0</v>
      </c>
      <c r="U1704" s="41">
        <v>0</v>
      </c>
      <c r="V1704" s="42" t="s">
        <v>113</v>
      </c>
      <c r="W1704" s="42">
        <v>0</v>
      </c>
      <c r="X1704" s="42">
        <v>0</v>
      </c>
    </row>
    <row r="1705" spans="1:24">
      <c r="A1705" s="27" t="s">
        <v>3269</v>
      </c>
      <c r="B1705" s="28" t="s">
        <v>215</v>
      </c>
      <c r="C1705" s="27" t="s">
        <v>3270</v>
      </c>
      <c r="D1705" s="27" t="s">
        <v>220</v>
      </c>
      <c r="E1705" s="29">
        <v>41269</v>
      </c>
      <c r="F1705" s="27">
        <v>15</v>
      </c>
      <c r="G1705" s="18">
        <v>8688.93</v>
      </c>
      <c r="H1705" s="27">
        <f t="shared" si="52"/>
        <v>0</v>
      </c>
      <c r="I1705" s="18">
        <v>4498.78</v>
      </c>
      <c r="J1705" s="27">
        <v>8688.93</v>
      </c>
      <c r="K1705" s="18">
        <f t="shared" si="53"/>
        <v>0</v>
      </c>
      <c r="L1705" s="27">
        <v>4916.08</v>
      </c>
      <c r="M1705" s="36">
        <v>417.3</v>
      </c>
      <c r="T1705" s="41">
        <v>0</v>
      </c>
      <c r="U1705" s="41">
        <v>0</v>
      </c>
      <c r="V1705" s="42" t="s">
        <v>113</v>
      </c>
      <c r="W1705" s="42">
        <v>0</v>
      </c>
      <c r="X1705" s="42">
        <v>0</v>
      </c>
    </row>
    <row r="1706" spans="1:24">
      <c r="A1706" s="27" t="s">
        <v>3271</v>
      </c>
      <c r="B1706" s="28" t="s">
        <v>215</v>
      </c>
      <c r="C1706" s="27" t="s">
        <v>3272</v>
      </c>
      <c r="D1706" s="27" t="s">
        <v>220</v>
      </c>
      <c r="E1706" s="29">
        <v>41269</v>
      </c>
      <c r="F1706" s="27">
        <v>15</v>
      </c>
      <c r="G1706" s="18">
        <v>8688.93</v>
      </c>
      <c r="H1706" s="27">
        <f t="shared" si="52"/>
        <v>0</v>
      </c>
      <c r="I1706" s="18">
        <v>4498.78</v>
      </c>
      <c r="J1706" s="27">
        <v>8688.93</v>
      </c>
      <c r="K1706" s="18">
        <f t="shared" si="53"/>
        <v>0</v>
      </c>
      <c r="L1706" s="27">
        <v>4916.08</v>
      </c>
      <c r="M1706" s="36">
        <v>417.3</v>
      </c>
      <c r="T1706" s="41">
        <v>0</v>
      </c>
      <c r="U1706" s="41">
        <v>0</v>
      </c>
      <c r="V1706" s="42" t="s">
        <v>113</v>
      </c>
      <c r="W1706" s="42">
        <v>0</v>
      </c>
      <c r="X1706" s="42">
        <v>0</v>
      </c>
    </row>
    <row r="1707" spans="1:24">
      <c r="A1707" s="27" t="s">
        <v>3273</v>
      </c>
      <c r="B1707" s="28" t="s">
        <v>215</v>
      </c>
      <c r="C1707" s="27" t="s">
        <v>3274</v>
      </c>
      <c r="D1707" s="27" t="s">
        <v>220</v>
      </c>
      <c r="E1707" s="29">
        <v>41269</v>
      </c>
      <c r="F1707" s="27">
        <v>15</v>
      </c>
      <c r="G1707" s="18">
        <v>8688.93</v>
      </c>
      <c r="H1707" s="27">
        <f t="shared" si="52"/>
        <v>0</v>
      </c>
      <c r="I1707" s="18">
        <v>4498.78</v>
      </c>
      <c r="J1707" s="27">
        <v>8688.93</v>
      </c>
      <c r="K1707" s="18">
        <f t="shared" si="53"/>
        <v>0</v>
      </c>
      <c r="L1707" s="27">
        <v>4916.08</v>
      </c>
      <c r="M1707" s="36">
        <v>417.3</v>
      </c>
      <c r="T1707" s="41">
        <v>0</v>
      </c>
      <c r="U1707" s="41">
        <v>0</v>
      </c>
      <c r="V1707" s="42" t="s">
        <v>113</v>
      </c>
      <c r="W1707" s="42">
        <v>0</v>
      </c>
      <c r="X1707" s="42">
        <v>0</v>
      </c>
    </row>
    <row r="1708" spans="1:24">
      <c r="A1708" s="27" t="s">
        <v>3275</v>
      </c>
      <c r="B1708" s="28" t="s">
        <v>215</v>
      </c>
      <c r="C1708" s="27" t="s">
        <v>2085</v>
      </c>
      <c r="D1708" s="27" t="s">
        <v>118</v>
      </c>
      <c r="E1708" s="29">
        <v>41269</v>
      </c>
      <c r="F1708" s="27">
        <v>15</v>
      </c>
      <c r="G1708" s="18">
        <v>4409.3100000000004</v>
      </c>
      <c r="H1708" s="27">
        <f t="shared" si="52"/>
        <v>0</v>
      </c>
      <c r="I1708" s="18">
        <v>2282.96</v>
      </c>
      <c r="J1708" s="27">
        <v>4409.3100000000004</v>
      </c>
      <c r="K1708" s="18">
        <f t="shared" si="53"/>
        <v>0</v>
      </c>
      <c r="L1708" s="27">
        <v>2494.7199999999998</v>
      </c>
      <c r="M1708" s="36">
        <v>211.76</v>
      </c>
      <c r="T1708" s="41">
        <v>0</v>
      </c>
      <c r="U1708" s="41">
        <v>0</v>
      </c>
      <c r="V1708" s="42" t="s">
        <v>113</v>
      </c>
      <c r="W1708" s="42">
        <v>0</v>
      </c>
      <c r="X1708" s="42">
        <v>0</v>
      </c>
    </row>
    <row r="1709" spans="1:24">
      <c r="A1709" s="27" t="s">
        <v>3276</v>
      </c>
      <c r="B1709" s="28" t="s">
        <v>215</v>
      </c>
      <c r="C1709" s="27" t="s">
        <v>1651</v>
      </c>
      <c r="D1709" s="27" t="s">
        <v>118</v>
      </c>
      <c r="E1709" s="29">
        <v>41269</v>
      </c>
      <c r="F1709" s="27">
        <v>15</v>
      </c>
      <c r="G1709" s="18">
        <v>4409.3100000000004</v>
      </c>
      <c r="H1709" s="27">
        <f t="shared" si="52"/>
        <v>0</v>
      </c>
      <c r="I1709" s="18">
        <v>2282.96</v>
      </c>
      <c r="J1709" s="27">
        <v>4409.3100000000004</v>
      </c>
      <c r="K1709" s="18">
        <f t="shared" si="53"/>
        <v>0</v>
      </c>
      <c r="L1709" s="27">
        <v>2494.7199999999998</v>
      </c>
      <c r="M1709" s="36">
        <v>211.76</v>
      </c>
      <c r="T1709" s="41">
        <v>0</v>
      </c>
      <c r="U1709" s="41">
        <v>0</v>
      </c>
      <c r="V1709" s="42" t="s">
        <v>113</v>
      </c>
      <c r="W1709" s="42">
        <v>0</v>
      </c>
      <c r="X1709" s="42">
        <v>0</v>
      </c>
    </row>
    <row r="1710" spans="1:24">
      <c r="A1710" s="27" t="s">
        <v>3277</v>
      </c>
      <c r="B1710" s="28" t="s">
        <v>215</v>
      </c>
      <c r="C1710" s="27" t="s">
        <v>1653</v>
      </c>
      <c r="D1710" s="27" t="s">
        <v>118</v>
      </c>
      <c r="E1710" s="29">
        <v>41269</v>
      </c>
      <c r="F1710" s="27">
        <v>15</v>
      </c>
      <c r="G1710" s="18">
        <v>4409.3100000000004</v>
      </c>
      <c r="H1710" s="27">
        <f t="shared" si="52"/>
        <v>0</v>
      </c>
      <c r="I1710" s="18">
        <v>2282.96</v>
      </c>
      <c r="J1710" s="27">
        <v>4409.3100000000004</v>
      </c>
      <c r="K1710" s="18">
        <f t="shared" si="53"/>
        <v>0</v>
      </c>
      <c r="L1710" s="27">
        <v>2494.7199999999998</v>
      </c>
      <c r="M1710" s="36">
        <v>211.76</v>
      </c>
      <c r="T1710" s="41">
        <v>0</v>
      </c>
      <c r="U1710" s="41">
        <v>0</v>
      </c>
      <c r="V1710" s="42" t="s">
        <v>113</v>
      </c>
      <c r="W1710" s="42">
        <v>0</v>
      </c>
      <c r="X1710" s="42">
        <v>0</v>
      </c>
    </row>
    <row r="1711" spans="1:24">
      <c r="A1711" s="27" t="s">
        <v>3278</v>
      </c>
      <c r="B1711" s="28" t="s">
        <v>215</v>
      </c>
      <c r="C1711" s="27" t="s">
        <v>3279</v>
      </c>
      <c r="D1711" s="27" t="s">
        <v>230</v>
      </c>
      <c r="E1711" s="29">
        <v>41269</v>
      </c>
      <c r="F1711" s="27">
        <v>15</v>
      </c>
      <c r="G1711" s="18">
        <v>531.71</v>
      </c>
      <c r="H1711" s="27">
        <f t="shared" si="52"/>
        <v>0</v>
      </c>
      <c r="I1711" s="18">
        <v>275.3</v>
      </c>
      <c r="J1711" s="27">
        <v>531.71</v>
      </c>
      <c r="K1711" s="18">
        <f t="shared" si="53"/>
        <v>0</v>
      </c>
      <c r="L1711" s="27">
        <v>300.83999999999997</v>
      </c>
      <c r="M1711" s="36">
        <v>25.54</v>
      </c>
      <c r="T1711" s="41">
        <v>0</v>
      </c>
      <c r="U1711" s="41">
        <v>0</v>
      </c>
      <c r="V1711" s="42" t="s">
        <v>113</v>
      </c>
      <c r="W1711" s="42">
        <v>0</v>
      </c>
      <c r="X1711" s="42">
        <v>0</v>
      </c>
    </row>
    <row r="1712" spans="1:24">
      <c r="A1712" s="27" t="s">
        <v>3280</v>
      </c>
      <c r="B1712" s="28" t="s">
        <v>215</v>
      </c>
      <c r="C1712" s="27" t="s">
        <v>3281</v>
      </c>
      <c r="D1712" s="27" t="s">
        <v>230</v>
      </c>
      <c r="E1712" s="29">
        <v>41269</v>
      </c>
      <c r="F1712" s="27">
        <v>15</v>
      </c>
      <c r="G1712" s="18">
        <v>531.71</v>
      </c>
      <c r="H1712" s="27">
        <f t="shared" si="52"/>
        <v>0</v>
      </c>
      <c r="I1712" s="18">
        <v>275.3</v>
      </c>
      <c r="J1712" s="27">
        <v>531.71</v>
      </c>
      <c r="K1712" s="18">
        <f t="shared" si="53"/>
        <v>0</v>
      </c>
      <c r="L1712" s="27">
        <v>300.83999999999997</v>
      </c>
      <c r="M1712" s="36">
        <v>25.54</v>
      </c>
      <c r="T1712" s="41">
        <v>0</v>
      </c>
      <c r="U1712" s="41">
        <v>0</v>
      </c>
      <c r="V1712" s="42" t="s">
        <v>113</v>
      </c>
      <c r="W1712" s="42">
        <v>0</v>
      </c>
      <c r="X1712" s="42">
        <v>0</v>
      </c>
    </row>
    <row r="1713" spans="1:24">
      <c r="A1713" s="27" t="s">
        <v>3282</v>
      </c>
      <c r="B1713" s="28" t="s">
        <v>215</v>
      </c>
      <c r="C1713" s="27" t="s">
        <v>3283</v>
      </c>
      <c r="D1713" s="27" t="s">
        <v>230</v>
      </c>
      <c r="E1713" s="29">
        <v>41269</v>
      </c>
      <c r="F1713" s="27">
        <v>15</v>
      </c>
      <c r="G1713" s="18">
        <v>531.71</v>
      </c>
      <c r="H1713" s="27">
        <f t="shared" si="52"/>
        <v>0</v>
      </c>
      <c r="I1713" s="18">
        <v>275.3</v>
      </c>
      <c r="J1713" s="27">
        <v>531.71</v>
      </c>
      <c r="K1713" s="18">
        <f t="shared" si="53"/>
        <v>0</v>
      </c>
      <c r="L1713" s="27">
        <v>300.83999999999997</v>
      </c>
      <c r="M1713" s="36">
        <v>25.54</v>
      </c>
      <c r="T1713" s="41">
        <v>0</v>
      </c>
      <c r="U1713" s="41">
        <v>0</v>
      </c>
      <c r="V1713" s="42" t="s">
        <v>113</v>
      </c>
      <c r="W1713" s="42">
        <v>0</v>
      </c>
      <c r="X1713" s="42">
        <v>0</v>
      </c>
    </row>
    <row r="1714" spans="1:24">
      <c r="A1714" s="27" t="s">
        <v>3284</v>
      </c>
      <c r="B1714" s="28" t="s">
        <v>215</v>
      </c>
      <c r="C1714" s="27" t="s">
        <v>3285</v>
      </c>
      <c r="D1714" s="27" t="s">
        <v>220</v>
      </c>
      <c r="E1714" s="29">
        <v>41269</v>
      </c>
      <c r="F1714" s="27">
        <v>15</v>
      </c>
      <c r="G1714" s="18">
        <v>6728.59</v>
      </c>
      <c r="H1714" s="27">
        <f t="shared" si="52"/>
        <v>0</v>
      </c>
      <c r="I1714" s="18">
        <v>3483.8</v>
      </c>
      <c r="J1714" s="27">
        <v>6728.59</v>
      </c>
      <c r="K1714" s="18">
        <f t="shared" si="53"/>
        <v>0</v>
      </c>
      <c r="L1714" s="27">
        <v>3806.95</v>
      </c>
      <c r="M1714" s="36">
        <v>323.14999999999998</v>
      </c>
      <c r="T1714" s="41">
        <v>0</v>
      </c>
      <c r="U1714" s="41">
        <v>0</v>
      </c>
      <c r="V1714" s="42" t="s">
        <v>113</v>
      </c>
      <c r="W1714" s="42">
        <v>0</v>
      </c>
      <c r="X1714" s="42">
        <v>0</v>
      </c>
    </row>
    <row r="1715" spans="1:24">
      <c r="A1715" s="27" t="s">
        <v>3286</v>
      </c>
      <c r="B1715" s="28" t="s">
        <v>215</v>
      </c>
      <c r="C1715" s="27" t="s">
        <v>3287</v>
      </c>
      <c r="D1715" s="27" t="s">
        <v>118</v>
      </c>
      <c r="E1715" s="29">
        <v>41269</v>
      </c>
      <c r="F1715" s="27">
        <v>15</v>
      </c>
      <c r="G1715" s="18">
        <v>5363.08</v>
      </c>
      <c r="H1715" s="27">
        <f t="shared" si="52"/>
        <v>0</v>
      </c>
      <c r="I1715" s="18">
        <v>2776.8</v>
      </c>
      <c r="J1715" s="27">
        <v>5363.08</v>
      </c>
      <c r="K1715" s="18">
        <f t="shared" si="53"/>
        <v>0</v>
      </c>
      <c r="L1715" s="27">
        <v>3034.37</v>
      </c>
      <c r="M1715" s="36">
        <v>257.57</v>
      </c>
      <c r="T1715" s="41">
        <v>0</v>
      </c>
      <c r="U1715" s="41">
        <v>0</v>
      </c>
      <c r="V1715" s="42" t="s">
        <v>113</v>
      </c>
      <c r="W1715" s="42">
        <v>0</v>
      </c>
      <c r="X1715" s="42">
        <v>0</v>
      </c>
    </row>
    <row r="1716" spans="1:24">
      <c r="A1716" s="27" t="s">
        <v>3288</v>
      </c>
      <c r="B1716" s="28" t="s">
        <v>215</v>
      </c>
      <c r="C1716" s="27" t="s">
        <v>3289</v>
      </c>
      <c r="D1716" s="27" t="s">
        <v>220</v>
      </c>
      <c r="E1716" s="29">
        <v>41269</v>
      </c>
      <c r="F1716" s="27">
        <v>15</v>
      </c>
      <c r="G1716" s="18">
        <v>4559.21</v>
      </c>
      <c r="H1716" s="27">
        <f t="shared" si="52"/>
        <v>0</v>
      </c>
      <c r="I1716" s="18">
        <v>2360.58</v>
      </c>
      <c r="J1716" s="27">
        <v>4559.21</v>
      </c>
      <c r="K1716" s="18">
        <f t="shared" si="53"/>
        <v>0</v>
      </c>
      <c r="L1716" s="27">
        <v>2579.54</v>
      </c>
      <c r="M1716" s="36">
        <v>218.96</v>
      </c>
      <c r="T1716" s="41">
        <v>0</v>
      </c>
      <c r="U1716" s="41">
        <v>0</v>
      </c>
      <c r="V1716" s="42" t="s">
        <v>113</v>
      </c>
      <c r="W1716" s="42">
        <v>0</v>
      </c>
      <c r="X1716" s="42">
        <v>0</v>
      </c>
    </row>
    <row r="1717" spans="1:24">
      <c r="A1717" s="27" t="s">
        <v>3290</v>
      </c>
      <c r="B1717" s="28" t="s">
        <v>215</v>
      </c>
      <c r="C1717" s="27" t="s">
        <v>1649</v>
      </c>
      <c r="D1717" s="27" t="s">
        <v>118</v>
      </c>
      <c r="E1717" s="29">
        <v>41269</v>
      </c>
      <c r="F1717" s="27">
        <v>15</v>
      </c>
      <c r="G1717" s="18">
        <v>3633.96</v>
      </c>
      <c r="H1717" s="27">
        <f t="shared" si="52"/>
        <v>0</v>
      </c>
      <c r="I1717" s="18">
        <v>1881.52</v>
      </c>
      <c r="J1717" s="27">
        <v>3633.96</v>
      </c>
      <c r="K1717" s="18">
        <f t="shared" si="53"/>
        <v>0</v>
      </c>
      <c r="L1717" s="27">
        <v>2056.0500000000002</v>
      </c>
      <c r="M1717" s="36">
        <v>174.53</v>
      </c>
      <c r="T1717" s="41">
        <v>0</v>
      </c>
      <c r="U1717" s="41">
        <v>0</v>
      </c>
      <c r="V1717" s="42" t="s">
        <v>113</v>
      </c>
      <c r="W1717" s="42">
        <v>0</v>
      </c>
      <c r="X1717" s="42">
        <v>0</v>
      </c>
    </row>
    <row r="1718" spans="1:24">
      <c r="A1718" s="27" t="s">
        <v>3291</v>
      </c>
      <c r="B1718" s="28" t="s">
        <v>215</v>
      </c>
      <c r="C1718" s="27" t="s">
        <v>3292</v>
      </c>
      <c r="D1718" s="27" t="s">
        <v>230</v>
      </c>
      <c r="E1718" s="29">
        <v>41269</v>
      </c>
      <c r="F1718" s="27">
        <v>15</v>
      </c>
      <c r="G1718" s="18">
        <v>87397.55</v>
      </c>
      <c r="H1718" s="27">
        <f t="shared" si="52"/>
        <v>0</v>
      </c>
      <c r="I1718" s="18">
        <v>45251.02</v>
      </c>
      <c r="J1718" s="27">
        <v>87397.55</v>
      </c>
      <c r="K1718" s="18">
        <f t="shared" si="53"/>
        <v>0</v>
      </c>
      <c r="L1718" s="27">
        <v>49448.43</v>
      </c>
      <c r="M1718" s="36">
        <v>4197.41</v>
      </c>
      <c r="T1718" s="41">
        <v>0</v>
      </c>
      <c r="U1718" s="41">
        <v>0</v>
      </c>
      <c r="V1718" s="42" t="s">
        <v>113</v>
      </c>
      <c r="W1718" s="42">
        <v>0</v>
      </c>
      <c r="X1718" s="42">
        <v>0</v>
      </c>
    </row>
    <row r="1719" spans="1:24">
      <c r="A1719" s="27" t="s">
        <v>3293</v>
      </c>
      <c r="B1719" s="28" t="s">
        <v>215</v>
      </c>
      <c r="C1719" s="27" t="s">
        <v>3294</v>
      </c>
      <c r="D1719" s="27" t="s">
        <v>230</v>
      </c>
      <c r="E1719" s="29">
        <v>41269</v>
      </c>
      <c r="F1719" s="27">
        <v>15</v>
      </c>
      <c r="G1719" s="18">
        <v>126927.36</v>
      </c>
      <c r="H1719" s="27">
        <f t="shared" si="52"/>
        <v>0</v>
      </c>
      <c r="I1719" s="18">
        <v>65718</v>
      </c>
      <c r="J1719" s="27">
        <v>126927.36</v>
      </c>
      <c r="K1719" s="18">
        <f t="shared" si="53"/>
        <v>0</v>
      </c>
      <c r="L1719" s="27">
        <v>71813.89</v>
      </c>
      <c r="M1719" s="36">
        <v>6095.89</v>
      </c>
      <c r="T1719" s="41">
        <v>0</v>
      </c>
      <c r="U1719" s="41">
        <v>0</v>
      </c>
      <c r="V1719" s="42" t="s">
        <v>113</v>
      </c>
      <c r="W1719" s="42">
        <v>0</v>
      </c>
      <c r="X1719" s="42">
        <v>0</v>
      </c>
    </row>
    <row r="1720" spans="1:24">
      <c r="A1720" s="27" t="s">
        <v>3295</v>
      </c>
      <c r="B1720" s="28" t="s">
        <v>215</v>
      </c>
      <c r="C1720" s="27" t="s">
        <v>3296</v>
      </c>
      <c r="D1720" s="27" t="s">
        <v>230</v>
      </c>
      <c r="E1720" s="29">
        <v>41269</v>
      </c>
      <c r="F1720" s="27">
        <v>15</v>
      </c>
      <c r="G1720" s="18">
        <v>126920.36</v>
      </c>
      <c r="H1720" s="27">
        <f t="shared" si="52"/>
        <v>0</v>
      </c>
      <c r="I1720" s="18">
        <v>65714.37</v>
      </c>
      <c r="J1720" s="27">
        <v>126920.36</v>
      </c>
      <c r="K1720" s="18">
        <f t="shared" si="53"/>
        <v>0</v>
      </c>
      <c r="L1720" s="27">
        <v>71809.919999999998</v>
      </c>
      <c r="M1720" s="36">
        <v>6095.55</v>
      </c>
      <c r="T1720" s="41">
        <v>0</v>
      </c>
      <c r="U1720" s="41">
        <v>0</v>
      </c>
      <c r="V1720" s="42" t="s">
        <v>113</v>
      </c>
      <c r="W1720" s="42">
        <v>0</v>
      </c>
      <c r="X1720" s="42">
        <v>0</v>
      </c>
    </row>
    <row r="1721" spans="1:24">
      <c r="A1721" s="27" t="s">
        <v>3297</v>
      </c>
      <c r="B1721" s="28" t="s">
        <v>215</v>
      </c>
      <c r="C1721" s="27" t="s">
        <v>3298</v>
      </c>
      <c r="D1721" s="27" t="s">
        <v>230</v>
      </c>
      <c r="E1721" s="29">
        <v>41269</v>
      </c>
      <c r="F1721" s="27">
        <v>15</v>
      </c>
      <c r="G1721" s="18">
        <v>607.26</v>
      </c>
      <c r="H1721" s="27">
        <f t="shared" si="52"/>
        <v>0</v>
      </c>
      <c r="I1721" s="18">
        <v>314.42</v>
      </c>
      <c r="J1721" s="27">
        <v>607.26</v>
      </c>
      <c r="K1721" s="18">
        <f t="shared" si="53"/>
        <v>0</v>
      </c>
      <c r="L1721" s="27">
        <v>343.58</v>
      </c>
      <c r="M1721" s="36">
        <v>29.16</v>
      </c>
      <c r="T1721" s="41">
        <v>0</v>
      </c>
      <c r="U1721" s="41">
        <v>0</v>
      </c>
      <c r="V1721" s="42" t="s">
        <v>113</v>
      </c>
      <c r="W1721" s="42">
        <v>0</v>
      </c>
      <c r="X1721" s="42">
        <v>0</v>
      </c>
    </row>
    <row r="1722" spans="1:24">
      <c r="A1722" s="27" t="s">
        <v>3299</v>
      </c>
      <c r="B1722" s="28" t="s">
        <v>215</v>
      </c>
      <c r="C1722" s="27" t="s">
        <v>3300</v>
      </c>
      <c r="D1722" s="27" t="s">
        <v>230</v>
      </c>
      <c r="E1722" s="29">
        <v>41269</v>
      </c>
      <c r="F1722" s="27">
        <v>15</v>
      </c>
      <c r="G1722" s="18">
        <v>607.26</v>
      </c>
      <c r="H1722" s="27">
        <f t="shared" si="52"/>
        <v>0</v>
      </c>
      <c r="I1722" s="18">
        <v>314.42</v>
      </c>
      <c r="J1722" s="27">
        <v>607.26</v>
      </c>
      <c r="K1722" s="18">
        <f t="shared" si="53"/>
        <v>0</v>
      </c>
      <c r="L1722" s="27">
        <v>343.58</v>
      </c>
      <c r="M1722" s="36">
        <v>29.16</v>
      </c>
      <c r="T1722" s="41">
        <v>0</v>
      </c>
      <c r="U1722" s="41">
        <v>0</v>
      </c>
      <c r="V1722" s="42" t="s">
        <v>113</v>
      </c>
      <c r="W1722" s="42">
        <v>0</v>
      </c>
      <c r="X1722" s="42">
        <v>0</v>
      </c>
    </row>
    <row r="1723" spans="1:24">
      <c r="A1723" s="27" t="s">
        <v>3301</v>
      </c>
      <c r="B1723" s="28" t="s">
        <v>215</v>
      </c>
      <c r="C1723" s="27" t="s">
        <v>3302</v>
      </c>
      <c r="D1723" s="27" t="s">
        <v>230</v>
      </c>
      <c r="E1723" s="29">
        <v>41269</v>
      </c>
      <c r="F1723" s="27">
        <v>15</v>
      </c>
      <c r="G1723" s="18">
        <v>607.26</v>
      </c>
      <c r="H1723" s="27">
        <f t="shared" si="52"/>
        <v>0</v>
      </c>
      <c r="I1723" s="18">
        <v>314.42</v>
      </c>
      <c r="J1723" s="27">
        <v>607.26</v>
      </c>
      <c r="K1723" s="18">
        <f t="shared" si="53"/>
        <v>0</v>
      </c>
      <c r="L1723" s="27">
        <v>343.58</v>
      </c>
      <c r="M1723" s="36">
        <v>29.16</v>
      </c>
      <c r="T1723" s="41">
        <v>0</v>
      </c>
      <c r="U1723" s="41">
        <v>0</v>
      </c>
      <c r="V1723" s="42" t="s">
        <v>113</v>
      </c>
      <c r="W1723" s="42">
        <v>0</v>
      </c>
      <c r="X1723" s="42">
        <v>0</v>
      </c>
    </row>
    <row r="1724" spans="1:24">
      <c r="A1724" s="27" t="s">
        <v>3303</v>
      </c>
      <c r="B1724" s="28" t="s">
        <v>215</v>
      </c>
      <c r="C1724" s="27" t="s">
        <v>3304</v>
      </c>
      <c r="D1724" s="27" t="s">
        <v>230</v>
      </c>
      <c r="E1724" s="29">
        <v>41269</v>
      </c>
      <c r="F1724" s="27">
        <v>15</v>
      </c>
      <c r="G1724" s="18">
        <v>607.26</v>
      </c>
      <c r="H1724" s="27">
        <f t="shared" si="52"/>
        <v>0</v>
      </c>
      <c r="I1724" s="18">
        <v>314.42</v>
      </c>
      <c r="J1724" s="27">
        <v>607.26</v>
      </c>
      <c r="K1724" s="18">
        <f t="shared" si="53"/>
        <v>0</v>
      </c>
      <c r="L1724" s="27">
        <v>343.58</v>
      </c>
      <c r="M1724" s="36">
        <v>29.16</v>
      </c>
      <c r="T1724" s="41">
        <v>0</v>
      </c>
      <c r="U1724" s="41">
        <v>0</v>
      </c>
      <c r="V1724" s="42" t="s">
        <v>113</v>
      </c>
      <c r="W1724" s="42">
        <v>0</v>
      </c>
      <c r="X1724" s="42">
        <v>0</v>
      </c>
    </row>
    <row r="1725" spans="1:24">
      <c r="A1725" s="27" t="s">
        <v>3305</v>
      </c>
      <c r="B1725" s="28" t="s">
        <v>215</v>
      </c>
      <c r="C1725" s="27" t="s">
        <v>3306</v>
      </c>
      <c r="D1725" s="27" t="s">
        <v>230</v>
      </c>
      <c r="E1725" s="29">
        <v>41269</v>
      </c>
      <c r="F1725" s="27">
        <v>15</v>
      </c>
      <c r="G1725" s="18">
        <v>607.26</v>
      </c>
      <c r="H1725" s="27">
        <f t="shared" si="52"/>
        <v>0</v>
      </c>
      <c r="I1725" s="18">
        <v>314.42</v>
      </c>
      <c r="J1725" s="27">
        <v>607.26</v>
      </c>
      <c r="K1725" s="18">
        <f t="shared" si="53"/>
        <v>0</v>
      </c>
      <c r="L1725" s="27">
        <v>343.58</v>
      </c>
      <c r="M1725" s="36">
        <v>29.16</v>
      </c>
      <c r="T1725" s="41">
        <v>0</v>
      </c>
      <c r="U1725" s="41">
        <v>0</v>
      </c>
      <c r="V1725" s="42" t="s">
        <v>113</v>
      </c>
      <c r="W1725" s="42">
        <v>0</v>
      </c>
      <c r="X1725" s="42">
        <v>0</v>
      </c>
    </row>
    <row r="1726" spans="1:24">
      <c r="A1726" s="27" t="s">
        <v>3307</v>
      </c>
      <c r="B1726" s="28" t="s">
        <v>215</v>
      </c>
      <c r="C1726" s="27" t="s">
        <v>3308</v>
      </c>
      <c r="D1726" s="27" t="s">
        <v>230</v>
      </c>
      <c r="E1726" s="29">
        <v>41269</v>
      </c>
      <c r="F1726" s="27">
        <v>15</v>
      </c>
      <c r="G1726" s="18">
        <v>607.26</v>
      </c>
      <c r="H1726" s="27">
        <f t="shared" si="52"/>
        <v>0</v>
      </c>
      <c r="I1726" s="18">
        <v>314.42</v>
      </c>
      <c r="J1726" s="27">
        <v>607.26</v>
      </c>
      <c r="K1726" s="18">
        <f t="shared" si="53"/>
        <v>0</v>
      </c>
      <c r="L1726" s="27">
        <v>343.58</v>
      </c>
      <c r="M1726" s="36">
        <v>29.16</v>
      </c>
      <c r="T1726" s="41">
        <v>0</v>
      </c>
      <c r="U1726" s="41">
        <v>0</v>
      </c>
      <c r="V1726" s="42" t="s">
        <v>113</v>
      </c>
      <c r="W1726" s="42">
        <v>0</v>
      </c>
      <c r="X1726" s="42">
        <v>0</v>
      </c>
    </row>
    <row r="1727" spans="1:24">
      <c r="A1727" s="27" t="s">
        <v>3309</v>
      </c>
      <c r="B1727" s="28" t="s">
        <v>215</v>
      </c>
      <c r="C1727" s="27" t="s">
        <v>2504</v>
      </c>
      <c r="D1727" s="27" t="s">
        <v>230</v>
      </c>
      <c r="E1727" s="29">
        <v>41269</v>
      </c>
      <c r="F1727" s="27">
        <v>15</v>
      </c>
      <c r="G1727" s="18">
        <v>99991.28</v>
      </c>
      <c r="H1727" s="27">
        <f t="shared" si="52"/>
        <v>0</v>
      </c>
      <c r="I1727" s="18">
        <v>51771.56</v>
      </c>
      <c r="J1727" s="27">
        <v>99991.28</v>
      </c>
      <c r="K1727" s="18">
        <f t="shared" si="53"/>
        <v>0</v>
      </c>
      <c r="L1727" s="27">
        <v>56573.8</v>
      </c>
      <c r="M1727" s="36">
        <v>4802.24</v>
      </c>
      <c r="T1727" s="41">
        <v>0</v>
      </c>
      <c r="U1727" s="41">
        <v>0</v>
      </c>
      <c r="V1727" s="42" t="s">
        <v>113</v>
      </c>
      <c r="W1727" s="42">
        <v>0</v>
      </c>
      <c r="X1727" s="42">
        <v>0</v>
      </c>
    </row>
    <row r="1728" spans="1:24">
      <c r="A1728" s="27" t="s">
        <v>3310</v>
      </c>
      <c r="B1728" s="28" t="s">
        <v>215</v>
      </c>
      <c r="C1728" s="27" t="s">
        <v>3311</v>
      </c>
      <c r="D1728" s="27" t="s">
        <v>230</v>
      </c>
      <c r="E1728" s="29">
        <v>41269</v>
      </c>
      <c r="F1728" s="27">
        <v>15</v>
      </c>
      <c r="G1728" s="18">
        <v>99991.29</v>
      </c>
      <c r="H1728" s="27">
        <f t="shared" si="52"/>
        <v>0</v>
      </c>
      <c r="I1728" s="18">
        <v>51771.56</v>
      </c>
      <c r="J1728" s="27">
        <v>99991.29</v>
      </c>
      <c r="K1728" s="18">
        <f t="shared" si="53"/>
        <v>0</v>
      </c>
      <c r="L1728" s="27">
        <v>56573.8</v>
      </c>
      <c r="M1728" s="36">
        <v>4802.24</v>
      </c>
      <c r="T1728" s="41">
        <v>0</v>
      </c>
      <c r="U1728" s="41">
        <v>0</v>
      </c>
      <c r="V1728" s="42" t="s">
        <v>113</v>
      </c>
      <c r="W1728" s="42">
        <v>0</v>
      </c>
      <c r="X1728" s="42">
        <v>0</v>
      </c>
    </row>
    <row r="1729" spans="1:24">
      <c r="A1729" s="27" t="s">
        <v>3312</v>
      </c>
      <c r="B1729" s="28" t="s">
        <v>215</v>
      </c>
      <c r="C1729" s="27" t="s">
        <v>3313</v>
      </c>
      <c r="D1729" s="27" t="s">
        <v>230</v>
      </c>
      <c r="E1729" s="29">
        <v>41269</v>
      </c>
      <c r="F1729" s="27">
        <v>15</v>
      </c>
      <c r="G1729" s="18">
        <v>126926.36</v>
      </c>
      <c r="H1729" s="27">
        <f t="shared" si="52"/>
        <v>0</v>
      </c>
      <c r="I1729" s="18">
        <v>65717.490000000005</v>
      </c>
      <c r="J1729" s="27">
        <v>126926.36</v>
      </c>
      <c r="K1729" s="18">
        <f t="shared" si="53"/>
        <v>0</v>
      </c>
      <c r="L1729" s="27">
        <v>71813.33</v>
      </c>
      <c r="M1729" s="36">
        <v>6095.84</v>
      </c>
      <c r="T1729" s="41">
        <v>0</v>
      </c>
      <c r="U1729" s="41">
        <v>0</v>
      </c>
      <c r="V1729" s="42" t="s">
        <v>113</v>
      </c>
      <c r="W1729" s="42">
        <v>0</v>
      </c>
      <c r="X1729" s="42">
        <v>0</v>
      </c>
    </row>
    <row r="1730" spans="1:24">
      <c r="A1730" s="27" t="s">
        <v>3314</v>
      </c>
      <c r="B1730" s="28" t="s">
        <v>215</v>
      </c>
      <c r="C1730" s="27" t="s">
        <v>3315</v>
      </c>
      <c r="D1730" s="27" t="s">
        <v>230</v>
      </c>
      <c r="E1730" s="29">
        <v>41269</v>
      </c>
      <c r="F1730" s="27">
        <v>15</v>
      </c>
      <c r="G1730" s="18">
        <v>607.26</v>
      </c>
      <c r="H1730" s="27">
        <f t="shared" si="52"/>
        <v>0</v>
      </c>
      <c r="I1730" s="18">
        <v>314.42</v>
      </c>
      <c r="J1730" s="27">
        <v>607.26</v>
      </c>
      <c r="K1730" s="18">
        <f t="shared" si="53"/>
        <v>0</v>
      </c>
      <c r="L1730" s="27">
        <v>343.58</v>
      </c>
      <c r="M1730" s="36">
        <v>29.16</v>
      </c>
      <c r="T1730" s="41">
        <v>0</v>
      </c>
      <c r="U1730" s="41">
        <v>0</v>
      </c>
      <c r="V1730" s="42" t="s">
        <v>113</v>
      </c>
      <c r="W1730" s="42">
        <v>0</v>
      </c>
      <c r="X1730" s="42">
        <v>0</v>
      </c>
    </row>
    <row r="1731" spans="1:24">
      <c r="A1731" s="27" t="s">
        <v>3316</v>
      </c>
      <c r="B1731" s="28" t="s">
        <v>215</v>
      </c>
      <c r="C1731" s="27" t="s">
        <v>3317</v>
      </c>
      <c r="D1731" s="27" t="s">
        <v>230</v>
      </c>
      <c r="E1731" s="29">
        <v>41269</v>
      </c>
      <c r="F1731" s="27">
        <v>15</v>
      </c>
      <c r="G1731" s="18">
        <v>607.26</v>
      </c>
      <c r="H1731" s="27">
        <f t="shared" si="52"/>
        <v>0</v>
      </c>
      <c r="I1731" s="18">
        <v>314.42</v>
      </c>
      <c r="J1731" s="27">
        <v>607.26</v>
      </c>
      <c r="K1731" s="18">
        <f t="shared" si="53"/>
        <v>0</v>
      </c>
      <c r="L1731" s="27">
        <v>343.58</v>
      </c>
      <c r="M1731" s="36">
        <v>29.16</v>
      </c>
      <c r="T1731" s="41">
        <v>0</v>
      </c>
      <c r="U1731" s="41">
        <v>0</v>
      </c>
      <c r="V1731" s="42" t="s">
        <v>113</v>
      </c>
      <c r="W1731" s="42">
        <v>0</v>
      </c>
      <c r="X1731" s="42">
        <v>0</v>
      </c>
    </row>
    <row r="1732" spans="1:24">
      <c r="A1732" s="27" t="s">
        <v>3318</v>
      </c>
      <c r="B1732" s="28" t="s">
        <v>215</v>
      </c>
      <c r="C1732" s="27" t="s">
        <v>3319</v>
      </c>
      <c r="D1732" s="27" t="s">
        <v>230</v>
      </c>
      <c r="E1732" s="29">
        <v>41269</v>
      </c>
      <c r="F1732" s="27">
        <v>15</v>
      </c>
      <c r="G1732" s="18">
        <v>607.26</v>
      </c>
      <c r="H1732" s="27">
        <f t="shared" si="52"/>
        <v>0</v>
      </c>
      <c r="I1732" s="18">
        <v>314.42</v>
      </c>
      <c r="J1732" s="27">
        <v>607.26</v>
      </c>
      <c r="K1732" s="18">
        <f t="shared" si="53"/>
        <v>0</v>
      </c>
      <c r="L1732" s="27">
        <v>343.58</v>
      </c>
      <c r="M1732" s="36">
        <v>29.16</v>
      </c>
      <c r="T1732" s="41">
        <v>0</v>
      </c>
      <c r="U1732" s="41">
        <v>0</v>
      </c>
      <c r="V1732" s="42" t="s">
        <v>113</v>
      </c>
      <c r="W1732" s="42">
        <v>0</v>
      </c>
      <c r="X1732" s="42">
        <v>0</v>
      </c>
    </row>
    <row r="1733" spans="1:24">
      <c r="A1733" s="27" t="s">
        <v>3320</v>
      </c>
      <c r="B1733" s="28" t="s">
        <v>215</v>
      </c>
      <c r="C1733" s="27" t="s">
        <v>3321</v>
      </c>
      <c r="D1733" s="27" t="s">
        <v>230</v>
      </c>
      <c r="E1733" s="29">
        <v>41269</v>
      </c>
      <c r="F1733" s="27">
        <v>15</v>
      </c>
      <c r="G1733" s="18">
        <v>99991.29</v>
      </c>
      <c r="H1733" s="27">
        <f t="shared" si="52"/>
        <v>0</v>
      </c>
      <c r="I1733" s="18">
        <v>51771.56</v>
      </c>
      <c r="J1733" s="27">
        <v>99991.29</v>
      </c>
      <c r="K1733" s="18">
        <f t="shared" si="53"/>
        <v>0</v>
      </c>
      <c r="L1733" s="27">
        <v>56573.8</v>
      </c>
      <c r="M1733" s="36">
        <v>4802.24</v>
      </c>
      <c r="T1733" s="41">
        <v>0</v>
      </c>
      <c r="U1733" s="41">
        <v>0</v>
      </c>
      <c r="V1733" s="42" t="s">
        <v>113</v>
      </c>
      <c r="W1733" s="42">
        <v>0</v>
      </c>
      <c r="X1733" s="42">
        <v>0</v>
      </c>
    </row>
    <row r="1734" spans="1:24">
      <c r="A1734" s="27" t="s">
        <v>3322</v>
      </c>
      <c r="B1734" s="28" t="s">
        <v>215</v>
      </c>
      <c r="C1734" s="27" t="s">
        <v>3323</v>
      </c>
      <c r="D1734" s="27" t="s">
        <v>230</v>
      </c>
      <c r="E1734" s="29">
        <v>41269</v>
      </c>
      <c r="F1734" s="27">
        <v>15</v>
      </c>
      <c r="G1734" s="18">
        <v>126921.36</v>
      </c>
      <c r="H1734" s="27">
        <f t="shared" ref="H1734:H1797" si="54">IFERROR(IF(ROUND((G1734-I1734)/G1734,2)&lt;=0.05,G1734,0),0)</f>
        <v>0</v>
      </c>
      <c r="I1734" s="18">
        <v>65714.89</v>
      </c>
      <c r="J1734" s="27">
        <v>126921.36</v>
      </c>
      <c r="K1734" s="18">
        <f t="shared" ref="K1734:K1797" si="55">IFERROR(IF(ROUND((J1734-L1734)/J1734,2)&lt;=0.05,J1734,0),0)</f>
        <v>0</v>
      </c>
      <c r="L1734" s="27">
        <v>71810.490000000005</v>
      </c>
      <c r="M1734" s="36">
        <v>6095.6</v>
      </c>
      <c r="T1734" s="41">
        <v>0</v>
      </c>
      <c r="U1734" s="41">
        <v>0</v>
      </c>
      <c r="V1734" s="42" t="s">
        <v>113</v>
      </c>
      <c r="W1734" s="42">
        <v>0</v>
      </c>
      <c r="X1734" s="42">
        <v>0</v>
      </c>
    </row>
    <row r="1735" spans="1:24">
      <c r="A1735" s="27" t="s">
        <v>3324</v>
      </c>
      <c r="B1735" s="28" t="s">
        <v>215</v>
      </c>
      <c r="C1735" s="27" t="s">
        <v>3325</v>
      </c>
      <c r="D1735" s="27" t="s">
        <v>230</v>
      </c>
      <c r="E1735" s="29">
        <v>41269</v>
      </c>
      <c r="F1735" s="27">
        <v>15</v>
      </c>
      <c r="G1735" s="18">
        <v>607.26</v>
      </c>
      <c r="H1735" s="27">
        <f t="shared" si="54"/>
        <v>0</v>
      </c>
      <c r="I1735" s="18">
        <v>314.42</v>
      </c>
      <c r="J1735" s="27">
        <v>607.26</v>
      </c>
      <c r="K1735" s="18">
        <f t="shared" si="55"/>
        <v>0</v>
      </c>
      <c r="L1735" s="27">
        <v>343.58</v>
      </c>
      <c r="M1735" s="36">
        <v>29.16</v>
      </c>
      <c r="T1735" s="41">
        <v>0</v>
      </c>
      <c r="U1735" s="41">
        <v>0</v>
      </c>
      <c r="V1735" s="42" t="s">
        <v>113</v>
      </c>
      <c r="W1735" s="42">
        <v>0</v>
      </c>
      <c r="X1735" s="42">
        <v>0</v>
      </c>
    </row>
    <row r="1736" spans="1:24">
      <c r="A1736" s="27" t="s">
        <v>3326</v>
      </c>
      <c r="B1736" s="28" t="s">
        <v>215</v>
      </c>
      <c r="C1736" s="27" t="s">
        <v>3327</v>
      </c>
      <c r="D1736" s="27" t="s">
        <v>230</v>
      </c>
      <c r="E1736" s="29">
        <v>41269</v>
      </c>
      <c r="F1736" s="27">
        <v>15</v>
      </c>
      <c r="G1736" s="18">
        <v>607.26</v>
      </c>
      <c r="H1736" s="27">
        <f t="shared" si="54"/>
        <v>0</v>
      </c>
      <c r="I1736" s="18">
        <v>314.42</v>
      </c>
      <c r="J1736" s="27">
        <v>607.26</v>
      </c>
      <c r="K1736" s="18">
        <f t="shared" si="55"/>
        <v>0</v>
      </c>
      <c r="L1736" s="27">
        <v>343.58</v>
      </c>
      <c r="M1736" s="36">
        <v>29.16</v>
      </c>
      <c r="T1736" s="41">
        <v>0</v>
      </c>
      <c r="U1736" s="41">
        <v>0</v>
      </c>
      <c r="V1736" s="42" t="s">
        <v>113</v>
      </c>
      <c r="W1736" s="42">
        <v>0</v>
      </c>
      <c r="X1736" s="42">
        <v>0</v>
      </c>
    </row>
    <row r="1737" spans="1:24">
      <c r="A1737" s="27" t="s">
        <v>3328</v>
      </c>
      <c r="B1737" s="28" t="s">
        <v>215</v>
      </c>
      <c r="C1737" s="27" t="s">
        <v>3329</v>
      </c>
      <c r="D1737" s="27" t="s">
        <v>230</v>
      </c>
      <c r="E1737" s="29">
        <v>41269</v>
      </c>
      <c r="F1737" s="27">
        <v>15</v>
      </c>
      <c r="G1737" s="18">
        <v>607.26</v>
      </c>
      <c r="H1737" s="27">
        <f t="shared" si="54"/>
        <v>0</v>
      </c>
      <c r="I1737" s="18">
        <v>314.42</v>
      </c>
      <c r="J1737" s="27">
        <v>607.26</v>
      </c>
      <c r="K1737" s="18">
        <f t="shared" si="55"/>
        <v>0</v>
      </c>
      <c r="L1737" s="27">
        <v>343.58</v>
      </c>
      <c r="M1737" s="36">
        <v>29.16</v>
      </c>
      <c r="T1737" s="41">
        <v>0</v>
      </c>
      <c r="U1737" s="41">
        <v>0</v>
      </c>
      <c r="V1737" s="42" t="s">
        <v>113</v>
      </c>
      <c r="W1737" s="42">
        <v>0</v>
      </c>
      <c r="X1737" s="42">
        <v>0</v>
      </c>
    </row>
    <row r="1738" spans="1:24">
      <c r="A1738" s="27" t="s">
        <v>3330</v>
      </c>
      <c r="B1738" s="28" t="s">
        <v>215</v>
      </c>
      <c r="C1738" s="27" t="s">
        <v>2537</v>
      </c>
      <c r="D1738" s="27" t="s">
        <v>230</v>
      </c>
      <c r="E1738" s="29">
        <v>41269</v>
      </c>
      <c r="F1738" s="27">
        <v>15</v>
      </c>
      <c r="G1738" s="18">
        <v>99991.29</v>
      </c>
      <c r="H1738" s="27">
        <f t="shared" si="54"/>
        <v>0</v>
      </c>
      <c r="I1738" s="18">
        <v>51771.57</v>
      </c>
      <c r="J1738" s="27">
        <v>99991.29</v>
      </c>
      <c r="K1738" s="18">
        <f t="shared" si="55"/>
        <v>0</v>
      </c>
      <c r="L1738" s="27">
        <v>56573.81</v>
      </c>
      <c r="M1738" s="36">
        <v>4802.24</v>
      </c>
      <c r="T1738" s="41">
        <v>0</v>
      </c>
      <c r="U1738" s="41">
        <v>0</v>
      </c>
      <c r="V1738" s="42" t="s">
        <v>113</v>
      </c>
      <c r="W1738" s="42">
        <v>0</v>
      </c>
      <c r="X1738" s="42">
        <v>0</v>
      </c>
    </row>
    <row r="1739" spans="1:24">
      <c r="A1739" s="27" t="s">
        <v>3331</v>
      </c>
      <c r="B1739" s="28" t="s">
        <v>215</v>
      </c>
      <c r="C1739" s="27" t="s">
        <v>3332</v>
      </c>
      <c r="D1739" s="27" t="s">
        <v>230</v>
      </c>
      <c r="E1739" s="29">
        <v>41269</v>
      </c>
      <c r="F1739" s="27">
        <v>15</v>
      </c>
      <c r="G1739" s="18">
        <v>607.26</v>
      </c>
      <c r="H1739" s="27">
        <f t="shared" si="54"/>
        <v>0</v>
      </c>
      <c r="I1739" s="18">
        <v>314.42</v>
      </c>
      <c r="J1739" s="27">
        <v>607.26</v>
      </c>
      <c r="K1739" s="18">
        <f t="shared" si="55"/>
        <v>0</v>
      </c>
      <c r="L1739" s="27">
        <v>343.58</v>
      </c>
      <c r="M1739" s="36">
        <v>29.16</v>
      </c>
      <c r="T1739" s="41">
        <v>0</v>
      </c>
      <c r="U1739" s="41">
        <v>0</v>
      </c>
      <c r="V1739" s="42" t="s">
        <v>113</v>
      </c>
      <c r="W1739" s="42">
        <v>0</v>
      </c>
      <c r="X1739" s="42">
        <v>0</v>
      </c>
    </row>
    <row r="1740" spans="1:24">
      <c r="A1740" s="27" t="s">
        <v>3333</v>
      </c>
      <c r="B1740" s="28" t="s">
        <v>215</v>
      </c>
      <c r="C1740" s="27" t="s">
        <v>3334</v>
      </c>
      <c r="D1740" s="27" t="s">
        <v>230</v>
      </c>
      <c r="E1740" s="29">
        <v>41269</v>
      </c>
      <c r="F1740" s="27">
        <v>15</v>
      </c>
      <c r="G1740" s="18">
        <v>607.26</v>
      </c>
      <c r="H1740" s="27">
        <f t="shared" si="54"/>
        <v>0</v>
      </c>
      <c r="I1740" s="18">
        <v>314.42</v>
      </c>
      <c r="J1740" s="27">
        <v>607.26</v>
      </c>
      <c r="K1740" s="18">
        <f t="shared" si="55"/>
        <v>0</v>
      </c>
      <c r="L1740" s="27">
        <v>343.58</v>
      </c>
      <c r="M1740" s="36">
        <v>29.16</v>
      </c>
      <c r="T1740" s="41">
        <v>0</v>
      </c>
      <c r="U1740" s="41">
        <v>0</v>
      </c>
      <c r="V1740" s="42" t="s">
        <v>113</v>
      </c>
      <c r="W1740" s="42">
        <v>0</v>
      </c>
      <c r="X1740" s="42">
        <v>0</v>
      </c>
    </row>
    <row r="1741" spans="1:24">
      <c r="A1741" s="27" t="s">
        <v>3335</v>
      </c>
      <c r="B1741" s="28" t="s">
        <v>215</v>
      </c>
      <c r="C1741" s="27" t="s">
        <v>3336</v>
      </c>
      <c r="D1741" s="27" t="s">
        <v>230</v>
      </c>
      <c r="E1741" s="29">
        <v>41269</v>
      </c>
      <c r="F1741" s="27">
        <v>15</v>
      </c>
      <c r="G1741" s="18">
        <v>99991.29</v>
      </c>
      <c r="H1741" s="27">
        <f t="shared" si="54"/>
        <v>0</v>
      </c>
      <c r="I1741" s="18">
        <v>51771.56</v>
      </c>
      <c r="J1741" s="27">
        <v>99991.29</v>
      </c>
      <c r="K1741" s="18">
        <f t="shared" si="55"/>
        <v>0</v>
      </c>
      <c r="L1741" s="27">
        <v>56573.8</v>
      </c>
      <c r="M1741" s="36">
        <v>4802.24</v>
      </c>
      <c r="T1741" s="41">
        <v>0</v>
      </c>
      <c r="U1741" s="41">
        <v>0</v>
      </c>
      <c r="V1741" s="42" t="s">
        <v>113</v>
      </c>
      <c r="W1741" s="42">
        <v>0</v>
      </c>
      <c r="X1741" s="42">
        <v>0</v>
      </c>
    </row>
    <row r="1742" spans="1:24">
      <c r="A1742" s="27" t="s">
        <v>3337</v>
      </c>
      <c r="B1742" s="28" t="s">
        <v>215</v>
      </c>
      <c r="C1742" s="27" t="s">
        <v>3338</v>
      </c>
      <c r="D1742" s="27" t="s">
        <v>230</v>
      </c>
      <c r="E1742" s="29">
        <v>41269</v>
      </c>
      <c r="F1742" s="27">
        <v>15</v>
      </c>
      <c r="G1742" s="18">
        <v>607.26</v>
      </c>
      <c r="H1742" s="27">
        <f t="shared" si="54"/>
        <v>0</v>
      </c>
      <c r="I1742" s="18">
        <v>314.42</v>
      </c>
      <c r="J1742" s="27">
        <v>607.26</v>
      </c>
      <c r="K1742" s="18">
        <f t="shared" si="55"/>
        <v>0</v>
      </c>
      <c r="L1742" s="27">
        <v>343.58</v>
      </c>
      <c r="M1742" s="36">
        <v>29.16</v>
      </c>
      <c r="T1742" s="41">
        <v>0</v>
      </c>
      <c r="U1742" s="41">
        <v>0</v>
      </c>
      <c r="V1742" s="42" t="s">
        <v>113</v>
      </c>
      <c r="W1742" s="42">
        <v>0</v>
      </c>
      <c r="X1742" s="42">
        <v>0</v>
      </c>
    </row>
    <row r="1743" spans="1:24">
      <c r="A1743" s="27" t="s">
        <v>3339</v>
      </c>
      <c r="B1743" s="28" t="s">
        <v>215</v>
      </c>
      <c r="C1743" s="27" t="s">
        <v>3340</v>
      </c>
      <c r="D1743" s="27" t="s">
        <v>230</v>
      </c>
      <c r="E1743" s="29">
        <v>41269</v>
      </c>
      <c r="F1743" s="27">
        <v>15</v>
      </c>
      <c r="G1743" s="18">
        <v>126922.36</v>
      </c>
      <c r="H1743" s="27">
        <f t="shared" si="54"/>
        <v>0</v>
      </c>
      <c r="I1743" s="18">
        <v>65715.42</v>
      </c>
      <c r="J1743" s="27">
        <v>126922.36</v>
      </c>
      <c r="K1743" s="18">
        <f t="shared" si="55"/>
        <v>0</v>
      </c>
      <c r="L1743" s="27">
        <v>71811.070000000007</v>
      </c>
      <c r="M1743" s="36">
        <v>6095.65</v>
      </c>
      <c r="T1743" s="41">
        <v>0</v>
      </c>
      <c r="U1743" s="41">
        <v>0</v>
      </c>
      <c r="V1743" s="42" t="s">
        <v>113</v>
      </c>
      <c r="W1743" s="42">
        <v>0</v>
      </c>
      <c r="X1743" s="42">
        <v>0</v>
      </c>
    </row>
    <row r="1744" spans="1:24">
      <c r="A1744" s="27" t="s">
        <v>3341</v>
      </c>
      <c r="B1744" s="28" t="s">
        <v>215</v>
      </c>
      <c r="C1744" s="27" t="s">
        <v>3342</v>
      </c>
      <c r="D1744" s="27" t="s">
        <v>230</v>
      </c>
      <c r="E1744" s="29">
        <v>41269</v>
      </c>
      <c r="F1744" s="27">
        <v>15</v>
      </c>
      <c r="G1744" s="18">
        <v>607.26</v>
      </c>
      <c r="H1744" s="27">
        <f t="shared" si="54"/>
        <v>0</v>
      </c>
      <c r="I1744" s="18">
        <v>314.42</v>
      </c>
      <c r="J1744" s="27">
        <v>607.26</v>
      </c>
      <c r="K1744" s="18">
        <f t="shared" si="55"/>
        <v>0</v>
      </c>
      <c r="L1744" s="27">
        <v>343.58</v>
      </c>
      <c r="M1744" s="36">
        <v>29.16</v>
      </c>
      <c r="T1744" s="41">
        <v>0</v>
      </c>
      <c r="U1744" s="41">
        <v>0</v>
      </c>
      <c r="V1744" s="42" t="s">
        <v>113</v>
      </c>
      <c r="W1744" s="42">
        <v>0</v>
      </c>
      <c r="X1744" s="42">
        <v>0</v>
      </c>
    </row>
    <row r="1745" spans="1:24">
      <c r="A1745" s="27" t="s">
        <v>3343</v>
      </c>
      <c r="B1745" s="28" t="s">
        <v>215</v>
      </c>
      <c r="C1745" s="27" t="s">
        <v>3344</v>
      </c>
      <c r="D1745" s="27" t="s">
        <v>230</v>
      </c>
      <c r="E1745" s="29">
        <v>41269</v>
      </c>
      <c r="F1745" s="27">
        <v>15</v>
      </c>
      <c r="G1745" s="18">
        <v>607.26</v>
      </c>
      <c r="H1745" s="27">
        <f t="shared" si="54"/>
        <v>0</v>
      </c>
      <c r="I1745" s="18">
        <v>314.42</v>
      </c>
      <c r="J1745" s="27">
        <v>607.26</v>
      </c>
      <c r="K1745" s="18">
        <f t="shared" si="55"/>
        <v>0</v>
      </c>
      <c r="L1745" s="27">
        <v>343.58</v>
      </c>
      <c r="M1745" s="36">
        <v>29.16</v>
      </c>
      <c r="T1745" s="41">
        <v>0</v>
      </c>
      <c r="U1745" s="41">
        <v>0</v>
      </c>
      <c r="V1745" s="42" t="s">
        <v>113</v>
      </c>
      <c r="W1745" s="42">
        <v>0</v>
      </c>
      <c r="X1745" s="42">
        <v>0</v>
      </c>
    </row>
    <row r="1746" spans="1:24">
      <c r="A1746" s="27" t="s">
        <v>3345</v>
      </c>
      <c r="B1746" s="28" t="s">
        <v>215</v>
      </c>
      <c r="C1746" s="27" t="s">
        <v>3346</v>
      </c>
      <c r="D1746" s="27" t="s">
        <v>230</v>
      </c>
      <c r="E1746" s="29">
        <v>41269</v>
      </c>
      <c r="F1746" s="27">
        <v>15</v>
      </c>
      <c r="G1746" s="18">
        <v>607.26</v>
      </c>
      <c r="H1746" s="27">
        <f t="shared" si="54"/>
        <v>0</v>
      </c>
      <c r="I1746" s="18">
        <v>314.42</v>
      </c>
      <c r="J1746" s="27">
        <v>607.26</v>
      </c>
      <c r="K1746" s="18">
        <f t="shared" si="55"/>
        <v>0</v>
      </c>
      <c r="L1746" s="27">
        <v>343.58</v>
      </c>
      <c r="M1746" s="36">
        <v>29.16</v>
      </c>
      <c r="T1746" s="41">
        <v>0</v>
      </c>
      <c r="U1746" s="41">
        <v>0</v>
      </c>
      <c r="V1746" s="42" t="s">
        <v>113</v>
      </c>
      <c r="W1746" s="42">
        <v>0</v>
      </c>
      <c r="X1746" s="42">
        <v>0</v>
      </c>
    </row>
    <row r="1747" spans="1:24">
      <c r="A1747" s="27" t="s">
        <v>3347</v>
      </c>
      <c r="B1747" s="28" t="s">
        <v>215</v>
      </c>
      <c r="C1747" s="27" t="s">
        <v>3348</v>
      </c>
      <c r="D1747" s="27" t="s">
        <v>230</v>
      </c>
      <c r="E1747" s="29">
        <v>41269</v>
      </c>
      <c r="F1747" s="27">
        <v>15</v>
      </c>
      <c r="G1747" s="18">
        <v>99991.29</v>
      </c>
      <c r="H1747" s="27">
        <f t="shared" si="54"/>
        <v>0</v>
      </c>
      <c r="I1747" s="18">
        <v>51771.57</v>
      </c>
      <c r="J1747" s="27">
        <v>99991.29</v>
      </c>
      <c r="K1747" s="18">
        <f t="shared" si="55"/>
        <v>0</v>
      </c>
      <c r="L1747" s="27">
        <v>56573.81</v>
      </c>
      <c r="M1747" s="36">
        <v>4802.24</v>
      </c>
      <c r="T1747" s="41">
        <v>0</v>
      </c>
      <c r="U1747" s="41">
        <v>0</v>
      </c>
      <c r="V1747" s="42" t="s">
        <v>113</v>
      </c>
      <c r="W1747" s="42">
        <v>0</v>
      </c>
      <c r="X1747" s="42">
        <v>0</v>
      </c>
    </row>
    <row r="1748" spans="1:24">
      <c r="A1748" s="27" t="s">
        <v>3349</v>
      </c>
      <c r="B1748" s="28" t="s">
        <v>215</v>
      </c>
      <c r="C1748" s="27" t="s">
        <v>3350</v>
      </c>
      <c r="D1748" s="27" t="s">
        <v>230</v>
      </c>
      <c r="E1748" s="29">
        <v>41269</v>
      </c>
      <c r="F1748" s="27">
        <v>15</v>
      </c>
      <c r="G1748" s="18">
        <v>126924.36</v>
      </c>
      <c r="H1748" s="27">
        <f t="shared" si="54"/>
        <v>0</v>
      </c>
      <c r="I1748" s="18">
        <v>65716.45</v>
      </c>
      <c r="J1748" s="27">
        <v>126924.36</v>
      </c>
      <c r="K1748" s="18">
        <f t="shared" si="55"/>
        <v>0</v>
      </c>
      <c r="L1748" s="27">
        <v>71812.19</v>
      </c>
      <c r="M1748" s="36">
        <v>6095.74</v>
      </c>
      <c r="T1748" s="41">
        <v>0</v>
      </c>
      <c r="U1748" s="41">
        <v>0</v>
      </c>
      <c r="V1748" s="42" t="s">
        <v>113</v>
      </c>
      <c r="W1748" s="42">
        <v>0</v>
      </c>
      <c r="X1748" s="42">
        <v>0</v>
      </c>
    </row>
    <row r="1749" spans="1:24">
      <c r="A1749" s="27" t="s">
        <v>3351</v>
      </c>
      <c r="B1749" s="28" t="s">
        <v>215</v>
      </c>
      <c r="C1749" s="27" t="s">
        <v>3352</v>
      </c>
      <c r="D1749" s="27" t="s">
        <v>230</v>
      </c>
      <c r="E1749" s="29">
        <v>41269</v>
      </c>
      <c r="F1749" s="27">
        <v>15</v>
      </c>
      <c r="G1749" s="18">
        <v>607.26</v>
      </c>
      <c r="H1749" s="27">
        <f t="shared" si="54"/>
        <v>0</v>
      </c>
      <c r="I1749" s="18">
        <v>314.42</v>
      </c>
      <c r="J1749" s="27">
        <v>607.26</v>
      </c>
      <c r="K1749" s="18">
        <f t="shared" si="55"/>
        <v>0</v>
      </c>
      <c r="L1749" s="27">
        <v>343.58</v>
      </c>
      <c r="M1749" s="36">
        <v>29.16</v>
      </c>
      <c r="T1749" s="41">
        <v>0</v>
      </c>
      <c r="U1749" s="41">
        <v>0</v>
      </c>
      <c r="V1749" s="42" t="s">
        <v>113</v>
      </c>
      <c r="W1749" s="42">
        <v>0</v>
      </c>
      <c r="X1749" s="42">
        <v>0</v>
      </c>
    </row>
    <row r="1750" spans="1:24">
      <c r="A1750" s="27" t="s">
        <v>3353</v>
      </c>
      <c r="B1750" s="28" t="s">
        <v>215</v>
      </c>
      <c r="C1750" s="27" t="s">
        <v>3354</v>
      </c>
      <c r="D1750" s="27" t="s">
        <v>230</v>
      </c>
      <c r="E1750" s="29">
        <v>41269</v>
      </c>
      <c r="F1750" s="27">
        <v>15</v>
      </c>
      <c r="G1750" s="18">
        <v>607.26</v>
      </c>
      <c r="H1750" s="27">
        <f t="shared" si="54"/>
        <v>0</v>
      </c>
      <c r="I1750" s="18">
        <v>314.42</v>
      </c>
      <c r="J1750" s="27">
        <v>607.26</v>
      </c>
      <c r="K1750" s="18">
        <f t="shared" si="55"/>
        <v>0</v>
      </c>
      <c r="L1750" s="27">
        <v>343.58</v>
      </c>
      <c r="M1750" s="36">
        <v>29.16</v>
      </c>
      <c r="T1750" s="41">
        <v>0</v>
      </c>
      <c r="U1750" s="41">
        <v>0</v>
      </c>
      <c r="V1750" s="42" t="s">
        <v>113</v>
      </c>
      <c r="W1750" s="42">
        <v>0</v>
      </c>
      <c r="X1750" s="42">
        <v>0</v>
      </c>
    </row>
    <row r="1751" spans="1:24">
      <c r="A1751" s="27" t="s">
        <v>3355</v>
      </c>
      <c r="B1751" s="28" t="s">
        <v>215</v>
      </c>
      <c r="C1751" s="27" t="s">
        <v>3356</v>
      </c>
      <c r="D1751" s="27" t="s">
        <v>230</v>
      </c>
      <c r="E1751" s="29">
        <v>41269</v>
      </c>
      <c r="F1751" s="27">
        <v>15</v>
      </c>
      <c r="G1751" s="18">
        <v>607.26</v>
      </c>
      <c r="H1751" s="27">
        <f t="shared" si="54"/>
        <v>0</v>
      </c>
      <c r="I1751" s="18">
        <v>314.42</v>
      </c>
      <c r="J1751" s="27">
        <v>607.26</v>
      </c>
      <c r="K1751" s="18">
        <f t="shared" si="55"/>
        <v>0</v>
      </c>
      <c r="L1751" s="27">
        <v>343.58</v>
      </c>
      <c r="M1751" s="36">
        <v>29.16</v>
      </c>
      <c r="T1751" s="41">
        <v>0</v>
      </c>
      <c r="U1751" s="41">
        <v>0</v>
      </c>
      <c r="V1751" s="42" t="s">
        <v>113</v>
      </c>
      <c r="W1751" s="42">
        <v>0</v>
      </c>
      <c r="X1751" s="42">
        <v>0</v>
      </c>
    </row>
    <row r="1752" spans="1:24">
      <c r="A1752" s="27" t="s">
        <v>3357</v>
      </c>
      <c r="B1752" s="28" t="s">
        <v>215</v>
      </c>
      <c r="C1752" s="27" t="s">
        <v>3358</v>
      </c>
      <c r="D1752" s="27" t="s">
        <v>230</v>
      </c>
      <c r="E1752" s="29">
        <v>41269</v>
      </c>
      <c r="F1752" s="27">
        <v>15</v>
      </c>
      <c r="G1752" s="18">
        <v>126923.36</v>
      </c>
      <c r="H1752" s="27">
        <f t="shared" si="54"/>
        <v>0</v>
      </c>
      <c r="I1752" s="18">
        <v>65715.94</v>
      </c>
      <c r="J1752" s="27">
        <v>126923.36</v>
      </c>
      <c r="K1752" s="18">
        <f t="shared" si="55"/>
        <v>0</v>
      </c>
      <c r="L1752" s="27">
        <v>71811.63</v>
      </c>
      <c r="M1752" s="36">
        <v>6095.69</v>
      </c>
      <c r="T1752" s="41">
        <v>0</v>
      </c>
      <c r="U1752" s="41">
        <v>0</v>
      </c>
      <c r="V1752" s="42" t="s">
        <v>113</v>
      </c>
      <c r="W1752" s="42">
        <v>0</v>
      </c>
      <c r="X1752" s="42">
        <v>0</v>
      </c>
    </row>
    <row r="1753" spans="1:24">
      <c r="A1753" s="27" t="s">
        <v>3359</v>
      </c>
      <c r="B1753" s="28" t="s">
        <v>215</v>
      </c>
      <c r="C1753" s="27" t="s">
        <v>3360</v>
      </c>
      <c r="D1753" s="27" t="s">
        <v>230</v>
      </c>
      <c r="E1753" s="29">
        <v>41269</v>
      </c>
      <c r="F1753" s="27">
        <v>15</v>
      </c>
      <c r="G1753" s="18">
        <v>99991.29</v>
      </c>
      <c r="H1753" s="27">
        <f t="shared" si="54"/>
        <v>0</v>
      </c>
      <c r="I1753" s="18">
        <v>51771.56</v>
      </c>
      <c r="J1753" s="27">
        <v>99991.29</v>
      </c>
      <c r="K1753" s="18">
        <f t="shared" si="55"/>
        <v>0</v>
      </c>
      <c r="L1753" s="27">
        <v>56573.8</v>
      </c>
      <c r="M1753" s="36">
        <v>4802.24</v>
      </c>
      <c r="T1753" s="41">
        <v>0</v>
      </c>
      <c r="U1753" s="41">
        <v>0</v>
      </c>
      <c r="V1753" s="42" t="s">
        <v>113</v>
      </c>
      <c r="W1753" s="42">
        <v>0</v>
      </c>
      <c r="X1753" s="42">
        <v>0</v>
      </c>
    </row>
    <row r="1754" spans="1:24">
      <c r="A1754" s="27" t="s">
        <v>3361</v>
      </c>
      <c r="B1754" s="28" t="s">
        <v>215</v>
      </c>
      <c r="C1754" s="27" t="s">
        <v>3362</v>
      </c>
      <c r="D1754" s="27" t="s">
        <v>230</v>
      </c>
      <c r="E1754" s="29">
        <v>41269</v>
      </c>
      <c r="F1754" s="27">
        <v>15</v>
      </c>
      <c r="G1754" s="18">
        <v>607.26</v>
      </c>
      <c r="H1754" s="27">
        <f t="shared" si="54"/>
        <v>0</v>
      </c>
      <c r="I1754" s="18">
        <v>314.42</v>
      </c>
      <c r="J1754" s="27">
        <v>607.26</v>
      </c>
      <c r="K1754" s="18">
        <f t="shared" si="55"/>
        <v>0</v>
      </c>
      <c r="L1754" s="27">
        <v>343.58</v>
      </c>
      <c r="M1754" s="36">
        <v>29.16</v>
      </c>
      <c r="T1754" s="41">
        <v>0</v>
      </c>
      <c r="U1754" s="41">
        <v>0</v>
      </c>
      <c r="V1754" s="42" t="s">
        <v>113</v>
      </c>
      <c r="W1754" s="42">
        <v>0</v>
      </c>
      <c r="X1754" s="42">
        <v>0</v>
      </c>
    </row>
    <row r="1755" spans="1:24">
      <c r="A1755" s="27" t="s">
        <v>3363</v>
      </c>
      <c r="B1755" s="28" t="s">
        <v>215</v>
      </c>
      <c r="C1755" s="27" t="s">
        <v>3364</v>
      </c>
      <c r="D1755" s="27" t="s">
        <v>230</v>
      </c>
      <c r="E1755" s="29">
        <v>41269</v>
      </c>
      <c r="F1755" s="27">
        <v>15</v>
      </c>
      <c r="G1755" s="18">
        <v>607.26</v>
      </c>
      <c r="H1755" s="27">
        <f t="shared" si="54"/>
        <v>0</v>
      </c>
      <c r="I1755" s="18">
        <v>314.42</v>
      </c>
      <c r="J1755" s="27">
        <v>607.26</v>
      </c>
      <c r="K1755" s="18">
        <f t="shared" si="55"/>
        <v>0</v>
      </c>
      <c r="L1755" s="27">
        <v>343.58</v>
      </c>
      <c r="M1755" s="36">
        <v>29.16</v>
      </c>
      <c r="T1755" s="41">
        <v>0</v>
      </c>
      <c r="U1755" s="41">
        <v>0</v>
      </c>
      <c r="V1755" s="42" t="s">
        <v>113</v>
      </c>
      <c r="W1755" s="42">
        <v>0</v>
      </c>
      <c r="X1755" s="42">
        <v>0</v>
      </c>
    </row>
    <row r="1756" spans="1:24">
      <c r="A1756" s="27" t="s">
        <v>3365</v>
      </c>
      <c r="B1756" s="28" t="s">
        <v>215</v>
      </c>
      <c r="C1756" s="27" t="s">
        <v>3366</v>
      </c>
      <c r="D1756" s="27" t="s">
        <v>230</v>
      </c>
      <c r="E1756" s="29">
        <v>41269</v>
      </c>
      <c r="F1756" s="27">
        <v>15</v>
      </c>
      <c r="G1756" s="18">
        <v>607.26</v>
      </c>
      <c r="H1756" s="27">
        <f t="shared" si="54"/>
        <v>0</v>
      </c>
      <c r="I1756" s="18">
        <v>314.42</v>
      </c>
      <c r="J1756" s="27">
        <v>607.26</v>
      </c>
      <c r="K1756" s="18">
        <f t="shared" si="55"/>
        <v>0</v>
      </c>
      <c r="L1756" s="27">
        <v>343.58</v>
      </c>
      <c r="M1756" s="36">
        <v>29.16</v>
      </c>
      <c r="T1756" s="41">
        <v>0</v>
      </c>
      <c r="U1756" s="41">
        <v>0</v>
      </c>
      <c r="V1756" s="42" t="s">
        <v>113</v>
      </c>
      <c r="W1756" s="42">
        <v>0</v>
      </c>
      <c r="X1756" s="42">
        <v>0</v>
      </c>
    </row>
    <row r="1757" spans="1:24">
      <c r="A1757" s="27" t="s">
        <v>3367</v>
      </c>
      <c r="B1757" s="28" t="s">
        <v>215</v>
      </c>
      <c r="C1757" s="27" t="s">
        <v>2539</v>
      </c>
      <c r="D1757" s="27" t="s">
        <v>230</v>
      </c>
      <c r="E1757" s="29">
        <v>41269</v>
      </c>
      <c r="F1757" s="27">
        <v>15</v>
      </c>
      <c r="G1757" s="18">
        <v>99991.29</v>
      </c>
      <c r="H1757" s="27">
        <f t="shared" si="54"/>
        <v>0</v>
      </c>
      <c r="I1757" s="18">
        <v>51771.57</v>
      </c>
      <c r="J1757" s="27">
        <v>99991.29</v>
      </c>
      <c r="K1757" s="18">
        <f t="shared" si="55"/>
        <v>0</v>
      </c>
      <c r="L1757" s="27">
        <v>56573.81</v>
      </c>
      <c r="M1757" s="36">
        <v>4802.24</v>
      </c>
      <c r="T1757" s="41">
        <v>0</v>
      </c>
      <c r="U1757" s="41">
        <v>0</v>
      </c>
      <c r="V1757" s="42" t="s">
        <v>113</v>
      </c>
      <c r="W1757" s="42">
        <v>0</v>
      </c>
      <c r="X1757" s="42">
        <v>0</v>
      </c>
    </row>
    <row r="1758" spans="1:24">
      <c r="A1758" s="27" t="s">
        <v>3368</v>
      </c>
      <c r="B1758" s="28" t="s">
        <v>215</v>
      </c>
      <c r="C1758" s="27" t="s">
        <v>3369</v>
      </c>
      <c r="D1758" s="27" t="s">
        <v>230</v>
      </c>
      <c r="E1758" s="29">
        <v>41269</v>
      </c>
      <c r="F1758" s="27">
        <v>15</v>
      </c>
      <c r="G1758" s="18">
        <v>126925.36</v>
      </c>
      <c r="H1758" s="27">
        <f t="shared" si="54"/>
        <v>0</v>
      </c>
      <c r="I1758" s="18">
        <v>65716.960000000006</v>
      </c>
      <c r="J1758" s="27">
        <v>126925.36</v>
      </c>
      <c r="K1758" s="18">
        <f t="shared" si="55"/>
        <v>0</v>
      </c>
      <c r="L1758" s="27">
        <v>71812.75</v>
      </c>
      <c r="M1758" s="36">
        <v>6095.79</v>
      </c>
      <c r="T1758" s="41">
        <v>0</v>
      </c>
      <c r="U1758" s="41">
        <v>0</v>
      </c>
      <c r="V1758" s="42" t="s">
        <v>113</v>
      </c>
      <c r="W1758" s="42">
        <v>0</v>
      </c>
      <c r="X1758" s="42">
        <v>0</v>
      </c>
    </row>
    <row r="1759" spans="1:24">
      <c r="A1759" s="27" t="s">
        <v>3370</v>
      </c>
      <c r="B1759" s="28" t="s">
        <v>215</v>
      </c>
      <c r="C1759" s="27" t="s">
        <v>3371</v>
      </c>
      <c r="D1759" s="27" t="s">
        <v>230</v>
      </c>
      <c r="E1759" s="29">
        <v>41272</v>
      </c>
      <c r="F1759" s="27">
        <v>12</v>
      </c>
      <c r="G1759" s="18">
        <v>1650.54</v>
      </c>
      <c r="H1759" s="27">
        <f t="shared" si="54"/>
        <v>1650.54</v>
      </c>
      <c r="I1759" s="18">
        <v>1650.54</v>
      </c>
      <c r="J1759" s="27">
        <v>1650.54</v>
      </c>
      <c r="K1759" s="18">
        <f t="shared" si="55"/>
        <v>1650.54</v>
      </c>
      <c r="L1759" s="27">
        <v>1650.54</v>
      </c>
      <c r="M1759" s="36">
        <v>0</v>
      </c>
      <c r="T1759" s="41">
        <v>0</v>
      </c>
      <c r="U1759" s="41">
        <v>0</v>
      </c>
      <c r="V1759" s="42" t="s">
        <v>113</v>
      </c>
      <c r="W1759" s="42">
        <v>1650.54</v>
      </c>
      <c r="X1759" s="42">
        <v>1650.54</v>
      </c>
    </row>
    <row r="1760" spans="1:24">
      <c r="A1760" s="27" t="s">
        <v>3372</v>
      </c>
      <c r="B1760" s="28" t="s">
        <v>215</v>
      </c>
      <c r="C1760" s="27" t="s">
        <v>3373</v>
      </c>
      <c r="D1760" s="27" t="s">
        <v>230</v>
      </c>
      <c r="E1760" s="29">
        <v>41272</v>
      </c>
      <c r="F1760" s="27">
        <v>12</v>
      </c>
      <c r="G1760" s="18">
        <v>1650.54</v>
      </c>
      <c r="H1760" s="27">
        <f t="shared" si="54"/>
        <v>1650.54</v>
      </c>
      <c r="I1760" s="18">
        <v>1650.54</v>
      </c>
      <c r="J1760" s="27">
        <v>1650.54</v>
      </c>
      <c r="K1760" s="18">
        <f t="shared" si="55"/>
        <v>1650.54</v>
      </c>
      <c r="L1760" s="27">
        <v>1650.54</v>
      </c>
      <c r="M1760" s="36">
        <v>0</v>
      </c>
      <c r="T1760" s="41">
        <v>0</v>
      </c>
      <c r="U1760" s="41">
        <v>0</v>
      </c>
      <c r="V1760" s="42" t="s">
        <v>113</v>
      </c>
      <c r="W1760" s="42">
        <v>1650.54</v>
      </c>
      <c r="X1760" s="42">
        <v>1650.54</v>
      </c>
    </row>
    <row r="1761" spans="1:24">
      <c r="A1761" s="27" t="s">
        <v>3374</v>
      </c>
      <c r="B1761" s="28" t="s">
        <v>215</v>
      </c>
      <c r="C1761" s="27" t="s">
        <v>3375</v>
      </c>
      <c r="D1761" s="27" t="s">
        <v>230</v>
      </c>
      <c r="E1761" s="29">
        <v>41272</v>
      </c>
      <c r="F1761" s="27">
        <v>12</v>
      </c>
      <c r="G1761" s="18">
        <v>1650.54</v>
      </c>
      <c r="H1761" s="27">
        <f t="shared" si="54"/>
        <v>1650.54</v>
      </c>
      <c r="I1761" s="18">
        <v>1650.54</v>
      </c>
      <c r="J1761" s="27">
        <v>1650.54</v>
      </c>
      <c r="K1761" s="18">
        <f t="shared" si="55"/>
        <v>1650.54</v>
      </c>
      <c r="L1761" s="27">
        <v>1650.54</v>
      </c>
      <c r="M1761" s="36">
        <v>0</v>
      </c>
      <c r="T1761" s="41">
        <v>0</v>
      </c>
      <c r="U1761" s="41">
        <v>0</v>
      </c>
      <c r="V1761" s="42" t="s">
        <v>113</v>
      </c>
      <c r="W1761" s="42">
        <v>1650.54</v>
      </c>
      <c r="X1761" s="42">
        <v>1650.54</v>
      </c>
    </row>
    <row r="1762" spans="1:24">
      <c r="A1762" s="27" t="s">
        <v>3376</v>
      </c>
      <c r="B1762" s="28" t="s">
        <v>215</v>
      </c>
      <c r="C1762" s="27" t="s">
        <v>3377</v>
      </c>
      <c r="D1762" s="27" t="s">
        <v>230</v>
      </c>
      <c r="E1762" s="29">
        <v>40268</v>
      </c>
      <c r="F1762" s="27">
        <v>12</v>
      </c>
      <c r="G1762" s="18">
        <v>400</v>
      </c>
      <c r="H1762" s="27">
        <f t="shared" si="54"/>
        <v>400</v>
      </c>
      <c r="I1762" s="18">
        <v>400</v>
      </c>
      <c r="J1762" s="27">
        <v>400</v>
      </c>
      <c r="K1762" s="18">
        <f t="shared" si="55"/>
        <v>400</v>
      </c>
      <c r="L1762" s="27">
        <v>400</v>
      </c>
      <c r="M1762" s="36">
        <v>0</v>
      </c>
      <c r="T1762" s="41">
        <v>0</v>
      </c>
      <c r="U1762" s="41">
        <v>0</v>
      </c>
      <c r="V1762" s="42" t="s">
        <v>113</v>
      </c>
      <c r="W1762" s="42">
        <v>400</v>
      </c>
      <c r="X1762" s="42">
        <v>400</v>
      </c>
    </row>
    <row r="1763" spans="1:24">
      <c r="A1763" s="27" t="s">
        <v>3378</v>
      </c>
      <c r="B1763" s="28" t="s">
        <v>215</v>
      </c>
      <c r="C1763" s="27" t="s">
        <v>3379</v>
      </c>
      <c r="D1763" s="27" t="s">
        <v>230</v>
      </c>
      <c r="E1763" s="29">
        <v>40268</v>
      </c>
      <c r="F1763" s="27">
        <v>12</v>
      </c>
      <c r="G1763" s="18">
        <v>400</v>
      </c>
      <c r="H1763" s="27">
        <f t="shared" si="54"/>
        <v>400</v>
      </c>
      <c r="I1763" s="18">
        <v>400</v>
      </c>
      <c r="J1763" s="27">
        <v>400</v>
      </c>
      <c r="K1763" s="18">
        <f t="shared" si="55"/>
        <v>400</v>
      </c>
      <c r="L1763" s="27">
        <v>400</v>
      </c>
      <c r="M1763" s="36">
        <v>0</v>
      </c>
      <c r="T1763" s="41">
        <v>0</v>
      </c>
      <c r="U1763" s="41">
        <v>0</v>
      </c>
      <c r="V1763" s="42" t="s">
        <v>113</v>
      </c>
      <c r="W1763" s="42">
        <v>400</v>
      </c>
      <c r="X1763" s="42">
        <v>400</v>
      </c>
    </row>
    <row r="1764" spans="1:24">
      <c r="A1764" s="27" t="s">
        <v>3380</v>
      </c>
      <c r="B1764" s="28" t="s">
        <v>215</v>
      </c>
      <c r="C1764" s="27" t="s">
        <v>3381</v>
      </c>
      <c r="D1764" s="27" t="s">
        <v>230</v>
      </c>
      <c r="E1764" s="29">
        <v>40268</v>
      </c>
      <c r="F1764" s="27">
        <v>12</v>
      </c>
      <c r="G1764" s="18">
        <v>400</v>
      </c>
      <c r="H1764" s="27">
        <f t="shared" si="54"/>
        <v>400</v>
      </c>
      <c r="I1764" s="18">
        <v>400</v>
      </c>
      <c r="J1764" s="27">
        <v>400</v>
      </c>
      <c r="K1764" s="18">
        <f t="shared" si="55"/>
        <v>400</v>
      </c>
      <c r="L1764" s="27">
        <v>400</v>
      </c>
      <c r="M1764" s="36">
        <v>0</v>
      </c>
      <c r="T1764" s="41">
        <v>0</v>
      </c>
      <c r="U1764" s="41">
        <v>0</v>
      </c>
      <c r="V1764" s="42" t="s">
        <v>113</v>
      </c>
      <c r="W1764" s="42">
        <v>400</v>
      </c>
      <c r="X1764" s="42">
        <v>400</v>
      </c>
    </row>
    <row r="1765" spans="1:24">
      <c r="A1765" s="27" t="s">
        <v>3382</v>
      </c>
      <c r="B1765" s="28" t="s">
        <v>215</v>
      </c>
      <c r="C1765" s="27" t="s">
        <v>3383</v>
      </c>
      <c r="D1765" s="27" t="s">
        <v>112</v>
      </c>
      <c r="E1765" s="29">
        <v>40268</v>
      </c>
      <c r="F1765" s="27">
        <v>12</v>
      </c>
      <c r="G1765" s="18">
        <v>400</v>
      </c>
      <c r="H1765" s="27">
        <f t="shared" si="54"/>
        <v>400</v>
      </c>
      <c r="I1765" s="18">
        <v>400</v>
      </c>
      <c r="J1765" s="27">
        <v>400</v>
      </c>
      <c r="K1765" s="18">
        <f t="shared" si="55"/>
        <v>400</v>
      </c>
      <c r="L1765" s="27">
        <v>400</v>
      </c>
      <c r="M1765" s="36">
        <v>0</v>
      </c>
      <c r="T1765" s="41">
        <v>0</v>
      </c>
      <c r="U1765" s="41">
        <v>0</v>
      </c>
      <c r="V1765" s="42" t="s">
        <v>113</v>
      </c>
      <c r="W1765" s="42">
        <v>400</v>
      </c>
      <c r="X1765" s="42">
        <v>400</v>
      </c>
    </row>
    <row r="1766" spans="1:24">
      <c r="A1766" s="27" t="s">
        <v>3384</v>
      </c>
      <c r="B1766" s="28" t="s">
        <v>215</v>
      </c>
      <c r="C1766" s="27" t="s">
        <v>3385</v>
      </c>
      <c r="D1766" s="27" t="s">
        <v>112</v>
      </c>
      <c r="E1766" s="29">
        <v>40268</v>
      </c>
      <c r="F1766" s="27">
        <v>12</v>
      </c>
      <c r="G1766" s="18">
        <v>400</v>
      </c>
      <c r="H1766" s="27">
        <f t="shared" si="54"/>
        <v>400</v>
      </c>
      <c r="I1766" s="18">
        <v>400</v>
      </c>
      <c r="J1766" s="27">
        <v>400</v>
      </c>
      <c r="K1766" s="18">
        <f t="shared" si="55"/>
        <v>400</v>
      </c>
      <c r="L1766" s="27">
        <v>400</v>
      </c>
      <c r="M1766" s="36">
        <v>0</v>
      </c>
      <c r="T1766" s="41">
        <v>0</v>
      </c>
      <c r="U1766" s="41">
        <v>0</v>
      </c>
      <c r="V1766" s="42" t="s">
        <v>113</v>
      </c>
      <c r="W1766" s="42">
        <v>400</v>
      </c>
      <c r="X1766" s="42">
        <v>400</v>
      </c>
    </row>
    <row r="1767" spans="1:24">
      <c r="A1767" s="27" t="s">
        <v>3386</v>
      </c>
      <c r="B1767" s="28" t="s">
        <v>215</v>
      </c>
      <c r="C1767" s="27" t="s">
        <v>3387</v>
      </c>
      <c r="D1767" s="27" t="s">
        <v>112</v>
      </c>
      <c r="E1767" s="29">
        <v>40268</v>
      </c>
      <c r="F1767" s="27">
        <v>12</v>
      </c>
      <c r="G1767" s="18">
        <v>400</v>
      </c>
      <c r="H1767" s="27">
        <f t="shared" si="54"/>
        <v>400</v>
      </c>
      <c r="I1767" s="18">
        <v>400</v>
      </c>
      <c r="J1767" s="27">
        <v>400</v>
      </c>
      <c r="K1767" s="18">
        <f t="shared" si="55"/>
        <v>400</v>
      </c>
      <c r="L1767" s="27">
        <v>400</v>
      </c>
      <c r="M1767" s="36">
        <v>0</v>
      </c>
      <c r="T1767" s="41">
        <v>0</v>
      </c>
      <c r="U1767" s="41">
        <v>0</v>
      </c>
      <c r="V1767" s="42" t="s">
        <v>113</v>
      </c>
      <c r="W1767" s="42">
        <v>400</v>
      </c>
      <c r="X1767" s="42">
        <v>400</v>
      </c>
    </row>
    <row r="1768" spans="1:24">
      <c r="A1768" s="27" t="s">
        <v>3388</v>
      </c>
      <c r="B1768" s="28" t="s">
        <v>215</v>
      </c>
      <c r="C1768" s="27" t="s">
        <v>3377</v>
      </c>
      <c r="D1768" s="27" t="s">
        <v>230</v>
      </c>
      <c r="E1768" s="29">
        <v>39417</v>
      </c>
      <c r="F1768" s="27">
        <v>12</v>
      </c>
      <c r="G1768" s="18">
        <v>2246.11</v>
      </c>
      <c r="H1768" s="27">
        <f t="shared" si="54"/>
        <v>2246.11</v>
      </c>
      <c r="I1768" s="18">
        <v>2246.11</v>
      </c>
      <c r="J1768" s="27">
        <v>2246.11</v>
      </c>
      <c r="K1768" s="18">
        <f t="shared" si="55"/>
        <v>2246.11</v>
      </c>
      <c r="L1768" s="27">
        <v>2246.11</v>
      </c>
      <c r="M1768" s="36">
        <v>0</v>
      </c>
      <c r="T1768" s="41">
        <v>0</v>
      </c>
      <c r="U1768" s="41">
        <v>0</v>
      </c>
      <c r="V1768" s="42" t="s">
        <v>113</v>
      </c>
      <c r="W1768" s="42">
        <v>2246.11</v>
      </c>
      <c r="X1768" s="42">
        <v>2246.11</v>
      </c>
    </row>
    <row r="1769" spans="1:24">
      <c r="A1769" s="27" t="s">
        <v>3389</v>
      </c>
      <c r="B1769" s="28" t="s">
        <v>215</v>
      </c>
      <c r="C1769" s="27" t="s">
        <v>3379</v>
      </c>
      <c r="D1769" s="27" t="s">
        <v>230</v>
      </c>
      <c r="E1769" s="29">
        <v>39417</v>
      </c>
      <c r="F1769" s="27">
        <v>12</v>
      </c>
      <c r="G1769" s="18">
        <v>2246.11</v>
      </c>
      <c r="H1769" s="27">
        <f t="shared" si="54"/>
        <v>2246.11</v>
      </c>
      <c r="I1769" s="18">
        <v>2246.11</v>
      </c>
      <c r="J1769" s="27">
        <v>2246.11</v>
      </c>
      <c r="K1769" s="18">
        <f t="shared" si="55"/>
        <v>2246.11</v>
      </c>
      <c r="L1769" s="27">
        <v>2246.11</v>
      </c>
      <c r="M1769" s="36">
        <v>0</v>
      </c>
      <c r="T1769" s="41">
        <v>0</v>
      </c>
      <c r="U1769" s="41">
        <v>0</v>
      </c>
      <c r="V1769" s="42" t="s">
        <v>113</v>
      </c>
      <c r="W1769" s="42">
        <v>2246.11</v>
      </c>
      <c r="X1769" s="42">
        <v>2246.11</v>
      </c>
    </row>
    <row r="1770" spans="1:24">
      <c r="A1770" s="27" t="s">
        <v>3390</v>
      </c>
      <c r="B1770" s="28" t="s">
        <v>215</v>
      </c>
      <c r="C1770" s="27" t="s">
        <v>3381</v>
      </c>
      <c r="D1770" s="27" t="s">
        <v>230</v>
      </c>
      <c r="E1770" s="29">
        <v>39417</v>
      </c>
      <c r="F1770" s="27">
        <v>12</v>
      </c>
      <c r="G1770" s="18">
        <v>2246.11</v>
      </c>
      <c r="H1770" s="27">
        <f t="shared" si="54"/>
        <v>2246.11</v>
      </c>
      <c r="I1770" s="18">
        <v>2246.11</v>
      </c>
      <c r="J1770" s="27">
        <v>2246.11</v>
      </c>
      <c r="K1770" s="18">
        <f t="shared" si="55"/>
        <v>2246.11</v>
      </c>
      <c r="L1770" s="27">
        <v>2246.11</v>
      </c>
      <c r="M1770" s="36">
        <v>0</v>
      </c>
      <c r="T1770" s="41">
        <v>0</v>
      </c>
      <c r="U1770" s="41">
        <v>0</v>
      </c>
      <c r="V1770" s="42" t="s">
        <v>113</v>
      </c>
      <c r="W1770" s="42">
        <v>2246.11</v>
      </c>
      <c r="X1770" s="42">
        <v>2246.11</v>
      </c>
    </row>
    <row r="1771" spans="1:24">
      <c r="A1771" s="27" t="s">
        <v>3391</v>
      </c>
      <c r="B1771" s="28" t="s">
        <v>215</v>
      </c>
      <c r="C1771" s="27" t="s">
        <v>3392</v>
      </c>
      <c r="D1771" s="27" t="s">
        <v>230</v>
      </c>
      <c r="E1771" s="29">
        <v>41272</v>
      </c>
      <c r="F1771" s="27">
        <v>12</v>
      </c>
      <c r="G1771" s="18">
        <v>841.22</v>
      </c>
      <c r="H1771" s="27">
        <f t="shared" si="54"/>
        <v>841.22</v>
      </c>
      <c r="I1771" s="18">
        <v>841.22</v>
      </c>
      <c r="J1771" s="27">
        <v>841.22</v>
      </c>
      <c r="K1771" s="18">
        <f t="shared" si="55"/>
        <v>841.22</v>
      </c>
      <c r="L1771" s="27">
        <v>841.22</v>
      </c>
      <c r="M1771" s="36">
        <v>0</v>
      </c>
      <c r="T1771" s="41">
        <v>0</v>
      </c>
      <c r="U1771" s="41">
        <v>0</v>
      </c>
      <c r="V1771" s="42" t="s">
        <v>113</v>
      </c>
      <c r="W1771" s="42">
        <v>841.22</v>
      </c>
      <c r="X1771" s="42">
        <v>841.22</v>
      </c>
    </row>
    <row r="1772" spans="1:24">
      <c r="A1772" s="27" t="s">
        <v>3393</v>
      </c>
      <c r="B1772" s="28" t="s">
        <v>215</v>
      </c>
      <c r="C1772" s="27" t="s">
        <v>3394</v>
      </c>
      <c r="D1772" s="27" t="s">
        <v>230</v>
      </c>
      <c r="E1772" s="29">
        <v>41272</v>
      </c>
      <c r="F1772" s="27">
        <v>12</v>
      </c>
      <c r="G1772" s="18">
        <v>841.22</v>
      </c>
      <c r="H1772" s="27">
        <f t="shared" si="54"/>
        <v>841.22</v>
      </c>
      <c r="I1772" s="18">
        <v>841.22</v>
      </c>
      <c r="J1772" s="27">
        <v>841.22</v>
      </c>
      <c r="K1772" s="18">
        <f t="shared" si="55"/>
        <v>841.22</v>
      </c>
      <c r="L1772" s="27">
        <v>841.22</v>
      </c>
      <c r="M1772" s="36">
        <v>0</v>
      </c>
      <c r="T1772" s="41">
        <v>0</v>
      </c>
      <c r="U1772" s="41">
        <v>0</v>
      </c>
      <c r="V1772" s="42" t="s">
        <v>113</v>
      </c>
      <c r="W1772" s="42">
        <v>841.22</v>
      </c>
      <c r="X1772" s="42">
        <v>841.22</v>
      </c>
    </row>
    <row r="1773" spans="1:24">
      <c r="A1773" s="27" t="s">
        <v>3395</v>
      </c>
      <c r="B1773" s="28" t="s">
        <v>215</v>
      </c>
      <c r="C1773" s="27" t="s">
        <v>3396</v>
      </c>
      <c r="D1773" s="27" t="s">
        <v>230</v>
      </c>
      <c r="E1773" s="29">
        <v>41272</v>
      </c>
      <c r="F1773" s="27">
        <v>12</v>
      </c>
      <c r="G1773" s="18">
        <v>841.22</v>
      </c>
      <c r="H1773" s="27">
        <f t="shared" si="54"/>
        <v>841.22</v>
      </c>
      <c r="I1773" s="18">
        <v>841.22</v>
      </c>
      <c r="J1773" s="27">
        <v>841.22</v>
      </c>
      <c r="K1773" s="18">
        <f t="shared" si="55"/>
        <v>841.22</v>
      </c>
      <c r="L1773" s="27">
        <v>841.22</v>
      </c>
      <c r="M1773" s="36">
        <v>0</v>
      </c>
      <c r="T1773" s="41">
        <v>0</v>
      </c>
      <c r="U1773" s="41">
        <v>0</v>
      </c>
      <c r="V1773" s="42" t="s">
        <v>113</v>
      </c>
      <c r="W1773" s="42">
        <v>841.22</v>
      </c>
      <c r="X1773" s="42">
        <v>841.22</v>
      </c>
    </row>
    <row r="1774" spans="1:24">
      <c r="A1774" s="27" t="s">
        <v>3397</v>
      </c>
      <c r="B1774" s="28" t="s">
        <v>215</v>
      </c>
      <c r="C1774" s="27" t="s">
        <v>3398</v>
      </c>
      <c r="D1774" s="27" t="s">
        <v>230</v>
      </c>
      <c r="E1774" s="29">
        <v>41272</v>
      </c>
      <c r="F1774" s="27">
        <v>12</v>
      </c>
      <c r="G1774" s="18">
        <v>728.4</v>
      </c>
      <c r="H1774" s="27">
        <f t="shared" si="54"/>
        <v>728.4</v>
      </c>
      <c r="I1774" s="18">
        <v>728.4</v>
      </c>
      <c r="J1774" s="27">
        <v>728.4</v>
      </c>
      <c r="K1774" s="18">
        <f t="shared" si="55"/>
        <v>728.4</v>
      </c>
      <c r="L1774" s="27">
        <v>728.4</v>
      </c>
      <c r="M1774" s="36">
        <v>0</v>
      </c>
      <c r="T1774" s="41">
        <v>0</v>
      </c>
      <c r="U1774" s="41">
        <v>0</v>
      </c>
      <c r="V1774" s="42" t="s">
        <v>113</v>
      </c>
      <c r="W1774" s="42">
        <v>728.4</v>
      </c>
      <c r="X1774" s="42">
        <v>728.4</v>
      </c>
    </row>
    <row r="1775" spans="1:24">
      <c r="A1775" s="27" t="s">
        <v>3399</v>
      </c>
      <c r="B1775" s="28" t="s">
        <v>215</v>
      </c>
      <c r="C1775" s="27" t="s">
        <v>3400</v>
      </c>
      <c r="D1775" s="27" t="s">
        <v>230</v>
      </c>
      <c r="E1775" s="29">
        <v>41272</v>
      </c>
      <c r="F1775" s="27">
        <v>15</v>
      </c>
      <c r="G1775" s="18">
        <v>15825.18</v>
      </c>
      <c r="H1775" s="27">
        <f t="shared" si="54"/>
        <v>15825.18</v>
      </c>
      <c r="I1775" s="18">
        <v>15825.18</v>
      </c>
      <c r="J1775" s="27">
        <v>15825.18</v>
      </c>
      <c r="K1775" s="18">
        <f t="shared" si="55"/>
        <v>15825.18</v>
      </c>
      <c r="L1775" s="27">
        <v>15033.92</v>
      </c>
      <c r="M1775" s="36">
        <v>-791.26</v>
      </c>
      <c r="T1775" s="41">
        <v>0</v>
      </c>
      <c r="U1775" s="41">
        <v>0</v>
      </c>
      <c r="V1775" s="42" t="s">
        <v>113</v>
      </c>
      <c r="W1775" s="42">
        <v>15825.18</v>
      </c>
      <c r="X1775" s="42">
        <v>15825.18</v>
      </c>
    </row>
    <row r="1776" spans="1:24">
      <c r="A1776" s="27" t="s">
        <v>3401</v>
      </c>
      <c r="B1776" s="28" t="s">
        <v>215</v>
      </c>
      <c r="C1776" s="27" t="s">
        <v>3402</v>
      </c>
      <c r="D1776" s="27" t="s">
        <v>230</v>
      </c>
      <c r="E1776" s="29">
        <v>41272</v>
      </c>
      <c r="F1776" s="27">
        <v>15</v>
      </c>
      <c r="G1776" s="18">
        <v>15825.18</v>
      </c>
      <c r="H1776" s="27">
        <f t="shared" si="54"/>
        <v>15825.18</v>
      </c>
      <c r="I1776" s="18">
        <v>15825.18</v>
      </c>
      <c r="J1776" s="27">
        <v>15825.18</v>
      </c>
      <c r="K1776" s="18">
        <f t="shared" si="55"/>
        <v>15825.18</v>
      </c>
      <c r="L1776" s="27">
        <v>15033.92</v>
      </c>
      <c r="M1776" s="36">
        <v>-791.26</v>
      </c>
      <c r="T1776" s="41">
        <v>0</v>
      </c>
      <c r="U1776" s="41">
        <v>0</v>
      </c>
      <c r="V1776" s="42" t="s">
        <v>113</v>
      </c>
      <c r="W1776" s="42">
        <v>15825.18</v>
      </c>
      <c r="X1776" s="42">
        <v>15825.18</v>
      </c>
    </row>
    <row r="1777" spans="1:24">
      <c r="A1777" s="27" t="s">
        <v>3403</v>
      </c>
      <c r="B1777" s="28" t="s">
        <v>215</v>
      </c>
      <c r="C1777" s="27" t="s">
        <v>3404</v>
      </c>
      <c r="D1777" s="27" t="s">
        <v>230</v>
      </c>
      <c r="E1777" s="29">
        <v>41272</v>
      </c>
      <c r="F1777" s="27">
        <v>15</v>
      </c>
      <c r="G1777" s="18">
        <v>15825.18</v>
      </c>
      <c r="H1777" s="27">
        <f t="shared" si="54"/>
        <v>15825.18</v>
      </c>
      <c r="I1777" s="18">
        <v>15825.18</v>
      </c>
      <c r="J1777" s="27">
        <v>15825.18</v>
      </c>
      <c r="K1777" s="18">
        <f t="shared" si="55"/>
        <v>15825.18</v>
      </c>
      <c r="L1777" s="27">
        <v>15033.92</v>
      </c>
      <c r="M1777" s="36">
        <v>-791.26</v>
      </c>
      <c r="T1777" s="41">
        <v>0</v>
      </c>
      <c r="U1777" s="41">
        <v>0</v>
      </c>
      <c r="V1777" s="42" t="s">
        <v>113</v>
      </c>
      <c r="W1777" s="42">
        <v>15825.18</v>
      </c>
      <c r="X1777" s="42">
        <v>15825.18</v>
      </c>
    </row>
    <row r="1778" spans="1:24">
      <c r="A1778" s="27" t="s">
        <v>3405</v>
      </c>
      <c r="B1778" s="28" t="s">
        <v>215</v>
      </c>
      <c r="C1778" s="27" t="s">
        <v>3406</v>
      </c>
      <c r="D1778" s="27" t="s">
        <v>230</v>
      </c>
      <c r="E1778" s="29">
        <v>41272</v>
      </c>
      <c r="F1778" s="27">
        <v>15</v>
      </c>
      <c r="G1778" s="18">
        <v>15825.18</v>
      </c>
      <c r="H1778" s="27">
        <f t="shared" si="54"/>
        <v>15825.18</v>
      </c>
      <c r="I1778" s="18">
        <v>15825.18</v>
      </c>
      <c r="J1778" s="27">
        <v>15825.18</v>
      </c>
      <c r="K1778" s="18">
        <f t="shared" si="55"/>
        <v>15825.18</v>
      </c>
      <c r="L1778" s="27">
        <v>15033.92</v>
      </c>
      <c r="M1778" s="36">
        <v>-791.26</v>
      </c>
      <c r="T1778" s="41">
        <v>0</v>
      </c>
      <c r="U1778" s="41">
        <v>0</v>
      </c>
      <c r="V1778" s="42" t="s">
        <v>113</v>
      </c>
      <c r="W1778" s="42">
        <v>15825.18</v>
      </c>
      <c r="X1778" s="42">
        <v>15825.18</v>
      </c>
    </row>
    <row r="1779" spans="1:24">
      <c r="A1779" s="27" t="s">
        <v>3407</v>
      </c>
      <c r="B1779" s="28" t="s">
        <v>215</v>
      </c>
      <c r="C1779" s="27" t="s">
        <v>3408</v>
      </c>
      <c r="D1779" s="27" t="s">
        <v>230</v>
      </c>
      <c r="E1779" s="29">
        <v>41272</v>
      </c>
      <c r="F1779" s="27">
        <v>15</v>
      </c>
      <c r="G1779" s="18">
        <v>15825.18</v>
      </c>
      <c r="H1779" s="27">
        <f t="shared" si="54"/>
        <v>15825.18</v>
      </c>
      <c r="I1779" s="18">
        <v>15825.18</v>
      </c>
      <c r="J1779" s="27">
        <v>15825.18</v>
      </c>
      <c r="K1779" s="18">
        <f t="shared" si="55"/>
        <v>15825.18</v>
      </c>
      <c r="L1779" s="27">
        <v>15033.92</v>
      </c>
      <c r="M1779" s="36">
        <v>-791.26</v>
      </c>
      <c r="T1779" s="41">
        <v>0</v>
      </c>
      <c r="U1779" s="41">
        <v>0</v>
      </c>
      <c r="V1779" s="42" t="s">
        <v>113</v>
      </c>
      <c r="W1779" s="42">
        <v>15825.18</v>
      </c>
      <c r="X1779" s="42">
        <v>15825.18</v>
      </c>
    </row>
    <row r="1780" spans="1:24">
      <c r="A1780" s="27" t="s">
        <v>3409</v>
      </c>
      <c r="B1780" s="28" t="s">
        <v>215</v>
      </c>
      <c r="C1780" s="27" t="s">
        <v>3410</v>
      </c>
      <c r="D1780" s="27" t="s">
        <v>230</v>
      </c>
      <c r="E1780" s="29">
        <v>41272</v>
      </c>
      <c r="F1780" s="27">
        <v>15</v>
      </c>
      <c r="G1780" s="18">
        <v>15825.18</v>
      </c>
      <c r="H1780" s="27">
        <f t="shared" si="54"/>
        <v>15825.18</v>
      </c>
      <c r="I1780" s="18">
        <v>15825.18</v>
      </c>
      <c r="J1780" s="27">
        <v>15825.18</v>
      </c>
      <c r="K1780" s="18">
        <f t="shared" si="55"/>
        <v>15825.18</v>
      </c>
      <c r="L1780" s="27">
        <v>15033.92</v>
      </c>
      <c r="M1780" s="36">
        <v>-791.26</v>
      </c>
      <c r="T1780" s="41">
        <v>0</v>
      </c>
      <c r="U1780" s="41">
        <v>0</v>
      </c>
      <c r="V1780" s="42" t="s">
        <v>113</v>
      </c>
      <c r="W1780" s="42">
        <v>15825.18</v>
      </c>
      <c r="X1780" s="42">
        <v>15825.18</v>
      </c>
    </row>
    <row r="1781" spans="1:24">
      <c r="A1781" s="27" t="s">
        <v>3411</v>
      </c>
      <c r="B1781" s="28" t="s">
        <v>215</v>
      </c>
      <c r="C1781" s="27" t="s">
        <v>3412</v>
      </c>
      <c r="D1781" s="27" t="s">
        <v>118</v>
      </c>
      <c r="E1781" s="29">
        <v>40169</v>
      </c>
      <c r="F1781" s="27">
        <v>12</v>
      </c>
      <c r="G1781" s="18">
        <v>1160.0999999999999</v>
      </c>
      <c r="H1781" s="27">
        <f t="shared" si="54"/>
        <v>1160.0999999999999</v>
      </c>
      <c r="I1781" s="18">
        <v>1160.0999999999999</v>
      </c>
      <c r="J1781" s="27">
        <v>1160.0999999999999</v>
      </c>
      <c r="K1781" s="18">
        <f t="shared" si="55"/>
        <v>1160.0999999999999</v>
      </c>
      <c r="L1781" s="27">
        <v>1160.0999999999999</v>
      </c>
      <c r="M1781" s="36">
        <v>0</v>
      </c>
      <c r="T1781" s="41">
        <v>0</v>
      </c>
      <c r="U1781" s="41">
        <v>0</v>
      </c>
      <c r="V1781" s="42" t="s">
        <v>113</v>
      </c>
      <c r="W1781" s="42">
        <v>1160.0999999999999</v>
      </c>
      <c r="X1781" s="42">
        <v>1160.0999999999999</v>
      </c>
    </row>
    <row r="1782" spans="1:24">
      <c r="A1782" s="27" t="s">
        <v>3413</v>
      </c>
      <c r="B1782" s="28" t="s">
        <v>215</v>
      </c>
      <c r="C1782" s="27" t="s">
        <v>3414</v>
      </c>
      <c r="D1782" s="27" t="s">
        <v>118</v>
      </c>
      <c r="E1782" s="29">
        <v>40169</v>
      </c>
      <c r="F1782" s="27">
        <v>12</v>
      </c>
      <c r="G1782" s="18">
        <v>1160.2</v>
      </c>
      <c r="H1782" s="27">
        <f t="shared" si="54"/>
        <v>1160.2</v>
      </c>
      <c r="I1782" s="18">
        <v>1160.2</v>
      </c>
      <c r="J1782" s="27">
        <v>1160.2</v>
      </c>
      <c r="K1782" s="18">
        <f t="shared" si="55"/>
        <v>1160.2</v>
      </c>
      <c r="L1782" s="27">
        <v>1160.2</v>
      </c>
      <c r="M1782" s="36">
        <v>0</v>
      </c>
      <c r="T1782" s="41">
        <v>0</v>
      </c>
      <c r="U1782" s="41">
        <v>0</v>
      </c>
      <c r="V1782" s="42" t="s">
        <v>113</v>
      </c>
      <c r="W1782" s="42">
        <v>1160.2</v>
      </c>
      <c r="X1782" s="42">
        <v>1160.2</v>
      </c>
    </row>
    <row r="1783" spans="1:24">
      <c r="A1783" s="27" t="s">
        <v>3415</v>
      </c>
      <c r="B1783" s="28" t="s">
        <v>215</v>
      </c>
      <c r="C1783" s="27" t="s">
        <v>808</v>
      </c>
      <c r="D1783" s="27" t="s">
        <v>118</v>
      </c>
      <c r="E1783" s="29">
        <v>40169</v>
      </c>
      <c r="F1783" s="27">
        <v>12</v>
      </c>
      <c r="G1783" s="18">
        <v>1160.02</v>
      </c>
      <c r="H1783" s="27">
        <f t="shared" si="54"/>
        <v>1160.02</v>
      </c>
      <c r="I1783" s="18">
        <v>1160.02</v>
      </c>
      <c r="J1783" s="27">
        <v>1160.02</v>
      </c>
      <c r="K1783" s="18">
        <f t="shared" si="55"/>
        <v>1160.02</v>
      </c>
      <c r="L1783" s="27">
        <v>1160.02</v>
      </c>
      <c r="M1783" s="36">
        <v>0</v>
      </c>
      <c r="T1783" s="41">
        <v>0</v>
      </c>
      <c r="U1783" s="41">
        <v>0</v>
      </c>
      <c r="V1783" s="42" t="s">
        <v>113</v>
      </c>
      <c r="W1783" s="42">
        <v>1160.02</v>
      </c>
      <c r="X1783" s="42">
        <v>1160.02</v>
      </c>
    </row>
    <row r="1784" spans="1:24">
      <c r="A1784" s="27" t="s">
        <v>3416</v>
      </c>
      <c r="B1784" s="28" t="s">
        <v>215</v>
      </c>
      <c r="C1784" s="27" t="s">
        <v>3417</v>
      </c>
      <c r="D1784" s="27" t="s">
        <v>112</v>
      </c>
      <c r="E1784" s="29">
        <v>41271</v>
      </c>
      <c r="F1784" s="27">
        <v>15</v>
      </c>
      <c r="G1784" s="18">
        <v>8159.87</v>
      </c>
      <c r="H1784" s="27">
        <f t="shared" si="54"/>
        <v>0</v>
      </c>
      <c r="I1784" s="18">
        <v>3955.35</v>
      </c>
      <c r="J1784" s="27">
        <v>8159.87</v>
      </c>
      <c r="K1784" s="18">
        <f t="shared" si="55"/>
        <v>0</v>
      </c>
      <c r="L1784" s="27">
        <v>4377.1899999999996</v>
      </c>
      <c r="M1784" s="36">
        <v>421.84</v>
      </c>
      <c r="T1784" s="41">
        <v>0</v>
      </c>
      <c r="U1784" s="41">
        <v>0</v>
      </c>
      <c r="V1784" s="42" t="s">
        <v>113</v>
      </c>
      <c r="W1784" s="42">
        <v>0</v>
      </c>
      <c r="X1784" s="42">
        <v>0</v>
      </c>
    </row>
    <row r="1785" spans="1:24">
      <c r="A1785" s="27" t="s">
        <v>3418</v>
      </c>
      <c r="B1785" s="28" t="s">
        <v>215</v>
      </c>
      <c r="C1785" s="27" t="s">
        <v>3419</v>
      </c>
      <c r="D1785" s="27" t="s">
        <v>112</v>
      </c>
      <c r="E1785" s="29">
        <v>41271</v>
      </c>
      <c r="F1785" s="27">
        <v>15</v>
      </c>
      <c r="G1785" s="18">
        <v>8159.87</v>
      </c>
      <c r="H1785" s="27">
        <f t="shared" si="54"/>
        <v>0</v>
      </c>
      <c r="I1785" s="18">
        <v>3955.35</v>
      </c>
      <c r="J1785" s="27">
        <v>8159.87</v>
      </c>
      <c r="K1785" s="18">
        <f t="shared" si="55"/>
        <v>0</v>
      </c>
      <c r="L1785" s="27">
        <v>4377.1899999999996</v>
      </c>
      <c r="M1785" s="36">
        <v>421.84</v>
      </c>
      <c r="T1785" s="41">
        <v>0</v>
      </c>
      <c r="U1785" s="41">
        <v>0</v>
      </c>
      <c r="V1785" s="42" t="s">
        <v>113</v>
      </c>
      <c r="W1785" s="42">
        <v>0</v>
      </c>
      <c r="X1785" s="42">
        <v>0</v>
      </c>
    </row>
    <row r="1786" spans="1:24">
      <c r="A1786" s="27" t="s">
        <v>3420</v>
      </c>
      <c r="B1786" s="28" t="s">
        <v>215</v>
      </c>
      <c r="C1786" s="27" t="s">
        <v>3421</v>
      </c>
      <c r="D1786" s="27" t="s">
        <v>112</v>
      </c>
      <c r="E1786" s="29">
        <v>41271</v>
      </c>
      <c r="F1786" s="27">
        <v>15</v>
      </c>
      <c r="G1786" s="18">
        <v>8159.87</v>
      </c>
      <c r="H1786" s="27">
        <f t="shared" si="54"/>
        <v>0</v>
      </c>
      <c r="I1786" s="18">
        <v>3955.35</v>
      </c>
      <c r="J1786" s="27">
        <v>8159.87</v>
      </c>
      <c r="K1786" s="18">
        <f t="shared" si="55"/>
        <v>0</v>
      </c>
      <c r="L1786" s="27">
        <v>4377.1899999999996</v>
      </c>
      <c r="M1786" s="36">
        <v>421.84</v>
      </c>
      <c r="T1786" s="41">
        <v>0</v>
      </c>
      <c r="U1786" s="41">
        <v>0</v>
      </c>
      <c r="V1786" s="42" t="s">
        <v>113</v>
      </c>
      <c r="W1786" s="42">
        <v>0</v>
      </c>
      <c r="X1786" s="42">
        <v>0</v>
      </c>
    </row>
    <row r="1787" spans="1:24">
      <c r="A1787" s="27" t="s">
        <v>3422</v>
      </c>
      <c r="B1787" s="28" t="s">
        <v>215</v>
      </c>
      <c r="C1787" s="27" t="s">
        <v>3423</v>
      </c>
      <c r="D1787" s="27" t="s">
        <v>230</v>
      </c>
      <c r="E1787" s="29">
        <v>41271</v>
      </c>
      <c r="F1787" s="27">
        <v>12</v>
      </c>
      <c r="G1787" s="18">
        <v>498.07</v>
      </c>
      <c r="H1787" s="27">
        <f t="shared" si="54"/>
        <v>498.07</v>
      </c>
      <c r="I1787" s="18">
        <v>498.07</v>
      </c>
      <c r="J1787" s="27">
        <v>498.07</v>
      </c>
      <c r="K1787" s="18">
        <f t="shared" si="55"/>
        <v>498.07</v>
      </c>
      <c r="L1787" s="27">
        <v>498.07</v>
      </c>
      <c r="M1787" s="36">
        <v>0</v>
      </c>
      <c r="T1787" s="41">
        <v>0</v>
      </c>
      <c r="U1787" s="41">
        <v>0</v>
      </c>
      <c r="V1787" s="42" t="s">
        <v>113</v>
      </c>
      <c r="W1787" s="42">
        <v>498.07</v>
      </c>
      <c r="X1787" s="42">
        <v>498.07</v>
      </c>
    </row>
    <row r="1788" spans="1:24">
      <c r="A1788" s="27" t="s">
        <v>3424</v>
      </c>
      <c r="B1788" s="28" t="s">
        <v>215</v>
      </c>
      <c r="C1788" s="27" t="s">
        <v>3425</v>
      </c>
      <c r="D1788" s="27" t="s">
        <v>230</v>
      </c>
      <c r="E1788" s="29">
        <v>41271</v>
      </c>
      <c r="F1788" s="27">
        <v>12</v>
      </c>
      <c r="G1788" s="18">
        <v>498.07</v>
      </c>
      <c r="H1788" s="27">
        <f t="shared" si="54"/>
        <v>498.07</v>
      </c>
      <c r="I1788" s="18">
        <v>498.07</v>
      </c>
      <c r="J1788" s="27">
        <v>498.07</v>
      </c>
      <c r="K1788" s="18">
        <f t="shared" si="55"/>
        <v>498.07</v>
      </c>
      <c r="L1788" s="27">
        <v>498.07</v>
      </c>
      <c r="M1788" s="36">
        <v>0</v>
      </c>
      <c r="T1788" s="41">
        <v>0</v>
      </c>
      <c r="U1788" s="41">
        <v>0</v>
      </c>
      <c r="V1788" s="42" t="s">
        <v>113</v>
      </c>
      <c r="W1788" s="42">
        <v>498.07</v>
      </c>
      <c r="X1788" s="42">
        <v>498.07</v>
      </c>
    </row>
    <row r="1789" spans="1:24">
      <c r="A1789" s="27" t="s">
        <v>3426</v>
      </c>
      <c r="B1789" s="28" t="s">
        <v>215</v>
      </c>
      <c r="C1789" s="27" t="s">
        <v>3427</v>
      </c>
      <c r="D1789" s="27" t="s">
        <v>230</v>
      </c>
      <c r="E1789" s="29">
        <v>41271</v>
      </c>
      <c r="F1789" s="27">
        <v>12</v>
      </c>
      <c r="G1789" s="18">
        <v>498.07</v>
      </c>
      <c r="H1789" s="27">
        <f t="shared" si="54"/>
        <v>498.07</v>
      </c>
      <c r="I1789" s="18">
        <v>498.07</v>
      </c>
      <c r="J1789" s="27">
        <v>498.07</v>
      </c>
      <c r="K1789" s="18">
        <f t="shared" si="55"/>
        <v>498.07</v>
      </c>
      <c r="L1789" s="27">
        <v>498.07</v>
      </c>
      <c r="M1789" s="36">
        <v>0</v>
      </c>
      <c r="T1789" s="41">
        <v>0</v>
      </c>
      <c r="U1789" s="41">
        <v>0</v>
      </c>
      <c r="V1789" s="42" t="s">
        <v>113</v>
      </c>
      <c r="W1789" s="42">
        <v>498.07</v>
      </c>
      <c r="X1789" s="42">
        <v>498.07</v>
      </c>
    </row>
    <row r="1790" spans="1:24">
      <c r="A1790" s="27" t="s">
        <v>3428</v>
      </c>
      <c r="B1790" s="28" t="s">
        <v>215</v>
      </c>
      <c r="C1790" s="27" t="s">
        <v>1011</v>
      </c>
      <c r="D1790" s="27" t="s">
        <v>230</v>
      </c>
      <c r="E1790" s="29">
        <v>37408</v>
      </c>
      <c r="F1790" s="27">
        <v>15</v>
      </c>
      <c r="G1790" s="18">
        <v>327697.88</v>
      </c>
      <c r="H1790" s="27">
        <f t="shared" si="54"/>
        <v>327697.88</v>
      </c>
      <c r="I1790" s="18">
        <v>311312.99</v>
      </c>
      <c r="J1790" s="27">
        <v>327697.88</v>
      </c>
      <c r="K1790" s="18">
        <f t="shared" si="55"/>
        <v>327697.88</v>
      </c>
      <c r="L1790" s="27">
        <v>311312.99</v>
      </c>
      <c r="M1790" s="36">
        <v>0</v>
      </c>
      <c r="T1790" s="41">
        <v>0</v>
      </c>
      <c r="U1790" s="41">
        <v>0</v>
      </c>
      <c r="V1790" s="42" t="s">
        <v>113</v>
      </c>
      <c r="W1790" s="42">
        <v>327697.88</v>
      </c>
      <c r="X1790" s="42">
        <v>327697.88</v>
      </c>
    </row>
    <row r="1791" spans="1:24">
      <c r="A1791" s="27" t="s">
        <v>3429</v>
      </c>
      <c r="B1791" s="28" t="s">
        <v>215</v>
      </c>
      <c r="C1791" s="27" t="s">
        <v>3430</v>
      </c>
      <c r="D1791" s="27" t="s">
        <v>118</v>
      </c>
      <c r="E1791" s="29">
        <v>40169</v>
      </c>
      <c r="F1791" s="27">
        <v>12</v>
      </c>
      <c r="G1791" s="18">
        <v>3000</v>
      </c>
      <c r="H1791" s="27">
        <f t="shared" si="54"/>
        <v>3000</v>
      </c>
      <c r="I1791" s="18">
        <v>3000</v>
      </c>
      <c r="J1791" s="27">
        <v>3000</v>
      </c>
      <c r="K1791" s="18">
        <f t="shared" si="55"/>
        <v>3000</v>
      </c>
      <c r="L1791" s="27">
        <v>3000</v>
      </c>
      <c r="M1791" s="36">
        <v>0</v>
      </c>
      <c r="T1791" s="41">
        <v>0</v>
      </c>
      <c r="U1791" s="41">
        <v>0</v>
      </c>
      <c r="V1791" s="42" t="s">
        <v>113</v>
      </c>
      <c r="W1791" s="42">
        <v>3000</v>
      </c>
      <c r="X1791" s="42">
        <v>3000</v>
      </c>
    </row>
    <row r="1792" spans="1:24">
      <c r="A1792" s="27" t="s">
        <v>3431</v>
      </c>
      <c r="B1792" s="28" t="s">
        <v>215</v>
      </c>
      <c r="C1792" s="27" t="s">
        <v>3432</v>
      </c>
      <c r="D1792" s="27" t="s">
        <v>118</v>
      </c>
      <c r="E1792" s="29">
        <v>40169</v>
      </c>
      <c r="F1792" s="27">
        <v>12</v>
      </c>
      <c r="G1792" s="18">
        <v>3000</v>
      </c>
      <c r="H1792" s="27">
        <f t="shared" si="54"/>
        <v>3000</v>
      </c>
      <c r="I1792" s="18">
        <v>3000</v>
      </c>
      <c r="J1792" s="27">
        <v>3000</v>
      </c>
      <c r="K1792" s="18">
        <f t="shared" si="55"/>
        <v>3000</v>
      </c>
      <c r="L1792" s="27">
        <v>3000</v>
      </c>
      <c r="M1792" s="36">
        <v>0</v>
      </c>
      <c r="T1792" s="41">
        <v>0</v>
      </c>
      <c r="U1792" s="41">
        <v>0</v>
      </c>
      <c r="V1792" s="42" t="s">
        <v>113</v>
      </c>
      <c r="W1792" s="42">
        <v>3000</v>
      </c>
      <c r="X1792" s="42">
        <v>3000</v>
      </c>
    </row>
    <row r="1793" spans="1:24">
      <c r="A1793" s="27" t="s">
        <v>3433</v>
      </c>
      <c r="B1793" s="28" t="s">
        <v>215</v>
      </c>
      <c r="C1793" s="27" t="s">
        <v>3434</v>
      </c>
      <c r="D1793" s="27" t="s">
        <v>118</v>
      </c>
      <c r="E1793" s="29">
        <v>40169</v>
      </c>
      <c r="F1793" s="27">
        <v>12</v>
      </c>
      <c r="G1793" s="18">
        <v>3000</v>
      </c>
      <c r="H1793" s="27">
        <f t="shared" si="54"/>
        <v>3000</v>
      </c>
      <c r="I1793" s="18">
        <v>3000</v>
      </c>
      <c r="J1793" s="27">
        <v>3000</v>
      </c>
      <c r="K1793" s="18">
        <f t="shared" si="55"/>
        <v>3000</v>
      </c>
      <c r="L1793" s="27">
        <v>3000</v>
      </c>
      <c r="M1793" s="36">
        <v>0</v>
      </c>
      <c r="T1793" s="41">
        <v>0</v>
      </c>
      <c r="U1793" s="41">
        <v>0</v>
      </c>
      <c r="V1793" s="42" t="s">
        <v>113</v>
      </c>
      <c r="W1793" s="42">
        <v>3000</v>
      </c>
      <c r="X1793" s="42">
        <v>3000</v>
      </c>
    </row>
    <row r="1794" spans="1:24">
      <c r="A1794" s="27" t="s">
        <v>3435</v>
      </c>
      <c r="B1794" s="28" t="s">
        <v>215</v>
      </c>
      <c r="C1794" s="27" t="s">
        <v>3436</v>
      </c>
      <c r="D1794" s="27" t="s">
        <v>118</v>
      </c>
      <c r="E1794" s="29">
        <v>41270</v>
      </c>
      <c r="F1794" s="27">
        <v>12</v>
      </c>
      <c r="G1794" s="18">
        <v>4034.29</v>
      </c>
      <c r="H1794" s="27">
        <f t="shared" si="54"/>
        <v>4034.29</v>
      </c>
      <c r="I1794" s="18">
        <v>4034.29</v>
      </c>
      <c r="J1794" s="27">
        <v>4034.29</v>
      </c>
      <c r="K1794" s="18">
        <f t="shared" si="55"/>
        <v>4034.29</v>
      </c>
      <c r="L1794" s="27">
        <v>4034.29</v>
      </c>
      <c r="M1794" s="36">
        <v>0</v>
      </c>
      <c r="T1794" s="41">
        <v>0</v>
      </c>
      <c r="U1794" s="41">
        <v>0</v>
      </c>
      <c r="V1794" s="42" t="s">
        <v>113</v>
      </c>
      <c r="W1794" s="42">
        <v>4034.29</v>
      </c>
      <c r="X1794" s="42">
        <v>4034.29</v>
      </c>
    </row>
    <row r="1795" spans="1:24">
      <c r="A1795" s="27" t="s">
        <v>3437</v>
      </c>
      <c r="B1795" s="28" t="s">
        <v>215</v>
      </c>
      <c r="C1795" s="27" t="s">
        <v>3438</v>
      </c>
      <c r="D1795" s="27" t="s">
        <v>118</v>
      </c>
      <c r="E1795" s="29">
        <v>41270</v>
      </c>
      <c r="F1795" s="27">
        <v>12</v>
      </c>
      <c r="G1795" s="18">
        <v>4034.29</v>
      </c>
      <c r="H1795" s="27">
        <f t="shared" si="54"/>
        <v>4034.29</v>
      </c>
      <c r="I1795" s="18">
        <v>4034.29</v>
      </c>
      <c r="J1795" s="27">
        <v>4034.29</v>
      </c>
      <c r="K1795" s="18">
        <f t="shared" si="55"/>
        <v>4034.29</v>
      </c>
      <c r="L1795" s="27">
        <v>4034.29</v>
      </c>
      <c r="M1795" s="36">
        <v>0</v>
      </c>
      <c r="T1795" s="41">
        <v>0</v>
      </c>
      <c r="U1795" s="41">
        <v>0</v>
      </c>
      <c r="V1795" s="42" t="s">
        <v>113</v>
      </c>
      <c r="W1795" s="42">
        <v>4034.29</v>
      </c>
      <c r="X1795" s="42">
        <v>4034.29</v>
      </c>
    </row>
    <row r="1796" spans="1:24">
      <c r="A1796" s="27" t="s">
        <v>3439</v>
      </c>
      <c r="B1796" s="28" t="s">
        <v>215</v>
      </c>
      <c r="C1796" s="27" t="s">
        <v>3440</v>
      </c>
      <c r="D1796" s="27" t="s">
        <v>118</v>
      </c>
      <c r="E1796" s="29">
        <v>41270</v>
      </c>
      <c r="F1796" s="27">
        <v>12</v>
      </c>
      <c r="G1796" s="18">
        <v>4034.29</v>
      </c>
      <c r="H1796" s="27">
        <f t="shared" si="54"/>
        <v>4034.29</v>
      </c>
      <c r="I1796" s="18">
        <v>4034.29</v>
      </c>
      <c r="J1796" s="27">
        <v>4034.29</v>
      </c>
      <c r="K1796" s="18">
        <f t="shared" si="55"/>
        <v>4034.29</v>
      </c>
      <c r="L1796" s="27">
        <v>4034.29</v>
      </c>
      <c r="M1796" s="36">
        <v>0</v>
      </c>
      <c r="T1796" s="41">
        <v>0</v>
      </c>
      <c r="U1796" s="41">
        <v>0</v>
      </c>
      <c r="V1796" s="42" t="s">
        <v>113</v>
      </c>
      <c r="W1796" s="42">
        <v>4034.29</v>
      </c>
      <c r="X1796" s="42">
        <v>4034.29</v>
      </c>
    </row>
    <row r="1797" spans="1:24">
      <c r="A1797" s="27" t="s">
        <v>3441</v>
      </c>
      <c r="B1797" s="28" t="s">
        <v>215</v>
      </c>
      <c r="C1797" s="27" t="s">
        <v>3442</v>
      </c>
      <c r="D1797" s="27" t="s">
        <v>118</v>
      </c>
      <c r="E1797" s="29">
        <v>41270</v>
      </c>
      <c r="F1797" s="27">
        <v>12</v>
      </c>
      <c r="G1797" s="18">
        <v>4034.29</v>
      </c>
      <c r="H1797" s="27">
        <f t="shared" si="54"/>
        <v>4034.29</v>
      </c>
      <c r="I1797" s="18">
        <v>4034.29</v>
      </c>
      <c r="J1797" s="27">
        <v>4034.29</v>
      </c>
      <c r="K1797" s="18">
        <f t="shared" si="55"/>
        <v>4034.29</v>
      </c>
      <c r="L1797" s="27">
        <v>4034.29</v>
      </c>
      <c r="M1797" s="36">
        <v>0</v>
      </c>
      <c r="T1797" s="41">
        <v>0</v>
      </c>
      <c r="U1797" s="41">
        <v>0</v>
      </c>
      <c r="V1797" s="42" t="s">
        <v>113</v>
      </c>
      <c r="W1797" s="42">
        <v>4034.29</v>
      </c>
      <c r="X1797" s="42">
        <v>4034.29</v>
      </c>
    </row>
    <row r="1798" spans="1:24">
      <c r="A1798" s="27" t="s">
        <v>3443</v>
      </c>
      <c r="B1798" s="28" t="s">
        <v>215</v>
      </c>
      <c r="C1798" s="27" t="s">
        <v>3444</v>
      </c>
      <c r="D1798" s="27" t="s">
        <v>118</v>
      </c>
      <c r="E1798" s="29">
        <v>41270</v>
      </c>
      <c r="F1798" s="27">
        <v>12</v>
      </c>
      <c r="G1798" s="18">
        <v>4031.87</v>
      </c>
      <c r="H1798" s="27">
        <f t="shared" ref="H1798:H1861" si="56">IFERROR(IF(ROUND((G1798-I1798)/G1798,2)&lt;=0.05,G1798,0),0)</f>
        <v>4031.87</v>
      </c>
      <c r="I1798" s="18">
        <v>4031.87</v>
      </c>
      <c r="J1798" s="27">
        <v>4031.87</v>
      </c>
      <c r="K1798" s="18">
        <f t="shared" ref="K1798:K1861" si="57">IFERROR(IF(ROUND((J1798-L1798)/J1798,2)&lt;=0.05,J1798,0),0)</f>
        <v>4031.87</v>
      </c>
      <c r="L1798" s="27">
        <v>4031.87</v>
      </c>
      <c r="M1798" s="36">
        <v>0</v>
      </c>
      <c r="T1798" s="41">
        <v>0</v>
      </c>
      <c r="U1798" s="41">
        <v>0</v>
      </c>
      <c r="V1798" s="42" t="s">
        <v>113</v>
      </c>
      <c r="W1798" s="42">
        <v>4031.87</v>
      </c>
      <c r="X1798" s="42">
        <v>4031.87</v>
      </c>
    </row>
    <row r="1799" spans="1:24">
      <c r="A1799" s="27" t="s">
        <v>3445</v>
      </c>
      <c r="B1799" s="28" t="s">
        <v>215</v>
      </c>
      <c r="C1799" s="27" t="s">
        <v>3446</v>
      </c>
      <c r="D1799" s="27" t="s">
        <v>118</v>
      </c>
      <c r="E1799" s="29">
        <v>41270</v>
      </c>
      <c r="F1799" s="27">
        <v>12</v>
      </c>
      <c r="G1799" s="18">
        <v>4031.87</v>
      </c>
      <c r="H1799" s="27">
        <f t="shared" si="56"/>
        <v>4031.87</v>
      </c>
      <c r="I1799" s="18">
        <v>4031.87</v>
      </c>
      <c r="J1799" s="27">
        <v>4031.87</v>
      </c>
      <c r="K1799" s="18">
        <f t="shared" si="57"/>
        <v>4031.87</v>
      </c>
      <c r="L1799" s="27">
        <v>4031.87</v>
      </c>
      <c r="M1799" s="36">
        <v>0</v>
      </c>
      <c r="T1799" s="41">
        <v>0</v>
      </c>
      <c r="U1799" s="41">
        <v>0</v>
      </c>
      <c r="V1799" s="42" t="s">
        <v>113</v>
      </c>
      <c r="W1799" s="42">
        <v>4031.87</v>
      </c>
      <c r="X1799" s="42">
        <v>4031.87</v>
      </c>
    </row>
    <row r="1800" spans="1:24">
      <c r="A1800" s="27" t="s">
        <v>3447</v>
      </c>
      <c r="B1800" s="28" t="s">
        <v>215</v>
      </c>
      <c r="C1800" s="27" t="s">
        <v>3448</v>
      </c>
      <c r="D1800" s="27" t="s">
        <v>118</v>
      </c>
      <c r="E1800" s="29">
        <v>41270</v>
      </c>
      <c r="F1800" s="27">
        <v>15</v>
      </c>
      <c r="G1800" s="18">
        <v>9644.7800000000007</v>
      </c>
      <c r="H1800" s="27">
        <f t="shared" si="56"/>
        <v>0</v>
      </c>
      <c r="I1800" s="18">
        <v>4676.55</v>
      </c>
      <c r="J1800" s="27">
        <v>9644.7800000000007</v>
      </c>
      <c r="K1800" s="18">
        <f t="shared" si="57"/>
        <v>0</v>
      </c>
      <c r="L1800" s="27">
        <v>5174.99</v>
      </c>
      <c r="M1800" s="36">
        <v>498.44</v>
      </c>
      <c r="T1800" s="41">
        <v>0</v>
      </c>
      <c r="U1800" s="41">
        <v>0</v>
      </c>
      <c r="V1800" s="42" t="s">
        <v>113</v>
      </c>
      <c r="W1800" s="42">
        <v>0</v>
      </c>
      <c r="X1800" s="42">
        <v>0</v>
      </c>
    </row>
    <row r="1801" spans="1:24">
      <c r="A1801" s="27" t="s">
        <v>3449</v>
      </c>
      <c r="B1801" s="28" t="s">
        <v>215</v>
      </c>
      <c r="C1801" s="27" t="s">
        <v>3450</v>
      </c>
      <c r="D1801" s="27" t="s">
        <v>118</v>
      </c>
      <c r="E1801" s="29">
        <v>41270</v>
      </c>
      <c r="F1801" s="27">
        <v>15</v>
      </c>
      <c r="G1801" s="18">
        <v>16074.64</v>
      </c>
      <c r="H1801" s="27">
        <f t="shared" si="56"/>
        <v>0</v>
      </c>
      <c r="I1801" s="18">
        <v>7794.28</v>
      </c>
      <c r="J1801" s="27">
        <v>16074.64</v>
      </c>
      <c r="K1801" s="18">
        <f t="shared" si="57"/>
        <v>0</v>
      </c>
      <c r="L1801" s="27">
        <v>8625.02</v>
      </c>
      <c r="M1801" s="36">
        <v>830.74</v>
      </c>
      <c r="T1801" s="41">
        <v>0</v>
      </c>
      <c r="U1801" s="41">
        <v>0</v>
      </c>
      <c r="V1801" s="42" t="s">
        <v>113</v>
      </c>
      <c r="W1801" s="42">
        <v>0</v>
      </c>
      <c r="X1801" s="42">
        <v>0</v>
      </c>
    </row>
    <row r="1802" spans="1:24">
      <c r="A1802" s="27" t="s">
        <v>3451</v>
      </c>
      <c r="B1802" s="28" t="s">
        <v>215</v>
      </c>
      <c r="C1802" s="27" t="s">
        <v>3452</v>
      </c>
      <c r="D1802" s="27" t="s">
        <v>118</v>
      </c>
      <c r="E1802" s="29">
        <v>41270</v>
      </c>
      <c r="F1802" s="27">
        <v>15</v>
      </c>
      <c r="G1802" s="18">
        <v>6429.86</v>
      </c>
      <c r="H1802" s="27">
        <f t="shared" si="56"/>
        <v>0</v>
      </c>
      <c r="I1802" s="18">
        <v>3117.71</v>
      </c>
      <c r="J1802" s="27">
        <v>6429.86</v>
      </c>
      <c r="K1802" s="18">
        <f t="shared" si="57"/>
        <v>0</v>
      </c>
      <c r="L1802" s="27">
        <v>3450.01</v>
      </c>
      <c r="M1802" s="36">
        <v>332.3</v>
      </c>
      <c r="T1802" s="41">
        <v>0</v>
      </c>
      <c r="U1802" s="41">
        <v>0</v>
      </c>
      <c r="V1802" s="42" t="s">
        <v>113</v>
      </c>
      <c r="W1802" s="42">
        <v>0</v>
      </c>
      <c r="X1802" s="42">
        <v>0</v>
      </c>
    </row>
    <row r="1803" spans="1:24">
      <c r="A1803" s="27" t="s">
        <v>3453</v>
      </c>
      <c r="B1803" s="28" t="s">
        <v>215</v>
      </c>
      <c r="C1803" s="27" t="s">
        <v>844</v>
      </c>
      <c r="D1803" s="27" t="s">
        <v>230</v>
      </c>
      <c r="E1803" s="29">
        <v>41270</v>
      </c>
      <c r="F1803" s="27">
        <v>12</v>
      </c>
      <c r="G1803" s="18">
        <v>243.24</v>
      </c>
      <c r="H1803" s="27">
        <f t="shared" si="56"/>
        <v>243.24</v>
      </c>
      <c r="I1803" s="18">
        <v>243.24</v>
      </c>
      <c r="J1803" s="27">
        <v>243.24</v>
      </c>
      <c r="K1803" s="18">
        <f t="shared" si="57"/>
        <v>243.24</v>
      </c>
      <c r="L1803" s="27">
        <v>243.24</v>
      </c>
      <c r="M1803" s="36">
        <v>0</v>
      </c>
      <c r="T1803" s="41">
        <v>0</v>
      </c>
      <c r="U1803" s="41">
        <v>0</v>
      </c>
      <c r="V1803" s="42" t="s">
        <v>113</v>
      </c>
      <c r="W1803" s="42">
        <v>243.24</v>
      </c>
      <c r="X1803" s="42">
        <v>243.24</v>
      </c>
    </row>
    <row r="1804" spans="1:24">
      <c r="A1804" s="27" t="s">
        <v>3454</v>
      </c>
      <c r="B1804" s="28" t="s">
        <v>215</v>
      </c>
      <c r="C1804" s="27" t="s">
        <v>846</v>
      </c>
      <c r="D1804" s="27" t="s">
        <v>230</v>
      </c>
      <c r="E1804" s="29">
        <v>41270</v>
      </c>
      <c r="F1804" s="27">
        <v>12</v>
      </c>
      <c r="G1804" s="18">
        <v>243.24</v>
      </c>
      <c r="H1804" s="27">
        <f t="shared" si="56"/>
        <v>243.24</v>
      </c>
      <c r="I1804" s="18">
        <v>243.24</v>
      </c>
      <c r="J1804" s="27">
        <v>243.24</v>
      </c>
      <c r="K1804" s="18">
        <f t="shared" si="57"/>
        <v>243.24</v>
      </c>
      <c r="L1804" s="27">
        <v>243.24</v>
      </c>
      <c r="M1804" s="36">
        <v>0</v>
      </c>
      <c r="T1804" s="41">
        <v>0</v>
      </c>
      <c r="U1804" s="41">
        <v>0</v>
      </c>
      <c r="V1804" s="42" t="s">
        <v>113</v>
      </c>
      <c r="W1804" s="42">
        <v>243.24</v>
      </c>
      <c r="X1804" s="42">
        <v>243.24</v>
      </c>
    </row>
    <row r="1805" spans="1:24">
      <c r="A1805" s="27" t="s">
        <v>3455</v>
      </c>
      <c r="B1805" s="28" t="s">
        <v>215</v>
      </c>
      <c r="C1805" s="27" t="s">
        <v>1167</v>
      </c>
      <c r="D1805" s="27" t="s">
        <v>230</v>
      </c>
      <c r="E1805" s="29">
        <v>41270</v>
      </c>
      <c r="F1805" s="27">
        <v>12</v>
      </c>
      <c r="G1805" s="18">
        <v>243.24</v>
      </c>
      <c r="H1805" s="27">
        <f t="shared" si="56"/>
        <v>243.24</v>
      </c>
      <c r="I1805" s="18">
        <v>243.24</v>
      </c>
      <c r="J1805" s="27">
        <v>243.24</v>
      </c>
      <c r="K1805" s="18">
        <f t="shared" si="57"/>
        <v>243.24</v>
      </c>
      <c r="L1805" s="27">
        <v>243.24</v>
      </c>
      <c r="M1805" s="36">
        <v>0</v>
      </c>
      <c r="T1805" s="41">
        <v>0</v>
      </c>
      <c r="U1805" s="41">
        <v>0</v>
      </c>
      <c r="V1805" s="42" t="s">
        <v>113</v>
      </c>
      <c r="W1805" s="42">
        <v>243.24</v>
      </c>
      <c r="X1805" s="42">
        <v>243.24</v>
      </c>
    </row>
    <row r="1806" spans="1:24">
      <c r="A1806" s="27" t="s">
        <v>3456</v>
      </c>
      <c r="B1806" s="28" t="s">
        <v>215</v>
      </c>
      <c r="C1806" s="27" t="s">
        <v>3457</v>
      </c>
      <c r="D1806" s="27" t="s">
        <v>118</v>
      </c>
      <c r="E1806" s="29">
        <v>41270</v>
      </c>
      <c r="F1806" s="27">
        <v>15</v>
      </c>
      <c r="G1806" s="18">
        <v>388638.49</v>
      </c>
      <c r="H1806" s="27">
        <f t="shared" si="56"/>
        <v>0</v>
      </c>
      <c r="I1806" s="18">
        <v>188442.91</v>
      </c>
      <c r="J1806" s="27">
        <v>388638.49</v>
      </c>
      <c r="K1806" s="18">
        <f t="shared" si="57"/>
        <v>0</v>
      </c>
      <c r="L1806" s="27">
        <v>208527.76</v>
      </c>
      <c r="M1806" s="36">
        <v>20084.849999999999</v>
      </c>
      <c r="T1806" s="41">
        <v>0</v>
      </c>
      <c r="U1806" s="41">
        <v>0</v>
      </c>
      <c r="V1806" s="42" t="s">
        <v>113</v>
      </c>
      <c r="W1806" s="42">
        <v>0</v>
      </c>
      <c r="X1806" s="42">
        <v>0</v>
      </c>
    </row>
    <row r="1807" spans="1:24">
      <c r="A1807" s="27" t="s">
        <v>3458</v>
      </c>
      <c r="B1807" s="28" t="s">
        <v>215</v>
      </c>
      <c r="C1807" s="27" t="s">
        <v>2188</v>
      </c>
      <c r="D1807" s="27" t="s">
        <v>118</v>
      </c>
      <c r="E1807" s="29">
        <v>41270</v>
      </c>
      <c r="F1807" s="27">
        <v>15</v>
      </c>
      <c r="G1807" s="18">
        <v>9644.7800000000007</v>
      </c>
      <c r="H1807" s="27">
        <f t="shared" si="56"/>
        <v>0</v>
      </c>
      <c r="I1807" s="18">
        <v>4676.55</v>
      </c>
      <c r="J1807" s="27">
        <v>9644.7800000000007</v>
      </c>
      <c r="K1807" s="18">
        <f t="shared" si="57"/>
        <v>0</v>
      </c>
      <c r="L1807" s="27">
        <v>5174.99</v>
      </c>
      <c r="M1807" s="36">
        <v>498.44</v>
      </c>
      <c r="T1807" s="41">
        <v>0</v>
      </c>
      <c r="U1807" s="41">
        <v>0</v>
      </c>
      <c r="V1807" s="42" t="s">
        <v>113</v>
      </c>
      <c r="W1807" s="42">
        <v>0</v>
      </c>
      <c r="X1807" s="42">
        <v>0</v>
      </c>
    </row>
    <row r="1808" spans="1:24">
      <c r="A1808" s="27" t="s">
        <v>3459</v>
      </c>
      <c r="B1808" s="28" t="s">
        <v>215</v>
      </c>
      <c r="C1808" s="27" t="s">
        <v>3460</v>
      </c>
      <c r="D1808" s="27" t="s">
        <v>230</v>
      </c>
      <c r="E1808" s="29">
        <v>41270</v>
      </c>
      <c r="F1808" s="27">
        <v>12</v>
      </c>
      <c r="G1808" s="18">
        <v>243.24</v>
      </c>
      <c r="H1808" s="27">
        <f t="shared" si="56"/>
        <v>243.24</v>
      </c>
      <c r="I1808" s="18">
        <v>243.24</v>
      </c>
      <c r="J1808" s="27">
        <v>243.24</v>
      </c>
      <c r="K1808" s="18">
        <f t="shared" si="57"/>
        <v>243.24</v>
      </c>
      <c r="L1808" s="27">
        <v>243.24</v>
      </c>
      <c r="M1808" s="36">
        <v>0</v>
      </c>
      <c r="T1808" s="41">
        <v>0</v>
      </c>
      <c r="U1808" s="41">
        <v>0</v>
      </c>
      <c r="V1808" s="42" t="s">
        <v>113</v>
      </c>
      <c r="W1808" s="42">
        <v>243.24</v>
      </c>
      <c r="X1808" s="42">
        <v>243.24</v>
      </c>
    </row>
    <row r="1809" spans="1:24">
      <c r="A1809" s="27" t="s">
        <v>3461</v>
      </c>
      <c r="B1809" s="28" t="s">
        <v>215</v>
      </c>
      <c r="C1809" s="27" t="s">
        <v>510</v>
      </c>
      <c r="D1809" s="27" t="s">
        <v>230</v>
      </c>
      <c r="E1809" s="29">
        <v>41270</v>
      </c>
      <c r="F1809" s="27">
        <v>12</v>
      </c>
      <c r="G1809" s="18">
        <v>243.09</v>
      </c>
      <c r="H1809" s="27">
        <f t="shared" si="56"/>
        <v>243.09</v>
      </c>
      <c r="I1809" s="18">
        <v>243.09</v>
      </c>
      <c r="J1809" s="27">
        <v>243.09</v>
      </c>
      <c r="K1809" s="18">
        <f t="shared" si="57"/>
        <v>243.09</v>
      </c>
      <c r="L1809" s="27">
        <v>243.09</v>
      </c>
      <c r="M1809" s="36">
        <v>0</v>
      </c>
      <c r="T1809" s="41">
        <v>0</v>
      </c>
      <c r="U1809" s="41">
        <v>0</v>
      </c>
      <c r="V1809" s="42" t="s">
        <v>113</v>
      </c>
      <c r="W1809" s="42">
        <v>243.09</v>
      </c>
      <c r="X1809" s="42">
        <v>243.09</v>
      </c>
    </row>
    <row r="1810" spans="1:24">
      <c r="A1810" s="27" t="s">
        <v>3462</v>
      </c>
      <c r="B1810" s="28" t="s">
        <v>215</v>
      </c>
      <c r="C1810" s="27" t="s">
        <v>512</v>
      </c>
      <c r="D1810" s="27" t="s">
        <v>230</v>
      </c>
      <c r="E1810" s="29">
        <v>41270</v>
      </c>
      <c r="F1810" s="27">
        <v>12</v>
      </c>
      <c r="G1810" s="18">
        <v>243.08</v>
      </c>
      <c r="H1810" s="27">
        <f t="shared" si="56"/>
        <v>243.08</v>
      </c>
      <c r="I1810" s="18">
        <v>243.08</v>
      </c>
      <c r="J1810" s="27">
        <v>243.08</v>
      </c>
      <c r="K1810" s="18">
        <f t="shared" si="57"/>
        <v>243.08</v>
      </c>
      <c r="L1810" s="27">
        <v>243.08</v>
      </c>
      <c r="M1810" s="36">
        <v>0</v>
      </c>
      <c r="T1810" s="41">
        <v>0</v>
      </c>
      <c r="U1810" s="41">
        <v>0</v>
      </c>
      <c r="V1810" s="42" t="s">
        <v>113</v>
      </c>
      <c r="W1810" s="42">
        <v>243.08</v>
      </c>
      <c r="X1810" s="42">
        <v>243.08</v>
      </c>
    </row>
    <row r="1811" spans="1:24">
      <c r="A1811" s="27" t="s">
        <v>3463</v>
      </c>
      <c r="B1811" s="28" t="s">
        <v>215</v>
      </c>
      <c r="C1811" s="27" t="s">
        <v>3464</v>
      </c>
      <c r="D1811" s="27" t="s">
        <v>118</v>
      </c>
      <c r="E1811" s="29">
        <v>41270</v>
      </c>
      <c r="F1811" s="27">
        <v>15</v>
      </c>
      <c r="G1811" s="18">
        <v>388638.49</v>
      </c>
      <c r="H1811" s="27">
        <f t="shared" si="56"/>
        <v>0</v>
      </c>
      <c r="I1811" s="18">
        <v>188442.91</v>
      </c>
      <c r="J1811" s="27">
        <v>388638.49</v>
      </c>
      <c r="K1811" s="18">
        <f t="shared" si="57"/>
        <v>0</v>
      </c>
      <c r="L1811" s="27">
        <v>208527.76</v>
      </c>
      <c r="M1811" s="36">
        <v>20084.849999999999</v>
      </c>
      <c r="T1811" s="41">
        <v>0</v>
      </c>
      <c r="U1811" s="41">
        <v>0</v>
      </c>
      <c r="V1811" s="42" t="s">
        <v>113</v>
      </c>
      <c r="W1811" s="42">
        <v>0</v>
      </c>
      <c r="X1811" s="42">
        <v>0</v>
      </c>
    </row>
    <row r="1812" spans="1:24">
      <c r="A1812" s="27" t="s">
        <v>3465</v>
      </c>
      <c r="B1812" s="28" t="s">
        <v>215</v>
      </c>
      <c r="C1812" s="27" t="s">
        <v>3466</v>
      </c>
      <c r="D1812" s="27" t="s">
        <v>118</v>
      </c>
      <c r="E1812" s="29">
        <v>41270</v>
      </c>
      <c r="F1812" s="27">
        <v>15</v>
      </c>
      <c r="G1812" s="18">
        <v>491350.1</v>
      </c>
      <c r="H1812" s="27">
        <f t="shared" si="56"/>
        <v>0</v>
      </c>
      <c r="I1812" s="18">
        <v>238245.67</v>
      </c>
      <c r="J1812" s="27">
        <v>491350.1</v>
      </c>
      <c r="K1812" s="18">
        <f t="shared" si="57"/>
        <v>0</v>
      </c>
      <c r="L1812" s="27">
        <v>263638.65999999997</v>
      </c>
      <c r="M1812" s="36">
        <v>25392.99</v>
      </c>
      <c r="T1812" s="41">
        <v>0</v>
      </c>
      <c r="U1812" s="41">
        <v>0</v>
      </c>
      <c r="V1812" s="42" t="s">
        <v>113</v>
      </c>
      <c r="W1812" s="42">
        <v>0</v>
      </c>
      <c r="X1812" s="42">
        <v>0</v>
      </c>
    </row>
    <row r="1813" spans="1:24">
      <c r="A1813" s="27" t="s">
        <v>3467</v>
      </c>
      <c r="B1813" s="28" t="s">
        <v>215</v>
      </c>
      <c r="C1813" s="27" t="s">
        <v>3468</v>
      </c>
      <c r="D1813" s="27" t="s">
        <v>118</v>
      </c>
      <c r="E1813" s="29">
        <v>41270</v>
      </c>
      <c r="F1813" s="27">
        <v>15</v>
      </c>
      <c r="G1813" s="18">
        <v>491350.09</v>
      </c>
      <c r="H1813" s="27">
        <f t="shared" si="56"/>
        <v>0</v>
      </c>
      <c r="I1813" s="18">
        <v>238245.66</v>
      </c>
      <c r="J1813" s="27">
        <v>491350.09</v>
      </c>
      <c r="K1813" s="18">
        <f t="shared" si="57"/>
        <v>0</v>
      </c>
      <c r="L1813" s="27">
        <v>263638.65000000002</v>
      </c>
      <c r="M1813" s="36">
        <v>25392.99</v>
      </c>
      <c r="T1813" s="41">
        <v>0</v>
      </c>
      <c r="U1813" s="41">
        <v>0</v>
      </c>
      <c r="V1813" s="42" t="s">
        <v>113</v>
      </c>
      <c r="W1813" s="42">
        <v>0</v>
      </c>
      <c r="X1813" s="42">
        <v>0</v>
      </c>
    </row>
    <row r="1814" spans="1:24">
      <c r="A1814" s="27" t="s">
        <v>3469</v>
      </c>
      <c r="B1814" s="28" t="s">
        <v>215</v>
      </c>
      <c r="C1814" s="27" t="s">
        <v>3470</v>
      </c>
      <c r="D1814" s="27" t="s">
        <v>118</v>
      </c>
      <c r="E1814" s="29">
        <v>41270</v>
      </c>
      <c r="F1814" s="27">
        <v>15</v>
      </c>
      <c r="G1814" s="18">
        <v>6429.86</v>
      </c>
      <c r="H1814" s="27">
        <f t="shared" si="56"/>
        <v>0</v>
      </c>
      <c r="I1814" s="18">
        <v>3117.71</v>
      </c>
      <c r="J1814" s="27">
        <v>6429.86</v>
      </c>
      <c r="K1814" s="18">
        <f t="shared" si="57"/>
        <v>0</v>
      </c>
      <c r="L1814" s="27">
        <v>3450.01</v>
      </c>
      <c r="M1814" s="36">
        <v>332.3</v>
      </c>
      <c r="T1814" s="41">
        <v>0</v>
      </c>
      <c r="U1814" s="41">
        <v>0</v>
      </c>
      <c r="V1814" s="42" t="s">
        <v>113</v>
      </c>
      <c r="W1814" s="42">
        <v>0</v>
      </c>
      <c r="X1814" s="42">
        <v>0</v>
      </c>
    </row>
    <row r="1815" spans="1:24">
      <c r="A1815" s="27" t="s">
        <v>3471</v>
      </c>
      <c r="B1815" s="28" t="s">
        <v>215</v>
      </c>
      <c r="C1815" s="27" t="s">
        <v>3472</v>
      </c>
      <c r="D1815" s="27" t="s">
        <v>118</v>
      </c>
      <c r="E1815" s="29">
        <v>41270</v>
      </c>
      <c r="F1815" s="27">
        <v>15</v>
      </c>
      <c r="G1815" s="18">
        <v>687057.33</v>
      </c>
      <c r="H1815" s="27">
        <f t="shared" si="56"/>
        <v>0</v>
      </c>
      <c r="I1815" s="18">
        <v>333140.13</v>
      </c>
      <c r="J1815" s="27">
        <v>687057.33</v>
      </c>
      <c r="K1815" s="18">
        <f t="shared" si="57"/>
        <v>0</v>
      </c>
      <c r="L1815" s="27">
        <v>368647.28</v>
      </c>
      <c r="M1815" s="36">
        <v>35507.15</v>
      </c>
      <c r="T1815" s="41">
        <v>0</v>
      </c>
      <c r="U1815" s="41">
        <v>0</v>
      </c>
      <c r="V1815" s="42" t="s">
        <v>113</v>
      </c>
      <c r="W1815" s="42">
        <v>0</v>
      </c>
      <c r="X1815" s="42">
        <v>0</v>
      </c>
    </row>
    <row r="1816" spans="1:24">
      <c r="A1816" s="27" t="s">
        <v>3473</v>
      </c>
      <c r="B1816" s="28" t="s">
        <v>215</v>
      </c>
      <c r="C1816" s="27" t="s">
        <v>3474</v>
      </c>
      <c r="D1816" s="27" t="s">
        <v>230</v>
      </c>
      <c r="E1816" s="29">
        <v>41270</v>
      </c>
      <c r="F1816" s="27">
        <v>15</v>
      </c>
      <c r="G1816" s="18">
        <v>114298.44</v>
      </c>
      <c r="H1816" s="27">
        <f t="shared" si="56"/>
        <v>0</v>
      </c>
      <c r="I1816" s="18">
        <v>55420.99</v>
      </c>
      <c r="J1816" s="27">
        <v>114298.44</v>
      </c>
      <c r="K1816" s="18">
        <f t="shared" si="57"/>
        <v>0</v>
      </c>
      <c r="L1816" s="27">
        <v>61327.94</v>
      </c>
      <c r="M1816" s="36">
        <v>5906.95</v>
      </c>
      <c r="T1816" s="41">
        <v>0</v>
      </c>
      <c r="U1816" s="41">
        <v>0</v>
      </c>
      <c r="V1816" s="42" t="s">
        <v>113</v>
      </c>
      <c r="W1816" s="42">
        <v>0</v>
      </c>
      <c r="X1816" s="42">
        <v>0</v>
      </c>
    </row>
    <row r="1817" spans="1:24">
      <c r="A1817" s="27" t="s">
        <v>3475</v>
      </c>
      <c r="B1817" s="28" t="s">
        <v>215</v>
      </c>
      <c r="C1817" s="27" t="s">
        <v>3476</v>
      </c>
      <c r="D1817" s="27" t="s">
        <v>230</v>
      </c>
      <c r="E1817" s="29">
        <v>41270</v>
      </c>
      <c r="F1817" s="27">
        <v>15</v>
      </c>
      <c r="G1817" s="18">
        <v>114298.44</v>
      </c>
      <c r="H1817" s="27">
        <f t="shared" si="56"/>
        <v>0</v>
      </c>
      <c r="I1817" s="18">
        <v>55420.99</v>
      </c>
      <c r="J1817" s="27">
        <v>114298.44</v>
      </c>
      <c r="K1817" s="18">
        <f t="shared" si="57"/>
        <v>0</v>
      </c>
      <c r="L1817" s="27">
        <v>61327.94</v>
      </c>
      <c r="M1817" s="36">
        <v>5906.95</v>
      </c>
      <c r="T1817" s="41">
        <v>0</v>
      </c>
      <c r="U1817" s="41">
        <v>0</v>
      </c>
      <c r="V1817" s="42" t="s">
        <v>113</v>
      </c>
      <c r="W1817" s="42">
        <v>0</v>
      </c>
      <c r="X1817" s="42">
        <v>0</v>
      </c>
    </row>
    <row r="1818" spans="1:24">
      <c r="A1818" s="27" t="s">
        <v>3477</v>
      </c>
      <c r="B1818" s="28" t="s">
        <v>215</v>
      </c>
      <c r="C1818" s="27" t="s">
        <v>1047</v>
      </c>
      <c r="D1818" s="27" t="s">
        <v>230</v>
      </c>
      <c r="E1818" s="29">
        <v>41270</v>
      </c>
      <c r="F1818" s="27">
        <v>15</v>
      </c>
      <c r="G1818" s="18">
        <v>114298.44</v>
      </c>
      <c r="H1818" s="27">
        <f t="shared" si="56"/>
        <v>0</v>
      </c>
      <c r="I1818" s="18">
        <v>55420.99</v>
      </c>
      <c r="J1818" s="27">
        <v>114298.44</v>
      </c>
      <c r="K1818" s="18">
        <f t="shared" si="57"/>
        <v>0</v>
      </c>
      <c r="L1818" s="27">
        <v>61327.94</v>
      </c>
      <c r="M1818" s="36">
        <v>5906.95</v>
      </c>
      <c r="T1818" s="41">
        <v>0</v>
      </c>
      <c r="U1818" s="41">
        <v>0</v>
      </c>
      <c r="V1818" s="42" t="s">
        <v>113</v>
      </c>
      <c r="W1818" s="42">
        <v>0</v>
      </c>
      <c r="X1818" s="42">
        <v>0</v>
      </c>
    </row>
    <row r="1819" spans="1:24">
      <c r="A1819" s="27" t="s">
        <v>3478</v>
      </c>
      <c r="B1819" s="28" t="s">
        <v>215</v>
      </c>
      <c r="C1819" s="27" t="s">
        <v>3479</v>
      </c>
      <c r="D1819" s="27" t="s">
        <v>230</v>
      </c>
      <c r="E1819" s="29">
        <v>41270</v>
      </c>
      <c r="F1819" s="27">
        <v>15</v>
      </c>
      <c r="G1819" s="18">
        <v>114298.44</v>
      </c>
      <c r="H1819" s="27">
        <f t="shared" si="56"/>
        <v>0</v>
      </c>
      <c r="I1819" s="18">
        <v>55420.99</v>
      </c>
      <c r="J1819" s="27">
        <v>114298.44</v>
      </c>
      <c r="K1819" s="18">
        <f t="shared" si="57"/>
        <v>0</v>
      </c>
      <c r="L1819" s="27">
        <v>61327.94</v>
      </c>
      <c r="M1819" s="36">
        <v>5906.95</v>
      </c>
      <c r="T1819" s="41">
        <v>0</v>
      </c>
      <c r="U1819" s="41">
        <v>0</v>
      </c>
      <c r="V1819" s="42" t="s">
        <v>113</v>
      </c>
      <c r="W1819" s="42">
        <v>0</v>
      </c>
      <c r="X1819" s="42">
        <v>0</v>
      </c>
    </row>
    <row r="1820" spans="1:24">
      <c r="A1820" s="27" t="s">
        <v>3480</v>
      </c>
      <c r="B1820" s="28" t="s">
        <v>215</v>
      </c>
      <c r="C1820" s="27" t="s">
        <v>3481</v>
      </c>
      <c r="D1820" s="27" t="s">
        <v>230</v>
      </c>
      <c r="E1820" s="29">
        <v>41270</v>
      </c>
      <c r="F1820" s="27">
        <v>15</v>
      </c>
      <c r="G1820" s="18">
        <v>114298.44</v>
      </c>
      <c r="H1820" s="27">
        <f t="shared" si="56"/>
        <v>0</v>
      </c>
      <c r="I1820" s="18">
        <v>55420.99</v>
      </c>
      <c r="J1820" s="27">
        <v>114298.44</v>
      </c>
      <c r="K1820" s="18">
        <f t="shared" si="57"/>
        <v>0</v>
      </c>
      <c r="L1820" s="27">
        <v>61327.94</v>
      </c>
      <c r="M1820" s="36">
        <v>5906.95</v>
      </c>
      <c r="T1820" s="41">
        <v>0</v>
      </c>
      <c r="U1820" s="41">
        <v>0</v>
      </c>
      <c r="V1820" s="42" t="s">
        <v>113</v>
      </c>
      <c r="W1820" s="42">
        <v>0</v>
      </c>
      <c r="X1820" s="42">
        <v>0</v>
      </c>
    </row>
    <row r="1821" spans="1:24">
      <c r="A1821" s="27" t="s">
        <v>3482</v>
      </c>
      <c r="B1821" s="28" t="s">
        <v>215</v>
      </c>
      <c r="C1821" s="27" t="s">
        <v>3483</v>
      </c>
      <c r="D1821" s="27" t="s">
        <v>230</v>
      </c>
      <c r="E1821" s="29">
        <v>41270</v>
      </c>
      <c r="F1821" s="27">
        <v>15</v>
      </c>
      <c r="G1821" s="18">
        <v>114298.44</v>
      </c>
      <c r="H1821" s="27">
        <f t="shared" si="56"/>
        <v>0</v>
      </c>
      <c r="I1821" s="18">
        <v>55420.99</v>
      </c>
      <c r="J1821" s="27">
        <v>114298.44</v>
      </c>
      <c r="K1821" s="18">
        <f t="shared" si="57"/>
        <v>0</v>
      </c>
      <c r="L1821" s="27">
        <v>61327.94</v>
      </c>
      <c r="M1821" s="36">
        <v>5906.95</v>
      </c>
      <c r="T1821" s="41">
        <v>0</v>
      </c>
      <c r="U1821" s="41">
        <v>0</v>
      </c>
      <c r="V1821" s="42" t="s">
        <v>113</v>
      </c>
      <c r="W1821" s="42">
        <v>0</v>
      </c>
      <c r="X1821" s="42">
        <v>0</v>
      </c>
    </row>
    <row r="1822" spans="1:24">
      <c r="A1822" s="27" t="s">
        <v>3484</v>
      </c>
      <c r="B1822" s="28" t="s">
        <v>215</v>
      </c>
      <c r="C1822" s="27" t="s">
        <v>3485</v>
      </c>
      <c r="D1822" s="27" t="s">
        <v>230</v>
      </c>
      <c r="E1822" s="29">
        <v>41270</v>
      </c>
      <c r="F1822" s="27">
        <v>15</v>
      </c>
      <c r="G1822" s="18">
        <v>114298.44</v>
      </c>
      <c r="H1822" s="27">
        <f t="shared" si="56"/>
        <v>0</v>
      </c>
      <c r="I1822" s="18">
        <v>55420.99</v>
      </c>
      <c r="J1822" s="27">
        <v>114298.44</v>
      </c>
      <c r="K1822" s="18">
        <f t="shared" si="57"/>
        <v>0</v>
      </c>
      <c r="L1822" s="27">
        <v>61327.94</v>
      </c>
      <c r="M1822" s="36">
        <v>5906.95</v>
      </c>
      <c r="T1822" s="41">
        <v>0</v>
      </c>
      <c r="U1822" s="41">
        <v>0</v>
      </c>
      <c r="V1822" s="42" t="s">
        <v>113</v>
      </c>
      <c r="W1822" s="42">
        <v>0</v>
      </c>
      <c r="X1822" s="42">
        <v>0</v>
      </c>
    </row>
    <row r="1823" spans="1:24">
      <c r="A1823" s="27" t="s">
        <v>3486</v>
      </c>
      <c r="B1823" s="28" t="s">
        <v>215</v>
      </c>
      <c r="C1823" s="27" t="s">
        <v>2068</v>
      </c>
      <c r="D1823" s="27" t="s">
        <v>230</v>
      </c>
      <c r="E1823" s="29">
        <v>41270</v>
      </c>
      <c r="F1823" s="27">
        <v>15</v>
      </c>
      <c r="G1823" s="18">
        <v>114298.44</v>
      </c>
      <c r="H1823" s="27">
        <f t="shared" si="56"/>
        <v>0</v>
      </c>
      <c r="I1823" s="18">
        <v>55420.99</v>
      </c>
      <c r="J1823" s="27">
        <v>114298.44</v>
      </c>
      <c r="K1823" s="18">
        <f t="shared" si="57"/>
        <v>0</v>
      </c>
      <c r="L1823" s="27">
        <v>61327.94</v>
      </c>
      <c r="M1823" s="36">
        <v>5906.95</v>
      </c>
      <c r="T1823" s="41">
        <v>0</v>
      </c>
      <c r="U1823" s="41">
        <v>0</v>
      </c>
      <c r="V1823" s="42" t="s">
        <v>113</v>
      </c>
      <c r="W1823" s="42">
        <v>0</v>
      </c>
      <c r="X1823" s="42">
        <v>0</v>
      </c>
    </row>
    <row r="1824" spans="1:24">
      <c r="A1824" s="27" t="s">
        <v>3487</v>
      </c>
      <c r="B1824" s="28" t="s">
        <v>215</v>
      </c>
      <c r="C1824" s="27" t="s">
        <v>2058</v>
      </c>
      <c r="D1824" s="27" t="s">
        <v>230</v>
      </c>
      <c r="E1824" s="29">
        <v>41270</v>
      </c>
      <c r="F1824" s="27">
        <v>15</v>
      </c>
      <c r="G1824" s="18">
        <v>114298.44</v>
      </c>
      <c r="H1824" s="27">
        <f t="shared" si="56"/>
        <v>0</v>
      </c>
      <c r="I1824" s="18">
        <v>55420.99</v>
      </c>
      <c r="J1824" s="27">
        <v>114298.44</v>
      </c>
      <c r="K1824" s="18">
        <f t="shared" si="57"/>
        <v>0</v>
      </c>
      <c r="L1824" s="27">
        <v>61327.94</v>
      </c>
      <c r="M1824" s="36">
        <v>5906.95</v>
      </c>
      <c r="T1824" s="41">
        <v>0</v>
      </c>
      <c r="U1824" s="41">
        <v>0</v>
      </c>
      <c r="V1824" s="42" t="s">
        <v>113</v>
      </c>
      <c r="W1824" s="42">
        <v>0</v>
      </c>
      <c r="X1824" s="42">
        <v>0</v>
      </c>
    </row>
    <row r="1825" spans="1:24">
      <c r="A1825" s="27" t="s">
        <v>3488</v>
      </c>
      <c r="B1825" s="28" t="s">
        <v>215</v>
      </c>
      <c r="C1825" s="27" t="s">
        <v>1756</v>
      </c>
      <c r="D1825" s="27" t="s">
        <v>230</v>
      </c>
      <c r="E1825" s="29">
        <v>41270</v>
      </c>
      <c r="F1825" s="27">
        <v>15</v>
      </c>
      <c r="G1825" s="18">
        <v>114298.44</v>
      </c>
      <c r="H1825" s="27">
        <f t="shared" si="56"/>
        <v>0</v>
      </c>
      <c r="I1825" s="18">
        <v>55420.99</v>
      </c>
      <c r="J1825" s="27">
        <v>114298.44</v>
      </c>
      <c r="K1825" s="18">
        <f t="shared" si="57"/>
        <v>0</v>
      </c>
      <c r="L1825" s="27">
        <v>61327.94</v>
      </c>
      <c r="M1825" s="36">
        <v>5906.95</v>
      </c>
      <c r="T1825" s="41">
        <v>0</v>
      </c>
      <c r="U1825" s="41">
        <v>0</v>
      </c>
      <c r="V1825" s="42" t="s">
        <v>113</v>
      </c>
      <c r="W1825" s="42">
        <v>0</v>
      </c>
      <c r="X1825" s="42">
        <v>0</v>
      </c>
    </row>
    <row r="1826" spans="1:24">
      <c r="A1826" s="27" t="s">
        <v>3489</v>
      </c>
      <c r="B1826" s="28" t="s">
        <v>215</v>
      </c>
      <c r="C1826" s="27" t="s">
        <v>3490</v>
      </c>
      <c r="D1826" s="27" t="s">
        <v>230</v>
      </c>
      <c r="E1826" s="29">
        <v>41270</v>
      </c>
      <c r="F1826" s="27">
        <v>15</v>
      </c>
      <c r="G1826" s="18">
        <v>114298.44</v>
      </c>
      <c r="H1826" s="27">
        <f t="shared" si="56"/>
        <v>0</v>
      </c>
      <c r="I1826" s="18">
        <v>55420.99</v>
      </c>
      <c r="J1826" s="27">
        <v>114298.44</v>
      </c>
      <c r="K1826" s="18">
        <f t="shared" si="57"/>
        <v>0</v>
      </c>
      <c r="L1826" s="27">
        <v>61327.94</v>
      </c>
      <c r="M1826" s="36">
        <v>5906.95</v>
      </c>
      <c r="T1826" s="41">
        <v>0</v>
      </c>
      <c r="U1826" s="41">
        <v>0</v>
      </c>
      <c r="V1826" s="42" t="s">
        <v>113</v>
      </c>
      <c r="W1826" s="42">
        <v>0</v>
      </c>
      <c r="X1826" s="42">
        <v>0</v>
      </c>
    </row>
    <row r="1827" spans="1:24">
      <c r="A1827" s="27" t="s">
        <v>3491</v>
      </c>
      <c r="B1827" s="28" t="s">
        <v>215</v>
      </c>
      <c r="C1827" s="27" t="s">
        <v>2031</v>
      </c>
      <c r="D1827" s="27" t="s">
        <v>230</v>
      </c>
      <c r="E1827" s="29">
        <v>41270</v>
      </c>
      <c r="F1827" s="27">
        <v>15</v>
      </c>
      <c r="G1827" s="18">
        <v>114298.44</v>
      </c>
      <c r="H1827" s="27">
        <f t="shared" si="56"/>
        <v>0</v>
      </c>
      <c r="I1827" s="18">
        <v>55420.99</v>
      </c>
      <c r="J1827" s="27">
        <v>114298.44</v>
      </c>
      <c r="K1827" s="18">
        <f t="shared" si="57"/>
        <v>0</v>
      </c>
      <c r="L1827" s="27">
        <v>61327.94</v>
      </c>
      <c r="M1827" s="36">
        <v>5906.95</v>
      </c>
      <c r="T1827" s="41">
        <v>0</v>
      </c>
      <c r="U1827" s="41">
        <v>0</v>
      </c>
      <c r="V1827" s="42" t="s">
        <v>113</v>
      </c>
      <c r="W1827" s="42">
        <v>0</v>
      </c>
      <c r="X1827" s="42">
        <v>0</v>
      </c>
    </row>
    <row r="1828" spans="1:24">
      <c r="A1828" s="27" t="s">
        <v>3492</v>
      </c>
      <c r="B1828" s="28" t="s">
        <v>215</v>
      </c>
      <c r="C1828" s="27" t="s">
        <v>3493</v>
      </c>
      <c r="D1828" s="27" t="s">
        <v>230</v>
      </c>
      <c r="E1828" s="29">
        <v>41270</v>
      </c>
      <c r="F1828" s="27">
        <v>15</v>
      </c>
      <c r="G1828" s="18">
        <v>114298.44</v>
      </c>
      <c r="H1828" s="27">
        <f t="shared" si="56"/>
        <v>0</v>
      </c>
      <c r="I1828" s="18">
        <v>55420.99</v>
      </c>
      <c r="J1828" s="27">
        <v>114298.44</v>
      </c>
      <c r="K1828" s="18">
        <f t="shared" si="57"/>
        <v>0</v>
      </c>
      <c r="L1828" s="27">
        <v>61327.94</v>
      </c>
      <c r="M1828" s="36">
        <v>5906.95</v>
      </c>
      <c r="T1828" s="41">
        <v>0</v>
      </c>
      <c r="U1828" s="41">
        <v>0</v>
      </c>
      <c r="V1828" s="42" t="s">
        <v>113</v>
      </c>
      <c r="W1828" s="42">
        <v>0</v>
      </c>
      <c r="X1828" s="42">
        <v>0</v>
      </c>
    </row>
    <row r="1829" spans="1:24">
      <c r="A1829" s="27" t="s">
        <v>3494</v>
      </c>
      <c r="B1829" s="28" t="s">
        <v>215</v>
      </c>
      <c r="C1829" s="27" t="s">
        <v>3495</v>
      </c>
      <c r="D1829" s="27" t="s">
        <v>230</v>
      </c>
      <c r="E1829" s="29">
        <v>41270</v>
      </c>
      <c r="F1829" s="27">
        <v>15</v>
      </c>
      <c r="G1829" s="18">
        <v>114298.44</v>
      </c>
      <c r="H1829" s="27">
        <f t="shared" si="56"/>
        <v>0</v>
      </c>
      <c r="I1829" s="18">
        <v>55420.99</v>
      </c>
      <c r="J1829" s="27">
        <v>114298.44</v>
      </c>
      <c r="K1829" s="18">
        <f t="shared" si="57"/>
        <v>0</v>
      </c>
      <c r="L1829" s="27">
        <v>61327.94</v>
      </c>
      <c r="M1829" s="36">
        <v>5906.95</v>
      </c>
      <c r="T1829" s="41">
        <v>0</v>
      </c>
      <c r="U1829" s="41">
        <v>0</v>
      </c>
      <c r="V1829" s="42" t="s">
        <v>113</v>
      </c>
      <c r="W1829" s="42">
        <v>0</v>
      </c>
      <c r="X1829" s="42">
        <v>0</v>
      </c>
    </row>
    <row r="1830" spans="1:24">
      <c r="A1830" s="27" t="s">
        <v>3496</v>
      </c>
      <c r="B1830" s="28" t="s">
        <v>215</v>
      </c>
      <c r="C1830" s="27" t="s">
        <v>1089</v>
      </c>
      <c r="D1830" s="27" t="s">
        <v>230</v>
      </c>
      <c r="E1830" s="29">
        <v>41270</v>
      </c>
      <c r="F1830" s="27">
        <v>15</v>
      </c>
      <c r="G1830" s="18">
        <v>114298.44</v>
      </c>
      <c r="H1830" s="27">
        <f t="shared" si="56"/>
        <v>0</v>
      </c>
      <c r="I1830" s="18">
        <v>55420.99</v>
      </c>
      <c r="J1830" s="27">
        <v>114298.44</v>
      </c>
      <c r="K1830" s="18">
        <f t="shared" si="57"/>
        <v>0</v>
      </c>
      <c r="L1830" s="27">
        <v>61327.94</v>
      </c>
      <c r="M1830" s="36">
        <v>5906.95</v>
      </c>
      <c r="T1830" s="41">
        <v>0</v>
      </c>
      <c r="U1830" s="41">
        <v>0</v>
      </c>
      <c r="V1830" s="42" t="s">
        <v>113</v>
      </c>
      <c r="W1830" s="42">
        <v>0</v>
      </c>
      <c r="X1830" s="42">
        <v>0</v>
      </c>
    </row>
    <row r="1831" spans="1:24">
      <c r="A1831" s="27" t="s">
        <v>3497</v>
      </c>
      <c r="B1831" s="28" t="s">
        <v>215</v>
      </c>
      <c r="C1831" s="27" t="s">
        <v>3498</v>
      </c>
      <c r="D1831" s="27" t="s">
        <v>230</v>
      </c>
      <c r="E1831" s="29">
        <v>41270</v>
      </c>
      <c r="F1831" s="27">
        <v>15</v>
      </c>
      <c r="G1831" s="18">
        <v>114298.44</v>
      </c>
      <c r="H1831" s="27">
        <f t="shared" si="56"/>
        <v>0</v>
      </c>
      <c r="I1831" s="18">
        <v>55420.99</v>
      </c>
      <c r="J1831" s="27">
        <v>114298.44</v>
      </c>
      <c r="K1831" s="18">
        <f t="shared" si="57"/>
        <v>0</v>
      </c>
      <c r="L1831" s="27">
        <v>61327.94</v>
      </c>
      <c r="M1831" s="36">
        <v>5906.95</v>
      </c>
      <c r="T1831" s="41">
        <v>0</v>
      </c>
      <c r="U1831" s="41">
        <v>0</v>
      </c>
      <c r="V1831" s="42" t="s">
        <v>113</v>
      </c>
      <c r="W1831" s="42">
        <v>0</v>
      </c>
      <c r="X1831" s="42">
        <v>0</v>
      </c>
    </row>
    <row r="1832" spans="1:24">
      <c r="A1832" s="27" t="s">
        <v>3499</v>
      </c>
      <c r="B1832" s="28" t="s">
        <v>215</v>
      </c>
      <c r="C1832" s="27" t="s">
        <v>3500</v>
      </c>
      <c r="D1832" s="27" t="s">
        <v>230</v>
      </c>
      <c r="E1832" s="29">
        <v>41270</v>
      </c>
      <c r="F1832" s="27">
        <v>15</v>
      </c>
      <c r="G1832" s="18">
        <v>114024.34</v>
      </c>
      <c r="H1832" s="27">
        <f t="shared" si="56"/>
        <v>0</v>
      </c>
      <c r="I1832" s="18">
        <v>55288.08</v>
      </c>
      <c r="J1832" s="27">
        <v>114024.34</v>
      </c>
      <c r="K1832" s="18">
        <f t="shared" si="57"/>
        <v>0</v>
      </c>
      <c r="L1832" s="27">
        <v>61180.86</v>
      </c>
      <c r="M1832" s="36">
        <v>5892.78</v>
      </c>
      <c r="T1832" s="41">
        <v>0</v>
      </c>
      <c r="U1832" s="41">
        <v>0</v>
      </c>
      <c r="V1832" s="42" t="s">
        <v>113</v>
      </c>
      <c r="W1832" s="42">
        <v>0</v>
      </c>
      <c r="X1832" s="42">
        <v>0</v>
      </c>
    </row>
    <row r="1833" spans="1:24">
      <c r="A1833" s="27" t="s">
        <v>3501</v>
      </c>
      <c r="B1833" s="28" t="s">
        <v>215</v>
      </c>
      <c r="C1833" s="27" t="s">
        <v>3502</v>
      </c>
      <c r="D1833" s="27" t="s">
        <v>230</v>
      </c>
      <c r="E1833" s="29">
        <v>41270</v>
      </c>
      <c r="F1833" s="27">
        <v>15</v>
      </c>
      <c r="G1833" s="18">
        <v>114024.34</v>
      </c>
      <c r="H1833" s="27">
        <f t="shared" si="56"/>
        <v>0</v>
      </c>
      <c r="I1833" s="18">
        <v>55288.08</v>
      </c>
      <c r="J1833" s="27">
        <v>114024.34</v>
      </c>
      <c r="K1833" s="18">
        <f t="shared" si="57"/>
        <v>0</v>
      </c>
      <c r="L1833" s="27">
        <v>61180.86</v>
      </c>
      <c r="M1833" s="36">
        <v>5892.78</v>
      </c>
      <c r="T1833" s="41">
        <v>0</v>
      </c>
      <c r="U1833" s="41">
        <v>0</v>
      </c>
      <c r="V1833" s="42" t="s">
        <v>113</v>
      </c>
      <c r="W1833" s="42">
        <v>0</v>
      </c>
      <c r="X1833" s="42">
        <v>0</v>
      </c>
    </row>
    <row r="1834" spans="1:24">
      <c r="A1834" s="27" t="s">
        <v>3503</v>
      </c>
      <c r="B1834" s="28" t="s">
        <v>215</v>
      </c>
      <c r="C1834" s="27" t="s">
        <v>3504</v>
      </c>
      <c r="D1834" s="27" t="s">
        <v>230</v>
      </c>
      <c r="E1834" s="29">
        <v>41270</v>
      </c>
      <c r="F1834" s="27">
        <v>15</v>
      </c>
      <c r="G1834" s="18">
        <v>114024.34</v>
      </c>
      <c r="H1834" s="27">
        <f t="shared" si="56"/>
        <v>0</v>
      </c>
      <c r="I1834" s="18">
        <v>55288.08</v>
      </c>
      <c r="J1834" s="27">
        <v>114024.34</v>
      </c>
      <c r="K1834" s="18">
        <f t="shared" si="57"/>
        <v>0</v>
      </c>
      <c r="L1834" s="27">
        <v>61180.86</v>
      </c>
      <c r="M1834" s="36">
        <v>5892.78</v>
      </c>
      <c r="T1834" s="41">
        <v>0</v>
      </c>
      <c r="U1834" s="41">
        <v>0</v>
      </c>
      <c r="V1834" s="42" t="s">
        <v>113</v>
      </c>
      <c r="W1834" s="42">
        <v>0</v>
      </c>
      <c r="X1834" s="42">
        <v>0</v>
      </c>
    </row>
    <row r="1835" spans="1:24">
      <c r="A1835" s="27" t="s">
        <v>3505</v>
      </c>
      <c r="B1835" s="28" t="s">
        <v>215</v>
      </c>
      <c r="C1835" s="27" t="s">
        <v>1081</v>
      </c>
      <c r="D1835" s="27" t="s">
        <v>230</v>
      </c>
      <c r="E1835" s="29">
        <v>41270</v>
      </c>
      <c r="F1835" s="27">
        <v>15</v>
      </c>
      <c r="G1835" s="18">
        <v>114024.34</v>
      </c>
      <c r="H1835" s="27">
        <f t="shared" si="56"/>
        <v>0</v>
      </c>
      <c r="I1835" s="18">
        <v>55288.08</v>
      </c>
      <c r="J1835" s="27">
        <v>114024.34</v>
      </c>
      <c r="K1835" s="18">
        <f t="shared" si="57"/>
        <v>0</v>
      </c>
      <c r="L1835" s="27">
        <v>61180.86</v>
      </c>
      <c r="M1835" s="36">
        <v>5892.78</v>
      </c>
      <c r="T1835" s="41">
        <v>0</v>
      </c>
      <c r="U1835" s="41">
        <v>0</v>
      </c>
      <c r="V1835" s="42" t="s">
        <v>113</v>
      </c>
      <c r="W1835" s="42">
        <v>0</v>
      </c>
      <c r="X1835" s="42">
        <v>0</v>
      </c>
    </row>
    <row r="1836" spans="1:24">
      <c r="A1836" s="27" t="s">
        <v>3506</v>
      </c>
      <c r="B1836" s="28" t="s">
        <v>215</v>
      </c>
      <c r="C1836" s="27" t="s">
        <v>3507</v>
      </c>
      <c r="D1836" s="27" t="s">
        <v>230</v>
      </c>
      <c r="E1836" s="29">
        <v>41270</v>
      </c>
      <c r="F1836" s="27">
        <v>15</v>
      </c>
      <c r="G1836" s="18">
        <v>114024.34</v>
      </c>
      <c r="H1836" s="27">
        <f t="shared" si="56"/>
        <v>0</v>
      </c>
      <c r="I1836" s="18">
        <v>55288.08</v>
      </c>
      <c r="J1836" s="27">
        <v>114024.34</v>
      </c>
      <c r="K1836" s="18">
        <f t="shared" si="57"/>
        <v>0</v>
      </c>
      <c r="L1836" s="27">
        <v>61180.86</v>
      </c>
      <c r="M1836" s="36">
        <v>5892.78</v>
      </c>
      <c r="T1836" s="41">
        <v>0</v>
      </c>
      <c r="U1836" s="41">
        <v>0</v>
      </c>
      <c r="V1836" s="42" t="s">
        <v>113</v>
      </c>
      <c r="W1836" s="42">
        <v>0</v>
      </c>
      <c r="X1836" s="42">
        <v>0</v>
      </c>
    </row>
    <row r="1837" spans="1:24">
      <c r="A1837" s="27" t="s">
        <v>3508</v>
      </c>
      <c r="B1837" s="28" t="s">
        <v>215</v>
      </c>
      <c r="C1837" s="27" t="s">
        <v>3509</v>
      </c>
      <c r="D1837" s="27" t="s">
        <v>230</v>
      </c>
      <c r="E1837" s="29">
        <v>41270</v>
      </c>
      <c r="F1837" s="27">
        <v>15</v>
      </c>
      <c r="G1837" s="18">
        <v>114024.34</v>
      </c>
      <c r="H1837" s="27">
        <f t="shared" si="56"/>
        <v>0</v>
      </c>
      <c r="I1837" s="18">
        <v>55288.08</v>
      </c>
      <c r="J1837" s="27">
        <v>114024.34</v>
      </c>
      <c r="K1837" s="18">
        <f t="shared" si="57"/>
        <v>0</v>
      </c>
      <c r="L1837" s="27">
        <v>61180.86</v>
      </c>
      <c r="M1837" s="36">
        <v>5892.78</v>
      </c>
      <c r="T1837" s="41">
        <v>0</v>
      </c>
      <c r="U1837" s="41">
        <v>0</v>
      </c>
      <c r="V1837" s="42" t="s">
        <v>113</v>
      </c>
      <c r="W1837" s="42">
        <v>0</v>
      </c>
      <c r="X1837" s="42">
        <v>0</v>
      </c>
    </row>
    <row r="1838" spans="1:24">
      <c r="A1838" s="27" t="s">
        <v>3510</v>
      </c>
      <c r="B1838" s="28" t="s">
        <v>215</v>
      </c>
      <c r="C1838" s="27" t="s">
        <v>3511</v>
      </c>
      <c r="D1838" s="27" t="s">
        <v>230</v>
      </c>
      <c r="E1838" s="29">
        <v>41270</v>
      </c>
      <c r="F1838" s="27">
        <v>15</v>
      </c>
      <c r="G1838" s="18">
        <v>114024.34</v>
      </c>
      <c r="H1838" s="27">
        <f t="shared" si="56"/>
        <v>0</v>
      </c>
      <c r="I1838" s="18">
        <v>55288.08</v>
      </c>
      <c r="J1838" s="27">
        <v>114024.34</v>
      </c>
      <c r="K1838" s="18">
        <f t="shared" si="57"/>
        <v>0</v>
      </c>
      <c r="L1838" s="27">
        <v>61180.86</v>
      </c>
      <c r="M1838" s="36">
        <v>5892.78</v>
      </c>
      <c r="T1838" s="41">
        <v>0</v>
      </c>
      <c r="U1838" s="41">
        <v>0</v>
      </c>
      <c r="V1838" s="42" t="s">
        <v>113</v>
      </c>
      <c r="W1838" s="42">
        <v>0</v>
      </c>
      <c r="X1838" s="42">
        <v>0</v>
      </c>
    </row>
    <row r="1839" spans="1:24">
      <c r="A1839" s="27" t="s">
        <v>3512</v>
      </c>
      <c r="B1839" s="28" t="s">
        <v>215</v>
      </c>
      <c r="C1839" s="27" t="s">
        <v>3513</v>
      </c>
      <c r="D1839" s="27" t="s">
        <v>230</v>
      </c>
      <c r="E1839" s="29">
        <v>41270</v>
      </c>
      <c r="F1839" s="27">
        <v>15</v>
      </c>
      <c r="G1839" s="18">
        <v>114024.34</v>
      </c>
      <c r="H1839" s="27">
        <f t="shared" si="56"/>
        <v>0</v>
      </c>
      <c r="I1839" s="18">
        <v>55288.08</v>
      </c>
      <c r="J1839" s="27">
        <v>114024.34</v>
      </c>
      <c r="K1839" s="18">
        <f t="shared" si="57"/>
        <v>0</v>
      </c>
      <c r="L1839" s="27">
        <v>61180.86</v>
      </c>
      <c r="M1839" s="36">
        <v>5892.78</v>
      </c>
      <c r="T1839" s="41">
        <v>0</v>
      </c>
      <c r="U1839" s="41">
        <v>0</v>
      </c>
      <c r="V1839" s="42" t="s">
        <v>113</v>
      </c>
      <c r="W1839" s="42">
        <v>0</v>
      </c>
      <c r="X1839" s="42">
        <v>0</v>
      </c>
    </row>
    <row r="1840" spans="1:24">
      <c r="A1840" s="27" t="s">
        <v>3514</v>
      </c>
      <c r="B1840" s="28" t="s">
        <v>215</v>
      </c>
      <c r="C1840" s="27" t="s">
        <v>1011</v>
      </c>
      <c r="D1840" s="27" t="s">
        <v>230</v>
      </c>
      <c r="E1840" s="29">
        <v>41270</v>
      </c>
      <c r="F1840" s="27">
        <v>15</v>
      </c>
      <c r="G1840" s="18">
        <v>237763.48</v>
      </c>
      <c r="H1840" s="27">
        <f t="shared" si="56"/>
        <v>0</v>
      </c>
      <c r="I1840" s="18">
        <v>115286.68</v>
      </c>
      <c r="J1840" s="27">
        <v>237763.48</v>
      </c>
      <c r="K1840" s="18">
        <f t="shared" si="57"/>
        <v>0</v>
      </c>
      <c r="L1840" s="27">
        <v>127574.31</v>
      </c>
      <c r="M1840" s="36">
        <v>12287.63</v>
      </c>
      <c r="T1840" s="41">
        <v>0</v>
      </c>
      <c r="U1840" s="41">
        <v>0</v>
      </c>
      <c r="V1840" s="42" t="s">
        <v>113</v>
      </c>
      <c r="W1840" s="42">
        <v>0</v>
      </c>
      <c r="X1840" s="42">
        <v>0</v>
      </c>
    </row>
    <row r="1841" spans="1:24">
      <c r="A1841" s="27" t="s">
        <v>3515</v>
      </c>
      <c r="B1841" s="28" t="s">
        <v>215</v>
      </c>
      <c r="C1841" s="27" t="s">
        <v>955</v>
      </c>
      <c r="D1841" s="27" t="s">
        <v>230</v>
      </c>
      <c r="E1841" s="29">
        <v>41270</v>
      </c>
      <c r="F1841" s="27">
        <v>15</v>
      </c>
      <c r="G1841" s="18">
        <v>237763.48</v>
      </c>
      <c r="H1841" s="27">
        <f t="shared" si="56"/>
        <v>0</v>
      </c>
      <c r="I1841" s="18">
        <v>115286.68</v>
      </c>
      <c r="J1841" s="27">
        <v>237763.48</v>
      </c>
      <c r="K1841" s="18">
        <f t="shared" si="57"/>
        <v>0</v>
      </c>
      <c r="L1841" s="27">
        <v>127574.31</v>
      </c>
      <c r="M1841" s="36">
        <v>12287.63</v>
      </c>
      <c r="T1841" s="41">
        <v>0</v>
      </c>
      <c r="U1841" s="41">
        <v>0</v>
      </c>
      <c r="V1841" s="42" t="s">
        <v>113</v>
      </c>
      <c r="W1841" s="42">
        <v>0</v>
      </c>
      <c r="X1841" s="42">
        <v>0</v>
      </c>
    </row>
    <row r="1842" spans="1:24">
      <c r="A1842" s="27" t="s">
        <v>3516</v>
      </c>
      <c r="B1842" s="28" t="s">
        <v>215</v>
      </c>
      <c r="C1842" s="27" t="s">
        <v>3517</v>
      </c>
      <c r="D1842" s="27" t="s">
        <v>230</v>
      </c>
      <c r="E1842" s="29">
        <v>41270</v>
      </c>
      <c r="F1842" s="27">
        <v>15</v>
      </c>
      <c r="G1842" s="18">
        <v>163505.76</v>
      </c>
      <c r="H1842" s="27">
        <f t="shared" si="56"/>
        <v>0</v>
      </c>
      <c r="I1842" s="18">
        <v>79280.62</v>
      </c>
      <c r="J1842" s="27">
        <v>163505.76</v>
      </c>
      <c r="K1842" s="18">
        <f t="shared" si="57"/>
        <v>0</v>
      </c>
      <c r="L1842" s="27">
        <v>87730.6</v>
      </c>
      <c r="M1842" s="36">
        <v>8449.98</v>
      </c>
      <c r="T1842" s="41">
        <v>0</v>
      </c>
      <c r="U1842" s="41">
        <v>0</v>
      </c>
      <c r="V1842" s="42" t="s">
        <v>113</v>
      </c>
      <c r="W1842" s="42">
        <v>0</v>
      </c>
      <c r="X1842" s="42">
        <v>0</v>
      </c>
    </row>
    <row r="1843" spans="1:24">
      <c r="A1843" s="27" t="s">
        <v>3518</v>
      </c>
      <c r="B1843" s="28" t="s">
        <v>215</v>
      </c>
      <c r="C1843" s="27" t="s">
        <v>3519</v>
      </c>
      <c r="D1843" s="27" t="s">
        <v>230</v>
      </c>
      <c r="E1843" s="29">
        <v>41270</v>
      </c>
      <c r="F1843" s="27">
        <v>15</v>
      </c>
      <c r="G1843" s="18">
        <v>225271.53</v>
      </c>
      <c r="H1843" s="27">
        <f t="shared" si="56"/>
        <v>0</v>
      </c>
      <c r="I1843" s="18">
        <v>109229.6</v>
      </c>
      <c r="J1843" s="27">
        <v>225271.53</v>
      </c>
      <c r="K1843" s="18">
        <f t="shared" si="57"/>
        <v>0</v>
      </c>
      <c r="L1843" s="27">
        <v>120871.64</v>
      </c>
      <c r="M1843" s="36">
        <v>11642.04</v>
      </c>
      <c r="T1843" s="41">
        <v>0</v>
      </c>
      <c r="U1843" s="41">
        <v>0</v>
      </c>
      <c r="V1843" s="42" t="s">
        <v>113</v>
      </c>
      <c r="W1843" s="42">
        <v>0</v>
      </c>
      <c r="X1843" s="42">
        <v>0</v>
      </c>
    </row>
    <row r="1844" spans="1:24">
      <c r="A1844" s="27" t="s">
        <v>3520</v>
      </c>
      <c r="B1844" s="28" t="s">
        <v>215</v>
      </c>
      <c r="C1844" s="27" t="s">
        <v>1059</v>
      </c>
      <c r="D1844" s="27" t="s">
        <v>230</v>
      </c>
      <c r="E1844" s="29">
        <v>41270</v>
      </c>
      <c r="F1844" s="27">
        <v>15</v>
      </c>
      <c r="G1844" s="18">
        <v>96326.83</v>
      </c>
      <c r="H1844" s="27">
        <f t="shared" si="56"/>
        <v>0</v>
      </c>
      <c r="I1844" s="18">
        <v>46706.93</v>
      </c>
      <c r="J1844" s="27">
        <v>96326.83</v>
      </c>
      <c r="K1844" s="18">
        <f t="shared" si="57"/>
        <v>0</v>
      </c>
      <c r="L1844" s="27">
        <v>51685.1</v>
      </c>
      <c r="M1844" s="36">
        <v>4978.17</v>
      </c>
      <c r="T1844" s="41">
        <v>0</v>
      </c>
      <c r="U1844" s="41">
        <v>0</v>
      </c>
      <c r="V1844" s="42" t="s">
        <v>113</v>
      </c>
      <c r="W1844" s="42">
        <v>0</v>
      </c>
      <c r="X1844" s="42">
        <v>0</v>
      </c>
    </row>
    <row r="1845" spans="1:24">
      <c r="A1845" s="27" t="s">
        <v>3521</v>
      </c>
      <c r="B1845" s="28" t="s">
        <v>215</v>
      </c>
      <c r="C1845" s="27" t="s">
        <v>3522</v>
      </c>
      <c r="D1845" s="27" t="s">
        <v>230</v>
      </c>
      <c r="E1845" s="29">
        <v>41270</v>
      </c>
      <c r="F1845" s="27">
        <v>15</v>
      </c>
      <c r="G1845" s="18">
        <v>8078.13</v>
      </c>
      <c r="H1845" s="27">
        <f t="shared" si="56"/>
        <v>0</v>
      </c>
      <c r="I1845" s="18">
        <v>3916.93</v>
      </c>
      <c r="J1845" s="27">
        <v>8078.13</v>
      </c>
      <c r="K1845" s="18">
        <f t="shared" si="57"/>
        <v>0</v>
      </c>
      <c r="L1845" s="27">
        <v>4334.41</v>
      </c>
      <c r="M1845" s="36">
        <v>417.48</v>
      </c>
      <c r="T1845" s="41">
        <v>0</v>
      </c>
      <c r="U1845" s="41">
        <v>0</v>
      </c>
      <c r="V1845" s="42" t="s">
        <v>113</v>
      </c>
      <c r="W1845" s="42">
        <v>0</v>
      </c>
      <c r="X1845" s="42">
        <v>0</v>
      </c>
    </row>
    <row r="1846" spans="1:24">
      <c r="A1846" s="27" t="s">
        <v>3523</v>
      </c>
      <c r="B1846" s="28" t="s">
        <v>215</v>
      </c>
      <c r="C1846" s="27" t="s">
        <v>3524</v>
      </c>
      <c r="D1846" s="27" t="s">
        <v>230</v>
      </c>
      <c r="E1846" s="29">
        <v>41270</v>
      </c>
      <c r="F1846" s="27">
        <v>15</v>
      </c>
      <c r="G1846" s="18">
        <v>17502.61</v>
      </c>
      <c r="H1846" s="27">
        <f t="shared" si="56"/>
        <v>0</v>
      </c>
      <c r="I1846" s="18">
        <v>8486.66</v>
      </c>
      <c r="J1846" s="27">
        <v>17502.61</v>
      </c>
      <c r="K1846" s="18">
        <f t="shared" si="57"/>
        <v>0</v>
      </c>
      <c r="L1846" s="27">
        <v>9391.2000000000007</v>
      </c>
      <c r="M1846" s="36">
        <v>904.54</v>
      </c>
      <c r="T1846" s="41">
        <v>0</v>
      </c>
      <c r="U1846" s="41">
        <v>0</v>
      </c>
      <c r="V1846" s="42" t="s">
        <v>113</v>
      </c>
      <c r="W1846" s="42">
        <v>0</v>
      </c>
      <c r="X1846" s="42">
        <v>0</v>
      </c>
    </row>
    <row r="1847" spans="1:24">
      <c r="A1847" s="27" t="s">
        <v>3525</v>
      </c>
      <c r="B1847" s="28" t="s">
        <v>215</v>
      </c>
      <c r="C1847" s="27" t="s">
        <v>3526</v>
      </c>
      <c r="D1847" s="27" t="s">
        <v>230</v>
      </c>
      <c r="E1847" s="29">
        <v>41270</v>
      </c>
      <c r="F1847" s="27">
        <v>15</v>
      </c>
      <c r="G1847" s="18">
        <v>17502.61</v>
      </c>
      <c r="H1847" s="27">
        <f t="shared" si="56"/>
        <v>0</v>
      </c>
      <c r="I1847" s="18">
        <v>8486.66</v>
      </c>
      <c r="J1847" s="27">
        <v>17502.61</v>
      </c>
      <c r="K1847" s="18">
        <f t="shared" si="57"/>
        <v>0</v>
      </c>
      <c r="L1847" s="27">
        <v>9391.2000000000007</v>
      </c>
      <c r="M1847" s="36">
        <v>904.54</v>
      </c>
      <c r="T1847" s="41">
        <v>0</v>
      </c>
      <c r="U1847" s="41">
        <v>0</v>
      </c>
      <c r="V1847" s="42" t="s">
        <v>113</v>
      </c>
      <c r="W1847" s="42">
        <v>0</v>
      </c>
      <c r="X1847" s="42">
        <v>0</v>
      </c>
    </row>
    <row r="1848" spans="1:24">
      <c r="A1848" s="27" t="s">
        <v>3527</v>
      </c>
      <c r="B1848" s="28" t="s">
        <v>215</v>
      </c>
      <c r="C1848" s="27" t="s">
        <v>1063</v>
      </c>
      <c r="D1848" s="27" t="s">
        <v>230</v>
      </c>
      <c r="E1848" s="29">
        <v>41270</v>
      </c>
      <c r="F1848" s="27">
        <v>15</v>
      </c>
      <c r="G1848" s="18">
        <v>96326.86</v>
      </c>
      <c r="H1848" s="27">
        <f t="shared" si="56"/>
        <v>0</v>
      </c>
      <c r="I1848" s="18">
        <v>46706.94</v>
      </c>
      <c r="J1848" s="27">
        <v>96326.86</v>
      </c>
      <c r="K1848" s="18">
        <f t="shared" si="57"/>
        <v>0</v>
      </c>
      <c r="L1848" s="27">
        <v>51685.120000000003</v>
      </c>
      <c r="M1848" s="36">
        <v>4978.18</v>
      </c>
      <c r="T1848" s="41">
        <v>0</v>
      </c>
      <c r="U1848" s="41">
        <v>0</v>
      </c>
      <c r="V1848" s="42" t="s">
        <v>113</v>
      </c>
      <c r="W1848" s="42">
        <v>0</v>
      </c>
      <c r="X1848" s="42">
        <v>0</v>
      </c>
    </row>
    <row r="1849" spans="1:24">
      <c r="A1849" s="27" t="s">
        <v>3528</v>
      </c>
      <c r="B1849" s="28" t="s">
        <v>215</v>
      </c>
      <c r="C1849" s="27" t="s">
        <v>3529</v>
      </c>
      <c r="D1849" s="27" t="s">
        <v>230</v>
      </c>
      <c r="E1849" s="29">
        <v>41270</v>
      </c>
      <c r="F1849" s="27">
        <v>12</v>
      </c>
      <c r="G1849" s="18">
        <v>1084.8900000000001</v>
      </c>
      <c r="H1849" s="27">
        <f t="shared" si="56"/>
        <v>1084.8900000000001</v>
      </c>
      <c r="I1849" s="18">
        <v>1084.8900000000001</v>
      </c>
      <c r="J1849" s="27">
        <v>1084.8900000000001</v>
      </c>
      <c r="K1849" s="18">
        <f t="shared" si="57"/>
        <v>1084.8900000000001</v>
      </c>
      <c r="L1849" s="27">
        <v>1084.8900000000001</v>
      </c>
      <c r="M1849" s="36">
        <v>0</v>
      </c>
      <c r="T1849" s="41">
        <v>0</v>
      </c>
      <c r="U1849" s="41">
        <v>0</v>
      </c>
      <c r="V1849" s="42" t="s">
        <v>113</v>
      </c>
      <c r="W1849" s="42">
        <v>1084.8900000000001</v>
      </c>
      <c r="X1849" s="42">
        <v>1084.8900000000001</v>
      </c>
    </row>
    <row r="1850" spans="1:24">
      <c r="A1850" s="27" t="s">
        <v>3530</v>
      </c>
      <c r="B1850" s="28" t="s">
        <v>215</v>
      </c>
      <c r="C1850" s="27" t="s">
        <v>3531</v>
      </c>
      <c r="D1850" s="27" t="s">
        <v>230</v>
      </c>
      <c r="E1850" s="29">
        <v>41270</v>
      </c>
      <c r="F1850" s="27">
        <v>12</v>
      </c>
      <c r="G1850" s="18">
        <v>1084.8900000000001</v>
      </c>
      <c r="H1850" s="27">
        <f t="shared" si="56"/>
        <v>1084.8900000000001</v>
      </c>
      <c r="I1850" s="18">
        <v>1084.8900000000001</v>
      </c>
      <c r="J1850" s="27">
        <v>1084.8900000000001</v>
      </c>
      <c r="K1850" s="18">
        <f t="shared" si="57"/>
        <v>1084.8900000000001</v>
      </c>
      <c r="L1850" s="27">
        <v>1084.8900000000001</v>
      </c>
      <c r="M1850" s="36">
        <v>0</v>
      </c>
      <c r="T1850" s="41">
        <v>0</v>
      </c>
      <c r="U1850" s="41">
        <v>0</v>
      </c>
      <c r="V1850" s="42" t="s">
        <v>113</v>
      </c>
      <c r="W1850" s="42">
        <v>1084.8900000000001</v>
      </c>
      <c r="X1850" s="42">
        <v>1084.8900000000001</v>
      </c>
    </row>
    <row r="1851" spans="1:24">
      <c r="A1851" s="27" t="s">
        <v>3532</v>
      </c>
      <c r="B1851" s="28" t="s">
        <v>215</v>
      </c>
      <c r="C1851" s="27" t="s">
        <v>3533</v>
      </c>
      <c r="D1851" s="27" t="s">
        <v>230</v>
      </c>
      <c r="E1851" s="29">
        <v>41270</v>
      </c>
      <c r="F1851" s="27">
        <v>12</v>
      </c>
      <c r="G1851" s="18">
        <v>1084.8900000000001</v>
      </c>
      <c r="H1851" s="27">
        <f t="shared" si="56"/>
        <v>1084.8900000000001</v>
      </c>
      <c r="I1851" s="18">
        <v>1084.8900000000001</v>
      </c>
      <c r="J1851" s="27">
        <v>1084.8900000000001</v>
      </c>
      <c r="K1851" s="18">
        <f t="shared" si="57"/>
        <v>1084.8900000000001</v>
      </c>
      <c r="L1851" s="27">
        <v>1084.8900000000001</v>
      </c>
      <c r="M1851" s="36">
        <v>0</v>
      </c>
      <c r="T1851" s="41">
        <v>0</v>
      </c>
      <c r="U1851" s="41">
        <v>0</v>
      </c>
      <c r="V1851" s="42" t="s">
        <v>113</v>
      </c>
      <c r="W1851" s="42">
        <v>1084.8900000000001</v>
      </c>
      <c r="X1851" s="42">
        <v>1084.8900000000001</v>
      </c>
    </row>
    <row r="1852" spans="1:24">
      <c r="A1852" s="27" t="s">
        <v>3534</v>
      </c>
      <c r="B1852" s="28" t="s">
        <v>215</v>
      </c>
      <c r="C1852" s="27" t="s">
        <v>2504</v>
      </c>
      <c r="D1852" s="27" t="s">
        <v>230</v>
      </c>
      <c r="E1852" s="29">
        <v>41270</v>
      </c>
      <c r="F1852" s="27">
        <v>15</v>
      </c>
      <c r="G1852" s="18">
        <v>105210</v>
      </c>
      <c r="H1852" s="27">
        <f t="shared" si="56"/>
        <v>0</v>
      </c>
      <c r="I1852" s="18">
        <v>51014.2</v>
      </c>
      <c r="J1852" s="27">
        <v>105210</v>
      </c>
      <c r="K1852" s="18">
        <f t="shared" si="57"/>
        <v>0</v>
      </c>
      <c r="L1852" s="27">
        <v>56451.46</v>
      </c>
      <c r="M1852" s="36">
        <v>5437.26</v>
      </c>
      <c r="T1852" s="41">
        <v>0</v>
      </c>
      <c r="U1852" s="41">
        <v>0</v>
      </c>
      <c r="V1852" s="42" t="s">
        <v>113</v>
      </c>
      <c r="W1852" s="42">
        <v>0</v>
      </c>
      <c r="X1852" s="42">
        <v>0</v>
      </c>
    </row>
    <row r="1853" spans="1:24">
      <c r="A1853" s="27" t="s">
        <v>3535</v>
      </c>
      <c r="B1853" s="28" t="s">
        <v>215</v>
      </c>
      <c r="C1853" s="27" t="s">
        <v>2204</v>
      </c>
      <c r="D1853" s="27" t="s">
        <v>230</v>
      </c>
      <c r="E1853" s="29">
        <v>41270</v>
      </c>
      <c r="F1853" s="27">
        <v>15</v>
      </c>
      <c r="G1853" s="18">
        <v>5876.46</v>
      </c>
      <c r="H1853" s="27">
        <f t="shared" si="56"/>
        <v>0</v>
      </c>
      <c r="I1853" s="18">
        <v>2849.37</v>
      </c>
      <c r="J1853" s="27">
        <v>5876.46</v>
      </c>
      <c r="K1853" s="18">
        <f t="shared" si="57"/>
        <v>0</v>
      </c>
      <c r="L1853" s="27">
        <v>3153.07</v>
      </c>
      <c r="M1853" s="36">
        <v>303.7</v>
      </c>
      <c r="T1853" s="41">
        <v>0</v>
      </c>
      <c r="U1853" s="41">
        <v>0</v>
      </c>
      <c r="V1853" s="42" t="s">
        <v>113</v>
      </c>
      <c r="W1853" s="42">
        <v>0</v>
      </c>
      <c r="X1853" s="42">
        <v>0</v>
      </c>
    </row>
    <row r="1854" spans="1:24">
      <c r="A1854" s="27" t="s">
        <v>3536</v>
      </c>
      <c r="B1854" s="28" t="s">
        <v>215</v>
      </c>
      <c r="C1854" s="27" t="s">
        <v>3537</v>
      </c>
      <c r="D1854" s="27" t="s">
        <v>230</v>
      </c>
      <c r="E1854" s="29">
        <v>41270</v>
      </c>
      <c r="F1854" s="27">
        <v>12</v>
      </c>
      <c r="G1854" s="18">
        <v>1084.8900000000001</v>
      </c>
      <c r="H1854" s="27">
        <f t="shared" si="56"/>
        <v>1084.8900000000001</v>
      </c>
      <c r="I1854" s="18">
        <v>1084.8900000000001</v>
      </c>
      <c r="J1854" s="27">
        <v>1084.8900000000001</v>
      </c>
      <c r="K1854" s="18">
        <f t="shared" si="57"/>
        <v>1084.8900000000001</v>
      </c>
      <c r="L1854" s="27">
        <v>1084.8900000000001</v>
      </c>
      <c r="M1854" s="36">
        <v>0</v>
      </c>
      <c r="T1854" s="41">
        <v>0</v>
      </c>
      <c r="U1854" s="41">
        <v>0</v>
      </c>
      <c r="V1854" s="42" t="s">
        <v>113</v>
      </c>
      <c r="W1854" s="42">
        <v>1084.8900000000001</v>
      </c>
      <c r="X1854" s="42">
        <v>1084.8900000000001</v>
      </c>
    </row>
    <row r="1855" spans="1:24">
      <c r="A1855" s="27" t="s">
        <v>3538</v>
      </c>
      <c r="B1855" s="28" t="s">
        <v>215</v>
      </c>
      <c r="C1855" s="27" t="s">
        <v>2539</v>
      </c>
      <c r="D1855" s="27" t="s">
        <v>230</v>
      </c>
      <c r="E1855" s="29">
        <v>41270</v>
      </c>
      <c r="F1855" s="27">
        <v>15</v>
      </c>
      <c r="G1855" s="18">
        <v>105210</v>
      </c>
      <c r="H1855" s="27">
        <f t="shared" si="56"/>
        <v>0</v>
      </c>
      <c r="I1855" s="18">
        <v>51014.2</v>
      </c>
      <c r="J1855" s="27">
        <v>105210</v>
      </c>
      <c r="K1855" s="18">
        <f t="shared" si="57"/>
        <v>0</v>
      </c>
      <c r="L1855" s="27">
        <v>56451.46</v>
      </c>
      <c r="M1855" s="36">
        <v>5437.26</v>
      </c>
      <c r="T1855" s="41">
        <v>0</v>
      </c>
      <c r="U1855" s="41">
        <v>0</v>
      </c>
      <c r="V1855" s="42" t="s">
        <v>113</v>
      </c>
      <c r="W1855" s="42">
        <v>0</v>
      </c>
      <c r="X1855" s="42">
        <v>0</v>
      </c>
    </row>
    <row r="1856" spans="1:24">
      <c r="A1856" s="27" t="s">
        <v>3539</v>
      </c>
      <c r="B1856" s="28" t="s">
        <v>215</v>
      </c>
      <c r="C1856" s="27" t="s">
        <v>3540</v>
      </c>
      <c r="D1856" s="27" t="s">
        <v>230</v>
      </c>
      <c r="E1856" s="29">
        <v>41270</v>
      </c>
      <c r="F1856" s="27">
        <v>12</v>
      </c>
      <c r="G1856" s="18">
        <v>1084.8900000000001</v>
      </c>
      <c r="H1856" s="27">
        <f t="shared" si="56"/>
        <v>1084.8900000000001</v>
      </c>
      <c r="I1856" s="18">
        <v>1084.8900000000001</v>
      </c>
      <c r="J1856" s="27">
        <v>1084.8900000000001</v>
      </c>
      <c r="K1856" s="18">
        <f t="shared" si="57"/>
        <v>1084.8900000000001</v>
      </c>
      <c r="L1856" s="27">
        <v>1084.8900000000001</v>
      </c>
      <c r="M1856" s="36">
        <v>0</v>
      </c>
      <c r="T1856" s="41">
        <v>0</v>
      </c>
      <c r="U1856" s="41">
        <v>0</v>
      </c>
      <c r="V1856" s="42" t="s">
        <v>113</v>
      </c>
      <c r="W1856" s="42">
        <v>1084.8900000000001</v>
      </c>
      <c r="X1856" s="42">
        <v>1084.8900000000001</v>
      </c>
    </row>
    <row r="1857" spans="1:24">
      <c r="A1857" s="27" t="s">
        <v>3541</v>
      </c>
      <c r="B1857" s="28" t="s">
        <v>215</v>
      </c>
      <c r="C1857" s="27" t="s">
        <v>3542</v>
      </c>
      <c r="D1857" s="27" t="s">
        <v>230</v>
      </c>
      <c r="E1857" s="29">
        <v>41270</v>
      </c>
      <c r="F1857" s="27">
        <v>12</v>
      </c>
      <c r="G1857" s="18">
        <v>1084.8900000000001</v>
      </c>
      <c r="H1857" s="27">
        <f t="shared" si="56"/>
        <v>1084.8900000000001</v>
      </c>
      <c r="I1857" s="18">
        <v>1084.8900000000001</v>
      </c>
      <c r="J1857" s="27">
        <v>1084.8900000000001</v>
      </c>
      <c r="K1857" s="18">
        <f t="shared" si="57"/>
        <v>1084.8900000000001</v>
      </c>
      <c r="L1857" s="27">
        <v>1084.8900000000001</v>
      </c>
      <c r="M1857" s="36">
        <v>0</v>
      </c>
      <c r="T1857" s="41">
        <v>0</v>
      </c>
      <c r="U1857" s="41">
        <v>0</v>
      </c>
      <c r="V1857" s="42" t="s">
        <v>113</v>
      </c>
      <c r="W1857" s="42">
        <v>1084.8900000000001</v>
      </c>
      <c r="X1857" s="42">
        <v>1084.8900000000001</v>
      </c>
    </row>
    <row r="1858" spans="1:24">
      <c r="A1858" s="27" t="s">
        <v>3543</v>
      </c>
      <c r="B1858" s="28" t="s">
        <v>215</v>
      </c>
      <c r="C1858" s="27" t="s">
        <v>2206</v>
      </c>
      <c r="D1858" s="27" t="s">
        <v>230</v>
      </c>
      <c r="E1858" s="29">
        <v>41270</v>
      </c>
      <c r="F1858" s="27">
        <v>15</v>
      </c>
      <c r="G1858" s="18">
        <v>5876.46</v>
      </c>
      <c r="H1858" s="27">
        <f t="shared" si="56"/>
        <v>0</v>
      </c>
      <c r="I1858" s="18">
        <v>2849.37</v>
      </c>
      <c r="J1858" s="27">
        <v>5876.46</v>
      </c>
      <c r="K1858" s="18">
        <f t="shared" si="57"/>
        <v>0</v>
      </c>
      <c r="L1858" s="27">
        <v>3153.07</v>
      </c>
      <c r="M1858" s="36">
        <v>303.7</v>
      </c>
      <c r="T1858" s="41">
        <v>0</v>
      </c>
      <c r="U1858" s="41">
        <v>0</v>
      </c>
      <c r="V1858" s="42" t="s">
        <v>113</v>
      </c>
      <c r="W1858" s="42">
        <v>0</v>
      </c>
      <c r="X1858" s="42">
        <v>0</v>
      </c>
    </row>
    <row r="1859" spans="1:24">
      <c r="A1859" s="27" t="s">
        <v>3544</v>
      </c>
      <c r="B1859" s="28" t="s">
        <v>215</v>
      </c>
      <c r="C1859" s="27" t="s">
        <v>3545</v>
      </c>
      <c r="D1859" s="27" t="s">
        <v>230</v>
      </c>
      <c r="E1859" s="29">
        <v>41270</v>
      </c>
      <c r="F1859" s="27">
        <v>12</v>
      </c>
      <c r="G1859" s="18">
        <v>1084.8900000000001</v>
      </c>
      <c r="H1859" s="27">
        <f t="shared" si="56"/>
        <v>1084.8900000000001</v>
      </c>
      <c r="I1859" s="18">
        <v>1084.8900000000001</v>
      </c>
      <c r="J1859" s="27">
        <v>1084.8900000000001</v>
      </c>
      <c r="K1859" s="18">
        <f t="shared" si="57"/>
        <v>1084.8900000000001</v>
      </c>
      <c r="L1859" s="27">
        <v>1084.8900000000001</v>
      </c>
      <c r="M1859" s="36">
        <v>0</v>
      </c>
      <c r="T1859" s="41">
        <v>0</v>
      </c>
      <c r="U1859" s="41">
        <v>0</v>
      </c>
      <c r="V1859" s="42" t="s">
        <v>113</v>
      </c>
      <c r="W1859" s="42">
        <v>1084.8900000000001</v>
      </c>
      <c r="X1859" s="42">
        <v>1084.8900000000001</v>
      </c>
    </row>
    <row r="1860" spans="1:24">
      <c r="A1860" s="27" t="s">
        <v>3546</v>
      </c>
      <c r="B1860" s="28" t="s">
        <v>215</v>
      </c>
      <c r="C1860" s="27" t="s">
        <v>3547</v>
      </c>
      <c r="D1860" s="27" t="s">
        <v>230</v>
      </c>
      <c r="E1860" s="29">
        <v>41270</v>
      </c>
      <c r="F1860" s="27">
        <v>12</v>
      </c>
      <c r="G1860" s="18">
        <v>1084.8900000000001</v>
      </c>
      <c r="H1860" s="27">
        <f t="shared" si="56"/>
        <v>1084.8900000000001</v>
      </c>
      <c r="I1860" s="18">
        <v>1084.8900000000001</v>
      </c>
      <c r="J1860" s="27">
        <v>1084.8900000000001</v>
      </c>
      <c r="K1860" s="18">
        <f t="shared" si="57"/>
        <v>1084.8900000000001</v>
      </c>
      <c r="L1860" s="27">
        <v>1084.8900000000001</v>
      </c>
      <c r="M1860" s="36">
        <v>0</v>
      </c>
      <c r="T1860" s="41">
        <v>0</v>
      </c>
      <c r="U1860" s="41">
        <v>0</v>
      </c>
      <c r="V1860" s="42" t="s">
        <v>113</v>
      </c>
      <c r="W1860" s="42">
        <v>1084.8900000000001</v>
      </c>
      <c r="X1860" s="42">
        <v>1084.8900000000001</v>
      </c>
    </row>
    <row r="1861" spans="1:24">
      <c r="A1861" s="27" t="s">
        <v>3548</v>
      </c>
      <c r="B1861" s="28" t="s">
        <v>215</v>
      </c>
      <c r="C1861" s="27" t="s">
        <v>3549</v>
      </c>
      <c r="D1861" s="27" t="s">
        <v>230</v>
      </c>
      <c r="E1861" s="29">
        <v>41270</v>
      </c>
      <c r="F1861" s="27">
        <v>12</v>
      </c>
      <c r="G1861" s="18">
        <v>1084.8900000000001</v>
      </c>
      <c r="H1861" s="27">
        <f t="shared" si="56"/>
        <v>1084.8900000000001</v>
      </c>
      <c r="I1861" s="18">
        <v>1084.8900000000001</v>
      </c>
      <c r="J1861" s="27">
        <v>1084.8900000000001</v>
      </c>
      <c r="K1861" s="18">
        <f t="shared" si="57"/>
        <v>1084.8900000000001</v>
      </c>
      <c r="L1861" s="27">
        <v>1084.8900000000001</v>
      </c>
      <c r="M1861" s="36">
        <v>0</v>
      </c>
      <c r="T1861" s="41">
        <v>0</v>
      </c>
      <c r="U1861" s="41">
        <v>0</v>
      </c>
      <c r="V1861" s="42" t="s">
        <v>113</v>
      </c>
      <c r="W1861" s="42">
        <v>1084.8900000000001</v>
      </c>
      <c r="X1861" s="42">
        <v>1084.8900000000001</v>
      </c>
    </row>
    <row r="1862" spans="1:24">
      <c r="A1862" s="27" t="s">
        <v>3550</v>
      </c>
      <c r="B1862" s="28" t="s">
        <v>215</v>
      </c>
      <c r="C1862" s="27" t="s">
        <v>2537</v>
      </c>
      <c r="D1862" s="27" t="s">
        <v>230</v>
      </c>
      <c r="E1862" s="29">
        <v>41270</v>
      </c>
      <c r="F1862" s="27">
        <v>15</v>
      </c>
      <c r="G1862" s="18">
        <v>105210</v>
      </c>
      <c r="H1862" s="27">
        <f t="shared" ref="H1862:H1925" si="58">IFERROR(IF(ROUND((G1862-I1862)/G1862,2)&lt;=0.05,G1862,0),0)</f>
        <v>0</v>
      </c>
      <c r="I1862" s="18">
        <v>51014.2</v>
      </c>
      <c r="J1862" s="27">
        <v>105210</v>
      </c>
      <c r="K1862" s="18">
        <f t="shared" ref="K1862:K1925" si="59">IFERROR(IF(ROUND((J1862-L1862)/J1862,2)&lt;=0.05,J1862,0),0)</f>
        <v>0</v>
      </c>
      <c r="L1862" s="27">
        <v>56451.46</v>
      </c>
      <c r="M1862" s="36">
        <v>5437.26</v>
      </c>
      <c r="T1862" s="41">
        <v>0</v>
      </c>
      <c r="U1862" s="41">
        <v>0</v>
      </c>
      <c r="V1862" s="42" t="s">
        <v>113</v>
      </c>
      <c r="W1862" s="42">
        <v>0</v>
      </c>
      <c r="X1862" s="42">
        <v>0</v>
      </c>
    </row>
    <row r="1863" spans="1:24">
      <c r="A1863" s="27" t="s">
        <v>3551</v>
      </c>
      <c r="B1863" s="28" t="s">
        <v>215</v>
      </c>
      <c r="C1863" s="27" t="s">
        <v>2208</v>
      </c>
      <c r="D1863" s="27" t="s">
        <v>230</v>
      </c>
      <c r="E1863" s="29">
        <v>41270</v>
      </c>
      <c r="F1863" s="27">
        <v>15</v>
      </c>
      <c r="G1863" s="18">
        <v>5876.46</v>
      </c>
      <c r="H1863" s="27">
        <f t="shared" si="58"/>
        <v>0</v>
      </c>
      <c r="I1863" s="18">
        <v>2849.37</v>
      </c>
      <c r="J1863" s="27">
        <v>5876.46</v>
      </c>
      <c r="K1863" s="18">
        <f t="shared" si="59"/>
        <v>0</v>
      </c>
      <c r="L1863" s="27">
        <v>3153.07</v>
      </c>
      <c r="M1863" s="36">
        <v>303.7</v>
      </c>
      <c r="T1863" s="41">
        <v>0</v>
      </c>
      <c r="U1863" s="41">
        <v>0</v>
      </c>
      <c r="V1863" s="42" t="s">
        <v>113</v>
      </c>
      <c r="W1863" s="42">
        <v>0</v>
      </c>
      <c r="X1863" s="42">
        <v>0</v>
      </c>
    </row>
    <row r="1864" spans="1:24">
      <c r="A1864" s="27" t="s">
        <v>3552</v>
      </c>
      <c r="B1864" s="28" t="s">
        <v>215</v>
      </c>
      <c r="C1864" s="27" t="s">
        <v>3553</v>
      </c>
      <c r="D1864" s="27" t="s">
        <v>230</v>
      </c>
      <c r="E1864" s="29">
        <v>41270</v>
      </c>
      <c r="F1864" s="27">
        <v>12</v>
      </c>
      <c r="G1864" s="18">
        <v>1084.8900000000001</v>
      </c>
      <c r="H1864" s="27">
        <f t="shared" si="58"/>
        <v>1084.8900000000001</v>
      </c>
      <c r="I1864" s="18">
        <v>1084.8900000000001</v>
      </c>
      <c r="J1864" s="27">
        <v>1084.8900000000001</v>
      </c>
      <c r="K1864" s="18">
        <f t="shared" si="59"/>
        <v>1084.8900000000001</v>
      </c>
      <c r="L1864" s="27">
        <v>1084.8900000000001</v>
      </c>
      <c r="M1864" s="36">
        <v>0</v>
      </c>
      <c r="T1864" s="41">
        <v>0</v>
      </c>
      <c r="U1864" s="41">
        <v>0</v>
      </c>
      <c r="V1864" s="42" t="s">
        <v>113</v>
      </c>
      <c r="W1864" s="42">
        <v>1084.8900000000001</v>
      </c>
      <c r="X1864" s="42">
        <v>1084.8900000000001</v>
      </c>
    </row>
    <row r="1865" spans="1:24">
      <c r="A1865" s="27" t="s">
        <v>3554</v>
      </c>
      <c r="B1865" s="28" t="s">
        <v>215</v>
      </c>
      <c r="C1865" s="27" t="s">
        <v>3555</v>
      </c>
      <c r="D1865" s="27" t="s">
        <v>230</v>
      </c>
      <c r="E1865" s="29">
        <v>41270</v>
      </c>
      <c r="F1865" s="27">
        <v>12</v>
      </c>
      <c r="G1865" s="18">
        <v>1084.8900000000001</v>
      </c>
      <c r="H1865" s="27">
        <f t="shared" si="58"/>
        <v>1084.8900000000001</v>
      </c>
      <c r="I1865" s="18">
        <v>1084.8900000000001</v>
      </c>
      <c r="J1865" s="27">
        <v>1084.8900000000001</v>
      </c>
      <c r="K1865" s="18">
        <f t="shared" si="59"/>
        <v>1084.8900000000001</v>
      </c>
      <c r="L1865" s="27">
        <v>1084.8900000000001</v>
      </c>
      <c r="M1865" s="36">
        <v>0</v>
      </c>
      <c r="T1865" s="41">
        <v>0</v>
      </c>
      <c r="U1865" s="41">
        <v>0</v>
      </c>
      <c r="V1865" s="42" t="s">
        <v>113</v>
      </c>
      <c r="W1865" s="42">
        <v>1084.8900000000001</v>
      </c>
      <c r="X1865" s="42">
        <v>1084.8900000000001</v>
      </c>
    </row>
    <row r="1866" spans="1:24">
      <c r="A1866" s="27" t="s">
        <v>3556</v>
      </c>
      <c r="B1866" s="28" t="s">
        <v>215</v>
      </c>
      <c r="C1866" s="27" t="s">
        <v>3557</v>
      </c>
      <c r="D1866" s="27" t="s">
        <v>230</v>
      </c>
      <c r="E1866" s="29">
        <v>41270</v>
      </c>
      <c r="F1866" s="27">
        <v>12</v>
      </c>
      <c r="G1866" s="18">
        <v>1084.8900000000001</v>
      </c>
      <c r="H1866" s="27">
        <f t="shared" si="58"/>
        <v>1084.8900000000001</v>
      </c>
      <c r="I1866" s="18">
        <v>1084.8900000000001</v>
      </c>
      <c r="J1866" s="27">
        <v>1084.8900000000001</v>
      </c>
      <c r="K1866" s="18">
        <f t="shared" si="59"/>
        <v>1084.8900000000001</v>
      </c>
      <c r="L1866" s="27">
        <v>1084.8900000000001</v>
      </c>
      <c r="M1866" s="36">
        <v>0</v>
      </c>
      <c r="T1866" s="41">
        <v>0</v>
      </c>
      <c r="U1866" s="41">
        <v>0</v>
      </c>
      <c r="V1866" s="42" t="s">
        <v>113</v>
      </c>
      <c r="W1866" s="42">
        <v>1084.8900000000001</v>
      </c>
      <c r="X1866" s="42">
        <v>1084.8900000000001</v>
      </c>
    </row>
    <row r="1867" spans="1:24">
      <c r="A1867" s="27" t="s">
        <v>3558</v>
      </c>
      <c r="B1867" s="28" t="s">
        <v>215</v>
      </c>
      <c r="C1867" s="27" t="s">
        <v>2562</v>
      </c>
      <c r="D1867" s="27" t="s">
        <v>230</v>
      </c>
      <c r="E1867" s="29">
        <v>41270</v>
      </c>
      <c r="F1867" s="27">
        <v>15</v>
      </c>
      <c r="G1867" s="18">
        <v>105209.98</v>
      </c>
      <c r="H1867" s="27">
        <f t="shared" si="58"/>
        <v>0</v>
      </c>
      <c r="I1867" s="18">
        <v>51014.19</v>
      </c>
      <c r="J1867" s="27">
        <v>105209.98</v>
      </c>
      <c r="K1867" s="18">
        <f t="shared" si="59"/>
        <v>0</v>
      </c>
      <c r="L1867" s="27">
        <v>56451.44</v>
      </c>
      <c r="M1867" s="36">
        <v>5437.25</v>
      </c>
      <c r="T1867" s="41">
        <v>0</v>
      </c>
      <c r="U1867" s="41">
        <v>0</v>
      </c>
      <c r="V1867" s="42" t="s">
        <v>113</v>
      </c>
      <c r="W1867" s="42">
        <v>0</v>
      </c>
      <c r="X1867" s="42">
        <v>0</v>
      </c>
    </row>
    <row r="1868" spans="1:24">
      <c r="A1868" s="27" t="s">
        <v>3559</v>
      </c>
      <c r="B1868" s="28" t="s">
        <v>215</v>
      </c>
      <c r="C1868" s="27" t="s">
        <v>3560</v>
      </c>
      <c r="D1868" s="27" t="s">
        <v>118</v>
      </c>
      <c r="E1868" s="29">
        <v>41270</v>
      </c>
      <c r="F1868" s="27">
        <v>15</v>
      </c>
      <c r="G1868" s="18">
        <v>16074.64</v>
      </c>
      <c r="H1868" s="27">
        <f t="shared" si="58"/>
        <v>0</v>
      </c>
      <c r="I1868" s="18">
        <v>7794.28</v>
      </c>
      <c r="J1868" s="27">
        <v>16074.64</v>
      </c>
      <c r="K1868" s="18">
        <f t="shared" si="59"/>
        <v>0</v>
      </c>
      <c r="L1868" s="27">
        <v>8625.02</v>
      </c>
      <c r="M1868" s="36">
        <v>830.74</v>
      </c>
      <c r="T1868" s="41">
        <v>0</v>
      </c>
      <c r="U1868" s="41">
        <v>0</v>
      </c>
      <c r="V1868" s="42" t="s">
        <v>113</v>
      </c>
      <c r="W1868" s="42">
        <v>0</v>
      </c>
      <c r="X1868" s="42">
        <v>0</v>
      </c>
    </row>
    <row r="1869" spans="1:24">
      <c r="A1869" s="27" t="s">
        <v>3561</v>
      </c>
      <c r="B1869" s="28" t="s">
        <v>215</v>
      </c>
      <c r="C1869" s="27" t="s">
        <v>3294</v>
      </c>
      <c r="D1869" s="27" t="s">
        <v>230</v>
      </c>
      <c r="E1869" s="29">
        <v>41270</v>
      </c>
      <c r="F1869" s="27">
        <v>15</v>
      </c>
      <c r="G1869" s="18">
        <v>169422.89</v>
      </c>
      <c r="H1869" s="27">
        <f t="shared" si="58"/>
        <v>0</v>
      </c>
      <c r="I1869" s="18">
        <v>82149.72</v>
      </c>
      <c r="J1869" s="27">
        <v>169422.89</v>
      </c>
      <c r="K1869" s="18">
        <f t="shared" si="59"/>
        <v>0</v>
      </c>
      <c r="L1869" s="27">
        <v>90905.5</v>
      </c>
      <c r="M1869" s="36">
        <v>8755.7800000000007</v>
      </c>
      <c r="T1869" s="41">
        <v>0</v>
      </c>
      <c r="U1869" s="41">
        <v>0</v>
      </c>
      <c r="V1869" s="42" t="s">
        <v>113</v>
      </c>
      <c r="W1869" s="42">
        <v>0</v>
      </c>
      <c r="X1869" s="42">
        <v>0</v>
      </c>
    </row>
    <row r="1870" spans="1:24">
      <c r="A1870" s="27" t="s">
        <v>3562</v>
      </c>
      <c r="B1870" s="28" t="s">
        <v>215</v>
      </c>
      <c r="C1870" s="27" t="s">
        <v>3358</v>
      </c>
      <c r="D1870" s="27" t="s">
        <v>230</v>
      </c>
      <c r="E1870" s="29">
        <v>41270</v>
      </c>
      <c r="F1870" s="27">
        <v>15</v>
      </c>
      <c r="G1870" s="18">
        <v>169422.89</v>
      </c>
      <c r="H1870" s="27">
        <f t="shared" si="58"/>
        <v>0</v>
      </c>
      <c r="I1870" s="18">
        <v>82149.72</v>
      </c>
      <c r="J1870" s="27">
        <v>169422.89</v>
      </c>
      <c r="K1870" s="18">
        <f t="shared" si="59"/>
        <v>0</v>
      </c>
      <c r="L1870" s="27">
        <v>90905.5</v>
      </c>
      <c r="M1870" s="36">
        <v>8755.7800000000007</v>
      </c>
      <c r="T1870" s="41">
        <v>0</v>
      </c>
      <c r="U1870" s="41">
        <v>0</v>
      </c>
      <c r="V1870" s="42" t="s">
        <v>113</v>
      </c>
      <c r="W1870" s="42">
        <v>0</v>
      </c>
      <c r="X1870" s="42">
        <v>0</v>
      </c>
    </row>
    <row r="1871" spans="1:24">
      <c r="A1871" s="27" t="s">
        <v>3563</v>
      </c>
      <c r="B1871" s="28" t="s">
        <v>215</v>
      </c>
      <c r="C1871" s="27" t="s">
        <v>3564</v>
      </c>
      <c r="D1871" s="27" t="s">
        <v>230</v>
      </c>
      <c r="E1871" s="29">
        <v>41270</v>
      </c>
      <c r="F1871" s="27">
        <v>15</v>
      </c>
      <c r="G1871" s="18">
        <v>169422.89</v>
      </c>
      <c r="H1871" s="27">
        <f t="shared" si="58"/>
        <v>0</v>
      </c>
      <c r="I1871" s="18">
        <v>82149.72</v>
      </c>
      <c r="J1871" s="27">
        <v>169422.89</v>
      </c>
      <c r="K1871" s="18">
        <f t="shared" si="59"/>
        <v>0</v>
      </c>
      <c r="L1871" s="27">
        <v>90905.5</v>
      </c>
      <c r="M1871" s="36">
        <v>8755.7800000000007</v>
      </c>
      <c r="T1871" s="41">
        <v>0</v>
      </c>
      <c r="U1871" s="41">
        <v>0</v>
      </c>
      <c r="V1871" s="42" t="s">
        <v>113</v>
      </c>
      <c r="W1871" s="42">
        <v>0</v>
      </c>
      <c r="X1871" s="42">
        <v>0</v>
      </c>
    </row>
    <row r="1872" spans="1:24">
      <c r="A1872" s="27" t="s">
        <v>3565</v>
      </c>
      <c r="B1872" s="28" t="s">
        <v>215</v>
      </c>
      <c r="C1872" s="27" t="s">
        <v>3566</v>
      </c>
      <c r="D1872" s="27" t="s">
        <v>118</v>
      </c>
      <c r="E1872" s="29">
        <v>41270</v>
      </c>
      <c r="F1872" s="27">
        <v>15</v>
      </c>
      <c r="G1872" s="18">
        <v>371378.6</v>
      </c>
      <c r="H1872" s="27">
        <f t="shared" si="58"/>
        <v>0</v>
      </c>
      <c r="I1872" s="18">
        <v>180073.94</v>
      </c>
      <c r="J1872" s="27">
        <v>371378.6</v>
      </c>
      <c r="K1872" s="18">
        <f t="shared" si="59"/>
        <v>0</v>
      </c>
      <c r="L1872" s="27">
        <v>199266.8</v>
      </c>
      <c r="M1872" s="36">
        <v>19192.86</v>
      </c>
      <c r="T1872" s="41">
        <v>0</v>
      </c>
      <c r="U1872" s="41">
        <v>0</v>
      </c>
      <c r="V1872" s="42" t="s">
        <v>113</v>
      </c>
      <c r="W1872" s="42">
        <v>0</v>
      </c>
      <c r="X1872" s="42">
        <v>0</v>
      </c>
    </row>
    <row r="1873" spans="1:24">
      <c r="A1873" s="27" t="s">
        <v>3567</v>
      </c>
      <c r="B1873" s="28" t="s">
        <v>215</v>
      </c>
      <c r="C1873" s="27" t="s">
        <v>3568</v>
      </c>
      <c r="D1873" s="27" t="s">
        <v>118</v>
      </c>
      <c r="E1873" s="29">
        <v>41270</v>
      </c>
      <c r="F1873" s="27">
        <v>15</v>
      </c>
      <c r="G1873" s="18">
        <v>371378.6</v>
      </c>
      <c r="H1873" s="27">
        <f t="shared" si="58"/>
        <v>0</v>
      </c>
      <c r="I1873" s="18">
        <v>180073.94</v>
      </c>
      <c r="J1873" s="27">
        <v>371378.6</v>
      </c>
      <c r="K1873" s="18">
        <f t="shared" si="59"/>
        <v>0</v>
      </c>
      <c r="L1873" s="27">
        <v>199266.8</v>
      </c>
      <c r="M1873" s="36">
        <v>19192.86</v>
      </c>
      <c r="T1873" s="41">
        <v>0</v>
      </c>
      <c r="U1873" s="41">
        <v>0</v>
      </c>
      <c r="V1873" s="42" t="s">
        <v>113</v>
      </c>
      <c r="W1873" s="42">
        <v>0</v>
      </c>
      <c r="X1873" s="42">
        <v>0</v>
      </c>
    </row>
    <row r="1874" spans="1:24">
      <c r="A1874" s="27" t="s">
        <v>3569</v>
      </c>
      <c r="B1874" s="28" t="s">
        <v>215</v>
      </c>
      <c r="C1874" s="27" t="s">
        <v>3570</v>
      </c>
      <c r="D1874" s="27" t="s">
        <v>230</v>
      </c>
      <c r="E1874" s="29">
        <v>41270</v>
      </c>
      <c r="F1874" s="27">
        <v>15</v>
      </c>
      <c r="G1874" s="18">
        <v>65089.06</v>
      </c>
      <c r="H1874" s="27">
        <f t="shared" si="58"/>
        <v>0</v>
      </c>
      <c r="I1874" s="18">
        <v>31560.37</v>
      </c>
      <c r="J1874" s="27">
        <v>65089.06</v>
      </c>
      <c r="K1874" s="18">
        <f t="shared" si="59"/>
        <v>0</v>
      </c>
      <c r="L1874" s="27">
        <v>34924.17</v>
      </c>
      <c r="M1874" s="36">
        <v>3363.8</v>
      </c>
      <c r="T1874" s="41">
        <v>0</v>
      </c>
      <c r="U1874" s="41">
        <v>0</v>
      </c>
      <c r="V1874" s="42" t="s">
        <v>113</v>
      </c>
      <c r="W1874" s="42">
        <v>0</v>
      </c>
      <c r="X1874" s="42">
        <v>0</v>
      </c>
    </row>
    <row r="1875" spans="1:24">
      <c r="A1875" s="27" t="s">
        <v>3571</v>
      </c>
      <c r="B1875" s="28" t="s">
        <v>215</v>
      </c>
      <c r="C1875" s="27" t="s">
        <v>3572</v>
      </c>
      <c r="D1875" s="27" t="s">
        <v>230</v>
      </c>
      <c r="E1875" s="29">
        <v>41270</v>
      </c>
      <c r="F1875" s="27">
        <v>15</v>
      </c>
      <c r="G1875" s="18">
        <v>65089.05</v>
      </c>
      <c r="H1875" s="27">
        <f t="shared" si="58"/>
        <v>0</v>
      </c>
      <c r="I1875" s="18">
        <v>31560.36</v>
      </c>
      <c r="J1875" s="27">
        <v>65089.05</v>
      </c>
      <c r="K1875" s="18">
        <f t="shared" si="59"/>
        <v>0</v>
      </c>
      <c r="L1875" s="27">
        <v>34924.160000000003</v>
      </c>
      <c r="M1875" s="36">
        <v>3363.8</v>
      </c>
      <c r="T1875" s="41">
        <v>0</v>
      </c>
      <c r="U1875" s="41">
        <v>0</v>
      </c>
      <c r="V1875" s="42" t="s">
        <v>113</v>
      </c>
      <c r="W1875" s="42">
        <v>0</v>
      </c>
      <c r="X1875" s="42">
        <v>0</v>
      </c>
    </row>
    <row r="1876" spans="1:24">
      <c r="A1876" s="27" t="s">
        <v>3573</v>
      </c>
      <c r="B1876" s="28" t="s">
        <v>215</v>
      </c>
      <c r="C1876" s="27" t="s">
        <v>3242</v>
      </c>
      <c r="D1876" s="27" t="s">
        <v>230</v>
      </c>
      <c r="E1876" s="29">
        <v>41270</v>
      </c>
      <c r="F1876" s="27">
        <v>15</v>
      </c>
      <c r="G1876" s="18">
        <v>169422.83</v>
      </c>
      <c r="H1876" s="27">
        <f t="shared" si="58"/>
        <v>0</v>
      </c>
      <c r="I1876" s="18">
        <v>82149.69</v>
      </c>
      <c r="J1876" s="27">
        <v>169422.83</v>
      </c>
      <c r="K1876" s="18">
        <f t="shared" si="59"/>
        <v>0</v>
      </c>
      <c r="L1876" s="27">
        <v>90905.47</v>
      </c>
      <c r="M1876" s="36">
        <v>8755.7800000000007</v>
      </c>
      <c r="T1876" s="41">
        <v>0</v>
      </c>
      <c r="U1876" s="41">
        <v>0</v>
      </c>
      <c r="V1876" s="42" t="s">
        <v>113</v>
      </c>
      <c r="W1876" s="42">
        <v>0</v>
      </c>
      <c r="X1876" s="42">
        <v>0</v>
      </c>
    </row>
    <row r="1877" spans="1:24">
      <c r="A1877" s="27" t="s">
        <v>3574</v>
      </c>
      <c r="B1877" s="28" t="s">
        <v>215</v>
      </c>
      <c r="C1877" s="27" t="s">
        <v>3575</v>
      </c>
      <c r="D1877" s="27" t="s">
        <v>220</v>
      </c>
      <c r="E1877" s="29">
        <v>41269</v>
      </c>
      <c r="F1877" s="27">
        <v>15</v>
      </c>
      <c r="G1877" s="18">
        <v>1614582.49</v>
      </c>
      <c r="H1877" s="27">
        <f t="shared" si="58"/>
        <v>0</v>
      </c>
      <c r="I1877" s="18">
        <v>835967.35</v>
      </c>
      <c r="J1877" s="27">
        <v>1614582.49</v>
      </c>
      <c r="K1877" s="18">
        <f t="shared" si="59"/>
        <v>0</v>
      </c>
      <c r="L1877" s="27">
        <v>913510.24</v>
      </c>
      <c r="M1877" s="36">
        <v>77542.89</v>
      </c>
      <c r="T1877" s="41">
        <v>0</v>
      </c>
      <c r="U1877" s="41">
        <v>0</v>
      </c>
      <c r="V1877" s="42" t="s">
        <v>113</v>
      </c>
      <c r="W1877" s="42">
        <v>0</v>
      </c>
      <c r="X1877" s="42">
        <v>0</v>
      </c>
    </row>
    <row r="1878" spans="1:24">
      <c r="A1878" s="27" t="s">
        <v>3576</v>
      </c>
      <c r="B1878" s="28" t="s">
        <v>215</v>
      </c>
      <c r="C1878" s="27" t="s">
        <v>3577</v>
      </c>
      <c r="D1878" s="27" t="s">
        <v>220</v>
      </c>
      <c r="E1878" s="29">
        <v>41269</v>
      </c>
      <c r="F1878" s="27">
        <v>15</v>
      </c>
      <c r="G1878" s="18">
        <v>1614582.49</v>
      </c>
      <c r="H1878" s="27">
        <f t="shared" si="58"/>
        <v>0</v>
      </c>
      <c r="I1878" s="18">
        <v>835967.35</v>
      </c>
      <c r="J1878" s="27">
        <v>1614582.49</v>
      </c>
      <c r="K1878" s="18">
        <f t="shared" si="59"/>
        <v>0</v>
      </c>
      <c r="L1878" s="27">
        <v>913510.24</v>
      </c>
      <c r="M1878" s="36">
        <v>77542.89</v>
      </c>
      <c r="T1878" s="41">
        <v>0</v>
      </c>
      <c r="U1878" s="41">
        <v>0</v>
      </c>
      <c r="V1878" s="42" t="s">
        <v>113</v>
      </c>
      <c r="W1878" s="42">
        <v>0</v>
      </c>
      <c r="X1878" s="42">
        <v>0</v>
      </c>
    </row>
    <row r="1879" spans="1:24">
      <c r="A1879" s="27" t="s">
        <v>3578</v>
      </c>
      <c r="B1879" s="28" t="s">
        <v>215</v>
      </c>
      <c r="C1879" s="27" t="s">
        <v>3579</v>
      </c>
      <c r="D1879" s="27" t="s">
        <v>118</v>
      </c>
      <c r="E1879" s="29">
        <v>41269</v>
      </c>
      <c r="F1879" s="27">
        <v>15</v>
      </c>
      <c r="G1879" s="18">
        <v>596552.56999999995</v>
      </c>
      <c r="H1879" s="27">
        <f t="shared" si="58"/>
        <v>0</v>
      </c>
      <c r="I1879" s="18">
        <v>308871.48</v>
      </c>
      <c r="J1879" s="27">
        <v>596552.56999999995</v>
      </c>
      <c r="K1879" s="18">
        <f t="shared" si="59"/>
        <v>0</v>
      </c>
      <c r="L1879" s="27">
        <v>337521.86</v>
      </c>
      <c r="M1879" s="36">
        <v>28650.38</v>
      </c>
      <c r="T1879" s="41">
        <v>0</v>
      </c>
      <c r="U1879" s="41">
        <v>0</v>
      </c>
      <c r="V1879" s="42" t="s">
        <v>113</v>
      </c>
      <c r="W1879" s="42">
        <v>0</v>
      </c>
      <c r="X1879" s="42">
        <v>0</v>
      </c>
    </row>
    <row r="1880" spans="1:24">
      <c r="A1880" s="27" t="s">
        <v>3580</v>
      </c>
      <c r="B1880" s="28" t="s">
        <v>215</v>
      </c>
      <c r="C1880" s="27" t="s">
        <v>3581</v>
      </c>
      <c r="D1880" s="27" t="s">
        <v>118</v>
      </c>
      <c r="E1880" s="29">
        <v>41269</v>
      </c>
      <c r="F1880" s="27">
        <v>15</v>
      </c>
      <c r="G1880" s="18">
        <v>596552.56999999995</v>
      </c>
      <c r="H1880" s="27">
        <f t="shared" si="58"/>
        <v>0</v>
      </c>
      <c r="I1880" s="18">
        <v>308871.46999999997</v>
      </c>
      <c r="J1880" s="27">
        <v>596552.56999999995</v>
      </c>
      <c r="K1880" s="18">
        <f t="shared" si="59"/>
        <v>0</v>
      </c>
      <c r="L1880" s="27">
        <v>337521.86</v>
      </c>
      <c r="M1880" s="36">
        <v>28650.39</v>
      </c>
      <c r="T1880" s="41">
        <v>0</v>
      </c>
      <c r="U1880" s="41">
        <v>0</v>
      </c>
      <c r="V1880" s="42" t="s">
        <v>113</v>
      </c>
      <c r="W1880" s="42">
        <v>0</v>
      </c>
      <c r="X1880" s="42">
        <v>0</v>
      </c>
    </row>
    <row r="1881" spans="1:24">
      <c r="A1881" s="27" t="s">
        <v>3582</v>
      </c>
      <c r="B1881" s="28" t="s">
        <v>215</v>
      </c>
      <c r="C1881" s="27" t="s">
        <v>3583</v>
      </c>
      <c r="D1881" s="27" t="s">
        <v>118</v>
      </c>
      <c r="E1881" s="29">
        <v>41269</v>
      </c>
      <c r="F1881" s="27">
        <v>15</v>
      </c>
      <c r="G1881" s="18">
        <v>596552.56999999995</v>
      </c>
      <c r="H1881" s="27">
        <f t="shared" si="58"/>
        <v>0</v>
      </c>
      <c r="I1881" s="18">
        <v>308871.48</v>
      </c>
      <c r="J1881" s="27">
        <v>596552.56999999995</v>
      </c>
      <c r="K1881" s="18">
        <f t="shared" si="59"/>
        <v>0</v>
      </c>
      <c r="L1881" s="27">
        <v>337521.86</v>
      </c>
      <c r="M1881" s="36">
        <v>28650.38</v>
      </c>
      <c r="T1881" s="41">
        <v>0</v>
      </c>
      <c r="U1881" s="41">
        <v>0</v>
      </c>
      <c r="V1881" s="42" t="s">
        <v>113</v>
      </c>
      <c r="W1881" s="42">
        <v>0</v>
      </c>
      <c r="X1881" s="42">
        <v>0</v>
      </c>
    </row>
    <row r="1882" spans="1:24">
      <c r="A1882" s="27" t="s">
        <v>3584</v>
      </c>
      <c r="B1882" s="28" t="s">
        <v>215</v>
      </c>
      <c r="C1882" s="27" t="s">
        <v>3585</v>
      </c>
      <c r="D1882" s="27" t="s">
        <v>118</v>
      </c>
      <c r="E1882" s="29">
        <v>41269</v>
      </c>
      <c r="F1882" s="27">
        <v>15</v>
      </c>
      <c r="G1882" s="18">
        <v>596552.56000000006</v>
      </c>
      <c r="H1882" s="27">
        <f t="shared" si="58"/>
        <v>0</v>
      </c>
      <c r="I1882" s="18">
        <v>308871.46999999997</v>
      </c>
      <c r="J1882" s="27">
        <v>596552.56000000006</v>
      </c>
      <c r="K1882" s="18">
        <f t="shared" si="59"/>
        <v>0</v>
      </c>
      <c r="L1882" s="27">
        <v>337521.85</v>
      </c>
      <c r="M1882" s="36">
        <v>28650.38</v>
      </c>
      <c r="T1882" s="41">
        <v>0</v>
      </c>
      <c r="U1882" s="41">
        <v>0</v>
      </c>
      <c r="V1882" s="42" t="s">
        <v>113</v>
      </c>
      <c r="W1882" s="42">
        <v>0</v>
      </c>
      <c r="X1882" s="42">
        <v>0</v>
      </c>
    </row>
    <row r="1883" spans="1:24">
      <c r="A1883" s="27" t="s">
        <v>3586</v>
      </c>
      <c r="B1883" s="28" t="s">
        <v>215</v>
      </c>
      <c r="C1883" s="27" t="s">
        <v>3587</v>
      </c>
      <c r="D1883" s="27" t="s">
        <v>118</v>
      </c>
      <c r="E1883" s="29">
        <v>41269</v>
      </c>
      <c r="F1883" s="27">
        <v>15</v>
      </c>
      <c r="G1883" s="18">
        <v>596552.56000000006</v>
      </c>
      <c r="H1883" s="27">
        <f t="shared" si="58"/>
        <v>0</v>
      </c>
      <c r="I1883" s="18">
        <v>308871.46999999997</v>
      </c>
      <c r="J1883" s="27">
        <v>596552.56000000006</v>
      </c>
      <c r="K1883" s="18">
        <f t="shared" si="59"/>
        <v>0</v>
      </c>
      <c r="L1883" s="27">
        <v>337521.85</v>
      </c>
      <c r="M1883" s="36">
        <v>28650.38</v>
      </c>
      <c r="T1883" s="41">
        <v>0</v>
      </c>
      <c r="U1883" s="41">
        <v>0</v>
      </c>
      <c r="V1883" s="42" t="s">
        <v>113</v>
      </c>
      <c r="W1883" s="42">
        <v>0</v>
      </c>
      <c r="X1883" s="42">
        <v>0</v>
      </c>
    </row>
    <row r="1884" spans="1:24">
      <c r="A1884" s="27" t="s">
        <v>3588</v>
      </c>
      <c r="B1884" s="28" t="s">
        <v>215</v>
      </c>
      <c r="C1884" s="27" t="s">
        <v>1595</v>
      </c>
      <c r="D1884" s="27" t="s">
        <v>118</v>
      </c>
      <c r="E1884" s="29">
        <v>41269</v>
      </c>
      <c r="F1884" s="27">
        <v>15</v>
      </c>
      <c r="G1884" s="18">
        <v>21527.759999999998</v>
      </c>
      <c r="H1884" s="27">
        <f t="shared" si="58"/>
        <v>0</v>
      </c>
      <c r="I1884" s="18">
        <v>11146.23</v>
      </c>
      <c r="J1884" s="27">
        <v>21527.759999999998</v>
      </c>
      <c r="K1884" s="18">
        <f t="shared" si="59"/>
        <v>0</v>
      </c>
      <c r="L1884" s="27">
        <v>12180.13</v>
      </c>
      <c r="M1884" s="36">
        <v>1033.9000000000001</v>
      </c>
      <c r="T1884" s="41">
        <v>0</v>
      </c>
      <c r="U1884" s="41">
        <v>0</v>
      </c>
      <c r="V1884" s="42" t="s">
        <v>113</v>
      </c>
      <c r="W1884" s="42">
        <v>0</v>
      </c>
      <c r="X1884" s="42">
        <v>0</v>
      </c>
    </row>
    <row r="1885" spans="1:24">
      <c r="A1885" s="27" t="s">
        <v>3589</v>
      </c>
      <c r="B1885" s="28" t="s">
        <v>215</v>
      </c>
      <c r="C1885" s="27" t="s">
        <v>3590</v>
      </c>
      <c r="D1885" s="27" t="s">
        <v>118</v>
      </c>
      <c r="E1885" s="29">
        <v>41269</v>
      </c>
      <c r="F1885" s="27">
        <v>15</v>
      </c>
      <c r="G1885" s="18">
        <v>4409.3</v>
      </c>
      <c r="H1885" s="27">
        <f t="shared" si="58"/>
        <v>0</v>
      </c>
      <c r="I1885" s="18">
        <v>2282.96</v>
      </c>
      <c r="J1885" s="27">
        <v>4409.3</v>
      </c>
      <c r="K1885" s="18">
        <f t="shared" si="59"/>
        <v>0</v>
      </c>
      <c r="L1885" s="27">
        <v>2494.7199999999998</v>
      </c>
      <c r="M1885" s="36">
        <v>211.76</v>
      </c>
      <c r="T1885" s="41">
        <v>0</v>
      </c>
      <c r="U1885" s="41">
        <v>0</v>
      </c>
      <c r="V1885" s="42" t="s">
        <v>113</v>
      </c>
      <c r="W1885" s="42">
        <v>0</v>
      </c>
      <c r="X1885" s="42">
        <v>0</v>
      </c>
    </row>
    <row r="1886" spans="1:24">
      <c r="A1886" s="27" t="s">
        <v>3591</v>
      </c>
      <c r="B1886" s="28" t="s">
        <v>215</v>
      </c>
      <c r="C1886" s="27" t="s">
        <v>3592</v>
      </c>
      <c r="D1886" s="27" t="s">
        <v>118</v>
      </c>
      <c r="E1886" s="29">
        <v>41269</v>
      </c>
      <c r="F1886" s="27">
        <v>15</v>
      </c>
      <c r="G1886" s="18">
        <v>4409.3</v>
      </c>
      <c r="H1886" s="27">
        <f t="shared" si="58"/>
        <v>0</v>
      </c>
      <c r="I1886" s="18">
        <v>2282.96</v>
      </c>
      <c r="J1886" s="27">
        <v>4409.3</v>
      </c>
      <c r="K1886" s="18">
        <f t="shared" si="59"/>
        <v>0</v>
      </c>
      <c r="L1886" s="27">
        <v>2494.7199999999998</v>
      </c>
      <c r="M1886" s="36">
        <v>211.76</v>
      </c>
      <c r="T1886" s="41">
        <v>0</v>
      </c>
      <c r="U1886" s="41">
        <v>0</v>
      </c>
      <c r="V1886" s="42" t="s">
        <v>113</v>
      </c>
      <c r="W1886" s="42">
        <v>0</v>
      </c>
      <c r="X1886" s="42">
        <v>0</v>
      </c>
    </row>
    <row r="1887" spans="1:24">
      <c r="A1887" s="27" t="s">
        <v>3593</v>
      </c>
      <c r="B1887" s="28" t="s">
        <v>215</v>
      </c>
      <c r="C1887" s="27" t="s">
        <v>3594</v>
      </c>
      <c r="D1887" s="27" t="s">
        <v>118</v>
      </c>
      <c r="E1887" s="29">
        <v>41269</v>
      </c>
      <c r="F1887" s="27">
        <v>15</v>
      </c>
      <c r="G1887" s="18">
        <v>4409.3</v>
      </c>
      <c r="H1887" s="27">
        <f t="shared" si="58"/>
        <v>0</v>
      </c>
      <c r="I1887" s="18">
        <v>2282.96</v>
      </c>
      <c r="J1887" s="27">
        <v>4409.3</v>
      </c>
      <c r="K1887" s="18">
        <f t="shared" si="59"/>
        <v>0</v>
      </c>
      <c r="L1887" s="27">
        <v>2494.7199999999998</v>
      </c>
      <c r="M1887" s="36">
        <v>211.76</v>
      </c>
      <c r="T1887" s="41">
        <v>0</v>
      </c>
      <c r="U1887" s="41">
        <v>0</v>
      </c>
      <c r="V1887" s="42" t="s">
        <v>113</v>
      </c>
      <c r="W1887" s="42">
        <v>0</v>
      </c>
      <c r="X1887" s="42">
        <v>0</v>
      </c>
    </row>
    <row r="1888" spans="1:24">
      <c r="A1888" s="27" t="s">
        <v>3595</v>
      </c>
      <c r="B1888" s="28" t="s">
        <v>215</v>
      </c>
      <c r="C1888" s="27" t="s">
        <v>1472</v>
      </c>
      <c r="D1888" s="27" t="s">
        <v>230</v>
      </c>
      <c r="E1888" s="29">
        <v>40268</v>
      </c>
      <c r="F1888" s="27">
        <v>12</v>
      </c>
      <c r="G1888" s="18">
        <v>400</v>
      </c>
      <c r="H1888" s="27">
        <f t="shared" si="58"/>
        <v>400</v>
      </c>
      <c r="I1888" s="18">
        <v>400</v>
      </c>
      <c r="J1888" s="27">
        <v>400</v>
      </c>
      <c r="K1888" s="18">
        <f t="shared" si="59"/>
        <v>400</v>
      </c>
      <c r="L1888" s="27">
        <v>400</v>
      </c>
      <c r="M1888" s="36">
        <v>0</v>
      </c>
      <c r="T1888" s="41">
        <v>0</v>
      </c>
      <c r="U1888" s="41">
        <v>0</v>
      </c>
      <c r="V1888" s="42" t="s">
        <v>113</v>
      </c>
      <c r="W1888" s="42">
        <v>400</v>
      </c>
      <c r="X1888" s="42">
        <v>400</v>
      </c>
    </row>
    <row r="1889" spans="1:24">
      <c r="A1889" s="27" t="s">
        <v>3596</v>
      </c>
      <c r="B1889" s="28" t="s">
        <v>215</v>
      </c>
      <c r="C1889" s="27" t="s">
        <v>1474</v>
      </c>
      <c r="D1889" s="27" t="s">
        <v>230</v>
      </c>
      <c r="E1889" s="29">
        <v>40268</v>
      </c>
      <c r="F1889" s="27">
        <v>12</v>
      </c>
      <c r="G1889" s="18">
        <v>400</v>
      </c>
      <c r="H1889" s="27">
        <f t="shared" si="58"/>
        <v>400</v>
      </c>
      <c r="I1889" s="18">
        <v>400</v>
      </c>
      <c r="J1889" s="27">
        <v>400</v>
      </c>
      <c r="K1889" s="18">
        <f t="shared" si="59"/>
        <v>400</v>
      </c>
      <c r="L1889" s="27">
        <v>400</v>
      </c>
      <c r="M1889" s="36">
        <v>0</v>
      </c>
      <c r="T1889" s="41">
        <v>0</v>
      </c>
      <c r="U1889" s="41">
        <v>0</v>
      </c>
      <c r="V1889" s="42" t="s">
        <v>113</v>
      </c>
      <c r="W1889" s="42">
        <v>400</v>
      </c>
      <c r="X1889" s="42">
        <v>400</v>
      </c>
    </row>
    <row r="1890" spans="1:24">
      <c r="A1890" s="27" t="s">
        <v>3597</v>
      </c>
      <c r="B1890" s="28" t="s">
        <v>215</v>
      </c>
      <c r="C1890" s="27" t="s">
        <v>1476</v>
      </c>
      <c r="D1890" s="27" t="s">
        <v>230</v>
      </c>
      <c r="E1890" s="29">
        <v>40268</v>
      </c>
      <c r="F1890" s="27">
        <v>12</v>
      </c>
      <c r="G1890" s="18">
        <v>400</v>
      </c>
      <c r="H1890" s="27">
        <f t="shared" si="58"/>
        <v>400</v>
      </c>
      <c r="I1890" s="18">
        <v>400</v>
      </c>
      <c r="J1890" s="27">
        <v>400</v>
      </c>
      <c r="K1890" s="18">
        <f t="shared" si="59"/>
        <v>400</v>
      </c>
      <c r="L1890" s="27">
        <v>400</v>
      </c>
      <c r="M1890" s="36">
        <v>0</v>
      </c>
      <c r="T1890" s="41">
        <v>0</v>
      </c>
      <c r="U1890" s="41">
        <v>0</v>
      </c>
      <c r="V1890" s="42" t="s">
        <v>113</v>
      </c>
      <c r="W1890" s="42">
        <v>400</v>
      </c>
      <c r="X1890" s="42">
        <v>400</v>
      </c>
    </row>
    <row r="1891" spans="1:24">
      <c r="A1891" s="27" t="s">
        <v>3598</v>
      </c>
      <c r="B1891" s="28" t="s">
        <v>215</v>
      </c>
      <c r="C1891" s="27" t="s">
        <v>3599</v>
      </c>
      <c r="D1891" s="27" t="s">
        <v>118</v>
      </c>
      <c r="E1891" s="29">
        <v>40079</v>
      </c>
      <c r="F1891" s="27">
        <v>12</v>
      </c>
      <c r="G1891" s="18">
        <v>4900</v>
      </c>
      <c r="H1891" s="27">
        <f t="shared" si="58"/>
        <v>4900</v>
      </c>
      <c r="I1891" s="18">
        <v>4900</v>
      </c>
      <c r="J1891" s="27">
        <v>4900</v>
      </c>
      <c r="K1891" s="18">
        <f t="shared" si="59"/>
        <v>4900</v>
      </c>
      <c r="L1891" s="27">
        <v>4900</v>
      </c>
      <c r="M1891" s="36">
        <v>0</v>
      </c>
      <c r="T1891" s="41">
        <v>0</v>
      </c>
      <c r="U1891" s="41">
        <v>0</v>
      </c>
      <c r="V1891" s="42" t="s">
        <v>113</v>
      </c>
      <c r="W1891" s="42">
        <v>4900</v>
      </c>
      <c r="X1891" s="42">
        <v>4900</v>
      </c>
    </row>
    <row r="1892" spans="1:24">
      <c r="A1892" s="27" t="s">
        <v>3600</v>
      </c>
      <c r="B1892" s="28" t="s">
        <v>215</v>
      </c>
      <c r="C1892" s="27" t="s">
        <v>3601</v>
      </c>
      <c r="D1892" s="27" t="s">
        <v>118</v>
      </c>
      <c r="E1892" s="29">
        <v>40079</v>
      </c>
      <c r="F1892" s="27">
        <v>12</v>
      </c>
      <c r="G1892" s="18">
        <v>4900</v>
      </c>
      <c r="H1892" s="27">
        <f t="shared" si="58"/>
        <v>4900</v>
      </c>
      <c r="I1892" s="18">
        <v>4900</v>
      </c>
      <c r="J1892" s="27">
        <v>4900</v>
      </c>
      <c r="K1892" s="18">
        <f t="shared" si="59"/>
        <v>4900</v>
      </c>
      <c r="L1892" s="27">
        <v>4900</v>
      </c>
      <c r="M1892" s="36">
        <v>0</v>
      </c>
      <c r="T1892" s="41">
        <v>0</v>
      </c>
      <c r="U1892" s="41">
        <v>0</v>
      </c>
      <c r="V1892" s="42" t="s">
        <v>113</v>
      </c>
      <c r="W1892" s="42">
        <v>4900</v>
      </c>
      <c r="X1892" s="42">
        <v>4900</v>
      </c>
    </row>
    <row r="1893" spans="1:24">
      <c r="A1893" s="27" t="s">
        <v>3602</v>
      </c>
      <c r="B1893" s="28" t="s">
        <v>215</v>
      </c>
      <c r="C1893" s="27" t="s">
        <v>3603</v>
      </c>
      <c r="D1893" s="27" t="s">
        <v>118</v>
      </c>
      <c r="E1893" s="29">
        <v>40079</v>
      </c>
      <c r="F1893" s="27">
        <v>12</v>
      </c>
      <c r="G1893" s="18">
        <v>4900</v>
      </c>
      <c r="H1893" s="27">
        <f t="shared" si="58"/>
        <v>4900</v>
      </c>
      <c r="I1893" s="18">
        <v>4900</v>
      </c>
      <c r="J1893" s="27">
        <v>4900</v>
      </c>
      <c r="K1893" s="18">
        <f t="shared" si="59"/>
        <v>4900</v>
      </c>
      <c r="L1893" s="27">
        <v>4900</v>
      </c>
      <c r="M1893" s="36">
        <v>0</v>
      </c>
      <c r="T1893" s="41">
        <v>0</v>
      </c>
      <c r="U1893" s="41">
        <v>0</v>
      </c>
      <c r="V1893" s="42" t="s">
        <v>113</v>
      </c>
      <c r="W1893" s="42">
        <v>4900</v>
      </c>
      <c r="X1893" s="42">
        <v>4900</v>
      </c>
    </row>
    <row r="1894" spans="1:24">
      <c r="A1894" s="27" t="s">
        <v>3604</v>
      </c>
      <c r="B1894" s="28" t="s">
        <v>215</v>
      </c>
      <c r="C1894" s="27" t="s">
        <v>2202</v>
      </c>
      <c r="D1894" s="27" t="s">
        <v>230</v>
      </c>
      <c r="E1894" s="29">
        <v>41270</v>
      </c>
      <c r="F1894" s="27">
        <v>15</v>
      </c>
      <c r="G1894" s="18">
        <v>5876.46</v>
      </c>
      <c r="H1894" s="27">
        <f t="shared" si="58"/>
        <v>0</v>
      </c>
      <c r="I1894" s="18">
        <v>2849.37</v>
      </c>
      <c r="J1894" s="27">
        <v>5876.46</v>
      </c>
      <c r="K1894" s="18">
        <f t="shared" si="59"/>
        <v>0</v>
      </c>
      <c r="L1894" s="27">
        <v>3153.07</v>
      </c>
      <c r="M1894" s="36">
        <v>303.7</v>
      </c>
      <c r="T1894" s="41">
        <v>0</v>
      </c>
      <c r="U1894" s="41">
        <v>0</v>
      </c>
      <c r="V1894" s="42" t="s">
        <v>113</v>
      </c>
      <c r="W1894" s="42">
        <v>0</v>
      </c>
      <c r="X1894" s="42">
        <v>0</v>
      </c>
    </row>
    <row r="1895" spans="1:24">
      <c r="A1895" s="27" t="s">
        <v>3605</v>
      </c>
      <c r="B1895" s="28" t="s">
        <v>215</v>
      </c>
      <c r="C1895" s="27" t="s">
        <v>3606</v>
      </c>
      <c r="D1895" s="27" t="s">
        <v>230</v>
      </c>
      <c r="E1895" s="29">
        <v>41272</v>
      </c>
      <c r="F1895" s="27">
        <v>15</v>
      </c>
      <c r="G1895" s="18">
        <v>15825.18</v>
      </c>
      <c r="H1895" s="27">
        <f t="shared" si="58"/>
        <v>15825.18</v>
      </c>
      <c r="I1895" s="18">
        <v>15825.18</v>
      </c>
      <c r="J1895" s="27">
        <v>15825.18</v>
      </c>
      <c r="K1895" s="18">
        <f t="shared" si="59"/>
        <v>15825.18</v>
      </c>
      <c r="L1895" s="27">
        <v>15033.92</v>
      </c>
      <c r="M1895" s="36">
        <v>-791.26</v>
      </c>
      <c r="T1895" s="41">
        <v>0</v>
      </c>
      <c r="U1895" s="41">
        <v>0</v>
      </c>
      <c r="V1895" s="42" t="s">
        <v>113</v>
      </c>
      <c r="W1895" s="42">
        <v>15825.18</v>
      </c>
      <c r="X1895" s="42">
        <v>15825.18</v>
      </c>
    </row>
    <row r="1896" spans="1:24">
      <c r="A1896" s="27" t="s">
        <v>3607</v>
      </c>
      <c r="B1896" s="28" t="s">
        <v>215</v>
      </c>
      <c r="C1896" s="27" t="s">
        <v>3608</v>
      </c>
      <c r="D1896" s="27" t="s">
        <v>230</v>
      </c>
      <c r="E1896" s="29">
        <v>41272</v>
      </c>
      <c r="F1896" s="27">
        <v>15</v>
      </c>
      <c r="G1896" s="18">
        <v>15825.18</v>
      </c>
      <c r="H1896" s="27">
        <f t="shared" si="58"/>
        <v>15825.18</v>
      </c>
      <c r="I1896" s="18">
        <v>15825.18</v>
      </c>
      <c r="J1896" s="27">
        <v>15825.18</v>
      </c>
      <c r="K1896" s="18">
        <f t="shared" si="59"/>
        <v>15825.18</v>
      </c>
      <c r="L1896" s="27">
        <v>15033.92</v>
      </c>
      <c r="M1896" s="36">
        <v>-791.26</v>
      </c>
      <c r="T1896" s="41">
        <v>0</v>
      </c>
      <c r="U1896" s="41">
        <v>0</v>
      </c>
      <c r="V1896" s="42" t="s">
        <v>113</v>
      </c>
      <c r="W1896" s="42">
        <v>15825.18</v>
      </c>
      <c r="X1896" s="42">
        <v>15825.18</v>
      </c>
    </row>
    <row r="1897" spans="1:24">
      <c r="A1897" s="27" t="s">
        <v>3609</v>
      </c>
      <c r="B1897" s="28" t="s">
        <v>215</v>
      </c>
      <c r="C1897" s="27" t="s">
        <v>3610</v>
      </c>
      <c r="D1897" s="27" t="s">
        <v>230</v>
      </c>
      <c r="E1897" s="29">
        <v>41272</v>
      </c>
      <c r="F1897" s="27">
        <v>15</v>
      </c>
      <c r="G1897" s="18">
        <v>15825.18</v>
      </c>
      <c r="H1897" s="27">
        <f t="shared" si="58"/>
        <v>15825.18</v>
      </c>
      <c r="I1897" s="18">
        <v>15825.18</v>
      </c>
      <c r="J1897" s="27">
        <v>15825.18</v>
      </c>
      <c r="K1897" s="18">
        <f t="shared" si="59"/>
        <v>15825.18</v>
      </c>
      <c r="L1897" s="27">
        <v>15033.92</v>
      </c>
      <c r="M1897" s="36">
        <v>-791.26</v>
      </c>
      <c r="T1897" s="41">
        <v>0</v>
      </c>
      <c r="U1897" s="41">
        <v>0</v>
      </c>
      <c r="V1897" s="42" t="s">
        <v>113</v>
      </c>
      <c r="W1897" s="42">
        <v>15825.18</v>
      </c>
      <c r="X1897" s="42">
        <v>15825.18</v>
      </c>
    </row>
    <row r="1898" spans="1:24">
      <c r="A1898" s="27" t="s">
        <v>3611</v>
      </c>
      <c r="B1898" s="28" t="s">
        <v>215</v>
      </c>
      <c r="C1898" s="27" t="s">
        <v>3612</v>
      </c>
      <c r="D1898" s="27" t="s">
        <v>230</v>
      </c>
      <c r="E1898" s="29">
        <v>41272</v>
      </c>
      <c r="F1898" s="27">
        <v>15</v>
      </c>
      <c r="G1898" s="18">
        <v>15825.18</v>
      </c>
      <c r="H1898" s="27">
        <f t="shared" si="58"/>
        <v>15825.18</v>
      </c>
      <c r="I1898" s="18">
        <v>15825.18</v>
      </c>
      <c r="J1898" s="27">
        <v>15825.18</v>
      </c>
      <c r="K1898" s="18">
        <f t="shared" si="59"/>
        <v>15825.18</v>
      </c>
      <c r="L1898" s="27">
        <v>15033.92</v>
      </c>
      <c r="M1898" s="36">
        <v>-791.26</v>
      </c>
      <c r="T1898" s="41">
        <v>0</v>
      </c>
      <c r="U1898" s="41">
        <v>0</v>
      </c>
      <c r="V1898" s="42" t="s">
        <v>113</v>
      </c>
      <c r="W1898" s="42">
        <v>15825.18</v>
      </c>
      <c r="X1898" s="42">
        <v>15825.18</v>
      </c>
    </row>
    <row r="1899" spans="1:24">
      <c r="A1899" s="27" t="s">
        <v>3613</v>
      </c>
      <c r="B1899" s="28" t="s">
        <v>215</v>
      </c>
      <c r="C1899" s="27" t="s">
        <v>3614</v>
      </c>
      <c r="D1899" s="27" t="s">
        <v>230</v>
      </c>
      <c r="E1899" s="29">
        <v>41272</v>
      </c>
      <c r="F1899" s="27">
        <v>15</v>
      </c>
      <c r="G1899" s="18">
        <v>15825.18</v>
      </c>
      <c r="H1899" s="27">
        <f t="shared" si="58"/>
        <v>15825.18</v>
      </c>
      <c r="I1899" s="18">
        <v>15825.18</v>
      </c>
      <c r="J1899" s="27">
        <v>15825.18</v>
      </c>
      <c r="K1899" s="18">
        <f t="shared" si="59"/>
        <v>15825.18</v>
      </c>
      <c r="L1899" s="27">
        <v>15033.92</v>
      </c>
      <c r="M1899" s="36">
        <v>-791.26</v>
      </c>
      <c r="T1899" s="41">
        <v>0</v>
      </c>
      <c r="U1899" s="41">
        <v>0</v>
      </c>
      <c r="V1899" s="42" t="s">
        <v>113</v>
      </c>
      <c r="W1899" s="42">
        <v>15825.18</v>
      </c>
      <c r="X1899" s="42">
        <v>15825.18</v>
      </c>
    </row>
    <row r="1900" spans="1:24">
      <c r="A1900" s="27" t="s">
        <v>3615</v>
      </c>
      <c r="B1900" s="28" t="s">
        <v>215</v>
      </c>
      <c r="C1900" s="27" t="s">
        <v>3616</v>
      </c>
      <c r="D1900" s="27" t="s">
        <v>230</v>
      </c>
      <c r="E1900" s="29">
        <v>41272</v>
      </c>
      <c r="F1900" s="27">
        <v>15</v>
      </c>
      <c r="G1900" s="18">
        <v>15825.18</v>
      </c>
      <c r="H1900" s="27">
        <f t="shared" si="58"/>
        <v>15825.18</v>
      </c>
      <c r="I1900" s="18">
        <v>15825.18</v>
      </c>
      <c r="J1900" s="27">
        <v>15825.18</v>
      </c>
      <c r="K1900" s="18">
        <f t="shared" si="59"/>
        <v>15825.18</v>
      </c>
      <c r="L1900" s="27">
        <v>15033.92</v>
      </c>
      <c r="M1900" s="36">
        <v>-791.26</v>
      </c>
      <c r="T1900" s="41">
        <v>0</v>
      </c>
      <c r="U1900" s="41">
        <v>0</v>
      </c>
      <c r="V1900" s="42" t="s">
        <v>113</v>
      </c>
      <c r="W1900" s="42">
        <v>15825.18</v>
      </c>
      <c r="X1900" s="42">
        <v>15825.18</v>
      </c>
    </row>
    <row r="1901" spans="1:24">
      <c r="A1901" s="27" t="s">
        <v>3617</v>
      </c>
      <c r="B1901" s="28" t="s">
        <v>215</v>
      </c>
      <c r="C1901" s="27" t="s">
        <v>3618</v>
      </c>
      <c r="D1901" s="27" t="s">
        <v>230</v>
      </c>
      <c r="E1901" s="29">
        <v>41272</v>
      </c>
      <c r="F1901" s="27">
        <v>15</v>
      </c>
      <c r="G1901" s="18">
        <v>15825.18</v>
      </c>
      <c r="H1901" s="27">
        <f t="shared" si="58"/>
        <v>15825.18</v>
      </c>
      <c r="I1901" s="18">
        <v>15825.18</v>
      </c>
      <c r="J1901" s="27">
        <v>15825.18</v>
      </c>
      <c r="K1901" s="18">
        <f t="shared" si="59"/>
        <v>15825.18</v>
      </c>
      <c r="L1901" s="27">
        <v>15033.92</v>
      </c>
      <c r="M1901" s="36">
        <v>-791.26</v>
      </c>
      <c r="T1901" s="41">
        <v>0</v>
      </c>
      <c r="U1901" s="41">
        <v>0</v>
      </c>
      <c r="V1901" s="42" t="s">
        <v>113</v>
      </c>
      <c r="W1901" s="42">
        <v>15825.18</v>
      </c>
      <c r="X1901" s="42">
        <v>15825.18</v>
      </c>
    </row>
    <row r="1902" spans="1:24">
      <c r="A1902" s="27" t="s">
        <v>3619</v>
      </c>
      <c r="B1902" s="28" t="s">
        <v>215</v>
      </c>
      <c r="C1902" s="27" t="s">
        <v>3620</v>
      </c>
      <c r="D1902" s="27" t="s">
        <v>230</v>
      </c>
      <c r="E1902" s="29">
        <v>41272</v>
      </c>
      <c r="F1902" s="27">
        <v>15</v>
      </c>
      <c r="G1902" s="18">
        <v>15825.18</v>
      </c>
      <c r="H1902" s="27">
        <f t="shared" si="58"/>
        <v>15825.18</v>
      </c>
      <c r="I1902" s="18">
        <v>15825.18</v>
      </c>
      <c r="J1902" s="27">
        <v>15825.18</v>
      </c>
      <c r="K1902" s="18">
        <f t="shared" si="59"/>
        <v>15825.18</v>
      </c>
      <c r="L1902" s="27">
        <v>15033.92</v>
      </c>
      <c r="M1902" s="36">
        <v>-791.26</v>
      </c>
      <c r="T1902" s="41">
        <v>0</v>
      </c>
      <c r="U1902" s="41">
        <v>0</v>
      </c>
      <c r="V1902" s="42" t="s">
        <v>113</v>
      </c>
      <c r="W1902" s="42">
        <v>15825.18</v>
      </c>
      <c r="X1902" s="42">
        <v>15825.18</v>
      </c>
    </row>
    <row r="1903" spans="1:24">
      <c r="A1903" s="27" t="s">
        <v>3621</v>
      </c>
      <c r="B1903" s="28" t="s">
        <v>215</v>
      </c>
      <c r="C1903" s="27" t="s">
        <v>1834</v>
      </c>
      <c r="D1903" s="27" t="s">
        <v>230</v>
      </c>
      <c r="E1903" s="29">
        <v>41272</v>
      </c>
      <c r="F1903" s="27">
        <v>15</v>
      </c>
      <c r="G1903" s="18">
        <v>33656.410000000003</v>
      </c>
      <c r="H1903" s="27">
        <f t="shared" si="58"/>
        <v>33656.410000000003</v>
      </c>
      <c r="I1903" s="18">
        <v>33656.410000000003</v>
      </c>
      <c r="J1903" s="27">
        <v>33656.410000000003</v>
      </c>
      <c r="K1903" s="18">
        <f t="shared" si="59"/>
        <v>33656.410000000003</v>
      </c>
      <c r="L1903" s="27">
        <v>31973.59</v>
      </c>
      <c r="M1903" s="36">
        <v>-1682.82</v>
      </c>
      <c r="T1903" s="41">
        <v>0</v>
      </c>
      <c r="U1903" s="41">
        <v>0</v>
      </c>
      <c r="V1903" s="42" t="s">
        <v>113</v>
      </c>
      <c r="W1903" s="42">
        <v>33656.410000000003</v>
      </c>
      <c r="X1903" s="42">
        <v>33656.410000000003</v>
      </c>
    </row>
    <row r="1904" spans="1:24">
      <c r="A1904" s="27" t="s">
        <v>3622</v>
      </c>
      <c r="B1904" s="28" t="s">
        <v>215</v>
      </c>
      <c r="C1904" s="27" t="s">
        <v>1832</v>
      </c>
      <c r="D1904" s="27" t="s">
        <v>230</v>
      </c>
      <c r="E1904" s="29">
        <v>41272</v>
      </c>
      <c r="F1904" s="27">
        <v>15</v>
      </c>
      <c r="G1904" s="18">
        <v>33656.410000000003</v>
      </c>
      <c r="H1904" s="27">
        <f t="shared" si="58"/>
        <v>33656.410000000003</v>
      </c>
      <c r="I1904" s="18">
        <v>33656.410000000003</v>
      </c>
      <c r="J1904" s="27">
        <v>33656.410000000003</v>
      </c>
      <c r="K1904" s="18">
        <f t="shared" si="59"/>
        <v>33656.410000000003</v>
      </c>
      <c r="L1904" s="27">
        <v>31973.59</v>
      </c>
      <c r="M1904" s="36">
        <v>-1682.82</v>
      </c>
      <c r="T1904" s="41">
        <v>0</v>
      </c>
      <c r="U1904" s="41">
        <v>0</v>
      </c>
      <c r="V1904" s="42" t="s">
        <v>113</v>
      </c>
      <c r="W1904" s="42">
        <v>33656.410000000003</v>
      </c>
      <c r="X1904" s="42">
        <v>33656.410000000003</v>
      </c>
    </row>
    <row r="1905" spans="1:24">
      <c r="A1905" s="27" t="s">
        <v>3623</v>
      </c>
      <c r="B1905" s="28" t="s">
        <v>215</v>
      </c>
      <c r="C1905" s="27" t="s">
        <v>3624</v>
      </c>
      <c r="D1905" s="27" t="s">
        <v>230</v>
      </c>
      <c r="E1905" s="29">
        <v>41272</v>
      </c>
      <c r="F1905" s="27">
        <v>15</v>
      </c>
      <c r="G1905" s="18">
        <v>33656.410000000003</v>
      </c>
      <c r="H1905" s="27">
        <f t="shared" si="58"/>
        <v>33656.410000000003</v>
      </c>
      <c r="I1905" s="18">
        <v>33656.410000000003</v>
      </c>
      <c r="J1905" s="27">
        <v>33656.410000000003</v>
      </c>
      <c r="K1905" s="18">
        <f t="shared" si="59"/>
        <v>33656.410000000003</v>
      </c>
      <c r="L1905" s="27">
        <v>31973.59</v>
      </c>
      <c r="M1905" s="36">
        <v>-1682.82</v>
      </c>
      <c r="T1905" s="41">
        <v>0</v>
      </c>
      <c r="U1905" s="41">
        <v>0</v>
      </c>
      <c r="V1905" s="42" t="s">
        <v>113</v>
      </c>
      <c r="W1905" s="42">
        <v>33656.410000000003</v>
      </c>
      <c r="X1905" s="42">
        <v>33656.410000000003</v>
      </c>
    </row>
    <row r="1906" spans="1:24">
      <c r="A1906" s="27" t="s">
        <v>3625</v>
      </c>
      <c r="B1906" s="28" t="s">
        <v>215</v>
      </c>
      <c r="C1906" s="27" t="s">
        <v>3626</v>
      </c>
      <c r="D1906" s="27" t="s">
        <v>230</v>
      </c>
      <c r="E1906" s="29">
        <v>41272</v>
      </c>
      <c r="F1906" s="27">
        <v>15</v>
      </c>
      <c r="G1906" s="18">
        <v>33656.410000000003</v>
      </c>
      <c r="H1906" s="27">
        <f t="shared" si="58"/>
        <v>33656.410000000003</v>
      </c>
      <c r="I1906" s="18">
        <v>33656.410000000003</v>
      </c>
      <c r="J1906" s="27">
        <v>33656.410000000003</v>
      </c>
      <c r="K1906" s="18">
        <f t="shared" si="59"/>
        <v>33656.410000000003</v>
      </c>
      <c r="L1906" s="27">
        <v>31973.59</v>
      </c>
      <c r="M1906" s="36">
        <v>-1682.82</v>
      </c>
      <c r="T1906" s="41">
        <v>0</v>
      </c>
      <c r="U1906" s="41">
        <v>0</v>
      </c>
      <c r="V1906" s="42" t="s">
        <v>113</v>
      </c>
      <c r="W1906" s="42">
        <v>33656.410000000003</v>
      </c>
      <c r="X1906" s="42">
        <v>33656.410000000003</v>
      </c>
    </row>
    <row r="1907" spans="1:24">
      <c r="A1907" s="27" t="s">
        <v>3627</v>
      </c>
      <c r="B1907" s="28" t="s">
        <v>215</v>
      </c>
      <c r="C1907" s="27" t="s">
        <v>3624</v>
      </c>
      <c r="D1907" s="27" t="s">
        <v>230</v>
      </c>
      <c r="E1907" s="29">
        <v>41272</v>
      </c>
      <c r="F1907" s="27">
        <v>15</v>
      </c>
      <c r="G1907" s="18">
        <v>33656.43</v>
      </c>
      <c r="H1907" s="27">
        <f t="shared" si="58"/>
        <v>33656.43</v>
      </c>
      <c r="I1907" s="18">
        <v>33656.43</v>
      </c>
      <c r="J1907" s="27">
        <v>33656.43</v>
      </c>
      <c r="K1907" s="18">
        <f t="shared" si="59"/>
        <v>33656.43</v>
      </c>
      <c r="L1907" s="27">
        <v>31973.61</v>
      </c>
      <c r="M1907" s="36">
        <v>-1682.82</v>
      </c>
      <c r="T1907" s="41">
        <v>0</v>
      </c>
      <c r="U1907" s="41">
        <v>0</v>
      </c>
      <c r="V1907" s="42" t="s">
        <v>113</v>
      </c>
      <c r="W1907" s="42">
        <v>33656.43</v>
      </c>
      <c r="X1907" s="42">
        <v>33656.43</v>
      </c>
    </row>
    <row r="1908" spans="1:24">
      <c r="A1908" s="27" t="s">
        <v>3628</v>
      </c>
      <c r="B1908" s="28" t="s">
        <v>215</v>
      </c>
      <c r="C1908" s="27" t="s">
        <v>1832</v>
      </c>
      <c r="D1908" s="27" t="s">
        <v>230</v>
      </c>
      <c r="E1908" s="29">
        <v>41272</v>
      </c>
      <c r="F1908" s="27">
        <v>15</v>
      </c>
      <c r="G1908" s="18">
        <v>33656.410000000003</v>
      </c>
      <c r="H1908" s="27">
        <f t="shared" si="58"/>
        <v>33656.410000000003</v>
      </c>
      <c r="I1908" s="18">
        <v>33656.410000000003</v>
      </c>
      <c r="J1908" s="27">
        <v>33656.410000000003</v>
      </c>
      <c r="K1908" s="18">
        <f t="shared" si="59"/>
        <v>33656.410000000003</v>
      </c>
      <c r="L1908" s="27">
        <v>31973.59</v>
      </c>
      <c r="M1908" s="36">
        <v>-1682.82</v>
      </c>
      <c r="T1908" s="41">
        <v>0</v>
      </c>
      <c r="U1908" s="41">
        <v>0</v>
      </c>
      <c r="V1908" s="42" t="s">
        <v>113</v>
      </c>
      <c r="W1908" s="42">
        <v>33656.410000000003</v>
      </c>
      <c r="X1908" s="42">
        <v>33656.410000000003</v>
      </c>
    </row>
    <row r="1909" spans="1:24">
      <c r="A1909" s="27" t="s">
        <v>3629</v>
      </c>
      <c r="B1909" s="28" t="s">
        <v>215</v>
      </c>
      <c r="C1909" s="27" t="s">
        <v>3630</v>
      </c>
      <c r="D1909" s="27" t="s">
        <v>118</v>
      </c>
      <c r="E1909" s="29">
        <v>40169</v>
      </c>
      <c r="F1909" s="27">
        <v>15</v>
      </c>
      <c r="G1909" s="18">
        <v>6600</v>
      </c>
      <c r="H1909" s="27">
        <f t="shared" si="58"/>
        <v>6600</v>
      </c>
      <c r="I1909" s="18">
        <v>6270</v>
      </c>
      <c r="J1909" s="27">
        <v>6600</v>
      </c>
      <c r="K1909" s="18">
        <f t="shared" si="59"/>
        <v>6600</v>
      </c>
      <c r="L1909" s="27">
        <v>6270</v>
      </c>
      <c r="M1909" s="36">
        <v>0</v>
      </c>
      <c r="T1909" s="41">
        <v>0</v>
      </c>
      <c r="U1909" s="41">
        <v>0</v>
      </c>
      <c r="V1909" s="42" t="s">
        <v>113</v>
      </c>
      <c r="W1909" s="42">
        <v>6600</v>
      </c>
      <c r="X1909" s="42">
        <v>6600</v>
      </c>
    </row>
    <row r="1910" spans="1:24">
      <c r="A1910" s="27" t="s">
        <v>3631</v>
      </c>
      <c r="B1910" s="28" t="s">
        <v>215</v>
      </c>
      <c r="C1910" s="27" t="s">
        <v>3632</v>
      </c>
      <c r="D1910" s="27" t="s">
        <v>118</v>
      </c>
      <c r="E1910" s="29">
        <v>40168</v>
      </c>
      <c r="F1910" s="27">
        <v>15</v>
      </c>
      <c r="G1910" s="18">
        <v>53610.84</v>
      </c>
      <c r="H1910" s="27">
        <f t="shared" si="58"/>
        <v>53610.84</v>
      </c>
      <c r="I1910" s="18">
        <v>50930.3</v>
      </c>
      <c r="J1910" s="27">
        <v>53610.84</v>
      </c>
      <c r="K1910" s="18">
        <f t="shared" si="59"/>
        <v>53610.84</v>
      </c>
      <c r="L1910" s="27">
        <v>50930.3</v>
      </c>
      <c r="M1910" s="36">
        <v>0</v>
      </c>
      <c r="T1910" s="41">
        <v>0</v>
      </c>
      <c r="U1910" s="41">
        <v>0</v>
      </c>
      <c r="V1910" s="42" t="s">
        <v>113</v>
      </c>
      <c r="W1910" s="42">
        <v>53610.84</v>
      </c>
      <c r="X1910" s="42">
        <v>53610.84</v>
      </c>
    </row>
    <row r="1911" spans="1:24">
      <c r="A1911" s="27" t="s">
        <v>3633</v>
      </c>
      <c r="B1911" s="28" t="s">
        <v>215</v>
      </c>
      <c r="C1911" s="27" t="s">
        <v>1015</v>
      </c>
      <c r="D1911" s="27" t="s">
        <v>112</v>
      </c>
      <c r="E1911" s="29">
        <v>42342</v>
      </c>
      <c r="F1911" s="27">
        <v>15</v>
      </c>
      <c r="G1911" s="18">
        <v>202666.38</v>
      </c>
      <c r="H1911" s="27">
        <f t="shared" si="58"/>
        <v>0</v>
      </c>
      <c r="I1911" s="18">
        <v>44587.1</v>
      </c>
      <c r="J1911" s="27">
        <v>202666.38</v>
      </c>
      <c r="K1911" s="18">
        <f t="shared" si="59"/>
        <v>0</v>
      </c>
      <c r="L1911" s="27">
        <v>56915.93</v>
      </c>
      <c r="M1911" s="36">
        <v>12328.83</v>
      </c>
      <c r="T1911" s="41">
        <v>0</v>
      </c>
      <c r="U1911" s="41">
        <v>0</v>
      </c>
      <c r="V1911" s="42" t="s">
        <v>113</v>
      </c>
      <c r="W1911" s="42">
        <v>0</v>
      </c>
      <c r="X1911" s="42">
        <v>0</v>
      </c>
    </row>
    <row r="1912" spans="1:24">
      <c r="A1912" s="27" t="s">
        <v>3634</v>
      </c>
      <c r="B1912" s="28" t="s">
        <v>215</v>
      </c>
      <c r="C1912" s="27" t="s">
        <v>3635</v>
      </c>
      <c r="D1912" s="27" t="s">
        <v>112</v>
      </c>
      <c r="E1912" s="29">
        <v>40169</v>
      </c>
      <c r="F1912" s="27">
        <v>12</v>
      </c>
      <c r="G1912" s="18">
        <v>1723.04</v>
      </c>
      <c r="H1912" s="27">
        <f t="shared" si="58"/>
        <v>1723.04</v>
      </c>
      <c r="I1912" s="18">
        <v>1723.04</v>
      </c>
      <c r="J1912" s="27">
        <v>1723.04</v>
      </c>
      <c r="K1912" s="18">
        <f t="shared" si="59"/>
        <v>1723.04</v>
      </c>
      <c r="L1912" s="27">
        <v>1723.04</v>
      </c>
      <c r="M1912" s="36">
        <v>0</v>
      </c>
      <c r="T1912" s="41">
        <v>0</v>
      </c>
      <c r="U1912" s="41">
        <v>0</v>
      </c>
      <c r="V1912" s="42" t="s">
        <v>113</v>
      </c>
      <c r="W1912" s="42">
        <v>1723.04</v>
      </c>
      <c r="X1912" s="42">
        <v>1723.04</v>
      </c>
    </row>
    <row r="1913" spans="1:24">
      <c r="A1913" s="27" t="s">
        <v>3636</v>
      </c>
      <c r="B1913" s="28" t="s">
        <v>215</v>
      </c>
      <c r="C1913" s="27" t="s">
        <v>3637</v>
      </c>
      <c r="D1913" s="27" t="s">
        <v>112</v>
      </c>
      <c r="E1913" s="29">
        <v>40169</v>
      </c>
      <c r="F1913" s="27">
        <v>12</v>
      </c>
      <c r="G1913" s="18">
        <v>1723.04</v>
      </c>
      <c r="H1913" s="27">
        <f t="shared" si="58"/>
        <v>1723.04</v>
      </c>
      <c r="I1913" s="18">
        <v>1723.04</v>
      </c>
      <c r="J1913" s="27">
        <v>1723.04</v>
      </c>
      <c r="K1913" s="18">
        <f t="shared" si="59"/>
        <v>1723.04</v>
      </c>
      <c r="L1913" s="27">
        <v>1723.04</v>
      </c>
      <c r="M1913" s="36">
        <v>0</v>
      </c>
      <c r="T1913" s="41">
        <v>0</v>
      </c>
      <c r="U1913" s="41">
        <v>0</v>
      </c>
      <c r="V1913" s="42" t="s">
        <v>113</v>
      </c>
      <c r="W1913" s="42">
        <v>1723.04</v>
      </c>
      <c r="X1913" s="42">
        <v>1723.04</v>
      </c>
    </row>
    <row r="1914" spans="1:24">
      <c r="A1914" s="27" t="s">
        <v>3638</v>
      </c>
      <c r="B1914" s="28" t="s">
        <v>215</v>
      </c>
      <c r="C1914" s="27" t="s">
        <v>3639</v>
      </c>
      <c r="D1914" s="27" t="s">
        <v>118</v>
      </c>
      <c r="E1914" s="29">
        <v>40170</v>
      </c>
      <c r="F1914" s="27">
        <v>15</v>
      </c>
      <c r="G1914" s="18">
        <v>63962.68</v>
      </c>
      <c r="H1914" s="27">
        <f t="shared" si="58"/>
        <v>0</v>
      </c>
      <c r="I1914" s="18">
        <v>6321.26</v>
      </c>
      <c r="J1914" s="27">
        <v>63962.68</v>
      </c>
      <c r="K1914" s="18">
        <f t="shared" si="59"/>
        <v>0</v>
      </c>
      <c r="L1914" s="27">
        <v>18044.04</v>
      </c>
      <c r="M1914" s="36">
        <v>11722.78</v>
      </c>
      <c r="T1914" s="41">
        <v>0</v>
      </c>
      <c r="U1914" s="41">
        <v>0</v>
      </c>
      <c r="V1914" s="42" t="s">
        <v>113</v>
      </c>
      <c r="W1914" s="42">
        <v>0</v>
      </c>
      <c r="X1914" s="42">
        <v>0</v>
      </c>
    </row>
    <row r="1915" spans="1:24">
      <c r="A1915" s="27" t="s">
        <v>3640</v>
      </c>
      <c r="B1915" s="28" t="s">
        <v>215</v>
      </c>
      <c r="C1915" s="27" t="s">
        <v>3641</v>
      </c>
      <c r="D1915" s="27" t="s">
        <v>118</v>
      </c>
      <c r="E1915" s="29">
        <v>42736</v>
      </c>
      <c r="F1915" s="27">
        <v>15</v>
      </c>
      <c r="G1915" s="18">
        <v>64268.41</v>
      </c>
      <c r="H1915" s="27">
        <f t="shared" si="58"/>
        <v>0</v>
      </c>
      <c r="I1915" s="18">
        <v>8668.02</v>
      </c>
      <c r="J1915" s="27">
        <v>64268.41</v>
      </c>
      <c r="K1915" s="18">
        <f t="shared" si="59"/>
        <v>0</v>
      </c>
      <c r="L1915" s="27">
        <v>12672.12</v>
      </c>
      <c r="M1915" s="36">
        <v>4004.1</v>
      </c>
      <c r="T1915" s="41">
        <v>0</v>
      </c>
      <c r="U1915" s="41">
        <v>0</v>
      </c>
      <c r="V1915" s="42" t="s">
        <v>113</v>
      </c>
      <c r="W1915" s="42">
        <v>0</v>
      </c>
      <c r="X1915" s="42">
        <v>0</v>
      </c>
    </row>
    <row r="1916" spans="1:24">
      <c r="A1916" s="27" t="s">
        <v>3642</v>
      </c>
      <c r="B1916" s="28" t="s">
        <v>215</v>
      </c>
      <c r="C1916" s="27" t="s">
        <v>3643</v>
      </c>
      <c r="D1916" s="27" t="s">
        <v>118</v>
      </c>
      <c r="E1916" s="29">
        <v>42736</v>
      </c>
      <c r="F1916" s="27">
        <v>15</v>
      </c>
      <c r="G1916" s="18">
        <v>57308.72</v>
      </c>
      <c r="H1916" s="27">
        <f t="shared" si="58"/>
        <v>0</v>
      </c>
      <c r="I1916" s="18">
        <v>7729.35</v>
      </c>
      <c r="J1916" s="27">
        <v>57308.72</v>
      </c>
      <c r="K1916" s="18">
        <f t="shared" si="59"/>
        <v>0</v>
      </c>
      <c r="L1916" s="27">
        <v>11299.84</v>
      </c>
      <c r="M1916" s="36">
        <v>3570.49</v>
      </c>
      <c r="T1916" s="41">
        <v>0</v>
      </c>
      <c r="U1916" s="41">
        <v>0</v>
      </c>
      <c r="V1916" s="42" t="s">
        <v>113</v>
      </c>
      <c r="W1916" s="42">
        <v>0</v>
      </c>
      <c r="X1916" s="42">
        <v>0</v>
      </c>
    </row>
    <row r="1917" spans="1:24">
      <c r="A1917" s="27" t="s">
        <v>3644</v>
      </c>
      <c r="B1917" s="28" t="s">
        <v>215</v>
      </c>
      <c r="C1917" s="27" t="s">
        <v>3645</v>
      </c>
      <c r="D1917" s="27" t="s">
        <v>118</v>
      </c>
      <c r="E1917" s="29">
        <v>42736</v>
      </c>
      <c r="F1917" s="27">
        <v>15</v>
      </c>
      <c r="G1917" s="18">
        <v>57308.72</v>
      </c>
      <c r="H1917" s="27">
        <f t="shared" si="58"/>
        <v>0</v>
      </c>
      <c r="I1917" s="18">
        <v>7729.35</v>
      </c>
      <c r="J1917" s="27">
        <v>57308.72</v>
      </c>
      <c r="K1917" s="18">
        <f t="shared" si="59"/>
        <v>0</v>
      </c>
      <c r="L1917" s="27">
        <v>11299.84</v>
      </c>
      <c r="M1917" s="36">
        <v>3570.49</v>
      </c>
      <c r="T1917" s="41">
        <v>0</v>
      </c>
      <c r="U1917" s="41">
        <v>0</v>
      </c>
      <c r="V1917" s="42" t="s">
        <v>113</v>
      </c>
      <c r="W1917" s="42">
        <v>0</v>
      </c>
      <c r="X1917" s="42">
        <v>0</v>
      </c>
    </row>
    <row r="1918" spans="1:24">
      <c r="A1918" s="27" t="s">
        <v>3646</v>
      </c>
      <c r="B1918" s="28" t="s">
        <v>215</v>
      </c>
      <c r="C1918" s="27" t="s">
        <v>3647</v>
      </c>
      <c r="D1918" s="27" t="s">
        <v>118</v>
      </c>
      <c r="E1918" s="29">
        <v>42736</v>
      </c>
      <c r="F1918" s="27">
        <v>15</v>
      </c>
      <c r="G1918" s="18">
        <v>64268.41</v>
      </c>
      <c r="H1918" s="27">
        <f t="shared" si="58"/>
        <v>0</v>
      </c>
      <c r="I1918" s="18">
        <v>8668.02</v>
      </c>
      <c r="J1918" s="27">
        <v>64268.41</v>
      </c>
      <c r="K1918" s="18">
        <f t="shared" si="59"/>
        <v>0</v>
      </c>
      <c r="L1918" s="27">
        <v>12672.12</v>
      </c>
      <c r="M1918" s="36">
        <v>4004.1</v>
      </c>
      <c r="T1918" s="41">
        <v>0</v>
      </c>
      <c r="U1918" s="41">
        <v>0</v>
      </c>
      <c r="V1918" s="42" t="s">
        <v>113</v>
      </c>
      <c r="W1918" s="42">
        <v>0</v>
      </c>
      <c r="X1918" s="42">
        <v>0</v>
      </c>
    </row>
    <row r="1919" spans="1:24">
      <c r="A1919" s="27" t="s">
        <v>3648</v>
      </c>
      <c r="B1919" s="28" t="s">
        <v>215</v>
      </c>
      <c r="C1919" s="27" t="s">
        <v>592</v>
      </c>
      <c r="D1919" s="27" t="s">
        <v>118</v>
      </c>
      <c r="E1919" s="29">
        <v>42736</v>
      </c>
      <c r="F1919" s="27">
        <v>15</v>
      </c>
      <c r="G1919" s="18">
        <v>57308.72</v>
      </c>
      <c r="H1919" s="27">
        <f t="shared" si="58"/>
        <v>0</v>
      </c>
      <c r="I1919" s="18">
        <v>7729.35</v>
      </c>
      <c r="J1919" s="27">
        <v>57308.72</v>
      </c>
      <c r="K1919" s="18">
        <f t="shared" si="59"/>
        <v>0</v>
      </c>
      <c r="L1919" s="27">
        <v>11299.84</v>
      </c>
      <c r="M1919" s="36">
        <v>3570.49</v>
      </c>
      <c r="T1919" s="41">
        <v>0</v>
      </c>
      <c r="U1919" s="41">
        <v>0</v>
      </c>
      <c r="V1919" s="42" t="s">
        <v>113</v>
      </c>
      <c r="W1919" s="42">
        <v>0</v>
      </c>
      <c r="X1919" s="42">
        <v>0</v>
      </c>
    </row>
    <row r="1920" spans="1:24">
      <c r="A1920" s="27" t="s">
        <v>3649</v>
      </c>
      <c r="B1920" s="28" t="s">
        <v>215</v>
      </c>
      <c r="C1920" s="27" t="s">
        <v>594</v>
      </c>
      <c r="D1920" s="27" t="s">
        <v>118</v>
      </c>
      <c r="E1920" s="29">
        <v>42736</v>
      </c>
      <c r="F1920" s="27">
        <v>15</v>
      </c>
      <c r="G1920" s="18">
        <v>64268.41</v>
      </c>
      <c r="H1920" s="27">
        <f t="shared" si="58"/>
        <v>0</v>
      </c>
      <c r="I1920" s="18">
        <v>8668.02</v>
      </c>
      <c r="J1920" s="27">
        <v>64268.41</v>
      </c>
      <c r="K1920" s="18">
        <f t="shared" si="59"/>
        <v>0</v>
      </c>
      <c r="L1920" s="27">
        <v>12672.12</v>
      </c>
      <c r="M1920" s="36">
        <v>4004.1</v>
      </c>
      <c r="T1920" s="41">
        <v>0</v>
      </c>
      <c r="U1920" s="41">
        <v>0</v>
      </c>
      <c r="V1920" s="42" t="s">
        <v>113</v>
      </c>
      <c r="W1920" s="42">
        <v>0</v>
      </c>
      <c r="X1920" s="42">
        <v>0</v>
      </c>
    </row>
    <row r="1921" spans="1:24">
      <c r="A1921" s="27" t="s">
        <v>3650</v>
      </c>
      <c r="B1921" s="28" t="s">
        <v>215</v>
      </c>
      <c r="C1921" s="27" t="s">
        <v>3651</v>
      </c>
      <c r="D1921" s="27" t="s">
        <v>118</v>
      </c>
      <c r="E1921" s="29">
        <v>42736</v>
      </c>
      <c r="F1921" s="27">
        <v>15</v>
      </c>
      <c r="G1921" s="18">
        <v>57417.37</v>
      </c>
      <c r="H1921" s="27">
        <f t="shared" si="58"/>
        <v>0</v>
      </c>
      <c r="I1921" s="18">
        <v>7744.01</v>
      </c>
      <c r="J1921" s="27">
        <v>57417.37</v>
      </c>
      <c r="K1921" s="18">
        <f t="shared" si="59"/>
        <v>0</v>
      </c>
      <c r="L1921" s="27">
        <v>11321.27</v>
      </c>
      <c r="M1921" s="36">
        <v>3577.26</v>
      </c>
      <c r="T1921" s="41">
        <v>0</v>
      </c>
      <c r="U1921" s="41">
        <v>0</v>
      </c>
      <c r="V1921" s="42" t="s">
        <v>113</v>
      </c>
      <c r="W1921" s="42">
        <v>0</v>
      </c>
      <c r="X1921" s="42">
        <v>0</v>
      </c>
    </row>
    <row r="1922" spans="1:24">
      <c r="A1922" s="27" t="s">
        <v>3652</v>
      </c>
      <c r="B1922" s="28" t="s">
        <v>215</v>
      </c>
      <c r="C1922" s="27" t="s">
        <v>3653</v>
      </c>
      <c r="D1922" s="27" t="s">
        <v>118</v>
      </c>
      <c r="E1922" s="29">
        <v>42736</v>
      </c>
      <c r="F1922" s="27">
        <v>15</v>
      </c>
      <c r="G1922" s="18">
        <v>64268.41</v>
      </c>
      <c r="H1922" s="27">
        <f t="shared" si="58"/>
        <v>0</v>
      </c>
      <c r="I1922" s="18">
        <v>8668.02</v>
      </c>
      <c r="J1922" s="27">
        <v>64268.41</v>
      </c>
      <c r="K1922" s="18">
        <f t="shared" si="59"/>
        <v>0</v>
      </c>
      <c r="L1922" s="27">
        <v>12672.12</v>
      </c>
      <c r="M1922" s="36">
        <v>4004.1</v>
      </c>
      <c r="T1922" s="41">
        <v>0</v>
      </c>
      <c r="U1922" s="41">
        <v>0</v>
      </c>
      <c r="V1922" s="42" t="s">
        <v>113</v>
      </c>
      <c r="W1922" s="42">
        <v>0</v>
      </c>
      <c r="X1922" s="42">
        <v>0</v>
      </c>
    </row>
    <row r="1923" spans="1:24">
      <c r="A1923" s="27" t="s">
        <v>3654</v>
      </c>
      <c r="B1923" s="28" t="s">
        <v>215</v>
      </c>
      <c r="C1923" s="27" t="s">
        <v>3655</v>
      </c>
      <c r="D1923" s="27" t="s">
        <v>118</v>
      </c>
      <c r="E1923" s="29">
        <v>40268</v>
      </c>
      <c r="F1923" s="27">
        <v>15</v>
      </c>
      <c r="G1923" s="18">
        <v>52938.239999999998</v>
      </c>
      <c r="H1923" s="27">
        <f t="shared" si="58"/>
        <v>0</v>
      </c>
      <c r="I1923" s="18">
        <v>38554.42</v>
      </c>
      <c r="J1923" s="27">
        <v>52938.239999999998</v>
      </c>
      <c r="K1923" s="18">
        <f t="shared" si="59"/>
        <v>0</v>
      </c>
      <c r="L1923" s="27">
        <v>40432.33</v>
      </c>
      <c r="M1923" s="36">
        <v>1877.91</v>
      </c>
      <c r="T1923" s="41">
        <v>0</v>
      </c>
      <c r="U1923" s="41">
        <v>0</v>
      </c>
      <c r="V1923" s="42" t="s">
        <v>113</v>
      </c>
      <c r="W1923" s="42">
        <v>0</v>
      </c>
      <c r="X1923" s="42">
        <v>0</v>
      </c>
    </row>
    <row r="1924" spans="1:24">
      <c r="A1924" s="27" t="s">
        <v>3656</v>
      </c>
      <c r="B1924" s="28" t="s">
        <v>215</v>
      </c>
      <c r="C1924" s="27" t="s">
        <v>3657</v>
      </c>
      <c r="D1924" s="27" t="s">
        <v>118</v>
      </c>
      <c r="E1924" s="29">
        <v>40268</v>
      </c>
      <c r="F1924" s="27">
        <v>15</v>
      </c>
      <c r="G1924" s="18">
        <v>50530.11</v>
      </c>
      <c r="H1924" s="27">
        <f t="shared" si="58"/>
        <v>0</v>
      </c>
      <c r="I1924" s="18">
        <v>36800.61</v>
      </c>
      <c r="J1924" s="27">
        <v>50530.11</v>
      </c>
      <c r="K1924" s="18">
        <f t="shared" si="59"/>
        <v>0</v>
      </c>
      <c r="L1924" s="27">
        <v>38593.089999999997</v>
      </c>
      <c r="M1924" s="36">
        <v>1792.48</v>
      </c>
      <c r="T1924" s="41">
        <v>0</v>
      </c>
      <c r="U1924" s="41">
        <v>0</v>
      </c>
      <c r="V1924" s="42" t="s">
        <v>113</v>
      </c>
      <c r="W1924" s="42">
        <v>0</v>
      </c>
      <c r="X1924" s="42">
        <v>0</v>
      </c>
    </row>
    <row r="1925" spans="1:24">
      <c r="A1925" s="27" t="s">
        <v>3658</v>
      </c>
      <c r="B1925" s="28" t="s">
        <v>215</v>
      </c>
      <c r="C1925" s="27" t="s">
        <v>3659</v>
      </c>
      <c r="D1925" s="27" t="s">
        <v>118</v>
      </c>
      <c r="E1925" s="29">
        <v>40268</v>
      </c>
      <c r="F1925" s="27">
        <v>15</v>
      </c>
      <c r="G1925" s="18">
        <v>52938.239999999998</v>
      </c>
      <c r="H1925" s="27">
        <f t="shared" si="58"/>
        <v>0</v>
      </c>
      <c r="I1925" s="18">
        <v>38554.42</v>
      </c>
      <c r="J1925" s="27">
        <v>52938.239999999998</v>
      </c>
      <c r="K1925" s="18">
        <f t="shared" si="59"/>
        <v>0</v>
      </c>
      <c r="L1925" s="27">
        <v>40432.33</v>
      </c>
      <c r="M1925" s="36">
        <v>1877.91</v>
      </c>
      <c r="T1925" s="41">
        <v>0</v>
      </c>
      <c r="U1925" s="41">
        <v>0</v>
      </c>
      <c r="V1925" s="42" t="s">
        <v>113</v>
      </c>
      <c r="W1925" s="42">
        <v>0</v>
      </c>
      <c r="X1925" s="42">
        <v>0</v>
      </c>
    </row>
    <row r="1926" spans="1:24">
      <c r="A1926" s="27" t="s">
        <v>3660</v>
      </c>
      <c r="B1926" s="28" t="s">
        <v>215</v>
      </c>
      <c r="C1926" s="27" t="s">
        <v>3661</v>
      </c>
      <c r="D1926" s="27" t="s">
        <v>118</v>
      </c>
      <c r="E1926" s="29">
        <v>40268</v>
      </c>
      <c r="F1926" s="27">
        <v>15</v>
      </c>
      <c r="G1926" s="18">
        <v>50530.11</v>
      </c>
      <c r="H1926" s="27">
        <f t="shared" ref="H1926:H1989" si="60">IFERROR(IF(ROUND((G1926-I1926)/G1926,2)&lt;=0.05,G1926,0),0)</f>
        <v>0</v>
      </c>
      <c r="I1926" s="18">
        <v>36800.61</v>
      </c>
      <c r="J1926" s="27">
        <v>50530.11</v>
      </c>
      <c r="K1926" s="18">
        <f t="shared" ref="K1926:K1989" si="61">IFERROR(IF(ROUND((J1926-L1926)/J1926,2)&lt;=0.05,J1926,0),0)</f>
        <v>0</v>
      </c>
      <c r="L1926" s="27">
        <v>38593.089999999997</v>
      </c>
      <c r="M1926" s="36">
        <v>1792.48</v>
      </c>
      <c r="T1926" s="41">
        <v>0</v>
      </c>
      <c r="U1926" s="41">
        <v>0</v>
      </c>
      <c r="V1926" s="42" t="s">
        <v>113</v>
      </c>
      <c r="W1926" s="42">
        <v>0</v>
      </c>
      <c r="X1926" s="42">
        <v>0</v>
      </c>
    </row>
    <row r="1927" spans="1:24">
      <c r="A1927" s="27" t="s">
        <v>3662</v>
      </c>
      <c r="B1927" s="28" t="s">
        <v>215</v>
      </c>
      <c r="C1927" s="27" t="s">
        <v>1575</v>
      </c>
      <c r="D1927" s="27" t="s">
        <v>118</v>
      </c>
      <c r="E1927" s="29">
        <v>40268</v>
      </c>
      <c r="F1927" s="27">
        <v>15</v>
      </c>
      <c r="G1927" s="18">
        <v>50530.11</v>
      </c>
      <c r="H1927" s="27">
        <f t="shared" si="60"/>
        <v>0</v>
      </c>
      <c r="I1927" s="18">
        <v>36800.61</v>
      </c>
      <c r="J1927" s="27">
        <v>50530.11</v>
      </c>
      <c r="K1927" s="18">
        <f t="shared" si="61"/>
        <v>0</v>
      </c>
      <c r="L1927" s="27">
        <v>38593.089999999997</v>
      </c>
      <c r="M1927" s="36">
        <v>1792.48</v>
      </c>
      <c r="T1927" s="41">
        <v>0</v>
      </c>
      <c r="U1927" s="41">
        <v>0</v>
      </c>
      <c r="V1927" s="42" t="s">
        <v>113</v>
      </c>
      <c r="W1927" s="42">
        <v>0</v>
      </c>
      <c r="X1927" s="42">
        <v>0</v>
      </c>
    </row>
    <row r="1928" spans="1:24">
      <c r="A1928" s="27" t="s">
        <v>3663</v>
      </c>
      <c r="B1928" s="28" t="s">
        <v>215</v>
      </c>
      <c r="C1928" s="27" t="s">
        <v>2581</v>
      </c>
      <c r="D1928" s="27" t="s">
        <v>118</v>
      </c>
      <c r="E1928" s="29">
        <v>40268</v>
      </c>
      <c r="F1928" s="27">
        <v>15</v>
      </c>
      <c r="G1928" s="18">
        <v>50530.11</v>
      </c>
      <c r="H1928" s="27">
        <f t="shared" si="60"/>
        <v>0</v>
      </c>
      <c r="I1928" s="18">
        <v>36800.61</v>
      </c>
      <c r="J1928" s="27">
        <v>50530.11</v>
      </c>
      <c r="K1928" s="18">
        <f t="shared" si="61"/>
        <v>0</v>
      </c>
      <c r="L1928" s="27">
        <v>38593.089999999997</v>
      </c>
      <c r="M1928" s="36">
        <v>1792.48</v>
      </c>
      <c r="T1928" s="41">
        <v>0</v>
      </c>
      <c r="U1928" s="41">
        <v>0</v>
      </c>
      <c r="V1928" s="42" t="s">
        <v>113</v>
      </c>
      <c r="W1928" s="42">
        <v>0</v>
      </c>
      <c r="X1928" s="42">
        <v>0</v>
      </c>
    </row>
    <row r="1929" spans="1:24">
      <c r="A1929" s="27" t="s">
        <v>3664</v>
      </c>
      <c r="B1929" s="28" t="s">
        <v>215</v>
      </c>
      <c r="C1929" s="27" t="s">
        <v>2583</v>
      </c>
      <c r="D1929" s="27" t="s">
        <v>118</v>
      </c>
      <c r="E1929" s="29">
        <v>40268</v>
      </c>
      <c r="F1929" s="27">
        <v>15</v>
      </c>
      <c r="G1929" s="18">
        <v>50530.11</v>
      </c>
      <c r="H1929" s="27">
        <f t="shared" si="60"/>
        <v>0</v>
      </c>
      <c r="I1929" s="18">
        <v>36800.61</v>
      </c>
      <c r="J1929" s="27">
        <v>50530.11</v>
      </c>
      <c r="K1929" s="18">
        <f t="shared" si="61"/>
        <v>0</v>
      </c>
      <c r="L1929" s="27">
        <v>38593.089999999997</v>
      </c>
      <c r="M1929" s="36">
        <v>1792.48</v>
      </c>
      <c r="T1929" s="41">
        <v>0</v>
      </c>
      <c r="U1929" s="41">
        <v>0</v>
      </c>
      <c r="V1929" s="42" t="s">
        <v>113</v>
      </c>
      <c r="W1929" s="42">
        <v>0</v>
      </c>
      <c r="X1929" s="42">
        <v>0</v>
      </c>
    </row>
    <row r="1930" spans="1:24">
      <c r="A1930" s="27" t="s">
        <v>3665</v>
      </c>
      <c r="B1930" s="28" t="s">
        <v>215</v>
      </c>
      <c r="C1930" s="27" t="s">
        <v>3666</v>
      </c>
      <c r="D1930" s="27" t="s">
        <v>230</v>
      </c>
      <c r="E1930" s="29">
        <v>40268</v>
      </c>
      <c r="F1930" s="27">
        <v>15</v>
      </c>
      <c r="G1930" s="18">
        <v>23000</v>
      </c>
      <c r="H1930" s="27">
        <f t="shared" si="60"/>
        <v>0</v>
      </c>
      <c r="I1930" s="18">
        <v>15784.66</v>
      </c>
      <c r="J1930" s="27">
        <v>23000</v>
      </c>
      <c r="K1930" s="18">
        <f t="shared" si="61"/>
        <v>0</v>
      </c>
      <c r="L1930" s="27">
        <v>16755.11</v>
      </c>
      <c r="M1930" s="36">
        <v>970.45</v>
      </c>
      <c r="T1930" s="41">
        <v>0</v>
      </c>
      <c r="U1930" s="41">
        <v>0</v>
      </c>
      <c r="V1930" s="42" t="s">
        <v>113</v>
      </c>
      <c r="W1930" s="42">
        <v>0</v>
      </c>
      <c r="X1930" s="42">
        <v>0</v>
      </c>
    </row>
    <row r="1931" spans="1:24">
      <c r="A1931" s="27" t="s">
        <v>3667</v>
      </c>
      <c r="B1931" s="28" t="s">
        <v>215</v>
      </c>
      <c r="C1931" s="27" t="s">
        <v>3668</v>
      </c>
      <c r="D1931" s="27" t="s">
        <v>230</v>
      </c>
      <c r="E1931" s="29">
        <v>40268</v>
      </c>
      <c r="F1931" s="27">
        <v>15</v>
      </c>
      <c r="G1931" s="18">
        <v>23000</v>
      </c>
      <c r="H1931" s="27">
        <f t="shared" si="60"/>
        <v>0</v>
      </c>
      <c r="I1931" s="18">
        <v>15784.67</v>
      </c>
      <c r="J1931" s="27">
        <v>23000</v>
      </c>
      <c r="K1931" s="18">
        <f t="shared" si="61"/>
        <v>0</v>
      </c>
      <c r="L1931" s="27">
        <v>16755.12</v>
      </c>
      <c r="M1931" s="36">
        <v>970.45</v>
      </c>
      <c r="T1931" s="41">
        <v>0</v>
      </c>
      <c r="U1931" s="41">
        <v>0</v>
      </c>
      <c r="V1931" s="42" t="s">
        <v>113</v>
      </c>
      <c r="W1931" s="42">
        <v>0</v>
      </c>
      <c r="X1931" s="42">
        <v>0</v>
      </c>
    </row>
    <row r="1932" spans="1:24">
      <c r="A1932" s="27" t="s">
        <v>3669</v>
      </c>
      <c r="B1932" s="28" t="s">
        <v>215</v>
      </c>
      <c r="C1932" s="27" t="s">
        <v>3670</v>
      </c>
      <c r="D1932" s="27" t="s">
        <v>230</v>
      </c>
      <c r="E1932" s="29">
        <v>41270</v>
      </c>
      <c r="F1932" s="27">
        <v>15</v>
      </c>
      <c r="G1932" s="18">
        <v>30928.22</v>
      </c>
      <c r="H1932" s="27">
        <f t="shared" si="60"/>
        <v>0</v>
      </c>
      <c r="I1932" s="18">
        <v>14996.47</v>
      </c>
      <c r="J1932" s="27">
        <v>30928.22</v>
      </c>
      <c r="K1932" s="18">
        <f t="shared" si="61"/>
        <v>0</v>
      </c>
      <c r="L1932" s="27">
        <v>16594.84</v>
      </c>
      <c r="M1932" s="36">
        <v>1598.37</v>
      </c>
      <c r="T1932" s="41">
        <v>0</v>
      </c>
      <c r="U1932" s="41">
        <v>0</v>
      </c>
      <c r="V1932" s="42" t="s">
        <v>113</v>
      </c>
      <c r="W1932" s="42">
        <v>0</v>
      </c>
      <c r="X1932" s="42">
        <v>0</v>
      </c>
    </row>
    <row r="1933" spans="1:24">
      <c r="A1933" s="27" t="s">
        <v>3671</v>
      </c>
      <c r="B1933" s="28" t="s">
        <v>215</v>
      </c>
      <c r="C1933" s="27" t="s">
        <v>3672</v>
      </c>
      <c r="D1933" s="27" t="s">
        <v>230</v>
      </c>
      <c r="E1933" s="29">
        <v>41270</v>
      </c>
      <c r="F1933" s="27">
        <v>15</v>
      </c>
      <c r="G1933" s="18">
        <v>30928.22</v>
      </c>
      <c r="H1933" s="27">
        <f t="shared" si="60"/>
        <v>0</v>
      </c>
      <c r="I1933" s="18">
        <v>14996.47</v>
      </c>
      <c r="J1933" s="27">
        <v>30928.22</v>
      </c>
      <c r="K1933" s="18">
        <f t="shared" si="61"/>
        <v>0</v>
      </c>
      <c r="L1933" s="27">
        <v>16594.84</v>
      </c>
      <c r="M1933" s="36">
        <v>1598.37</v>
      </c>
      <c r="T1933" s="41">
        <v>0</v>
      </c>
      <c r="U1933" s="41">
        <v>0</v>
      </c>
      <c r="V1933" s="42" t="s">
        <v>113</v>
      </c>
      <c r="W1933" s="42">
        <v>0</v>
      </c>
      <c r="X1933" s="42">
        <v>0</v>
      </c>
    </row>
    <row r="1934" spans="1:24">
      <c r="A1934" s="27" t="s">
        <v>3673</v>
      </c>
      <c r="B1934" s="28" t="s">
        <v>215</v>
      </c>
      <c r="C1934" s="27" t="s">
        <v>3674</v>
      </c>
      <c r="D1934" s="27" t="s">
        <v>230</v>
      </c>
      <c r="E1934" s="29">
        <v>40169</v>
      </c>
      <c r="F1934" s="27">
        <v>15</v>
      </c>
      <c r="G1934" s="18">
        <v>49650.36</v>
      </c>
      <c r="H1934" s="27">
        <f t="shared" si="60"/>
        <v>49650.36</v>
      </c>
      <c r="I1934" s="18">
        <v>47167.839999999997</v>
      </c>
      <c r="J1934" s="27">
        <v>49650.36</v>
      </c>
      <c r="K1934" s="18">
        <f t="shared" si="61"/>
        <v>49650.36</v>
      </c>
      <c r="L1934" s="27">
        <v>47167.839999999997</v>
      </c>
      <c r="M1934" s="36">
        <v>0</v>
      </c>
      <c r="T1934" s="41">
        <v>0</v>
      </c>
      <c r="U1934" s="41">
        <v>0</v>
      </c>
      <c r="V1934" s="42" t="s">
        <v>113</v>
      </c>
      <c r="W1934" s="42">
        <v>49650.36</v>
      </c>
      <c r="X1934" s="42">
        <v>49650.36</v>
      </c>
    </row>
    <row r="1935" spans="1:24">
      <c r="A1935" s="27" t="s">
        <v>3675</v>
      </c>
      <c r="B1935" s="28" t="s">
        <v>215</v>
      </c>
      <c r="C1935" s="27" t="s">
        <v>3676</v>
      </c>
      <c r="D1935" s="27" t="s">
        <v>230</v>
      </c>
      <c r="E1935" s="29">
        <v>40169</v>
      </c>
      <c r="F1935" s="27">
        <v>15</v>
      </c>
      <c r="G1935" s="18">
        <v>141268.5</v>
      </c>
      <c r="H1935" s="27">
        <f t="shared" si="60"/>
        <v>141268.5</v>
      </c>
      <c r="I1935" s="18">
        <v>134205.07</v>
      </c>
      <c r="J1935" s="27">
        <v>141268.5</v>
      </c>
      <c r="K1935" s="18">
        <f t="shared" si="61"/>
        <v>141268.5</v>
      </c>
      <c r="L1935" s="27">
        <v>134205.07</v>
      </c>
      <c r="M1935" s="36">
        <v>0</v>
      </c>
      <c r="T1935" s="41">
        <v>0</v>
      </c>
      <c r="U1935" s="41">
        <v>0</v>
      </c>
      <c r="V1935" s="42" t="s">
        <v>113</v>
      </c>
      <c r="W1935" s="42">
        <v>141268.5</v>
      </c>
      <c r="X1935" s="42">
        <v>141268.5</v>
      </c>
    </row>
    <row r="1936" spans="1:24">
      <c r="A1936" s="27" t="s">
        <v>3677</v>
      </c>
      <c r="B1936" s="28" t="s">
        <v>215</v>
      </c>
      <c r="C1936" s="27" t="s">
        <v>3678</v>
      </c>
      <c r="D1936" s="27" t="s">
        <v>230</v>
      </c>
      <c r="E1936" s="29">
        <v>40169</v>
      </c>
      <c r="F1936" s="27">
        <v>15</v>
      </c>
      <c r="G1936" s="18">
        <v>178076.98</v>
      </c>
      <c r="H1936" s="27">
        <f t="shared" si="60"/>
        <v>178076.98</v>
      </c>
      <c r="I1936" s="18">
        <v>169173.13</v>
      </c>
      <c r="J1936" s="27">
        <v>178076.98</v>
      </c>
      <c r="K1936" s="18">
        <f t="shared" si="61"/>
        <v>178076.98</v>
      </c>
      <c r="L1936" s="27">
        <v>169173.13</v>
      </c>
      <c r="M1936" s="36">
        <v>0</v>
      </c>
      <c r="T1936" s="41">
        <v>0</v>
      </c>
      <c r="U1936" s="41">
        <v>0</v>
      </c>
      <c r="V1936" s="42" t="s">
        <v>113</v>
      </c>
      <c r="W1936" s="42">
        <v>178076.98</v>
      </c>
      <c r="X1936" s="42">
        <v>178076.98</v>
      </c>
    </row>
    <row r="1937" spans="1:24">
      <c r="A1937" s="27" t="s">
        <v>3679</v>
      </c>
      <c r="B1937" s="28" t="s">
        <v>215</v>
      </c>
      <c r="C1937" s="27" t="s">
        <v>3680</v>
      </c>
      <c r="D1937" s="27" t="s">
        <v>230</v>
      </c>
      <c r="E1937" s="29">
        <v>40169</v>
      </c>
      <c r="F1937" s="27">
        <v>15</v>
      </c>
      <c r="G1937" s="18">
        <v>37825.18</v>
      </c>
      <c r="H1937" s="27">
        <f t="shared" si="60"/>
        <v>37825.18</v>
      </c>
      <c r="I1937" s="18">
        <v>35933.919999999998</v>
      </c>
      <c r="J1937" s="27">
        <v>37825.18</v>
      </c>
      <c r="K1937" s="18">
        <f t="shared" si="61"/>
        <v>37825.18</v>
      </c>
      <c r="L1937" s="27">
        <v>35933.919999999998</v>
      </c>
      <c r="M1937" s="36">
        <v>0</v>
      </c>
      <c r="T1937" s="41">
        <v>0</v>
      </c>
      <c r="U1937" s="41">
        <v>0</v>
      </c>
      <c r="V1937" s="42" t="s">
        <v>113</v>
      </c>
      <c r="W1937" s="42">
        <v>37825.18</v>
      </c>
      <c r="X1937" s="42">
        <v>37825.18</v>
      </c>
    </row>
    <row r="1938" spans="1:24">
      <c r="A1938" s="27" t="s">
        <v>3681</v>
      </c>
      <c r="B1938" s="28" t="s">
        <v>215</v>
      </c>
      <c r="C1938" s="27" t="s">
        <v>2784</v>
      </c>
      <c r="D1938" s="27" t="s">
        <v>118</v>
      </c>
      <c r="E1938" s="29">
        <v>40169</v>
      </c>
      <c r="F1938" s="27">
        <v>15</v>
      </c>
      <c r="G1938" s="18">
        <v>54421.46</v>
      </c>
      <c r="H1938" s="27">
        <f t="shared" si="60"/>
        <v>54421.46</v>
      </c>
      <c r="I1938" s="18">
        <v>51700.39</v>
      </c>
      <c r="J1938" s="27">
        <v>54421.46</v>
      </c>
      <c r="K1938" s="18">
        <f t="shared" si="61"/>
        <v>54421.46</v>
      </c>
      <c r="L1938" s="27">
        <v>51700.39</v>
      </c>
      <c r="M1938" s="36">
        <v>0</v>
      </c>
      <c r="T1938" s="41">
        <v>0</v>
      </c>
      <c r="U1938" s="41">
        <v>0</v>
      </c>
      <c r="V1938" s="42" t="s">
        <v>113</v>
      </c>
      <c r="W1938" s="42">
        <v>54421.46</v>
      </c>
      <c r="X1938" s="42">
        <v>54421.46</v>
      </c>
    </row>
    <row r="1939" spans="1:24">
      <c r="A1939" s="27" t="s">
        <v>3682</v>
      </c>
      <c r="B1939" s="28" t="s">
        <v>215</v>
      </c>
      <c r="C1939" s="27" t="s">
        <v>3683</v>
      </c>
      <c r="D1939" s="27" t="s">
        <v>220</v>
      </c>
      <c r="E1939" s="29">
        <v>41269</v>
      </c>
      <c r="F1939" s="27">
        <v>15</v>
      </c>
      <c r="G1939" s="18">
        <v>623462.28</v>
      </c>
      <c r="H1939" s="27">
        <f t="shared" si="60"/>
        <v>0</v>
      </c>
      <c r="I1939" s="18">
        <v>322804.28000000003</v>
      </c>
      <c r="J1939" s="27">
        <v>623462.28</v>
      </c>
      <c r="K1939" s="18">
        <f t="shared" si="61"/>
        <v>0</v>
      </c>
      <c r="L1939" s="27">
        <v>352747.05</v>
      </c>
      <c r="M1939" s="36">
        <v>29942.77</v>
      </c>
      <c r="T1939" s="41">
        <v>0</v>
      </c>
      <c r="U1939" s="41">
        <v>0</v>
      </c>
      <c r="V1939" s="42" t="s">
        <v>113</v>
      </c>
      <c r="W1939" s="42">
        <v>0</v>
      </c>
      <c r="X1939" s="42">
        <v>0</v>
      </c>
    </row>
    <row r="1940" spans="1:24">
      <c r="A1940" s="27" t="s">
        <v>3684</v>
      </c>
      <c r="B1940" s="28" t="s">
        <v>215</v>
      </c>
      <c r="C1940" s="27" t="s">
        <v>3685</v>
      </c>
      <c r="D1940" s="27" t="s">
        <v>220</v>
      </c>
      <c r="E1940" s="29">
        <v>41269</v>
      </c>
      <c r="F1940" s="27">
        <v>15</v>
      </c>
      <c r="G1940" s="18">
        <v>623462.28</v>
      </c>
      <c r="H1940" s="27">
        <f t="shared" si="60"/>
        <v>0</v>
      </c>
      <c r="I1940" s="18">
        <v>322804.27</v>
      </c>
      <c r="J1940" s="27">
        <v>623462.28</v>
      </c>
      <c r="K1940" s="18">
        <f t="shared" si="61"/>
        <v>0</v>
      </c>
      <c r="L1940" s="27">
        <v>352747.04</v>
      </c>
      <c r="M1940" s="36">
        <v>29942.77</v>
      </c>
      <c r="T1940" s="41">
        <v>0</v>
      </c>
      <c r="U1940" s="41">
        <v>0</v>
      </c>
      <c r="V1940" s="42" t="s">
        <v>113</v>
      </c>
      <c r="W1940" s="42">
        <v>0</v>
      </c>
      <c r="X1940" s="42">
        <v>0</v>
      </c>
    </row>
    <row r="1941" spans="1:24">
      <c r="A1941" s="27" t="s">
        <v>3686</v>
      </c>
      <c r="B1941" s="28" t="s">
        <v>215</v>
      </c>
      <c r="C1941" s="27" t="s">
        <v>3687</v>
      </c>
      <c r="D1941" s="27" t="s">
        <v>118</v>
      </c>
      <c r="E1941" s="29">
        <v>41269</v>
      </c>
      <c r="F1941" s="27">
        <v>15</v>
      </c>
      <c r="G1941" s="18">
        <v>623462.28</v>
      </c>
      <c r="H1941" s="27">
        <f t="shared" si="60"/>
        <v>0</v>
      </c>
      <c r="I1941" s="18">
        <v>322804.27</v>
      </c>
      <c r="J1941" s="27">
        <v>623462.28</v>
      </c>
      <c r="K1941" s="18">
        <f t="shared" si="61"/>
        <v>0</v>
      </c>
      <c r="L1941" s="27">
        <v>352747.04</v>
      </c>
      <c r="M1941" s="36">
        <v>29942.77</v>
      </c>
      <c r="T1941" s="41">
        <v>0</v>
      </c>
      <c r="U1941" s="41">
        <v>0</v>
      </c>
      <c r="V1941" s="42" t="s">
        <v>113</v>
      </c>
      <c r="W1941" s="42">
        <v>0</v>
      </c>
      <c r="X1941" s="42">
        <v>0</v>
      </c>
    </row>
    <row r="1942" spans="1:24">
      <c r="A1942" s="27" t="s">
        <v>3688</v>
      </c>
      <c r="B1942" s="28" t="s">
        <v>215</v>
      </c>
      <c r="C1942" s="27" t="s">
        <v>3689</v>
      </c>
      <c r="D1942" s="27" t="s">
        <v>118</v>
      </c>
      <c r="E1942" s="29">
        <v>41269</v>
      </c>
      <c r="F1942" s="27">
        <v>15</v>
      </c>
      <c r="G1942" s="18">
        <v>623462.27</v>
      </c>
      <c r="H1942" s="27">
        <f t="shared" si="60"/>
        <v>0</v>
      </c>
      <c r="I1942" s="18">
        <v>322804.26</v>
      </c>
      <c r="J1942" s="27">
        <v>623462.27</v>
      </c>
      <c r="K1942" s="18">
        <f t="shared" si="61"/>
        <v>0</v>
      </c>
      <c r="L1942" s="27">
        <v>352747.03</v>
      </c>
      <c r="M1942" s="36">
        <v>29942.77</v>
      </c>
      <c r="T1942" s="41">
        <v>0</v>
      </c>
      <c r="U1942" s="41">
        <v>0</v>
      </c>
      <c r="V1942" s="42" t="s">
        <v>113</v>
      </c>
      <c r="W1942" s="42">
        <v>0</v>
      </c>
      <c r="X1942" s="42">
        <v>0</v>
      </c>
    </row>
    <row r="1943" spans="1:24">
      <c r="A1943" s="27" t="s">
        <v>3690</v>
      </c>
      <c r="B1943" s="28" t="s">
        <v>215</v>
      </c>
      <c r="C1943" s="27" t="s">
        <v>3691</v>
      </c>
      <c r="D1943" s="27" t="s">
        <v>220</v>
      </c>
      <c r="E1943" s="29">
        <v>40079</v>
      </c>
      <c r="F1943" s="27">
        <v>15</v>
      </c>
      <c r="G1943" s="18">
        <v>35521.72</v>
      </c>
      <c r="H1943" s="27">
        <f t="shared" si="60"/>
        <v>35521.72</v>
      </c>
      <c r="I1943" s="18">
        <v>33745.629999999997</v>
      </c>
      <c r="J1943" s="27">
        <v>35521.72</v>
      </c>
      <c r="K1943" s="18">
        <f t="shared" si="61"/>
        <v>35521.72</v>
      </c>
      <c r="L1943" s="27">
        <v>33745.629999999997</v>
      </c>
      <c r="M1943" s="36">
        <v>0</v>
      </c>
      <c r="T1943" s="41">
        <v>0</v>
      </c>
      <c r="U1943" s="41">
        <v>0</v>
      </c>
      <c r="V1943" s="42" t="s">
        <v>113</v>
      </c>
      <c r="W1943" s="42">
        <v>35521.72</v>
      </c>
      <c r="X1943" s="42">
        <v>35521.72</v>
      </c>
    </row>
    <row r="1944" spans="1:24">
      <c r="A1944" s="27" t="s">
        <v>3692</v>
      </c>
      <c r="B1944" s="28" t="s">
        <v>215</v>
      </c>
      <c r="C1944" s="27" t="s">
        <v>3693</v>
      </c>
      <c r="D1944" s="27" t="s">
        <v>220</v>
      </c>
      <c r="E1944" s="29">
        <v>40083</v>
      </c>
      <c r="F1944" s="27">
        <v>15</v>
      </c>
      <c r="G1944" s="18">
        <v>18246.650000000001</v>
      </c>
      <c r="H1944" s="27">
        <f t="shared" si="60"/>
        <v>18246.650000000001</v>
      </c>
      <c r="I1944" s="18">
        <v>17334.32</v>
      </c>
      <c r="J1944" s="27">
        <v>18246.650000000001</v>
      </c>
      <c r="K1944" s="18">
        <f t="shared" si="61"/>
        <v>18246.650000000001</v>
      </c>
      <c r="L1944" s="27">
        <v>17334.32</v>
      </c>
      <c r="M1944" s="36">
        <v>0</v>
      </c>
      <c r="T1944" s="41">
        <v>0</v>
      </c>
      <c r="U1944" s="41">
        <v>0</v>
      </c>
      <c r="V1944" s="42" t="s">
        <v>113</v>
      </c>
      <c r="W1944" s="42">
        <v>18246.650000000001</v>
      </c>
      <c r="X1944" s="42">
        <v>18246.650000000001</v>
      </c>
    </row>
    <row r="1945" spans="1:24">
      <c r="A1945" s="27" t="s">
        <v>3694</v>
      </c>
      <c r="B1945" s="28" t="s">
        <v>215</v>
      </c>
      <c r="C1945" s="27" t="s">
        <v>2765</v>
      </c>
      <c r="D1945" s="27" t="s">
        <v>118</v>
      </c>
      <c r="E1945" s="29">
        <v>40170</v>
      </c>
      <c r="F1945" s="27">
        <v>15</v>
      </c>
      <c r="G1945" s="18">
        <v>41880.67</v>
      </c>
      <c r="H1945" s="27">
        <f t="shared" si="60"/>
        <v>41880.67</v>
      </c>
      <c r="I1945" s="18">
        <v>39786.639999999999</v>
      </c>
      <c r="J1945" s="27">
        <v>41880.67</v>
      </c>
      <c r="K1945" s="18">
        <f t="shared" si="61"/>
        <v>41880.67</v>
      </c>
      <c r="L1945" s="27">
        <v>39786.639999999999</v>
      </c>
      <c r="M1945" s="36">
        <v>0</v>
      </c>
      <c r="T1945" s="41">
        <v>0</v>
      </c>
      <c r="U1945" s="41">
        <v>0</v>
      </c>
      <c r="V1945" s="42" t="s">
        <v>113</v>
      </c>
      <c r="W1945" s="42">
        <v>41880.67</v>
      </c>
      <c r="X1945" s="42">
        <v>41880.67</v>
      </c>
    </row>
    <row r="1946" spans="1:24">
      <c r="A1946" s="27" t="s">
        <v>3695</v>
      </c>
      <c r="B1946" s="28" t="s">
        <v>215</v>
      </c>
      <c r="C1946" s="27" t="s">
        <v>3696</v>
      </c>
      <c r="D1946" s="27" t="s">
        <v>118</v>
      </c>
      <c r="E1946" s="29">
        <v>40170</v>
      </c>
      <c r="F1946" s="27">
        <v>15</v>
      </c>
      <c r="G1946" s="18">
        <v>6477.19</v>
      </c>
      <c r="H1946" s="27">
        <f t="shared" si="60"/>
        <v>6477.19</v>
      </c>
      <c r="I1946" s="18">
        <v>6153.33</v>
      </c>
      <c r="J1946" s="27">
        <v>6477.19</v>
      </c>
      <c r="K1946" s="18">
        <f t="shared" si="61"/>
        <v>6477.19</v>
      </c>
      <c r="L1946" s="27">
        <v>6153.33</v>
      </c>
      <c r="M1946" s="36">
        <v>0</v>
      </c>
      <c r="T1946" s="41">
        <v>0</v>
      </c>
      <c r="U1946" s="41">
        <v>0</v>
      </c>
      <c r="V1946" s="42" t="s">
        <v>113</v>
      </c>
      <c r="W1946" s="42">
        <v>6477.19</v>
      </c>
      <c r="X1946" s="42">
        <v>6477.19</v>
      </c>
    </row>
    <row r="1947" spans="1:24">
      <c r="A1947" s="27" t="s">
        <v>3697</v>
      </c>
      <c r="B1947" s="28" t="s">
        <v>215</v>
      </c>
      <c r="C1947" s="27" t="s">
        <v>2763</v>
      </c>
      <c r="D1947" s="27" t="s">
        <v>118</v>
      </c>
      <c r="E1947" s="29">
        <v>40170</v>
      </c>
      <c r="F1947" s="27">
        <v>15</v>
      </c>
      <c r="G1947" s="18">
        <v>41880.660000000003</v>
      </c>
      <c r="H1947" s="27">
        <f t="shared" si="60"/>
        <v>41880.660000000003</v>
      </c>
      <c r="I1947" s="18">
        <v>39786.629999999997</v>
      </c>
      <c r="J1947" s="27">
        <v>41880.660000000003</v>
      </c>
      <c r="K1947" s="18">
        <f t="shared" si="61"/>
        <v>41880.660000000003</v>
      </c>
      <c r="L1947" s="27">
        <v>39786.629999999997</v>
      </c>
      <c r="M1947" s="36">
        <v>0</v>
      </c>
      <c r="T1947" s="41">
        <v>0</v>
      </c>
      <c r="U1947" s="41">
        <v>0</v>
      </c>
      <c r="V1947" s="42" t="s">
        <v>113</v>
      </c>
      <c r="W1947" s="42">
        <v>41880.660000000003</v>
      </c>
      <c r="X1947" s="42">
        <v>41880.660000000003</v>
      </c>
    </row>
    <row r="1948" spans="1:24">
      <c r="A1948" s="27" t="s">
        <v>3698</v>
      </c>
      <c r="B1948" s="28" t="s">
        <v>215</v>
      </c>
      <c r="C1948" s="27" t="s">
        <v>3699</v>
      </c>
      <c r="D1948" s="27" t="s">
        <v>118</v>
      </c>
      <c r="E1948" s="29">
        <v>40083</v>
      </c>
      <c r="F1948" s="27">
        <v>15</v>
      </c>
      <c r="G1948" s="18">
        <v>75356.3</v>
      </c>
      <c r="H1948" s="27">
        <f t="shared" si="60"/>
        <v>75356.3</v>
      </c>
      <c r="I1948" s="18">
        <v>71588.479999999996</v>
      </c>
      <c r="J1948" s="27">
        <v>75356.3</v>
      </c>
      <c r="K1948" s="18">
        <f t="shared" si="61"/>
        <v>75356.3</v>
      </c>
      <c r="L1948" s="27">
        <v>71588.479999999996</v>
      </c>
      <c r="M1948" s="36">
        <v>0</v>
      </c>
      <c r="T1948" s="41">
        <v>0</v>
      </c>
      <c r="U1948" s="41">
        <v>0</v>
      </c>
      <c r="V1948" s="42" t="s">
        <v>113</v>
      </c>
      <c r="W1948" s="42">
        <v>75356.3</v>
      </c>
      <c r="X1948" s="42">
        <v>75356.3</v>
      </c>
    </row>
    <row r="1949" spans="1:24">
      <c r="A1949" s="27" t="s">
        <v>3700</v>
      </c>
      <c r="B1949" s="28" t="s">
        <v>215</v>
      </c>
      <c r="C1949" s="27" t="s">
        <v>3701</v>
      </c>
      <c r="D1949" s="27" t="s">
        <v>118</v>
      </c>
      <c r="E1949" s="29">
        <v>40170</v>
      </c>
      <c r="F1949" s="27">
        <v>15</v>
      </c>
      <c r="G1949" s="18">
        <v>6477.19</v>
      </c>
      <c r="H1949" s="27">
        <f t="shared" si="60"/>
        <v>6477.19</v>
      </c>
      <c r="I1949" s="18">
        <v>6153.33</v>
      </c>
      <c r="J1949" s="27">
        <v>6477.19</v>
      </c>
      <c r="K1949" s="18">
        <f t="shared" si="61"/>
        <v>6477.19</v>
      </c>
      <c r="L1949" s="27">
        <v>6153.33</v>
      </c>
      <c r="M1949" s="36">
        <v>0</v>
      </c>
      <c r="T1949" s="41">
        <v>0</v>
      </c>
      <c r="U1949" s="41">
        <v>0</v>
      </c>
      <c r="V1949" s="42" t="s">
        <v>113</v>
      </c>
      <c r="W1949" s="42">
        <v>6477.19</v>
      </c>
      <c r="X1949" s="42">
        <v>6477.19</v>
      </c>
    </row>
    <row r="1950" spans="1:24">
      <c r="A1950" s="27" t="s">
        <v>3702</v>
      </c>
      <c r="B1950" s="28" t="s">
        <v>215</v>
      </c>
      <c r="C1950" s="27" t="s">
        <v>3703</v>
      </c>
      <c r="D1950" s="27" t="s">
        <v>220</v>
      </c>
      <c r="E1950" s="29">
        <v>40083</v>
      </c>
      <c r="F1950" s="27">
        <v>15</v>
      </c>
      <c r="G1950" s="18">
        <v>25898</v>
      </c>
      <c r="H1950" s="27">
        <f t="shared" si="60"/>
        <v>25898</v>
      </c>
      <c r="I1950" s="18">
        <v>24603.1</v>
      </c>
      <c r="J1950" s="27">
        <v>25898</v>
      </c>
      <c r="K1950" s="18">
        <f t="shared" si="61"/>
        <v>25898</v>
      </c>
      <c r="L1950" s="27">
        <v>24603.1</v>
      </c>
      <c r="M1950" s="36">
        <v>0</v>
      </c>
      <c r="T1950" s="41">
        <v>0</v>
      </c>
      <c r="U1950" s="41">
        <v>0</v>
      </c>
      <c r="V1950" s="42" t="s">
        <v>113</v>
      </c>
      <c r="W1950" s="42">
        <v>25898</v>
      </c>
      <c r="X1950" s="42">
        <v>25898</v>
      </c>
    </row>
    <row r="1951" spans="1:24">
      <c r="A1951" s="27" t="s">
        <v>3704</v>
      </c>
      <c r="B1951" s="28" t="s">
        <v>215</v>
      </c>
      <c r="C1951" s="27" t="s">
        <v>3705</v>
      </c>
      <c r="D1951" s="27" t="s">
        <v>220</v>
      </c>
      <c r="E1951" s="29">
        <v>40083</v>
      </c>
      <c r="F1951" s="27">
        <v>15</v>
      </c>
      <c r="G1951" s="18">
        <v>91233.25</v>
      </c>
      <c r="H1951" s="27">
        <f t="shared" si="60"/>
        <v>91233.25</v>
      </c>
      <c r="I1951" s="18">
        <v>86671.59</v>
      </c>
      <c r="J1951" s="27">
        <v>91233.25</v>
      </c>
      <c r="K1951" s="18">
        <f t="shared" si="61"/>
        <v>91233.25</v>
      </c>
      <c r="L1951" s="27">
        <v>86671.59</v>
      </c>
      <c r="M1951" s="36">
        <v>0</v>
      </c>
      <c r="T1951" s="41">
        <v>0</v>
      </c>
      <c r="U1951" s="41">
        <v>0</v>
      </c>
      <c r="V1951" s="42" t="s">
        <v>113</v>
      </c>
      <c r="W1951" s="42">
        <v>91233.25</v>
      </c>
      <c r="X1951" s="42">
        <v>91233.25</v>
      </c>
    </row>
    <row r="1952" spans="1:24">
      <c r="A1952" s="27" t="s">
        <v>3706</v>
      </c>
      <c r="B1952" s="28" t="s">
        <v>215</v>
      </c>
      <c r="C1952" s="27" t="s">
        <v>3707</v>
      </c>
      <c r="D1952" s="27" t="s">
        <v>118</v>
      </c>
      <c r="E1952" s="29">
        <v>40083</v>
      </c>
      <c r="F1952" s="27">
        <v>15</v>
      </c>
      <c r="G1952" s="18">
        <v>75356.289999999994</v>
      </c>
      <c r="H1952" s="27">
        <f t="shared" si="60"/>
        <v>75356.289999999994</v>
      </c>
      <c r="I1952" s="18">
        <v>71588.479999999996</v>
      </c>
      <c r="J1952" s="27">
        <v>75356.289999999994</v>
      </c>
      <c r="K1952" s="18">
        <f t="shared" si="61"/>
        <v>75356.289999999994</v>
      </c>
      <c r="L1952" s="27">
        <v>71588.479999999996</v>
      </c>
      <c r="M1952" s="36">
        <v>0</v>
      </c>
      <c r="T1952" s="41">
        <v>0</v>
      </c>
      <c r="U1952" s="41">
        <v>0</v>
      </c>
      <c r="V1952" s="42" t="s">
        <v>113</v>
      </c>
      <c r="W1952" s="42">
        <v>75356.289999999994</v>
      </c>
      <c r="X1952" s="42">
        <v>75356.289999999994</v>
      </c>
    </row>
    <row r="1953" spans="1:24">
      <c r="A1953" s="27" t="s">
        <v>3708</v>
      </c>
      <c r="B1953" s="28" t="s">
        <v>215</v>
      </c>
      <c r="C1953" s="27" t="s">
        <v>3709</v>
      </c>
      <c r="D1953" s="27" t="s">
        <v>118</v>
      </c>
      <c r="E1953" s="29">
        <v>40171</v>
      </c>
      <c r="F1953" s="27">
        <v>12</v>
      </c>
      <c r="G1953" s="18">
        <v>2926.21</v>
      </c>
      <c r="H1953" s="27">
        <f t="shared" si="60"/>
        <v>2926.21</v>
      </c>
      <c r="I1953" s="18">
        <v>2926.21</v>
      </c>
      <c r="J1953" s="27">
        <v>2926.21</v>
      </c>
      <c r="K1953" s="18">
        <f t="shared" si="61"/>
        <v>2926.21</v>
      </c>
      <c r="L1953" s="27">
        <v>2926.21</v>
      </c>
      <c r="M1953" s="36">
        <v>0</v>
      </c>
      <c r="T1953" s="41">
        <v>0</v>
      </c>
      <c r="U1953" s="41">
        <v>0</v>
      </c>
      <c r="V1953" s="42" t="s">
        <v>113</v>
      </c>
      <c r="W1953" s="42">
        <v>2926.21</v>
      </c>
      <c r="X1953" s="42">
        <v>2926.21</v>
      </c>
    </row>
    <row r="1954" spans="1:24">
      <c r="A1954" s="27" t="s">
        <v>3710</v>
      </c>
      <c r="B1954" s="28" t="s">
        <v>215</v>
      </c>
      <c r="C1954" s="27" t="s">
        <v>3711</v>
      </c>
      <c r="D1954" s="27" t="s">
        <v>118</v>
      </c>
      <c r="E1954" s="29">
        <v>40169</v>
      </c>
      <c r="F1954" s="27">
        <v>15</v>
      </c>
      <c r="G1954" s="18">
        <v>48900.45</v>
      </c>
      <c r="H1954" s="27">
        <f t="shared" si="60"/>
        <v>48900.45</v>
      </c>
      <c r="I1954" s="18">
        <v>46455.43</v>
      </c>
      <c r="J1954" s="27">
        <v>48900.45</v>
      </c>
      <c r="K1954" s="18">
        <f t="shared" si="61"/>
        <v>48900.45</v>
      </c>
      <c r="L1954" s="27">
        <v>46455.43</v>
      </c>
      <c r="M1954" s="36">
        <v>0</v>
      </c>
      <c r="T1954" s="41">
        <v>0</v>
      </c>
      <c r="U1954" s="41">
        <v>0</v>
      </c>
      <c r="V1954" s="42" t="s">
        <v>113</v>
      </c>
      <c r="W1954" s="42">
        <v>48900.45</v>
      </c>
      <c r="X1954" s="42">
        <v>48900.45</v>
      </c>
    </row>
    <row r="1955" spans="1:24">
      <c r="A1955" s="27" t="s">
        <v>3712</v>
      </c>
      <c r="B1955" s="28" t="s">
        <v>215</v>
      </c>
      <c r="C1955" s="27" t="s">
        <v>3713</v>
      </c>
      <c r="D1955" s="27" t="s">
        <v>118</v>
      </c>
      <c r="E1955" s="29">
        <v>40169</v>
      </c>
      <c r="F1955" s="27">
        <v>15</v>
      </c>
      <c r="G1955" s="18">
        <v>72561.960000000006</v>
      </c>
      <c r="H1955" s="27">
        <f t="shared" si="60"/>
        <v>72561.960000000006</v>
      </c>
      <c r="I1955" s="18">
        <v>68933.86</v>
      </c>
      <c r="J1955" s="27">
        <v>72561.960000000006</v>
      </c>
      <c r="K1955" s="18">
        <f t="shared" si="61"/>
        <v>72561.960000000006</v>
      </c>
      <c r="L1955" s="27">
        <v>68933.86</v>
      </c>
      <c r="M1955" s="36">
        <v>0</v>
      </c>
      <c r="T1955" s="41">
        <v>0</v>
      </c>
      <c r="U1955" s="41">
        <v>0</v>
      </c>
      <c r="V1955" s="42" t="s">
        <v>113</v>
      </c>
      <c r="W1955" s="42">
        <v>72561.960000000006</v>
      </c>
      <c r="X1955" s="42">
        <v>72561.960000000006</v>
      </c>
    </row>
    <row r="1956" spans="1:24">
      <c r="A1956" s="27" t="s">
        <v>3714</v>
      </c>
      <c r="B1956" s="28" t="s">
        <v>215</v>
      </c>
      <c r="C1956" s="27" t="s">
        <v>3715</v>
      </c>
      <c r="D1956" s="27" t="s">
        <v>118</v>
      </c>
      <c r="E1956" s="29">
        <v>40170</v>
      </c>
      <c r="F1956" s="27">
        <v>15</v>
      </c>
      <c r="G1956" s="18">
        <v>6477.2</v>
      </c>
      <c r="H1956" s="27">
        <f t="shared" si="60"/>
        <v>6477.2</v>
      </c>
      <c r="I1956" s="18">
        <v>6153.34</v>
      </c>
      <c r="J1956" s="27">
        <v>6477.2</v>
      </c>
      <c r="K1956" s="18">
        <f t="shared" si="61"/>
        <v>6477.2</v>
      </c>
      <c r="L1956" s="27">
        <v>6153.34</v>
      </c>
      <c r="M1956" s="36">
        <v>0</v>
      </c>
      <c r="T1956" s="41">
        <v>0</v>
      </c>
      <c r="U1956" s="41">
        <v>0</v>
      </c>
      <c r="V1956" s="42" t="s">
        <v>113</v>
      </c>
      <c r="W1956" s="42">
        <v>6477.2</v>
      </c>
      <c r="X1956" s="42">
        <v>6477.2</v>
      </c>
    </row>
    <row r="1957" spans="1:24">
      <c r="A1957" s="27" t="s">
        <v>3716</v>
      </c>
      <c r="B1957" s="28" t="s">
        <v>215</v>
      </c>
      <c r="C1957" s="27" t="s">
        <v>3717</v>
      </c>
      <c r="D1957" s="27" t="s">
        <v>118</v>
      </c>
      <c r="E1957" s="29">
        <v>40169</v>
      </c>
      <c r="F1957" s="27">
        <v>15</v>
      </c>
      <c r="G1957" s="18">
        <v>48900.45</v>
      </c>
      <c r="H1957" s="27">
        <f t="shared" si="60"/>
        <v>48900.45</v>
      </c>
      <c r="I1957" s="18">
        <v>46455.43</v>
      </c>
      <c r="J1957" s="27">
        <v>48900.45</v>
      </c>
      <c r="K1957" s="18">
        <f t="shared" si="61"/>
        <v>48900.45</v>
      </c>
      <c r="L1957" s="27">
        <v>46455.43</v>
      </c>
      <c r="M1957" s="36">
        <v>0</v>
      </c>
      <c r="T1957" s="41">
        <v>0</v>
      </c>
      <c r="U1957" s="41">
        <v>0</v>
      </c>
      <c r="V1957" s="42" t="s">
        <v>113</v>
      </c>
      <c r="W1957" s="42">
        <v>48900.45</v>
      </c>
      <c r="X1957" s="42">
        <v>48900.45</v>
      </c>
    </row>
    <row r="1958" spans="1:24">
      <c r="A1958" s="27" t="s">
        <v>3718</v>
      </c>
      <c r="B1958" s="28" t="s">
        <v>215</v>
      </c>
      <c r="C1958" s="27" t="s">
        <v>3719</v>
      </c>
      <c r="D1958" s="27" t="s">
        <v>118</v>
      </c>
      <c r="E1958" s="29">
        <v>40169</v>
      </c>
      <c r="F1958" s="27">
        <v>15</v>
      </c>
      <c r="G1958" s="18">
        <v>48900.44</v>
      </c>
      <c r="H1958" s="27">
        <f t="shared" si="60"/>
        <v>48900.44</v>
      </c>
      <c r="I1958" s="18">
        <v>46455.42</v>
      </c>
      <c r="J1958" s="27">
        <v>48900.44</v>
      </c>
      <c r="K1958" s="18">
        <f t="shared" si="61"/>
        <v>48900.44</v>
      </c>
      <c r="L1958" s="27">
        <v>46455.42</v>
      </c>
      <c r="M1958" s="36">
        <v>0</v>
      </c>
      <c r="T1958" s="41">
        <v>0</v>
      </c>
      <c r="U1958" s="41">
        <v>0</v>
      </c>
      <c r="V1958" s="42" t="s">
        <v>113</v>
      </c>
      <c r="W1958" s="42">
        <v>48900.44</v>
      </c>
      <c r="X1958" s="42">
        <v>48900.44</v>
      </c>
    </row>
    <row r="1959" spans="1:24">
      <c r="A1959" s="27" t="s">
        <v>3720</v>
      </c>
      <c r="B1959" s="28" t="s">
        <v>215</v>
      </c>
      <c r="C1959" s="27" t="s">
        <v>3721</v>
      </c>
      <c r="D1959" s="27" t="s">
        <v>220</v>
      </c>
      <c r="E1959" s="29">
        <v>40179</v>
      </c>
      <c r="F1959" s="27">
        <v>15</v>
      </c>
      <c r="G1959" s="18">
        <v>52938.239999999998</v>
      </c>
      <c r="H1959" s="27">
        <f t="shared" si="60"/>
        <v>52938.239999999998</v>
      </c>
      <c r="I1959" s="18">
        <v>50291.33</v>
      </c>
      <c r="J1959" s="27">
        <v>52938.239999999998</v>
      </c>
      <c r="K1959" s="18">
        <f t="shared" si="61"/>
        <v>52938.239999999998</v>
      </c>
      <c r="L1959" s="27">
        <v>50291.33</v>
      </c>
      <c r="M1959" s="36">
        <v>0</v>
      </c>
      <c r="T1959" s="41">
        <v>0</v>
      </c>
      <c r="U1959" s="41">
        <v>0</v>
      </c>
      <c r="V1959" s="42" t="s">
        <v>113</v>
      </c>
      <c r="W1959" s="42">
        <v>52938.239999999998</v>
      </c>
      <c r="X1959" s="42">
        <v>52938.239999999998</v>
      </c>
    </row>
    <row r="1960" spans="1:24">
      <c r="A1960" s="27" t="s">
        <v>3722</v>
      </c>
      <c r="B1960" s="28" t="s">
        <v>215</v>
      </c>
      <c r="C1960" s="27" t="s">
        <v>3723</v>
      </c>
      <c r="D1960" s="27" t="s">
        <v>220</v>
      </c>
      <c r="E1960" s="29">
        <v>40079</v>
      </c>
      <c r="F1960" s="27">
        <v>15</v>
      </c>
      <c r="G1960" s="18">
        <v>35521.72</v>
      </c>
      <c r="H1960" s="27">
        <f t="shared" si="60"/>
        <v>35521.72</v>
      </c>
      <c r="I1960" s="18">
        <v>33745.629999999997</v>
      </c>
      <c r="J1960" s="27">
        <v>35521.72</v>
      </c>
      <c r="K1960" s="18">
        <f t="shared" si="61"/>
        <v>35521.72</v>
      </c>
      <c r="L1960" s="27">
        <v>33745.629999999997</v>
      </c>
      <c r="M1960" s="36">
        <v>0</v>
      </c>
      <c r="T1960" s="41">
        <v>0</v>
      </c>
      <c r="U1960" s="41">
        <v>0</v>
      </c>
      <c r="V1960" s="42" t="s">
        <v>113</v>
      </c>
      <c r="W1960" s="42">
        <v>35521.72</v>
      </c>
      <c r="X1960" s="42">
        <v>35521.72</v>
      </c>
    </row>
    <row r="1961" spans="1:24">
      <c r="A1961" s="27" t="s">
        <v>3724</v>
      </c>
      <c r="B1961" s="28" t="s">
        <v>215</v>
      </c>
      <c r="C1961" s="27" t="s">
        <v>3725</v>
      </c>
      <c r="D1961" s="27" t="s">
        <v>220</v>
      </c>
      <c r="E1961" s="29">
        <v>40079</v>
      </c>
      <c r="F1961" s="27">
        <v>15</v>
      </c>
      <c r="G1961" s="18">
        <v>35521.72</v>
      </c>
      <c r="H1961" s="27">
        <f t="shared" si="60"/>
        <v>35521.72</v>
      </c>
      <c r="I1961" s="18">
        <v>33745.629999999997</v>
      </c>
      <c r="J1961" s="27">
        <v>35521.72</v>
      </c>
      <c r="K1961" s="18">
        <f t="shared" si="61"/>
        <v>35521.72</v>
      </c>
      <c r="L1961" s="27">
        <v>33745.629999999997</v>
      </c>
      <c r="M1961" s="36">
        <v>0</v>
      </c>
      <c r="T1961" s="41">
        <v>0</v>
      </c>
      <c r="U1961" s="41">
        <v>0</v>
      </c>
      <c r="V1961" s="42" t="s">
        <v>113</v>
      </c>
      <c r="W1961" s="42">
        <v>35521.72</v>
      </c>
      <c r="X1961" s="42">
        <v>35521.72</v>
      </c>
    </row>
    <row r="1962" spans="1:24">
      <c r="A1962" s="27" t="s">
        <v>3726</v>
      </c>
      <c r="B1962" s="28" t="s">
        <v>215</v>
      </c>
      <c r="C1962" s="27" t="s">
        <v>3727</v>
      </c>
      <c r="D1962" s="27" t="s">
        <v>220</v>
      </c>
      <c r="E1962" s="29">
        <v>40079</v>
      </c>
      <c r="F1962" s="27">
        <v>15</v>
      </c>
      <c r="G1962" s="18">
        <v>35521.72</v>
      </c>
      <c r="H1962" s="27">
        <f t="shared" si="60"/>
        <v>35521.72</v>
      </c>
      <c r="I1962" s="18">
        <v>33745.629999999997</v>
      </c>
      <c r="J1962" s="27">
        <v>35521.72</v>
      </c>
      <c r="K1962" s="18">
        <f t="shared" si="61"/>
        <v>35521.72</v>
      </c>
      <c r="L1962" s="27">
        <v>33745.629999999997</v>
      </c>
      <c r="M1962" s="36">
        <v>0</v>
      </c>
      <c r="T1962" s="41">
        <v>0</v>
      </c>
      <c r="U1962" s="41">
        <v>0</v>
      </c>
      <c r="V1962" s="42" t="s">
        <v>113</v>
      </c>
      <c r="W1962" s="42">
        <v>35521.72</v>
      </c>
      <c r="X1962" s="42">
        <v>35521.72</v>
      </c>
    </row>
    <row r="1963" spans="1:24">
      <c r="A1963" s="27" t="s">
        <v>3728</v>
      </c>
      <c r="B1963" s="28" t="s">
        <v>215</v>
      </c>
      <c r="C1963" s="27" t="s">
        <v>3729</v>
      </c>
      <c r="D1963" s="27" t="s">
        <v>220</v>
      </c>
      <c r="E1963" s="29">
        <v>40081</v>
      </c>
      <c r="F1963" s="27">
        <v>15</v>
      </c>
      <c r="G1963" s="18">
        <v>22275</v>
      </c>
      <c r="H1963" s="27">
        <f t="shared" si="60"/>
        <v>22275</v>
      </c>
      <c r="I1963" s="18">
        <v>21161.25</v>
      </c>
      <c r="J1963" s="27">
        <v>22275</v>
      </c>
      <c r="K1963" s="18">
        <f t="shared" si="61"/>
        <v>22275</v>
      </c>
      <c r="L1963" s="27">
        <v>21161.25</v>
      </c>
      <c r="M1963" s="36">
        <v>0</v>
      </c>
      <c r="T1963" s="41">
        <v>0</v>
      </c>
      <c r="U1963" s="41">
        <v>0</v>
      </c>
      <c r="V1963" s="42" t="s">
        <v>113</v>
      </c>
      <c r="W1963" s="42">
        <v>22275</v>
      </c>
      <c r="X1963" s="42">
        <v>22275</v>
      </c>
    </row>
    <row r="1964" spans="1:24">
      <c r="A1964" s="27" t="s">
        <v>3730</v>
      </c>
      <c r="B1964" s="28" t="s">
        <v>215</v>
      </c>
      <c r="C1964" s="27" t="s">
        <v>3731</v>
      </c>
      <c r="D1964" s="27" t="s">
        <v>220</v>
      </c>
      <c r="E1964" s="29">
        <v>40081</v>
      </c>
      <c r="F1964" s="27">
        <v>15</v>
      </c>
      <c r="G1964" s="18">
        <v>22276</v>
      </c>
      <c r="H1964" s="27">
        <f t="shared" si="60"/>
        <v>22276</v>
      </c>
      <c r="I1964" s="18">
        <v>21162.2</v>
      </c>
      <c r="J1964" s="27">
        <v>22276</v>
      </c>
      <c r="K1964" s="18">
        <f t="shared" si="61"/>
        <v>22276</v>
      </c>
      <c r="L1964" s="27">
        <v>21162.2</v>
      </c>
      <c r="M1964" s="36">
        <v>0</v>
      </c>
      <c r="T1964" s="41">
        <v>0</v>
      </c>
      <c r="U1964" s="41">
        <v>0</v>
      </c>
      <c r="V1964" s="42" t="s">
        <v>113</v>
      </c>
      <c r="W1964" s="42">
        <v>22276</v>
      </c>
      <c r="X1964" s="42">
        <v>22276</v>
      </c>
    </row>
    <row r="1965" spans="1:24">
      <c r="A1965" s="27" t="s">
        <v>3732</v>
      </c>
      <c r="B1965" s="28" t="s">
        <v>215</v>
      </c>
      <c r="C1965" s="27" t="s">
        <v>3733</v>
      </c>
      <c r="D1965" s="27" t="s">
        <v>220</v>
      </c>
      <c r="E1965" s="29">
        <v>40081</v>
      </c>
      <c r="F1965" s="27">
        <v>15</v>
      </c>
      <c r="G1965" s="18">
        <v>22277</v>
      </c>
      <c r="H1965" s="27">
        <f t="shared" si="60"/>
        <v>22277</v>
      </c>
      <c r="I1965" s="18">
        <v>21163.15</v>
      </c>
      <c r="J1965" s="27">
        <v>22277</v>
      </c>
      <c r="K1965" s="18">
        <f t="shared" si="61"/>
        <v>22277</v>
      </c>
      <c r="L1965" s="27">
        <v>21163.15</v>
      </c>
      <c r="M1965" s="36">
        <v>0</v>
      </c>
      <c r="T1965" s="41">
        <v>0</v>
      </c>
      <c r="U1965" s="41">
        <v>0</v>
      </c>
      <c r="V1965" s="42" t="s">
        <v>113</v>
      </c>
      <c r="W1965" s="42">
        <v>22277</v>
      </c>
      <c r="X1965" s="42">
        <v>22277</v>
      </c>
    </row>
    <row r="1966" spans="1:24">
      <c r="A1966" s="27" t="s">
        <v>3734</v>
      </c>
      <c r="B1966" s="28" t="s">
        <v>215</v>
      </c>
      <c r="C1966" s="27" t="s">
        <v>3735</v>
      </c>
      <c r="D1966" s="27" t="s">
        <v>220</v>
      </c>
      <c r="E1966" s="29">
        <v>40083</v>
      </c>
      <c r="F1966" s="27">
        <v>15</v>
      </c>
      <c r="G1966" s="18">
        <v>25898</v>
      </c>
      <c r="H1966" s="27">
        <f t="shared" si="60"/>
        <v>25898</v>
      </c>
      <c r="I1966" s="18">
        <v>24603.1</v>
      </c>
      <c r="J1966" s="27">
        <v>25898</v>
      </c>
      <c r="K1966" s="18">
        <f t="shared" si="61"/>
        <v>25898</v>
      </c>
      <c r="L1966" s="27">
        <v>24603.1</v>
      </c>
      <c r="M1966" s="36">
        <v>0</v>
      </c>
      <c r="T1966" s="41">
        <v>0</v>
      </c>
      <c r="U1966" s="41">
        <v>0</v>
      </c>
      <c r="V1966" s="42" t="s">
        <v>113</v>
      </c>
      <c r="W1966" s="42">
        <v>25898</v>
      </c>
      <c r="X1966" s="42">
        <v>25898</v>
      </c>
    </row>
    <row r="1967" spans="1:24">
      <c r="A1967" s="27" t="s">
        <v>3736</v>
      </c>
      <c r="B1967" s="28" t="s">
        <v>215</v>
      </c>
      <c r="C1967" s="27" t="s">
        <v>3737</v>
      </c>
      <c r="D1967" s="27" t="s">
        <v>220</v>
      </c>
      <c r="E1967" s="29">
        <v>40083</v>
      </c>
      <c r="F1967" s="27">
        <v>15</v>
      </c>
      <c r="G1967" s="18">
        <v>25898</v>
      </c>
      <c r="H1967" s="27">
        <f t="shared" si="60"/>
        <v>25898</v>
      </c>
      <c r="I1967" s="18">
        <v>24603.1</v>
      </c>
      <c r="J1967" s="27">
        <v>25898</v>
      </c>
      <c r="K1967" s="18">
        <f t="shared" si="61"/>
        <v>25898</v>
      </c>
      <c r="L1967" s="27">
        <v>24603.1</v>
      </c>
      <c r="M1967" s="36">
        <v>0</v>
      </c>
      <c r="T1967" s="41">
        <v>0</v>
      </c>
      <c r="U1967" s="41">
        <v>0</v>
      </c>
      <c r="V1967" s="42" t="s">
        <v>113</v>
      </c>
      <c r="W1967" s="42">
        <v>25898</v>
      </c>
      <c r="X1967" s="42">
        <v>25898</v>
      </c>
    </row>
    <row r="1968" spans="1:24">
      <c r="A1968" s="27" t="s">
        <v>3738</v>
      </c>
      <c r="B1968" s="28" t="s">
        <v>215</v>
      </c>
      <c r="C1968" s="27" t="s">
        <v>3739</v>
      </c>
      <c r="D1968" s="27" t="s">
        <v>220</v>
      </c>
      <c r="E1968" s="29">
        <v>40083</v>
      </c>
      <c r="F1968" s="27">
        <v>15</v>
      </c>
      <c r="G1968" s="18">
        <v>25898</v>
      </c>
      <c r="H1968" s="27">
        <f t="shared" si="60"/>
        <v>25898</v>
      </c>
      <c r="I1968" s="18">
        <v>24603.1</v>
      </c>
      <c r="J1968" s="27">
        <v>25898</v>
      </c>
      <c r="K1968" s="18">
        <f t="shared" si="61"/>
        <v>25898</v>
      </c>
      <c r="L1968" s="27">
        <v>24603.1</v>
      </c>
      <c r="M1968" s="36">
        <v>0</v>
      </c>
      <c r="T1968" s="41">
        <v>0</v>
      </c>
      <c r="U1968" s="41">
        <v>0</v>
      </c>
      <c r="V1968" s="42" t="s">
        <v>113</v>
      </c>
      <c r="W1968" s="42">
        <v>25898</v>
      </c>
      <c r="X1968" s="42">
        <v>25898</v>
      </c>
    </row>
    <row r="1969" spans="1:24">
      <c r="A1969" s="27" t="s">
        <v>3740</v>
      </c>
      <c r="B1969" s="28" t="s">
        <v>215</v>
      </c>
      <c r="C1969" s="27" t="s">
        <v>3741</v>
      </c>
      <c r="D1969" s="27" t="s">
        <v>112</v>
      </c>
      <c r="E1969" s="29">
        <v>42342</v>
      </c>
      <c r="F1969" s="27">
        <v>15</v>
      </c>
      <c r="G1969" s="18">
        <v>204795.28</v>
      </c>
      <c r="H1969" s="27">
        <f t="shared" si="60"/>
        <v>0</v>
      </c>
      <c r="I1969" s="18">
        <v>44897.43</v>
      </c>
      <c r="J1969" s="27">
        <v>204795.28</v>
      </c>
      <c r="K1969" s="18">
        <f t="shared" si="61"/>
        <v>0</v>
      </c>
      <c r="L1969" s="27">
        <v>57368.94</v>
      </c>
      <c r="M1969" s="36">
        <v>12471.51</v>
      </c>
      <c r="T1969" s="41">
        <v>0</v>
      </c>
      <c r="U1969" s="41">
        <v>0</v>
      </c>
      <c r="V1969" s="42" t="s">
        <v>113</v>
      </c>
      <c r="W1969" s="42">
        <v>0</v>
      </c>
      <c r="X1969" s="42">
        <v>0</v>
      </c>
    </row>
    <row r="1970" spans="1:24">
      <c r="A1970" s="27" t="s">
        <v>3742</v>
      </c>
      <c r="B1970" s="28" t="s">
        <v>215</v>
      </c>
      <c r="C1970" s="27" t="s">
        <v>3743</v>
      </c>
      <c r="D1970" s="27" t="s">
        <v>112</v>
      </c>
      <c r="E1970" s="29">
        <v>42342</v>
      </c>
      <c r="F1970" s="27">
        <v>15</v>
      </c>
      <c r="G1970" s="18">
        <v>204795.28</v>
      </c>
      <c r="H1970" s="27">
        <f t="shared" si="60"/>
        <v>0</v>
      </c>
      <c r="I1970" s="18">
        <v>44897.43</v>
      </c>
      <c r="J1970" s="27">
        <v>204795.28</v>
      </c>
      <c r="K1970" s="18">
        <f t="shared" si="61"/>
        <v>0</v>
      </c>
      <c r="L1970" s="27">
        <v>57368.94</v>
      </c>
      <c r="M1970" s="36">
        <v>12471.51</v>
      </c>
      <c r="T1970" s="41">
        <v>0</v>
      </c>
      <c r="U1970" s="41">
        <v>0</v>
      </c>
      <c r="V1970" s="42" t="s">
        <v>113</v>
      </c>
      <c r="W1970" s="42">
        <v>0</v>
      </c>
      <c r="X1970" s="42">
        <v>0</v>
      </c>
    </row>
    <row r="1971" spans="1:24">
      <c r="A1971" s="27" t="s">
        <v>3744</v>
      </c>
      <c r="B1971" s="28" t="s">
        <v>215</v>
      </c>
      <c r="C1971" s="27" t="s">
        <v>3745</v>
      </c>
      <c r="D1971" s="27" t="s">
        <v>112</v>
      </c>
      <c r="E1971" s="29">
        <v>42342</v>
      </c>
      <c r="F1971" s="27">
        <v>15</v>
      </c>
      <c r="G1971" s="18">
        <v>204795.28</v>
      </c>
      <c r="H1971" s="27">
        <f t="shared" si="60"/>
        <v>0</v>
      </c>
      <c r="I1971" s="18">
        <v>44897.43</v>
      </c>
      <c r="J1971" s="27">
        <v>204795.28</v>
      </c>
      <c r="K1971" s="18">
        <f t="shared" si="61"/>
        <v>0</v>
      </c>
      <c r="L1971" s="27">
        <v>57368.94</v>
      </c>
      <c r="M1971" s="36">
        <v>12471.51</v>
      </c>
      <c r="T1971" s="41">
        <v>0</v>
      </c>
      <c r="U1971" s="41">
        <v>0</v>
      </c>
      <c r="V1971" s="42" t="s">
        <v>113</v>
      </c>
      <c r="W1971" s="42">
        <v>0</v>
      </c>
      <c r="X1971" s="42">
        <v>0</v>
      </c>
    </row>
    <row r="1972" spans="1:24">
      <c r="A1972" s="27" t="s">
        <v>3746</v>
      </c>
      <c r="B1972" s="28" t="s">
        <v>215</v>
      </c>
      <c r="C1972" s="27" t="s">
        <v>2544</v>
      </c>
      <c r="D1972" s="27" t="s">
        <v>112</v>
      </c>
      <c r="E1972" s="29">
        <v>42342</v>
      </c>
      <c r="F1972" s="27">
        <v>15</v>
      </c>
      <c r="G1972" s="18">
        <v>204795.28</v>
      </c>
      <c r="H1972" s="27">
        <f t="shared" si="60"/>
        <v>0</v>
      </c>
      <c r="I1972" s="18">
        <v>44897.43</v>
      </c>
      <c r="J1972" s="27">
        <v>204795.28</v>
      </c>
      <c r="K1972" s="18">
        <f t="shared" si="61"/>
        <v>0</v>
      </c>
      <c r="L1972" s="27">
        <v>57368.94</v>
      </c>
      <c r="M1972" s="36">
        <v>12471.51</v>
      </c>
      <c r="T1972" s="41">
        <v>0</v>
      </c>
      <c r="U1972" s="41">
        <v>0</v>
      </c>
      <c r="V1972" s="42" t="s">
        <v>113</v>
      </c>
      <c r="W1972" s="42">
        <v>0</v>
      </c>
      <c r="X1972" s="42">
        <v>0</v>
      </c>
    </row>
    <row r="1973" spans="1:24">
      <c r="A1973" s="27" t="s">
        <v>3747</v>
      </c>
      <c r="B1973" s="28" t="s">
        <v>215</v>
      </c>
      <c r="C1973" s="27" t="s">
        <v>3748</v>
      </c>
      <c r="D1973" s="27" t="s">
        <v>112</v>
      </c>
      <c r="E1973" s="29">
        <v>42342</v>
      </c>
      <c r="F1973" s="27">
        <v>15</v>
      </c>
      <c r="G1973" s="18">
        <v>204795.28</v>
      </c>
      <c r="H1973" s="27">
        <f t="shared" si="60"/>
        <v>0</v>
      </c>
      <c r="I1973" s="18">
        <v>44897.43</v>
      </c>
      <c r="J1973" s="27">
        <v>204795.28</v>
      </c>
      <c r="K1973" s="18">
        <f t="shared" si="61"/>
        <v>0</v>
      </c>
      <c r="L1973" s="27">
        <v>57368.94</v>
      </c>
      <c r="M1973" s="36">
        <v>12471.51</v>
      </c>
      <c r="T1973" s="41">
        <v>0</v>
      </c>
      <c r="U1973" s="41">
        <v>0</v>
      </c>
      <c r="V1973" s="42" t="s">
        <v>113</v>
      </c>
      <c r="W1973" s="42">
        <v>0</v>
      </c>
      <c r="X1973" s="42">
        <v>0</v>
      </c>
    </row>
    <row r="1974" spans="1:24">
      <c r="A1974" s="27" t="s">
        <v>3749</v>
      </c>
      <c r="B1974" s="28" t="s">
        <v>215</v>
      </c>
      <c r="C1974" s="27" t="s">
        <v>3750</v>
      </c>
      <c r="D1974" s="27" t="s">
        <v>112</v>
      </c>
      <c r="E1974" s="29">
        <v>42342</v>
      </c>
      <c r="F1974" s="27">
        <v>15</v>
      </c>
      <c r="G1974" s="18">
        <v>204795.28</v>
      </c>
      <c r="H1974" s="27">
        <f t="shared" si="60"/>
        <v>0</v>
      </c>
      <c r="I1974" s="18">
        <v>44897.43</v>
      </c>
      <c r="J1974" s="27">
        <v>204795.28</v>
      </c>
      <c r="K1974" s="18">
        <f t="shared" si="61"/>
        <v>0</v>
      </c>
      <c r="L1974" s="27">
        <v>57368.94</v>
      </c>
      <c r="M1974" s="36">
        <v>12471.51</v>
      </c>
      <c r="T1974" s="41">
        <v>0</v>
      </c>
      <c r="U1974" s="41">
        <v>0</v>
      </c>
      <c r="V1974" s="42" t="s">
        <v>113</v>
      </c>
      <c r="W1974" s="42">
        <v>0</v>
      </c>
      <c r="X1974" s="42">
        <v>0</v>
      </c>
    </row>
    <row r="1975" spans="1:24">
      <c r="A1975" s="27" t="s">
        <v>3751</v>
      </c>
      <c r="B1975" s="28" t="s">
        <v>215</v>
      </c>
      <c r="C1975" s="27" t="s">
        <v>3752</v>
      </c>
      <c r="D1975" s="27" t="s">
        <v>112</v>
      </c>
      <c r="E1975" s="29">
        <v>42342</v>
      </c>
      <c r="F1975" s="27">
        <v>15</v>
      </c>
      <c r="G1975" s="18">
        <v>204795.28</v>
      </c>
      <c r="H1975" s="27">
        <f t="shared" si="60"/>
        <v>0</v>
      </c>
      <c r="I1975" s="18">
        <v>44897.440000000002</v>
      </c>
      <c r="J1975" s="27">
        <v>204795.28</v>
      </c>
      <c r="K1975" s="18">
        <f t="shared" si="61"/>
        <v>0</v>
      </c>
      <c r="L1975" s="27">
        <v>57368.95</v>
      </c>
      <c r="M1975" s="36">
        <v>12471.51</v>
      </c>
      <c r="T1975" s="41">
        <v>0</v>
      </c>
      <c r="U1975" s="41">
        <v>0</v>
      </c>
      <c r="V1975" s="42" t="s">
        <v>113</v>
      </c>
      <c r="W1975" s="42">
        <v>0</v>
      </c>
      <c r="X1975" s="42">
        <v>0</v>
      </c>
    </row>
    <row r="1976" spans="1:24">
      <c r="A1976" s="27" t="s">
        <v>3753</v>
      </c>
      <c r="B1976" s="28" t="s">
        <v>215</v>
      </c>
      <c r="C1976" s="27" t="s">
        <v>1013</v>
      </c>
      <c r="D1976" s="27" t="s">
        <v>112</v>
      </c>
      <c r="E1976" s="29">
        <v>42342</v>
      </c>
      <c r="F1976" s="27">
        <v>15</v>
      </c>
      <c r="G1976" s="18">
        <v>204795.28</v>
      </c>
      <c r="H1976" s="27">
        <f t="shared" si="60"/>
        <v>0</v>
      </c>
      <c r="I1976" s="18">
        <v>44897.43</v>
      </c>
      <c r="J1976" s="27">
        <v>204795.28</v>
      </c>
      <c r="K1976" s="18">
        <f t="shared" si="61"/>
        <v>0</v>
      </c>
      <c r="L1976" s="27">
        <v>57368.94</v>
      </c>
      <c r="M1976" s="36">
        <v>12471.51</v>
      </c>
      <c r="T1976" s="41">
        <v>0</v>
      </c>
      <c r="U1976" s="41">
        <v>0</v>
      </c>
      <c r="V1976" s="42" t="s">
        <v>113</v>
      </c>
      <c r="W1976" s="42">
        <v>0</v>
      </c>
      <c r="X1976" s="42">
        <v>0</v>
      </c>
    </row>
    <row r="1977" spans="1:24">
      <c r="A1977" s="27" t="s">
        <v>3754</v>
      </c>
      <c r="B1977" s="28" t="s">
        <v>215</v>
      </c>
      <c r="C1977" s="27" t="s">
        <v>3755</v>
      </c>
      <c r="D1977" s="27" t="s">
        <v>112</v>
      </c>
      <c r="E1977" s="29">
        <v>42342</v>
      </c>
      <c r="F1977" s="27">
        <v>15</v>
      </c>
      <c r="G1977" s="18">
        <v>204795.28</v>
      </c>
      <c r="H1977" s="27">
        <f t="shared" si="60"/>
        <v>0</v>
      </c>
      <c r="I1977" s="18">
        <v>44897.43</v>
      </c>
      <c r="J1977" s="27">
        <v>204795.28</v>
      </c>
      <c r="K1977" s="18">
        <f t="shared" si="61"/>
        <v>0</v>
      </c>
      <c r="L1977" s="27">
        <v>57368.94</v>
      </c>
      <c r="M1977" s="36">
        <v>12471.51</v>
      </c>
      <c r="T1977" s="41">
        <v>0</v>
      </c>
      <c r="U1977" s="41">
        <v>0</v>
      </c>
      <c r="V1977" s="42" t="s">
        <v>113</v>
      </c>
      <c r="W1977" s="42">
        <v>0</v>
      </c>
      <c r="X1977" s="42">
        <v>0</v>
      </c>
    </row>
    <row r="1978" spans="1:24">
      <c r="A1978" s="27" t="s">
        <v>3756</v>
      </c>
      <c r="B1978" s="28" t="s">
        <v>215</v>
      </c>
      <c r="C1978" s="27" t="s">
        <v>3757</v>
      </c>
      <c r="D1978" s="27" t="s">
        <v>112</v>
      </c>
      <c r="E1978" s="29">
        <v>42342</v>
      </c>
      <c r="F1978" s="27">
        <v>15</v>
      </c>
      <c r="G1978" s="18">
        <v>204795.28</v>
      </c>
      <c r="H1978" s="27">
        <f t="shared" si="60"/>
        <v>0</v>
      </c>
      <c r="I1978" s="18">
        <v>44897.43</v>
      </c>
      <c r="J1978" s="27">
        <v>204795.28</v>
      </c>
      <c r="K1978" s="18">
        <f t="shared" si="61"/>
        <v>0</v>
      </c>
      <c r="L1978" s="27">
        <v>57368.94</v>
      </c>
      <c r="M1978" s="36">
        <v>12471.51</v>
      </c>
      <c r="T1978" s="41">
        <v>0</v>
      </c>
      <c r="U1978" s="41">
        <v>0</v>
      </c>
      <c r="V1978" s="42" t="s">
        <v>113</v>
      </c>
      <c r="W1978" s="42">
        <v>0</v>
      </c>
      <c r="X1978" s="42">
        <v>0</v>
      </c>
    </row>
    <row r="1979" spans="1:24">
      <c r="A1979" s="27" t="s">
        <v>3758</v>
      </c>
      <c r="B1979" s="28" t="s">
        <v>215</v>
      </c>
      <c r="C1979" s="27" t="s">
        <v>1198</v>
      </c>
      <c r="D1979" s="27" t="s">
        <v>230</v>
      </c>
      <c r="E1979" s="29">
        <v>41272</v>
      </c>
      <c r="F1979" s="27">
        <v>15</v>
      </c>
      <c r="G1979" s="18">
        <v>2103.04</v>
      </c>
      <c r="H1979" s="27">
        <f t="shared" si="60"/>
        <v>2103.04</v>
      </c>
      <c r="I1979" s="18">
        <v>2103.04</v>
      </c>
      <c r="J1979" s="27">
        <v>2103.04</v>
      </c>
      <c r="K1979" s="18">
        <f t="shared" si="61"/>
        <v>2103.04</v>
      </c>
      <c r="L1979" s="27">
        <v>2103.04</v>
      </c>
      <c r="M1979" s="36">
        <v>0</v>
      </c>
      <c r="T1979" s="41">
        <v>0</v>
      </c>
      <c r="U1979" s="41">
        <v>0</v>
      </c>
      <c r="V1979" s="42" t="s">
        <v>113</v>
      </c>
      <c r="W1979" s="42">
        <v>2103.04</v>
      </c>
      <c r="X1979" s="42">
        <v>2103.04</v>
      </c>
    </row>
    <row r="1980" spans="1:24">
      <c r="A1980" s="27" t="s">
        <v>3759</v>
      </c>
      <c r="B1980" s="28" t="s">
        <v>215</v>
      </c>
      <c r="C1980" s="27" t="s">
        <v>3760</v>
      </c>
      <c r="D1980" s="27" t="s">
        <v>230</v>
      </c>
      <c r="E1980" s="29">
        <v>39048</v>
      </c>
      <c r="F1980" s="27">
        <v>12</v>
      </c>
      <c r="G1980" s="18">
        <v>183.4</v>
      </c>
      <c r="H1980" s="27">
        <f t="shared" si="60"/>
        <v>183.4</v>
      </c>
      <c r="I1980" s="18">
        <v>183.4</v>
      </c>
      <c r="J1980" s="27">
        <v>183.4</v>
      </c>
      <c r="K1980" s="18">
        <f t="shared" si="61"/>
        <v>183.4</v>
      </c>
      <c r="L1980" s="27">
        <v>183.4</v>
      </c>
      <c r="M1980" s="36">
        <v>0</v>
      </c>
      <c r="T1980" s="41">
        <v>0</v>
      </c>
      <c r="U1980" s="41">
        <v>0</v>
      </c>
      <c r="V1980" s="42" t="s">
        <v>113</v>
      </c>
      <c r="W1980" s="42">
        <v>183.4</v>
      </c>
      <c r="X1980" s="42">
        <v>183.4</v>
      </c>
    </row>
    <row r="1981" spans="1:24">
      <c r="A1981" s="27" t="s">
        <v>3761</v>
      </c>
      <c r="B1981" s="28" t="s">
        <v>215</v>
      </c>
      <c r="C1981" s="27" t="s">
        <v>3762</v>
      </c>
      <c r="D1981" s="27" t="s">
        <v>230</v>
      </c>
      <c r="E1981" s="29">
        <v>39048</v>
      </c>
      <c r="F1981" s="27">
        <v>12</v>
      </c>
      <c r="G1981" s="18">
        <v>183.4</v>
      </c>
      <c r="H1981" s="27">
        <f t="shared" si="60"/>
        <v>183.4</v>
      </c>
      <c r="I1981" s="18">
        <v>183.4</v>
      </c>
      <c r="J1981" s="27">
        <v>183.4</v>
      </c>
      <c r="K1981" s="18">
        <f t="shared" si="61"/>
        <v>183.4</v>
      </c>
      <c r="L1981" s="27">
        <v>183.4</v>
      </c>
      <c r="M1981" s="36">
        <v>0</v>
      </c>
      <c r="T1981" s="41">
        <v>0</v>
      </c>
      <c r="U1981" s="41">
        <v>0</v>
      </c>
      <c r="V1981" s="42" t="s">
        <v>113</v>
      </c>
      <c r="W1981" s="42">
        <v>183.4</v>
      </c>
      <c r="X1981" s="42">
        <v>183.4</v>
      </c>
    </row>
    <row r="1982" spans="1:24">
      <c r="A1982" s="27" t="s">
        <v>3763</v>
      </c>
      <c r="B1982" s="28" t="s">
        <v>215</v>
      </c>
      <c r="C1982" s="27" t="s">
        <v>3764</v>
      </c>
      <c r="D1982" s="27" t="s">
        <v>230</v>
      </c>
      <c r="E1982" s="29">
        <v>39048</v>
      </c>
      <c r="F1982" s="27">
        <v>12</v>
      </c>
      <c r="G1982" s="18">
        <v>183.4</v>
      </c>
      <c r="H1982" s="27">
        <f t="shared" si="60"/>
        <v>183.4</v>
      </c>
      <c r="I1982" s="18">
        <v>183.4</v>
      </c>
      <c r="J1982" s="27">
        <v>183.4</v>
      </c>
      <c r="K1982" s="18">
        <f t="shared" si="61"/>
        <v>183.4</v>
      </c>
      <c r="L1982" s="27">
        <v>183.4</v>
      </c>
      <c r="M1982" s="36">
        <v>0</v>
      </c>
      <c r="T1982" s="41">
        <v>0</v>
      </c>
      <c r="U1982" s="41">
        <v>0</v>
      </c>
      <c r="V1982" s="42" t="s">
        <v>113</v>
      </c>
      <c r="W1982" s="42">
        <v>183.4</v>
      </c>
      <c r="X1982" s="42">
        <v>183.4</v>
      </c>
    </row>
    <row r="1983" spans="1:24">
      <c r="A1983" s="27" t="s">
        <v>3765</v>
      </c>
      <c r="B1983" s="28" t="s">
        <v>215</v>
      </c>
      <c r="C1983" s="27" t="s">
        <v>3766</v>
      </c>
      <c r="D1983" s="27" t="s">
        <v>230</v>
      </c>
      <c r="E1983" s="29">
        <v>39048</v>
      </c>
      <c r="F1983" s="27">
        <v>12</v>
      </c>
      <c r="G1983" s="18">
        <v>183.4</v>
      </c>
      <c r="H1983" s="27">
        <f t="shared" si="60"/>
        <v>183.4</v>
      </c>
      <c r="I1983" s="18">
        <v>183.4</v>
      </c>
      <c r="J1983" s="27">
        <v>183.4</v>
      </c>
      <c r="K1983" s="18">
        <f t="shared" si="61"/>
        <v>183.4</v>
      </c>
      <c r="L1983" s="27">
        <v>183.4</v>
      </c>
      <c r="M1983" s="36">
        <v>0</v>
      </c>
      <c r="T1983" s="41">
        <v>0</v>
      </c>
      <c r="U1983" s="41">
        <v>0</v>
      </c>
      <c r="V1983" s="42" t="s">
        <v>113</v>
      </c>
      <c r="W1983" s="42">
        <v>183.4</v>
      </c>
      <c r="X1983" s="42">
        <v>183.4</v>
      </c>
    </row>
    <row r="1984" spans="1:24">
      <c r="A1984" s="27" t="s">
        <v>3767</v>
      </c>
      <c r="B1984" s="28" t="s">
        <v>215</v>
      </c>
      <c r="C1984" s="27" t="s">
        <v>3768</v>
      </c>
      <c r="D1984" s="27" t="s">
        <v>230</v>
      </c>
      <c r="E1984" s="29">
        <v>39048</v>
      </c>
      <c r="F1984" s="27">
        <v>12</v>
      </c>
      <c r="G1984" s="18">
        <v>183.4</v>
      </c>
      <c r="H1984" s="27">
        <f t="shared" si="60"/>
        <v>183.4</v>
      </c>
      <c r="I1984" s="18">
        <v>183.4</v>
      </c>
      <c r="J1984" s="27">
        <v>183.4</v>
      </c>
      <c r="K1984" s="18">
        <f t="shared" si="61"/>
        <v>183.4</v>
      </c>
      <c r="L1984" s="27">
        <v>183.4</v>
      </c>
      <c r="M1984" s="36">
        <v>0</v>
      </c>
      <c r="T1984" s="41">
        <v>0</v>
      </c>
      <c r="U1984" s="41">
        <v>0</v>
      </c>
      <c r="V1984" s="42" t="s">
        <v>113</v>
      </c>
      <c r="W1984" s="42">
        <v>183.4</v>
      </c>
      <c r="X1984" s="42">
        <v>183.4</v>
      </c>
    </row>
    <row r="1985" spans="1:24">
      <c r="A1985" s="27" t="s">
        <v>3769</v>
      </c>
      <c r="B1985" s="28" t="s">
        <v>215</v>
      </c>
      <c r="C1985" s="27" t="s">
        <v>3770</v>
      </c>
      <c r="D1985" s="27" t="s">
        <v>230</v>
      </c>
      <c r="E1985" s="29">
        <v>39048</v>
      </c>
      <c r="F1985" s="27">
        <v>12</v>
      </c>
      <c r="G1985" s="18">
        <v>183.4</v>
      </c>
      <c r="H1985" s="27">
        <f t="shared" si="60"/>
        <v>183.4</v>
      </c>
      <c r="I1985" s="18">
        <v>183.4</v>
      </c>
      <c r="J1985" s="27">
        <v>183.4</v>
      </c>
      <c r="K1985" s="18">
        <f t="shared" si="61"/>
        <v>183.4</v>
      </c>
      <c r="L1985" s="27">
        <v>183.4</v>
      </c>
      <c r="M1985" s="36">
        <v>0</v>
      </c>
      <c r="T1985" s="41">
        <v>0</v>
      </c>
      <c r="U1985" s="41">
        <v>0</v>
      </c>
      <c r="V1985" s="42" t="s">
        <v>113</v>
      </c>
      <c r="W1985" s="42">
        <v>183.4</v>
      </c>
      <c r="X1985" s="42">
        <v>183.4</v>
      </c>
    </row>
    <row r="1986" spans="1:24">
      <c r="A1986" s="27" t="s">
        <v>3771</v>
      </c>
      <c r="B1986" s="28" t="s">
        <v>215</v>
      </c>
      <c r="C1986" s="27" t="s">
        <v>3772</v>
      </c>
      <c r="D1986" s="27" t="s">
        <v>230</v>
      </c>
      <c r="E1986" s="29">
        <v>39048</v>
      </c>
      <c r="F1986" s="27">
        <v>12</v>
      </c>
      <c r="G1986" s="18">
        <v>183.4</v>
      </c>
      <c r="H1986" s="27">
        <f t="shared" si="60"/>
        <v>183.4</v>
      </c>
      <c r="I1986" s="18">
        <v>183.4</v>
      </c>
      <c r="J1986" s="27">
        <v>183.4</v>
      </c>
      <c r="K1986" s="18">
        <f t="shared" si="61"/>
        <v>183.4</v>
      </c>
      <c r="L1986" s="27">
        <v>183.4</v>
      </c>
      <c r="M1986" s="36">
        <v>0</v>
      </c>
      <c r="T1986" s="41">
        <v>0</v>
      </c>
      <c r="U1986" s="41">
        <v>0</v>
      </c>
      <c r="V1986" s="42" t="s">
        <v>113</v>
      </c>
      <c r="W1986" s="42">
        <v>183.4</v>
      </c>
      <c r="X1986" s="42">
        <v>183.4</v>
      </c>
    </row>
    <row r="1987" spans="1:24">
      <c r="A1987" s="27" t="s">
        <v>3773</v>
      </c>
      <c r="B1987" s="28" t="s">
        <v>215</v>
      </c>
      <c r="C1987" s="27" t="s">
        <v>3774</v>
      </c>
      <c r="D1987" s="27" t="s">
        <v>230</v>
      </c>
      <c r="E1987" s="29">
        <v>39048</v>
      </c>
      <c r="F1987" s="27">
        <v>12</v>
      </c>
      <c r="G1987" s="18">
        <v>183.4</v>
      </c>
      <c r="H1987" s="27">
        <f t="shared" si="60"/>
        <v>183.4</v>
      </c>
      <c r="I1987" s="18">
        <v>183.4</v>
      </c>
      <c r="J1987" s="27">
        <v>183.4</v>
      </c>
      <c r="K1987" s="18">
        <f t="shared" si="61"/>
        <v>183.4</v>
      </c>
      <c r="L1987" s="27">
        <v>183.4</v>
      </c>
      <c r="M1987" s="36">
        <v>0</v>
      </c>
      <c r="T1987" s="41">
        <v>0</v>
      </c>
      <c r="U1987" s="41">
        <v>0</v>
      </c>
      <c r="V1987" s="42" t="s">
        <v>113</v>
      </c>
      <c r="W1987" s="42">
        <v>183.4</v>
      </c>
      <c r="X1987" s="42">
        <v>183.4</v>
      </c>
    </row>
    <row r="1988" spans="1:24">
      <c r="A1988" s="27" t="s">
        <v>3775</v>
      </c>
      <c r="B1988" s="28" t="s">
        <v>215</v>
      </c>
      <c r="C1988" s="27" t="s">
        <v>3776</v>
      </c>
      <c r="D1988" s="27" t="s">
        <v>230</v>
      </c>
      <c r="E1988" s="29">
        <v>39048</v>
      </c>
      <c r="F1988" s="27">
        <v>12</v>
      </c>
      <c r="G1988" s="18">
        <v>183.4</v>
      </c>
      <c r="H1988" s="27">
        <f t="shared" si="60"/>
        <v>183.4</v>
      </c>
      <c r="I1988" s="18">
        <v>183.4</v>
      </c>
      <c r="J1988" s="27">
        <v>183.4</v>
      </c>
      <c r="K1988" s="18">
        <f t="shared" si="61"/>
        <v>183.4</v>
      </c>
      <c r="L1988" s="27">
        <v>183.4</v>
      </c>
      <c r="M1988" s="36">
        <v>0</v>
      </c>
      <c r="T1988" s="41">
        <v>0</v>
      </c>
      <c r="U1988" s="41">
        <v>0</v>
      </c>
      <c r="V1988" s="42" t="s">
        <v>113</v>
      </c>
      <c r="W1988" s="42">
        <v>183.4</v>
      </c>
      <c r="X1988" s="42">
        <v>183.4</v>
      </c>
    </row>
    <row r="1989" spans="1:24">
      <c r="A1989" s="27" t="s">
        <v>3777</v>
      </c>
      <c r="B1989" s="28" t="s">
        <v>215</v>
      </c>
      <c r="C1989" s="27" t="s">
        <v>3778</v>
      </c>
      <c r="D1989" s="27" t="s">
        <v>230</v>
      </c>
      <c r="E1989" s="29">
        <v>39048</v>
      </c>
      <c r="F1989" s="27">
        <v>12</v>
      </c>
      <c r="G1989" s="18">
        <v>183.4</v>
      </c>
      <c r="H1989" s="27">
        <f t="shared" si="60"/>
        <v>183.4</v>
      </c>
      <c r="I1989" s="18">
        <v>183.4</v>
      </c>
      <c r="J1989" s="27">
        <v>183.4</v>
      </c>
      <c r="K1989" s="18">
        <f t="shared" si="61"/>
        <v>183.4</v>
      </c>
      <c r="L1989" s="27">
        <v>183.4</v>
      </c>
      <c r="M1989" s="36">
        <v>0</v>
      </c>
      <c r="T1989" s="41">
        <v>0</v>
      </c>
      <c r="U1989" s="41">
        <v>0</v>
      </c>
      <c r="V1989" s="42" t="s">
        <v>113</v>
      </c>
      <c r="W1989" s="42">
        <v>183.4</v>
      </c>
      <c r="X1989" s="42">
        <v>183.4</v>
      </c>
    </row>
    <row r="1990" spans="1:24">
      <c r="A1990" s="27" t="s">
        <v>3779</v>
      </c>
      <c r="B1990" s="28" t="s">
        <v>215</v>
      </c>
      <c r="C1990" s="27" t="s">
        <v>3760</v>
      </c>
      <c r="D1990" s="27" t="s">
        <v>230</v>
      </c>
      <c r="E1990" s="29">
        <v>39048</v>
      </c>
      <c r="F1990" s="27">
        <v>12</v>
      </c>
      <c r="G1990" s="18">
        <v>183.4</v>
      </c>
      <c r="H1990" s="27">
        <f t="shared" ref="H1990:H2053" si="62">IFERROR(IF(ROUND((G1990-I1990)/G1990,2)&lt;=0.05,G1990,0),0)</f>
        <v>183.4</v>
      </c>
      <c r="I1990" s="18">
        <v>183.4</v>
      </c>
      <c r="J1990" s="27">
        <v>183.4</v>
      </c>
      <c r="K1990" s="18">
        <f t="shared" ref="K1990:K2053" si="63">IFERROR(IF(ROUND((J1990-L1990)/J1990,2)&lt;=0.05,J1990,0),0)</f>
        <v>183.4</v>
      </c>
      <c r="L1990" s="27">
        <v>183.4</v>
      </c>
      <c r="M1990" s="36">
        <v>0</v>
      </c>
      <c r="T1990" s="41">
        <v>0</v>
      </c>
      <c r="U1990" s="41">
        <v>0</v>
      </c>
      <c r="V1990" s="42" t="s">
        <v>113</v>
      </c>
      <c r="W1990" s="42">
        <v>183.4</v>
      </c>
      <c r="X1990" s="42">
        <v>183.4</v>
      </c>
    </row>
    <row r="1991" spans="1:24">
      <c r="A1991" s="27" t="s">
        <v>3780</v>
      </c>
      <c r="B1991" s="28" t="s">
        <v>215</v>
      </c>
      <c r="C1991" s="27" t="s">
        <v>3762</v>
      </c>
      <c r="D1991" s="27" t="s">
        <v>230</v>
      </c>
      <c r="E1991" s="29">
        <v>39048</v>
      </c>
      <c r="F1991" s="27">
        <v>12</v>
      </c>
      <c r="G1991" s="18">
        <v>183.4</v>
      </c>
      <c r="H1991" s="27">
        <f t="shared" si="62"/>
        <v>183.4</v>
      </c>
      <c r="I1991" s="18">
        <v>183.4</v>
      </c>
      <c r="J1991" s="27">
        <v>183.4</v>
      </c>
      <c r="K1991" s="18">
        <f t="shared" si="63"/>
        <v>183.4</v>
      </c>
      <c r="L1991" s="27">
        <v>183.4</v>
      </c>
      <c r="M1991" s="36">
        <v>0</v>
      </c>
      <c r="T1991" s="41">
        <v>0</v>
      </c>
      <c r="U1991" s="41">
        <v>0</v>
      </c>
      <c r="V1991" s="42" t="s">
        <v>113</v>
      </c>
      <c r="W1991" s="42">
        <v>183.4</v>
      </c>
      <c r="X1991" s="42">
        <v>183.4</v>
      </c>
    </row>
    <row r="1992" spans="1:24">
      <c r="A1992" s="27" t="s">
        <v>3781</v>
      </c>
      <c r="B1992" s="28" t="s">
        <v>215</v>
      </c>
      <c r="C1992" s="27" t="s">
        <v>3764</v>
      </c>
      <c r="D1992" s="27" t="s">
        <v>230</v>
      </c>
      <c r="E1992" s="29">
        <v>39048</v>
      </c>
      <c r="F1992" s="27">
        <v>12</v>
      </c>
      <c r="G1992" s="18">
        <v>183.4</v>
      </c>
      <c r="H1992" s="27">
        <f t="shared" si="62"/>
        <v>183.4</v>
      </c>
      <c r="I1992" s="18">
        <v>183.4</v>
      </c>
      <c r="J1992" s="27">
        <v>183.4</v>
      </c>
      <c r="K1992" s="18">
        <f t="shared" si="63"/>
        <v>183.4</v>
      </c>
      <c r="L1992" s="27">
        <v>183.4</v>
      </c>
      <c r="M1992" s="36">
        <v>0</v>
      </c>
      <c r="T1992" s="41">
        <v>0</v>
      </c>
      <c r="U1992" s="41">
        <v>0</v>
      </c>
      <c r="V1992" s="42" t="s">
        <v>113</v>
      </c>
      <c r="W1992" s="42">
        <v>183.4</v>
      </c>
      <c r="X1992" s="42">
        <v>183.4</v>
      </c>
    </row>
    <row r="1993" spans="1:24">
      <c r="A1993" s="27" t="s">
        <v>3782</v>
      </c>
      <c r="B1993" s="28" t="s">
        <v>215</v>
      </c>
      <c r="C1993" s="27" t="s">
        <v>3766</v>
      </c>
      <c r="D1993" s="27" t="s">
        <v>230</v>
      </c>
      <c r="E1993" s="29">
        <v>39048</v>
      </c>
      <c r="F1993" s="27">
        <v>12</v>
      </c>
      <c r="G1993" s="18">
        <v>183.4</v>
      </c>
      <c r="H1993" s="27">
        <f t="shared" si="62"/>
        <v>183.4</v>
      </c>
      <c r="I1993" s="18">
        <v>183.4</v>
      </c>
      <c r="J1993" s="27">
        <v>183.4</v>
      </c>
      <c r="K1993" s="18">
        <f t="shared" si="63"/>
        <v>183.4</v>
      </c>
      <c r="L1993" s="27">
        <v>183.4</v>
      </c>
      <c r="M1993" s="36">
        <v>0</v>
      </c>
      <c r="T1993" s="41">
        <v>0</v>
      </c>
      <c r="U1993" s="41">
        <v>0</v>
      </c>
      <c r="V1993" s="42" t="s">
        <v>113</v>
      </c>
      <c r="W1993" s="42">
        <v>183.4</v>
      </c>
      <c r="X1993" s="42">
        <v>183.4</v>
      </c>
    </row>
    <row r="1994" spans="1:24">
      <c r="A1994" s="27" t="s">
        <v>3783</v>
      </c>
      <c r="B1994" s="28" t="s">
        <v>215</v>
      </c>
      <c r="C1994" s="27" t="s">
        <v>3768</v>
      </c>
      <c r="D1994" s="27" t="s">
        <v>230</v>
      </c>
      <c r="E1994" s="29">
        <v>39048</v>
      </c>
      <c r="F1994" s="27">
        <v>12</v>
      </c>
      <c r="G1994" s="18">
        <v>183.4</v>
      </c>
      <c r="H1994" s="27">
        <f t="shared" si="62"/>
        <v>183.4</v>
      </c>
      <c r="I1994" s="18">
        <v>183.4</v>
      </c>
      <c r="J1994" s="27">
        <v>183.4</v>
      </c>
      <c r="K1994" s="18">
        <f t="shared" si="63"/>
        <v>183.4</v>
      </c>
      <c r="L1994" s="27">
        <v>183.4</v>
      </c>
      <c r="M1994" s="36">
        <v>0</v>
      </c>
      <c r="T1994" s="41">
        <v>0</v>
      </c>
      <c r="U1994" s="41">
        <v>0</v>
      </c>
      <c r="V1994" s="42" t="s">
        <v>113</v>
      </c>
      <c r="W1994" s="42">
        <v>183.4</v>
      </c>
      <c r="X1994" s="42">
        <v>183.4</v>
      </c>
    </row>
    <row r="1995" spans="1:24">
      <c r="A1995" s="27" t="s">
        <v>3784</v>
      </c>
      <c r="B1995" s="28" t="s">
        <v>215</v>
      </c>
      <c r="C1995" s="27" t="s">
        <v>3770</v>
      </c>
      <c r="D1995" s="27" t="s">
        <v>230</v>
      </c>
      <c r="E1995" s="29">
        <v>39048</v>
      </c>
      <c r="F1995" s="27">
        <v>12</v>
      </c>
      <c r="G1995" s="18">
        <v>183.4</v>
      </c>
      <c r="H1995" s="27">
        <f t="shared" si="62"/>
        <v>183.4</v>
      </c>
      <c r="I1995" s="18">
        <v>183.4</v>
      </c>
      <c r="J1995" s="27">
        <v>183.4</v>
      </c>
      <c r="K1995" s="18">
        <f t="shared" si="63"/>
        <v>183.4</v>
      </c>
      <c r="L1995" s="27">
        <v>183.4</v>
      </c>
      <c r="M1995" s="36">
        <v>0</v>
      </c>
      <c r="T1995" s="41">
        <v>0</v>
      </c>
      <c r="U1995" s="41">
        <v>0</v>
      </c>
      <c r="V1995" s="42" t="s">
        <v>113</v>
      </c>
      <c r="W1995" s="42">
        <v>183.4</v>
      </c>
      <c r="X1995" s="42">
        <v>183.4</v>
      </c>
    </row>
    <row r="1996" spans="1:24">
      <c r="A1996" s="27" t="s">
        <v>3785</v>
      </c>
      <c r="B1996" s="28" t="s">
        <v>215</v>
      </c>
      <c r="C1996" s="27" t="s">
        <v>3772</v>
      </c>
      <c r="D1996" s="27" t="s">
        <v>230</v>
      </c>
      <c r="E1996" s="29">
        <v>39048</v>
      </c>
      <c r="F1996" s="27">
        <v>12</v>
      </c>
      <c r="G1996" s="18">
        <v>183.4</v>
      </c>
      <c r="H1996" s="27">
        <f t="shared" si="62"/>
        <v>183.4</v>
      </c>
      <c r="I1996" s="18">
        <v>183.4</v>
      </c>
      <c r="J1996" s="27">
        <v>183.4</v>
      </c>
      <c r="K1996" s="18">
        <f t="shared" si="63"/>
        <v>183.4</v>
      </c>
      <c r="L1996" s="27">
        <v>183.4</v>
      </c>
      <c r="M1996" s="36">
        <v>0</v>
      </c>
      <c r="T1996" s="41">
        <v>0</v>
      </c>
      <c r="U1996" s="41">
        <v>0</v>
      </c>
      <c r="V1996" s="42" t="s">
        <v>113</v>
      </c>
      <c r="W1996" s="42">
        <v>183.4</v>
      </c>
      <c r="X1996" s="42">
        <v>183.4</v>
      </c>
    </row>
    <row r="1997" spans="1:24">
      <c r="A1997" s="27" t="s">
        <v>3786</v>
      </c>
      <c r="B1997" s="28" t="s">
        <v>215</v>
      </c>
      <c r="C1997" s="27" t="s">
        <v>3774</v>
      </c>
      <c r="D1997" s="27" t="s">
        <v>230</v>
      </c>
      <c r="E1997" s="29">
        <v>39048</v>
      </c>
      <c r="F1997" s="27">
        <v>12</v>
      </c>
      <c r="G1997" s="18">
        <v>183.4</v>
      </c>
      <c r="H1997" s="27">
        <f t="shared" si="62"/>
        <v>183.4</v>
      </c>
      <c r="I1997" s="18">
        <v>183.4</v>
      </c>
      <c r="J1997" s="27">
        <v>183.4</v>
      </c>
      <c r="K1997" s="18">
        <f t="shared" si="63"/>
        <v>183.4</v>
      </c>
      <c r="L1997" s="27">
        <v>183.4</v>
      </c>
      <c r="M1997" s="36">
        <v>0</v>
      </c>
      <c r="T1997" s="41">
        <v>0</v>
      </c>
      <c r="U1997" s="41">
        <v>0</v>
      </c>
      <c r="V1997" s="42" t="s">
        <v>113</v>
      </c>
      <c r="W1997" s="42">
        <v>183.4</v>
      </c>
      <c r="X1997" s="42">
        <v>183.4</v>
      </c>
    </row>
    <row r="1998" spans="1:24">
      <c r="A1998" s="27" t="s">
        <v>3787</v>
      </c>
      <c r="B1998" s="28" t="s">
        <v>215</v>
      </c>
      <c r="C1998" s="27" t="s">
        <v>3776</v>
      </c>
      <c r="D1998" s="27" t="s">
        <v>230</v>
      </c>
      <c r="E1998" s="29">
        <v>39048</v>
      </c>
      <c r="F1998" s="27">
        <v>12</v>
      </c>
      <c r="G1998" s="18">
        <v>183.4</v>
      </c>
      <c r="H1998" s="27">
        <f t="shared" si="62"/>
        <v>183.4</v>
      </c>
      <c r="I1998" s="18">
        <v>183.4</v>
      </c>
      <c r="J1998" s="27">
        <v>183.4</v>
      </c>
      <c r="K1998" s="18">
        <f t="shared" si="63"/>
        <v>183.4</v>
      </c>
      <c r="L1998" s="27">
        <v>183.4</v>
      </c>
      <c r="M1998" s="36">
        <v>0</v>
      </c>
      <c r="T1998" s="41">
        <v>0</v>
      </c>
      <c r="U1998" s="41">
        <v>0</v>
      </c>
      <c r="V1998" s="42" t="s">
        <v>113</v>
      </c>
      <c r="W1998" s="42">
        <v>183.4</v>
      </c>
      <c r="X1998" s="42">
        <v>183.4</v>
      </c>
    </row>
    <row r="1999" spans="1:24">
      <c r="A1999" s="27" t="s">
        <v>3788</v>
      </c>
      <c r="B1999" s="28" t="s">
        <v>215</v>
      </c>
      <c r="C1999" s="27" t="s">
        <v>3778</v>
      </c>
      <c r="D1999" s="27" t="s">
        <v>230</v>
      </c>
      <c r="E1999" s="29">
        <v>39048</v>
      </c>
      <c r="F1999" s="27">
        <v>12</v>
      </c>
      <c r="G1999" s="18">
        <v>183.4</v>
      </c>
      <c r="H1999" s="27">
        <f t="shared" si="62"/>
        <v>183.4</v>
      </c>
      <c r="I1999" s="18">
        <v>183.4</v>
      </c>
      <c r="J1999" s="27">
        <v>183.4</v>
      </c>
      <c r="K1999" s="18">
        <f t="shared" si="63"/>
        <v>183.4</v>
      </c>
      <c r="L1999" s="27">
        <v>183.4</v>
      </c>
      <c r="M1999" s="36">
        <v>0</v>
      </c>
      <c r="T1999" s="41">
        <v>0</v>
      </c>
      <c r="U1999" s="41">
        <v>0</v>
      </c>
      <c r="V1999" s="42" t="s">
        <v>113</v>
      </c>
      <c r="W1999" s="42">
        <v>183.4</v>
      </c>
      <c r="X1999" s="42">
        <v>183.4</v>
      </c>
    </row>
    <row r="2000" spans="1:24">
      <c r="A2000" s="27" t="s">
        <v>3789</v>
      </c>
      <c r="B2000" s="28" t="s">
        <v>215</v>
      </c>
      <c r="C2000" s="27" t="s">
        <v>3790</v>
      </c>
      <c r="D2000" s="27" t="s">
        <v>230</v>
      </c>
      <c r="E2000" s="29">
        <v>39048</v>
      </c>
      <c r="F2000" s="27">
        <v>12</v>
      </c>
      <c r="G2000" s="18">
        <v>183.4</v>
      </c>
      <c r="H2000" s="27">
        <f t="shared" si="62"/>
        <v>183.4</v>
      </c>
      <c r="I2000" s="18">
        <v>183.4</v>
      </c>
      <c r="J2000" s="27">
        <v>183.4</v>
      </c>
      <c r="K2000" s="18">
        <f t="shared" si="63"/>
        <v>183.4</v>
      </c>
      <c r="L2000" s="27">
        <v>183.4</v>
      </c>
      <c r="M2000" s="36">
        <v>0</v>
      </c>
      <c r="T2000" s="41">
        <v>0</v>
      </c>
      <c r="U2000" s="41">
        <v>0</v>
      </c>
      <c r="V2000" s="42" t="s">
        <v>113</v>
      </c>
      <c r="W2000" s="42">
        <v>183.4</v>
      </c>
      <c r="X2000" s="42">
        <v>183.4</v>
      </c>
    </row>
    <row r="2001" spans="1:24">
      <c r="A2001" s="27" t="s">
        <v>3791</v>
      </c>
      <c r="B2001" s="28" t="s">
        <v>215</v>
      </c>
      <c r="C2001" s="27" t="s">
        <v>3792</v>
      </c>
      <c r="D2001" s="27" t="s">
        <v>230</v>
      </c>
      <c r="E2001" s="29">
        <v>39048</v>
      </c>
      <c r="F2001" s="27">
        <v>12</v>
      </c>
      <c r="G2001" s="18">
        <v>183.4</v>
      </c>
      <c r="H2001" s="27">
        <f t="shared" si="62"/>
        <v>183.4</v>
      </c>
      <c r="I2001" s="18">
        <v>183.4</v>
      </c>
      <c r="J2001" s="27">
        <v>183.4</v>
      </c>
      <c r="K2001" s="18">
        <f t="shared" si="63"/>
        <v>183.4</v>
      </c>
      <c r="L2001" s="27">
        <v>183.4</v>
      </c>
      <c r="M2001" s="36">
        <v>0</v>
      </c>
      <c r="T2001" s="41">
        <v>0</v>
      </c>
      <c r="U2001" s="41">
        <v>0</v>
      </c>
      <c r="V2001" s="42" t="s">
        <v>113</v>
      </c>
      <c r="W2001" s="42">
        <v>183.4</v>
      </c>
      <c r="X2001" s="42">
        <v>183.4</v>
      </c>
    </row>
    <row r="2002" spans="1:24">
      <c r="A2002" s="27" t="s">
        <v>3793</v>
      </c>
      <c r="B2002" s="28" t="s">
        <v>215</v>
      </c>
      <c r="C2002" s="27" t="s">
        <v>3794</v>
      </c>
      <c r="D2002" s="27" t="s">
        <v>230</v>
      </c>
      <c r="E2002" s="29">
        <v>39048</v>
      </c>
      <c r="F2002" s="27">
        <v>12</v>
      </c>
      <c r="G2002" s="18">
        <v>183.4</v>
      </c>
      <c r="H2002" s="27">
        <f t="shared" si="62"/>
        <v>183.4</v>
      </c>
      <c r="I2002" s="18">
        <v>183.4</v>
      </c>
      <c r="J2002" s="27">
        <v>183.4</v>
      </c>
      <c r="K2002" s="18">
        <f t="shared" si="63"/>
        <v>183.4</v>
      </c>
      <c r="L2002" s="27">
        <v>183.4</v>
      </c>
      <c r="M2002" s="36">
        <v>0</v>
      </c>
      <c r="T2002" s="41">
        <v>0</v>
      </c>
      <c r="U2002" s="41">
        <v>0</v>
      </c>
      <c r="V2002" s="42" t="s">
        <v>113</v>
      </c>
      <c r="W2002" s="42">
        <v>183.4</v>
      </c>
      <c r="X2002" s="42">
        <v>183.4</v>
      </c>
    </row>
    <row r="2003" spans="1:24">
      <c r="A2003" s="27" t="s">
        <v>3795</v>
      </c>
      <c r="B2003" s="28" t="s">
        <v>215</v>
      </c>
      <c r="C2003" s="27" t="s">
        <v>3796</v>
      </c>
      <c r="D2003" s="27" t="s">
        <v>230</v>
      </c>
      <c r="E2003" s="29">
        <v>39048</v>
      </c>
      <c r="F2003" s="27">
        <v>12</v>
      </c>
      <c r="G2003" s="18">
        <v>183.4</v>
      </c>
      <c r="H2003" s="27">
        <f t="shared" si="62"/>
        <v>183.4</v>
      </c>
      <c r="I2003" s="18">
        <v>183.4</v>
      </c>
      <c r="J2003" s="27">
        <v>183.4</v>
      </c>
      <c r="K2003" s="18">
        <f t="shared" si="63"/>
        <v>183.4</v>
      </c>
      <c r="L2003" s="27">
        <v>183.4</v>
      </c>
      <c r="M2003" s="36">
        <v>0</v>
      </c>
      <c r="T2003" s="41">
        <v>0</v>
      </c>
      <c r="U2003" s="41">
        <v>0</v>
      </c>
      <c r="V2003" s="42" t="s">
        <v>113</v>
      </c>
      <c r="W2003" s="42">
        <v>183.4</v>
      </c>
      <c r="X2003" s="42">
        <v>183.4</v>
      </c>
    </row>
    <row r="2004" spans="1:24">
      <c r="A2004" s="27" t="s">
        <v>3797</v>
      </c>
      <c r="B2004" s="28" t="s">
        <v>215</v>
      </c>
      <c r="C2004" s="27" t="s">
        <v>3798</v>
      </c>
      <c r="D2004" s="27" t="s">
        <v>230</v>
      </c>
      <c r="E2004" s="29">
        <v>39048</v>
      </c>
      <c r="F2004" s="27">
        <v>12</v>
      </c>
      <c r="G2004" s="18">
        <v>183.4</v>
      </c>
      <c r="H2004" s="27">
        <f t="shared" si="62"/>
        <v>183.4</v>
      </c>
      <c r="I2004" s="18">
        <v>183.4</v>
      </c>
      <c r="J2004" s="27">
        <v>183.4</v>
      </c>
      <c r="K2004" s="18">
        <f t="shared" si="63"/>
        <v>183.4</v>
      </c>
      <c r="L2004" s="27">
        <v>183.4</v>
      </c>
      <c r="M2004" s="36">
        <v>0</v>
      </c>
      <c r="T2004" s="41">
        <v>0</v>
      </c>
      <c r="U2004" s="41">
        <v>0</v>
      </c>
      <c r="V2004" s="42" t="s">
        <v>113</v>
      </c>
      <c r="W2004" s="42">
        <v>183.4</v>
      </c>
      <c r="X2004" s="42">
        <v>183.4</v>
      </c>
    </row>
    <row r="2005" spans="1:24">
      <c r="A2005" s="27" t="s">
        <v>3799</v>
      </c>
      <c r="B2005" s="28" t="s">
        <v>215</v>
      </c>
      <c r="C2005" s="27" t="s">
        <v>3800</v>
      </c>
      <c r="D2005" s="27" t="s">
        <v>230</v>
      </c>
      <c r="E2005" s="29">
        <v>39048</v>
      </c>
      <c r="F2005" s="27">
        <v>12</v>
      </c>
      <c r="G2005" s="18">
        <v>183.4</v>
      </c>
      <c r="H2005" s="27">
        <f t="shared" si="62"/>
        <v>183.4</v>
      </c>
      <c r="I2005" s="18">
        <v>183.4</v>
      </c>
      <c r="J2005" s="27">
        <v>183.4</v>
      </c>
      <c r="K2005" s="18">
        <f t="shared" si="63"/>
        <v>183.4</v>
      </c>
      <c r="L2005" s="27">
        <v>183.4</v>
      </c>
      <c r="M2005" s="36">
        <v>0</v>
      </c>
      <c r="T2005" s="41">
        <v>0</v>
      </c>
      <c r="U2005" s="41">
        <v>0</v>
      </c>
      <c r="V2005" s="42" t="s">
        <v>113</v>
      </c>
      <c r="W2005" s="42">
        <v>183.4</v>
      </c>
      <c r="X2005" s="42">
        <v>183.4</v>
      </c>
    </row>
    <row r="2006" spans="1:24">
      <c r="A2006" s="27" t="s">
        <v>3801</v>
      </c>
      <c r="B2006" s="28" t="s">
        <v>215</v>
      </c>
      <c r="C2006" s="27" t="s">
        <v>3802</v>
      </c>
      <c r="D2006" s="27" t="s">
        <v>230</v>
      </c>
      <c r="E2006" s="29">
        <v>39048</v>
      </c>
      <c r="F2006" s="27">
        <v>12</v>
      </c>
      <c r="G2006" s="18">
        <v>183.4</v>
      </c>
      <c r="H2006" s="27">
        <f t="shared" si="62"/>
        <v>183.4</v>
      </c>
      <c r="I2006" s="18">
        <v>183.4</v>
      </c>
      <c r="J2006" s="27">
        <v>183.4</v>
      </c>
      <c r="K2006" s="18">
        <f t="shared" si="63"/>
        <v>183.4</v>
      </c>
      <c r="L2006" s="27">
        <v>183.4</v>
      </c>
      <c r="M2006" s="36">
        <v>0</v>
      </c>
      <c r="T2006" s="41">
        <v>0</v>
      </c>
      <c r="U2006" s="41">
        <v>0</v>
      </c>
      <c r="V2006" s="42" t="s">
        <v>113</v>
      </c>
      <c r="W2006" s="42">
        <v>183.4</v>
      </c>
      <c r="X2006" s="42">
        <v>183.4</v>
      </c>
    </row>
    <row r="2007" spans="1:24">
      <c r="A2007" s="27" t="s">
        <v>3803</v>
      </c>
      <c r="B2007" s="28" t="s">
        <v>215</v>
      </c>
      <c r="C2007" s="27" t="s">
        <v>3804</v>
      </c>
      <c r="D2007" s="27" t="s">
        <v>230</v>
      </c>
      <c r="E2007" s="29">
        <v>39048</v>
      </c>
      <c r="F2007" s="27">
        <v>12</v>
      </c>
      <c r="G2007" s="18">
        <v>183.4</v>
      </c>
      <c r="H2007" s="27">
        <f t="shared" si="62"/>
        <v>183.4</v>
      </c>
      <c r="I2007" s="18">
        <v>183.4</v>
      </c>
      <c r="J2007" s="27">
        <v>183.4</v>
      </c>
      <c r="K2007" s="18">
        <f t="shared" si="63"/>
        <v>183.4</v>
      </c>
      <c r="L2007" s="27">
        <v>183.4</v>
      </c>
      <c r="M2007" s="36">
        <v>0</v>
      </c>
      <c r="T2007" s="41">
        <v>0</v>
      </c>
      <c r="U2007" s="41">
        <v>0</v>
      </c>
      <c r="V2007" s="42" t="s">
        <v>113</v>
      </c>
      <c r="W2007" s="42">
        <v>183.4</v>
      </c>
      <c r="X2007" s="42">
        <v>183.4</v>
      </c>
    </row>
    <row r="2008" spans="1:24">
      <c r="A2008" s="27" t="s">
        <v>3805</v>
      </c>
      <c r="B2008" s="28" t="s">
        <v>215</v>
      </c>
      <c r="C2008" s="27" t="s">
        <v>3806</v>
      </c>
      <c r="D2008" s="27" t="s">
        <v>230</v>
      </c>
      <c r="E2008" s="29">
        <v>39048</v>
      </c>
      <c r="F2008" s="27">
        <v>12</v>
      </c>
      <c r="G2008" s="18">
        <v>183.4</v>
      </c>
      <c r="H2008" s="27">
        <f t="shared" si="62"/>
        <v>183.4</v>
      </c>
      <c r="I2008" s="18">
        <v>183.4</v>
      </c>
      <c r="J2008" s="27">
        <v>183.4</v>
      </c>
      <c r="K2008" s="18">
        <f t="shared" si="63"/>
        <v>183.4</v>
      </c>
      <c r="L2008" s="27">
        <v>183.4</v>
      </c>
      <c r="M2008" s="36">
        <v>0</v>
      </c>
      <c r="T2008" s="41">
        <v>0</v>
      </c>
      <c r="U2008" s="41">
        <v>0</v>
      </c>
      <c r="V2008" s="42" t="s">
        <v>113</v>
      </c>
      <c r="W2008" s="42">
        <v>183.4</v>
      </c>
      <c r="X2008" s="42">
        <v>183.4</v>
      </c>
    </row>
    <row r="2009" spans="1:24">
      <c r="A2009" s="27" t="s">
        <v>3807</v>
      </c>
      <c r="B2009" s="28" t="s">
        <v>215</v>
      </c>
      <c r="C2009" s="27" t="s">
        <v>3760</v>
      </c>
      <c r="D2009" s="27" t="s">
        <v>230</v>
      </c>
      <c r="E2009" s="29">
        <v>39048</v>
      </c>
      <c r="F2009" s="27">
        <v>12</v>
      </c>
      <c r="G2009" s="18">
        <v>183.4</v>
      </c>
      <c r="H2009" s="27">
        <f t="shared" si="62"/>
        <v>183.4</v>
      </c>
      <c r="I2009" s="18">
        <v>183.4</v>
      </c>
      <c r="J2009" s="27">
        <v>183.4</v>
      </c>
      <c r="K2009" s="18">
        <f t="shared" si="63"/>
        <v>183.4</v>
      </c>
      <c r="L2009" s="27">
        <v>183.4</v>
      </c>
      <c r="M2009" s="36">
        <v>0</v>
      </c>
      <c r="T2009" s="41">
        <v>0</v>
      </c>
      <c r="U2009" s="41">
        <v>0</v>
      </c>
      <c r="V2009" s="42" t="s">
        <v>113</v>
      </c>
      <c r="W2009" s="42">
        <v>183.4</v>
      </c>
      <c r="X2009" s="42">
        <v>183.4</v>
      </c>
    </row>
    <row r="2010" spans="1:24">
      <c r="A2010" s="27" t="s">
        <v>3808</v>
      </c>
      <c r="B2010" s="28" t="s">
        <v>215</v>
      </c>
      <c r="C2010" s="27" t="s">
        <v>3762</v>
      </c>
      <c r="D2010" s="27" t="s">
        <v>230</v>
      </c>
      <c r="E2010" s="29">
        <v>39048</v>
      </c>
      <c r="F2010" s="27">
        <v>12</v>
      </c>
      <c r="G2010" s="18">
        <v>183.4</v>
      </c>
      <c r="H2010" s="27">
        <f t="shared" si="62"/>
        <v>183.4</v>
      </c>
      <c r="I2010" s="18">
        <v>183.4</v>
      </c>
      <c r="J2010" s="27">
        <v>183.4</v>
      </c>
      <c r="K2010" s="18">
        <f t="shared" si="63"/>
        <v>183.4</v>
      </c>
      <c r="L2010" s="27">
        <v>183.4</v>
      </c>
      <c r="M2010" s="36">
        <v>0</v>
      </c>
      <c r="T2010" s="41">
        <v>0</v>
      </c>
      <c r="U2010" s="41">
        <v>0</v>
      </c>
      <c r="V2010" s="42" t="s">
        <v>113</v>
      </c>
      <c r="W2010" s="42">
        <v>183.4</v>
      </c>
      <c r="X2010" s="42">
        <v>183.4</v>
      </c>
    </row>
    <row r="2011" spans="1:24">
      <c r="A2011" s="27" t="s">
        <v>3809</v>
      </c>
      <c r="B2011" s="28" t="s">
        <v>215</v>
      </c>
      <c r="C2011" s="27" t="s">
        <v>3764</v>
      </c>
      <c r="D2011" s="27" t="s">
        <v>230</v>
      </c>
      <c r="E2011" s="29">
        <v>39048</v>
      </c>
      <c r="F2011" s="27">
        <v>12</v>
      </c>
      <c r="G2011" s="18">
        <v>183.4</v>
      </c>
      <c r="H2011" s="27">
        <f t="shared" si="62"/>
        <v>183.4</v>
      </c>
      <c r="I2011" s="18">
        <v>183.4</v>
      </c>
      <c r="J2011" s="27">
        <v>183.4</v>
      </c>
      <c r="K2011" s="18">
        <f t="shared" si="63"/>
        <v>183.4</v>
      </c>
      <c r="L2011" s="27">
        <v>183.4</v>
      </c>
      <c r="M2011" s="36">
        <v>0</v>
      </c>
      <c r="T2011" s="41">
        <v>0</v>
      </c>
      <c r="U2011" s="41">
        <v>0</v>
      </c>
      <c r="V2011" s="42" t="s">
        <v>113</v>
      </c>
      <c r="W2011" s="42">
        <v>183.4</v>
      </c>
      <c r="X2011" s="42">
        <v>183.4</v>
      </c>
    </row>
    <row r="2012" spans="1:24">
      <c r="A2012" s="27" t="s">
        <v>3810</v>
      </c>
      <c r="B2012" s="28" t="s">
        <v>215</v>
      </c>
      <c r="C2012" s="27" t="s">
        <v>3766</v>
      </c>
      <c r="D2012" s="27" t="s">
        <v>230</v>
      </c>
      <c r="E2012" s="29">
        <v>39048</v>
      </c>
      <c r="F2012" s="27">
        <v>12</v>
      </c>
      <c r="G2012" s="18">
        <v>183.4</v>
      </c>
      <c r="H2012" s="27">
        <f t="shared" si="62"/>
        <v>183.4</v>
      </c>
      <c r="I2012" s="18">
        <v>183.4</v>
      </c>
      <c r="J2012" s="27">
        <v>183.4</v>
      </c>
      <c r="K2012" s="18">
        <f t="shared" si="63"/>
        <v>183.4</v>
      </c>
      <c r="L2012" s="27">
        <v>183.4</v>
      </c>
      <c r="M2012" s="36">
        <v>0</v>
      </c>
      <c r="T2012" s="41">
        <v>0</v>
      </c>
      <c r="U2012" s="41">
        <v>0</v>
      </c>
      <c r="V2012" s="42" t="s">
        <v>113</v>
      </c>
      <c r="W2012" s="42">
        <v>183.4</v>
      </c>
      <c r="X2012" s="42">
        <v>183.4</v>
      </c>
    </row>
    <row r="2013" spans="1:24">
      <c r="A2013" s="27" t="s">
        <v>3811</v>
      </c>
      <c r="B2013" s="28" t="s">
        <v>215</v>
      </c>
      <c r="C2013" s="27" t="s">
        <v>3768</v>
      </c>
      <c r="D2013" s="27" t="s">
        <v>230</v>
      </c>
      <c r="E2013" s="29">
        <v>39048</v>
      </c>
      <c r="F2013" s="27">
        <v>12</v>
      </c>
      <c r="G2013" s="18">
        <v>183.4</v>
      </c>
      <c r="H2013" s="27">
        <f t="shared" si="62"/>
        <v>183.4</v>
      </c>
      <c r="I2013" s="18">
        <v>183.4</v>
      </c>
      <c r="J2013" s="27">
        <v>183.4</v>
      </c>
      <c r="K2013" s="18">
        <f t="shared" si="63"/>
        <v>183.4</v>
      </c>
      <c r="L2013" s="27">
        <v>183.4</v>
      </c>
      <c r="M2013" s="36">
        <v>0</v>
      </c>
      <c r="T2013" s="41">
        <v>0</v>
      </c>
      <c r="U2013" s="41">
        <v>0</v>
      </c>
      <c r="V2013" s="42" t="s">
        <v>113</v>
      </c>
      <c r="W2013" s="42">
        <v>183.4</v>
      </c>
      <c r="X2013" s="42">
        <v>183.4</v>
      </c>
    </row>
    <row r="2014" spans="1:24">
      <c r="A2014" s="27" t="s">
        <v>3812</v>
      </c>
      <c r="B2014" s="28" t="s">
        <v>215</v>
      </c>
      <c r="C2014" s="27" t="s">
        <v>3770</v>
      </c>
      <c r="D2014" s="27" t="s">
        <v>230</v>
      </c>
      <c r="E2014" s="29">
        <v>39048</v>
      </c>
      <c r="F2014" s="27">
        <v>12</v>
      </c>
      <c r="G2014" s="18">
        <v>183.4</v>
      </c>
      <c r="H2014" s="27">
        <f t="shared" si="62"/>
        <v>183.4</v>
      </c>
      <c r="I2014" s="18">
        <v>183.4</v>
      </c>
      <c r="J2014" s="27">
        <v>183.4</v>
      </c>
      <c r="K2014" s="18">
        <f t="shared" si="63"/>
        <v>183.4</v>
      </c>
      <c r="L2014" s="27">
        <v>183.4</v>
      </c>
      <c r="M2014" s="36">
        <v>0</v>
      </c>
      <c r="T2014" s="41">
        <v>0</v>
      </c>
      <c r="U2014" s="41">
        <v>0</v>
      </c>
      <c r="V2014" s="42" t="s">
        <v>113</v>
      </c>
      <c r="W2014" s="42">
        <v>183.4</v>
      </c>
      <c r="X2014" s="42">
        <v>183.4</v>
      </c>
    </row>
    <row r="2015" spans="1:24">
      <c r="A2015" s="27" t="s">
        <v>3813</v>
      </c>
      <c r="B2015" s="28" t="s">
        <v>215</v>
      </c>
      <c r="C2015" s="27" t="s">
        <v>3772</v>
      </c>
      <c r="D2015" s="27" t="s">
        <v>230</v>
      </c>
      <c r="E2015" s="29">
        <v>39048</v>
      </c>
      <c r="F2015" s="27">
        <v>12</v>
      </c>
      <c r="G2015" s="18">
        <v>183.4</v>
      </c>
      <c r="H2015" s="27">
        <f t="shared" si="62"/>
        <v>183.4</v>
      </c>
      <c r="I2015" s="18">
        <v>183.4</v>
      </c>
      <c r="J2015" s="27">
        <v>183.4</v>
      </c>
      <c r="K2015" s="18">
        <f t="shared" si="63"/>
        <v>183.4</v>
      </c>
      <c r="L2015" s="27">
        <v>183.4</v>
      </c>
      <c r="M2015" s="36">
        <v>0</v>
      </c>
      <c r="T2015" s="41">
        <v>0</v>
      </c>
      <c r="U2015" s="41">
        <v>0</v>
      </c>
      <c r="V2015" s="42" t="s">
        <v>113</v>
      </c>
      <c r="W2015" s="42">
        <v>183.4</v>
      </c>
      <c r="X2015" s="42">
        <v>183.4</v>
      </c>
    </row>
    <row r="2016" spans="1:24">
      <c r="A2016" s="27" t="s">
        <v>3814</v>
      </c>
      <c r="B2016" s="28" t="s">
        <v>215</v>
      </c>
      <c r="C2016" s="27" t="s">
        <v>3774</v>
      </c>
      <c r="D2016" s="27" t="s">
        <v>230</v>
      </c>
      <c r="E2016" s="29">
        <v>39048</v>
      </c>
      <c r="F2016" s="27">
        <v>12</v>
      </c>
      <c r="G2016" s="18">
        <v>183.4</v>
      </c>
      <c r="H2016" s="27">
        <f t="shared" si="62"/>
        <v>183.4</v>
      </c>
      <c r="I2016" s="18">
        <v>183.4</v>
      </c>
      <c r="J2016" s="27">
        <v>183.4</v>
      </c>
      <c r="K2016" s="18">
        <f t="shared" si="63"/>
        <v>183.4</v>
      </c>
      <c r="L2016" s="27">
        <v>183.4</v>
      </c>
      <c r="M2016" s="36">
        <v>0</v>
      </c>
      <c r="T2016" s="41">
        <v>0</v>
      </c>
      <c r="U2016" s="41">
        <v>0</v>
      </c>
      <c r="V2016" s="42" t="s">
        <v>113</v>
      </c>
      <c r="W2016" s="42">
        <v>183.4</v>
      </c>
      <c r="X2016" s="42">
        <v>183.4</v>
      </c>
    </row>
    <row r="2017" spans="1:24">
      <c r="A2017" s="27" t="s">
        <v>3815</v>
      </c>
      <c r="B2017" s="28" t="s">
        <v>215</v>
      </c>
      <c r="C2017" s="27" t="s">
        <v>3816</v>
      </c>
      <c r="D2017" s="27" t="s">
        <v>230</v>
      </c>
      <c r="E2017" s="29">
        <v>39048</v>
      </c>
      <c r="F2017" s="27">
        <v>12</v>
      </c>
      <c r="G2017" s="18">
        <v>183.4</v>
      </c>
      <c r="H2017" s="27">
        <f t="shared" si="62"/>
        <v>183.4</v>
      </c>
      <c r="I2017" s="18">
        <v>183.4</v>
      </c>
      <c r="J2017" s="27">
        <v>183.4</v>
      </c>
      <c r="K2017" s="18">
        <f t="shared" si="63"/>
        <v>183.4</v>
      </c>
      <c r="L2017" s="27">
        <v>183.4</v>
      </c>
      <c r="M2017" s="36">
        <v>0</v>
      </c>
      <c r="T2017" s="41">
        <v>0</v>
      </c>
      <c r="U2017" s="41">
        <v>0</v>
      </c>
      <c r="V2017" s="42" t="s">
        <v>113</v>
      </c>
      <c r="W2017" s="42">
        <v>183.4</v>
      </c>
      <c r="X2017" s="42">
        <v>183.4</v>
      </c>
    </row>
    <row r="2018" spans="1:24">
      <c r="A2018" s="27" t="s">
        <v>3817</v>
      </c>
      <c r="B2018" s="28" t="s">
        <v>215</v>
      </c>
      <c r="C2018" s="27" t="s">
        <v>3776</v>
      </c>
      <c r="D2018" s="27" t="s">
        <v>230</v>
      </c>
      <c r="E2018" s="29">
        <v>39048</v>
      </c>
      <c r="F2018" s="27">
        <v>12</v>
      </c>
      <c r="G2018" s="18">
        <v>183.4</v>
      </c>
      <c r="H2018" s="27">
        <f t="shared" si="62"/>
        <v>183.4</v>
      </c>
      <c r="I2018" s="18">
        <v>183.4</v>
      </c>
      <c r="J2018" s="27">
        <v>183.4</v>
      </c>
      <c r="K2018" s="18">
        <f t="shared" si="63"/>
        <v>183.4</v>
      </c>
      <c r="L2018" s="27">
        <v>183.4</v>
      </c>
      <c r="M2018" s="36">
        <v>0</v>
      </c>
      <c r="T2018" s="41">
        <v>0</v>
      </c>
      <c r="U2018" s="41">
        <v>0</v>
      </c>
      <c r="V2018" s="42" t="s">
        <v>113</v>
      </c>
      <c r="W2018" s="42">
        <v>183.4</v>
      </c>
      <c r="X2018" s="42">
        <v>183.4</v>
      </c>
    </row>
    <row r="2019" spans="1:24">
      <c r="A2019" s="27" t="s">
        <v>3818</v>
      </c>
      <c r="B2019" s="28" t="s">
        <v>215</v>
      </c>
      <c r="C2019" s="27" t="s">
        <v>3778</v>
      </c>
      <c r="D2019" s="27" t="s">
        <v>230</v>
      </c>
      <c r="E2019" s="29">
        <v>39048</v>
      </c>
      <c r="F2019" s="27">
        <v>12</v>
      </c>
      <c r="G2019" s="18">
        <v>183.4</v>
      </c>
      <c r="H2019" s="27">
        <f t="shared" si="62"/>
        <v>183.4</v>
      </c>
      <c r="I2019" s="18">
        <v>183.4</v>
      </c>
      <c r="J2019" s="27">
        <v>183.4</v>
      </c>
      <c r="K2019" s="18">
        <f t="shared" si="63"/>
        <v>183.4</v>
      </c>
      <c r="L2019" s="27">
        <v>183.4</v>
      </c>
      <c r="M2019" s="36">
        <v>0</v>
      </c>
      <c r="T2019" s="41">
        <v>0</v>
      </c>
      <c r="U2019" s="41">
        <v>0</v>
      </c>
      <c r="V2019" s="42" t="s">
        <v>113</v>
      </c>
      <c r="W2019" s="42">
        <v>183.4</v>
      </c>
      <c r="X2019" s="42">
        <v>183.4</v>
      </c>
    </row>
    <row r="2020" spans="1:24">
      <c r="A2020" s="27" t="s">
        <v>3819</v>
      </c>
      <c r="B2020" s="28" t="s">
        <v>215</v>
      </c>
      <c r="C2020" s="27" t="s">
        <v>3790</v>
      </c>
      <c r="D2020" s="27" t="s">
        <v>230</v>
      </c>
      <c r="E2020" s="29">
        <v>39048</v>
      </c>
      <c r="F2020" s="27">
        <v>12</v>
      </c>
      <c r="G2020" s="18">
        <v>183.4</v>
      </c>
      <c r="H2020" s="27">
        <f t="shared" si="62"/>
        <v>183.4</v>
      </c>
      <c r="I2020" s="18">
        <v>183.4</v>
      </c>
      <c r="J2020" s="27">
        <v>183.4</v>
      </c>
      <c r="K2020" s="18">
        <f t="shared" si="63"/>
        <v>183.4</v>
      </c>
      <c r="L2020" s="27">
        <v>183.4</v>
      </c>
      <c r="M2020" s="36">
        <v>0</v>
      </c>
      <c r="T2020" s="41">
        <v>0</v>
      </c>
      <c r="U2020" s="41">
        <v>0</v>
      </c>
      <c r="V2020" s="42" t="s">
        <v>113</v>
      </c>
      <c r="W2020" s="42">
        <v>183.4</v>
      </c>
      <c r="X2020" s="42">
        <v>183.4</v>
      </c>
    </row>
    <row r="2021" spans="1:24">
      <c r="A2021" s="27" t="s">
        <v>3820</v>
      </c>
      <c r="B2021" s="28" t="s">
        <v>215</v>
      </c>
      <c r="C2021" s="27" t="s">
        <v>3792</v>
      </c>
      <c r="D2021" s="27" t="s">
        <v>230</v>
      </c>
      <c r="E2021" s="29">
        <v>39048</v>
      </c>
      <c r="F2021" s="27">
        <v>12</v>
      </c>
      <c r="G2021" s="18">
        <v>183.4</v>
      </c>
      <c r="H2021" s="27">
        <f t="shared" si="62"/>
        <v>183.4</v>
      </c>
      <c r="I2021" s="18">
        <v>183.4</v>
      </c>
      <c r="J2021" s="27">
        <v>183.4</v>
      </c>
      <c r="K2021" s="18">
        <f t="shared" si="63"/>
        <v>183.4</v>
      </c>
      <c r="L2021" s="27">
        <v>183.4</v>
      </c>
      <c r="M2021" s="36">
        <v>0</v>
      </c>
      <c r="T2021" s="41">
        <v>0</v>
      </c>
      <c r="U2021" s="41">
        <v>0</v>
      </c>
      <c r="V2021" s="42" t="s">
        <v>113</v>
      </c>
      <c r="W2021" s="42">
        <v>183.4</v>
      </c>
      <c r="X2021" s="42">
        <v>183.4</v>
      </c>
    </row>
    <row r="2022" spans="1:24">
      <c r="A2022" s="27" t="s">
        <v>3821</v>
      </c>
      <c r="B2022" s="28" t="s">
        <v>215</v>
      </c>
      <c r="C2022" s="27" t="s">
        <v>3794</v>
      </c>
      <c r="D2022" s="27" t="s">
        <v>230</v>
      </c>
      <c r="E2022" s="29">
        <v>39048</v>
      </c>
      <c r="F2022" s="27">
        <v>12</v>
      </c>
      <c r="G2022" s="18">
        <v>183.4</v>
      </c>
      <c r="H2022" s="27">
        <f t="shared" si="62"/>
        <v>183.4</v>
      </c>
      <c r="I2022" s="18">
        <v>183.4</v>
      </c>
      <c r="J2022" s="27">
        <v>183.4</v>
      </c>
      <c r="K2022" s="18">
        <f t="shared" si="63"/>
        <v>183.4</v>
      </c>
      <c r="L2022" s="27">
        <v>183.4</v>
      </c>
      <c r="M2022" s="36">
        <v>0</v>
      </c>
      <c r="T2022" s="41">
        <v>0</v>
      </c>
      <c r="U2022" s="41">
        <v>0</v>
      </c>
      <c r="V2022" s="42" t="s">
        <v>113</v>
      </c>
      <c r="W2022" s="42">
        <v>183.4</v>
      </c>
      <c r="X2022" s="42">
        <v>183.4</v>
      </c>
    </row>
    <row r="2023" spans="1:24">
      <c r="A2023" s="27" t="s">
        <v>3822</v>
      </c>
      <c r="B2023" s="28" t="s">
        <v>215</v>
      </c>
      <c r="C2023" s="27" t="s">
        <v>3796</v>
      </c>
      <c r="D2023" s="27" t="s">
        <v>230</v>
      </c>
      <c r="E2023" s="29">
        <v>39048</v>
      </c>
      <c r="F2023" s="27">
        <v>12</v>
      </c>
      <c r="G2023" s="18">
        <v>183.4</v>
      </c>
      <c r="H2023" s="27">
        <f t="shared" si="62"/>
        <v>183.4</v>
      </c>
      <c r="I2023" s="18">
        <v>183.4</v>
      </c>
      <c r="J2023" s="27">
        <v>183.4</v>
      </c>
      <c r="K2023" s="18">
        <f t="shared" si="63"/>
        <v>183.4</v>
      </c>
      <c r="L2023" s="27">
        <v>183.4</v>
      </c>
      <c r="M2023" s="36">
        <v>0</v>
      </c>
      <c r="T2023" s="41">
        <v>0</v>
      </c>
      <c r="U2023" s="41">
        <v>0</v>
      </c>
      <c r="V2023" s="42" t="s">
        <v>113</v>
      </c>
      <c r="W2023" s="42">
        <v>183.4</v>
      </c>
      <c r="X2023" s="42">
        <v>183.4</v>
      </c>
    </row>
    <row r="2024" spans="1:24">
      <c r="A2024" s="27" t="s">
        <v>3823</v>
      </c>
      <c r="B2024" s="28" t="s">
        <v>215</v>
      </c>
      <c r="C2024" s="27" t="s">
        <v>3798</v>
      </c>
      <c r="D2024" s="27" t="s">
        <v>230</v>
      </c>
      <c r="E2024" s="29">
        <v>39048</v>
      </c>
      <c r="F2024" s="27">
        <v>12</v>
      </c>
      <c r="G2024" s="18">
        <v>183.4</v>
      </c>
      <c r="H2024" s="27">
        <f t="shared" si="62"/>
        <v>183.4</v>
      </c>
      <c r="I2024" s="18">
        <v>183.4</v>
      </c>
      <c r="J2024" s="27">
        <v>183.4</v>
      </c>
      <c r="K2024" s="18">
        <f t="shared" si="63"/>
        <v>183.4</v>
      </c>
      <c r="L2024" s="27">
        <v>183.4</v>
      </c>
      <c r="M2024" s="36">
        <v>0</v>
      </c>
      <c r="T2024" s="41">
        <v>0</v>
      </c>
      <c r="U2024" s="41">
        <v>0</v>
      </c>
      <c r="V2024" s="42" t="s">
        <v>113</v>
      </c>
      <c r="W2024" s="42">
        <v>183.4</v>
      </c>
      <c r="X2024" s="42">
        <v>183.4</v>
      </c>
    </row>
    <row r="2025" spans="1:24">
      <c r="A2025" s="27" t="s">
        <v>3824</v>
      </c>
      <c r="B2025" s="28" t="s">
        <v>215</v>
      </c>
      <c r="C2025" s="27" t="s">
        <v>3800</v>
      </c>
      <c r="D2025" s="27" t="s">
        <v>230</v>
      </c>
      <c r="E2025" s="29">
        <v>39048</v>
      </c>
      <c r="F2025" s="27">
        <v>12</v>
      </c>
      <c r="G2025" s="18">
        <v>183.4</v>
      </c>
      <c r="H2025" s="27">
        <f t="shared" si="62"/>
        <v>183.4</v>
      </c>
      <c r="I2025" s="18">
        <v>183.4</v>
      </c>
      <c r="J2025" s="27">
        <v>183.4</v>
      </c>
      <c r="K2025" s="18">
        <f t="shared" si="63"/>
        <v>183.4</v>
      </c>
      <c r="L2025" s="27">
        <v>183.4</v>
      </c>
      <c r="M2025" s="36">
        <v>0</v>
      </c>
      <c r="T2025" s="41">
        <v>0</v>
      </c>
      <c r="U2025" s="41">
        <v>0</v>
      </c>
      <c r="V2025" s="42" t="s">
        <v>113</v>
      </c>
      <c r="W2025" s="42">
        <v>183.4</v>
      </c>
      <c r="X2025" s="42">
        <v>183.4</v>
      </c>
    </row>
    <row r="2026" spans="1:24">
      <c r="A2026" s="27" t="s">
        <v>3825</v>
      </c>
      <c r="B2026" s="28" t="s">
        <v>215</v>
      </c>
      <c r="C2026" s="27" t="s">
        <v>3802</v>
      </c>
      <c r="D2026" s="27" t="s">
        <v>230</v>
      </c>
      <c r="E2026" s="29">
        <v>39048</v>
      </c>
      <c r="F2026" s="27">
        <v>12</v>
      </c>
      <c r="G2026" s="18">
        <v>183.4</v>
      </c>
      <c r="H2026" s="27">
        <f t="shared" si="62"/>
        <v>183.4</v>
      </c>
      <c r="I2026" s="18">
        <v>183.4</v>
      </c>
      <c r="J2026" s="27">
        <v>183.4</v>
      </c>
      <c r="K2026" s="18">
        <f t="shared" si="63"/>
        <v>183.4</v>
      </c>
      <c r="L2026" s="27">
        <v>183.4</v>
      </c>
      <c r="M2026" s="36">
        <v>0</v>
      </c>
      <c r="T2026" s="41">
        <v>0</v>
      </c>
      <c r="U2026" s="41">
        <v>0</v>
      </c>
      <c r="V2026" s="42" t="s">
        <v>113</v>
      </c>
      <c r="W2026" s="42">
        <v>183.4</v>
      </c>
      <c r="X2026" s="42">
        <v>183.4</v>
      </c>
    </row>
    <row r="2027" spans="1:24">
      <c r="A2027" s="27" t="s">
        <v>3826</v>
      </c>
      <c r="B2027" s="28" t="s">
        <v>215</v>
      </c>
      <c r="C2027" s="27" t="s">
        <v>3804</v>
      </c>
      <c r="D2027" s="27" t="s">
        <v>230</v>
      </c>
      <c r="E2027" s="29">
        <v>39048</v>
      </c>
      <c r="F2027" s="27">
        <v>12</v>
      </c>
      <c r="G2027" s="18">
        <v>183.4</v>
      </c>
      <c r="H2027" s="27">
        <f t="shared" si="62"/>
        <v>183.4</v>
      </c>
      <c r="I2027" s="18">
        <v>183.4</v>
      </c>
      <c r="J2027" s="27">
        <v>183.4</v>
      </c>
      <c r="K2027" s="18">
        <f t="shared" si="63"/>
        <v>183.4</v>
      </c>
      <c r="L2027" s="27">
        <v>183.4</v>
      </c>
      <c r="M2027" s="36">
        <v>0</v>
      </c>
      <c r="T2027" s="41">
        <v>0</v>
      </c>
      <c r="U2027" s="41">
        <v>0</v>
      </c>
      <c r="V2027" s="42" t="s">
        <v>113</v>
      </c>
      <c r="W2027" s="42">
        <v>183.4</v>
      </c>
      <c r="X2027" s="42">
        <v>183.4</v>
      </c>
    </row>
    <row r="2028" spans="1:24">
      <c r="A2028" s="27" t="s">
        <v>3827</v>
      </c>
      <c r="B2028" s="28" t="s">
        <v>215</v>
      </c>
      <c r="C2028" s="27" t="s">
        <v>3806</v>
      </c>
      <c r="D2028" s="27" t="s">
        <v>230</v>
      </c>
      <c r="E2028" s="29">
        <v>39048</v>
      </c>
      <c r="F2028" s="27">
        <v>12</v>
      </c>
      <c r="G2028" s="18">
        <v>183.4</v>
      </c>
      <c r="H2028" s="27">
        <f t="shared" si="62"/>
        <v>183.4</v>
      </c>
      <c r="I2028" s="18">
        <v>183.4</v>
      </c>
      <c r="J2028" s="27">
        <v>183.4</v>
      </c>
      <c r="K2028" s="18">
        <f t="shared" si="63"/>
        <v>183.4</v>
      </c>
      <c r="L2028" s="27">
        <v>183.4</v>
      </c>
      <c r="M2028" s="36">
        <v>0</v>
      </c>
      <c r="T2028" s="41">
        <v>0</v>
      </c>
      <c r="U2028" s="41">
        <v>0</v>
      </c>
      <c r="V2028" s="42" t="s">
        <v>113</v>
      </c>
      <c r="W2028" s="42">
        <v>183.4</v>
      </c>
      <c r="X2028" s="42">
        <v>183.4</v>
      </c>
    </row>
    <row r="2029" spans="1:24">
      <c r="A2029" s="27" t="s">
        <v>3828</v>
      </c>
      <c r="B2029" s="28" t="s">
        <v>215</v>
      </c>
      <c r="C2029" s="27" t="s">
        <v>3829</v>
      </c>
      <c r="D2029" s="27" t="s">
        <v>230</v>
      </c>
      <c r="E2029" s="29">
        <v>39048</v>
      </c>
      <c r="F2029" s="27">
        <v>12</v>
      </c>
      <c r="G2029" s="18">
        <v>183.4</v>
      </c>
      <c r="H2029" s="27">
        <f t="shared" si="62"/>
        <v>183.4</v>
      </c>
      <c r="I2029" s="18">
        <v>183.4</v>
      </c>
      <c r="J2029" s="27">
        <v>183.4</v>
      </c>
      <c r="K2029" s="18">
        <f t="shared" si="63"/>
        <v>183.4</v>
      </c>
      <c r="L2029" s="27">
        <v>183.4</v>
      </c>
      <c r="M2029" s="36">
        <v>0</v>
      </c>
      <c r="T2029" s="41">
        <v>0</v>
      </c>
      <c r="U2029" s="41">
        <v>0</v>
      </c>
      <c r="V2029" s="42" t="s">
        <v>113</v>
      </c>
      <c r="W2029" s="42">
        <v>183.4</v>
      </c>
      <c r="X2029" s="42">
        <v>183.4</v>
      </c>
    </row>
    <row r="2030" spans="1:24">
      <c r="A2030" s="27" t="s">
        <v>3830</v>
      </c>
      <c r="B2030" s="28" t="s">
        <v>215</v>
      </c>
      <c r="C2030" s="27" t="s">
        <v>3831</v>
      </c>
      <c r="D2030" s="27" t="s">
        <v>230</v>
      </c>
      <c r="E2030" s="29">
        <v>35795</v>
      </c>
      <c r="F2030" s="27">
        <v>15</v>
      </c>
      <c r="G2030" s="18">
        <v>19862.62</v>
      </c>
      <c r="H2030" s="27">
        <f t="shared" si="62"/>
        <v>19862.62</v>
      </c>
      <c r="I2030" s="18">
        <v>18869.490000000002</v>
      </c>
      <c r="J2030" s="27">
        <v>19862.62</v>
      </c>
      <c r="K2030" s="18">
        <f t="shared" si="63"/>
        <v>19862.62</v>
      </c>
      <c r="L2030" s="27">
        <v>18869.490000000002</v>
      </c>
      <c r="M2030" s="36">
        <v>0</v>
      </c>
      <c r="T2030" s="41">
        <v>0</v>
      </c>
      <c r="U2030" s="41">
        <v>0</v>
      </c>
      <c r="V2030" s="42" t="s">
        <v>113</v>
      </c>
      <c r="W2030" s="42">
        <v>19862.62</v>
      </c>
      <c r="X2030" s="42">
        <v>19862.62</v>
      </c>
    </row>
    <row r="2031" spans="1:24">
      <c r="A2031" s="27" t="s">
        <v>3832</v>
      </c>
      <c r="B2031" s="28" t="s">
        <v>215</v>
      </c>
      <c r="C2031" s="27" t="s">
        <v>3833</v>
      </c>
      <c r="D2031" s="27" t="s">
        <v>230</v>
      </c>
      <c r="E2031" s="29">
        <v>35795</v>
      </c>
      <c r="F2031" s="27">
        <v>15</v>
      </c>
      <c r="G2031" s="18">
        <v>19862.62</v>
      </c>
      <c r="H2031" s="27">
        <f t="shared" si="62"/>
        <v>19862.62</v>
      </c>
      <c r="I2031" s="18">
        <v>18869.490000000002</v>
      </c>
      <c r="J2031" s="27">
        <v>19862.62</v>
      </c>
      <c r="K2031" s="18">
        <f t="shared" si="63"/>
        <v>19862.62</v>
      </c>
      <c r="L2031" s="27">
        <v>18869.490000000002</v>
      </c>
      <c r="M2031" s="36">
        <v>0</v>
      </c>
      <c r="T2031" s="41">
        <v>0</v>
      </c>
      <c r="U2031" s="41">
        <v>0</v>
      </c>
      <c r="V2031" s="42" t="s">
        <v>113</v>
      </c>
      <c r="W2031" s="42">
        <v>19862.62</v>
      </c>
      <c r="X2031" s="42">
        <v>19862.62</v>
      </c>
    </row>
    <row r="2032" spans="1:24">
      <c r="A2032" s="27" t="s">
        <v>3834</v>
      </c>
      <c r="B2032" s="28" t="s">
        <v>215</v>
      </c>
      <c r="C2032" s="27" t="s">
        <v>3835</v>
      </c>
      <c r="D2032" s="27" t="s">
        <v>230</v>
      </c>
      <c r="E2032" s="29">
        <v>35795</v>
      </c>
      <c r="F2032" s="27">
        <v>15</v>
      </c>
      <c r="G2032" s="18">
        <v>19862.62</v>
      </c>
      <c r="H2032" s="27">
        <f t="shared" si="62"/>
        <v>19862.62</v>
      </c>
      <c r="I2032" s="18">
        <v>18869.490000000002</v>
      </c>
      <c r="J2032" s="27">
        <v>19862.62</v>
      </c>
      <c r="K2032" s="18">
        <f t="shared" si="63"/>
        <v>19862.62</v>
      </c>
      <c r="L2032" s="27">
        <v>18869.490000000002</v>
      </c>
      <c r="M2032" s="36">
        <v>0</v>
      </c>
      <c r="T2032" s="41">
        <v>0</v>
      </c>
      <c r="U2032" s="41">
        <v>0</v>
      </c>
      <c r="V2032" s="42" t="s">
        <v>113</v>
      </c>
      <c r="W2032" s="42">
        <v>19862.62</v>
      </c>
      <c r="X2032" s="42">
        <v>19862.62</v>
      </c>
    </row>
    <row r="2033" spans="1:24">
      <c r="A2033" s="27" t="s">
        <v>3836</v>
      </c>
      <c r="B2033" s="28" t="s">
        <v>215</v>
      </c>
      <c r="C2033" s="27" t="s">
        <v>3837</v>
      </c>
      <c r="D2033" s="27" t="s">
        <v>230</v>
      </c>
      <c r="E2033" s="29">
        <v>35795</v>
      </c>
      <c r="F2033" s="27">
        <v>15</v>
      </c>
      <c r="G2033" s="18">
        <v>19862.62</v>
      </c>
      <c r="H2033" s="27">
        <f t="shared" si="62"/>
        <v>19862.62</v>
      </c>
      <c r="I2033" s="18">
        <v>18869.490000000002</v>
      </c>
      <c r="J2033" s="27">
        <v>19862.62</v>
      </c>
      <c r="K2033" s="18">
        <f t="shared" si="63"/>
        <v>19862.62</v>
      </c>
      <c r="L2033" s="27">
        <v>18869.490000000002</v>
      </c>
      <c r="M2033" s="36">
        <v>0</v>
      </c>
      <c r="T2033" s="41">
        <v>0</v>
      </c>
      <c r="U2033" s="41">
        <v>0</v>
      </c>
      <c r="V2033" s="42" t="s">
        <v>113</v>
      </c>
      <c r="W2033" s="42">
        <v>19862.62</v>
      </c>
      <c r="X2033" s="42">
        <v>19862.62</v>
      </c>
    </row>
    <row r="2034" spans="1:24">
      <c r="A2034" s="27" t="s">
        <v>3838</v>
      </c>
      <c r="B2034" s="28" t="s">
        <v>215</v>
      </c>
      <c r="C2034" s="27" t="s">
        <v>3839</v>
      </c>
      <c r="D2034" s="27" t="s">
        <v>230</v>
      </c>
      <c r="E2034" s="29">
        <v>35795</v>
      </c>
      <c r="F2034" s="27">
        <v>15</v>
      </c>
      <c r="G2034" s="18">
        <v>19862.62</v>
      </c>
      <c r="H2034" s="27">
        <f t="shared" si="62"/>
        <v>19862.62</v>
      </c>
      <c r="I2034" s="18">
        <v>18869.490000000002</v>
      </c>
      <c r="J2034" s="27">
        <v>19862.62</v>
      </c>
      <c r="K2034" s="18">
        <f t="shared" si="63"/>
        <v>19862.62</v>
      </c>
      <c r="L2034" s="27">
        <v>18869.490000000002</v>
      </c>
      <c r="M2034" s="36">
        <v>0</v>
      </c>
      <c r="T2034" s="41">
        <v>0</v>
      </c>
      <c r="U2034" s="41">
        <v>0</v>
      </c>
      <c r="V2034" s="42" t="s">
        <v>113</v>
      </c>
      <c r="W2034" s="42">
        <v>19862.62</v>
      </c>
      <c r="X2034" s="42">
        <v>19862.62</v>
      </c>
    </row>
    <row r="2035" spans="1:24">
      <c r="A2035" s="27" t="s">
        <v>3840</v>
      </c>
      <c r="B2035" s="28" t="s">
        <v>215</v>
      </c>
      <c r="C2035" s="27" t="s">
        <v>3841</v>
      </c>
      <c r="D2035" s="27" t="s">
        <v>230</v>
      </c>
      <c r="E2035" s="29">
        <v>35795</v>
      </c>
      <c r="F2035" s="27">
        <v>15</v>
      </c>
      <c r="G2035" s="18">
        <v>19862.62</v>
      </c>
      <c r="H2035" s="27">
        <f t="shared" si="62"/>
        <v>19862.62</v>
      </c>
      <c r="I2035" s="18">
        <v>18869.490000000002</v>
      </c>
      <c r="J2035" s="27">
        <v>19862.62</v>
      </c>
      <c r="K2035" s="18">
        <f t="shared" si="63"/>
        <v>19862.62</v>
      </c>
      <c r="L2035" s="27">
        <v>18869.490000000002</v>
      </c>
      <c r="M2035" s="36">
        <v>0</v>
      </c>
      <c r="T2035" s="41">
        <v>0</v>
      </c>
      <c r="U2035" s="41">
        <v>0</v>
      </c>
      <c r="V2035" s="42" t="s">
        <v>113</v>
      </c>
      <c r="W2035" s="42">
        <v>19862.62</v>
      </c>
      <c r="X2035" s="42">
        <v>19862.62</v>
      </c>
    </row>
    <row r="2036" spans="1:24">
      <c r="A2036" s="27" t="s">
        <v>3842</v>
      </c>
      <c r="B2036" s="28" t="s">
        <v>215</v>
      </c>
      <c r="C2036" s="27" t="s">
        <v>3843</v>
      </c>
      <c r="D2036" s="27" t="s">
        <v>230</v>
      </c>
      <c r="E2036" s="29">
        <v>35795</v>
      </c>
      <c r="F2036" s="27">
        <v>15</v>
      </c>
      <c r="G2036" s="18">
        <v>19862.62</v>
      </c>
      <c r="H2036" s="27">
        <f t="shared" si="62"/>
        <v>19862.62</v>
      </c>
      <c r="I2036" s="18">
        <v>18869.490000000002</v>
      </c>
      <c r="J2036" s="27">
        <v>19862.62</v>
      </c>
      <c r="K2036" s="18">
        <f t="shared" si="63"/>
        <v>19862.62</v>
      </c>
      <c r="L2036" s="27">
        <v>18869.490000000002</v>
      </c>
      <c r="M2036" s="36">
        <v>0</v>
      </c>
      <c r="T2036" s="41">
        <v>0</v>
      </c>
      <c r="U2036" s="41">
        <v>0</v>
      </c>
      <c r="V2036" s="42" t="s">
        <v>113</v>
      </c>
      <c r="W2036" s="42">
        <v>19862.62</v>
      </c>
      <c r="X2036" s="42">
        <v>19862.62</v>
      </c>
    </row>
    <row r="2037" spans="1:24">
      <c r="A2037" s="27" t="s">
        <v>3844</v>
      </c>
      <c r="B2037" s="28" t="s">
        <v>215</v>
      </c>
      <c r="C2037" s="27" t="s">
        <v>3845</v>
      </c>
      <c r="D2037" s="27" t="s">
        <v>230</v>
      </c>
      <c r="E2037" s="29">
        <v>35795</v>
      </c>
      <c r="F2037" s="27">
        <v>15</v>
      </c>
      <c r="G2037" s="18">
        <v>19862.62</v>
      </c>
      <c r="H2037" s="27">
        <f t="shared" si="62"/>
        <v>19862.62</v>
      </c>
      <c r="I2037" s="18">
        <v>18869.490000000002</v>
      </c>
      <c r="J2037" s="27">
        <v>19862.62</v>
      </c>
      <c r="K2037" s="18">
        <f t="shared" si="63"/>
        <v>19862.62</v>
      </c>
      <c r="L2037" s="27">
        <v>18869.490000000002</v>
      </c>
      <c r="M2037" s="36">
        <v>0</v>
      </c>
      <c r="T2037" s="41">
        <v>0</v>
      </c>
      <c r="U2037" s="41">
        <v>0</v>
      </c>
      <c r="V2037" s="42" t="s">
        <v>113</v>
      </c>
      <c r="W2037" s="42">
        <v>19862.62</v>
      </c>
      <c r="X2037" s="42">
        <v>19862.62</v>
      </c>
    </row>
    <row r="2038" spans="1:24">
      <c r="A2038" s="27" t="s">
        <v>3846</v>
      </c>
      <c r="B2038" s="28" t="s">
        <v>215</v>
      </c>
      <c r="C2038" s="27" t="s">
        <v>3847</v>
      </c>
      <c r="D2038" s="27" t="s">
        <v>230</v>
      </c>
      <c r="E2038" s="29">
        <v>35795</v>
      </c>
      <c r="F2038" s="27">
        <v>15</v>
      </c>
      <c r="G2038" s="18">
        <v>19862.62</v>
      </c>
      <c r="H2038" s="27">
        <f t="shared" si="62"/>
        <v>19862.62</v>
      </c>
      <c r="I2038" s="18">
        <v>18869.490000000002</v>
      </c>
      <c r="J2038" s="27">
        <v>19862.62</v>
      </c>
      <c r="K2038" s="18">
        <f t="shared" si="63"/>
        <v>19862.62</v>
      </c>
      <c r="L2038" s="27">
        <v>18869.490000000002</v>
      </c>
      <c r="M2038" s="36">
        <v>0</v>
      </c>
      <c r="T2038" s="41">
        <v>0</v>
      </c>
      <c r="U2038" s="41">
        <v>0</v>
      </c>
      <c r="V2038" s="42" t="s">
        <v>113</v>
      </c>
      <c r="W2038" s="42">
        <v>19862.62</v>
      </c>
      <c r="X2038" s="42">
        <v>19862.62</v>
      </c>
    </row>
    <row r="2039" spans="1:24">
      <c r="A2039" s="27" t="s">
        <v>3848</v>
      </c>
      <c r="B2039" s="28" t="s">
        <v>215</v>
      </c>
      <c r="C2039" s="27" t="s">
        <v>3849</v>
      </c>
      <c r="D2039" s="27" t="s">
        <v>230</v>
      </c>
      <c r="E2039" s="29">
        <v>35795</v>
      </c>
      <c r="F2039" s="27">
        <v>15</v>
      </c>
      <c r="G2039" s="18">
        <v>19862.62</v>
      </c>
      <c r="H2039" s="27">
        <f t="shared" si="62"/>
        <v>19862.62</v>
      </c>
      <c r="I2039" s="18">
        <v>18869.490000000002</v>
      </c>
      <c r="J2039" s="27">
        <v>19862.62</v>
      </c>
      <c r="K2039" s="18">
        <f t="shared" si="63"/>
        <v>19862.62</v>
      </c>
      <c r="L2039" s="27">
        <v>18869.490000000002</v>
      </c>
      <c r="M2039" s="36">
        <v>0</v>
      </c>
      <c r="T2039" s="41">
        <v>0</v>
      </c>
      <c r="U2039" s="41">
        <v>0</v>
      </c>
      <c r="V2039" s="42" t="s">
        <v>113</v>
      </c>
      <c r="W2039" s="42">
        <v>19862.62</v>
      </c>
      <c r="X2039" s="42">
        <v>19862.62</v>
      </c>
    </row>
    <row r="2040" spans="1:24">
      <c r="A2040" s="27" t="s">
        <v>3850</v>
      </c>
      <c r="B2040" s="28" t="s">
        <v>215</v>
      </c>
      <c r="C2040" s="27" t="s">
        <v>3851</v>
      </c>
      <c r="D2040" s="27" t="s">
        <v>230</v>
      </c>
      <c r="E2040" s="29">
        <v>35795</v>
      </c>
      <c r="F2040" s="27">
        <v>12</v>
      </c>
      <c r="G2040" s="18">
        <v>474.63</v>
      </c>
      <c r="H2040" s="27">
        <f t="shared" si="62"/>
        <v>474.63</v>
      </c>
      <c r="I2040" s="18">
        <v>474.63</v>
      </c>
      <c r="J2040" s="27">
        <v>474.63</v>
      </c>
      <c r="K2040" s="18">
        <f t="shared" si="63"/>
        <v>474.63</v>
      </c>
      <c r="L2040" s="27">
        <v>474.63</v>
      </c>
      <c r="M2040" s="36">
        <v>0</v>
      </c>
      <c r="T2040" s="41">
        <v>0</v>
      </c>
      <c r="U2040" s="41">
        <v>0</v>
      </c>
      <c r="V2040" s="42" t="s">
        <v>113</v>
      </c>
      <c r="W2040" s="42">
        <v>474.63</v>
      </c>
      <c r="X2040" s="42">
        <v>474.63</v>
      </c>
    </row>
    <row r="2041" spans="1:24">
      <c r="A2041" s="27" t="s">
        <v>3852</v>
      </c>
      <c r="B2041" s="28" t="s">
        <v>215</v>
      </c>
      <c r="C2041" s="27" t="s">
        <v>3853</v>
      </c>
      <c r="D2041" s="27" t="s">
        <v>230</v>
      </c>
      <c r="E2041" s="29">
        <v>35795</v>
      </c>
      <c r="F2041" s="27">
        <v>12</v>
      </c>
      <c r="G2041" s="18">
        <v>474.63</v>
      </c>
      <c r="H2041" s="27">
        <f t="shared" si="62"/>
        <v>474.63</v>
      </c>
      <c r="I2041" s="18">
        <v>474.63</v>
      </c>
      <c r="J2041" s="27">
        <v>474.63</v>
      </c>
      <c r="K2041" s="18">
        <f t="shared" si="63"/>
        <v>474.63</v>
      </c>
      <c r="L2041" s="27">
        <v>474.63</v>
      </c>
      <c r="M2041" s="36">
        <v>0</v>
      </c>
      <c r="T2041" s="41">
        <v>0</v>
      </c>
      <c r="U2041" s="41">
        <v>0</v>
      </c>
      <c r="V2041" s="42" t="s">
        <v>113</v>
      </c>
      <c r="W2041" s="42">
        <v>474.63</v>
      </c>
      <c r="X2041" s="42">
        <v>474.63</v>
      </c>
    </row>
    <row r="2042" spans="1:24">
      <c r="A2042" s="27" t="s">
        <v>3854</v>
      </c>
      <c r="B2042" s="28" t="s">
        <v>215</v>
      </c>
      <c r="C2042" s="27" t="s">
        <v>3855</v>
      </c>
      <c r="D2042" s="27" t="s">
        <v>230</v>
      </c>
      <c r="E2042" s="29">
        <v>35795</v>
      </c>
      <c r="F2042" s="27">
        <v>12</v>
      </c>
      <c r="G2042" s="18">
        <v>474.63</v>
      </c>
      <c r="H2042" s="27">
        <f t="shared" si="62"/>
        <v>474.63</v>
      </c>
      <c r="I2042" s="18">
        <v>474.63</v>
      </c>
      <c r="J2042" s="27">
        <v>474.63</v>
      </c>
      <c r="K2042" s="18">
        <f t="shared" si="63"/>
        <v>474.63</v>
      </c>
      <c r="L2042" s="27">
        <v>474.63</v>
      </c>
      <c r="M2042" s="36">
        <v>0</v>
      </c>
      <c r="T2042" s="41">
        <v>0</v>
      </c>
      <c r="U2042" s="41">
        <v>0</v>
      </c>
      <c r="V2042" s="42" t="s">
        <v>113</v>
      </c>
      <c r="W2042" s="42">
        <v>474.63</v>
      </c>
      <c r="X2042" s="42">
        <v>474.63</v>
      </c>
    </row>
    <row r="2043" spans="1:24">
      <c r="A2043" s="27" t="s">
        <v>3856</v>
      </c>
      <c r="B2043" s="28" t="s">
        <v>215</v>
      </c>
      <c r="C2043" s="27" t="s">
        <v>3857</v>
      </c>
      <c r="D2043" s="27" t="s">
        <v>230</v>
      </c>
      <c r="E2043" s="29">
        <v>35795</v>
      </c>
      <c r="F2043" s="27">
        <v>12</v>
      </c>
      <c r="G2043" s="18">
        <v>474.63</v>
      </c>
      <c r="H2043" s="27">
        <f t="shared" si="62"/>
        <v>474.63</v>
      </c>
      <c r="I2043" s="18">
        <v>474.63</v>
      </c>
      <c r="J2043" s="27">
        <v>474.63</v>
      </c>
      <c r="K2043" s="18">
        <f t="shared" si="63"/>
        <v>474.63</v>
      </c>
      <c r="L2043" s="27">
        <v>474.63</v>
      </c>
      <c r="M2043" s="36">
        <v>0</v>
      </c>
      <c r="T2043" s="41">
        <v>0</v>
      </c>
      <c r="U2043" s="41">
        <v>0</v>
      </c>
      <c r="V2043" s="42" t="s">
        <v>113</v>
      </c>
      <c r="W2043" s="42">
        <v>474.63</v>
      </c>
      <c r="X2043" s="42">
        <v>474.63</v>
      </c>
    </row>
    <row r="2044" spans="1:24">
      <c r="A2044" s="27" t="s">
        <v>3858</v>
      </c>
      <c r="B2044" s="28" t="s">
        <v>215</v>
      </c>
      <c r="C2044" s="27" t="s">
        <v>3851</v>
      </c>
      <c r="D2044" s="27" t="s">
        <v>230</v>
      </c>
      <c r="E2044" s="29">
        <v>35795</v>
      </c>
      <c r="F2044" s="27">
        <v>12</v>
      </c>
      <c r="G2044" s="18">
        <v>474.63</v>
      </c>
      <c r="H2044" s="27">
        <f t="shared" si="62"/>
        <v>474.63</v>
      </c>
      <c r="I2044" s="18">
        <v>474.63</v>
      </c>
      <c r="J2044" s="27">
        <v>474.63</v>
      </c>
      <c r="K2044" s="18">
        <f t="shared" si="63"/>
        <v>474.63</v>
      </c>
      <c r="L2044" s="27">
        <v>474.63</v>
      </c>
      <c r="M2044" s="36">
        <v>0</v>
      </c>
      <c r="T2044" s="41">
        <v>0</v>
      </c>
      <c r="U2044" s="41">
        <v>0</v>
      </c>
      <c r="V2044" s="42" t="s">
        <v>113</v>
      </c>
      <c r="W2044" s="42">
        <v>474.63</v>
      </c>
      <c r="X2044" s="42">
        <v>474.63</v>
      </c>
    </row>
    <row r="2045" spans="1:24">
      <c r="A2045" s="27" t="s">
        <v>3859</v>
      </c>
      <c r="B2045" s="28" t="s">
        <v>215</v>
      </c>
      <c r="C2045" s="27" t="s">
        <v>3853</v>
      </c>
      <c r="D2045" s="27" t="s">
        <v>230</v>
      </c>
      <c r="E2045" s="29">
        <v>35795</v>
      </c>
      <c r="F2045" s="27">
        <v>12</v>
      </c>
      <c r="G2045" s="18">
        <v>474.63</v>
      </c>
      <c r="H2045" s="27">
        <f t="shared" si="62"/>
        <v>474.63</v>
      </c>
      <c r="I2045" s="18">
        <v>474.63</v>
      </c>
      <c r="J2045" s="27">
        <v>474.63</v>
      </c>
      <c r="K2045" s="18">
        <f t="shared" si="63"/>
        <v>474.63</v>
      </c>
      <c r="L2045" s="27">
        <v>474.63</v>
      </c>
      <c r="M2045" s="36">
        <v>0</v>
      </c>
      <c r="T2045" s="41">
        <v>0</v>
      </c>
      <c r="U2045" s="41">
        <v>0</v>
      </c>
      <c r="V2045" s="42" t="s">
        <v>113</v>
      </c>
      <c r="W2045" s="42">
        <v>474.63</v>
      </c>
      <c r="X2045" s="42">
        <v>474.63</v>
      </c>
    </row>
    <row r="2046" spans="1:24">
      <c r="A2046" s="27" t="s">
        <v>3860</v>
      </c>
      <c r="B2046" s="28" t="s">
        <v>215</v>
      </c>
      <c r="C2046" s="27" t="s">
        <v>3855</v>
      </c>
      <c r="D2046" s="27" t="s">
        <v>230</v>
      </c>
      <c r="E2046" s="29">
        <v>35795</v>
      </c>
      <c r="F2046" s="27">
        <v>12</v>
      </c>
      <c r="G2046" s="18">
        <v>474.63</v>
      </c>
      <c r="H2046" s="27">
        <f t="shared" si="62"/>
        <v>474.63</v>
      </c>
      <c r="I2046" s="18">
        <v>474.63</v>
      </c>
      <c r="J2046" s="27">
        <v>474.63</v>
      </c>
      <c r="K2046" s="18">
        <f t="shared" si="63"/>
        <v>474.63</v>
      </c>
      <c r="L2046" s="27">
        <v>474.63</v>
      </c>
      <c r="M2046" s="36">
        <v>0</v>
      </c>
      <c r="T2046" s="41">
        <v>0</v>
      </c>
      <c r="U2046" s="41">
        <v>0</v>
      </c>
      <c r="V2046" s="42" t="s">
        <v>113</v>
      </c>
      <c r="W2046" s="42">
        <v>474.63</v>
      </c>
      <c r="X2046" s="42">
        <v>474.63</v>
      </c>
    </row>
    <row r="2047" spans="1:24">
      <c r="A2047" s="27" t="s">
        <v>3861</v>
      </c>
      <c r="B2047" s="28" t="s">
        <v>215</v>
      </c>
      <c r="C2047" s="27" t="s">
        <v>3862</v>
      </c>
      <c r="D2047" s="27" t="s">
        <v>230</v>
      </c>
      <c r="E2047" s="29">
        <v>35795</v>
      </c>
      <c r="F2047" s="27">
        <v>12</v>
      </c>
      <c r="G2047" s="18">
        <v>474.63</v>
      </c>
      <c r="H2047" s="27">
        <f t="shared" si="62"/>
        <v>474.63</v>
      </c>
      <c r="I2047" s="18">
        <v>474.63</v>
      </c>
      <c r="J2047" s="27">
        <v>474.63</v>
      </c>
      <c r="K2047" s="18">
        <f t="shared" si="63"/>
        <v>474.63</v>
      </c>
      <c r="L2047" s="27">
        <v>474.63</v>
      </c>
      <c r="M2047" s="36">
        <v>0</v>
      </c>
      <c r="T2047" s="41">
        <v>0</v>
      </c>
      <c r="U2047" s="41">
        <v>0</v>
      </c>
      <c r="V2047" s="42" t="s">
        <v>113</v>
      </c>
      <c r="W2047" s="42">
        <v>474.63</v>
      </c>
      <c r="X2047" s="42">
        <v>474.63</v>
      </c>
    </row>
    <row r="2048" spans="1:24">
      <c r="A2048" s="27" t="s">
        <v>3863</v>
      </c>
      <c r="B2048" s="28" t="s">
        <v>215</v>
      </c>
      <c r="C2048" s="27" t="s">
        <v>3864</v>
      </c>
      <c r="D2048" s="27" t="s">
        <v>230</v>
      </c>
      <c r="E2048" s="29">
        <v>35795</v>
      </c>
      <c r="F2048" s="27">
        <v>12</v>
      </c>
      <c r="G2048" s="18">
        <v>474.63</v>
      </c>
      <c r="H2048" s="27">
        <f t="shared" si="62"/>
        <v>474.63</v>
      </c>
      <c r="I2048" s="18">
        <v>474.63</v>
      </c>
      <c r="J2048" s="27">
        <v>474.63</v>
      </c>
      <c r="K2048" s="18">
        <f t="shared" si="63"/>
        <v>474.63</v>
      </c>
      <c r="L2048" s="27">
        <v>474.63</v>
      </c>
      <c r="M2048" s="36">
        <v>0</v>
      </c>
      <c r="T2048" s="41">
        <v>0</v>
      </c>
      <c r="U2048" s="41">
        <v>0</v>
      </c>
      <c r="V2048" s="42" t="s">
        <v>113</v>
      </c>
      <c r="W2048" s="42">
        <v>474.63</v>
      </c>
      <c r="X2048" s="42">
        <v>474.63</v>
      </c>
    </row>
    <row r="2049" spans="1:24">
      <c r="A2049" s="27" t="s">
        <v>3865</v>
      </c>
      <c r="B2049" s="28" t="s">
        <v>215</v>
      </c>
      <c r="C2049" s="27" t="s">
        <v>3857</v>
      </c>
      <c r="D2049" s="27" t="s">
        <v>230</v>
      </c>
      <c r="E2049" s="29">
        <v>35795</v>
      </c>
      <c r="F2049" s="27">
        <v>12</v>
      </c>
      <c r="G2049" s="18">
        <v>474.63</v>
      </c>
      <c r="H2049" s="27">
        <f t="shared" si="62"/>
        <v>474.63</v>
      </c>
      <c r="I2049" s="18">
        <v>474.63</v>
      </c>
      <c r="J2049" s="27">
        <v>474.63</v>
      </c>
      <c r="K2049" s="18">
        <f t="shared" si="63"/>
        <v>474.63</v>
      </c>
      <c r="L2049" s="27">
        <v>474.63</v>
      </c>
      <c r="M2049" s="36">
        <v>0</v>
      </c>
      <c r="T2049" s="41">
        <v>0</v>
      </c>
      <c r="U2049" s="41">
        <v>0</v>
      </c>
      <c r="V2049" s="42" t="s">
        <v>113</v>
      </c>
      <c r="W2049" s="42">
        <v>474.63</v>
      </c>
      <c r="X2049" s="42">
        <v>474.63</v>
      </c>
    </row>
    <row r="2050" spans="1:24">
      <c r="A2050" s="27" t="s">
        <v>3866</v>
      </c>
      <c r="B2050" s="28" t="s">
        <v>215</v>
      </c>
      <c r="C2050" s="27" t="s">
        <v>3851</v>
      </c>
      <c r="D2050" s="27" t="s">
        <v>230</v>
      </c>
      <c r="E2050" s="29">
        <v>35795</v>
      </c>
      <c r="F2050" s="27">
        <v>12</v>
      </c>
      <c r="G2050" s="18">
        <v>474.63</v>
      </c>
      <c r="H2050" s="27">
        <f t="shared" si="62"/>
        <v>474.63</v>
      </c>
      <c r="I2050" s="18">
        <v>474.63</v>
      </c>
      <c r="J2050" s="27">
        <v>474.63</v>
      </c>
      <c r="K2050" s="18">
        <f t="shared" si="63"/>
        <v>474.63</v>
      </c>
      <c r="L2050" s="27">
        <v>474.63</v>
      </c>
      <c r="M2050" s="36">
        <v>0</v>
      </c>
      <c r="T2050" s="41">
        <v>0</v>
      </c>
      <c r="U2050" s="41">
        <v>0</v>
      </c>
      <c r="V2050" s="42" t="s">
        <v>113</v>
      </c>
      <c r="W2050" s="42">
        <v>474.63</v>
      </c>
      <c r="X2050" s="42">
        <v>474.63</v>
      </c>
    </row>
    <row r="2051" spans="1:24">
      <c r="A2051" s="27" t="s">
        <v>3867</v>
      </c>
      <c r="B2051" s="28" t="s">
        <v>215</v>
      </c>
      <c r="C2051" s="27" t="s">
        <v>3853</v>
      </c>
      <c r="D2051" s="27" t="s">
        <v>230</v>
      </c>
      <c r="E2051" s="29">
        <v>35795</v>
      </c>
      <c r="F2051" s="27">
        <v>12</v>
      </c>
      <c r="G2051" s="18">
        <v>474.63</v>
      </c>
      <c r="H2051" s="27">
        <f t="shared" si="62"/>
        <v>474.63</v>
      </c>
      <c r="I2051" s="18">
        <v>474.63</v>
      </c>
      <c r="J2051" s="27">
        <v>474.63</v>
      </c>
      <c r="K2051" s="18">
        <f t="shared" si="63"/>
        <v>474.63</v>
      </c>
      <c r="L2051" s="27">
        <v>474.63</v>
      </c>
      <c r="M2051" s="36">
        <v>0</v>
      </c>
      <c r="T2051" s="41">
        <v>0</v>
      </c>
      <c r="U2051" s="41">
        <v>0</v>
      </c>
      <c r="V2051" s="42" t="s">
        <v>113</v>
      </c>
      <c r="W2051" s="42">
        <v>474.63</v>
      </c>
      <c r="X2051" s="42">
        <v>474.63</v>
      </c>
    </row>
    <row r="2052" spans="1:24">
      <c r="A2052" s="27" t="s">
        <v>3868</v>
      </c>
      <c r="B2052" s="28" t="s">
        <v>215</v>
      </c>
      <c r="C2052" s="27" t="s">
        <v>3855</v>
      </c>
      <c r="D2052" s="27" t="s">
        <v>230</v>
      </c>
      <c r="E2052" s="29">
        <v>35795</v>
      </c>
      <c r="F2052" s="27">
        <v>12</v>
      </c>
      <c r="G2052" s="18">
        <v>474.63</v>
      </c>
      <c r="H2052" s="27">
        <f t="shared" si="62"/>
        <v>474.63</v>
      </c>
      <c r="I2052" s="18">
        <v>474.63</v>
      </c>
      <c r="J2052" s="27">
        <v>474.63</v>
      </c>
      <c r="K2052" s="18">
        <f t="shared" si="63"/>
        <v>474.63</v>
      </c>
      <c r="L2052" s="27">
        <v>474.63</v>
      </c>
      <c r="M2052" s="36">
        <v>0</v>
      </c>
      <c r="T2052" s="41">
        <v>0</v>
      </c>
      <c r="U2052" s="41">
        <v>0</v>
      </c>
      <c r="V2052" s="42" t="s">
        <v>113</v>
      </c>
      <c r="W2052" s="42">
        <v>474.63</v>
      </c>
      <c r="X2052" s="42">
        <v>474.63</v>
      </c>
    </row>
    <row r="2053" spans="1:24">
      <c r="A2053" s="27" t="s">
        <v>3869</v>
      </c>
      <c r="B2053" s="28" t="s">
        <v>215</v>
      </c>
      <c r="C2053" s="27" t="s">
        <v>3862</v>
      </c>
      <c r="D2053" s="27" t="s">
        <v>230</v>
      </c>
      <c r="E2053" s="29">
        <v>35795</v>
      </c>
      <c r="F2053" s="27">
        <v>12</v>
      </c>
      <c r="G2053" s="18">
        <v>474.63</v>
      </c>
      <c r="H2053" s="27">
        <f t="shared" si="62"/>
        <v>474.63</v>
      </c>
      <c r="I2053" s="18">
        <v>474.63</v>
      </c>
      <c r="J2053" s="27">
        <v>474.63</v>
      </c>
      <c r="K2053" s="18">
        <f t="shared" si="63"/>
        <v>474.63</v>
      </c>
      <c r="L2053" s="27">
        <v>474.63</v>
      </c>
      <c r="M2053" s="36">
        <v>0</v>
      </c>
      <c r="T2053" s="41">
        <v>0</v>
      </c>
      <c r="U2053" s="41">
        <v>0</v>
      </c>
      <c r="V2053" s="42" t="s">
        <v>113</v>
      </c>
      <c r="W2053" s="42">
        <v>474.63</v>
      </c>
      <c r="X2053" s="42">
        <v>474.63</v>
      </c>
    </row>
    <row r="2054" spans="1:24">
      <c r="A2054" s="27" t="s">
        <v>3870</v>
      </c>
      <c r="B2054" s="28" t="s">
        <v>215</v>
      </c>
      <c r="C2054" s="27" t="s">
        <v>3864</v>
      </c>
      <c r="D2054" s="27" t="s">
        <v>230</v>
      </c>
      <c r="E2054" s="29">
        <v>35795</v>
      </c>
      <c r="F2054" s="27">
        <v>12</v>
      </c>
      <c r="G2054" s="18">
        <v>474.63</v>
      </c>
      <c r="H2054" s="27">
        <f t="shared" ref="H2054:H2117" si="64">IFERROR(IF(ROUND((G2054-I2054)/G2054,2)&lt;=0.05,G2054,0),0)</f>
        <v>474.63</v>
      </c>
      <c r="I2054" s="18">
        <v>474.63</v>
      </c>
      <c r="J2054" s="27">
        <v>474.63</v>
      </c>
      <c r="K2054" s="18">
        <f t="shared" ref="K2054:K2117" si="65">IFERROR(IF(ROUND((J2054-L2054)/J2054,2)&lt;=0.05,J2054,0),0)</f>
        <v>474.63</v>
      </c>
      <c r="L2054" s="27">
        <v>474.63</v>
      </c>
      <c r="M2054" s="36">
        <v>0</v>
      </c>
      <c r="T2054" s="41">
        <v>0</v>
      </c>
      <c r="U2054" s="41">
        <v>0</v>
      </c>
      <c r="V2054" s="42" t="s">
        <v>113</v>
      </c>
      <c r="W2054" s="42">
        <v>474.63</v>
      </c>
      <c r="X2054" s="42">
        <v>474.63</v>
      </c>
    </row>
    <row r="2055" spans="1:24">
      <c r="A2055" s="27" t="s">
        <v>3871</v>
      </c>
      <c r="B2055" s="28" t="s">
        <v>215</v>
      </c>
      <c r="C2055" s="27" t="s">
        <v>3833</v>
      </c>
      <c r="D2055" s="27" t="s">
        <v>230</v>
      </c>
      <c r="E2055" s="29">
        <v>35795</v>
      </c>
      <c r="F2055" s="27">
        <v>15</v>
      </c>
      <c r="G2055" s="18">
        <v>9626.11</v>
      </c>
      <c r="H2055" s="27">
        <f t="shared" si="64"/>
        <v>9626.11</v>
      </c>
      <c r="I2055" s="18">
        <v>9144.7999999999993</v>
      </c>
      <c r="J2055" s="27">
        <v>9626.11</v>
      </c>
      <c r="K2055" s="18">
        <f t="shared" si="65"/>
        <v>9626.11</v>
      </c>
      <c r="L2055" s="27">
        <v>9144.7999999999993</v>
      </c>
      <c r="M2055" s="36">
        <v>0</v>
      </c>
      <c r="T2055" s="41">
        <v>0</v>
      </c>
      <c r="U2055" s="41">
        <v>0</v>
      </c>
      <c r="V2055" s="42" t="s">
        <v>113</v>
      </c>
      <c r="W2055" s="42">
        <v>9626.11</v>
      </c>
      <c r="X2055" s="42">
        <v>9626.11</v>
      </c>
    </row>
    <row r="2056" spans="1:24">
      <c r="A2056" s="27" t="s">
        <v>3872</v>
      </c>
      <c r="B2056" s="28" t="s">
        <v>215</v>
      </c>
      <c r="C2056" s="27" t="s">
        <v>3835</v>
      </c>
      <c r="D2056" s="27" t="s">
        <v>230</v>
      </c>
      <c r="E2056" s="29">
        <v>35795</v>
      </c>
      <c r="F2056" s="27">
        <v>15</v>
      </c>
      <c r="G2056" s="18">
        <v>9626.11</v>
      </c>
      <c r="H2056" s="27">
        <f t="shared" si="64"/>
        <v>9626.11</v>
      </c>
      <c r="I2056" s="18">
        <v>9144.7999999999993</v>
      </c>
      <c r="J2056" s="27">
        <v>9626.11</v>
      </c>
      <c r="K2056" s="18">
        <f t="shared" si="65"/>
        <v>9626.11</v>
      </c>
      <c r="L2056" s="27">
        <v>9144.7999999999993</v>
      </c>
      <c r="M2056" s="36">
        <v>0</v>
      </c>
      <c r="T2056" s="41">
        <v>0</v>
      </c>
      <c r="U2056" s="41">
        <v>0</v>
      </c>
      <c r="V2056" s="42" t="s">
        <v>113</v>
      </c>
      <c r="W2056" s="42">
        <v>9626.11</v>
      </c>
      <c r="X2056" s="42">
        <v>9626.11</v>
      </c>
    </row>
    <row r="2057" spans="1:24">
      <c r="A2057" s="27" t="s">
        <v>3873</v>
      </c>
      <c r="B2057" s="28" t="s">
        <v>215</v>
      </c>
      <c r="C2057" s="27" t="s">
        <v>3837</v>
      </c>
      <c r="D2057" s="27" t="s">
        <v>230</v>
      </c>
      <c r="E2057" s="29">
        <v>35795</v>
      </c>
      <c r="F2057" s="27">
        <v>15</v>
      </c>
      <c r="G2057" s="18">
        <v>9626.11</v>
      </c>
      <c r="H2057" s="27">
        <f t="shared" si="64"/>
        <v>9626.11</v>
      </c>
      <c r="I2057" s="18">
        <v>9144.7999999999993</v>
      </c>
      <c r="J2057" s="27">
        <v>9626.11</v>
      </c>
      <c r="K2057" s="18">
        <f t="shared" si="65"/>
        <v>9626.11</v>
      </c>
      <c r="L2057" s="27">
        <v>9144.7999999999993</v>
      </c>
      <c r="M2057" s="36">
        <v>0</v>
      </c>
      <c r="T2057" s="41">
        <v>0</v>
      </c>
      <c r="U2057" s="41">
        <v>0</v>
      </c>
      <c r="V2057" s="42" t="s">
        <v>113</v>
      </c>
      <c r="W2057" s="42">
        <v>9626.11</v>
      </c>
      <c r="X2057" s="42">
        <v>9626.11</v>
      </c>
    </row>
    <row r="2058" spans="1:24">
      <c r="A2058" s="27" t="s">
        <v>3874</v>
      </c>
      <c r="B2058" s="28" t="s">
        <v>215</v>
      </c>
      <c r="C2058" s="27" t="s">
        <v>3839</v>
      </c>
      <c r="D2058" s="27" t="s">
        <v>230</v>
      </c>
      <c r="E2058" s="29">
        <v>35795</v>
      </c>
      <c r="F2058" s="27">
        <v>15</v>
      </c>
      <c r="G2058" s="18">
        <v>9626.11</v>
      </c>
      <c r="H2058" s="27">
        <f t="shared" si="64"/>
        <v>9626.11</v>
      </c>
      <c r="I2058" s="18">
        <v>9144.7999999999993</v>
      </c>
      <c r="J2058" s="27">
        <v>9626.11</v>
      </c>
      <c r="K2058" s="18">
        <f t="shared" si="65"/>
        <v>9626.11</v>
      </c>
      <c r="L2058" s="27">
        <v>9144.7999999999993</v>
      </c>
      <c r="M2058" s="36">
        <v>0</v>
      </c>
      <c r="T2058" s="41">
        <v>0</v>
      </c>
      <c r="U2058" s="41">
        <v>0</v>
      </c>
      <c r="V2058" s="42" t="s">
        <v>113</v>
      </c>
      <c r="W2058" s="42">
        <v>9626.11</v>
      </c>
      <c r="X2058" s="42">
        <v>9626.11</v>
      </c>
    </row>
    <row r="2059" spans="1:24">
      <c r="A2059" s="27" t="s">
        <v>3875</v>
      </c>
      <c r="B2059" s="28" t="s">
        <v>215</v>
      </c>
      <c r="C2059" s="27" t="s">
        <v>3841</v>
      </c>
      <c r="D2059" s="27" t="s">
        <v>230</v>
      </c>
      <c r="E2059" s="29">
        <v>35795</v>
      </c>
      <c r="F2059" s="27">
        <v>15</v>
      </c>
      <c r="G2059" s="18">
        <v>9626.11</v>
      </c>
      <c r="H2059" s="27">
        <f t="shared" si="64"/>
        <v>9626.11</v>
      </c>
      <c r="I2059" s="18">
        <v>9144.7999999999993</v>
      </c>
      <c r="J2059" s="27">
        <v>9626.11</v>
      </c>
      <c r="K2059" s="18">
        <f t="shared" si="65"/>
        <v>9626.11</v>
      </c>
      <c r="L2059" s="27">
        <v>9144.7999999999993</v>
      </c>
      <c r="M2059" s="36">
        <v>0</v>
      </c>
      <c r="T2059" s="41">
        <v>0</v>
      </c>
      <c r="U2059" s="41">
        <v>0</v>
      </c>
      <c r="V2059" s="42" t="s">
        <v>113</v>
      </c>
      <c r="W2059" s="42">
        <v>9626.11</v>
      </c>
      <c r="X2059" s="42">
        <v>9626.11</v>
      </c>
    </row>
    <row r="2060" spans="1:24">
      <c r="A2060" s="27" t="s">
        <v>3876</v>
      </c>
      <c r="B2060" s="28" t="s">
        <v>215</v>
      </c>
      <c r="C2060" s="27" t="s">
        <v>3843</v>
      </c>
      <c r="D2060" s="27" t="s">
        <v>230</v>
      </c>
      <c r="E2060" s="29">
        <v>35795</v>
      </c>
      <c r="F2060" s="27">
        <v>15</v>
      </c>
      <c r="G2060" s="18">
        <v>9626.11</v>
      </c>
      <c r="H2060" s="27">
        <f t="shared" si="64"/>
        <v>9626.11</v>
      </c>
      <c r="I2060" s="18">
        <v>9144.7999999999993</v>
      </c>
      <c r="J2060" s="27">
        <v>9626.11</v>
      </c>
      <c r="K2060" s="18">
        <f t="shared" si="65"/>
        <v>9626.11</v>
      </c>
      <c r="L2060" s="27">
        <v>9144.7999999999993</v>
      </c>
      <c r="M2060" s="36">
        <v>0</v>
      </c>
      <c r="T2060" s="41">
        <v>0</v>
      </c>
      <c r="U2060" s="41">
        <v>0</v>
      </c>
      <c r="V2060" s="42" t="s">
        <v>113</v>
      </c>
      <c r="W2060" s="42">
        <v>9626.11</v>
      </c>
      <c r="X2060" s="42">
        <v>9626.11</v>
      </c>
    </row>
    <row r="2061" spans="1:24">
      <c r="A2061" s="27" t="s">
        <v>3877</v>
      </c>
      <c r="B2061" s="28" t="s">
        <v>215</v>
      </c>
      <c r="C2061" s="27" t="s">
        <v>3845</v>
      </c>
      <c r="D2061" s="27" t="s">
        <v>230</v>
      </c>
      <c r="E2061" s="29">
        <v>35795</v>
      </c>
      <c r="F2061" s="27">
        <v>15</v>
      </c>
      <c r="G2061" s="18">
        <v>9626.11</v>
      </c>
      <c r="H2061" s="27">
        <f t="shared" si="64"/>
        <v>9626.11</v>
      </c>
      <c r="I2061" s="18">
        <v>9144.7999999999993</v>
      </c>
      <c r="J2061" s="27">
        <v>9626.11</v>
      </c>
      <c r="K2061" s="18">
        <f t="shared" si="65"/>
        <v>9626.11</v>
      </c>
      <c r="L2061" s="27">
        <v>9144.7999999999993</v>
      </c>
      <c r="M2061" s="36">
        <v>0</v>
      </c>
      <c r="T2061" s="41">
        <v>0</v>
      </c>
      <c r="U2061" s="41">
        <v>0</v>
      </c>
      <c r="V2061" s="42" t="s">
        <v>113</v>
      </c>
      <c r="W2061" s="42">
        <v>9626.11</v>
      </c>
      <c r="X2061" s="42">
        <v>9626.11</v>
      </c>
    </row>
    <row r="2062" spans="1:24">
      <c r="A2062" s="27" t="s">
        <v>3878</v>
      </c>
      <c r="B2062" s="28" t="s">
        <v>215</v>
      </c>
      <c r="C2062" s="27" t="s">
        <v>3847</v>
      </c>
      <c r="D2062" s="27" t="s">
        <v>230</v>
      </c>
      <c r="E2062" s="29">
        <v>35795</v>
      </c>
      <c r="F2062" s="27">
        <v>15</v>
      </c>
      <c r="G2062" s="18">
        <v>9626.11</v>
      </c>
      <c r="H2062" s="27">
        <f t="shared" si="64"/>
        <v>9626.11</v>
      </c>
      <c r="I2062" s="18">
        <v>9144.7999999999993</v>
      </c>
      <c r="J2062" s="27">
        <v>9626.11</v>
      </c>
      <c r="K2062" s="18">
        <f t="shared" si="65"/>
        <v>9626.11</v>
      </c>
      <c r="L2062" s="27">
        <v>9144.7999999999993</v>
      </c>
      <c r="M2062" s="36">
        <v>0</v>
      </c>
      <c r="T2062" s="41">
        <v>0</v>
      </c>
      <c r="U2062" s="41">
        <v>0</v>
      </c>
      <c r="V2062" s="42" t="s">
        <v>113</v>
      </c>
      <c r="W2062" s="42">
        <v>9626.11</v>
      </c>
      <c r="X2062" s="42">
        <v>9626.11</v>
      </c>
    </row>
    <row r="2063" spans="1:24">
      <c r="A2063" s="27" t="s">
        <v>3879</v>
      </c>
      <c r="B2063" s="28" t="s">
        <v>215</v>
      </c>
      <c r="C2063" s="27" t="s">
        <v>3880</v>
      </c>
      <c r="D2063" s="27" t="s">
        <v>230</v>
      </c>
      <c r="E2063" s="29">
        <v>35795</v>
      </c>
      <c r="F2063" s="27">
        <v>15</v>
      </c>
      <c r="G2063" s="18">
        <v>9626.11</v>
      </c>
      <c r="H2063" s="27">
        <f t="shared" si="64"/>
        <v>9626.11</v>
      </c>
      <c r="I2063" s="18">
        <v>9144.7999999999993</v>
      </c>
      <c r="J2063" s="27">
        <v>9626.11</v>
      </c>
      <c r="K2063" s="18">
        <f t="shared" si="65"/>
        <v>9626.11</v>
      </c>
      <c r="L2063" s="27">
        <v>9144.7999999999993</v>
      </c>
      <c r="M2063" s="36">
        <v>0</v>
      </c>
      <c r="T2063" s="41">
        <v>0</v>
      </c>
      <c r="U2063" s="41">
        <v>0</v>
      </c>
      <c r="V2063" s="42" t="s">
        <v>113</v>
      </c>
      <c r="W2063" s="42">
        <v>9626.11</v>
      </c>
      <c r="X2063" s="42">
        <v>9626.11</v>
      </c>
    </row>
    <row r="2064" spans="1:24">
      <c r="A2064" s="27" t="s">
        <v>3881</v>
      </c>
      <c r="B2064" s="28" t="s">
        <v>215</v>
      </c>
      <c r="C2064" s="27" t="s">
        <v>3882</v>
      </c>
      <c r="D2064" s="27" t="s">
        <v>230</v>
      </c>
      <c r="E2064" s="29">
        <v>35795</v>
      </c>
      <c r="F2064" s="27">
        <v>15</v>
      </c>
      <c r="G2064" s="18">
        <v>9626.11</v>
      </c>
      <c r="H2064" s="27">
        <f t="shared" si="64"/>
        <v>9626.11</v>
      </c>
      <c r="I2064" s="18">
        <v>9144.7999999999993</v>
      </c>
      <c r="J2064" s="27">
        <v>9626.11</v>
      </c>
      <c r="K2064" s="18">
        <f t="shared" si="65"/>
        <v>9626.11</v>
      </c>
      <c r="L2064" s="27">
        <v>9144.7999999999993</v>
      </c>
      <c r="M2064" s="36">
        <v>0</v>
      </c>
      <c r="T2064" s="41">
        <v>0</v>
      </c>
      <c r="U2064" s="41">
        <v>0</v>
      </c>
      <c r="V2064" s="42" t="s">
        <v>113</v>
      </c>
      <c r="W2064" s="42">
        <v>9626.11</v>
      </c>
      <c r="X2064" s="42">
        <v>9626.11</v>
      </c>
    </row>
    <row r="2065" spans="1:24">
      <c r="A2065" s="27" t="s">
        <v>3883</v>
      </c>
      <c r="B2065" s="28" t="s">
        <v>215</v>
      </c>
      <c r="C2065" s="27" t="s">
        <v>3884</v>
      </c>
      <c r="D2065" s="27" t="s">
        <v>230</v>
      </c>
      <c r="E2065" s="29">
        <v>40543</v>
      </c>
      <c r="F2065" s="27">
        <v>15</v>
      </c>
      <c r="G2065" s="18">
        <v>7450</v>
      </c>
      <c r="H2065" s="27">
        <f t="shared" si="64"/>
        <v>0</v>
      </c>
      <c r="I2065" s="18">
        <v>4627.3100000000004</v>
      </c>
      <c r="J2065" s="27">
        <v>7450</v>
      </c>
      <c r="K2065" s="18">
        <f t="shared" si="65"/>
        <v>0</v>
      </c>
      <c r="L2065" s="27">
        <v>4977.34</v>
      </c>
      <c r="M2065" s="36">
        <v>350.03</v>
      </c>
      <c r="T2065" s="41">
        <v>0</v>
      </c>
      <c r="U2065" s="41">
        <v>0</v>
      </c>
      <c r="V2065" s="42" t="s">
        <v>113</v>
      </c>
      <c r="W2065" s="42">
        <v>0</v>
      </c>
      <c r="X2065" s="42">
        <v>0</v>
      </c>
    </row>
    <row r="2066" spans="1:24">
      <c r="A2066" s="27" t="s">
        <v>3885</v>
      </c>
      <c r="B2066" s="28" t="s">
        <v>215</v>
      </c>
      <c r="C2066" s="27" t="s">
        <v>3886</v>
      </c>
      <c r="D2066" s="27" t="s">
        <v>230</v>
      </c>
      <c r="E2066" s="29">
        <v>40543</v>
      </c>
      <c r="F2066" s="27">
        <v>15</v>
      </c>
      <c r="G2066" s="18">
        <v>7450</v>
      </c>
      <c r="H2066" s="27">
        <f t="shared" si="64"/>
        <v>0</v>
      </c>
      <c r="I2066" s="18">
        <v>4627.3100000000004</v>
      </c>
      <c r="J2066" s="27">
        <v>7450</v>
      </c>
      <c r="K2066" s="18">
        <f t="shared" si="65"/>
        <v>0</v>
      </c>
      <c r="L2066" s="27">
        <v>4977.34</v>
      </c>
      <c r="M2066" s="36">
        <v>350.03</v>
      </c>
      <c r="T2066" s="41">
        <v>0</v>
      </c>
      <c r="U2066" s="41">
        <v>0</v>
      </c>
      <c r="V2066" s="42" t="s">
        <v>113</v>
      </c>
      <c r="W2066" s="42">
        <v>0</v>
      </c>
      <c r="X2066" s="42">
        <v>0</v>
      </c>
    </row>
    <row r="2067" spans="1:24">
      <c r="A2067" s="27" t="s">
        <v>3887</v>
      </c>
      <c r="B2067" s="28" t="s">
        <v>215</v>
      </c>
      <c r="C2067" s="27" t="s">
        <v>3888</v>
      </c>
      <c r="D2067" s="27" t="s">
        <v>230</v>
      </c>
      <c r="E2067" s="29">
        <v>40543</v>
      </c>
      <c r="F2067" s="27">
        <v>15</v>
      </c>
      <c r="G2067" s="18">
        <v>7450</v>
      </c>
      <c r="H2067" s="27">
        <f t="shared" si="64"/>
        <v>0</v>
      </c>
      <c r="I2067" s="18">
        <v>4627.3100000000004</v>
      </c>
      <c r="J2067" s="27">
        <v>7450</v>
      </c>
      <c r="K2067" s="18">
        <f t="shared" si="65"/>
        <v>0</v>
      </c>
      <c r="L2067" s="27">
        <v>4977.34</v>
      </c>
      <c r="M2067" s="36">
        <v>350.03</v>
      </c>
      <c r="T2067" s="41">
        <v>0</v>
      </c>
      <c r="U2067" s="41">
        <v>0</v>
      </c>
      <c r="V2067" s="42" t="s">
        <v>113</v>
      </c>
      <c r="W2067" s="42">
        <v>0</v>
      </c>
      <c r="X2067" s="42">
        <v>0</v>
      </c>
    </row>
    <row r="2068" spans="1:24">
      <c r="A2068" s="27" t="s">
        <v>3889</v>
      </c>
      <c r="B2068" s="28" t="s">
        <v>215</v>
      </c>
      <c r="C2068" s="27" t="s">
        <v>3890</v>
      </c>
      <c r="D2068" s="27" t="s">
        <v>230</v>
      </c>
      <c r="E2068" s="29">
        <v>40543</v>
      </c>
      <c r="F2068" s="27">
        <v>15</v>
      </c>
      <c r="G2068" s="18">
        <v>7450</v>
      </c>
      <c r="H2068" s="27">
        <f t="shared" si="64"/>
        <v>0</v>
      </c>
      <c r="I2068" s="18">
        <v>4627.3100000000004</v>
      </c>
      <c r="J2068" s="27">
        <v>7450</v>
      </c>
      <c r="K2068" s="18">
        <f t="shared" si="65"/>
        <v>0</v>
      </c>
      <c r="L2068" s="27">
        <v>4977.34</v>
      </c>
      <c r="M2068" s="36">
        <v>350.03</v>
      </c>
      <c r="T2068" s="41">
        <v>0</v>
      </c>
      <c r="U2068" s="41">
        <v>0</v>
      </c>
      <c r="V2068" s="42" t="s">
        <v>113</v>
      </c>
      <c r="W2068" s="42">
        <v>0</v>
      </c>
      <c r="X2068" s="42">
        <v>0</v>
      </c>
    </row>
    <row r="2069" spans="1:24">
      <c r="A2069" s="27" t="s">
        <v>3891</v>
      </c>
      <c r="B2069" s="28" t="s">
        <v>215</v>
      </c>
      <c r="C2069" s="27" t="s">
        <v>3892</v>
      </c>
      <c r="D2069" s="27" t="s">
        <v>230</v>
      </c>
      <c r="E2069" s="29">
        <v>40543</v>
      </c>
      <c r="F2069" s="27">
        <v>15</v>
      </c>
      <c r="G2069" s="18">
        <v>7450</v>
      </c>
      <c r="H2069" s="27">
        <f t="shared" si="64"/>
        <v>0</v>
      </c>
      <c r="I2069" s="18">
        <v>4627.3</v>
      </c>
      <c r="J2069" s="27">
        <v>7450</v>
      </c>
      <c r="K2069" s="18">
        <f t="shared" si="65"/>
        <v>0</v>
      </c>
      <c r="L2069" s="27">
        <v>4977.33</v>
      </c>
      <c r="M2069" s="36">
        <v>350.03</v>
      </c>
      <c r="T2069" s="41">
        <v>0</v>
      </c>
      <c r="U2069" s="41">
        <v>0</v>
      </c>
      <c r="V2069" s="42" t="s">
        <v>113</v>
      </c>
      <c r="W2069" s="42">
        <v>0</v>
      </c>
      <c r="X2069" s="42">
        <v>0</v>
      </c>
    </row>
    <row r="2070" spans="1:24">
      <c r="A2070" s="27" t="s">
        <v>3893</v>
      </c>
      <c r="B2070" s="28" t="s">
        <v>215</v>
      </c>
      <c r="C2070" s="27" t="s">
        <v>3894</v>
      </c>
      <c r="D2070" s="27" t="s">
        <v>230</v>
      </c>
      <c r="E2070" s="29">
        <v>40543</v>
      </c>
      <c r="F2070" s="27">
        <v>15</v>
      </c>
      <c r="G2070" s="18">
        <v>7450</v>
      </c>
      <c r="H2070" s="27">
        <f t="shared" si="64"/>
        <v>0</v>
      </c>
      <c r="I2070" s="18">
        <v>4627.3100000000004</v>
      </c>
      <c r="J2070" s="27">
        <v>7450</v>
      </c>
      <c r="K2070" s="18">
        <f t="shared" si="65"/>
        <v>0</v>
      </c>
      <c r="L2070" s="27">
        <v>4977.34</v>
      </c>
      <c r="M2070" s="36">
        <v>350.03</v>
      </c>
      <c r="T2070" s="41">
        <v>0</v>
      </c>
      <c r="U2070" s="41">
        <v>0</v>
      </c>
      <c r="V2070" s="42" t="s">
        <v>113</v>
      </c>
      <c r="W2070" s="42">
        <v>0</v>
      </c>
      <c r="X2070" s="42">
        <v>0</v>
      </c>
    </row>
    <row r="2071" spans="1:24">
      <c r="A2071" s="27" t="s">
        <v>3895</v>
      </c>
      <c r="B2071" s="28" t="s">
        <v>215</v>
      </c>
      <c r="C2071" s="27" t="s">
        <v>3896</v>
      </c>
      <c r="D2071" s="27" t="s">
        <v>230</v>
      </c>
      <c r="E2071" s="29">
        <v>40543</v>
      </c>
      <c r="F2071" s="27">
        <v>15</v>
      </c>
      <c r="G2071" s="18">
        <v>7450</v>
      </c>
      <c r="H2071" s="27">
        <f t="shared" si="64"/>
        <v>0</v>
      </c>
      <c r="I2071" s="18">
        <v>4755.78</v>
      </c>
      <c r="J2071" s="27">
        <v>7450</v>
      </c>
      <c r="K2071" s="18">
        <f t="shared" si="65"/>
        <v>0</v>
      </c>
      <c r="L2071" s="27">
        <v>5087.45</v>
      </c>
      <c r="M2071" s="36">
        <v>331.67</v>
      </c>
      <c r="T2071" s="41">
        <v>0</v>
      </c>
      <c r="U2071" s="41">
        <v>0</v>
      </c>
      <c r="V2071" s="42" t="s">
        <v>113</v>
      </c>
      <c r="W2071" s="42">
        <v>0</v>
      </c>
      <c r="X2071" s="42">
        <v>0</v>
      </c>
    </row>
    <row r="2072" spans="1:24">
      <c r="A2072" s="27" t="s">
        <v>3897</v>
      </c>
      <c r="B2072" s="28" t="s">
        <v>215</v>
      </c>
      <c r="C2072" s="27" t="s">
        <v>3884</v>
      </c>
      <c r="D2072" s="27" t="s">
        <v>230</v>
      </c>
      <c r="E2072" s="29">
        <v>40543</v>
      </c>
      <c r="F2072" s="27">
        <v>15</v>
      </c>
      <c r="G2072" s="18">
        <v>7450</v>
      </c>
      <c r="H2072" s="27">
        <f t="shared" si="64"/>
        <v>0</v>
      </c>
      <c r="I2072" s="18">
        <v>4627.3100000000004</v>
      </c>
      <c r="J2072" s="27">
        <v>7450</v>
      </c>
      <c r="K2072" s="18">
        <f t="shared" si="65"/>
        <v>0</v>
      </c>
      <c r="L2072" s="27">
        <v>4977.34</v>
      </c>
      <c r="M2072" s="36">
        <v>350.03</v>
      </c>
      <c r="T2072" s="41">
        <v>0</v>
      </c>
      <c r="U2072" s="41">
        <v>0</v>
      </c>
      <c r="V2072" s="42" t="s">
        <v>113</v>
      </c>
      <c r="W2072" s="42">
        <v>0</v>
      </c>
      <c r="X2072" s="42">
        <v>0</v>
      </c>
    </row>
    <row r="2073" spans="1:24">
      <c r="A2073" s="27" t="s">
        <v>3898</v>
      </c>
      <c r="B2073" s="28" t="s">
        <v>215</v>
      </c>
      <c r="C2073" s="27" t="s">
        <v>3886</v>
      </c>
      <c r="D2073" s="27" t="s">
        <v>230</v>
      </c>
      <c r="E2073" s="29">
        <v>40543</v>
      </c>
      <c r="F2073" s="27">
        <v>15</v>
      </c>
      <c r="G2073" s="18">
        <v>7450</v>
      </c>
      <c r="H2073" s="27">
        <f t="shared" si="64"/>
        <v>0</v>
      </c>
      <c r="I2073" s="18">
        <v>4627.3</v>
      </c>
      <c r="J2073" s="27">
        <v>7450</v>
      </c>
      <c r="K2073" s="18">
        <f t="shared" si="65"/>
        <v>0</v>
      </c>
      <c r="L2073" s="27">
        <v>4977.33</v>
      </c>
      <c r="M2073" s="36">
        <v>350.03</v>
      </c>
      <c r="T2073" s="41">
        <v>0</v>
      </c>
      <c r="U2073" s="41">
        <v>0</v>
      </c>
      <c r="V2073" s="42" t="s">
        <v>113</v>
      </c>
      <c r="W2073" s="42">
        <v>0</v>
      </c>
      <c r="X2073" s="42">
        <v>0</v>
      </c>
    </row>
    <row r="2074" spans="1:24">
      <c r="A2074" s="27" t="s">
        <v>3899</v>
      </c>
      <c r="B2074" s="28" t="s">
        <v>215</v>
      </c>
      <c r="C2074" s="27" t="s">
        <v>3888</v>
      </c>
      <c r="D2074" s="27" t="s">
        <v>230</v>
      </c>
      <c r="E2074" s="29">
        <v>40543</v>
      </c>
      <c r="F2074" s="27">
        <v>15</v>
      </c>
      <c r="G2074" s="18">
        <v>7450</v>
      </c>
      <c r="H2074" s="27">
        <f t="shared" si="64"/>
        <v>0</v>
      </c>
      <c r="I2074" s="18">
        <v>4627.3100000000004</v>
      </c>
      <c r="J2074" s="27">
        <v>7450</v>
      </c>
      <c r="K2074" s="18">
        <f t="shared" si="65"/>
        <v>0</v>
      </c>
      <c r="L2074" s="27">
        <v>4977.34</v>
      </c>
      <c r="M2074" s="36">
        <v>350.03</v>
      </c>
      <c r="T2074" s="41">
        <v>0</v>
      </c>
      <c r="U2074" s="41">
        <v>0</v>
      </c>
      <c r="V2074" s="42" t="s">
        <v>113</v>
      </c>
      <c r="W2074" s="42">
        <v>0</v>
      </c>
      <c r="X2074" s="42">
        <v>0</v>
      </c>
    </row>
    <row r="2075" spans="1:24">
      <c r="A2075" s="27" t="s">
        <v>3900</v>
      </c>
      <c r="B2075" s="28" t="s">
        <v>215</v>
      </c>
      <c r="C2075" s="27" t="s">
        <v>3896</v>
      </c>
      <c r="D2075" s="27" t="s">
        <v>230</v>
      </c>
      <c r="E2075" s="29">
        <v>40543</v>
      </c>
      <c r="F2075" s="27">
        <v>15</v>
      </c>
      <c r="G2075" s="18">
        <v>7450</v>
      </c>
      <c r="H2075" s="27">
        <f t="shared" si="64"/>
        <v>0</v>
      </c>
      <c r="I2075" s="18">
        <v>4627.3</v>
      </c>
      <c r="J2075" s="27">
        <v>7450</v>
      </c>
      <c r="K2075" s="18">
        <f t="shared" si="65"/>
        <v>0</v>
      </c>
      <c r="L2075" s="27">
        <v>4977.33</v>
      </c>
      <c r="M2075" s="36">
        <v>350.03</v>
      </c>
      <c r="T2075" s="41">
        <v>0</v>
      </c>
      <c r="U2075" s="41">
        <v>0</v>
      </c>
      <c r="V2075" s="42" t="s">
        <v>113</v>
      </c>
      <c r="W2075" s="42">
        <v>0</v>
      </c>
      <c r="X2075" s="42">
        <v>0</v>
      </c>
    </row>
    <row r="2076" spans="1:24">
      <c r="A2076" s="27" t="s">
        <v>3901</v>
      </c>
      <c r="B2076" s="28" t="s">
        <v>215</v>
      </c>
      <c r="C2076" s="27" t="s">
        <v>3884</v>
      </c>
      <c r="D2076" s="27" t="s">
        <v>230</v>
      </c>
      <c r="E2076" s="29">
        <v>40543</v>
      </c>
      <c r="F2076" s="27">
        <v>15</v>
      </c>
      <c r="G2076" s="18">
        <v>7450</v>
      </c>
      <c r="H2076" s="27">
        <f t="shared" si="64"/>
        <v>0</v>
      </c>
      <c r="I2076" s="18">
        <v>4627.3100000000004</v>
      </c>
      <c r="J2076" s="27">
        <v>7450</v>
      </c>
      <c r="K2076" s="18">
        <f t="shared" si="65"/>
        <v>0</v>
      </c>
      <c r="L2076" s="27">
        <v>4977.34</v>
      </c>
      <c r="M2076" s="36">
        <v>350.03</v>
      </c>
      <c r="T2076" s="41">
        <v>0</v>
      </c>
      <c r="U2076" s="41">
        <v>0</v>
      </c>
      <c r="V2076" s="42" t="s">
        <v>113</v>
      </c>
      <c r="W2076" s="42">
        <v>0</v>
      </c>
      <c r="X2076" s="42">
        <v>0</v>
      </c>
    </row>
    <row r="2077" spans="1:24">
      <c r="A2077" s="27" t="s">
        <v>3902</v>
      </c>
      <c r="B2077" s="28" t="s">
        <v>215</v>
      </c>
      <c r="C2077" s="27" t="s">
        <v>3886</v>
      </c>
      <c r="D2077" s="27" t="s">
        <v>230</v>
      </c>
      <c r="E2077" s="29">
        <v>40543</v>
      </c>
      <c r="F2077" s="27">
        <v>15</v>
      </c>
      <c r="G2077" s="18">
        <v>7450</v>
      </c>
      <c r="H2077" s="27">
        <f t="shared" si="64"/>
        <v>0</v>
      </c>
      <c r="I2077" s="18">
        <v>4627.3</v>
      </c>
      <c r="J2077" s="27">
        <v>7450</v>
      </c>
      <c r="K2077" s="18">
        <f t="shared" si="65"/>
        <v>0</v>
      </c>
      <c r="L2077" s="27">
        <v>4977.33</v>
      </c>
      <c r="M2077" s="36">
        <v>350.03</v>
      </c>
      <c r="T2077" s="41">
        <v>0</v>
      </c>
      <c r="U2077" s="41">
        <v>0</v>
      </c>
      <c r="V2077" s="42" t="s">
        <v>113</v>
      </c>
      <c r="W2077" s="42">
        <v>0</v>
      </c>
      <c r="X2077" s="42">
        <v>0</v>
      </c>
    </row>
    <row r="2078" spans="1:24">
      <c r="A2078" s="27" t="s">
        <v>3903</v>
      </c>
      <c r="B2078" s="28" t="s">
        <v>215</v>
      </c>
      <c r="C2078" s="27" t="s">
        <v>3888</v>
      </c>
      <c r="D2078" s="27" t="s">
        <v>230</v>
      </c>
      <c r="E2078" s="29">
        <v>40543</v>
      </c>
      <c r="F2078" s="27">
        <v>15</v>
      </c>
      <c r="G2078" s="18">
        <v>7450</v>
      </c>
      <c r="H2078" s="27">
        <f t="shared" si="64"/>
        <v>0</v>
      </c>
      <c r="I2078" s="18">
        <v>4627.3100000000004</v>
      </c>
      <c r="J2078" s="27">
        <v>7450</v>
      </c>
      <c r="K2078" s="18">
        <f t="shared" si="65"/>
        <v>0</v>
      </c>
      <c r="L2078" s="27">
        <v>4977.34</v>
      </c>
      <c r="M2078" s="36">
        <v>350.03</v>
      </c>
      <c r="T2078" s="41">
        <v>0</v>
      </c>
      <c r="U2078" s="41">
        <v>0</v>
      </c>
      <c r="V2078" s="42" t="s">
        <v>113</v>
      </c>
      <c r="W2078" s="42">
        <v>0</v>
      </c>
      <c r="X2078" s="42">
        <v>0</v>
      </c>
    </row>
    <row r="2079" spans="1:24">
      <c r="A2079" s="27" t="s">
        <v>3904</v>
      </c>
      <c r="B2079" s="28" t="s">
        <v>215</v>
      </c>
      <c r="C2079" s="27" t="s">
        <v>3905</v>
      </c>
      <c r="D2079" s="27" t="s">
        <v>230</v>
      </c>
      <c r="E2079" s="29">
        <v>40543</v>
      </c>
      <c r="F2079" s="27">
        <v>15</v>
      </c>
      <c r="G2079" s="18">
        <v>38740</v>
      </c>
      <c r="H2079" s="27">
        <f t="shared" si="64"/>
        <v>0</v>
      </c>
      <c r="I2079" s="18">
        <v>24061.98</v>
      </c>
      <c r="J2079" s="27">
        <v>38740</v>
      </c>
      <c r="K2079" s="18">
        <f t="shared" si="65"/>
        <v>0</v>
      </c>
      <c r="L2079" s="27">
        <v>25882.13</v>
      </c>
      <c r="M2079" s="36">
        <v>1820.15</v>
      </c>
      <c r="T2079" s="41">
        <v>0</v>
      </c>
      <c r="U2079" s="41">
        <v>0</v>
      </c>
      <c r="V2079" s="42" t="s">
        <v>113</v>
      </c>
      <c r="W2079" s="42">
        <v>0</v>
      </c>
      <c r="X2079" s="42">
        <v>0</v>
      </c>
    </row>
    <row r="2080" spans="1:24">
      <c r="A2080" s="27" t="s">
        <v>3906</v>
      </c>
      <c r="B2080" s="28" t="s">
        <v>215</v>
      </c>
      <c r="C2080" s="27" t="s">
        <v>3907</v>
      </c>
      <c r="D2080" s="27" t="s">
        <v>230</v>
      </c>
      <c r="E2080" s="29">
        <v>40543</v>
      </c>
      <c r="F2080" s="27">
        <v>15</v>
      </c>
      <c r="G2080" s="18">
        <v>38740</v>
      </c>
      <c r="H2080" s="27">
        <f t="shared" si="64"/>
        <v>0</v>
      </c>
      <c r="I2080" s="18">
        <v>24061.98</v>
      </c>
      <c r="J2080" s="27">
        <v>38740</v>
      </c>
      <c r="K2080" s="18">
        <f t="shared" si="65"/>
        <v>0</v>
      </c>
      <c r="L2080" s="27">
        <v>25882.13</v>
      </c>
      <c r="M2080" s="36">
        <v>1820.15</v>
      </c>
      <c r="T2080" s="41">
        <v>0</v>
      </c>
      <c r="U2080" s="41">
        <v>0</v>
      </c>
      <c r="V2080" s="42" t="s">
        <v>113</v>
      </c>
      <c r="W2080" s="42">
        <v>0</v>
      </c>
      <c r="X2080" s="42">
        <v>0</v>
      </c>
    </row>
    <row r="2081" spans="1:24">
      <c r="A2081" s="27" t="s">
        <v>3908</v>
      </c>
      <c r="B2081" s="28" t="s">
        <v>215</v>
      </c>
      <c r="C2081" s="27" t="s">
        <v>3909</v>
      </c>
      <c r="D2081" s="27" t="s">
        <v>230</v>
      </c>
      <c r="E2081" s="29">
        <v>40543</v>
      </c>
      <c r="F2081" s="27">
        <v>15</v>
      </c>
      <c r="G2081" s="18">
        <v>38740</v>
      </c>
      <c r="H2081" s="27">
        <f t="shared" si="64"/>
        <v>0</v>
      </c>
      <c r="I2081" s="18">
        <v>24061.98</v>
      </c>
      <c r="J2081" s="27">
        <v>38740</v>
      </c>
      <c r="K2081" s="18">
        <f t="shared" si="65"/>
        <v>0</v>
      </c>
      <c r="L2081" s="27">
        <v>25882.13</v>
      </c>
      <c r="M2081" s="36">
        <v>1820.15</v>
      </c>
      <c r="T2081" s="41">
        <v>0</v>
      </c>
      <c r="U2081" s="41">
        <v>0</v>
      </c>
      <c r="V2081" s="42" t="s">
        <v>113</v>
      </c>
      <c r="W2081" s="42">
        <v>0</v>
      </c>
      <c r="X2081" s="42">
        <v>0</v>
      </c>
    </row>
    <row r="2082" spans="1:24">
      <c r="A2082" s="27" t="s">
        <v>3910</v>
      </c>
      <c r="B2082" s="28" t="s">
        <v>215</v>
      </c>
      <c r="C2082" s="27" t="s">
        <v>3911</v>
      </c>
      <c r="D2082" s="27" t="s">
        <v>230</v>
      </c>
      <c r="E2082" s="29">
        <v>40543</v>
      </c>
      <c r="F2082" s="27">
        <v>15</v>
      </c>
      <c r="G2082" s="18">
        <v>38740</v>
      </c>
      <c r="H2082" s="27">
        <f t="shared" si="64"/>
        <v>0</v>
      </c>
      <c r="I2082" s="18">
        <v>24061.98</v>
      </c>
      <c r="J2082" s="27">
        <v>38740</v>
      </c>
      <c r="K2082" s="18">
        <f t="shared" si="65"/>
        <v>0</v>
      </c>
      <c r="L2082" s="27">
        <v>25882.13</v>
      </c>
      <c r="M2082" s="36">
        <v>1820.15</v>
      </c>
      <c r="T2082" s="41">
        <v>0</v>
      </c>
      <c r="U2082" s="41">
        <v>0</v>
      </c>
      <c r="V2082" s="42" t="s">
        <v>113</v>
      </c>
      <c r="W2082" s="42">
        <v>0</v>
      </c>
      <c r="X2082" s="42">
        <v>0</v>
      </c>
    </row>
    <row r="2083" spans="1:24">
      <c r="A2083" s="27" t="s">
        <v>3912</v>
      </c>
      <c r="B2083" s="28" t="s">
        <v>215</v>
      </c>
      <c r="C2083" s="27" t="s">
        <v>3905</v>
      </c>
      <c r="D2083" s="27" t="s">
        <v>230</v>
      </c>
      <c r="E2083" s="29">
        <v>40543</v>
      </c>
      <c r="F2083" s="27">
        <v>15</v>
      </c>
      <c r="G2083" s="18">
        <v>19370</v>
      </c>
      <c r="H2083" s="27">
        <f t="shared" si="64"/>
        <v>0</v>
      </c>
      <c r="I2083" s="18">
        <v>12030.98</v>
      </c>
      <c r="J2083" s="27">
        <v>19370</v>
      </c>
      <c r="K2083" s="18">
        <f t="shared" si="65"/>
        <v>0</v>
      </c>
      <c r="L2083" s="27">
        <v>12941.05</v>
      </c>
      <c r="M2083" s="36">
        <v>910.07</v>
      </c>
      <c r="T2083" s="41">
        <v>0</v>
      </c>
      <c r="U2083" s="41">
        <v>0</v>
      </c>
      <c r="V2083" s="42" t="s">
        <v>113</v>
      </c>
      <c r="W2083" s="42">
        <v>0</v>
      </c>
      <c r="X2083" s="42">
        <v>0</v>
      </c>
    </row>
    <row r="2084" spans="1:24">
      <c r="A2084" s="27" t="s">
        <v>3913</v>
      </c>
      <c r="B2084" s="28" t="s">
        <v>215</v>
      </c>
      <c r="C2084" s="27" t="s">
        <v>3907</v>
      </c>
      <c r="D2084" s="27" t="s">
        <v>230</v>
      </c>
      <c r="E2084" s="29">
        <v>40543</v>
      </c>
      <c r="F2084" s="27">
        <v>15</v>
      </c>
      <c r="G2084" s="18">
        <v>19370</v>
      </c>
      <c r="H2084" s="27">
        <f t="shared" si="64"/>
        <v>0</v>
      </c>
      <c r="I2084" s="18">
        <v>12030.98</v>
      </c>
      <c r="J2084" s="27">
        <v>19370</v>
      </c>
      <c r="K2084" s="18">
        <f t="shared" si="65"/>
        <v>0</v>
      </c>
      <c r="L2084" s="27">
        <v>12941.05</v>
      </c>
      <c r="M2084" s="36">
        <v>910.07</v>
      </c>
      <c r="T2084" s="41">
        <v>0</v>
      </c>
      <c r="U2084" s="41">
        <v>0</v>
      </c>
      <c r="V2084" s="42" t="s">
        <v>113</v>
      </c>
      <c r="W2084" s="42">
        <v>0</v>
      </c>
      <c r="X2084" s="42">
        <v>0</v>
      </c>
    </row>
    <row r="2085" spans="1:24">
      <c r="A2085" s="27" t="s">
        <v>3914</v>
      </c>
      <c r="B2085" s="28" t="s">
        <v>215</v>
      </c>
      <c r="C2085" s="27" t="s">
        <v>3909</v>
      </c>
      <c r="D2085" s="27" t="s">
        <v>230</v>
      </c>
      <c r="E2085" s="29">
        <v>40543</v>
      </c>
      <c r="F2085" s="27">
        <v>15</v>
      </c>
      <c r="G2085" s="18">
        <v>19370</v>
      </c>
      <c r="H2085" s="27">
        <f t="shared" si="64"/>
        <v>0</v>
      </c>
      <c r="I2085" s="18">
        <v>12030.98</v>
      </c>
      <c r="J2085" s="27">
        <v>19370</v>
      </c>
      <c r="K2085" s="18">
        <f t="shared" si="65"/>
        <v>0</v>
      </c>
      <c r="L2085" s="27">
        <v>12941.05</v>
      </c>
      <c r="M2085" s="36">
        <v>910.07</v>
      </c>
      <c r="T2085" s="41">
        <v>0</v>
      </c>
      <c r="U2085" s="41">
        <v>0</v>
      </c>
      <c r="V2085" s="42" t="s">
        <v>113</v>
      </c>
      <c r="W2085" s="42">
        <v>0</v>
      </c>
      <c r="X2085" s="42">
        <v>0</v>
      </c>
    </row>
    <row r="2086" spans="1:24">
      <c r="A2086" s="27" t="s">
        <v>3915</v>
      </c>
      <c r="B2086" s="28" t="s">
        <v>215</v>
      </c>
      <c r="C2086" s="27" t="s">
        <v>3911</v>
      </c>
      <c r="D2086" s="27" t="s">
        <v>230</v>
      </c>
      <c r="E2086" s="29">
        <v>40543</v>
      </c>
      <c r="F2086" s="27">
        <v>15</v>
      </c>
      <c r="G2086" s="18">
        <v>19370</v>
      </c>
      <c r="H2086" s="27">
        <f t="shared" si="64"/>
        <v>0</v>
      </c>
      <c r="I2086" s="18">
        <v>12030.98</v>
      </c>
      <c r="J2086" s="27">
        <v>19370</v>
      </c>
      <c r="K2086" s="18">
        <f t="shared" si="65"/>
        <v>0</v>
      </c>
      <c r="L2086" s="27">
        <v>12941.05</v>
      </c>
      <c r="M2086" s="36">
        <v>910.07</v>
      </c>
      <c r="T2086" s="41">
        <v>0</v>
      </c>
      <c r="U2086" s="41">
        <v>0</v>
      </c>
      <c r="V2086" s="42" t="s">
        <v>113</v>
      </c>
      <c r="W2086" s="42">
        <v>0</v>
      </c>
      <c r="X2086" s="42">
        <v>0</v>
      </c>
    </row>
    <row r="2087" spans="1:24">
      <c r="A2087" s="27" t="s">
        <v>3916</v>
      </c>
      <c r="B2087" s="28" t="s">
        <v>215</v>
      </c>
      <c r="C2087" s="27" t="s">
        <v>3917</v>
      </c>
      <c r="D2087" s="27" t="s">
        <v>230</v>
      </c>
      <c r="E2087" s="29">
        <v>40543</v>
      </c>
      <c r="F2087" s="27">
        <v>15</v>
      </c>
      <c r="G2087" s="18">
        <v>21960</v>
      </c>
      <c r="H2087" s="27">
        <f t="shared" si="64"/>
        <v>0</v>
      </c>
      <c r="I2087" s="18">
        <v>13691.49</v>
      </c>
      <c r="J2087" s="27">
        <v>21960</v>
      </c>
      <c r="K2087" s="18">
        <f t="shared" si="65"/>
        <v>0</v>
      </c>
      <c r="L2087" s="27">
        <v>14715.85</v>
      </c>
      <c r="M2087" s="36">
        <v>1024.3599999999999</v>
      </c>
      <c r="T2087" s="41">
        <v>0</v>
      </c>
      <c r="U2087" s="41">
        <v>0</v>
      </c>
      <c r="V2087" s="42" t="s">
        <v>113</v>
      </c>
      <c r="W2087" s="42">
        <v>0</v>
      </c>
      <c r="X2087" s="42">
        <v>0</v>
      </c>
    </row>
    <row r="2088" spans="1:24">
      <c r="A2088" s="27" t="s">
        <v>3918</v>
      </c>
      <c r="B2088" s="28" t="s">
        <v>215</v>
      </c>
      <c r="C2088" s="27" t="s">
        <v>3919</v>
      </c>
      <c r="D2088" s="27" t="s">
        <v>230</v>
      </c>
      <c r="E2088" s="29">
        <v>40543</v>
      </c>
      <c r="F2088" s="27">
        <v>15</v>
      </c>
      <c r="G2088" s="18">
        <v>21960</v>
      </c>
      <c r="H2088" s="27">
        <f t="shared" si="64"/>
        <v>0</v>
      </c>
      <c r="I2088" s="18">
        <v>13691.49</v>
      </c>
      <c r="J2088" s="27">
        <v>21960</v>
      </c>
      <c r="K2088" s="18">
        <f t="shared" si="65"/>
        <v>0</v>
      </c>
      <c r="L2088" s="27">
        <v>14715.85</v>
      </c>
      <c r="M2088" s="36">
        <v>1024.3599999999999</v>
      </c>
      <c r="T2088" s="41">
        <v>0</v>
      </c>
      <c r="U2088" s="41">
        <v>0</v>
      </c>
      <c r="V2088" s="42" t="s">
        <v>113</v>
      </c>
      <c r="W2088" s="42">
        <v>0</v>
      </c>
      <c r="X2088" s="42">
        <v>0</v>
      </c>
    </row>
    <row r="2089" spans="1:24">
      <c r="A2089" s="27" t="s">
        <v>3920</v>
      </c>
      <c r="B2089" s="28" t="s">
        <v>215</v>
      </c>
      <c r="C2089" s="27" t="s">
        <v>3921</v>
      </c>
      <c r="D2089" s="27" t="s">
        <v>230</v>
      </c>
      <c r="E2089" s="29">
        <v>40543</v>
      </c>
      <c r="F2089" s="27">
        <v>15</v>
      </c>
      <c r="G2089" s="18">
        <v>21960</v>
      </c>
      <c r="H2089" s="27">
        <f t="shared" si="64"/>
        <v>0</v>
      </c>
      <c r="I2089" s="18">
        <v>13691.49</v>
      </c>
      <c r="J2089" s="27">
        <v>21960</v>
      </c>
      <c r="K2089" s="18">
        <f t="shared" si="65"/>
        <v>0</v>
      </c>
      <c r="L2089" s="27">
        <v>14715.85</v>
      </c>
      <c r="M2089" s="36">
        <v>1024.3599999999999</v>
      </c>
      <c r="T2089" s="41">
        <v>0</v>
      </c>
      <c r="U2089" s="41">
        <v>0</v>
      </c>
      <c r="V2089" s="42" t="s">
        <v>113</v>
      </c>
      <c r="W2089" s="42">
        <v>0</v>
      </c>
      <c r="X2089" s="42">
        <v>0</v>
      </c>
    </row>
    <row r="2090" spans="1:24">
      <c r="A2090" s="27" t="s">
        <v>3922</v>
      </c>
      <c r="B2090" s="28" t="s">
        <v>215</v>
      </c>
      <c r="C2090" s="27" t="s">
        <v>3923</v>
      </c>
      <c r="D2090" s="27" t="s">
        <v>230</v>
      </c>
      <c r="E2090" s="29">
        <v>40543</v>
      </c>
      <c r="F2090" s="27">
        <v>15</v>
      </c>
      <c r="G2090" s="18">
        <v>21960</v>
      </c>
      <c r="H2090" s="27">
        <f t="shared" si="64"/>
        <v>0</v>
      </c>
      <c r="I2090" s="18">
        <v>13691.49</v>
      </c>
      <c r="J2090" s="27">
        <v>21960</v>
      </c>
      <c r="K2090" s="18">
        <f t="shared" si="65"/>
        <v>0</v>
      </c>
      <c r="L2090" s="27">
        <v>14715.85</v>
      </c>
      <c r="M2090" s="36">
        <v>1024.3599999999999</v>
      </c>
      <c r="T2090" s="41">
        <v>0</v>
      </c>
      <c r="U2090" s="41">
        <v>0</v>
      </c>
      <c r="V2090" s="42" t="s">
        <v>113</v>
      </c>
      <c r="W2090" s="42">
        <v>0</v>
      </c>
      <c r="X2090" s="42">
        <v>0</v>
      </c>
    </row>
    <row r="2091" spans="1:24">
      <c r="A2091" s="27" t="s">
        <v>3924</v>
      </c>
      <c r="B2091" s="28" t="s">
        <v>215</v>
      </c>
      <c r="C2091" s="27" t="s">
        <v>3925</v>
      </c>
      <c r="D2091" s="27" t="s">
        <v>230</v>
      </c>
      <c r="E2091" s="29">
        <v>40543</v>
      </c>
      <c r="F2091" s="27">
        <v>15</v>
      </c>
      <c r="G2091" s="18">
        <v>21960</v>
      </c>
      <c r="H2091" s="27">
        <f t="shared" si="64"/>
        <v>0</v>
      </c>
      <c r="I2091" s="18">
        <v>13691.49</v>
      </c>
      <c r="J2091" s="27">
        <v>21960</v>
      </c>
      <c r="K2091" s="18">
        <f t="shared" si="65"/>
        <v>0</v>
      </c>
      <c r="L2091" s="27">
        <v>14715.85</v>
      </c>
      <c r="M2091" s="36">
        <v>1024.3599999999999</v>
      </c>
      <c r="T2091" s="41">
        <v>0</v>
      </c>
      <c r="U2091" s="41">
        <v>0</v>
      </c>
      <c r="V2091" s="42" t="s">
        <v>113</v>
      </c>
      <c r="W2091" s="42">
        <v>0</v>
      </c>
      <c r="X2091" s="42">
        <v>0</v>
      </c>
    </row>
    <row r="2092" spans="1:24">
      <c r="A2092" s="27" t="s">
        <v>3926</v>
      </c>
      <c r="B2092" s="28" t="s">
        <v>215</v>
      </c>
      <c r="C2092" s="27" t="s">
        <v>3927</v>
      </c>
      <c r="D2092" s="27" t="s">
        <v>112</v>
      </c>
      <c r="E2092" s="29">
        <v>40024</v>
      </c>
      <c r="F2092" s="27">
        <v>15</v>
      </c>
      <c r="G2092" s="18">
        <v>85883.45</v>
      </c>
      <c r="H2092" s="27">
        <f t="shared" si="64"/>
        <v>0</v>
      </c>
      <c r="I2092" s="18">
        <v>76087.13</v>
      </c>
      <c r="J2092" s="27">
        <v>85883.45</v>
      </c>
      <c r="K2092" s="18">
        <f t="shared" si="65"/>
        <v>0</v>
      </c>
      <c r="L2092" s="27">
        <v>77072.59</v>
      </c>
      <c r="M2092" s="36">
        <v>985.46</v>
      </c>
      <c r="T2092" s="41">
        <v>0</v>
      </c>
      <c r="U2092" s="41">
        <v>0</v>
      </c>
      <c r="V2092" s="42" t="s">
        <v>113</v>
      </c>
      <c r="W2092" s="42">
        <v>0</v>
      </c>
      <c r="X2092" s="42">
        <v>0</v>
      </c>
    </row>
    <row r="2093" spans="1:24">
      <c r="A2093" s="27" t="s">
        <v>3928</v>
      </c>
      <c r="B2093" s="28" t="s">
        <v>215</v>
      </c>
      <c r="C2093" s="27" t="s">
        <v>3929</v>
      </c>
      <c r="D2093" s="27" t="s">
        <v>112</v>
      </c>
      <c r="E2093" s="29">
        <v>40024</v>
      </c>
      <c r="F2093" s="27">
        <v>15</v>
      </c>
      <c r="G2093" s="18">
        <v>85883.45</v>
      </c>
      <c r="H2093" s="27">
        <f t="shared" si="64"/>
        <v>0</v>
      </c>
      <c r="I2093" s="18">
        <v>76087.13</v>
      </c>
      <c r="J2093" s="27">
        <v>85883.45</v>
      </c>
      <c r="K2093" s="18">
        <f t="shared" si="65"/>
        <v>0</v>
      </c>
      <c r="L2093" s="27">
        <v>77072.59</v>
      </c>
      <c r="M2093" s="36">
        <v>985.46</v>
      </c>
      <c r="T2093" s="41">
        <v>0</v>
      </c>
      <c r="U2093" s="41">
        <v>0</v>
      </c>
      <c r="V2093" s="42" t="s">
        <v>113</v>
      </c>
      <c r="W2093" s="42">
        <v>0</v>
      </c>
      <c r="X2093" s="42">
        <v>0</v>
      </c>
    </row>
    <row r="2094" spans="1:24">
      <c r="A2094" s="27" t="s">
        <v>3930</v>
      </c>
      <c r="B2094" s="28" t="s">
        <v>215</v>
      </c>
      <c r="C2094" s="27" t="s">
        <v>3931</v>
      </c>
      <c r="D2094" s="27" t="s">
        <v>112</v>
      </c>
      <c r="E2094" s="29">
        <v>40024</v>
      </c>
      <c r="F2094" s="27">
        <v>15</v>
      </c>
      <c r="G2094" s="18">
        <v>85883.45</v>
      </c>
      <c r="H2094" s="27">
        <f t="shared" si="64"/>
        <v>0</v>
      </c>
      <c r="I2094" s="18">
        <v>76087.13</v>
      </c>
      <c r="J2094" s="27">
        <v>85883.45</v>
      </c>
      <c r="K2094" s="18">
        <f t="shared" si="65"/>
        <v>0</v>
      </c>
      <c r="L2094" s="27">
        <v>77072.59</v>
      </c>
      <c r="M2094" s="36">
        <v>985.46</v>
      </c>
      <c r="T2094" s="41">
        <v>0</v>
      </c>
      <c r="U2094" s="41">
        <v>0</v>
      </c>
      <c r="V2094" s="42" t="s">
        <v>113</v>
      </c>
      <c r="W2094" s="42">
        <v>0</v>
      </c>
      <c r="X2094" s="42">
        <v>0</v>
      </c>
    </row>
    <row r="2095" spans="1:24">
      <c r="A2095" s="27" t="s">
        <v>3932</v>
      </c>
      <c r="B2095" s="28" t="s">
        <v>215</v>
      </c>
      <c r="C2095" s="27" t="s">
        <v>1013</v>
      </c>
      <c r="D2095" s="27" t="s">
        <v>112</v>
      </c>
      <c r="E2095" s="29">
        <v>40024</v>
      </c>
      <c r="F2095" s="27">
        <v>15</v>
      </c>
      <c r="G2095" s="18">
        <v>85883.45</v>
      </c>
      <c r="H2095" s="27">
        <f t="shared" si="64"/>
        <v>0</v>
      </c>
      <c r="I2095" s="18">
        <v>76087.12</v>
      </c>
      <c r="J2095" s="27">
        <v>85883.45</v>
      </c>
      <c r="K2095" s="18">
        <f t="shared" si="65"/>
        <v>0</v>
      </c>
      <c r="L2095" s="27">
        <v>77072.58</v>
      </c>
      <c r="M2095" s="36">
        <v>985.46</v>
      </c>
      <c r="T2095" s="41">
        <v>0</v>
      </c>
      <c r="U2095" s="41">
        <v>0</v>
      </c>
      <c r="V2095" s="42" t="s">
        <v>113</v>
      </c>
      <c r="W2095" s="42">
        <v>0</v>
      </c>
      <c r="X2095" s="42">
        <v>0</v>
      </c>
    </row>
    <row r="2096" spans="1:24">
      <c r="A2096" s="27" t="s">
        <v>3933</v>
      </c>
      <c r="B2096" s="28" t="s">
        <v>215</v>
      </c>
      <c r="C2096" s="27" t="s">
        <v>1200</v>
      </c>
      <c r="D2096" s="27" t="s">
        <v>112</v>
      </c>
      <c r="E2096" s="29">
        <v>40024</v>
      </c>
      <c r="F2096" s="27">
        <v>15</v>
      </c>
      <c r="G2096" s="18">
        <v>85883.44</v>
      </c>
      <c r="H2096" s="27">
        <f t="shared" si="64"/>
        <v>0</v>
      </c>
      <c r="I2096" s="18">
        <v>76087.12</v>
      </c>
      <c r="J2096" s="27">
        <v>85883.44</v>
      </c>
      <c r="K2096" s="18">
        <f t="shared" si="65"/>
        <v>0</v>
      </c>
      <c r="L2096" s="27">
        <v>77072.58</v>
      </c>
      <c r="M2096" s="36">
        <v>985.46</v>
      </c>
      <c r="T2096" s="41">
        <v>0</v>
      </c>
      <c r="U2096" s="41">
        <v>0</v>
      </c>
      <c r="V2096" s="42" t="s">
        <v>113</v>
      </c>
      <c r="W2096" s="42">
        <v>0</v>
      </c>
      <c r="X2096" s="42">
        <v>0</v>
      </c>
    </row>
    <row r="2097" spans="1:24">
      <c r="A2097" s="27" t="s">
        <v>3934</v>
      </c>
      <c r="B2097" s="28" t="s">
        <v>215</v>
      </c>
      <c r="C2097" s="27" t="s">
        <v>3935</v>
      </c>
      <c r="D2097" s="27" t="s">
        <v>112</v>
      </c>
      <c r="E2097" s="29">
        <v>40024</v>
      </c>
      <c r="F2097" s="27">
        <v>15</v>
      </c>
      <c r="G2097" s="18">
        <v>85883.44</v>
      </c>
      <c r="H2097" s="27">
        <f t="shared" si="64"/>
        <v>0</v>
      </c>
      <c r="I2097" s="18">
        <v>76087.11</v>
      </c>
      <c r="J2097" s="27">
        <v>85883.44</v>
      </c>
      <c r="K2097" s="18">
        <f t="shared" si="65"/>
        <v>0</v>
      </c>
      <c r="L2097" s="27">
        <v>77072.570000000007</v>
      </c>
      <c r="M2097" s="36">
        <v>985.46</v>
      </c>
      <c r="T2097" s="41">
        <v>0</v>
      </c>
      <c r="U2097" s="41">
        <v>0</v>
      </c>
      <c r="V2097" s="42" t="s">
        <v>113</v>
      </c>
      <c r="W2097" s="42">
        <v>0</v>
      </c>
      <c r="X2097" s="42">
        <v>0</v>
      </c>
    </row>
    <row r="2098" spans="1:24">
      <c r="A2098" s="27" t="s">
        <v>3936</v>
      </c>
      <c r="B2098" s="28" t="s">
        <v>215</v>
      </c>
      <c r="C2098" s="27" t="s">
        <v>1772</v>
      </c>
      <c r="D2098" s="27" t="s">
        <v>112</v>
      </c>
      <c r="E2098" s="29">
        <v>40543</v>
      </c>
      <c r="F2098" s="27">
        <v>15</v>
      </c>
      <c r="G2098" s="18">
        <v>54236.47</v>
      </c>
      <c r="H2098" s="27">
        <f t="shared" si="64"/>
        <v>0</v>
      </c>
      <c r="I2098" s="18">
        <v>42132.14</v>
      </c>
      <c r="J2098" s="27">
        <v>54236.47</v>
      </c>
      <c r="K2098" s="18">
        <f t="shared" si="65"/>
        <v>0</v>
      </c>
      <c r="L2098" s="27">
        <v>43473.93</v>
      </c>
      <c r="M2098" s="36">
        <v>1341.79</v>
      </c>
      <c r="T2098" s="41">
        <v>0</v>
      </c>
      <c r="U2098" s="41">
        <v>0</v>
      </c>
      <c r="V2098" s="42" t="s">
        <v>113</v>
      </c>
      <c r="W2098" s="42">
        <v>0</v>
      </c>
      <c r="X2098" s="42">
        <v>0</v>
      </c>
    </row>
    <row r="2099" spans="1:24">
      <c r="A2099" s="27" t="s">
        <v>3937</v>
      </c>
      <c r="B2099" s="28" t="s">
        <v>215</v>
      </c>
      <c r="C2099" s="27" t="s">
        <v>3938</v>
      </c>
      <c r="D2099" s="27" t="s">
        <v>112</v>
      </c>
      <c r="E2099" s="29">
        <v>40543</v>
      </c>
      <c r="F2099" s="27">
        <v>15</v>
      </c>
      <c r="G2099" s="18">
        <v>1260</v>
      </c>
      <c r="H2099" s="27">
        <f t="shared" si="64"/>
        <v>0</v>
      </c>
      <c r="I2099" s="18">
        <v>978.8</v>
      </c>
      <c r="J2099" s="27">
        <v>1260</v>
      </c>
      <c r="K2099" s="18">
        <f t="shared" si="65"/>
        <v>0</v>
      </c>
      <c r="L2099" s="27">
        <v>1009.97</v>
      </c>
      <c r="M2099" s="36">
        <v>31.17</v>
      </c>
      <c r="T2099" s="41">
        <v>0</v>
      </c>
      <c r="U2099" s="41">
        <v>0</v>
      </c>
      <c r="V2099" s="42" t="s">
        <v>113</v>
      </c>
      <c r="W2099" s="42">
        <v>0</v>
      </c>
      <c r="X2099" s="42">
        <v>0</v>
      </c>
    </row>
    <row r="2100" spans="1:24">
      <c r="A2100" s="27" t="s">
        <v>3939</v>
      </c>
      <c r="B2100" s="28" t="s">
        <v>215</v>
      </c>
      <c r="C2100" s="27" t="s">
        <v>1023</v>
      </c>
      <c r="D2100" s="27" t="s">
        <v>112</v>
      </c>
      <c r="E2100" s="29">
        <v>39813</v>
      </c>
      <c r="F2100" s="27">
        <v>15</v>
      </c>
      <c r="G2100" s="18">
        <v>42125.68</v>
      </c>
      <c r="H2100" s="27">
        <f t="shared" si="64"/>
        <v>42125.68</v>
      </c>
      <c r="I2100" s="18">
        <v>40019.4</v>
      </c>
      <c r="J2100" s="27">
        <v>42125.68</v>
      </c>
      <c r="K2100" s="18">
        <f t="shared" si="65"/>
        <v>42125.68</v>
      </c>
      <c r="L2100" s="27">
        <v>40019.4</v>
      </c>
      <c r="M2100" s="36">
        <v>0</v>
      </c>
      <c r="T2100" s="41">
        <v>0</v>
      </c>
      <c r="U2100" s="41">
        <v>0</v>
      </c>
      <c r="V2100" s="42" t="s">
        <v>113</v>
      </c>
      <c r="W2100" s="42">
        <v>42125.68</v>
      </c>
      <c r="X2100" s="42">
        <v>42125.68</v>
      </c>
    </row>
    <row r="2101" spans="1:24">
      <c r="A2101" s="27" t="s">
        <v>3940</v>
      </c>
      <c r="B2101" s="28" t="s">
        <v>215</v>
      </c>
      <c r="C2101" s="27" t="s">
        <v>3941</v>
      </c>
      <c r="D2101" s="27" t="s">
        <v>112</v>
      </c>
      <c r="E2101" s="29">
        <v>39813</v>
      </c>
      <c r="F2101" s="27">
        <v>15</v>
      </c>
      <c r="G2101" s="18">
        <v>42125.68</v>
      </c>
      <c r="H2101" s="27">
        <f t="shared" si="64"/>
        <v>42125.68</v>
      </c>
      <c r="I2101" s="18">
        <v>40019.4</v>
      </c>
      <c r="J2101" s="27">
        <v>42125.68</v>
      </c>
      <c r="K2101" s="18">
        <f t="shared" si="65"/>
        <v>42125.68</v>
      </c>
      <c r="L2101" s="27">
        <v>40019.4</v>
      </c>
      <c r="M2101" s="36">
        <v>0</v>
      </c>
      <c r="T2101" s="41">
        <v>0</v>
      </c>
      <c r="U2101" s="41">
        <v>0</v>
      </c>
      <c r="V2101" s="42" t="s">
        <v>113</v>
      </c>
      <c r="W2101" s="42">
        <v>42125.68</v>
      </c>
      <c r="X2101" s="42">
        <v>42125.68</v>
      </c>
    </row>
    <row r="2102" spans="1:24">
      <c r="A2102" s="27" t="s">
        <v>3942</v>
      </c>
      <c r="B2102" s="28" t="s">
        <v>215</v>
      </c>
      <c r="C2102" s="27" t="s">
        <v>3943</v>
      </c>
      <c r="D2102" s="27" t="s">
        <v>230</v>
      </c>
      <c r="E2102" s="29">
        <v>39813</v>
      </c>
      <c r="F2102" s="27">
        <v>15</v>
      </c>
      <c r="G2102" s="18">
        <v>4000</v>
      </c>
      <c r="H2102" s="27">
        <f t="shared" si="64"/>
        <v>4000</v>
      </c>
      <c r="I2102" s="18">
        <v>3800</v>
      </c>
      <c r="J2102" s="27">
        <v>4000</v>
      </c>
      <c r="K2102" s="18">
        <f t="shared" si="65"/>
        <v>4000</v>
      </c>
      <c r="L2102" s="27">
        <v>3800</v>
      </c>
      <c r="M2102" s="36">
        <v>0</v>
      </c>
      <c r="T2102" s="41">
        <v>0</v>
      </c>
      <c r="U2102" s="41">
        <v>0</v>
      </c>
      <c r="V2102" s="42" t="s">
        <v>113</v>
      </c>
      <c r="W2102" s="42">
        <v>4000</v>
      </c>
      <c r="X2102" s="42">
        <v>4000</v>
      </c>
    </row>
    <row r="2103" spans="1:24">
      <c r="A2103" s="27" t="s">
        <v>3944</v>
      </c>
      <c r="B2103" s="28" t="s">
        <v>215</v>
      </c>
      <c r="C2103" s="27" t="s">
        <v>3945</v>
      </c>
      <c r="D2103" s="27" t="s">
        <v>230</v>
      </c>
      <c r="E2103" s="29">
        <v>39813</v>
      </c>
      <c r="F2103" s="27">
        <v>15</v>
      </c>
      <c r="G2103" s="18">
        <v>3780</v>
      </c>
      <c r="H2103" s="27">
        <f t="shared" si="64"/>
        <v>3780</v>
      </c>
      <c r="I2103" s="18">
        <v>3591</v>
      </c>
      <c r="J2103" s="27">
        <v>3780</v>
      </c>
      <c r="K2103" s="18">
        <f t="shared" si="65"/>
        <v>3780</v>
      </c>
      <c r="L2103" s="27">
        <v>3591</v>
      </c>
      <c r="M2103" s="36">
        <v>0</v>
      </c>
      <c r="T2103" s="41">
        <v>0</v>
      </c>
      <c r="U2103" s="41">
        <v>0</v>
      </c>
      <c r="V2103" s="42" t="s">
        <v>113</v>
      </c>
      <c r="W2103" s="42">
        <v>3780</v>
      </c>
      <c r="X2103" s="42">
        <v>3780</v>
      </c>
    </row>
    <row r="2104" spans="1:24">
      <c r="A2104" s="27" t="s">
        <v>3946</v>
      </c>
      <c r="B2104" s="28" t="s">
        <v>215</v>
      </c>
      <c r="C2104" s="27" t="s">
        <v>3947</v>
      </c>
      <c r="D2104" s="27" t="s">
        <v>112</v>
      </c>
      <c r="E2104" s="29">
        <v>39813</v>
      </c>
      <c r="F2104" s="27">
        <v>15</v>
      </c>
      <c r="G2104" s="18">
        <v>478.12</v>
      </c>
      <c r="H2104" s="27">
        <f t="shared" si="64"/>
        <v>478.12</v>
      </c>
      <c r="I2104" s="18">
        <v>454.21</v>
      </c>
      <c r="J2104" s="27">
        <v>478.12</v>
      </c>
      <c r="K2104" s="18">
        <f t="shared" si="65"/>
        <v>478.12</v>
      </c>
      <c r="L2104" s="27">
        <v>454.21</v>
      </c>
      <c r="M2104" s="36">
        <v>0</v>
      </c>
      <c r="T2104" s="41">
        <v>0</v>
      </c>
      <c r="U2104" s="41">
        <v>0</v>
      </c>
      <c r="V2104" s="42" t="s">
        <v>113</v>
      </c>
      <c r="W2104" s="42">
        <v>478.12</v>
      </c>
      <c r="X2104" s="42">
        <v>478.12</v>
      </c>
    </row>
    <row r="2105" spans="1:24">
      <c r="A2105" s="27" t="s">
        <v>3948</v>
      </c>
      <c r="B2105" s="28" t="s">
        <v>215</v>
      </c>
      <c r="C2105" s="27" t="s">
        <v>3949</v>
      </c>
      <c r="D2105" s="27" t="s">
        <v>230</v>
      </c>
      <c r="E2105" s="29">
        <v>39813</v>
      </c>
      <c r="F2105" s="27">
        <v>15</v>
      </c>
      <c r="G2105" s="18">
        <v>15479.7</v>
      </c>
      <c r="H2105" s="27">
        <f t="shared" si="64"/>
        <v>15479.7</v>
      </c>
      <c r="I2105" s="18">
        <v>14705.71</v>
      </c>
      <c r="J2105" s="27">
        <v>15479.7</v>
      </c>
      <c r="K2105" s="18">
        <f t="shared" si="65"/>
        <v>15479.7</v>
      </c>
      <c r="L2105" s="27">
        <v>14705.71</v>
      </c>
      <c r="M2105" s="36">
        <v>0</v>
      </c>
      <c r="T2105" s="41">
        <v>0</v>
      </c>
      <c r="U2105" s="41">
        <v>0</v>
      </c>
      <c r="V2105" s="42" t="s">
        <v>113</v>
      </c>
      <c r="W2105" s="42">
        <v>15479.7</v>
      </c>
      <c r="X2105" s="42">
        <v>15479.7</v>
      </c>
    </row>
    <row r="2106" spans="1:24">
      <c r="A2106" s="27" t="s">
        <v>3950</v>
      </c>
      <c r="B2106" s="28" t="s">
        <v>215</v>
      </c>
      <c r="C2106" s="27" t="s">
        <v>3951</v>
      </c>
      <c r="D2106" s="27" t="s">
        <v>112</v>
      </c>
      <c r="E2106" s="29">
        <v>39813</v>
      </c>
      <c r="F2106" s="27">
        <v>15</v>
      </c>
      <c r="G2106" s="18">
        <v>478.12</v>
      </c>
      <c r="H2106" s="27">
        <f t="shared" si="64"/>
        <v>478.12</v>
      </c>
      <c r="I2106" s="18">
        <v>454.21</v>
      </c>
      <c r="J2106" s="27">
        <v>478.12</v>
      </c>
      <c r="K2106" s="18">
        <f t="shared" si="65"/>
        <v>478.12</v>
      </c>
      <c r="L2106" s="27">
        <v>454.21</v>
      </c>
      <c r="M2106" s="36">
        <v>0</v>
      </c>
      <c r="T2106" s="41">
        <v>0</v>
      </c>
      <c r="U2106" s="41">
        <v>0</v>
      </c>
      <c r="V2106" s="42" t="s">
        <v>113</v>
      </c>
      <c r="W2106" s="42">
        <v>478.12</v>
      </c>
      <c r="X2106" s="42">
        <v>478.12</v>
      </c>
    </row>
    <row r="2107" spans="1:24">
      <c r="A2107" s="27" t="s">
        <v>3952</v>
      </c>
      <c r="B2107" s="28" t="s">
        <v>215</v>
      </c>
      <c r="C2107" s="27" t="s">
        <v>1057</v>
      </c>
      <c r="D2107" s="27" t="s">
        <v>230</v>
      </c>
      <c r="E2107" s="29">
        <v>39813</v>
      </c>
      <c r="F2107" s="27">
        <v>15</v>
      </c>
      <c r="G2107" s="18">
        <v>42125.68</v>
      </c>
      <c r="H2107" s="27">
        <f t="shared" si="64"/>
        <v>42125.68</v>
      </c>
      <c r="I2107" s="18">
        <v>40019.4</v>
      </c>
      <c r="J2107" s="27">
        <v>42125.68</v>
      </c>
      <c r="K2107" s="18">
        <f t="shared" si="65"/>
        <v>42125.68</v>
      </c>
      <c r="L2107" s="27">
        <v>40019.4</v>
      </c>
      <c r="M2107" s="36">
        <v>0</v>
      </c>
      <c r="T2107" s="41">
        <v>0</v>
      </c>
      <c r="U2107" s="41">
        <v>0</v>
      </c>
      <c r="V2107" s="42" t="s">
        <v>113</v>
      </c>
      <c r="W2107" s="42">
        <v>42125.68</v>
      </c>
      <c r="X2107" s="42">
        <v>42125.68</v>
      </c>
    </row>
    <row r="2108" spans="1:24">
      <c r="A2108" s="27" t="s">
        <v>3953</v>
      </c>
      <c r="B2108" s="28" t="s">
        <v>215</v>
      </c>
      <c r="C2108" s="27" t="s">
        <v>3954</v>
      </c>
      <c r="D2108" s="27" t="s">
        <v>230</v>
      </c>
      <c r="E2108" s="29">
        <v>39813</v>
      </c>
      <c r="F2108" s="27">
        <v>15</v>
      </c>
      <c r="G2108" s="18">
        <v>4000</v>
      </c>
      <c r="H2108" s="27">
        <f t="shared" si="64"/>
        <v>4000</v>
      </c>
      <c r="I2108" s="18">
        <v>3800</v>
      </c>
      <c r="J2108" s="27">
        <v>4000</v>
      </c>
      <c r="K2108" s="18">
        <f t="shared" si="65"/>
        <v>4000</v>
      </c>
      <c r="L2108" s="27">
        <v>3800</v>
      </c>
      <c r="M2108" s="36">
        <v>0</v>
      </c>
      <c r="T2108" s="41">
        <v>0</v>
      </c>
      <c r="U2108" s="41">
        <v>0</v>
      </c>
      <c r="V2108" s="42" t="s">
        <v>113</v>
      </c>
      <c r="W2108" s="42">
        <v>4000</v>
      </c>
      <c r="X2108" s="42">
        <v>4000</v>
      </c>
    </row>
    <row r="2109" spans="1:24">
      <c r="A2109" s="27" t="s">
        <v>3955</v>
      </c>
      <c r="B2109" s="28" t="s">
        <v>215</v>
      </c>
      <c r="C2109" s="27" t="s">
        <v>3956</v>
      </c>
      <c r="D2109" s="27" t="s">
        <v>230</v>
      </c>
      <c r="E2109" s="29">
        <v>39813</v>
      </c>
      <c r="F2109" s="27">
        <v>15</v>
      </c>
      <c r="G2109" s="18">
        <v>4000</v>
      </c>
      <c r="H2109" s="27">
        <f t="shared" si="64"/>
        <v>4000</v>
      </c>
      <c r="I2109" s="18">
        <v>3800</v>
      </c>
      <c r="J2109" s="27">
        <v>4000</v>
      </c>
      <c r="K2109" s="18">
        <f t="shared" si="65"/>
        <v>4000</v>
      </c>
      <c r="L2109" s="27">
        <v>3800</v>
      </c>
      <c r="M2109" s="36">
        <v>0</v>
      </c>
      <c r="T2109" s="41">
        <v>0</v>
      </c>
      <c r="U2109" s="41">
        <v>0</v>
      </c>
      <c r="V2109" s="42" t="s">
        <v>113</v>
      </c>
      <c r="W2109" s="42">
        <v>4000</v>
      </c>
      <c r="X2109" s="42">
        <v>4000</v>
      </c>
    </row>
    <row r="2110" spans="1:24">
      <c r="A2110" s="27" t="s">
        <v>3957</v>
      </c>
      <c r="B2110" s="28" t="s">
        <v>215</v>
      </c>
      <c r="C2110" s="27" t="s">
        <v>3958</v>
      </c>
      <c r="D2110" s="27" t="s">
        <v>112</v>
      </c>
      <c r="E2110" s="29">
        <v>39813</v>
      </c>
      <c r="F2110" s="27">
        <v>15</v>
      </c>
      <c r="G2110" s="18">
        <v>478.12</v>
      </c>
      <c r="H2110" s="27">
        <f t="shared" si="64"/>
        <v>478.12</v>
      </c>
      <c r="I2110" s="18">
        <v>454.21</v>
      </c>
      <c r="J2110" s="27">
        <v>478.12</v>
      </c>
      <c r="K2110" s="18">
        <f t="shared" si="65"/>
        <v>478.12</v>
      </c>
      <c r="L2110" s="27">
        <v>454.21</v>
      </c>
      <c r="M2110" s="36">
        <v>0</v>
      </c>
      <c r="T2110" s="41">
        <v>0</v>
      </c>
      <c r="U2110" s="41">
        <v>0</v>
      </c>
      <c r="V2110" s="42" t="s">
        <v>113</v>
      </c>
      <c r="W2110" s="42">
        <v>478.12</v>
      </c>
      <c r="X2110" s="42">
        <v>478.12</v>
      </c>
    </row>
    <row r="2111" spans="1:24">
      <c r="A2111" s="27" t="s">
        <v>3959</v>
      </c>
      <c r="B2111" s="28" t="s">
        <v>215</v>
      </c>
      <c r="C2111" s="27" t="s">
        <v>3960</v>
      </c>
      <c r="D2111" s="27" t="s">
        <v>230</v>
      </c>
      <c r="E2111" s="29">
        <v>39813</v>
      </c>
      <c r="F2111" s="27">
        <v>15</v>
      </c>
      <c r="G2111" s="18">
        <v>42125.68</v>
      </c>
      <c r="H2111" s="27">
        <f t="shared" si="64"/>
        <v>42125.68</v>
      </c>
      <c r="I2111" s="18">
        <v>40019.4</v>
      </c>
      <c r="J2111" s="27">
        <v>42125.68</v>
      </c>
      <c r="K2111" s="18">
        <f t="shared" si="65"/>
        <v>42125.68</v>
      </c>
      <c r="L2111" s="27">
        <v>40019.4</v>
      </c>
      <c r="M2111" s="36">
        <v>0</v>
      </c>
      <c r="T2111" s="41">
        <v>0</v>
      </c>
      <c r="U2111" s="41">
        <v>0</v>
      </c>
      <c r="V2111" s="42" t="s">
        <v>113</v>
      </c>
      <c r="W2111" s="42">
        <v>42125.68</v>
      </c>
      <c r="X2111" s="42">
        <v>42125.68</v>
      </c>
    </row>
    <row r="2112" spans="1:24">
      <c r="A2112" s="27" t="s">
        <v>3961</v>
      </c>
      <c r="B2112" s="28" t="s">
        <v>215</v>
      </c>
      <c r="C2112" s="27" t="s">
        <v>3962</v>
      </c>
      <c r="D2112" s="27" t="s">
        <v>112</v>
      </c>
      <c r="E2112" s="29">
        <v>39813</v>
      </c>
      <c r="F2112" s="27">
        <v>15</v>
      </c>
      <c r="G2112" s="18">
        <v>478.12</v>
      </c>
      <c r="H2112" s="27">
        <f t="shared" si="64"/>
        <v>478.12</v>
      </c>
      <c r="I2112" s="18">
        <v>454.21</v>
      </c>
      <c r="J2112" s="27">
        <v>478.12</v>
      </c>
      <c r="K2112" s="18">
        <f t="shared" si="65"/>
        <v>478.12</v>
      </c>
      <c r="L2112" s="27">
        <v>454.21</v>
      </c>
      <c r="M2112" s="36">
        <v>0</v>
      </c>
      <c r="T2112" s="41">
        <v>0</v>
      </c>
      <c r="U2112" s="41">
        <v>0</v>
      </c>
      <c r="V2112" s="42" t="s">
        <v>113</v>
      </c>
      <c r="W2112" s="42">
        <v>478.12</v>
      </c>
      <c r="X2112" s="42">
        <v>478.12</v>
      </c>
    </row>
    <row r="2113" spans="1:24">
      <c r="A2113" s="27" t="s">
        <v>3963</v>
      </c>
      <c r="B2113" s="28" t="s">
        <v>215</v>
      </c>
      <c r="C2113" s="27" t="s">
        <v>3964</v>
      </c>
      <c r="D2113" s="27" t="s">
        <v>230</v>
      </c>
      <c r="E2113" s="29">
        <v>39813</v>
      </c>
      <c r="F2113" s="27">
        <v>15</v>
      </c>
      <c r="G2113" s="18">
        <v>3780</v>
      </c>
      <c r="H2113" s="27">
        <f t="shared" si="64"/>
        <v>3780</v>
      </c>
      <c r="I2113" s="18">
        <v>3591</v>
      </c>
      <c r="J2113" s="27">
        <v>3780</v>
      </c>
      <c r="K2113" s="18">
        <f t="shared" si="65"/>
        <v>3780</v>
      </c>
      <c r="L2113" s="27">
        <v>3591</v>
      </c>
      <c r="M2113" s="36">
        <v>0</v>
      </c>
      <c r="T2113" s="41">
        <v>0</v>
      </c>
      <c r="U2113" s="41">
        <v>0</v>
      </c>
      <c r="V2113" s="42" t="s">
        <v>113</v>
      </c>
      <c r="W2113" s="42">
        <v>3780</v>
      </c>
      <c r="X2113" s="42">
        <v>3780</v>
      </c>
    </row>
    <row r="2114" spans="1:24">
      <c r="A2114" s="27" t="s">
        <v>3965</v>
      </c>
      <c r="B2114" s="28" t="s">
        <v>215</v>
      </c>
      <c r="C2114" s="27" t="s">
        <v>3966</v>
      </c>
      <c r="D2114" s="27" t="s">
        <v>112</v>
      </c>
      <c r="E2114" s="29">
        <v>39813</v>
      </c>
      <c r="F2114" s="27">
        <v>15</v>
      </c>
      <c r="G2114" s="18">
        <v>42125.68</v>
      </c>
      <c r="H2114" s="27">
        <f t="shared" si="64"/>
        <v>42125.68</v>
      </c>
      <c r="I2114" s="18">
        <v>40019.4</v>
      </c>
      <c r="J2114" s="27">
        <v>42125.68</v>
      </c>
      <c r="K2114" s="18">
        <f t="shared" si="65"/>
        <v>42125.68</v>
      </c>
      <c r="L2114" s="27">
        <v>40019.4</v>
      </c>
      <c r="M2114" s="36">
        <v>0</v>
      </c>
      <c r="T2114" s="41">
        <v>0</v>
      </c>
      <c r="U2114" s="41">
        <v>0</v>
      </c>
      <c r="V2114" s="42" t="s">
        <v>113</v>
      </c>
      <c r="W2114" s="42">
        <v>42125.68</v>
      </c>
      <c r="X2114" s="42">
        <v>42125.68</v>
      </c>
    </row>
    <row r="2115" spans="1:24">
      <c r="A2115" s="27" t="s">
        <v>3967</v>
      </c>
      <c r="B2115" s="28" t="s">
        <v>215</v>
      </c>
      <c r="C2115" s="27" t="s">
        <v>3968</v>
      </c>
      <c r="D2115" s="27" t="s">
        <v>112</v>
      </c>
      <c r="E2115" s="29">
        <v>39813</v>
      </c>
      <c r="F2115" s="27">
        <v>15</v>
      </c>
      <c r="G2115" s="18">
        <v>42125.68</v>
      </c>
      <c r="H2115" s="27">
        <f t="shared" si="64"/>
        <v>42125.68</v>
      </c>
      <c r="I2115" s="18">
        <v>40019.4</v>
      </c>
      <c r="J2115" s="27">
        <v>42125.68</v>
      </c>
      <c r="K2115" s="18">
        <f t="shared" si="65"/>
        <v>42125.68</v>
      </c>
      <c r="L2115" s="27">
        <v>40019.4</v>
      </c>
      <c r="M2115" s="36">
        <v>0</v>
      </c>
      <c r="T2115" s="41">
        <v>0</v>
      </c>
      <c r="U2115" s="41">
        <v>0</v>
      </c>
      <c r="V2115" s="42" t="s">
        <v>113</v>
      </c>
      <c r="W2115" s="42">
        <v>42125.68</v>
      </c>
      <c r="X2115" s="42">
        <v>42125.68</v>
      </c>
    </row>
    <row r="2116" spans="1:24">
      <c r="A2116" s="27" t="s">
        <v>3969</v>
      </c>
      <c r="B2116" s="28" t="s">
        <v>215</v>
      </c>
      <c r="C2116" s="27" t="s">
        <v>3970</v>
      </c>
      <c r="D2116" s="27" t="s">
        <v>112</v>
      </c>
      <c r="E2116" s="29">
        <v>39813</v>
      </c>
      <c r="F2116" s="27">
        <v>15</v>
      </c>
      <c r="G2116" s="18">
        <v>6500</v>
      </c>
      <c r="H2116" s="27">
        <f t="shared" si="64"/>
        <v>6500</v>
      </c>
      <c r="I2116" s="18">
        <v>6175</v>
      </c>
      <c r="J2116" s="27">
        <v>6500</v>
      </c>
      <c r="K2116" s="18">
        <f t="shared" si="65"/>
        <v>6500</v>
      </c>
      <c r="L2116" s="27">
        <v>6175</v>
      </c>
      <c r="M2116" s="36">
        <v>0</v>
      </c>
      <c r="T2116" s="41">
        <v>0</v>
      </c>
      <c r="U2116" s="41">
        <v>0</v>
      </c>
      <c r="V2116" s="42" t="s">
        <v>113</v>
      </c>
      <c r="W2116" s="42">
        <v>6500</v>
      </c>
      <c r="X2116" s="42">
        <v>6500</v>
      </c>
    </row>
    <row r="2117" spans="1:24">
      <c r="A2117" s="27" t="s">
        <v>3971</v>
      </c>
      <c r="B2117" s="28" t="s">
        <v>215</v>
      </c>
      <c r="C2117" s="27" t="s">
        <v>3972</v>
      </c>
      <c r="D2117" s="27" t="s">
        <v>112</v>
      </c>
      <c r="E2117" s="29">
        <v>39813</v>
      </c>
      <c r="F2117" s="27">
        <v>15</v>
      </c>
      <c r="G2117" s="18">
        <v>6500</v>
      </c>
      <c r="H2117" s="27">
        <f t="shared" si="64"/>
        <v>6500</v>
      </c>
      <c r="I2117" s="18">
        <v>6175</v>
      </c>
      <c r="J2117" s="27">
        <v>6500</v>
      </c>
      <c r="K2117" s="18">
        <f t="shared" si="65"/>
        <v>6500</v>
      </c>
      <c r="L2117" s="27">
        <v>6175</v>
      </c>
      <c r="M2117" s="36">
        <v>0</v>
      </c>
      <c r="T2117" s="41">
        <v>0</v>
      </c>
      <c r="U2117" s="41">
        <v>0</v>
      </c>
      <c r="V2117" s="42" t="s">
        <v>113</v>
      </c>
      <c r="W2117" s="42">
        <v>6500</v>
      </c>
      <c r="X2117" s="42">
        <v>6500</v>
      </c>
    </row>
    <row r="2118" spans="1:24">
      <c r="A2118" s="27" t="s">
        <v>3973</v>
      </c>
      <c r="B2118" s="28" t="s">
        <v>215</v>
      </c>
      <c r="C2118" s="27" t="s">
        <v>3974</v>
      </c>
      <c r="D2118" s="27" t="s">
        <v>230</v>
      </c>
      <c r="E2118" s="29">
        <v>39813</v>
      </c>
      <c r="F2118" s="27">
        <v>15</v>
      </c>
      <c r="G2118" s="18">
        <v>141905.96</v>
      </c>
      <c r="H2118" s="27">
        <f t="shared" ref="H2118:H2181" si="66">IFERROR(IF(ROUND((G2118-I2118)/G2118,2)&lt;=0.05,G2118,0),0)</f>
        <v>141905.96</v>
      </c>
      <c r="I2118" s="18">
        <v>134810.66</v>
      </c>
      <c r="J2118" s="27">
        <v>141905.96</v>
      </c>
      <c r="K2118" s="18">
        <f t="shared" ref="K2118:K2181" si="67">IFERROR(IF(ROUND((J2118-L2118)/J2118,2)&lt;=0.05,J2118,0),0)</f>
        <v>141905.96</v>
      </c>
      <c r="L2118" s="27">
        <v>134810.66</v>
      </c>
      <c r="M2118" s="36">
        <v>0</v>
      </c>
      <c r="T2118" s="41">
        <v>0</v>
      </c>
      <c r="U2118" s="41">
        <v>0</v>
      </c>
      <c r="V2118" s="42" t="s">
        <v>113</v>
      </c>
      <c r="W2118" s="42">
        <v>141905.96</v>
      </c>
      <c r="X2118" s="42">
        <v>141905.96</v>
      </c>
    </row>
    <row r="2119" spans="1:24">
      <c r="A2119" s="27" t="s">
        <v>3975</v>
      </c>
      <c r="B2119" s="28" t="s">
        <v>215</v>
      </c>
      <c r="C2119" s="27" t="s">
        <v>3976</v>
      </c>
      <c r="D2119" s="27" t="s">
        <v>112</v>
      </c>
      <c r="E2119" s="29">
        <v>39813</v>
      </c>
      <c r="F2119" s="27">
        <v>15</v>
      </c>
      <c r="G2119" s="18">
        <v>42125.68</v>
      </c>
      <c r="H2119" s="27">
        <f t="shared" si="66"/>
        <v>42125.68</v>
      </c>
      <c r="I2119" s="18">
        <v>40019.4</v>
      </c>
      <c r="J2119" s="27">
        <v>42125.68</v>
      </c>
      <c r="K2119" s="18">
        <f t="shared" si="67"/>
        <v>42125.68</v>
      </c>
      <c r="L2119" s="27">
        <v>40019.4</v>
      </c>
      <c r="M2119" s="36">
        <v>0</v>
      </c>
      <c r="T2119" s="41">
        <v>0</v>
      </c>
      <c r="U2119" s="41">
        <v>0</v>
      </c>
      <c r="V2119" s="42" t="s">
        <v>113</v>
      </c>
      <c r="W2119" s="42">
        <v>42125.68</v>
      </c>
      <c r="X2119" s="42">
        <v>42125.68</v>
      </c>
    </row>
    <row r="2120" spans="1:24">
      <c r="A2120" s="27" t="s">
        <v>3977</v>
      </c>
      <c r="B2120" s="28" t="s">
        <v>215</v>
      </c>
      <c r="C2120" s="27" t="s">
        <v>3978</v>
      </c>
      <c r="D2120" s="27" t="s">
        <v>112</v>
      </c>
      <c r="E2120" s="29">
        <v>39813</v>
      </c>
      <c r="F2120" s="27">
        <v>15</v>
      </c>
      <c r="G2120" s="18">
        <v>42125.68</v>
      </c>
      <c r="H2120" s="27">
        <f t="shared" si="66"/>
        <v>42125.68</v>
      </c>
      <c r="I2120" s="18">
        <v>40019.4</v>
      </c>
      <c r="J2120" s="27">
        <v>42125.68</v>
      </c>
      <c r="K2120" s="18">
        <f t="shared" si="67"/>
        <v>42125.68</v>
      </c>
      <c r="L2120" s="27">
        <v>40019.4</v>
      </c>
      <c r="M2120" s="36">
        <v>0</v>
      </c>
      <c r="T2120" s="41">
        <v>0</v>
      </c>
      <c r="U2120" s="41">
        <v>0</v>
      </c>
      <c r="V2120" s="42" t="s">
        <v>113</v>
      </c>
      <c r="W2120" s="42">
        <v>42125.68</v>
      </c>
      <c r="X2120" s="42">
        <v>42125.68</v>
      </c>
    </row>
    <row r="2121" spans="1:24">
      <c r="A2121" s="27" t="s">
        <v>3979</v>
      </c>
      <c r="B2121" s="28" t="s">
        <v>215</v>
      </c>
      <c r="C2121" s="27" t="s">
        <v>3980</v>
      </c>
      <c r="D2121" s="27" t="s">
        <v>230</v>
      </c>
      <c r="E2121" s="29">
        <v>39813</v>
      </c>
      <c r="F2121" s="27">
        <v>15</v>
      </c>
      <c r="G2121" s="18">
        <v>478.12</v>
      </c>
      <c r="H2121" s="27">
        <f t="shared" si="66"/>
        <v>478.12</v>
      </c>
      <c r="I2121" s="18">
        <v>454.21</v>
      </c>
      <c r="J2121" s="27">
        <v>478.12</v>
      </c>
      <c r="K2121" s="18">
        <f t="shared" si="67"/>
        <v>478.12</v>
      </c>
      <c r="L2121" s="27">
        <v>454.21</v>
      </c>
      <c r="M2121" s="36">
        <v>0</v>
      </c>
      <c r="T2121" s="41">
        <v>0</v>
      </c>
      <c r="U2121" s="41">
        <v>0</v>
      </c>
      <c r="V2121" s="42" t="s">
        <v>113</v>
      </c>
      <c r="W2121" s="42">
        <v>478.12</v>
      </c>
      <c r="X2121" s="42">
        <v>478.12</v>
      </c>
    </row>
    <row r="2122" spans="1:24">
      <c r="A2122" s="27" t="s">
        <v>3981</v>
      </c>
      <c r="B2122" s="28" t="s">
        <v>215</v>
      </c>
      <c r="C2122" s="27" t="s">
        <v>3982</v>
      </c>
      <c r="D2122" s="27" t="s">
        <v>112</v>
      </c>
      <c r="E2122" s="29">
        <v>40298</v>
      </c>
      <c r="F2122" s="27">
        <v>15</v>
      </c>
      <c r="G2122" s="18">
        <v>5520</v>
      </c>
      <c r="H2122" s="27">
        <f t="shared" si="66"/>
        <v>0</v>
      </c>
      <c r="I2122" s="18">
        <v>3689.79</v>
      </c>
      <c r="J2122" s="27">
        <v>5520</v>
      </c>
      <c r="K2122" s="18">
        <f t="shared" si="67"/>
        <v>0</v>
      </c>
      <c r="L2122" s="27">
        <v>3935.19</v>
      </c>
      <c r="M2122" s="36">
        <v>245.4</v>
      </c>
      <c r="T2122" s="41">
        <v>0</v>
      </c>
      <c r="U2122" s="41">
        <v>0</v>
      </c>
      <c r="V2122" s="42" t="s">
        <v>113</v>
      </c>
      <c r="W2122" s="42">
        <v>0</v>
      </c>
      <c r="X2122" s="42">
        <v>0</v>
      </c>
    </row>
    <row r="2123" spans="1:24">
      <c r="A2123" s="27" t="s">
        <v>3983</v>
      </c>
      <c r="B2123" s="28" t="s">
        <v>215</v>
      </c>
      <c r="C2123" s="27" t="s">
        <v>3984</v>
      </c>
      <c r="D2123" s="27" t="s">
        <v>230</v>
      </c>
      <c r="E2123" s="29">
        <v>39813</v>
      </c>
      <c r="F2123" s="27">
        <v>15</v>
      </c>
      <c r="G2123" s="18">
        <v>4000</v>
      </c>
      <c r="H2123" s="27">
        <f t="shared" si="66"/>
        <v>4000</v>
      </c>
      <c r="I2123" s="18">
        <v>3800</v>
      </c>
      <c r="J2123" s="27">
        <v>4000</v>
      </c>
      <c r="K2123" s="18">
        <f t="shared" si="67"/>
        <v>4000</v>
      </c>
      <c r="L2123" s="27">
        <v>3800</v>
      </c>
      <c r="M2123" s="36">
        <v>0</v>
      </c>
      <c r="T2123" s="41">
        <v>0</v>
      </c>
      <c r="U2123" s="41">
        <v>0</v>
      </c>
      <c r="V2123" s="42" t="s">
        <v>113</v>
      </c>
      <c r="W2123" s="42">
        <v>4000</v>
      </c>
      <c r="X2123" s="42">
        <v>4000</v>
      </c>
    </row>
    <row r="2124" spans="1:24">
      <c r="A2124" s="27" t="s">
        <v>3985</v>
      </c>
      <c r="B2124" s="28" t="s">
        <v>215</v>
      </c>
      <c r="C2124" s="27" t="s">
        <v>3986</v>
      </c>
      <c r="D2124" s="27" t="s">
        <v>112</v>
      </c>
      <c r="E2124" s="29">
        <v>39813</v>
      </c>
      <c r="F2124" s="27">
        <v>15</v>
      </c>
      <c r="G2124" s="18">
        <v>6500</v>
      </c>
      <c r="H2124" s="27">
        <f t="shared" si="66"/>
        <v>6500</v>
      </c>
      <c r="I2124" s="18">
        <v>6175</v>
      </c>
      <c r="J2124" s="27">
        <v>6500</v>
      </c>
      <c r="K2124" s="18">
        <f t="shared" si="67"/>
        <v>6500</v>
      </c>
      <c r="L2124" s="27">
        <v>6175</v>
      </c>
      <c r="M2124" s="36">
        <v>0</v>
      </c>
      <c r="T2124" s="41">
        <v>0</v>
      </c>
      <c r="U2124" s="41">
        <v>0</v>
      </c>
      <c r="V2124" s="42" t="s">
        <v>113</v>
      </c>
      <c r="W2124" s="42">
        <v>6500</v>
      </c>
      <c r="X2124" s="42">
        <v>6500</v>
      </c>
    </row>
    <row r="2125" spans="1:24">
      <c r="A2125" s="27" t="s">
        <v>3987</v>
      </c>
      <c r="B2125" s="28" t="s">
        <v>215</v>
      </c>
      <c r="C2125" s="27" t="s">
        <v>3988</v>
      </c>
      <c r="D2125" s="27" t="s">
        <v>112</v>
      </c>
      <c r="E2125" s="29">
        <v>39813</v>
      </c>
      <c r="F2125" s="27">
        <v>15</v>
      </c>
      <c r="G2125" s="18">
        <v>478.12</v>
      </c>
      <c r="H2125" s="27">
        <f t="shared" si="66"/>
        <v>478.12</v>
      </c>
      <c r="I2125" s="18">
        <v>454.21</v>
      </c>
      <c r="J2125" s="27">
        <v>478.12</v>
      </c>
      <c r="K2125" s="18">
        <f t="shared" si="67"/>
        <v>478.12</v>
      </c>
      <c r="L2125" s="27">
        <v>454.21</v>
      </c>
      <c r="M2125" s="36">
        <v>0</v>
      </c>
      <c r="T2125" s="41">
        <v>0</v>
      </c>
      <c r="U2125" s="41">
        <v>0</v>
      </c>
      <c r="V2125" s="42" t="s">
        <v>113</v>
      </c>
      <c r="W2125" s="42">
        <v>478.12</v>
      </c>
      <c r="X2125" s="42">
        <v>478.12</v>
      </c>
    </row>
    <row r="2126" spans="1:24">
      <c r="A2126" s="27" t="s">
        <v>3989</v>
      </c>
      <c r="B2126" s="28" t="s">
        <v>215</v>
      </c>
      <c r="C2126" s="27" t="s">
        <v>3990</v>
      </c>
      <c r="D2126" s="27" t="s">
        <v>112</v>
      </c>
      <c r="E2126" s="29">
        <v>39813</v>
      </c>
      <c r="F2126" s="27">
        <v>15</v>
      </c>
      <c r="G2126" s="18">
        <v>42125.68</v>
      </c>
      <c r="H2126" s="27">
        <f t="shared" si="66"/>
        <v>42125.68</v>
      </c>
      <c r="I2126" s="18">
        <v>40019.4</v>
      </c>
      <c r="J2126" s="27">
        <v>42125.68</v>
      </c>
      <c r="K2126" s="18">
        <f t="shared" si="67"/>
        <v>42125.68</v>
      </c>
      <c r="L2126" s="27">
        <v>40019.4</v>
      </c>
      <c r="M2126" s="36">
        <v>0</v>
      </c>
      <c r="T2126" s="41">
        <v>0</v>
      </c>
      <c r="U2126" s="41">
        <v>0</v>
      </c>
      <c r="V2126" s="42" t="s">
        <v>113</v>
      </c>
      <c r="W2126" s="42">
        <v>42125.68</v>
      </c>
      <c r="X2126" s="42">
        <v>42125.68</v>
      </c>
    </row>
    <row r="2127" spans="1:24">
      <c r="A2127" s="27" t="s">
        <v>3991</v>
      </c>
      <c r="B2127" s="28" t="s">
        <v>215</v>
      </c>
      <c r="C2127" s="27" t="s">
        <v>3992</v>
      </c>
      <c r="D2127" s="27" t="s">
        <v>230</v>
      </c>
      <c r="E2127" s="29">
        <v>39813</v>
      </c>
      <c r="F2127" s="27">
        <v>15</v>
      </c>
      <c r="G2127" s="18">
        <v>42125.68</v>
      </c>
      <c r="H2127" s="27">
        <f t="shared" si="66"/>
        <v>42125.68</v>
      </c>
      <c r="I2127" s="18">
        <v>40019.4</v>
      </c>
      <c r="J2127" s="27">
        <v>42125.68</v>
      </c>
      <c r="K2127" s="18">
        <f t="shared" si="67"/>
        <v>42125.68</v>
      </c>
      <c r="L2127" s="27">
        <v>40019.4</v>
      </c>
      <c r="M2127" s="36">
        <v>0</v>
      </c>
      <c r="T2127" s="41">
        <v>0</v>
      </c>
      <c r="U2127" s="41">
        <v>0</v>
      </c>
      <c r="V2127" s="42" t="s">
        <v>113</v>
      </c>
      <c r="W2127" s="42">
        <v>42125.68</v>
      </c>
      <c r="X2127" s="42">
        <v>42125.68</v>
      </c>
    </row>
    <row r="2128" spans="1:24">
      <c r="A2128" s="27" t="s">
        <v>3993</v>
      </c>
      <c r="B2128" s="28" t="s">
        <v>215</v>
      </c>
      <c r="C2128" s="27" t="s">
        <v>3994</v>
      </c>
      <c r="D2128" s="27" t="s">
        <v>112</v>
      </c>
      <c r="E2128" s="29">
        <v>40298</v>
      </c>
      <c r="F2128" s="27">
        <v>15</v>
      </c>
      <c r="G2128" s="18">
        <v>6882</v>
      </c>
      <c r="H2128" s="27">
        <f t="shared" si="66"/>
        <v>0</v>
      </c>
      <c r="I2128" s="18">
        <v>4600.2</v>
      </c>
      <c r="J2128" s="27">
        <v>6882</v>
      </c>
      <c r="K2128" s="18">
        <f t="shared" si="67"/>
        <v>0</v>
      </c>
      <c r="L2128" s="27">
        <v>4906.1499999999996</v>
      </c>
      <c r="M2128" s="36">
        <v>305.95</v>
      </c>
      <c r="T2128" s="41">
        <v>0</v>
      </c>
      <c r="U2128" s="41">
        <v>0</v>
      </c>
      <c r="V2128" s="42" t="s">
        <v>113</v>
      </c>
      <c r="W2128" s="42">
        <v>0</v>
      </c>
      <c r="X2128" s="42">
        <v>0</v>
      </c>
    </row>
    <row r="2129" spans="1:24">
      <c r="A2129" s="27" t="s">
        <v>3995</v>
      </c>
      <c r="B2129" s="28" t="s">
        <v>215</v>
      </c>
      <c r="C2129" s="27" t="s">
        <v>3996</v>
      </c>
      <c r="D2129" s="27" t="s">
        <v>230</v>
      </c>
      <c r="E2129" s="29">
        <v>39813</v>
      </c>
      <c r="F2129" s="27">
        <v>15</v>
      </c>
      <c r="G2129" s="18">
        <v>478.12</v>
      </c>
      <c r="H2129" s="27">
        <f t="shared" si="66"/>
        <v>478.12</v>
      </c>
      <c r="I2129" s="18">
        <v>454.21</v>
      </c>
      <c r="J2129" s="27">
        <v>478.12</v>
      </c>
      <c r="K2129" s="18">
        <f t="shared" si="67"/>
        <v>478.12</v>
      </c>
      <c r="L2129" s="27">
        <v>454.21</v>
      </c>
      <c r="M2129" s="36">
        <v>0</v>
      </c>
      <c r="T2129" s="41">
        <v>0</v>
      </c>
      <c r="U2129" s="41">
        <v>0</v>
      </c>
      <c r="V2129" s="42" t="s">
        <v>113</v>
      </c>
      <c r="W2129" s="42">
        <v>478.12</v>
      </c>
      <c r="X2129" s="42">
        <v>478.12</v>
      </c>
    </row>
    <row r="2130" spans="1:24">
      <c r="A2130" s="27" t="s">
        <v>3997</v>
      </c>
      <c r="B2130" s="28" t="s">
        <v>215</v>
      </c>
      <c r="C2130" s="27" t="s">
        <v>3998</v>
      </c>
      <c r="D2130" s="27" t="s">
        <v>112</v>
      </c>
      <c r="E2130" s="29">
        <v>39813</v>
      </c>
      <c r="F2130" s="27">
        <v>15</v>
      </c>
      <c r="G2130" s="18">
        <v>42125.68</v>
      </c>
      <c r="H2130" s="27">
        <f t="shared" si="66"/>
        <v>42125.68</v>
      </c>
      <c r="I2130" s="18">
        <v>40019.4</v>
      </c>
      <c r="J2130" s="27">
        <v>42125.68</v>
      </c>
      <c r="K2130" s="18">
        <f t="shared" si="67"/>
        <v>42125.68</v>
      </c>
      <c r="L2130" s="27">
        <v>40019.4</v>
      </c>
      <c r="M2130" s="36">
        <v>0</v>
      </c>
      <c r="T2130" s="41">
        <v>0</v>
      </c>
      <c r="U2130" s="41">
        <v>0</v>
      </c>
      <c r="V2130" s="42" t="s">
        <v>113</v>
      </c>
      <c r="W2130" s="42">
        <v>42125.68</v>
      </c>
      <c r="X2130" s="42">
        <v>42125.68</v>
      </c>
    </row>
    <row r="2131" spans="1:24">
      <c r="A2131" s="27" t="s">
        <v>3999</v>
      </c>
      <c r="B2131" s="28" t="s">
        <v>215</v>
      </c>
      <c r="C2131" s="27" t="s">
        <v>3098</v>
      </c>
      <c r="D2131" s="27" t="s">
        <v>230</v>
      </c>
      <c r="E2131" s="29">
        <v>39813</v>
      </c>
      <c r="F2131" s="27">
        <v>15</v>
      </c>
      <c r="G2131" s="18">
        <v>42125.68</v>
      </c>
      <c r="H2131" s="27">
        <f t="shared" si="66"/>
        <v>42125.68</v>
      </c>
      <c r="I2131" s="18">
        <v>40019.4</v>
      </c>
      <c r="J2131" s="27">
        <v>42125.68</v>
      </c>
      <c r="K2131" s="18">
        <f t="shared" si="67"/>
        <v>42125.68</v>
      </c>
      <c r="L2131" s="27">
        <v>40019.4</v>
      </c>
      <c r="M2131" s="36">
        <v>0</v>
      </c>
      <c r="T2131" s="41">
        <v>0</v>
      </c>
      <c r="U2131" s="41">
        <v>0</v>
      </c>
      <c r="V2131" s="42" t="s">
        <v>113</v>
      </c>
      <c r="W2131" s="42">
        <v>42125.68</v>
      </c>
      <c r="X2131" s="42">
        <v>42125.68</v>
      </c>
    </row>
    <row r="2132" spans="1:24">
      <c r="A2132" s="27" t="s">
        <v>4000</v>
      </c>
      <c r="B2132" s="28" t="s">
        <v>215</v>
      </c>
      <c r="C2132" s="27" t="s">
        <v>4001</v>
      </c>
      <c r="D2132" s="27" t="s">
        <v>112</v>
      </c>
      <c r="E2132" s="29">
        <v>39813</v>
      </c>
      <c r="F2132" s="27">
        <v>15</v>
      </c>
      <c r="G2132" s="18">
        <v>478.12</v>
      </c>
      <c r="H2132" s="27">
        <f t="shared" si="66"/>
        <v>478.12</v>
      </c>
      <c r="I2132" s="18">
        <v>454.21</v>
      </c>
      <c r="J2132" s="27">
        <v>478.12</v>
      </c>
      <c r="K2132" s="18">
        <f t="shared" si="67"/>
        <v>478.12</v>
      </c>
      <c r="L2132" s="27">
        <v>454.21</v>
      </c>
      <c r="M2132" s="36">
        <v>0</v>
      </c>
      <c r="T2132" s="41">
        <v>0</v>
      </c>
      <c r="U2132" s="41">
        <v>0</v>
      </c>
      <c r="V2132" s="42" t="s">
        <v>113</v>
      </c>
      <c r="W2132" s="42">
        <v>478.12</v>
      </c>
      <c r="X2132" s="42">
        <v>478.12</v>
      </c>
    </row>
    <row r="2133" spans="1:24">
      <c r="A2133" s="27" t="s">
        <v>4002</v>
      </c>
      <c r="B2133" s="28" t="s">
        <v>215</v>
      </c>
      <c r="C2133" s="27" t="s">
        <v>4003</v>
      </c>
      <c r="D2133" s="27" t="s">
        <v>230</v>
      </c>
      <c r="E2133" s="29">
        <v>39813</v>
      </c>
      <c r="F2133" s="27">
        <v>15</v>
      </c>
      <c r="G2133" s="18">
        <v>478.12</v>
      </c>
      <c r="H2133" s="27">
        <f t="shared" si="66"/>
        <v>478.12</v>
      </c>
      <c r="I2133" s="18">
        <v>454.21</v>
      </c>
      <c r="J2133" s="27">
        <v>478.12</v>
      </c>
      <c r="K2133" s="18">
        <f t="shared" si="67"/>
        <v>478.12</v>
      </c>
      <c r="L2133" s="27">
        <v>454.21</v>
      </c>
      <c r="M2133" s="36">
        <v>0</v>
      </c>
      <c r="T2133" s="41">
        <v>0</v>
      </c>
      <c r="U2133" s="41">
        <v>0</v>
      </c>
      <c r="V2133" s="42" t="s">
        <v>113</v>
      </c>
      <c r="W2133" s="42">
        <v>478.12</v>
      </c>
      <c r="X2133" s="42">
        <v>478.12</v>
      </c>
    </row>
    <row r="2134" spans="1:24">
      <c r="A2134" s="27" t="s">
        <v>4004</v>
      </c>
      <c r="B2134" s="28" t="s">
        <v>215</v>
      </c>
      <c r="C2134" s="27" t="s">
        <v>4005</v>
      </c>
      <c r="D2134" s="27" t="s">
        <v>230</v>
      </c>
      <c r="E2134" s="29">
        <v>39813</v>
      </c>
      <c r="F2134" s="27">
        <v>15</v>
      </c>
      <c r="G2134" s="18">
        <v>478.12</v>
      </c>
      <c r="H2134" s="27">
        <f t="shared" si="66"/>
        <v>478.12</v>
      </c>
      <c r="I2134" s="18">
        <v>454.21</v>
      </c>
      <c r="J2134" s="27">
        <v>478.12</v>
      </c>
      <c r="K2134" s="18">
        <f t="shared" si="67"/>
        <v>478.12</v>
      </c>
      <c r="L2134" s="27">
        <v>454.21</v>
      </c>
      <c r="M2134" s="36">
        <v>0</v>
      </c>
      <c r="T2134" s="41">
        <v>0</v>
      </c>
      <c r="U2134" s="41">
        <v>0</v>
      </c>
      <c r="V2134" s="42" t="s">
        <v>113</v>
      </c>
      <c r="W2134" s="42">
        <v>478.12</v>
      </c>
      <c r="X2134" s="42">
        <v>478.12</v>
      </c>
    </row>
    <row r="2135" spans="1:24">
      <c r="A2135" s="27" t="s">
        <v>4006</v>
      </c>
      <c r="B2135" s="28" t="s">
        <v>215</v>
      </c>
      <c r="C2135" s="27" t="s">
        <v>4007</v>
      </c>
      <c r="D2135" s="27" t="s">
        <v>112</v>
      </c>
      <c r="E2135" s="29">
        <v>39813</v>
      </c>
      <c r="F2135" s="27">
        <v>15</v>
      </c>
      <c r="G2135" s="18">
        <v>478.12</v>
      </c>
      <c r="H2135" s="27">
        <f t="shared" si="66"/>
        <v>478.12</v>
      </c>
      <c r="I2135" s="18">
        <v>454.21</v>
      </c>
      <c r="J2135" s="27">
        <v>478.12</v>
      </c>
      <c r="K2135" s="18">
        <f t="shared" si="67"/>
        <v>478.12</v>
      </c>
      <c r="L2135" s="27">
        <v>454.21</v>
      </c>
      <c r="M2135" s="36">
        <v>0</v>
      </c>
      <c r="T2135" s="41">
        <v>0</v>
      </c>
      <c r="U2135" s="41">
        <v>0</v>
      </c>
      <c r="V2135" s="42" t="s">
        <v>113</v>
      </c>
      <c r="W2135" s="42">
        <v>478.12</v>
      </c>
      <c r="X2135" s="42">
        <v>478.12</v>
      </c>
    </row>
    <row r="2136" spans="1:24">
      <c r="A2136" s="27" t="s">
        <v>4008</v>
      </c>
      <c r="B2136" s="28" t="s">
        <v>215</v>
      </c>
      <c r="C2136" s="27" t="s">
        <v>4009</v>
      </c>
      <c r="D2136" s="27" t="s">
        <v>230</v>
      </c>
      <c r="E2136" s="29">
        <v>39813</v>
      </c>
      <c r="F2136" s="27">
        <v>15</v>
      </c>
      <c r="G2136" s="18">
        <v>4000</v>
      </c>
      <c r="H2136" s="27">
        <f t="shared" si="66"/>
        <v>4000</v>
      </c>
      <c r="I2136" s="18">
        <v>3800</v>
      </c>
      <c r="J2136" s="27">
        <v>4000</v>
      </c>
      <c r="K2136" s="18">
        <f t="shared" si="67"/>
        <v>4000</v>
      </c>
      <c r="L2136" s="27">
        <v>3800</v>
      </c>
      <c r="M2136" s="36">
        <v>0</v>
      </c>
      <c r="T2136" s="41">
        <v>0</v>
      </c>
      <c r="U2136" s="41">
        <v>0</v>
      </c>
      <c r="V2136" s="42" t="s">
        <v>113</v>
      </c>
      <c r="W2136" s="42">
        <v>4000</v>
      </c>
      <c r="X2136" s="42">
        <v>4000</v>
      </c>
    </row>
    <row r="2137" spans="1:24">
      <c r="A2137" s="27" t="s">
        <v>4010</v>
      </c>
      <c r="B2137" s="28" t="s">
        <v>215</v>
      </c>
      <c r="C2137" s="27" t="s">
        <v>2548</v>
      </c>
      <c r="D2137" s="27" t="s">
        <v>112</v>
      </c>
      <c r="E2137" s="29">
        <v>39813</v>
      </c>
      <c r="F2137" s="27">
        <v>15</v>
      </c>
      <c r="G2137" s="18">
        <v>42125.68</v>
      </c>
      <c r="H2137" s="27">
        <f t="shared" si="66"/>
        <v>42125.68</v>
      </c>
      <c r="I2137" s="18">
        <v>40019.4</v>
      </c>
      <c r="J2137" s="27">
        <v>42125.68</v>
      </c>
      <c r="K2137" s="18">
        <f t="shared" si="67"/>
        <v>42125.68</v>
      </c>
      <c r="L2137" s="27">
        <v>40019.4</v>
      </c>
      <c r="M2137" s="36">
        <v>0</v>
      </c>
      <c r="T2137" s="41">
        <v>0</v>
      </c>
      <c r="U2137" s="41">
        <v>0</v>
      </c>
      <c r="V2137" s="42" t="s">
        <v>113</v>
      </c>
      <c r="W2137" s="42">
        <v>42125.68</v>
      </c>
      <c r="X2137" s="42">
        <v>42125.68</v>
      </c>
    </row>
    <row r="2138" spans="1:24">
      <c r="A2138" s="27" t="s">
        <v>4011</v>
      </c>
      <c r="B2138" s="28" t="s">
        <v>215</v>
      </c>
      <c r="C2138" s="27" t="s">
        <v>4012</v>
      </c>
      <c r="D2138" s="27" t="s">
        <v>112</v>
      </c>
      <c r="E2138" s="29">
        <v>39813</v>
      </c>
      <c r="F2138" s="27">
        <v>15</v>
      </c>
      <c r="G2138" s="18">
        <v>42125.68</v>
      </c>
      <c r="H2138" s="27">
        <f t="shared" si="66"/>
        <v>42125.68</v>
      </c>
      <c r="I2138" s="18">
        <v>40019.4</v>
      </c>
      <c r="J2138" s="27">
        <v>42125.68</v>
      </c>
      <c r="K2138" s="18">
        <f t="shared" si="67"/>
        <v>42125.68</v>
      </c>
      <c r="L2138" s="27">
        <v>40019.4</v>
      </c>
      <c r="M2138" s="36">
        <v>0</v>
      </c>
      <c r="T2138" s="41">
        <v>0</v>
      </c>
      <c r="U2138" s="41">
        <v>0</v>
      </c>
      <c r="V2138" s="42" t="s">
        <v>113</v>
      </c>
      <c r="W2138" s="42">
        <v>42125.68</v>
      </c>
      <c r="X2138" s="42">
        <v>42125.68</v>
      </c>
    </row>
    <row r="2139" spans="1:24">
      <c r="A2139" s="27" t="s">
        <v>4013</v>
      </c>
      <c r="B2139" s="28" t="s">
        <v>215</v>
      </c>
      <c r="C2139" s="27" t="s">
        <v>4014</v>
      </c>
      <c r="D2139" s="27" t="s">
        <v>112</v>
      </c>
      <c r="E2139" s="29">
        <v>39813</v>
      </c>
      <c r="F2139" s="27">
        <v>15</v>
      </c>
      <c r="G2139" s="18">
        <v>42125.68</v>
      </c>
      <c r="H2139" s="27">
        <f t="shared" si="66"/>
        <v>42125.68</v>
      </c>
      <c r="I2139" s="18">
        <v>40019.4</v>
      </c>
      <c r="J2139" s="27">
        <v>42125.68</v>
      </c>
      <c r="K2139" s="18">
        <f t="shared" si="67"/>
        <v>42125.68</v>
      </c>
      <c r="L2139" s="27">
        <v>40019.4</v>
      </c>
      <c r="M2139" s="36">
        <v>0</v>
      </c>
      <c r="T2139" s="41">
        <v>0</v>
      </c>
      <c r="U2139" s="41">
        <v>0</v>
      </c>
      <c r="V2139" s="42" t="s">
        <v>113</v>
      </c>
      <c r="W2139" s="42">
        <v>42125.68</v>
      </c>
      <c r="X2139" s="42">
        <v>42125.68</v>
      </c>
    </row>
    <row r="2140" spans="1:24">
      <c r="A2140" s="27" t="s">
        <v>4015</v>
      </c>
      <c r="B2140" s="28" t="s">
        <v>215</v>
      </c>
      <c r="C2140" s="27" t="s">
        <v>4016</v>
      </c>
      <c r="D2140" s="27" t="s">
        <v>230</v>
      </c>
      <c r="E2140" s="29">
        <v>39813</v>
      </c>
      <c r="F2140" s="27">
        <v>15</v>
      </c>
      <c r="G2140" s="18">
        <v>42125.68</v>
      </c>
      <c r="H2140" s="27">
        <f t="shared" si="66"/>
        <v>42125.68</v>
      </c>
      <c r="I2140" s="18">
        <v>40019.4</v>
      </c>
      <c r="J2140" s="27">
        <v>42125.68</v>
      </c>
      <c r="K2140" s="18">
        <f t="shared" si="67"/>
        <v>42125.68</v>
      </c>
      <c r="L2140" s="27">
        <v>40019.4</v>
      </c>
      <c r="M2140" s="36">
        <v>0</v>
      </c>
      <c r="T2140" s="41">
        <v>0</v>
      </c>
      <c r="U2140" s="41">
        <v>0</v>
      </c>
      <c r="V2140" s="42" t="s">
        <v>113</v>
      </c>
      <c r="W2140" s="42">
        <v>42125.68</v>
      </c>
      <c r="X2140" s="42">
        <v>42125.68</v>
      </c>
    </row>
    <row r="2141" spans="1:24">
      <c r="A2141" s="27" t="s">
        <v>4017</v>
      </c>
      <c r="B2141" s="28" t="s">
        <v>215</v>
      </c>
      <c r="C2141" s="27" t="s">
        <v>4018</v>
      </c>
      <c r="D2141" s="27" t="s">
        <v>112</v>
      </c>
      <c r="E2141" s="29">
        <v>39813</v>
      </c>
      <c r="F2141" s="27">
        <v>15</v>
      </c>
      <c r="G2141" s="18">
        <v>6500</v>
      </c>
      <c r="H2141" s="27">
        <f t="shared" si="66"/>
        <v>6500</v>
      </c>
      <c r="I2141" s="18">
        <v>6175</v>
      </c>
      <c r="J2141" s="27">
        <v>6500</v>
      </c>
      <c r="K2141" s="18">
        <f t="shared" si="67"/>
        <v>6500</v>
      </c>
      <c r="L2141" s="27">
        <v>6175</v>
      </c>
      <c r="M2141" s="36">
        <v>0</v>
      </c>
      <c r="T2141" s="41">
        <v>0</v>
      </c>
      <c r="U2141" s="41">
        <v>0</v>
      </c>
      <c r="V2141" s="42" t="s">
        <v>113</v>
      </c>
      <c r="W2141" s="42">
        <v>6500</v>
      </c>
      <c r="X2141" s="42">
        <v>6500</v>
      </c>
    </row>
    <row r="2142" spans="1:24">
      <c r="A2142" s="27" t="s">
        <v>4019</v>
      </c>
      <c r="B2142" s="28" t="s">
        <v>215</v>
      </c>
      <c r="C2142" s="27" t="s">
        <v>4020</v>
      </c>
      <c r="D2142" s="27" t="s">
        <v>112</v>
      </c>
      <c r="E2142" s="29">
        <v>39813</v>
      </c>
      <c r="F2142" s="27">
        <v>15</v>
      </c>
      <c r="G2142" s="18">
        <v>6500</v>
      </c>
      <c r="H2142" s="27">
        <f t="shared" si="66"/>
        <v>6500</v>
      </c>
      <c r="I2142" s="18">
        <v>6175</v>
      </c>
      <c r="J2142" s="27">
        <v>6500</v>
      </c>
      <c r="K2142" s="18">
        <f t="shared" si="67"/>
        <v>6500</v>
      </c>
      <c r="L2142" s="27">
        <v>6175</v>
      </c>
      <c r="M2142" s="36">
        <v>0</v>
      </c>
      <c r="T2142" s="41">
        <v>0</v>
      </c>
      <c r="U2142" s="41">
        <v>0</v>
      </c>
      <c r="V2142" s="42" t="s">
        <v>113</v>
      </c>
      <c r="W2142" s="42">
        <v>6500</v>
      </c>
      <c r="X2142" s="42">
        <v>6500</v>
      </c>
    </row>
    <row r="2143" spans="1:24">
      <c r="A2143" s="27" t="s">
        <v>4021</v>
      </c>
      <c r="B2143" s="28" t="s">
        <v>215</v>
      </c>
      <c r="C2143" s="27" t="s">
        <v>4022</v>
      </c>
      <c r="D2143" s="27" t="s">
        <v>112</v>
      </c>
      <c r="E2143" s="29">
        <v>39813</v>
      </c>
      <c r="F2143" s="27">
        <v>15</v>
      </c>
      <c r="G2143" s="18">
        <v>478.12</v>
      </c>
      <c r="H2143" s="27">
        <f t="shared" si="66"/>
        <v>478.12</v>
      </c>
      <c r="I2143" s="18">
        <v>454.21</v>
      </c>
      <c r="J2143" s="27">
        <v>478.12</v>
      </c>
      <c r="K2143" s="18">
        <f t="shared" si="67"/>
        <v>478.12</v>
      </c>
      <c r="L2143" s="27">
        <v>454.21</v>
      </c>
      <c r="M2143" s="36">
        <v>0</v>
      </c>
      <c r="T2143" s="41">
        <v>0</v>
      </c>
      <c r="U2143" s="41">
        <v>0</v>
      </c>
      <c r="V2143" s="42" t="s">
        <v>113</v>
      </c>
      <c r="W2143" s="42">
        <v>478.12</v>
      </c>
      <c r="X2143" s="42">
        <v>478.12</v>
      </c>
    </row>
    <row r="2144" spans="1:24">
      <c r="A2144" s="27" t="s">
        <v>4023</v>
      </c>
      <c r="B2144" s="28" t="s">
        <v>215</v>
      </c>
      <c r="C2144" s="27" t="s">
        <v>4024</v>
      </c>
      <c r="D2144" s="27" t="s">
        <v>230</v>
      </c>
      <c r="E2144" s="29">
        <v>39813</v>
      </c>
      <c r="F2144" s="27">
        <v>15</v>
      </c>
      <c r="G2144" s="18">
        <v>141905.96</v>
      </c>
      <c r="H2144" s="27">
        <f t="shared" si="66"/>
        <v>141905.96</v>
      </c>
      <c r="I2144" s="18">
        <v>134810.66</v>
      </c>
      <c r="J2144" s="27">
        <v>141905.96</v>
      </c>
      <c r="K2144" s="18">
        <f t="shared" si="67"/>
        <v>141905.96</v>
      </c>
      <c r="L2144" s="27">
        <v>134810.66</v>
      </c>
      <c r="M2144" s="36">
        <v>0</v>
      </c>
      <c r="T2144" s="41">
        <v>0</v>
      </c>
      <c r="U2144" s="41">
        <v>0</v>
      </c>
      <c r="V2144" s="42" t="s">
        <v>113</v>
      </c>
      <c r="W2144" s="42">
        <v>141905.96</v>
      </c>
      <c r="X2144" s="42">
        <v>141905.96</v>
      </c>
    </row>
    <row r="2145" spans="1:24">
      <c r="A2145" s="27" t="s">
        <v>4025</v>
      </c>
      <c r="B2145" s="28" t="s">
        <v>215</v>
      </c>
      <c r="C2145" s="27" t="s">
        <v>4026</v>
      </c>
      <c r="D2145" s="27" t="s">
        <v>230</v>
      </c>
      <c r="E2145" s="29">
        <v>39813</v>
      </c>
      <c r="F2145" s="27">
        <v>15</v>
      </c>
      <c r="G2145" s="18">
        <v>478.12</v>
      </c>
      <c r="H2145" s="27">
        <f t="shared" si="66"/>
        <v>478.12</v>
      </c>
      <c r="I2145" s="18">
        <v>454.21</v>
      </c>
      <c r="J2145" s="27">
        <v>478.12</v>
      </c>
      <c r="K2145" s="18">
        <f t="shared" si="67"/>
        <v>478.12</v>
      </c>
      <c r="L2145" s="27">
        <v>454.21</v>
      </c>
      <c r="M2145" s="36">
        <v>0</v>
      </c>
      <c r="T2145" s="41">
        <v>0</v>
      </c>
      <c r="U2145" s="41">
        <v>0</v>
      </c>
      <c r="V2145" s="42" t="s">
        <v>113</v>
      </c>
      <c r="W2145" s="42">
        <v>478.12</v>
      </c>
      <c r="X2145" s="42">
        <v>478.12</v>
      </c>
    </row>
    <row r="2146" spans="1:24">
      <c r="A2146" s="27" t="s">
        <v>4027</v>
      </c>
      <c r="B2146" s="28" t="s">
        <v>215</v>
      </c>
      <c r="C2146" s="27" t="s">
        <v>4028</v>
      </c>
      <c r="D2146" s="27" t="s">
        <v>112</v>
      </c>
      <c r="E2146" s="29">
        <v>39813</v>
      </c>
      <c r="F2146" s="27">
        <v>15</v>
      </c>
      <c r="G2146" s="18">
        <v>42125.68</v>
      </c>
      <c r="H2146" s="27">
        <f t="shared" si="66"/>
        <v>42125.68</v>
      </c>
      <c r="I2146" s="18">
        <v>40019.4</v>
      </c>
      <c r="J2146" s="27">
        <v>42125.68</v>
      </c>
      <c r="K2146" s="18">
        <f t="shared" si="67"/>
        <v>42125.68</v>
      </c>
      <c r="L2146" s="27">
        <v>40019.4</v>
      </c>
      <c r="M2146" s="36">
        <v>0</v>
      </c>
      <c r="T2146" s="41">
        <v>0</v>
      </c>
      <c r="U2146" s="41">
        <v>0</v>
      </c>
      <c r="V2146" s="42" t="s">
        <v>113</v>
      </c>
      <c r="W2146" s="42">
        <v>42125.68</v>
      </c>
      <c r="X2146" s="42">
        <v>42125.68</v>
      </c>
    </row>
    <row r="2147" spans="1:24">
      <c r="A2147" s="27" t="s">
        <v>4029</v>
      </c>
      <c r="B2147" s="28" t="s">
        <v>215</v>
      </c>
      <c r="C2147" s="27" t="s">
        <v>4030</v>
      </c>
      <c r="D2147" s="27" t="s">
        <v>230</v>
      </c>
      <c r="E2147" s="29">
        <v>39813</v>
      </c>
      <c r="F2147" s="27">
        <v>15</v>
      </c>
      <c r="G2147" s="18">
        <v>478.12</v>
      </c>
      <c r="H2147" s="27">
        <f t="shared" si="66"/>
        <v>478.12</v>
      </c>
      <c r="I2147" s="18">
        <v>454.21</v>
      </c>
      <c r="J2147" s="27">
        <v>478.12</v>
      </c>
      <c r="K2147" s="18">
        <f t="shared" si="67"/>
        <v>478.12</v>
      </c>
      <c r="L2147" s="27">
        <v>454.21</v>
      </c>
      <c r="M2147" s="36">
        <v>0</v>
      </c>
      <c r="T2147" s="41">
        <v>0</v>
      </c>
      <c r="U2147" s="41">
        <v>0</v>
      </c>
      <c r="V2147" s="42" t="s">
        <v>113</v>
      </c>
      <c r="W2147" s="42">
        <v>478.12</v>
      </c>
      <c r="X2147" s="42">
        <v>478.12</v>
      </c>
    </row>
    <row r="2148" spans="1:24">
      <c r="A2148" s="27" t="s">
        <v>4031</v>
      </c>
      <c r="B2148" s="28" t="s">
        <v>215</v>
      </c>
      <c r="C2148" s="27" t="s">
        <v>4032</v>
      </c>
      <c r="D2148" s="27" t="s">
        <v>112</v>
      </c>
      <c r="E2148" s="29">
        <v>39813</v>
      </c>
      <c r="F2148" s="27">
        <v>15</v>
      </c>
      <c r="G2148" s="18">
        <v>42125.68</v>
      </c>
      <c r="H2148" s="27">
        <f t="shared" si="66"/>
        <v>42125.68</v>
      </c>
      <c r="I2148" s="18">
        <v>40019.4</v>
      </c>
      <c r="J2148" s="27">
        <v>42125.68</v>
      </c>
      <c r="K2148" s="18">
        <f t="shared" si="67"/>
        <v>42125.68</v>
      </c>
      <c r="L2148" s="27">
        <v>40019.4</v>
      </c>
      <c r="M2148" s="36">
        <v>0</v>
      </c>
      <c r="T2148" s="41">
        <v>0</v>
      </c>
      <c r="U2148" s="41">
        <v>0</v>
      </c>
      <c r="V2148" s="42" t="s">
        <v>113</v>
      </c>
      <c r="W2148" s="42">
        <v>42125.68</v>
      </c>
      <c r="X2148" s="42">
        <v>42125.68</v>
      </c>
    </row>
    <row r="2149" spans="1:24">
      <c r="A2149" s="27" t="s">
        <v>4033</v>
      </c>
      <c r="B2149" s="28" t="s">
        <v>215</v>
      </c>
      <c r="C2149" s="27" t="s">
        <v>4034</v>
      </c>
      <c r="D2149" s="27" t="s">
        <v>230</v>
      </c>
      <c r="E2149" s="29">
        <v>39813</v>
      </c>
      <c r="F2149" s="27">
        <v>15</v>
      </c>
      <c r="G2149" s="18">
        <v>42125.68</v>
      </c>
      <c r="H2149" s="27">
        <f t="shared" si="66"/>
        <v>42125.68</v>
      </c>
      <c r="I2149" s="18">
        <v>40019.4</v>
      </c>
      <c r="J2149" s="27">
        <v>42125.68</v>
      </c>
      <c r="K2149" s="18">
        <f t="shared" si="67"/>
        <v>42125.68</v>
      </c>
      <c r="L2149" s="27">
        <v>40019.4</v>
      </c>
      <c r="M2149" s="36">
        <v>0</v>
      </c>
      <c r="T2149" s="41">
        <v>0</v>
      </c>
      <c r="U2149" s="41">
        <v>0</v>
      </c>
      <c r="V2149" s="42" t="s">
        <v>113</v>
      </c>
      <c r="W2149" s="42">
        <v>42125.68</v>
      </c>
      <c r="X2149" s="42">
        <v>42125.68</v>
      </c>
    </row>
    <row r="2150" spans="1:24">
      <c r="A2150" s="27" t="s">
        <v>4035</v>
      </c>
      <c r="B2150" s="28" t="s">
        <v>215</v>
      </c>
      <c r="C2150" s="27" t="s">
        <v>4036</v>
      </c>
      <c r="D2150" s="27" t="s">
        <v>230</v>
      </c>
      <c r="E2150" s="29">
        <v>39813</v>
      </c>
      <c r="F2150" s="27">
        <v>15</v>
      </c>
      <c r="G2150" s="18">
        <v>42125.68</v>
      </c>
      <c r="H2150" s="27">
        <f t="shared" si="66"/>
        <v>42125.68</v>
      </c>
      <c r="I2150" s="18">
        <v>40019.4</v>
      </c>
      <c r="J2150" s="27">
        <v>42125.68</v>
      </c>
      <c r="K2150" s="18">
        <f t="shared" si="67"/>
        <v>42125.68</v>
      </c>
      <c r="L2150" s="27">
        <v>40019.4</v>
      </c>
      <c r="M2150" s="36">
        <v>0</v>
      </c>
      <c r="T2150" s="41">
        <v>0</v>
      </c>
      <c r="U2150" s="41">
        <v>0</v>
      </c>
      <c r="V2150" s="42" t="s">
        <v>113</v>
      </c>
      <c r="W2150" s="42">
        <v>42125.68</v>
      </c>
      <c r="X2150" s="42">
        <v>42125.68</v>
      </c>
    </row>
    <row r="2151" spans="1:24">
      <c r="A2151" s="27" t="s">
        <v>4037</v>
      </c>
      <c r="B2151" s="28" t="s">
        <v>215</v>
      </c>
      <c r="C2151" s="27" t="s">
        <v>4038</v>
      </c>
      <c r="D2151" s="27" t="s">
        <v>230</v>
      </c>
      <c r="E2151" s="29">
        <v>39813</v>
      </c>
      <c r="F2151" s="27">
        <v>15</v>
      </c>
      <c r="G2151" s="18">
        <v>42125.68</v>
      </c>
      <c r="H2151" s="27">
        <f t="shared" si="66"/>
        <v>42125.68</v>
      </c>
      <c r="I2151" s="18">
        <v>40019.4</v>
      </c>
      <c r="J2151" s="27">
        <v>42125.68</v>
      </c>
      <c r="K2151" s="18">
        <f t="shared" si="67"/>
        <v>42125.68</v>
      </c>
      <c r="L2151" s="27">
        <v>40019.4</v>
      </c>
      <c r="M2151" s="36">
        <v>0</v>
      </c>
      <c r="T2151" s="41">
        <v>0</v>
      </c>
      <c r="U2151" s="41">
        <v>0</v>
      </c>
      <c r="V2151" s="42" t="s">
        <v>113</v>
      </c>
      <c r="W2151" s="42">
        <v>42125.68</v>
      </c>
      <c r="X2151" s="42">
        <v>42125.68</v>
      </c>
    </row>
    <row r="2152" spans="1:24">
      <c r="A2152" s="27" t="s">
        <v>4039</v>
      </c>
      <c r="B2152" s="28" t="s">
        <v>215</v>
      </c>
      <c r="C2152" s="27" t="s">
        <v>4040</v>
      </c>
      <c r="D2152" s="27" t="s">
        <v>230</v>
      </c>
      <c r="E2152" s="29">
        <v>39813</v>
      </c>
      <c r="F2152" s="27">
        <v>15</v>
      </c>
      <c r="G2152" s="18">
        <v>42125.68</v>
      </c>
      <c r="H2152" s="27">
        <f t="shared" si="66"/>
        <v>42125.68</v>
      </c>
      <c r="I2152" s="18">
        <v>40019.4</v>
      </c>
      <c r="J2152" s="27">
        <v>42125.68</v>
      </c>
      <c r="K2152" s="18">
        <f t="shared" si="67"/>
        <v>42125.68</v>
      </c>
      <c r="L2152" s="27">
        <v>40019.4</v>
      </c>
      <c r="M2152" s="36">
        <v>0</v>
      </c>
      <c r="T2152" s="41">
        <v>0</v>
      </c>
      <c r="U2152" s="41">
        <v>0</v>
      </c>
      <c r="V2152" s="42" t="s">
        <v>113</v>
      </c>
      <c r="W2152" s="42">
        <v>42125.68</v>
      </c>
      <c r="X2152" s="42">
        <v>42125.68</v>
      </c>
    </row>
    <row r="2153" spans="1:24">
      <c r="A2153" s="27" t="s">
        <v>4041</v>
      </c>
      <c r="B2153" s="28" t="s">
        <v>215</v>
      </c>
      <c r="C2153" s="27" t="s">
        <v>4042</v>
      </c>
      <c r="D2153" s="27" t="s">
        <v>230</v>
      </c>
      <c r="E2153" s="29">
        <v>39813</v>
      </c>
      <c r="F2153" s="27">
        <v>15</v>
      </c>
      <c r="G2153" s="18">
        <v>42125.68</v>
      </c>
      <c r="H2153" s="27">
        <f t="shared" si="66"/>
        <v>42125.68</v>
      </c>
      <c r="I2153" s="18">
        <v>40019.4</v>
      </c>
      <c r="J2153" s="27">
        <v>42125.68</v>
      </c>
      <c r="K2153" s="18">
        <f t="shared" si="67"/>
        <v>42125.68</v>
      </c>
      <c r="L2153" s="27">
        <v>40019.4</v>
      </c>
      <c r="M2153" s="36">
        <v>0</v>
      </c>
      <c r="T2153" s="41">
        <v>0</v>
      </c>
      <c r="U2153" s="41">
        <v>0</v>
      </c>
      <c r="V2153" s="42" t="s">
        <v>113</v>
      </c>
      <c r="W2153" s="42">
        <v>42125.68</v>
      </c>
      <c r="X2153" s="42">
        <v>42125.68</v>
      </c>
    </row>
    <row r="2154" spans="1:24">
      <c r="A2154" s="27" t="s">
        <v>4043</v>
      </c>
      <c r="B2154" s="28" t="s">
        <v>215</v>
      </c>
      <c r="C2154" s="27" t="s">
        <v>4044</v>
      </c>
      <c r="D2154" s="27" t="s">
        <v>230</v>
      </c>
      <c r="E2154" s="29">
        <v>39813</v>
      </c>
      <c r="F2154" s="27">
        <v>15</v>
      </c>
      <c r="G2154" s="18">
        <v>42125.68</v>
      </c>
      <c r="H2154" s="27">
        <f t="shared" si="66"/>
        <v>42125.68</v>
      </c>
      <c r="I2154" s="18">
        <v>40019.4</v>
      </c>
      <c r="J2154" s="27">
        <v>42125.68</v>
      </c>
      <c r="K2154" s="18">
        <f t="shared" si="67"/>
        <v>42125.68</v>
      </c>
      <c r="L2154" s="27">
        <v>40019.4</v>
      </c>
      <c r="M2154" s="36">
        <v>0</v>
      </c>
      <c r="T2154" s="41">
        <v>0</v>
      </c>
      <c r="U2154" s="41">
        <v>0</v>
      </c>
      <c r="V2154" s="42" t="s">
        <v>113</v>
      </c>
      <c r="W2154" s="42">
        <v>42125.68</v>
      </c>
      <c r="X2154" s="42">
        <v>42125.68</v>
      </c>
    </row>
    <row r="2155" spans="1:24">
      <c r="A2155" s="27" t="s">
        <v>4045</v>
      </c>
      <c r="B2155" s="28" t="s">
        <v>215</v>
      </c>
      <c r="C2155" s="27" t="s">
        <v>4046</v>
      </c>
      <c r="D2155" s="27" t="s">
        <v>112</v>
      </c>
      <c r="E2155" s="29">
        <v>40543</v>
      </c>
      <c r="F2155" s="27">
        <v>15</v>
      </c>
      <c r="G2155" s="18">
        <v>478.12</v>
      </c>
      <c r="H2155" s="27">
        <f t="shared" si="66"/>
        <v>0</v>
      </c>
      <c r="I2155" s="18">
        <v>371.42</v>
      </c>
      <c r="J2155" s="27">
        <v>478.12</v>
      </c>
      <c r="K2155" s="18">
        <f t="shared" si="67"/>
        <v>0</v>
      </c>
      <c r="L2155" s="27">
        <v>383.25</v>
      </c>
      <c r="M2155" s="36">
        <v>11.83</v>
      </c>
      <c r="T2155" s="41">
        <v>0</v>
      </c>
      <c r="U2155" s="41">
        <v>0</v>
      </c>
      <c r="V2155" s="42" t="s">
        <v>113</v>
      </c>
      <c r="W2155" s="42">
        <v>0</v>
      </c>
      <c r="X2155" s="42">
        <v>0</v>
      </c>
    </row>
    <row r="2156" spans="1:24">
      <c r="A2156" s="27" t="s">
        <v>4047</v>
      </c>
      <c r="B2156" s="28" t="s">
        <v>215</v>
      </c>
      <c r="C2156" s="27" t="s">
        <v>4048</v>
      </c>
      <c r="D2156" s="27" t="s">
        <v>112</v>
      </c>
      <c r="E2156" s="29">
        <v>40543</v>
      </c>
      <c r="F2156" s="27">
        <v>15</v>
      </c>
      <c r="G2156" s="18">
        <v>478.12</v>
      </c>
      <c r="H2156" s="27">
        <f t="shared" si="66"/>
        <v>0</v>
      </c>
      <c r="I2156" s="18">
        <v>371.42</v>
      </c>
      <c r="J2156" s="27">
        <v>478.12</v>
      </c>
      <c r="K2156" s="18">
        <f t="shared" si="67"/>
        <v>0</v>
      </c>
      <c r="L2156" s="27">
        <v>383.25</v>
      </c>
      <c r="M2156" s="36">
        <v>11.83</v>
      </c>
      <c r="T2156" s="41">
        <v>0</v>
      </c>
      <c r="U2156" s="41">
        <v>0</v>
      </c>
      <c r="V2156" s="42" t="s">
        <v>113</v>
      </c>
      <c r="W2156" s="42">
        <v>0</v>
      </c>
      <c r="X2156" s="42">
        <v>0</v>
      </c>
    </row>
    <row r="2157" spans="1:24">
      <c r="A2157" s="27" t="s">
        <v>4049</v>
      </c>
      <c r="B2157" s="28" t="s">
        <v>215</v>
      </c>
      <c r="C2157" s="27" t="s">
        <v>4050</v>
      </c>
      <c r="D2157" s="27" t="s">
        <v>112</v>
      </c>
      <c r="E2157" s="29">
        <v>39813</v>
      </c>
      <c r="F2157" s="27">
        <v>15</v>
      </c>
      <c r="G2157" s="18">
        <v>60224.9</v>
      </c>
      <c r="H2157" s="27">
        <f t="shared" si="66"/>
        <v>60224.9</v>
      </c>
      <c r="I2157" s="18">
        <v>57213.65</v>
      </c>
      <c r="J2157" s="27">
        <v>60224.9</v>
      </c>
      <c r="K2157" s="18">
        <f t="shared" si="67"/>
        <v>60224.9</v>
      </c>
      <c r="L2157" s="27">
        <v>57213.65</v>
      </c>
      <c r="M2157" s="36">
        <v>0</v>
      </c>
      <c r="T2157" s="41">
        <v>0</v>
      </c>
      <c r="U2157" s="41">
        <v>0</v>
      </c>
      <c r="V2157" s="42" t="s">
        <v>113</v>
      </c>
      <c r="W2157" s="42">
        <v>60224.9</v>
      </c>
      <c r="X2157" s="42">
        <v>60224.9</v>
      </c>
    </row>
    <row r="2158" spans="1:24">
      <c r="A2158" s="27" t="s">
        <v>4051</v>
      </c>
      <c r="B2158" s="28" t="s">
        <v>215</v>
      </c>
      <c r="C2158" s="27" t="s">
        <v>4052</v>
      </c>
      <c r="D2158" s="27" t="s">
        <v>112</v>
      </c>
      <c r="E2158" s="29">
        <v>39813</v>
      </c>
      <c r="F2158" s="27">
        <v>15</v>
      </c>
      <c r="G2158" s="18">
        <v>6882</v>
      </c>
      <c r="H2158" s="27">
        <f t="shared" si="66"/>
        <v>6882</v>
      </c>
      <c r="I2158" s="18">
        <v>6537.9</v>
      </c>
      <c r="J2158" s="27">
        <v>6882</v>
      </c>
      <c r="K2158" s="18">
        <f t="shared" si="67"/>
        <v>6882</v>
      </c>
      <c r="L2158" s="27">
        <v>6537.9</v>
      </c>
      <c r="M2158" s="36">
        <v>0</v>
      </c>
      <c r="T2158" s="41">
        <v>0</v>
      </c>
      <c r="U2158" s="41">
        <v>0</v>
      </c>
      <c r="V2158" s="42" t="s">
        <v>113</v>
      </c>
      <c r="W2158" s="42">
        <v>6882</v>
      </c>
      <c r="X2158" s="42">
        <v>6882</v>
      </c>
    </row>
    <row r="2159" spans="1:24">
      <c r="A2159" s="27" t="s">
        <v>4053</v>
      </c>
      <c r="B2159" s="28" t="s">
        <v>215</v>
      </c>
      <c r="C2159" s="27" t="s">
        <v>4054</v>
      </c>
      <c r="D2159" s="27" t="s">
        <v>112</v>
      </c>
      <c r="E2159" s="29">
        <v>39813</v>
      </c>
      <c r="F2159" s="27">
        <v>15</v>
      </c>
      <c r="G2159" s="18">
        <v>6882</v>
      </c>
      <c r="H2159" s="27">
        <f t="shared" si="66"/>
        <v>6882</v>
      </c>
      <c r="I2159" s="18">
        <v>6537.9</v>
      </c>
      <c r="J2159" s="27">
        <v>6882</v>
      </c>
      <c r="K2159" s="18">
        <f t="shared" si="67"/>
        <v>6882</v>
      </c>
      <c r="L2159" s="27">
        <v>6537.9</v>
      </c>
      <c r="M2159" s="36">
        <v>0</v>
      </c>
      <c r="T2159" s="41">
        <v>0</v>
      </c>
      <c r="U2159" s="41">
        <v>0</v>
      </c>
      <c r="V2159" s="42" t="s">
        <v>113</v>
      </c>
      <c r="W2159" s="42">
        <v>6882</v>
      </c>
      <c r="X2159" s="42">
        <v>6882</v>
      </c>
    </row>
    <row r="2160" spans="1:24">
      <c r="A2160" s="27" t="s">
        <v>4055</v>
      </c>
      <c r="B2160" s="28" t="s">
        <v>215</v>
      </c>
      <c r="C2160" s="27" t="s">
        <v>4056</v>
      </c>
      <c r="D2160" s="27" t="s">
        <v>112</v>
      </c>
      <c r="E2160" s="29">
        <v>39813</v>
      </c>
      <c r="F2160" s="27">
        <v>15</v>
      </c>
      <c r="G2160" s="18">
        <v>478.12</v>
      </c>
      <c r="H2160" s="27">
        <f t="shared" si="66"/>
        <v>478.12</v>
      </c>
      <c r="I2160" s="18">
        <v>454.21</v>
      </c>
      <c r="J2160" s="27">
        <v>478.12</v>
      </c>
      <c r="K2160" s="18">
        <f t="shared" si="67"/>
        <v>478.12</v>
      </c>
      <c r="L2160" s="27">
        <v>454.21</v>
      </c>
      <c r="M2160" s="36">
        <v>0</v>
      </c>
      <c r="T2160" s="41">
        <v>0</v>
      </c>
      <c r="U2160" s="41">
        <v>0</v>
      </c>
      <c r="V2160" s="42" t="s">
        <v>113</v>
      </c>
      <c r="W2160" s="42">
        <v>478.12</v>
      </c>
      <c r="X2160" s="42">
        <v>478.12</v>
      </c>
    </row>
    <row r="2161" spans="1:24">
      <c r="A2161" s="27" t="s">
        <v>4057</v>
      </c>
      <c r="B2161" s="28" t="s">
        <v>215</v>
      </c>
      <c r="C2161" s="27" t="s">
        <v>4058</v>
      </c>
      <c r="D2161" s="27" t="s">
        <v>112</v>
      </c>
      <c r="E2161" s="29">
        <v>39813</v>
      </c>
      <c r="F2161" s="27">
        <v>15</v>
      </c>
      <c r="G2161" s="18">
        <v>478.12</v>
      </c>
      <c r="H2161" s="27">
        <f t="shared" si="66"/>
        <v>478.12</v>
      </c>
      <c r="I2161" s="18">
        <v>454.21</v>
      </c>
      <c r="J2161" s="27">
        <v>478.12</v>
      </c>
      <c r="K2161" s="18">
        <f t="shared" si="67"/>
        <v>478.12</v>
      </c>
      <c r="L2161" s="27">
        <v>454.21</v>
      </c>
      <c r="M2161" s="36">
        <v>0</v>
      </c>
      <c r="T2161" s="41">
        <v>0</v>
      </c>
      <c r="U2161" s="41">
        <v>0</v>
      </c>
      <c r="V2161" s="42" t="s">
        <v>113</v>
      </c>
      <c r="W2161" s="42">
        <v>478.12</v>
      </c>
      <c r="X2161" s="42">
        <v>478.12</v>
      </c>
    </row>
    <row r="2162" spans="1:24">
      <c r="A2162" s="27" t="s">
        <v>4059</v>
      </c>
      <c r="B2162" s="28" t="s">
        <v>215</v>
      </c>
      <c r="C2162" s="27" t="s">
        <v>4060</v>
      </c>
      <c r="D2162" s="27" t="s">
        <v>112</v>
      </c>
      <c r="E2162" s="29">
        <v>39813</v>
      </c>
      <c r="F2162" s="27">
        <v>15</v>
      </c>
      <c r="G2162" s="18">
        <v>478.12</v>
      </c>
      <c r="H2162" s="27">
        <f t="shared" si="66"/>
        <v>478.12</v>
      </c>
      <c r="I2162" s="18">
        <v>454.21</v>
      </c>
      <c r="J2162" s="27">
        <v>478.12</v>
      </c>
      <c r="K2162" s="18">
        <f t="shared" si="67"/>
        <v>478.12</v>
      </c>
      <c r="L2162" s="27">
        <v>454.21</v>
      </c>
      <c r="M2162" s="36">
        <v>0</v>
      </c>
      <c r="T2162" s="41">
        <v>0</v>
      </c>
      <c r="U2162" s="41">
        <v>0</v>
      </c>
      <c r="V2162" s="42" t="s">
        <v>113</v>
      </c>
      <c r="W2162" s="42">
        <v>478.12</v>
      </c>
      <c r="X2162" s="42">
        <v>478.12</v>
      </c>
    </row>
    <row r="2163" spans="1:24">
      <c r="A2163" s="27" t="s">
        <v>4061</v>
      </c>
      <c r="B2163" s="28" t="s">
        <v>215</v>
      </c>
      <c r="C2163" s="27" t="s">
        <v>4062</v>
      </c>
      <c r="D2163" s="27" t="s">
        <v>112</v>
      </c>
      <c r="E2163" s="29">
        <v>39813</v>
      </c>
      <c r="F2163" s="27">
        <v>15</v>
      </c>
      <c r="G2163" s="18">
        <v>60224.9</v>
      </c>
      <c r="H2163" s="27">
        <f t="shared" si="66"/>
        <v>60224.9</v>
      </c>
      <c r="I2163" s="18">
        <v>57213.65</v>
      </c>
      <c r="J2163" s="27">
        <v>60224.9</v>
      </c>
      <c r="K2163" s="18">
        <f t="shared" si="67"/>
        <v>60224.9</v>
      </c>
      <c r="L2163" s="27">
        <v>57213.65</v>
      </c>
      <c r="M2163" s="36">
        <v>0</v>
      </c>
      <c r="T2163" s="41">
        <v>0</v>
      </c>
      <c r="U2163" s="41">
        <v>0</v>
      </c>
      <c r="V2163" s="42" t="s">
        <v>113</v>
      </c>
      <c r="W2163" s="42">
        <v>60224.9</v>
      </c>
      <c r="X2163" s="42">
        <v>60224.9</v>
      </c>
    </row>
    <row r="2164" spans="1:24">
      <c r="A2164" s="27" t="s">
        <v>4063</v>
      </c>
      <c r="B2164" s="28" t="s">
        <v>215</v>
      </c>
      <c r="C2164" s="27" t="s">
        <v>4064</v>
      </c>
      <c r="D2164" s="27" t="s">
        <v>112</v>
      </c>
      <c r="E2164" s="29">
        <v>39813</v>
      </c>
      <c r="F2164" s="27">
        <v>15</v>
      </c>
      <c r="G2164" s="18">
        <v>6882</v>
      </c>
      <c r="H2164" s="27">
        <f t="shared" si="66"/>
        <v>6882</v>
      </c>
      <c r="I2164" s="18">
        <v>6537.9</v>
      </c>
      <c r="J2164" s="27">
        <v>6882</v>
      </c>
      <c r="K2164" s="18">
        <f t="shared" si="67"/>
        <v>6882</v>
      </c>
      <c r="L2164" s="27">
        <v>6537.9</v>
      </c>
      <c r="M2164" s="36">
        <v>0</v>
      </c>
      <c r="T2164" s="41">
        <v>0</v>
      </c>
      <c r="U2164" s="41">
        <v>0</v>
      </c>
      <c r="V2164" s="42" t="s">
        <v>113</v>
      </c>
      <c r="W2164" s="42">
        <v>6882</v>
      </c>
      <c r="X2164" s="42">
        <v>6882</v>
      </c>
    </row>
    <row r="2165" spans="1:24">
      <c r="A2165" s="27" t="s">
        <v>4065</v>
      </c>
      <c r="B2165" s="28" t="s">
        <v>215</v>
      </c>
      <c r="C2165" s="27" t="s">
        <v>4066</v>
      </c>
      <c r="D2165" s="27" t="s">
        <v>112</v>
      </c>
      <c r="E2165" s="29">
        <v>39813</v>
      </c>
      <c r="F2165" s="27">
        <v>15</v>
      </c>
      <c r="G2165" s="18">
        <v>60224.9</v>
      </c>
      <c r="H2165" s="27">
        <f t="shared" si="66"/>
        <v>60224.9</v>
      </c>
      <c r="I2165" s="18">
        <v>57213.65</v>
      </c>
      <c r="J2165" s="27">
        <v>60224.9</v>
      </c>
      <c r="K2165" s="18">
        <f t="shared" si="67"/>
        <v>60224.9</v>
      </c>
      <c r="L2165" s="27">
        <v>57213.65</v>
      </c>
      <c r="M2165" s="36">
        <v>0</v>
      </c>
      <c r="T2165" s="41">
        <v>0</v>
      </c>
      <c r="U2165" s="41">
        <v>0</v>
      </c>
      <c r="V2165" s="42" t="s">
        <v>113</v>
      </c>
      <c r="W2165" s="42">
        <v>60224.9</v>
      </c>
      <c r="X2165" s="42">
        <v>60224.9</v>
      </c>
    </row>
    <row r="2166" spans="1:24">
      <c r="A2166" s="27" t="s">
        <v>4067</v>
      </c>
      <c r="B2166" s="28" t="s">
        <v>215</v>
      </c>
      <c r="C2166" s="27" t="s">
        <v>4068</v>
      </c>
      <c r="D2166" s="27" t="s">
        <v>112</v>
      </c>
      <c r="E2166" s="29">
        <v>39813</v>
      </c>
      <c r="F2166" s="27">
        <v>15</v>
      </c>
      <c r="G2166" s="18">
        <v>6882</v>
      </c>
      <c r="H2166" s="27">
        <f t="shared" si="66"/>
        <v>6882</v>
      </c>
      <c r="I2166" s="18">
        <v>6537.9</v>
      </c>
      <c r="J2166" s="27">
        <v>6882</v>
      </c>
      <c r="K2166" s="18">
        <f t="shared" si="67"/>
        <v>6882</v>
      </c>
      <c r="L2166" s="27">
        <v>6537.9</v>
      </c>
      <c r="M2166" s="36">
        <v>0</v>
      </c>
      <c r="T2166" s="41">
        <v>0</v>
      </c>
      <c r="U2166" s="41">
        <v>0</v>
      </c>
      <c r="V2166" s="42" t="s">
        <v>113</v>
      </c>
      <c r="W2166" s="42">
        <v>6882</v>
      </c>
      <c r="X2166" s="42">
        <v>6882</v>
      </c>
    </row>
    <row r="2167" spans="1:24">
      <c r="A2167" s="27" t="s">
        <v>4069</v>
      </c>
      <c r="B2167" s="28" t="s">
        <v>215</v>
      </c>
      <c r="C2167" s="27" t="s">
        <v>4070</v>
      </c>
      <c r="D2167" s="27" t="s">
        <v>112</v>
      </c>
      <c r="E2167" s="29">
        <v>39813</v>
      </c>
      <c r="F2167" s="27">
        <v>15</v>
      </c>
      <c r="G2167" s="18">
        <v>6882</v>
      </c>
      <c r="H2167" s="27">
        <f t="shared" si="66"/>
        <v>6882</v>
      </c>
      <c r="I2167" s="18">
        <v>6537.9</v>
      </c>
      <c r="J2167" s="27">
        <v>6882</v>
      </c>
      <c r="K2167" s="18">
        <f t="shared" si="67"/>
        <v>6882</v>
      </c>
      <c r="L2167" s="27">
        <v>6537.9</v>
      </c>
      <c r="M2167" s="36">
        <v>0</v>
      </c>
      <c r="T2167" s="41">
        <v>0</v>
      </c>
      <c r="U2167" s="41">
        <v>0</v>
      </c>
      <c r="V2167" s="42" t="s">
        <v>113</v>
      </c>
      <c r="W2167" s="42">
        <v>6882</v>
      </c>
      <c r="X2167" s="42">
        <v>6882</v>
      </c>
    </row>
    <row r="2168" spans="1:24">
      <c r="A2168" s="27" t="s">
        <v>4071</v>
      </c>
      <c r="B2168" s="28" t="s">
        <v>215</v>
      </c>
      <c r="C2168" s="27" t="s">
        <v>4072</v>
      </c>
      <c r="D2168" s="27" t="s">
        <v>112</v>
      </c>
      <c r="E2168" s="29">
        <v>39813</v>
      </c>
      <c r="F2168" s="27">
        <v>15</v>
      </c>
      <c r="G2168" s="18">
        <v>478.12</v>
      </c>
      <c r="H2168" s="27">
        <f t="shared" si="66"/>
        <v>478.12</v>
      </c>
      <c r="I2168" s="18">
        <v>454.21</v>
      </c>
      <c r="J2168" s="27">
        <v>478.12</v>
      </c>
      <c r="K2168" s="18">
        <f t="shared" si="67"/>
        <v>478.12</v>
      </c>
      <c r="L2168" s="27">
        <v>454.21</v>
      </c>
      <c r="M2168" s="36">
        <v>0</v>
      </c>
      <c r="T2168" s="41">
        <v>0</v>
      </c>
      <c r="U2168" s="41">
        <v>0</v>
      </c>
      <c r="V2168" s="42" t="s">
        <v>113</v>
      </c>
      <c r="W2168" s="42">
        <v>478.12</v>
      </c>
      <c r="X2168" s="42">
        <v>478.12</v>
      </c>
    </row>
    <row r="2169" spans="1:24">
      <c r="A2169" s="27" t="s">
        <v>4073</v>
      </c>
      <c r="B2169" s="28" t="s">
        <v>215</v>
      </c>
      <c r="C2169" s="27" t="s">
        <v>4074</v>
      </c>
      <c r="D2169" s="27" t="s">
        <v>112</v>
      </c>
      <c r="E2169" s="29">
        <v>39813</v>
      </c>
      <c r="F2169" s="27">
        <v>15</v>
      </c>
      <c r="G2169" s="18">
        <v>478.12</v>
      </c>
      <c r="H2169" s="27">
        <f t="shared" si="66"/>
        <v>478.12</v>
      </c>
      <c r="I2169" s="18">
        <v>454.21</v>
      </c>
      <c r="J2169" s="27">
        <v>478.12</v>
      </c>
      <c r="K2169" s="18">
        <f t="shared" si="67"/>
        <v>478.12</v>
      </c>
      <c r="L2169" s="27">
        <v>454.21</v>
      </c>
      <c r="M2169" s="36">
        <v>0</v>
      </c>
      <c r="T2169" s="41">
        <v>0</v>
      </c>
      <c r="U2169" s="41">
        <v>0</v>
      </c>
      <c r="V2169" s="42" t="s">
        <v>113</v>
      </c>
      <c r="W2169" s="42">
        <v>478.12</v>
      </c>
      <c r="X2169" s="42">
        <v>478.12</v>
      </c>
    </row>
    <row r="2170" spans="1:24">
      <c r="A2170" s="27" t="s">
        <v>4075</v>
      </c>
      <c r="B2170" s="28" t="s">
        <v>215</v>
      </c>
      <c r="C2170" s="27" t="s">
        <v>4076</v>
      </c>
      <c r="D2170" s="27" t="s">
        <v>112</v>
      </c>
      <c r="E2170" s="29">
        <v>39813</v>
      </c>
      <c r="F2170" s="27">
        <v>15</v>
      </c>
      <c r="G2170" s="18">
        <v>478.12</v>
      </c>
      <c r="H2170" s="27">
        <f t="shared" si="66"/>
        <v>478.12</v>
      </c>
      <c r="I2170" s="18">
        <v>454.21</v>
      </c>
      <c r="J2170" s="27">
        <v>478.12</v>
      </c>
      <c r="K2170" s="18">
        <f t="shared" si="67"/>
        <v>478.12</v>
      </c>
      <c r="L2170" s="27">
        <v>454.21</v>
      </c>
      <c r="M2170" s="36">
        <v>0</v>
      </c>
      <c r="T2170" s="41">
        <v>0</v>
      </c>
      <c r="U2170" s="41">
        <v>0</v>
      </c>
      <c r="V2170" s="42" t="s">
        <v>113</v>
      </c>
      <c r="W2170" s="42">
        <v>478.12</v>
      </c>
      <c r="X2170" s="42">
        <v>478.12</v>
      </c>
    </row>
    <row r="2171" spans="1:24">
      <c r="A2171" s="27" t="s">
        <v>4077</v>
      </c>
      <c r="B2171" s="28" t="s">
        <v>215</v>
      </c>
      <c r="C2171" s="27" t="s">
        <v>4078</v>
      </c>
      <c r="D2171" s="27" t="s">
        <v>112</v>
      </c>
      <c r="E2171" s="29">
        <v>39813</v>
      </c>
      <c r="F2171" s="27">
        <v>15</v>
      </c>
      <c r="G2171" s="18">
        <v>6882</v>
      </c>
      <c r="H2171" s="27">
        <f t="shared" si="66"/>
        <v>6882</v>
      </c>
      <c r="I2171" s="18">
        <v>6537.9</v>
      </c>
      <c r="J2171" s="27">
        <v>6882</v>
      </c>
      <c r="K2171" s="18">
        <f t="shared" si="67"/>
        <v>6882</v>
      </c>
      <c r="L2171" s="27">
        <v>6537.9</v>
      </c>
      <c r="M2171" s="36">
        <v>0</v>
      </c>
      <c r="T2171" s="41">
        <v>0</v>
      </c>
      <c r="U2171" s="41">
        <v>0</v>
      </c>
      <c r="V2171" s="42" t="s">
        <v>113</v>
      </c>
      <c r="W2171" s="42">
        <v>6882</v>
      </c>
      <c r="X2171" s="42">
        <v>6882</v>
      </c>
    </row>
    <row r="2172" spans="1:24">
      <c r="A2172" s="27" t="s">
        <v>4079</v>
      </c>
      <c r="B2172" s="28" t="s">
        <v>215</v>
      </c>
      <c r="C2172" s="27" t="s">
        <v>4080</v>
      </c>
      <c r="D2172" s="27" t="s">
        <v>112</v>
      </c>
      <c r="E2172" s="29">
        <v>39813</v>
      </c>
      <c r="F2172" s="27">
        <v>15</v>
      </c>
      <c r="G2172" s="18">
        <v>478.12</v>
      </c>
      <c r="H2172" s="27">
        <f t="shared" si="66"/>
        <v>478.12</v>
      </c>
      <c r="I2172" s="18">
        <v>454.21</v>
      </c>
      <c r="J2172" s="27">
        <v>478.12</v>
      </c>
      <c r="K2172" s="18">
        <f t="shared" si="67"/>
        <v>478.12</v>
      </c>
      <c r="L2172" s="27">
        <v>454.21</v>
      </c>
      <c r="M2172" s="36">
        <v>0</v>
      </c>
      <c r="T2172" s="41">
        <v>0</v>
      </c>
      <c r="U2172" s="41">
        <v>0</v>
      </c>
      <c r="V2172" s="42" t="s">
        <v>113</v>
      </c>
      <c r="W2172" s="42">
        <v>478.12</v>
      </c>
      <c r="X2172" s="42">
        <v>478.12</v>
      </c>
    </row>
    <row r="2173" spans="1:24">
      <c r="A2173" s="27" t="s">
        <v>4081</v>
      </c>
      <c r="B2173" s="28" t="s">
        <v>215</v>
      </c>
      <c r="C2173" s="27" t="s">
        <v>4082</v>
      </c>
      <c r="D2173" s="27" t="s">
        <v>112</v>
      </c>
      <c r="E2173" s="29">
        <v>39813</v>
      </c>
      <c r="F2173" s="27">
        <v>15</v>
      </c>
      <c r="G2173" s="18">
        <v>478.12</v>
      </c>
      <c r="H2173" s="27">
        <f t="shared" si="66"/>
        <v>478.12</v>
      </c>
      <c r="I2173" s="18">
        <v>454.21</v>
      </c>
      <c r="J2173" s="27">
        <v>478.12</v>
      </c>
      <c r="K2173" s="18">
        <f t="shared" si="67"/>
        <v>478.12</v>
      </c>
      <c r="L2173" s="27">
        <v>454.21</v>
      </c>
      <c r="M2173" s="36">
        <v>0</v>
      </c>
      <c r="T2173" s="41">
        <v>0</v>
      </c>
      <c r="U2173" s="41">
        <v>0</v>
      </c>
      <c r="V2173" s="42" t="s">
        <v>113</v>
      </c>
      <c r="W2173" s="42">
        <v>478.12</v>
      </c>
      <c r="X2173" s="42">
        <v>478.12</v>
      </c>
    </row>
    <row r="2174" spans="1:24">
      <c r="A2174" s="27" t="s">
        <v>4083</v>
      </c>
      <c r="B2174" s="28" t="s">
        <v>215</v>
      </c>
      <c r="C2174" s="27" t="s">
        <v>4084</v>
      </c>
      <c r="D2174" s="27" t="s">
        <v>112</v>
      </c>
      <c r="E2174" s="29">
        <v>39813</v>
      </c>
      <c r="F2174" s="27">
        <v>15</v>
      </c>
      <c r="G2174" s="18">
        <v>478.12</v>
      </c>
      <c r="H2174" s="27">
        <f t="shared" si="66"/>
        <v>478.12</v>
      </c>
      <c r="I2174" s="18">
        <v>454.21</v>
      </c>
      <c r="J2174" s="27">
        <v>478.12</v>
      </c>
      <c r="K2174" s="18">
        <f t="shared" si="67"/>
        <v>478.12</v>
      </c>
      <c r="L2174" s="27">
        <v>454.21</v>
      </c>
      <c r="M2174" s="36">
        <v>0</v>
      </c>
      <c r="T2174" s="41">
        <v>0</v>
      </c>
      <c r="U2174" s="41">
        <v>0</v>
      </c>
      <c r="V2174" s="42" t="s">
        <v>113</v>
      </c>
      <c r="W2174" s="42">
        <v>478.12</v>
      </c>
      <c r="X2174" s="42">
        <v>478.12</v>
      </c>
    </row>
    <row r="2175" spans="1:24">
      <c r="A2175" s="27" t="s">
        <v>4085</v>
      </c>
      <c r="B2175" s="28" t="s">
        <v>215</v>
      </c>
      <c r="C2175" s="27" t="s">
        <v>4086</v>
      </c>
      <c r="D2175" s="27" t="s">
        <v>112</v>
      </c>
      <c r="E2175" s="29">
        <v>39813</v>
      </c>
      <c r="F2175" s="27">
        <v>15</v>
      </c>
      <c r="G2175" s="18">
        <v>60224.9</v>
      </c>
      <c r="H2175" s="27">
        <f t="shared" si="66"/>
        <v>60224.9</v>
      </c>
      <c r="I2175" s="18">
        <v>57213.65</v>
      </c>
      <c r="J2175" s="27">
        <v>60224.9</v>
      </c>
      <c r="K2175" s="18">
        <f t="shared" si="67"/>
        <v>60224.9</v>
      </c>
      <c r="L2175" s="27">
        <v>57213.65</v>
      </c>
      <c r="M2175" s="36">
        <v>0</v>
      </c>
      <c r="T2175" s="41">
        <v>0</v>
      </c>
      <c r="U2175" s="41">
        <v>0</v>
      </c>
      <c r="V2175" s="42" t="s">
        <v>113</v>
      </c>
      <c r="W2175" s="42">
        <v>60224.9</v>
      </c>
      <c r="X2175" s="42">
        <v>60224.9</v>
      </c>
    </row>
    <row r="2176" spans="1:24">
      <c r="A2176" s="27" t="s">
        <v>4087</v>
      </c>
      <c r="B2176" s="28" t="s">
        <v>215</v>
      </c>
      <c r="C2176" s="27" t="s">
        <v>4088</v>
      </c>
      <c r="D2176" s="27" t="s">
        <v>112</v>
      </c>
      <c r="E2176" s="29">
        <v>39813</v>
      </c>
      <c r="F2176" s="27">
        <v>15</v>
      </c>
      <c r="G2176" s="18">
        <v>6882</v>
      </c>
      <c r="H2176" s="27">
        <f t="shared" si="66"/>
        <v>6882</v>
      </c>
      <c r="I2176" s="18">
        <v>6537.9</v>
      </c>
      <c r="J2176" s="27">
        <v>6882</v>
      </c>
      <c r="K2176" s="18">
        <f t="shared" si="67"/>
        <v>6882</v>
      </c>
      <c r="L2176" s="27">
        <v>6537.9</v>
      </c>
      <c r="M2176" s="36">
        <v>0</v>
      </c>
      <c r="T2176" s="41">
        <v>0</v>
      </c>
      <c r="U2176" s="41">
        <v>0</v>
      </c>
      <c r="V2176" s="42" t="s">
        <v>113</v>
      </c>
      <c r="W2176" s="42">
        <v>6882</v>
      </c>
      <c r="X2176" s="42">
        <v>6882</v>
      </c>
    </row>
    <row r="2177" spans="1:24">
      <c r="A2177" s="27" t="s">
        <v>4089</v>
      </c>
      <c r="B2177" s="28" t="s">
        <v>215</v>
      </c>
      <c r="C2177" s="27" t="s">
        <v>4090</v>
      </c>
      <c r="D2177" s="27" t="s">
        <v>112</v>
      </c>
      <c r="E2177" s="29">
        <v>39813</v>
      </c>
      <c r="F2177" s="27">
        <v>15</v>
      </c>
      <c r="G2177" s="18">
        <v>6882</v>
      </c>
      <c r="H2177" s="27">
        <f t="shared" si="66"/>
        <v>6882</v>
      </c>
      <c r="I2177" s="18">
        <v>6537.9</v>
      </c>
      <c r="J2177" s="27">
        <v>6882</v>
      </c>
      <c r="K2177" s="18">
        <f t="shared" si="67"/>
        <v>6882</v>
      </c>
      <c r="L2177" s="27">
        <v>6537.9</v>
      </c>
      <c r="M2177" s="36">
        <v>0</v>
      </c>
      <c r="T2177" s="41">
        <v>0</v>
      </c>
      <c r="U2177" s="41">
        <v>0</v>
      </c>
      <c r="V2177" s="42" t="s">
        <v>113</v>
      </c>
      <c r="W2177" s="42">
        <v>6882</v>
      </c>
      <c r="X2177" s="42">
        <v>6882</v>
      </c>
    </row>
    <row r="2178" spans="1:24">
      <c r="A2178" s="27" t="s">
        <v>4091</v>
      </c>
      <c r="B2178" s="28" t="s">
        <v>215</v>
      </c>
      <c r="C2178" s="27" t="s">
        <v>4092</v>
      </c>
      <c r="D2178" s="27" t="s">
        <v>112</v>
      </c>
      <c r="E2178" s="29">
        <v>39813</v>
      </c>
      <c r="F2178" s="27">
        <v>15</v>
      </c>
      <c r="G2178" s="18">
        <v>478.12</v>
      </c>
      <c r="H2178" s="27">
        <f t="shared" si="66"/>
        <v>478.12</v>
      </c>
      <c r="I2178" s="18">
        <v>454.21</v>
      </c>
      <c r="J2178" s="27">
        <v>478.12</v>
      </c>
      <c r="K2178" s="18">
        <f t="shared" si="67"/>
        <v>478.12</v>
      </c>
      <c r="L2178" s="27">
        <v>454.21</v>
      </c>
      <c r="M2178" s="36">
        <v>0</v>
      </c>
      <c r="T2178" s="41">
        <v>0</v>
      </c>
      <c r="U2178" s="41">
        <v>0</v>
      </c>
      <c r="V2178" s="42" t="s">
        <v>113</v>
      </c>
      <c r="W2178" s="42">
        <v>478.12</v>
      </c>
      <c r="X2178" s="42">
        <v>478.12</v>
      </c>
    </row>
    <row r="2179" spans="1:24">
      <c r="A2179" s="27" t="s">
        <v>4093</v>
      </c>
      <c r="B2179" s="28" t="s">
        <v>215</v>
      </c>
      <c r="C2179" s="27" t="s">
        <v>4094</v>
      </c>
      <c r="D2179" s="27" t="s">
        <v>112</v>
      </c>
      <c r="E2179" s="29">
        <v>39813</v>
      </c>
      <c r="F2179" s="27">
        <v>15</v>
      </c>
      <c r="G2179" s="18">
        <v>478.12</v>
      </c>
      <c r="H2179" s="27">
        <f t="shared" si="66"/>
        <v>478.12</v>
      </c>
      <c r="I2179" s="18">
        <v>454.21</v>
      </c>
      <c r="J2179" s="27">
        <v>478.12</v>
      </c>
      <c r="K2179" s="18">
        <f t="shared" si="67"/>
        <v>478.12</v>
      </c>
      <c r="L2179" s="27">
        <v>454.21</v>
      </c>
      <c r="M2179" s="36">
        <v>0</v>
      </c>
      <c r="T2179" s="41">
        <v>0</v>
      </c>
      <c r="U2179" s="41">
        <v>0</v>
      </c>
      <c r="V2179" s="42" t="s">
        <v>113</v>
      </c>
      <c r="W2179" s="42">
        <v>478.12</v>
      </c>
      <c r="X2179" s="42">
        <v>478.12</v>
      </c>
    </row>
    <row r="2180" spans="1:24">
      <c r="A2180" s="27" t="s">
        <v>4095</v>
      </c>
      <c r="B2180" s="28" t="s">
        <v>215</v>
      </c>
      <c r="C2180" s="27" t="s">
        <v>4096</v>
      </c>
      <c r="D2180" s="27" t="s">
        <v>112</v>
      </c>
      <c r="E2180" s="29">
        <v>39813</v>
      </c>
      <c r="F2180" s="27">
        <v>15</v>
      </c>
      <c r="G2180" s="18">
        <v>478.12</v>
      </c>
      <c r="H2180" s="27">
        <f t="shared" si="66"/>
        <v>478.12</v>
      </c>
      <c r="I2180" s="18">
        <v>454.21</v>
      </c>
      <c r="J2180" s="27">
        <v>478.12</v>
      </c>
      <c r="K2180" s="18">
        <f t="shared" si="67"/>
        <v>478.12</v>
      </c>
      <c r="L2180" s="27">
        <v>454.21</v>
      </c>
      <c r="M2180" s="36">
        <v>0</v>
      </c>
      <c r="T2180" s="41">
        <v>0</v>
      </c>
      <c r="U2180" s="41">
        <v>0</v>
      </c>
      <c r="V2180" s="42" t="s">
        <v>113</v>
      </c>
      <c r="W2180" s="42">
        <v>478.12</v>
      </c>
      <c r="X2180" s="42">
        <v>478.12</v>
      </c>
    </row>
    <row r="2181" spans="1:24">
      <c r="A2181" s="27" t="s">
        <v>4097</v>
      </c>
      <c r="B2181" s="28" t="s">
        <v>215</v>
      </c>
      <c r="C2181" s="27" t="s">
        <v>488</v>
      </c>
      <c r="D2181" s="27" t="s">
        <v>112</v>
      </c>
      <c r="E2181" s="29">
        <v>39813</v>
      </c>
      <c r="F2181" s="27">
        <v>15</v>
      </c>
      <c r="G2181" s="18">
        <v>60224.9</v>
      </c>
      <c r="H2181" s="27">
        <f t="shared" si="66"/>
        <v>60224.9</v>
      </c>
      <c r="I2181" s="18">
        <v>57213.65</v>
      </c>
      <c r="J2181" s="27">
        <v>60224.9</v>
      </c>
      <c r="K2181" s="18">
        <f t="shared" si="67"/>
        <v>60224.9</v>
      </c>
      <c r="L2181" s="27">
        <v>57213.65</v>
      </c>
      <c r="M2181" s="36">
        <v>0</v>
      </c>
      <c r="T2181" s="41">
        <v>0</v>
      </c>
      <c r="U2181" s="41">
        <v>0</v>
      </c>
      <c r="V2181" s="42" t="s">
        <v>113</v>
      </c>
      <c r="W2181" s="42">
        <v>60224.9</v>
      </c>
      <c r="X2181" s="42">
        <v>60224.9</v>
      </c>
    </row>
    <row r="2182" spans="1:24">
      <c r="A2182" s="27" t="s">
        <v>4098</v>
      </c>
      <c r="B2182" s="28" t="s">
        <v>215</v>
      </c>
      <c r="C2182" s="27" t="s">
        <v>2901</v>
      </c>
      <c r="D2182" s="27" t="s">
        <v>112</v>
      </c>
      <c r="E2182" s="29">
        <v>39813</v>
      </c>
      <c r="F2182" s="27">
        <v>15</v>
      </c>
      <c r="G2182" s="18">
        <v>6882</v>
      </c>
      <c r="H2182" s="27">
        <f t="shared" ref="H2182:H2245" si="68">IFERROR(IF(ROUND((G2182-I2182)/G2182,2)&lt;=0.05,G2182,0),0)</f>
        <v>6882</v>
      </c>
      <c r="I2182" s="18">
        <v>6537.9</v>
      </c>
      <c r="J2182" s="27">
        <v>6882</v>
      </c>
      <c r="K2182" s="18">
        <f t="shared" ref="K2182:K2245" si="69">IFERROR(IF(ROUND((J2182-L2182)/J2182,2)&lt;=0.05,J2182,0),0)</f>
        <v>6882</v>
      </c>
      <c r="L2182" s="27">
        <v>6537.9</v>
      </c>
      <c r="M2182" s="36">
        <v>0</v>
      </c>
      <c r="T2182" s="41">
        <v>0</v>
      </c>
      <c r="U2182" s="41">
        <v>0</v>
      </c>
      <c r="V2182" s="42" t="s">
        <v>113</v>
      </c>
      <c r="W2182" s="42">
        <v>6882</v>
      </c>
      <c r="X2182" s="42">
        <v>6882</v>
      </c>
    </row>
    <row r="2183" spans="1:24">
      <c r="A2183" s="27" t="s">
        <v>4099</v>
      </c>
      <c r="B2183" s="28" t="s">
        <v>215</v>
      </c>
      <c r="C2183" s="27" t="s">
        <v>3024</v>
      </c>
      <c r="D2183" s="27" t="s">
        <v>112</v>
      </c>
      <c r="E2183" s="29">
        <v>39813</v>
      </c>
      <c r="F2183" s="27">
        <v>15</v>
      </c>
      <c r="G2183" s="18">
        <v>60224.9</v>
      </c>
      <c r="H2183" s="27">
        <f t="shared" si="68"/>
        <v>60224.9</v>
      </c>
      <c r="I2183" s="18">
        <v>57213.65</v>
      </c>
      <c r="J2183" s="27">
        <v>60224.9</v>
      </c>
      <c r="K2183" s="18">
        <f t="shared" si="69"/>
        <v>60224.9</v>
      </c>
      <c r="L2183" s="27">
        <v>57213.65</v>
      </c>
      <c r="M2183" s="36">
        <v>0</v>
      </c>
      <c r="T2183" s="41">
        <v>0</v>
      </c>
      <c r="U2183" s="41">
        <v>0</v>
      </c>
      <c r="V2183" s="42" t="s">
        <v>113</v>
      </c>
      <c r="W2183" s="42">
        <v>60224.9</v>
      </c>
      <c r="X2183" s="42">
        <v>60224.9</v>
      </c>
    </row>
    <row r="2184" spans="1:24">
      <c r="A2184" s="27" t="s">
        <v>4100</v>
      </c>
      <c r="B2184" s="28" t="s">
        <v>215</v>
      </c>
      <c r="C2184" s="27" t="s">
        <v>4101</v>
      </c>
      <c r="D2184" s="27" t="s">
        <v>112</v>
      </c>
      <c r="E2184" s="29">
        <v>39813</v>
      </c>
      <c r="F2184" s="27">
        <v>15</v>
      </c>
      <c r="G2184" s="18">
        <v>6882</v>
      </c>
      <c r="H2184" s="27">
        <f t="shared" si="68"/>
        <v>6882</v>
      </c>
      <c r="I2184" s="18">
        <v>6537.9</v>
      </c>
      <c r="J2184" s="27">
        <v>6882</v>
      </c>
      <c r="K2184" s="18">
        <f t="shared" si="69"/>
        <v>6882</v>
      </c>
      <c r="L2184" s="27">
        <v>6537.9</v>
      </c>
      <c r="M2184" s="36">
        <v>0</v>
      </c>
      <c r="T2184" s="41">
        <v>0</v>
      </c>
      <c r="U2184" s="41">
        <v>0</v>
      </c>
      <c r="V2184" s="42" t="s">
        <v>113</v>
      </c>
      <c r="W2184" s="42">
        <v>6882</v>
      </c>
      <c r="X2184" s="42">
        <v>6882</v>
      </c>
    </row>
    <row r="2185" spans="1:24">
      <c r="A2185" s="27" t="s">
        <v>4102</v>
      </c>
      <c r="B2185" s="28" t="s">
        <v>215</v>
      </c>
      <c r="C2185" s="27" t="s">
        <v>4103</v>
      </c>
      <c r="D2185" s="27" t="s">
        <v>230</v>
      </c>
      <c r="E2185" s="29">
        <v>39813</v>
      </c>
      <c r="F2185" s="27">
        <v>15</v>
      </c>
      <c r="G2185" s="18">
        <v>8894.51</v>
      </c>
      <c r="H2185" s="27">
        <f t="shared" si="68"/>
        <v>8894.51</v>
      </c>
      <c r="I2185" s="18">
        <v>8449.7800000000007</v>
      </c>
      <c r="J2185" s="27">
        <v>8894.51</v>
      </c>
      <c r="K2185" s="18">
        <f t="shared" si="69"/>
        <v>8894.51</v>
      </c>
      <c r="L2185" s="27">
        <v>8449.7800000000007</v>
      </c>
      <c r="M2185" s="36">
        <v>0</v>
      </c>
      <c r="T2185" s="41">
        <v>0</v>
      </c>
      <c r="U2185" s="41">
        <v>0</v>
      </c>
      <c r="V2185" s="42" t="s">
        <v>113</v>
      </c>
      <c r="W2185" s="42">
        <v>8894.51</v>
      </c>
      <c r="X2185" s="42">
        <v>8894.51</v>
      </c>
    </row>
    <row r="2186" spans="1:24">
      <c r="A2186" s="27" t="s">
        <v>4104</v>
      </c>
      <c r="B2186" s="28" t="s">
        <v>215</v>
      </c>
      <c r="C2186" s="27" t="s">
        <v>1794</v>
      </c>
      <c r="D2186" s="27" t="s">
        <v>112</v>
      </c>
      <c r="E2186" s="29">
        <v>39813</v>
      </c>
      <c r="F2186" s="27">
        <v>15</v>
      </c>
      <c r="G2186" s="18">
        <v>60224.9</v>
      </c>
      <c r="H2186" s="27">
        <f t="shared" si="68"/>
        <v>60224.9</v>
      </c>
      <c r="I2186" s="18">
        <v>57213.65</v>
      </c>
      <c r="J2186" s="27">
        <v>60224.9</v>
      </c>
      <c r="K2186" s="18">
        <f t="shared" si="69"/>
        <v>60224.9</v>
      </c>
      <c r="L2186" s="27">
        <v>57213.65</v>
      </c>
      <c r="M2186" s="36">
        <v>0</v>
      </c>
      <c r="T2186" s="41">
        <v>0</v>
      </c>
      <c r="U2186" s="41">
        <v>0</v>
      </c>
      <c r="V2186" s="42" t="s">
        <v>113</v>
      </c>
      <c r="W2186" s="42">
        <v>60224.9</v>
      </c>
      <c r="X2186" s="42">
        <v>60224.9</v>
      </c>
    </row>
    <row r="2187" spans="1:24">
      <c r="A2187" s="27" t="s">
        <v>4105</v>
      </c>
      <c r="B2187" s="28" t="s">
        <v>215</v>
      </c>
      <c r="C2187" s="27" t="s">
        <v>4106</v>
      </c>
      <c r="D2187" s="27" t="s">
        <v>112</v>
      </c>
      <c r="E2187" s="29">
        <v>39813</v>
      </c>
      <c r="F2187" s="27">
        <v>15</v>
      </c>
      <c r="G2187" s="18">
        <v>6882</v>
      </c>
      <c r="H2187" s="27">
        <f t="shared" si="68"/>
        <v>6882</v>
      </c>
      <c r="I2187" s="18">
        <v>6537.9</v>
      </c>
      <c r="J2187" s="27">
        <v>6882</v>
      </c>
      <c r="K2187" s="18">
        <f t="shared" si="69"/>
        <v>6882</v>
      </c>
      <c r="L2187" s="27">
        <v>6537.9</v>
      </c>
      <c r="M2187" s="36">
        <v>0</v>
      </c>
      <c r="T2187" s="41">
        <v>0</v>
      </c>
      <c r="U2187" s="41">
        <v>0</v>
      </c>
      <c r="V2187" s="42" t="s">
        <v>113</v>
      </c>
      <c r="W2187" s="42">
        <v>6882</v>
      </c>
      <c r="X2187" s="42">
        <v>6882</v>
      </c>
    </row>
    <row r="2188" spans="1:24">
      <c r="A2188" s="27" t="s">
        <v>4107</v>
      </c>
      <c r="B2188" s="28" t="s">
        <v>215</v>
      </c>
      <c r="C2188" s="27" t="s">
        <v>4108</v>
      </c>
      <c r="D2188" s="27" t="s">
        <v>112</v>
      </c>
      <c r="E2188" s="29">
        <v>39813</v>
      </c>
      <c r="F2188" s="27">
        <v>15</v>
      </c>
      <c r="G2188" s="18">
        <v>6882</v>
      </c>
      <c r="H2188" s="27">
        <f t="shared" si="68"/>
        <v>6882</v>
      </c>
      <c r="I2188" s="18">
        <v>6537.9</v>
      </c>
      <c r="J2188" s="27">
        <v>6882</v>
      </c>
      <c r="K2188" s="18">
        <f t="shared" si="69"/>
        <v>6882</v>
      </c>
      <c r="L2188" s="27">
        <v>6537.9</v>
      </c>
      <c r="M2188" s="36">
        <v>0</v>
      </c>
      <c r="T2188" s="41">
        <v>0</v>
      </c>
      <c r="U2188" s="41">
        <v>0</v>
      </c>
      <c r="V2188" s="42" t="s">
        <v>113</v>
      </c>
      <c r="W2188" s="42">
        <v>6882</v>
      </c>
      <c r="X2188" s="42">
        <v>6882</v>
      </c>
    </row>
    <row r="2189" spans="1:24">
      <c r="A2189" s="27" t="s">
        <v>4109</v>
      </c>
      <c r="B2189" s="28" t="s">
        <v>215</v>
      </c>
      <c r="C2189" s="27" t="s">
        <v>4110</v>
      </c>
      <c r="D2189" s="27" t="s">
        <v>230</v>
      </c>
      <c r="E2189" s="29">
        <v>39813</v>
      </c>
      <c r="F2189" s="27">
        <v>15</v>
      </c>
      <c r="G2189" s="18">
        <v>8894.51</v>
      </c>
      <c r="H2189" s="27">
        <f t="shared" si="68"/>
        <v>8894.51</v>
      </c>
      <c r="I2189" s="18">
        <v>8449.7800000000007</v>
      </c>
      <c r="J2189" s="27">
        <v>8894.51</v>
      </c>
      <c r="K2189" s="18">
        <f t="shared" si="69"/>
        <v>8894.51</v>
      </c>
      <c r="L2189" s="27">
        <v>8449.7800000000007</v>
      </c>
      <c r="M2189" s="36">
        <v>0</v>
      </c>
      <c r="T2189" s="41">
        <v>0</v>
      </c>
      <c r="U2189" s="41">
        <v>0</v>
      </c>
      <c r="V2189" s="42" t="s">
        <v>113</v>
      </c>
      <c r="W2189" s="42">
        <v>8894.51</v>
      </c>
      <c r="X2189" s="42">
        <v>8894.51</v>
      </c>
    </row>
    <row r="2190" spans="1:24">
      <c r="A2190" s="27" t="s">
        <v>4111</v>
      </c>
      <c r="B2190" s="28" t="s">
        <v>215</v>
      </c>
      <c r="C2190" s="27" t="s">
        <v>4112</v>
      </c>
      <c r="D2190" s="27" t="s">
        <v>112</v>
      </c>
      <c r="E2190" s="29">
        <v>32142</v>
      </c>
      <c r="F2190" s="27">
        <v>15</v>
      </c>
      <c r="G2190" s="18">
        <v>4800</v>
      </c>
      <c r="H2190" s="27">
        <f t="shared" si="68"/>
        <v>4800</v>
      </c>
      <c r="I2190" s="18">
        <v>4766.97</v>
      </c>
      <c r="J2190" s="27">
        <v>4800</v>
      </c>
      <c r="K2190" s="18">
        <f t="shared" si="69"/>
        <v>4800</v>
      </c>
      <c r="L2190" s="27">
        <v>4766.97</v>
      </c>
      <c r="M2190" s="36">
        <v>0</v>
      </c>
      <c r="T2190" s="41">
        <v>0</v>
      </c>
      <c r="U2190" s="41">
        <v>0</v>
      </c>
      <c r="V2190" s="42" t="s">
        <v>113</v>
      </c>
      <c r="W2190" s="42">
        <v>4800</v>
      </c>
      <c r="X2190" s="42">
        <v>4800</v>
      </c>
    </row>
    <row r="2191" spans="1:24">
      <c r="A2191" s="27" t="s">
        <v>4113</v>
      </c>
      <c r="B2191" s="28" t="s">
        <v>215</v>
      </c>
      <c r="C2191" s="27" t="s">
        <v>4114</v>
      </c>
      <c r="D2191" s="27" t="s">
        <v>112</v>
      </c>
      <c r="E2191" s="29">
        <v>32142</v>
      </c>
      <c r="F2191" s="27">
        <v>15</v>
      </c>
      <c r="G2191" s="18">
        <v>4800</v>
      </c>
      <c r="H2191" s="27">
        <f t="shared" si="68"/>
        <v>4800</v>
      </c>
      <c r="I2191" s="18">
        <v>4637.62</v>
      </c>
      <c r="J2191" s="27">
        <v>4800</v>
      </c>
      <c r="K2191" s="18">
        <f t="shared" si="69"/>
        <v>4800</v>
      </c>
      <c r="L2191" s="27">
        <v>4637.62</v>
      </c>
      <c r="M2191" s="36">
        <v>0</v>
      </c>
      <c r="T2191" s="41">
        <v>0</v>
      </c>
      <c r="U2191" s="41">
        <v>0</v>
      </c>
      <c r="V2191" s="42" t="s">
        <v>113</v>
      </c>
      <c r="W2191" s="42">
        <v>4800</v>
      </c>
      <c r="X2191" s="42">
        <v>4800</v>
      </c>
    </row>
    <row r="2192" spans="1:24">
      <c r="A2192" s="27" t="s">
        <v>4115</v>
      </c>
      <c r="B2192" s="28" t="s">
        <v>215</v>
      </c>
      <c r="C2192" s="27" t="s">
        <v>4116</v>
      </c>
      <c r="D2192" s="27" t="s">
        <v>112</v>
      </c>
      <c r="E2192" s="29">
        <v>38686</v>
      </c>
      <c r="F2192" s="27">
        <v>15</v>
      </c>
      <c r="G2192" s="18">
        <v>4800</v>
      </c>
      <c r="H2192" s="27">
        <f t="shared" si="68"/>
        <v>4800</v>
      </c>
      <c r="I2192" s="18">
        <v>4560</v>
      </c>
      <c r="J2192" s="27">
        <v>4800</v>
      </c>
      <c r="K2192" s="18">
        <f t="shared" si="69"/>
        <v>4800</v>
      </c>
      <c r="L2192" s="27">
        <v>4560</v>
      </c>
      <c r="M2192" s="36">
        <v>0</v>
      </c>
      <c r="T2192" s="41">
        <v>0</v>
      </c>
      <c r="U2192" s="41">
        <v>0</v>
      </c>
      <c r="V2192" s="42" t="s">
        <v>113</v>
      </c>
      <c r="W2192" s="42">
        <v>4800</v>
      </c>
      <c r="X2192" s="42">
        <v>4800</v>
      </c>
    </row>
    <row r="2193" spans="1:24">
      <c r="A2193" s="27" t="s">
        <v>4117</v>
      </c>
      <c r="B2193" s="28" t="s">
        <v>215</v>
      </c>
      <c r="C2193" s="27" t="s">
        <v>4118</v>
      </c>
      <c r="D2193" s="27" t="s">
        <v>112</v>
      </c>
      <c r="E2193" s="29">
        <v>39813</v>
      </c>
      <c r="F2193" s="27">
        <v>15</v>
      </c>
      <c r="G2193" s="18">
        <v>6882</v>
      </c>
      <c r="H2193" s="27">
        <f t="shared" si="68"/>
        <v>6882</v>
      </c>
      <c r="I2193" s="18">
        <v>6537.9</v>
      </c>
      <c r="J2193" s="27">
        <v>6882</v>
      </c>
      <c r="K2193" s="18">
        <f t="shared" si="69"/>
        <v>6882</v>
      </c>
      <c r="L2193" s="27">
        <v>6537.9</v>
      </c>
      <c r="M2193" s="36">
        <v>0</v>
      </c>
      <c r="T2193" s="41">
        <v>0</v>
      </c>
      <c r="U2193" s="41">
        <v>0</v>
      </c>
      <c r="V2193" s="42" t="s">
        <v>113</v>
      </c>
      <c r="W2193" s="42">
        <v>6882</v>
      </c>
      <c r="X2193" s="42">
        <v>6882</v>
      </c>
    </row>
    <row r="2194" spans="1:24">
      <c r="A2194" s="27" t="s">
        <v>4119</v>
      </c>
      <c r="B2194" s="28" t="s">
        <v>215</v>
      </c>
      <c r="C2194" s="27" t="s">
        <v>4120</v>
      </c>
      <c r="D2194" s="27" t="s">
        <v>112</v>
      </c>
      <c r="E2194" s="29">
        <v>39813</v>
      </c>
      <c r="F2194" s="27">
        <v>15</v>
      </c>
      <c r="G2194" s="18">
        <v>478.12</v>
      </c>
      <c r="H2194" s="27">
        <f t="shared" si="68"/>
        <v>478.12</v>
      </c>
      <c r="I2194" s="18">
        <v>454.21</v>
      </c>
      <c r="J2194" s="27">
        <v>478.12</v>
      </c>
      <c r="K2194" s="18">
        <f t="shared" si="69"/>
        <v>478.12</v>
      </c>
      <c r="L2194" s="27">
        <v>454.21</v>
      </c>
      <c r="M2194" s="36">
        <v>0</v>
      </c>
      <c r="T2194" s="41">
        <v>0</v>
      </c>
      <c r="U2194" s="41">
        <v>0</v>
      </c>
      <c r="V2194" s="42" t="s">
        <v>113</v>
      </c>
      <c r="W2194" s="42">
        <v>478.12</v>
      </c>
      <c r="X2194" s="42">
        <v>478.12</v>
      </c>
    </row>
    <row r="2195" spans="1:24">
      <c r="A2195" s="27" t="s">
        <v>4121</v>
      </c>
      <c r="B2195" s="28" t="s">
        <v>215</v>
      </c>
      <c r="C2195" s="27" t="s">
        <v>4122</v>
      </c>
      <c r="D2195" s="27" t="s">
        <v>112</v>
      </c>
      <c r="E2195" s="29">
        <v>39813</v>
      </c>
      <c r="F2195" s="27">
        <v>15</v>
      </c>
      <c r="G2195" s="18">
        <v>478.12</v>
      </c>
      <c r="H2195" s="27">
        <f t="shared" si="68"/>
        <v>478.12</v>
      </c>
      <c r="I2195" s="18">
        <v>454.21</v>
      </c>
      <c r="J2195" s="27">
        <v>478.12</v>
      </c>
      <c r="K2195" s="18">
        <f t="shared" si="69"/>
        <v>478.12</v>
      </c>
      <c r="L2195" s="27">
        <v>454.21</v>
      </c>
      <c r="M2195" s="36">
        <v>0</v>
      </c>
      <c r="T2195" s="41">
        <v>0</v>
      </c>
      <c r="U2195" s="41">
        <v>0</v>
      </c>
      <c r="V2195" s="42" t="s">
        <v>113</v>
      </c>
      <c r="W2195" s="42">
        <v>478.12</v>
      </c>
      <c r="X2195" s="42">
        <v>478.12</v>
      </c>
    </row>
    <row r="2196" spans="1:24">
      <c r="A2196" s="27" t="s">
        <v>4123</v>
      </c>
      <c r="B2196" s="28" t="s">
        <v>215</v>
      </c>
      <c r="C2196" s="27" t="s">
        <v>4124</v>
      </c>
      <c r="D2196" s="27" t="s">
        <v>112</v>
      </c>
      <c r="E2196" s="29">
        <v>39813</v>
      </c>
      <c r="F2196" s="27">
        <v>15</v>
      </c>
      <c r="G2196" s="18">
        <v>478.12</v>
      </c>
      <c r="H2196" s="27">
        <f t="shared" si="68"/>
        <v>478.12</v>
      </c>
      <c r="I2196" s="18">
        <v>454.21</v>
      </c>
      <c r="J2196" s="27">
        <v>478.12</v>
      </c>
      <c r="K2196" s="18">
        <f t="shared" si="69"/>
        <v>478.12</v>
      </c>
      <c r="L2196" s="27">
        <v>454.21</v>
      </c>
      <c r="M2196" s="36">
        <v>0</v>
      </c>
      <c r="T2196" s="41">
        <v>0</v>
      </c>
      <c r="U2196" s="41">
        <v>0</v>
      </c>
      <c r="V2196" s="42" t="s">
        <v>113</v>
      </c>
      <c r="W2196" s="42">
        <v>478.12</v>
      </c>
      <c r="X2196" s="42">
        <v>478.12</v>
      </c>
    </row>
    <row r="2197" spans="1:24">
      <c r="A2197" s="27" t="s">
        <v>4125</v>
      </c>
      <c r="B2197" s="28" t="s">
        <v>215</v>
      </c>
      <c r="C2197" s="27" t="s">
        <v>4126</v>
      </c>
      <c r="D2197" s="27" t="s">
        <v>230</v>
      </c>
      <c r="E2197" s="29">
        <v>39813</v>
      </c>
      <c r="F2197" s="27">
        <v>15</v>
      </c>
      <c r="G2197" s="18">
        <v>8894.51</v>
      </c>
      <c r="H2197" s="27">
        <f t="shared" si="68"/>
        <v>8894.51</v>
      </c>
      <c r="I2197" s="18">
        <v>8449.7800000000007</v>
      </c>
      <c r="J2197" s="27">
        <v>8894.51</v>
      </c>
      <c r="K2197" s="18">
        <f t="shared" si="69"/>
        <v>8894.51</v>
      </c>
      <c r="L2197" s="27">
        <v>8449.7800000000007</v>
      </c>
      <c r="M2197" s="36">
        <v>0</v>
      </c>
      <c r="T2197" s="41">
        <v>0</v>
      </c>
      <c r="U2197" s="41">
        <v>0</v>
      </c>
      <c r="V2197" s="42" t="s">
        <v>113</v>
      </c>
      <c r="W2197" s="42">
        <v>8894.51</v>
      </c>
      <c r="X2197" s="42">
        <v>8894.51</v>
      </c>
    </row>
    <row r="2198" spans="1:24">
      <c r="A2198" s="27" t="s">
        <v>4127</v>
      </c>
      <c r="B2198" s="28" t="s">
        <v>215</v>
      </c>
      <c r="C2198" s="27" t="s">
        <v>4128</v>
      </c>
      <c r="D2198" s="27" t="s">
        <v>230</v>
      </c>
      <c r="E2198" s="29">
        <v>39813</v>
      </c>
      <c r="F2198" s="27">
        <v>15</v>
      </c>
      <c r="G2198" s="18">
        <v>478.12</v>
      </c>
      <c r="H2198" s="27">
        <f t="shared" si="68"/>
        <v>478.12</v>
      </c>
      <c r="I2198" s="18">
        <v>454.21</v>
      </c>
      <c r="J2198" s="27">
        <v>478.12</v>
      </c>
      <c r="K2198" s="18">
        <f t="shared" si="69"/>
        <v>478.12</v>
      </c>
      <c r="L2198" s="27">
        <v>454.21</v>
      </c>
      <c r="M2198" s="36">
        <v>0</v>
      </c>
      <c r="T2198" s="41">
        <v>0</v>
      </c>
      <c r="U2198" s="41">
        <v>0</v>
      </c>
      <c r="V2198" s="42" t="s">
        <v>113</v>
      </c>
      <c r="W2198" s="42">
        <v>478.12</v>
      </c>
      <c r="X2198" s="42">
        <v>478.12</v>
      </c>
    </row>
    <row r="2199" spans="1:24">
      <c r="A2199" s="27" t="s">
        <v>4129</v>
      </c>
      <c r="B2199" s="28" t="s">
        <v>215</v>
      </c>
      <c r="C2199" s="27" t="s">
        <v>4130</v>
      </c>
      <c r="D2199" s="27" t="s">
        <v>230</v>
      </c>
      <c r="E2199" s="29">
        <v>39813</v>
      </c>
      <c r="F2199" s="27">
        <v>15</v>
      </c>
      <c r="G2199" s="18">
        <v>478.12</v>
      </c>
      <c r="H2199" s="27">
        <f t="shared" si="68"/>
        <v>478.12</v>
      </c>
      <c r="I2199" s="18">
        <v>454.21</v>
      </c>
      <c r="J2199" s="27">
        <v>478.12</v>
      </c>
      <c r="K2199" s="18">
        <f t="shared" si="69"/>
        <v>478.12</v>
      </c>
      <c r="L2199" s="27">
        <v>454.21</v>
      </c>
      <c r="M2199" s="36">
        <v>0</v>
      </c>
      <c r="T2199" s="41">
        <v>0</v>
      </c>
      <c r="U2199" s="41">
        <v>0</v>
      </c>
      <c r="V2199" s="42" t="s">
        <v>113</v>
      </c>
      <c r="W2199" s="42">
        <v>478.12</v>
      </c>
      <c r="X2199" s="42">
        <v>478.12</v>
      </c>
    </row>
    <row r="2200" spans="1:24">
      <c r="A2200" s="27" t="s">
        <v>4131</v>
      </c>
      <c r="B2200" s="28" t="s">
        <v>215</v>
      </c>
      <c r="C2200" s="27" t="s">
        <v>4132</v>
      </c>
      <c r="D2200" s="27" t="s">
        <v>230</v>
      </c>
      <c r="E2200" s="29">
        <v>39813</v>
      </c>
      <c r="F2200" s="27">
        <v>15</v>
      </c>
      <c r="G2200" s="18">
        <v>478.12</v>
      </c>
      <c r="H2200" s="27">
        <f t="shared" si="68"/>
        <v>478.12</v>
      </c>
      <c r="I2200" s="18">
        <v>454.21</v>
      </c>
      <c r="J2200" s="27">
        <v>478.12</v>
      </c>
      <c r="K2200" s="18">
        <f t="shared" si="69"/>
        <v>478.12</v>
      </c>
      <c r="L2200" s="27">
        <v>454.21</v>
      </c>
      <c r="M2200" s="36">
        <v>0</v>
      </c>
      <c r="T2200" s="41">
        <v>0</v>
      </c>
      <c r="U2200" s="41">
        <v>0</v>
      </c>
      <c r="V2200" s="42" t="s">
        <v>113</v>
      </c>
      <c r="W2200" s="42">
        <v>478.12</v>
      </c>
      <c r="X2200" s="42">
        <v>478.12</v>
      </c>
    </row>
    <row r="2201" spans="1:24">
      <c r="A2201" s="27" t="s">
        <v>4133</v>
      </c>
      <c r="B2201" s="28" t="s">
        <v>215</v>
      </c>
      <c r="C2201" s="27" t="s">
        <v>4134</v>
      </c>
      <c r="D2201" s="27" t="s">
        <v>230</v>
      </c>
      <c r="E2201" s="29">
        <v>39813</v>
      </c>
      <c r="F2201" s="27">
        <v>15</v>
      </c>
      <c r="G2201" s="18">
        <v>8894.51</v>
      </c>
      <c r="H2201" s="27">
        <f t="shared" si="68"/>
        <v>8894.51</v>
      </c>
      <c r="I2201" s="18">
        <v>8449.7800000000007</v>
      </c>
      <c r="J2201" s="27">
        <v>8894.51</v>
      </c>
      <c r="K2201" s="18">
        <f t="shared" si="69"/>
        <v>8894.51</v>
      </c>
      <c r="L2201" s="27">
        <v>8449.7800000000007</v>
      </c>
      <c r="M2201" s="36">
        <v>0</v>
      </c>
      <c r="T2201" s="41">
        <v>0</v>
      </c>
      <c r="U2201" s="41">
        <v>0</v>
      </c>
      <c r="V2201" s="42" t="s">
        <v>113</v>
      </c>
      <c r="W2201" s="42">
        <v>8894.51</v>
      </c>
      <c r="X2201" s="42">
        <v>8894.51</v>
      </c>
    </row>
    <row r="2202" spans="1:24">
      <c r="A2202" s="27" t="s">
        <v>4135</v>
      </c>
      <c r="B2202" s="28" t="s">
        <v>215</v>
      </c>
      <c r="C2202" s="27" t="s">
        <v>4136</v>
      </c>
      <c r="D2202" s="27" t="s">
        <v>112</v>
      </c>
      <c r="E2202" s="29">
        <v>39813</v>
      </c>
      <c r="F2202" s="27">
        <v>15</v>
      </c>
      <c r="G2202" s="18">
        <v>6882</v>
      </c>
      <c r="H2202" s="27">
        <f t="shared" si="68"/>
        <v>6882</v>
      </c>
      <c r="I2202" s="18">
        <v>6537.9</v>
      </c>
      <c r="J2202" s="27">
        <v>6882</v>
      </c>
      <c r="K2202" s="18">
        <f t="shared" si="69"/>
        <v>6882</v>
      </c>
      <c r="L2202" s="27">
        <v>6537.9</v>
      </c>
      <c r="M2202" s="36">
        <v>0</v>
      </c>
      <c r="T2202" s="41">
        <v>0</v>
      </c>
      <c r="U2202" s="41">
        <v>0</v>
      </c>
      <c r="V2202" s="42" t="s">
        <v>113</v>
      </c>
      <c r="W2202" s="42">
        <v>6882</v>
      </c>
      <c r="X2202" s="42">
        <v>6882</v>
      </c>
    </row>
    <row r="2203" spans="1:24">
      <c r="A2203" s="27" t="s">
        <v>4137</v>
      </c>
      <c r="B2203" s="28" t="s">
        <v>215</v>
      </c>
      <c r="C2203" s="27" t="s">
        <v>4138</v>
      </c>
      <c r="D2203" s="27" t="s">
        <v>112</v>
      </c>
      <c r="E2203" s="29">
        <v>38686</v>
      </c>
      <c r="F2203" s="27">
        <v>15</v>
      </c>
      <c r="G2203" s="18">
        <v>4800</v>
      </c>
      <c r="H2203" s="27">
        <f t="shared" si="68"/>
        <v>4800</v>
      </c>
      <c r="I2203" s="18">
        <v>4559.99</v>
      </c>
      <c r="J2203" s="27">
        <v>4800</v>
      </c>
      <c r="K2203" s="18">
        <f t="shared" si="69"/>
        <v>4800</v>
      </c>
      <c r="L2203" s="27">
        <v>4559.99</v>
      </c>
      <c r="M2203" s="36">
        <v>0</v>
      </c>
      <c r="T2203" s="41">
        <v>0</v>
      </c>
      <c r="U2203" s="41">
        <v>0</v>
      </c>
      <c r="V2203" s="42" t="s">
        <v>113</v>
      </c>
      <c r="W2203" s="42">
        <v>4800</v>
      </c>
      <c r="X2203" s="42">
        <v>4800</v>
      </c>
    </row>
    <row r="2204" spans="1:24">
      <c r="A2204" s="27" t="s">
        <v>4139</v>
      </c>
      <c r="B2204" s="28" t="s">
        <v>215</v>
      </c>
      <c r="C2204" s="27" t="s">
        <v>4140</v>
      </c>
      <c r="D2204" s="27" t="s">
        <v>112</v>
      </c>
      <c r="E2204" s="29">
        <v>38686</v>
      </c>
      <c r="F2204" s="27">
        <v>15</v>
      </c>
      <c r="G2204" s="18">
        <v>4800</v>
      </c>
      <c r="H2204" s="27">
        <f t="shared" si="68"/>
        <v>4800</v>
      </c>
      <c r="I2204" s="18">
        <v>4560.0200000000004</v>
      </c>
      <c r="J2204" s="27">
        <v>4800</v>
      </c>
      <c r="K2204" s="18">
        <f t="shared" si="69"/>
        <v>4800</v>
      </c>
      <c r="L2204" s="27">
        <v>4560.0200000000004</v>
      </c>
      <c r="M2204" s="36">
        <v>0</v>
      </c>
      <c r="T2204" s="41">
        <v>0</v>
      </c>
      <c r="U2204" s="41">
        <v>0</v>
      </c>
      <c r="V2204" s="42" t="s">
        <v>113</v>
      </c>
      <c r="W2204" s="42">
        <v>4800</v>
      </c>
      <c r="X2204" s="42">
        <v>4800</v>
      </c>
    </row>
    <row r="2205" spans="1:24">
      <c r="A2205" s="27" t="s">
        <v>4141</v>
      </c>
      <c r="B2205" s="28" t="s">
        <v>215</v>
      </c>
      <c r="C2205" s="27" t="s">
        <v>4142</v>
      </c>
      <c r="D2205" s="27" t="s">
        <v>112</v>
      </c>
      <c r="E2205" s="29">
        <v>38686</v>
      </c>
      <c r="F2205" s="27">
        <v>15</v>
      </c>
      <c r="G2205" s="18">
        <v>4800</v>
      </c>
      <c r="H2205" s="27">
        <f t="shared" si="68"/>
        <v>0</v>
      </c>
      <c r="I2205" s="18">
        <v>2767.99</v>
      </c>
      <c r="J2205" s="27">
        <v>4800</v>
      </c>
      <c r="K2205" s="18">
        <f t="shared" si="69"/>
        <v>0</v>
      </c>
      <c r="L2205" s="27">
        <v>3070.86</v>
      </c>
      <c r="M2205" s="36">
        <v>302.87</v>
      </c>
      <c r="T2205" s="41">
        <v>0</v>
      </c>
      <c r="U2205" s="41">
        <v>0</v>
      </c>
      <c r="V2205" s="42" t="s">
        <v>113</v>
      </c>
      <c r="W2205" s="42">
        <v>4800</v>
      </c>
      <c r="X2205" s="42">
        <v>4800</v>
      </c>
    </row>
    <row r="2206" spans="1:24">
      <c r="A2206" s="27" t="s">
        <v>4143</v>
      </c>
      <c r="B2206" s="28" t="s">
        <v>215</v>
      </c>
      <c r="C2206" s="27" t="s">
        <v>4144</v>
      </c>
      <c r="D2206" s="27" t="s">
        <v>112</v>
      </c>
      <c r="E2206" s="29">
        <v>39813</v>
      </c>
      <c r="F2206" s="27">
        <v>15</v>
      </c>
      <c r="G2206" s="18">
        <v>478.12</v>
      </c>
      <c r="H2206" s="27">
        <f t="shared" si="68"/>
        <v>478.12</v>
      </c>
      <c r="I2206" s="18">
        <v>454.21</v>
      </c>
      <c r="J2206" s="27">
        <v>478.12</v>
      </c>
      <c r="K2206" s="18">
        <f t="shared" si="69"/>
        <v>478.12</v>
      </c>
      <c r="L2206" s="27">
        <v>454.21</v>
      </c>
      <c r="M2206" s="36">
        <v>0</v>
      </c>
      <c r="T2206" s="41">
        <v>0</v>
      </c>
      <c r="U2206" s="41">
        <v>0</v>
      </c>
      <c r="V2206" s="42" t="s">
        <v>113</v>
      </c>
      <c r="W2206" s="42">
        <v>478.12</v>
      </c>
      <c r="X2206" s="42">
        <v>478.12</v>
      </c>
    </row>
    <row r="2207" spans="1:24">
      <c r="A2207" s="27" t="s">
        <v>4145</v>
      </c>
      <c r="B2207" s="28" t="s">
        <v>215</v>
      </c>
      <c r="C2207" s="27" t="s">
        <v>4146</v>
      </c>
      <c r="D2207" s="27" t="s">
        <v>112</v>
      </c>
      <c r="E2207" s="29">
        <v>39813</v>
      </c>
      <c r="F2207" s="27">
        <v>15</v>
      </c>
      <c r="G2207" s="18">
        <v>478.12</v>
      </c>
      <c r="H2207" s="27">
        <f t="shared" si="68"/>
        <v>478.12</v>
      </c>
      <c r="I2207" s="18">
        <v>454.21</v>
      </c>
      <c r="J2207" s="27">
        <v>478.12</v>
      </c>
      <c r="K2207" s="18">
        <f t="shared" si="69"/>
        <v>478.12</v>
      </c>
      <c r="L2207" s="27">
        <v>454.21</v>
      </c>
      <c r="M2207" s="36">
        <v>0</v>
      </c>
      <c r="T2207" s="41">
        <v>0</v>
      </c>
      <c r="U2207" s="41">
        <v>0</v>
      </c>
      <c r="V2207" s="42" t="s">
        <v>113</v>
      </c>
      <c r="W2207" s="42">
        <v>478.12</v>
      </c>
      <c r="X2207" s="42">
        <v>478.12</v>
      </c>
    </row>
    <row r="2208" spans="1:24">
      <c r="A2208" s="27" t="s">
        <v>4147</v>
      </c>
      <c r="B2208" s="28" t="s">
        <v>215</v>
      </c>
      <c r="C2208" s="27" t="s">
        <v>4148</v>
      </c>
      <c r="D2208" s="27" t="s">
        <v>112</v>
      </c>
      <c r="E2208" s="29">
        <v>39813</v>
      </c>
      <c r="F2208" s="27">
        <v>15</v>
      </c>
      <c r="G2208" s="18">
        <v>478.12</v>
      </c>
      <c r="H2208" s="27">
        <f t="shared" si="68"/>
        <v>478.12</v>
      </c>
      <c r="I2208" s="18">
        <v>454.21</v>
      </c>
      <c r="J2208" s="27">
        <v>478.12</v>
      </c>
      <c r="K2208" s="18">
        <f t="shared" si="69"/>
        <v>478.12</v>
      </c>
      <c r="L2208" s="27">
        <v>454.21</v>
      </c>
      <c r="M2208" s="36">
        <v>0</v>
      </c>
      <c r="T2208" s="41">
        <v>0</v>
      </c>
      <c r="U2208" s="41">
        <v>0</v>
      </c>
      <c r="V2208" s="42" t="s">
        <v>113</v>
      </c>
      <c r="W2208" s="42">
        <v>478.12</v>
      </c>
      <c r="X2208" s="42">
        <v>478.12</v>
      </c>
    </row>
    <row r="2209" spans="1:24">
      <c r="A2209" s="27" t="s">
        <v>4149</v>
      </c>
      <c r="B2209" s="28" t="s">
        <v>215</v>
      </c>
      <c r="C2209" s="27" t="s">
        <v>4150</v>
      </c>
      <c r="D2209" s="27" t="s">
        <v>230</v>
      </c>
      <c r="E2209" s="29">
        <v>39813</v>
      </c>
      <c r="F2209" s="27">
        <v>15</v>
      </c>
      <c r="G2209" s="18">
        <v>8894.51</v>
      </c>
      <c r="H2209" s="27">
        <f t="shared" si="68"/>
        <v>8894.51</v>
      </c>
      <c r="I2209" s="18">
        <v>8449.7800000000007</v>
      </c>
      <c r="J2209" s="27">
        <v>8894.51</v>
      </c>
      <c r="K2209" s="18">
        <f t="shared" si="69"/>
        <v>8894.51</v>
      </c>
      <c r="L2209" s="27">
        <v>8449.7800000000007</v>
      </c>
      <c r="M2209" s="36">
        <v>0</v>
      </c>
      <c r="T2209" s="41">
        <v>0</v>
      </c>
      <c r="U2209" s="41">
        <v>0</v>
      </c>
      <c r="V2209" s="42" t="s">
        <v>113</v>
      </c>
      <c r="W2209" s="42">
        <v>8894.51</v>
      </c>
      <c r="X2209" s="42">
        <v>8894.51</v>
      </c>
    </row>
    <row r="2210" spans="1:24">
      <c r="A2210" s="27" t="s">
        <v>4151</v>
      </c>
      <c r="B2210" s="28" t="s">
        <v>215</v>
      </c>
      <c r="C2210" s="27" t="s">
        <v>4152</v>
      </c>
      <c r="D2210" s="27" t="s">
        <v>230</v>
      </c>
      <c r="E2210" s="29">
        <v>40024</v>
      </c>
      <c r="F2210" s="27">
        <v>15</v>
      </c>
      <c r="G2210" s="18">
        <v>38168.33</v>
      </c>
      <c r="H2210" s="27">
        <f t="shared" si="68"/>
        <v>0</v>
      </c>
      <c r="I2210" s="18">
        <v>32696.14</v>
      </c>
      <c r="J2210" s="27">
        <v>38168.33</v>
      </c>
      <c r="K2210" s="18">
        <f t="shared" si="69"/>
        <v>0</v>
      </c>
      <c r="L2210" s="27">
        <v>33334.43</v>
      </c>
      <c r="M2210" s="36">
        <v>638.29</v>
      </c>
      <c r="T2210" s="41">
        <v>0</v>
      </c>
      <c r="U2210" s="41">
        <v>0</v>
      </c>
      <c r="V2210" s="42" t="s">
        <v>113</v>
      </c>
      <c r="W2210" s="42">
        <v>0</v>
      </c>
      <c r="X2210" s="42">
        <v>0</v>
      </c>
    </row>
    <row r="2211" spans="1:24">
      <c r="A2211" s="27" t="s">
        <v>4153</v>
      </c>
      <c r="B2211" s="28" t="s">
        <v>215</v>
      </c>
      <c r="C2211" s="27" t="s">
        <v>4154</v>
      </c>
      <c r="D2211" s="27" t="s">
        <v>230</v>
      </c>
      <c r="E2211" s="29">
        <v>40024</v>
      </c>
      <c r="F2211" s="27">
        <v>15</v>
      </c>
      <c r="G2211" s="18">
        <v>38168.33</v>
      </c>
      <c r="H2211" s="27">
        <f t="shared" si="68"/>
        <v>0</v>
      </c>
      <c r="I2211" s="18">
        <v>32696.15</v>
      </c>
      <c r="J2211" s="27">
        <v>38168.33</v>
      </c>
      <c r="K2211" s="18">
        <f t="shared" si="69"/>
        <v>0</v>
      </c>
      <c r="L2211" s="27">
        <v>33334.44</v>
      </c>
      <c r="M2211" s="36">
        <v>638.29</v>
      </c>
      <c r="T2211" s="41">
        <v>0</v>
      </c>
      <c r="U2211" s="41">
        <v>0</v>
      </c>
      <c r="V2211" s="42" t="s">
        <v>113</v>
      </c>
      <c r="W2211" s="42">
        <v>0</v>
      </c>
      <c r="X2211" s="42">
        <v>0</v>
      </c>
    </row>
    <row r="2212" spans="1:24">
      <c r="A2212" s="27" t="s">
        <v>4155</v>
      </c>
      <c r="B2212" s="28" t="s">
        <v>215</v>
      </c>
      <c r="C2212" s="27" t="s">
        <v>4156</v>
      </c>
      <c r="D2212" s="27" t="s">
        <v>230</v>
      </c>
      <c r="E2212" s="29">
        <v>40024</v>
      </c>
      <c r="F2212" s="27">
        <v>15</v>
      </c>
      <c r="G2212" s="18">
        <v>38168.339999999997</v>
      </c>
      <c r="H2212" s="27">
        <f t="shared" si="68"/>
        <v>0</v>
      </c>
      <c r="I2212" s="18">
        <v>32696.16</v>
      </c>
      <c r="J2212" s="27">
        <v>38168.339999999997</v>
      </c>
      <c r="K2212" s="18">
        <f t="shared" si="69"/>
        <v>0</v>
      </c>
      <c r="L2212" s="27">
        <v>33334.449999999997</v>
      </c>
      <c r="M2212" s="36">
        <v>638.29</v>
      </c>
      <c r="T2212" s="41">
        <v>0</v>
      </c>
      <c r="U2212" s="41">
        <v>0</v>
      </c>
      <c r="V2212" s="42" t="s">
        <v>113</v>
      </c>
      <c r="W2212" s="42">
        <v>0</v>
      </c>
      <c r="X2212" s="42">
        <v>0</v>
      </c>
    </row>
    <row r="2213" spans="1:24">
      <c r="A2213" s="27" t="s">
        <v>4157</v>
      </c>
      <c r="B2213" s="28" t="s">
        <v>215</v>
      </c>
      <c r="C2213" s="27" t="s">
        <v>3476</v>
      </c>
      <c r="D2213" s="27" t="s">
        <v>230</v>
      </c>
      <c r="E2213" s="29">
        <v>39813</v>
      </c>
      <c r="F2213" s="27">
        <v>15</v>
      </c>
      <c r="G2213" s="18">
        <v>57252.5</v>
      </c>
      <c r="H2213" s="27">
        <f t="shared" si="68"/>
        <v>57252.5</v>
      </c>
      <c r="I2213" s="18">
        <v>54389.87</v>
      </c>
      <c r="J2213" s="27">
        <v>57252.5</v>
      </c>
      <c r="K2213" s="18">
        <f t="shared" si="69"/>
        <v>57252.5</v>
      </c>
      <c r="L2213" s="27">
        <v>54389.87</v>
      </c>
      <c r="M2213" s="36">
        <v>0</v>
      </c>
      <c r="T2213" s="41">
        <v>0</v>
      </c>
      <c r="U2213" s="41">
        <v>0</v>
      </c>
      <c r="V2213" s="42" t="s">
        <v>113</v>
      </c>
      <c r="W2213" s="42">
        <v>57252.5</v>
      </c>
      <c r="X2213" s="42">
        <v>57252.5</v>
      </c>
    </row>
    <row r="2214" spans="1:24">
      <c r="A2214" s="27" t="s">
        <v>4158</v>
      </c>
      <c r="B2214" s="28" t="s">
        <v>215</v>
      </c>
      <c r="C2214" s="27" t="s">
        <v>1057</v>
      </c>
      <c r="D2214" s="27" t="s">
        <v>230</v>
      </c>
      <c r="E2214" s="29">
        <v>39813</v>
      </c>
      <c r="F2214" s="27">
        <v>15</v>
      </c>
      <c r="G2214" s="18">
        <v>57252.5</v>
      </c>
      <c r="H2214" s="27">
        <f t="shared" si="68"/>
        <v>57252.5</v>
      </c>
      <c r="I2214" s="18">
        <v>54389.87</v>
      </c>
      <c r="J2214" s="27">
        <v>57252.5</v>
      </c>
      <c r="K2214" s="18">
        <f t="shared" si="69"/>
        <v>57252.5</v>
      </c>
      <c r="L2214" s="27">
        <v>54389.87</v>
      </c>
      <c r="M2214" s="36">
        <v>0</v>
      </c>
      <c r="T2214" s="41">
        <v>0</v>
      </c>
      <c r="U2214" s="41">
        <v>0</v>
      </c>
      <c r="V2214" s="42" t="s">
        <v>113</v>
      </c>
      <c r="W2214" s="42">
        <v>57252.5</v>
      </c>
      <c r="X2214" s="42">
        <v>57252.5</v>
      </c>
    </row>
    <row r="2215" spans="1:24">
      <c r="A2215" s="27" t="s">
        <v>4159</v>
      </c>
      <c r="B2215" s="28" t="s">
        <v>215</v>
      </c>
      <c r="C2215" s="27" t="s">
        <v>3479</v>
      </c>
      <c r="D2215" s="27" t="s">
        <v>230</v>
      </c>
      <c r="E2215" s="29">
        <v>39813</v>
      </c>
      <c r="F2215" s="27">
        <v>15</v>
      </c>
      <c r="G2215" s="18">
        <v>57252.5</v>
      </c>
      <c r="H2215" s="27">
        <f t="shared" si="68"/>
        <v>57252.5</v>
      </c>
      <c r="I2215" s="18">
        <v>54389.87</v>
      </c>
      <c r="J2215" s="27">
        <v>57252.5</v>
      </c>
      <c r="K2215" s="18">
        <f t="shared" si="69"/>
        <v>57252.5</v>
      </c>
      <c r="L2215" s="27">
        <v>54389.87</v>
      </c>
      <c r="M2215" s="36">
        <v>0</v>
      </c>
      <c r="T2215" s="41">
        <v>0</v>
      </c>
      <c r="U2215" s="41">
        <v>0</v>
      </c>
      <c r="V2215" s="42" t="s">
        <v>113</v>
      </c>
      <c r="W2215" s="42">
        <v>57252.5</v>
      </c>
      <c r="X2215" s="42">
        <v>57252.5</v>
      </c>
    </row>
    <row r="2216" spans="1:24">
      <c r="A2216" s="27" t="s">
        <v>4160</v>
      </c>
      <c r="B2216" s="28" t="s">
        <v>215</v>
      </c>
      <c r="C2216" s="27" t="s">
        <v>4161</v>
      </c>
      <c r="D2216" s="27" t="s">
        <v>230</v>
      </c>
      <c r="E2216" s="29">
        <v>39813</v>
      </c>
      <c r="F2216" s="27">
        <v>15</v>
      </c>
      <c r="G2216" s="18">
        <v>57252.5</v>
      </c>
      <c r="H2216" s="27">
        <f t="shared" si="68"/>
        <v>57252.5</v>
      </c>
      <c r="I2216" s="18">
        <v>54389.87</v>
      </c>
      <c r="J2216" s="27">
        <v>57252.5</v>
      </c>
      <c r="K2216" s="18">
        <f t="shared" si="69"/>
        <v>57252.5</v>
      </c>
      <c r="L2216" s="27">
        <v>54389.87</v>
      </c>
      <c r="M2216" s="36">
        <v>0</v>
      </c>
      <c r="T2216" s="41">
        <v>0</v>
      </c>
      <c r="U2216" s="41">
        <v>0</v>
      </c>
      <c r="V2216" s="42" t="s">
        <v>113</v>
      </c>
      <c r="W2216" s="42">
        <v>57252.5</v>
      </c>
      <c r="X2216" s="42">
        <v>57252.5</v>
      </c>
    </row>
    <row r="2217" spans="1:24">
      <c r="A2217" s="27" t="s">
        <v>4162</v>
      </c>
      <c r="B2217" s="28" t="s">
        <v>215</v>
      </c>
      <c r="C2217" s="27" t="s">
        <v>1007</v>
      </c>
      <c r="D2217" s="27" t="s">
        <v>230</v>
      </c>
      <c r="E2217" s="29">
        <v>39813</v>
      </c>
      <c r="F2217" s="27">
        <v>15</v>
      </c>
      <c r="G2217" s="18">
        <v>57252.5</v>
      </c>
      <c r="H2217" s="27">
        <f t="shared" si="68"/>
        <v>57252.5</v>
      </c>
      <c r="I2217" s="18">
        <v>54389.87</v>
      </c>
      <c r="J2217" s="27">
        <v>57252.5</v>
      </c>
      <c r="K2217" s="18">
        <f t="shared" si="69"/>
        <v>57252.5</v>
      </c>
      <c r="L2217" s="27">
        <v>54389.87</v>
      </c>
      <c r="M2217" s="36">
        <v>0</v>
      </c>
      <c r="T2217" s="41">
        <v>0</v>
      </c>
      <c r="U2217" s="41">
        <v>0</v>
      </c>
      <c r="V2217" s="42" t="s">
        <v>113</v>
      </c>
      <c r="W2217" s="42">
        <v>57252.5</v>
      </c>
      <c r="X2217" s="42">
        <v>57252.5</v>
      </c>
    </row>
    <row r="2218" spans="1:24">
      <c r="A2218" s="27" t="s">
        <v>4163</v>
      </c>
      <c r="B2218" s="28" t="s">
        <v>215</v>
      </c>
      <c r="C2218" s="27" t="s">
        <v>4164</v>
      </c>
      <c r="D2218" s="27" t="s">
        <v>230</v>
      </c>
      <c r="E2218" s="29">
        <v>39813</v>
      </c>
      <c r="F2218" s="27">
        <v>15</v>
      </c>
      <c r="G2218" s="18">
        <v>8894.51</v>
      </c>
      <c r="H2218" s="27">
        <f t="shared" si="68"/>
        <v>8894.51</v>
      </c>
      <c r="I2218" s="18">
        <v>8449.7800000000007</v>
      </c>
      <c r="J2218" s="27">
        <v>8894.51</v>
      </c>
      <c r="K2218" s="18">
        <f t="shared" si="69"/>
        <v>8894.51</v>
      </c>
      <c r="L2218" s="27">
        <v>8449.7800000000007</v>
      </c>
      <c r="M2218" s="36">
        <v>0</v>
      </c>
      <c r="T2218" s="41">
        <v>0</v>
      </c>
      <c r="U2218" s="41">
        <v>0</v>
      </c>
      <c r="V2218" s="42" t="s">
        <v>113</v>
      </c>
      <c r="W2218" s="42">
        <v>8894.51</v>
      </c>
      <c r="X2218" s="42">
        <v>8894.51</v>
      </c>
    </row>
    <row r="2219" spans="1:24">
      <c r="A2219" s="27" t="s">
        <v>4165</v>
      </c>
      <c r="B2219" s="28" t="s">
        <v>215</v>
      </c>
      <c r="C2219" s="27" t="s">
        <v>4166</v>
      </c>
      <c r="D2219" s="27" t="s">
        <v>230</v>
      </c>
      <c r="E2219" s="29">
        <v>39813</v>
      </c>
      <c r="F2219" s="27">
        <v>15</v>
      </c>
      <c r="G2219" s="18">
        <v>57252.5</v>
      </c>
      <c r="H2219" s="27">
        <f t="shared" si="68"/>
        <v>57252.5</v>
      </c>
      <c r="I2219" s="18">
        <v>54389.87</v>
      </c>
      <c r="J2219" s="27">
        <v>57252.5</v>
      </c>
      <c r="K2219" s="18">
        <f t="shared" si="69"/>
        <v>57252.5</v>
      </c>
      <c r="L2219" s="27">
        <v>54389.87</v>
      </c>
      <c r="M2219" s="36">
        <v>0</v>
      </c>
      <c r="T2219" s="41">
        <v>0</v>
      </c>
      <c r="U2219" s="41">
        <v>0</v>
      </c>
      <c r="V2219" s="42" t="s">
        <v>113</v>
      </c>
      <c r="W2219" s="42">
        <v>57252.5</v>
      </c>
      <c r="X2219" s="42">
        <v>57252.5</v>
      </c>
    </row>
    <row r="2220" spans="1:24">
      <c r="A2220" s="27" t="s">
        <v>4167</v>
      </c>
      <c r="B2220" s="28" t="s">
        <v>215</v>
      </c>
      <c r="C2220" s="27" t="s">
        <v>1198</v>
      </c>
      <c r="D2220" s="27" t="s">
        <v>230</v>
      </c>
      <c r="E2220" s="29">
        <v>39813</v>
      </c>
      <c r="F2220" s="27">
        <v>15</v>
      </c>
      <c r="G2220" s="18">
        <v>57252.5</v>
      </c>
      <c r="H2220" s="27">
        <f t="shared" si="68"/>
        <v>57252.5</v>
      </c>
      <c r="I2220" s="18">
        <v>54389.87</v>
      </c>
      <c r="J2220" s="27">
        <v>57252.5</v>
      </c>
      <c r="K2220" s="18">
        <f t="shared" si="69"/>
        <v>57252.5</v>
      </c>
      <c r="L2220" s="27">
        <v>54389.87</v>
      </c>
      <c r="M2220" s="36">
        <v>0</v>
      </c>
      <c r="T2220" s="41">
        <v>0</v>
      </c>
      <c r="U2220" s="41">
        <v>0</v>
      </c>
      <c r="V2220" s="42" t="s">
        <v>113</v>
      </c>
      <c r="W2220" s="42">
        <v>57252.5</v>
      </c>
      <c r="X2220" s="42">
        <v>57252.5</v>
      </c>
    </row>
    <row r="2221" spans="1:24">
      <c r="A2221" s="27" t="s">
        <v>4168</v>
      </c>
      <c r="B2221" s="28" t="s">
        <v>215</v>
      </c>
      <c r="C2221" s="27" t="s">
        <v>1013</v>
      </c>
      <c r="D2221" s="27" t="s">
        <v>112</v>
      </c>
      <c r="E2221" s="29">
        <v>39813</v>
      </c>
      <c r="F2221" s="27">
        <v>15</v>
      </c>
      <c r="G2221" s="18">
        <v>132195.09</v>
      </c>
      <c r="H2221" s="27">
        <f t="shared" si="68"/>
        <v>132195.09</v>
      </c>
      <c r="I2221" s="18">
        <v>125585.33</v>
      </c>
      <c r="J2221" s="27">
        <v>132195.09</v>
      </c>
      <c r="K2221" s="18">
        <f t="shared" si="69"/>
        <v>132195.09</v>
      </c>
      <c r="L2221" s="27">
        <v>125585.33</v>
      </c>
      <c r="M2221" s="36">
        <v>0</v>
      </c>
      <c r="T2221" s="41">
        <v>0</v>
      </c>
      <c r="U2221" s="41">
        <v>0</v>
      </c>
      <c r="V2221" s="42" t="s">
        <v>113</v>
      </c>
      <c r="W2221" s="42">
        <v>132195.09</v>
      </c>
      <c r="X2221" s="42">
        <v>132195.09</v>
      </c>
    </row>
    <row r="2222" spans="1:24">
      <c r="A2222" s="27" t="s">
        <v>4169</v>
      </c>
      <c r="B2222" s="28" t="s">
        <v>215</v>
      </c>
      <c r="C2222" s="27" t="s">
        <v>4170</v>
      </c>
      <c r="D2222" s="27" t="s">
        <v>112</v>
      </c>
      <c r="E2222" s="29">
        <v>39813</v>
      </c>
      <c r="F2222" s="27">
        <v>15</v>
      </c>
      <c r="G2222" s="18">
        <v>132195.09</v>
      </c>
      <c r="H2222" s="27">
        <f t="shared" si="68"/>
        <v>132195.09</v>
      </c>
      <c r="I2222" s="18">
        <v>125585.33</v>
      </c>
      <c r="J2222" s="27">
        <v>132195.09</v>
      </c>
      <c r="K2222" s="18">
        <f t="shared" si="69"/>
        <v>132195.09</v>
      </c>
      <c r="L2222" s="27">
        <v>125585.33</v>
      </c>
      <c r="M2222" s="36">
        <v>0</v>
      </c>
      <c r="T2222" s="41">
        <v>0</v>
      </c>
      <c r="U2222" s="41">
        <v>0</v>
      </c>
      <c r="V2222" s="42" t="s">
        <v>113</v>
      </c>
      <c r="W2222" s="42">
        <v>132195.09</v>
      </c>
      <c r="X2222" s="42">
        <v>132195.09</v>
      </c>
    </row>
    <row r="2223" spans="1:24">
      <c r="A2223" s="27" t="s">
        <v>4171</v>
      </c>
      <c r="B2223" s="28" t="s">
        <v>215</v>
      </c>
      <c r="C2223" s="27" t="s">
        <v>4172</v>
      </c>
      <c r="D2223" s="27" t="s">
        <v>112</v>
      </c>
      <c r="E2223" s="29">
        <v>39813</v>
      </c>
      <c r="F2223" s="27">
        <v>15</v>
      </c>
      <c r="G2223" s="18">
        <v>132195.09</v>
      </c>
      <c r="H2223" s="27">
        <f t="shared" si="68"/>
        <v>132195.09</v>
      </c>
      <c r="I2223" s="18">
        <v>125585.33</v>
      </c>
      <c r="J2223" s="27">
        <v>132195.09</v>
      </c>
      <c r="K2223" s="18">
        <f t="shared" si="69"/>
        <v>132195.09</v>
      </c>
      <c r="L2223" s="27">
        <v>125585.33</v>
      </c>
      <c r="M2223" s="36">
        <v>0</v>
      </c>
      <c r="T2223" s="41">
        <v>0</v>
      </c>
      <c r="U2223" s="41">
        <v>0</v>
      </c>
      <c r="V2223" s="42" t="s">
        <v>113</v>
      </c>
      <c r="W2223" s="42">
        <v>132195.09</v>
      </c>
      <c r="X2223" s="42">
        <v>132195.09</v>
      </c>
    </row>
    <row r="2224" spans="1:24">
      <c r="A2224" s="27" t="s">
        <v>4173</v>
      </c>
      <c r="B2224" s="28" t="s">
        <v>215</v>
      </c>
      <c r="C2224" s="27" t="s">
        <v>4174</v>
      </c>
      <c r="D2224" s="27" t="s">
        <v>112</v>
      </c>
      <c r="E2224" s="29">
        <v>39813</v>
      </c>
      <c r="F2224" s="27">
        <v>15</v>
      </c>
      <c r="G2224" s="18">
        <v>132195.09</v>
      </c>
      <c r="H2224" s="27">
        <f t="shared" si="68"/>
        <v>132195.09</v>
      </c>
      <c r="I2224" s="18">
        <v>125585.33</v>
      </c>
      <c r="J2224" s="27">
        <v>132195.09</v>
      </c>
      <c r="K2224" s="18">
        <f t="shared" si="69"/>
        <v>132195.09</v>
      </c>
      <c r="L2224" s="27">
        <v>125585.33</v>
      </c>
      <c r="M2224" s="36">
        <v>0</v>
      </c>
      <c r="T2224" s="41">
        <v>0</v>
      </c>
      <c r="U2224" s="41">
        <v>0</v>
      </c>
      <c r="V2224" s="42" t="s">
        <v>113</v>
      </c>
      <c r="W2224" s="42">
        <v>132195.09</v>
      </c>
      <c r="X2224" s="42">
        <v>132195.09</v>
      </c>
    </row>
    <row r="2225" spans="1:24">
      <c r="A2225" s="27" t="s">
        <v>4175</v>
      </c>
      <c r="B2225" s="28" t="s">
        <v>215</v>
      </c>
      <c r="C2225" s="27" t="s">
        <v>4176</v>
      </c>
      <c r="D2225" s="27" t="s">
        <v>230</v>
      </c>
      <c r="E2225" s="29">
        <v>39813</v>
      </c>
      <c r="F2225" s="27">
        <v>15</v>
      </c>
      <c r="G2225" s="18">
        <v>8894.51</v>
      </c>
      <c r="H2225" s="27">
        <f t="shared" si="68"/>
        <v>8894.51</v>
      </c>
      <c r="I2225" s="18">
        <v>8449.7800000000007</v>
      </c>
      <c r="J2225" s="27">
        <v>8894.51</v>
      </c>
      <c r="K2225" s="18">
        <f t="shared" si="69"/>
        <v>8894.51</v>
      </c>
      <c r="L2225" s="27">
        <v>8449.7800000000007</v>
      </c>
      <c r="M2225" s="36">
        <v>0</v>
      </c>
      <c r="T2225" s="41">
        <v>0</v>
      </c>
      <c r="U2225" s="41">
        <v>0</v>
      </c>
      <c r="V2225" s="42" t="s">
        <v>113</v>
      </c>
      <c r="W2225" s="42">
        <v>8894.51</v>
      </c>
      <c r="X2225" s="42">
        <v>8894.51</v>
      </c>
    </row>
    <row r="2226" spans="1:24">
      <c r="A2226" s="27" t="s">
        <v>4177</v>
      </c>
      <c r="B2226" s="28" t="s">
        <v>215</v>
      </c>
      <c r="C2226" s="27" t="s">
        <v>4178</v>
      </c>
      <c r="D2226" s="27" t="s">
        <v>230</v>
      </c>
      <c r="E2226" s="29">
        <v>39813</v>
      </c>
      <c r="F2226" s="27">
        <v>15</v>
      </c>
      <c r="G2226" s="18">
        <v>478.12</v>
      </c>
      <c r="H2226" s="27">
        <f t="shared" si="68"/>
        <v>478.12</v>
      </c>
      <c r="I2226" s="18">
        <v>454.21</v>
      </c>
      <c r="J2226" s="27">
        <v>478.12</v>
      </c>
      <c r="K2226" s="18">
        <f t="shared" si="69"/>
        <v>478.12</v>
      </c>
      <c r="L2226" s="27">
        <v>454.21</v>
      </c>
      <c r="M2226" s="36">
        <v>0</v>
      </c>
      <c r="T2226" s="41">
        <v>0</v>
      </c>
      <c r="U2226" s="41">
        <v>0</v>
      </c>
      <c r="V2226" s="42" t="s">
        <v>113</v>
      </c>
      <c r="W2226" s="42">
        <v>478.12</v>
      </c>
      <c r="X2226" s="42">
        <v>478.12</v>
      </c>
    </row>
    <row r="2227" spans="1:24">
      <c r="A2227" s="27" t="s">
        <v>4179</v>
      </c>
      <c r="B2227" s="28" t="s">
        <v>215</v>
      </c>
      <c r="C2227" s="27" t="s">
        <v>4180</v>
      </c>
      <c r="D2227" s="27" t="s">
        <v>230</v>
      </c>
      <c r="E2227" s="29">
        <v>39813</v>
      </c>
      <c r="F2227" s="27">
        <v>15</v>
      </c>
      <c r="G2227" s="18">
        <v>478.12</v>
      </c>
      <c r="H2227" s="27">
        <f t="shared" si="68"/>
        <v>478.12</v>
      </c>
      <c r="I2227" s="18">
        <v>454.21</v>
      </c>
      <c r="J2227" s="27">
        <v>478.12</v>
      </c>
      <c r="K2227" s="18">
        <f t="shared" si="69"/>
        <v>478.12</v>
      </c>
      <c r="L2227" s="27">
        <v>454.21</v>
      </c>
      <c r="M2227" s="36">
        <v>0</v>
      </c>
      <c r="T2227" s="41">
        <v>0</v>
      </c>
      <c r="U2227" s="41">
        <v>0</v>
      </c>
      <c r="V2227" s="42" t="s">
        <v>113</v>
      </c>
      <c r="W2227" s="42">
        <v>478.12</v>
      </c>
      <c r="X2227" s="42">
        <v>478.12</v>
      </c>
    </row>
    <row r="2228" spans="1:24">
      <c r="A2228" s="27" t="s">
        <v>4181</v>
      </c>
      <c r="B2228" s="28" t="s">
        <v>215</v>
      </c>
      <c r="C2228" s="27" t="s">
        <v>4182</v>
      </c>
      <c r="D2228" s="27" t="s">
        <v>230</v>
      </c>
      <c r="E2228" s="29">
        <v>39813</v>
      </c>
      <c r="F2228" s="27">
        <v>15</v>
      </c>
      <c r="G2228" s="18">
        <v>478.12</v>
      </c>
      <c r="H2228" s="27">
        <f t="shared" si="68"/>
        <v>478.12</v>
      </c>
      <c r="I2228" s="18">
        <v>454.21</v>
      </c>
      <c r="J2228" s="27">
        <v>478.12</v>
      </c>
      <c r="K2228" s="18">
        <f t="shared" si="69"/>
        <v>478.12</v>
      </c>
      <c r="L2228" s="27">
        <v>454.21</v>
      </c>
      <c r="M2228" s="36">
        <v>0</v>
      </c>
      <c r="T2228" s="41">
        <v>0</v>
      </c>
      <c r="U2228" s="41">
        <v>0</v>
      </c>
      <c r="V2228" s="42" t="s">
        <v>113</v>
      </c>
      <c r="W2228" s="42">
        <v>478.12</v>
      </c>
      <c r="X2228" s="42">
        <v>478.12</v>
      </c>
    </row>
    <row r="2229" spans="1:24">
      <c r="A2229" s="27" t="s">
        <v>4183</v>
      </c>
      <c r="B2229" s="28" t="s">
        <v>215</v>
      </c>
      <c r="C2229" s="27" t="s">
        <v>4184</v>
      </c>
      <c r="D2229" s="27" t="s">
        <v>112</v>
      </c>
      <c r="E2229" s="29">
        <v>39813</v>
      </c>
      <c r="F2229" s="27">
        <v>15</v>
      </c>
      <c r="G2229" s="18">
        <v>8894.51</v>
      </c>
      <c r="H2229" s="27">
        <f t="shared" si="68"/>
        <v>8894.51</v>
      </c>
      <c r="I2229" s="18">
        <v>8449.7800000000007</v>
      </c>
      <c r="J2229" s="27">
        <v>8894.51</v>
      </c>
      <c r="K2229" s="18">
        <f t="shared" si="69"/>
        <v>8894.51</v>
      </c>
      <c r="L2229" s="27">
        <v>8449.7800000000007</v>
      </c>
      <c r="M2229" s="36">
        <v>0</v>
      </c>
      <c r="T2229" s="41">
        <v>0</v>
      </c>
      <c r="U2229" s="41">
        <v>0</v>
      </c>
      <c r="V2229" s="42" t="s">
        <v>113</v>
      </c>
      <c r="W2229" s="42">
        <v>8894.51</v>
      </c>
      <c r="X2229" s="42">
        <v>8894.51</v>
      </c>
    </row>
    <row r="2230" spans="1:24">
      <c r="A2230" s="27" t="s">
        <v>4185</v>
      </c>
      <c r="B2230" s="28" t="s">
        <v>215</v>
      </c>
      <c r="C2230" s="27" t="s">
        <v>4186</v>
      </c>
      <c r="D2230" s="27" t="s">
        <v>112</v>
      </c>
      <c r="E2230" s="29">
        <v>39813</v>
      </c>
      <c r="F2230" s="27">
        <v>15</v>
      </c>
      <c r="G2230" s="18">
        <v>8894.51</v>
      </c>
      <c r="H2230" s="27">
        <f t="shared" si="68"/>
        <v>8894.51</v>
      </c>
      <c r="I2230" s="18">
        <v>8449.7800000000007</v>
      </c>
      <c r="J2230" s="27">
        <v>8894.51</v>
      </c>
      <c r="K2230" s="18">
        <f t="shared" si="69"/>
        <v>8894.51</v>
      </c>
      <c r="L2230" s="27">
        <v>8449.7800000000007</v>
      </c>
      <c r="M2230" s="36">
        <v>0</v>
      </c>
      <c r="T2230" s="41">
        <v>0</v>
      </c>
      <c r="U2230" s="41">
        <v>0</v>
      </c>
      <c r="V2230" s="42" t="s">
        <v>113</v>
      </c>
      <c r="W2230" s="42">
        <v>8894.51</v>
      </c>
      <c r="X2230" s="42">
        <v>8894.51</v>
      </c>
    </row>
    <row r="2231" spans="1:24">
      <c r="A2231" s="27" t="s">
        <v>4187</v>
      </c>
      <c r="B2231" s="28" t="s">
        <v>215</v>
      </c>
      <c r="C2231" s="27" t="s">
        <v>4188</v>
      </c>
      <c r="D2231" s="27" t="s">
        <v>112</v>
      </c>
      <c r="E2231" s="29">
        <v>39813</v>
      </c>
      <c r="F2231" s="27">
        <v>15</v>
      </c>
      <c r="G2231" s="18">
        <v>8894.51</v>
      </c>
      <c r="H2231" s="27">
        <f t="shared" si="68"/>
        <v>8894.51</v>
      </c>
      <c r="I2231" s="18">
        <v>8449.7800000000007</v>
      </c>
      <c r="J2231" s="27">
        <v>8894.51</v>
      </c>
      <c r="K2231" s="18">
        <f t="shared" si="69"/>
        <v>8894.51</v>
      </c>
      <c r="L2231" s="27">
        <v>8449.7800000000007</v>
      </c>
      <c r="M2231" s="36">
        <v>0</v>
      </c>
      <c r="T2231" s="41">
        <v>0</v>
      </c>
      <c r="U2231" s="41">
        <v>0</v>
      </c>
      <c r="V2231" s="42" t="s">
        <v>113</v>
      </c>
      <c r="W2231" s="42">
        <v>8894.51</v>
      </c>
      <c r="X2231" s="42">
        <v>8894.51</v>
      </c>
    </row>
    <row r="2232" spans="1:24">
      <c r="A2232" s="27" t="s">
        <v>4189</v>
      </c>
      <c r="B2232" s="28" t="s">
        <v>215</v>
      </c>
      <c r="C2232" s="27" t="s">
        <v>1015</v>
      </c>
      <c r="D2232" s="27" t="s">
        <v>112</v>
      </c>
      <c r="E2232" s="29">
        <v>39813</v>
      </c>
      <c r="F2232" s="27">
        <v>15</v>
      </c>
      <c r="G2232" s="18">
        <v>132195.09</v>
      </c>
      <c r="H2232" s="27">
        <f t="shared" si="68"/>
        <v>132195.09</v>
      </c>
      <c r="I2232" s="18">
        <v>125585.33</v>
      </c>
      <c r="J2232" s="27">
        <v>132195.09</v>
      </c>
      <c r="K2232" s="18">
        <f t="shared" si="69"/>
        <v>132195.09</v>
      </c>
      <c r="L2232" s="27">
        <v>125585.33</v>
      </c>
      <c r="M2232" s="36">
        <v>0</v>
      </c>
      <c r="T2232" s="41">
        <v>0</v>
      </c>
      <c r="U2232" s="41">
        <v>0</v>
      </c>
      <c r="V2232" s="42" t="s">
        <v>113</v>
      </c>
      <c r="W2232" s="42">
        <v>132195.09</v>
      </c>
      <c r="X2232" s="42">
        <v>132195.09</v>
      </c>
    </row>
    <row r="2233" spans="1:24">
      <c r="A2233" s="27" t="s">
        <v>4190</v>
      </c>
      <c r="B2233" s="28" t="s">
        <v>215</v>
      </c>
      <c r="C2233" s="27" t="s">
        <v>1772</v>
      </c>
      <c r="D2233" s="27" t="s">
        <v>112</v>
      </c>
      <c r="E2233" s="29">
        <v>39813</v>
      </c>
      <c r="F2233" s="27">
        <v>15</v>
      </c>
      <c r="G2233" s="18">
        <v>48000</v>
      </c>
      <c r="H2233" s="27">
        <f t="shared" si="68"/>
        <v>48000</v>
      </c>
      <c r="I2233" s="18">
        <v>45600</v>
      </c>
      <c r="J2233" s="27">
        <v>48000</v>
      </c>
      <c r="K2233" s="18">
        <f t="shared" si="69"/>
        <v>48000</v>
      </c>
      <c r="L2233" s="27">
        <v>45600</v>
      </c>
      <c r="M2233" s="36">
        <v>0</v>
      </c>
      <c r="T2233" s="41">
        <v>0</v>
      </c>
      <c r="U2233" s="41">
        <v>0</v>
      </c>
      <c r="V2233" s="42" t="s">
        <v>113</v>
      </c>
      <c r="W2233" s="42">
        <v>48000</v>
      </c>
      <c r="X2233" s="42">
        <v>48000</v>
      </c>
    </row>
    <row r="2234" spans="1:24">
      <c r="A2234" s="27" t="s">
        <v>4191</v>
      </c>
      <c r="B2234" s="28" t="s">
        <v>215</v>
      </c>
      <c r="C2234" s="27" t="s">
        <v>4192</v>
      </c>
      <c r="D2234" s="27" t="s">
        <v>112</v>
      </c>
      <c r="E2234" s="29">
        <v>39813</v>
      </c>
      <c r="F2234" s="27">
        <v>15</v>
      </c>
      <c r="G2234" s="18">
        <v>132195.09</v>
      </c>
      <c r="H2234" s="27">
        <f t="shared" si="68"/>
        <v>132195.09</v>
      </c>
      <c r="I2234" s="18">
        <v>125585.33</v>
      </c>
      <c r="J2234" s="27">
        <v>132195.09</v>
      </c>
      <c r="K2234" s="18">
        <f t="shared" si="69"/>
        <v>132195.09</v>
      </c>
      <c r="L2234" s="27">
        <v>125585.33</v>
      </c>
      <c r="M2234" s="36">
        <v>0</v>
      </c>
      <c r="T2234" s="41">
        <v>0</v>
      </c>
      <c r="U2234" s="41">
        <v>0</v>
      </c>
      <c r="V2234" s="42" t="s">
        <v>113</v>
      </c>
      <c r="W2234" s="42">
        <v>132195.09</v>
      </c>
      <c r="X2234" s="42">
        <v>132195.09</v>
      </c>
    </row>
    <row r="2235" spans="1:24">
      <c r="A2235" s="27" t="s">
        <v>4193</v>
      </c>
      <c r="B2235" s="28" t="s">
        <v>215</v>
      </c>
      <c r="C2235" s="27" t="s">
        <v>3935</v>
      </c>
      <c r="D2235" s="27" t="s">
        <v>112</v>
      </c>
      <c r="E2235" s="29">
        <v>39813</v>
      </c>
      <c r="F2235" s="27">
        <v>15</v>
      </c>
      <c r="G2235" s="18">
        <v>132195.09</v>
      </c>
      <c r="H2235" s="27">
        <f t="shared" si="68"/>
        <v>132195.09</v>
      </c>
      <c r="I2235" s="18">
        <v>125585.33</v>
      </c>
      <c r="J2235" s="27">
        <v>132195.09</v>
      </c>
      <c r="K2235" s="18">
        <f t="shared" si="69"/>
        <v>132195.09</v>
      </c>
      <c r="L2235" s="27">
        <v>125585.33</v>
      </c>
      <c r="M2235" s="36">
        <v>0</v>
      </c>
      <c r="T2235" s="41">
        <v>0</v>
      </c>
      <c r="U2235" s="41">
        <v>0</v>
      </c>
      <c r="V2235" s="42" t="s">
        <v>113</v>
      </c>
      <c r="W2235" s="42">
        <v>132195.09</v>
      </c>
      <c r="X2235" s="42">
        <v>132195.09</v>
      </c>
    </row>
    <row r="2236" spans="1:24">
      <c r="A2236" s="27" t="s">
        <v>4194</v>
      </c>
      <c r="B2236" s="28" t="s">
        <v>215</v>
      </c>
      <c r="C2236" s="27" t="s">
        <v>4195</v>
      </c>
      <c r="D2236" s="27" t="s">
        <v>112</v>
      </c>
      <c r="E2236" s="29">
        <v>39813</v>
      </c>
      <c r="F2236" s="27">
        <v>15</v>
      </c>
      <c r="G2236" s="18">
        <v>82600</v>
      </c>
      <c r="H2236" s="27">
        <f t="shared" si="68"/>
        <v>82600</v>
      </c>
      <c r="I2236" s="18">
        <v>78470</v>
      </c>
      <c r="J2236" s="27">
        <v>82600</v>
      </c>
      <c r="K2236" s="18">
        <f t="shared" si="69"/>
        <v>82600</v>
      </c>
      <c r="L2236" s="27">
        <v>78470</v>
      </c>
      <c r="M2236" s="36">
        <v>0</v>
      </c>
      <c r="T2236" s="41">
        <v>0</v>
      </c>
      <c r="U2236" s="41">
        <v>0</v>
      </c>
      <c r="V2236" s="42" t="s">
        <v>113</v>
      </c>
      <c r="W2236" s="42">
        <v>82600</v>
      </c>
      <c r="X2236" s="42">
        <v>82600</v>
      </c>
    </row>
    <row r="2237" spans="1:24">
      <c r="A2237" s="27" t="s">
        <v>4196</v>
      </c>
      <c r="B2237" s="28" t="s">
        <v>215</v>
      </c>
      <c r="C2237" s="27" t="s">
        <v>4197</v>
      </c>
      <c r="D2237" s="27" t="s">
        <v>112</v>
      </c>
      <c r="E2237" s="29">
        <v>39813</v>
      </c>
      <c r="F2237" s="27">
        <v>15</v>
      </c>
      <c r="G2237" s="18">
        <v>6500</v>
      </c>
      <c r="H2237" s="27">
        <f t="shared" si="68"/>
        <v>6500</v>
      </c>
      <c r="I2237" s="18">
        <v>6175</v>
      </c>
      <c r="J2237" s="27">
        <v>6500</v>
      </c>
      <c r="K2237" s="18">
        <f t="shared" si="69"/>
        <v>6500</v>
      </c>
      <c r="L2237" s="27">
        <v>6175</v>
      </c>
      <c r="M2237" s="36">
        <v>0</v>
      </c>
      <c r="T2237" s="41">
        <v>0</v>
      </c>
      <c r="U2237" s="41">
        <v>0</v>
      </c>
      <c r="V2237" s="42" t="s">
        <v>113</v>
      </c>
      <c r="W2237" s="42">
        <v>6500</v>
      </c>
      <c r="X2237" s="42">
        <v>6500</v>
      </c>
    </row>
    <row r="2238" spans="1:24">
      <c r="A2238" s="27" t="s">
        <v>4198</v>
      </c>
      <c r="B2238" s="28" t="s">
        <v>215</v>
      </c>
      <c r="C2238" s="27" t="s">
        <v>4199</v>
      </c>
      <c r="D2238" s="27" t="s">
        <v>112</v>
      </c>
      <c r="E2238" s="29">
        <v>39813</v>
      </c>
      <c r="F2238" s="27">
        <v>15</v>
      </c>
      <c r="G2238" s="18">
        <v>3780.16</v>
      </c>
      <c r="H2238" s="27">
        <f t="shared" si="68"/>
        <v>3780.16</v>
      </c>
      <c r="I2238" s="18">
        <v>3591.15</v>
      </c>
      <c r="J2238" s="27">
        <v>3780.16</v>
      </c>
      <c r="K2238" s="18">
        <f t="shared" si="69"/>
        <v>3780.16</v>
      </c>
      <c r="L2238" s="27">
        <v>3591.15</v>
      </c>
      <c r="M2238" s="36">
        <v>0</v>
      </c>
      <c r="T2238" s="41">
        <v>0</v>
      </c>
      <c r="U2238" s="41">
        <v>0</v>
      </c>
      <c r="V2238" s="42" t="s">
        <v>113</v>
      </c>
      <c r="W2238" s="42">
        <v>3780.16</v>
      </c>
      <c r="X2238" s="42">
        <v>3780.16</v>
      </c>
    </row>
    <row r="2239" spans="1:24">
      <c r="A2239" s="27" t="s">
        <v>4200</v>
      </c>
      <c r="B2239" s="28" t="s">
        <v>215</v>
      </c>
      <c r="C2239" s="27" t="s">
        <v>2019</v>
      </c>
      <c r="D2239" s="27" t="s">
        <v>112</v>
      </c>
      <c r="E2239" s="29">
        <v>39813</v>
      </c>
      <c r="F2239" s="27">
        <v>15</v>
      </c>
      <c r="G2239" s="18">
        <v>6500</v>
      </c>
      <c r="H2239" s="27">
        <f t="shared" si="68"/>
        <v>6500</v>
      </c>
      <c r="I2239" s="18">
        <v>6175</v>
      </c>
      <c r="J2239" s="27">
        <v>6500</v>
      </c>
      <c r="K2239" s="18">
        <f t="shared" si="69"/>
        <v>6500</v>
      </c>
      <c r="L2239" s="27">
        <v>6175</v>
      </c>
      <c r="M2239" s="36">
        <v>0</v>
      </c>
      <c r="T2239" s="41">
        <v>0</v>
      </c>
      <c r="U2239" s="41">
        <v>0</v>
      </c>
      <c r="V2239" s="42" t="s">
        <v>113</v>
      </c>
      <c r="W2239" s="42">
        <v>6500</v>
      </c>
      <c r="X2239" s="42">
        <v>6500</v>
      </c>
    </row>
    <row r="2240" spans="1:24">
      <c r="A2240" s="27" t="s">
        <v>4201</v>
      </c>
      <c r="B2240" s="28" t="s">
        <v>215</v>
      </c>
      <c r="C2240" s="27" t="s">
        <v>4202</v>
      </c>
      <c r="D2240" s="27" t="s">
        <v>112</v>
      </c>
      <c r="E2240" s="29">
        <v>40543</v>
      </c>
      <c r="F2240" s="27">
        <v>15</v>
      </c>
      <c r="G2240" s="18">
        <v>15364.6</v>
      </c>
      <c r="H2240" s="27">
        <f t="shared" si="68"/>
        <v>0</v>
      </c>
      <c r="I2240" s="18">
        <v>11935.57</v>
      </c>
      <c r="J2240" s="27">
        <v>15364.6</v>
      </c>
      <c r="K2240" s="18">
        <f t="shared" si="69"/>
        <v>0</v>
      </c>
      <c r="L2240" s="27">
        <v>12315.68</v>
      </c>
      <c r="M2240" s="36">
        <v>380.11</v>
      </c>
      <c r="T2240" s="41">
        <v>0</v>
      </c>
      <c r="U2240" s="41">
        <v>0</v>
      </c>
      <c r="V2240" s="42" t="s">
        <v>113</v>
      </c>
      <c r="W2240" s="42">
        <v>0</v>
      </c>
      <c r="X2240" s="42">
        <v>0</v>
      </c>
    </row>
    <row r="2241" spans="1:24">
      <c r="A2241" s="27" t="s">
        <v>4203</v>
      </c>
      <c r="B2241" s="28" t="s">
        <v>215</v>
      </c>
      <c r="C2241" s="27" t="s">
        <v>4204</v>
      </c>
      <c r="D2241" s="27" t="s">
        <v>112</v>
      </c>
      <c r="E2241" s="29">
        <v>40543</v>
      </c>
      <c r="F2241" s="27">
        <v>12</v>
      </c>
      <c r="G2241" s="18">
        <v>15364.6</v>
      </c>
      <c r="H2241" s="27">
        <f t="shared" si="68"/>
        <v>0</v>
      </c>
      <c r="I2241" s="18">
        <v>12163.64</v>
      </c>
      <c r="J2241" s="27">
        <v>15364.6</v>
      </c>
      <c r="K2241" s="18">
        <f t="shared" si="69"/>
        <v>0</v>
      </c>
      <c r="L2241" s="27">
        <v>12771.82</v>
      </c>
      <c r="M2241" s="36">
        <v>608.17999999999995</v>
      </c>
      <c r="T2241" s="41">
        <v>0</v>
      </c>
      <c r="U2241" s="41">
        <v>0</v>
      </c>
      <c r="V2241" s="42" t="s">
        <v>113</v>
      </c>
      <c r="W2241" s="42">
        <v>0</v>
      </c>
      <c r="X2241" s="42">
        <v>0</v>
      </c>
    </row>
    <row r="2242" spans="1:24">
      <c r="A2242" s="27" t="s">
        <v>4205</v>
      </c>
      <c r="B2242" s="28" t="s">
        <v>215</v>
      </c>
      <c r="C2242" s="27" t="s">
        <v>4206</v>
      </c>
      <c r="D2242" s="27" t="s">
        <v>112</v>
      </c>
      <c r="E2242" s="29">
        <v>40543</v>
      </c>
      <c r="F2242" s="27">
        <v>15</v>
      </c>
      <c r="G2242" s="18">
        <v>15364.6</v>
      </c>
      <c r="H2242" s="27">
        <f t="shared" si="68"/>
        <v>0</v>
      </c>
      <c r="I2242" s="18">
        <v>11935.57</v>
      </c>
      <c r="J2242" s="27">
        <v>15364.6</v>
      </c>
      <c r="K2242" s="18">
        <f t="shared" si="69"/>
        <v>0</v>
      </c>
      <c r="L2242" s="27">
        <v>12315.68</v>
      </c>
      <c r="M2242" s="36">
        <v>380.11</v>
      </c>
      <c r="T2242" s="41">
        <v>0</v>
      </c>
      <c r="U2242" s="41">
        <v>0</v>
      </c>
      <c r="V2242" s="42" t="s">
        <v>113</v>
      </c>
      <c r="W2242" s="42">
        <v>0</v>
      </c>
      <c r="X2242" s="42">
        <v>0</v>
      </c>
    </row>
    <row r="2243" spans="1:24">
      <c r="A2243" s="27" t="s">
        <v>4207</v>
      </c>
      <c r="B2243" s="28" t="s">
        <v>215</v>
      </c>
      <c r="C2243" s="27" t="s">
        <v>4208</v>
      </c>
      <c r="D2243" s="27" t="s">
        <v>112</v>
      </c>
      <c r="E2243" s="29">
        <v>40543</v>
      </c>
      <c r="F2243" s="27">
        <v>15</v>
      </c>
      <c r="G2243" s="18">
        <v>15364.6</v>
      </c>
      <c r="H2243" s="27">
        <f t="shared" si="68"/>
        <v>0</v>
      </c>
      <c r="I2243" s="18">
        <v>11935.57</v>
      </c>
      <c r="J2243" s="27">
        <v>15364.6</v>
      </c>
      <c r="K2243" s="18">
        <f t="shared" si="69"/>
        <v>0</v>
      </c>
      <c r="L2243" s="27">
        <v>12315.68</v>
      </c>
      <c r="M2243" s="36">
        <v>380.11</v>
      </c>
      <c r="T2243" s="41">
        <v>0</v>
      </c>
      <c r="U2243" s="41">
        <v>0</v>
      </c>
      <c r="V2243" s="42" t="s">
        <v>113</v>
      </c>
      <c r="W2243" s="42">
        <v>0</v>
      </c>
      <c r="X2243" s="42">
        <v>0</v>
      </c>
    </row>
    <row r="2244" spans="1:24">
      <c r="A2244" s="27" t="s">
        <v>4209</v>
      </c>
      <c r="B2244" s="28" t="s">
        <v>215</v>
      </c>
      <c r="C2244" s="27" t="s">
        <v>4210</v>
      </c>
      <c r="D2244" s="27" t="s">
        <v>112</v>
      </c>
      <c r="E2244" s="29">
        <v>40543</v>
      </c>
      <c r="F2244" s="27">
        <v>15</v>
      </c>
      <c r="G2244" s="18">
        <v>15364.6</v>
      </c>
      <c r="H2244" s="27">
        <f t="shared" si="68"/>
        <v>0</v>
      </c>
      <c r="I2244" s="18">
        <v>11935.57</v>
      </c>
      <c r="J2244" s="27">
        <v>15364.6</v>
      </c>
      <c r="K2244" s="18">
        <f t="shared" si="69"/>
        <v>0</v>
      </c>
      <c r="L2244" s="27">
        <v>12315.68</v>
      </c>
      <c r="M2244" s="36">
        <v>380.11</v>
      </c>
      <c r="T2244" s="41">
        <v>0</v>
      </c>
      <c r="U2244" s="41">
        <v>0</v>
      </c>
      <c r="V2244" s="42" t="s">
        <v>113</v>
      </c>
      <c r="W2244" s="42">
        <v>0</v>
      </c>
      <c r="X2244" s="42">
        <v>0</v>
      </c>
    </row>
    <row r="2245" spans="1:24">
      <c r="A2245" s="27" t="s">
        <v>4211</v>
      </c>
      <c r="B2245" s="28" t="s">
        <v>215</v>
      </c>
      <c r="C2245" s="27" t="s">
        <v>4212</v>
      </c>
      <c r="D2245" s="27" t="s">
        <v>112</v>
      </c>
      <c r="E2245" s="29">
        <v>40543</v>
      </c>
      <c r="F2245" s="27">
        <v>15</v>
      </c>
      <c r="G2245" s="18">
        <v>15364.6</v>
      </c>
      <c r="H2245" s="27">
        <f t="shared" si="68"/>
        <v>0</v>
      </c>
      <c r="I2245" s="18">
        <v>11935.57</v>
      </c>
      <c r="J2245" s="27">
        <v>15364.6</v>
      </c>
      <c r="K2245" s="18">
        <f t="shared" si="69"/>
        <v>0</v>
      </c>
      <c r="L2245" s="27">
        <v>12315.68</v>
      </c>
      <c r="M2245" s="36">
        <v>380.11</v>
      </c>
      <c r="T2245" s="41">
        <v>0</v>
      </c>
      <c r="U2245" s="41">
        <v>0</v>
      </c>
      <c r="V2245" s="42" t="s">
        <v>113</v>
      </c>
      <c r="W2245" s="42">
        <v>0</v>
      </c>
      <c r="X2245" s="42">
        <v>0</v>
      </c>
    </row>
    <row r="2246" spans="1:24">
      <c r="A2246" s="27" t="s">
        <v>4213</v>
      </c>
      <c r="B2246" s="28" t="s">
        <v>215</v>
      </c>
      <c r="C2246" s="27" t="s">
        <v>4214</v>
      </c>
      <c r="D2246" s="27" t="s">
        <v>112</v>
      </c>
      <c r="E2246" s="29">
        <v>40543</v>
      </c>
      <c r="F2246" s="27">
        <v>12</v>
      </c>
      <c r="G2246" s="18">
        <v>720</v>
      </c>
      <c r="H2246" s="27">
        <f t="shared" ref="H2246:H2309" si="70">IFERROR(IF(ROUND((G2246-I2246)/G2246,2)&lt;=0.05,G2246,0),0)</f>
        <v>0</v>
      </c>
      <c r="I2246" s="18">
        <v>570</v>
      </c>
      <c r="J2246" s="27">
        <v>720</v>
      </c>
      <c r="K2246" s="18">
        <f t="shared" ref="K2246:K2309" si="71">IFERROR(IF(ROUND((J2246-L2246)/J2246,2)&lt;=0.05,J2246,0),0)</f>
        <v>0</v>
      </c>
      <c r="L2246" s="27">
        <v>598.5</v>
      </c>
      <c r="M2246" s="36">
        <v>28.5</v>
      </c>
      <c r="T2246" s="41">
        <v>0</v>
      </c>
      <c r="U2246" s="41">
        <v>0</v>
      </c>
      <c r="V2246" s="42" t="s">
        <v>113</v>
      </c>
      <c r="W2246" s="42">
        <v>0</v>
      </c>
      <c r="X2246" s="42">
        <v>0</v>
      </c>
    </row>
    <row r="2247" spans="1:24">
      <c r="A2247" s="27" t="s">
        <v>4215</v>
      </c>
      <c r="B2247" s="28" t="s">
        <v>215</v>
      </c>
      <c r="C2247" s="27" t="s">
        <v>2901</v>
      </c>
      <c r="D2247" s="27" t="s">
        <v>112</v>
      </c>
      <c r="E2247" s="29">
        <v>40543</v>
      </c>
      <c r="F2247" s="27">
        <v>15</v>
      </c>
      <c r="G2247" s="18">
        <v>15364.6</v>
      </c>
      <c r="H2247" s="27">
        <f t="shared" si="70"/>
        <v>0</v>
      </c>
      <c r="I2247" s="18">
        <v>11935.57</v>
      </c>
      <c r="J2247" s="27">
        <v>15364.6</v>
      </c>
      <c r="K2247" s="18">
        <f t="shared" si="71"/>
        <v>0</v>
      </c>
      <c r="L2247" s="27">
        <v>12315.68</v>
      </c>
      <c r="M2247" s="36">
        <v>380.11</v>
      </c>
      <c r="T2247" s="41">
        <v>0</v>
      </c>
      <c r="U2247" s="41">
        <v>0</v>
      </c>
      <c r="V2247" s="42" t="s">
        <v>113</v>
      </c>
      <c r="W2247" s="42">
        <v>0</v>
      </c>
      <c r="X2247" s="42">
        <v>0</v>
      </c>
    </row>
    <row r="2248" spans="1:24">
      <c r="A2248" s="27" t="s">
        <v>4216</v>
      </c>
      <c r="B2248" s="28" t="s">
        <v>215</v>
      </c>
      <c r="C2248" s="27" t="s">
        <v>4101</v>
      </c>
      <c r="D2248" s="27" t="s">
        <v>112</v>
      </c>
      <c r="E2248" s="29">
        <v>40543</v>
      </c>
      <c r="F2248" s="27">
        <v>15</v>
      </c>
      <c r="G2248" s="18">
        <v>15364.6</v>
      </c>
      <c r="H2248" s="27">
        <f t="shared" si="70"/>
        <v>0</v>
      </c>
      <c r="I2248" s="18">
        <v>11935.57</v>
      </c>
      <c r="J2248" s="27">
        <v>15364.6</v>
      </c>
      <c r="K2248" s="18">
        <f t="shared" si="71"/>
        <v>0</v>
      </c>
      <c r="L2248" s="27">
        <v>12315.68</v>
      </c>
      <c r="M2248" s="36">
        <v>380.11</v>
      </c>
      <c r="T2248" s="41">
        <v>0</v>
      </c>
      <c r="U2248" s="41">
        <v>0</v>
      </c>
      <c r="V2248" s="42" t="s">
        <v>113</v>
      </c>
      <c r="W2248" s="42">
        <v>0</v>
      </c>
      <c r="X2248" s="42">
        <v>0</v>
      </c>
    </row>
    <row r="2249" spans="1:24">
      <c r="A2249" s="27" t="s">
        <v>4217</v>
      </c>
      <c r="B2249" s="28" t="s">
        <v>215</v>
      </c>
      <c r="C2249" s="27" t="s">
        <v>4218</v>
      </c>
      <c r="D2249" s="27" t="s">
        <v>112</v>
      </c>
      <c r="E2249" s="29">
        <v>40543</v>
      </c>
      <c r="F2249" s="27">
        <v>15</v>
      </c>
      <c r="G2249" s="18">
        <v>8151</v>
      </c>
      <c r="H2249" s="27">
        <f t="shared" si="70"/>
        <v>0</v>
      </c>
      <c r="I2249" s="18">
        <v>6331.88</v>
      </c>
      <c r="J2249" s="27">
        <v>8151</v>
      </c>
      <c r="K2249" s="18">
        <f t="shared" si="71"/>
        <v>0</v>
      </c>
      <c r="L2249" s="27">
        <v>6533.53</v>
      </c>
      <c r="M2249" s="36">
        <v>201.65</v>
      </c>
      <c r="T2249" s="41">
        <v>0</v>
      </c>
      <c r="U2249" s="41">
        <v>0</v>
      </c>
      <c r="V2249" s="42" t="s">
        <v>113</v>
      </c>
      <c r="W2249" s="42">
        <v>0</v>
      </c>
      <c r="X2249" s="42">
        <v>0</v>
      </c>
    </row>
    <row r="2250" spans="1:24">
      <c r="A2250" s="27" t="s">
        <v>4219</v>
      </c>
      <c r="B2250" s="28" t="s">
        <v>215</v>
      </c>
      <c r="C2250" s="27" t="s">
        <v>4220</v>
      </c>
      <c r="D2250" s="27" t="s">
        <v>112</v>
      </c>
      <c r="E2250" s="29">
        <v>40543</v>
      </c>
      <c r="F2250" s="27">
        <v>15</v>
      </c>
      <c r="G2250" s="18">
        <v>8151</v>
      </c>
      <c r="H2250" s="27">
        <f t="shared" si="70"/>
        <v>0</v>
      </c>
      <c r="I2250" s="18">
        <v>6331.88</v>
      </c>
      <c r="J2250" s="27">
        <v>8151</v>
      </c>
      <c r="K2250" s="18">
        <f t="shared" si="71"/>
        <v>0</v>
      </c>
      <c r="L2250" s="27">
        <v>6533.53</v>
      </c>
      <c r="M2250" s="36">
        <v>201.65</v>
      </c>
      <c r="T2250" s="41">
        <v>0</v>
      </c>
      <c r="U2250" s="41">
        <v>0</v>
      </c>
      <c r="V2250" s="42" t="s">
        <v>113</v>
      </c>
      <c r="W2250" s="42">
        <v>0</v>
      </c>
      <c r="X2250" s="42">
        <v>0</v>
      </c>
    </row>
    <row r="2251" spans="1:24">
      <c r="A2251" s="27" t="s">
        <v>4221</v>
      </c>
      <c r="B2251" s="28" t="s">
        <v>215</v>
      </c>
      <c r="C2251" s="27" t="s">
        <v>4222</v>
      </c>
      <c r="D2251" s="27" t="s">
        <v>112</v>
      </c>
      <c r="E2251" s="29">
        <v>40543</v>
      </c>
      <c r="F2251" s="27">
        <v>15</v>
      </c>
      <c r="G2251" s="18">
        <v>8151</v>
      </c>
      <c r="H2251" s="27">
        <f t="shared" si="70"/>
        <v>0</v>
      </c>
      <c r="I2251" s="18">
        <v>6331.88</v>
      </c>
      <c r="J2251" s="27">
        <v>8151</v>
      </c>
      <c r="K2251" s="18">
        <f t="shared" si="71"/>
        <v>0</v>
      </c>
      <c r="L2251" s="27">
        <v>6533.53</v>
      </c>
      <c r="M2251" s="36">
        <v>201.65</v>
      </c>
      <c r="T2251" s="41">
        <v>0</v>
      </c>
      <c r="U2251" s="41">
        <v>0</v>
      </c>
      <c r="V2251" s="42" t="s">
        <v>113</v>
      </c>
      <c r="W2251" s="42">
        <v>0</v>
      </c>
      <c r="X2251" s="42">
        <v>0</v>
      </c>
    </row>
    <row r="2252" spans="1:24">
      <c r="A2252" s="27" t="s">
        <v>4223</v>
      </c>
      <c r="B2252" s="28" t="s">
        <v>215</v>
      </c>
      <c r="C2252" s="27" t="s">
        <v>4224</v>
      </c>
      <c r="D2252" s="27" t="s">
        <v>112</v>
      </c>
      <c r="E2252" s="29">
        <v>40543</v>
      </c>
      <c r="F2252" s="27">
        <v>15</v>
      </c>
      <c r="G2252" s="18">
        <v>1260</v>
      </c>
      <c r="H2252" s="27">
        <f t="shared" si="70"/>
        <v>0</v>
      </c>
      <c r="I2252" s="18">
        <v>978.8</v>
      </c>
      <c r="J2252" s="27">
        <v>1260</v>
      </c>
      <c r="K2252" s="18">
        <f t="shared" si="71"/>
        <v>0</v>
      </c>
      <c r="L2252" s="27">
        <v>1009.97</v>
      </c>
      <c r="M2252" s="36">
        <v>31.17</v>
      </c>
      <c r="T2252" s="41">
        <v>0</v>
      </c>
      <c r="U2252" s="41">
        <v>0</v>
      </c>
      <c r="V2252" s="42" t="s">
        <v>113</v>
      </c>
      <c r="W2252" s="42">
        <v>0</v>
      </c>
      <c r="X2252" s="42">
        <v>0</v>
      </c>
    </row>
    <row r="2253" spans="1:24">
      <c r="A2253" s="27" t="s">
        <v>4225</v>
      </c>
      <c r="B2253" s="28" t="s">
        <v>215</v>
      </c>
      <c r="C2253" s="27" t="s">
        <v>4226</v>
      </c>
      <c r="D2253" s="27" t="s">
        <v>112</v>
      </c>
      <c r="E2253" s="29">
        <v>40543</v>
      </c>
      <c r="F2253" s="27">
        <v>15</v>
      </c>
      <c r="G2253" s="18">
        <v>1260</v>
      </c>
      <c r="H2253" s="27">
        <f t="shared" si="70"/>
        <v>0</v>
      </c>
      <c r="I2253" s="18">
        <v>978.8</v>
      </c>
      <c r="J2253" s="27">
        <v>1260</v>
      </c>
      <c r="K2253" s="18">
        <f t="shared" si="71"/>
        <v>0</v>
      </c>
      <c r="L2253" s="27">
        <v>1009.97</v>
      </c>
      <c r="M2253" s="36">
        <v>31.17</v>
      </c>
      <c r="T2253" s="41">
        <v>0</v>
      </c>
      <c r="U2253" s="41">
        <v>0</v>
      </c>
      <c r="V2253" s="42" t="s">
        <v>113</v>
      </c>
      <c r="W2253" s="42">
        <v>0</v>
      </c>
      <c r="X2253" s="42">
        <v>0</v>
      </c>
    </row>
    <row r="2254" spans="1:24">
      <c r="A2254" s="27" t="s">
        <v>4227</v>
      </c>
      <c r="B2254" s="28" t="s">
        <v>215</v>
      </c>
      <c r="C2254" s="27" t="s">
        <v>4228</v>
      </c>
      <c r="D2254" s="27" t="s">
        <v>112</v>
      </c>
      <c r="E2254" s="29">
        <v>40543</v>
      </c>
      <c r="F2254" s="27">
        <v>15</v>
      </c>
      <c r="G2254" s="18">
        <v>1260</v>
      </c>
      <c r="H2254" s="27">
        <f t="shared" si="70"/>
        <v>0</v>
      </c>
      <c r="I2254" s="18">
        <v>978.8</v>
      </c>
      <c r="J2254" s="27">
        <v>1260</v>
      </c>
      <c r="K2254" s="18">
        <f t="shared" si="71"/>
        <v>0</v>
      </c>
      <c r="L2254" s="27">
        <v>1009.97</v>
      </c>
      <c r="M2254" s="36">
        <v>31.17</v>
      </c>
      <c r="T2254" s="41">
        <v>0</v>
      </c>
      <c r="U2254" s="41">
        <v>0</v>
      </c>
      <c r="V2254" s="42" t="s">
        <v>113</v>
      </c>
      <c r="W2254" s="42">
        <v>0</v>
      </c>
      <c r="X2254" s="42">
        <v>0</v>
      </c>
    </row>
    <row r="2255" spans="1:24">
      <c r="A2255" s="27" t="s">
        <v>4229</v>
      </c>
      <c r="B2255" s="28" t="s">
        <v>215</v>
      </c>
      <c r="C2255" s="27" t="s">
        <v>4230</v>
      </c>
      <c r="D2255" s="27" t="s">
        <v>112</v>
      </c>
      <c r="E2255" s="29">
        <v>40543</v>
      </c>
      <c r="F2255" s="27">
        <v>15</v>
      </c>
      <c r="G2255" s="18">
        <v>1260</v>
      </c>
      <c r="H2255" s="27">
        <f t="shared" si="70"/>
        <v>0</v>
      </c>
      <c r="I2255" s="18">
        <v>978.8</v>
      </c>
      <c r="J2255" s="27">
        <v>1260</v>
      </c>
      <c r="K2255" s="18">
        <f t="shared" si="71"/>
        <v>0</v>
      </c>
      <c r="L2255" s="27">
        <v>1009.97</v>
      </c>
      <c r="M2255" s="36">
        <v>31.17</v>
      </c>
      <c r="T2255" s="41">
        <v>0</v>
      </c>
      <c r="U2255" s="41">
        <v>0</v>
      </c>
      <c r="V2255" s="42" t="s">
        <v>113</v>
      </c>
      <c r="W2255" s="42">
        <v>0</v>
      </c>
      <c r="X2255" s="42">
        <v>0</v>
      </c>
    </row>
    <row r="2256" spans="1:24">
      <c r="A2256" s="27" t="s">
        <v>4231</v>
      </c>
      <c r="B2256" s="28" t="s">
        <v>215</v>
      </c>
      <c r="C2256" s="27" t="s">
        <v>4232</v>
      </c>
      <c r="D2256" s="27" t="s">
        <v>112</v>
      </c>
      <c r="E2256" s="29">
        <v>40543</v>
      </c>
      <c r="F2256" s="27">
        <v>15</v>
      </c>
      <c r="G2256" s="18">
        <v>1260</v>
      </c>
      <c r="H2256" s="27">
        <f t="shared" si="70"/>
        <v>0</v>
      </c>
      <c r="I2256" s="18">
        <v>978.8</v>
      </c>
      <c r="J2256" s="27">
        <v>1260</v>
      </c>
      <c r="K2256" s="18">
        <f t="shared" si="71"/>
        <v>0</v>
      </c>
      <c r="L2256" s="27">
        <v>1009.97</v>
      </c>
      <c r="M2256" s="36">
        <v>31.17</v>
      </c>
      <c r="T2256" s="41">
        <v>0</v>
      </c>
      <c r="U2256" s="41">
        <v>0</v>
      </c>
      <c r="V2256" s="42" t="s">
        <v>113</v>
      </c>
      <c r="W2256" s="42">
        <v>0</v>
      </c>
      <c r="X2256" s="42">
        <v>0</v>
      </c>
    </row>
    <row r="2257" spans="1:24">
      <c r="A2257" s="27" t="s">
        <v>4233</v>
      </c>
      <c r="B2257" s="28" t="s">
        <v>215</v>
      </c>
      <c r="C2257" s="27" t="s">
        <v>4234</v>
      </c>
      <c r="D2257" s="27" t="s">
        <v>112</v>
      </c>
      <c r="E2257" s="29">
        <v>40543</v>
      </c>
      <c r="F2257" s="27">
        <v>15</v>
      </c>
      <c r="G2257" s="18">
        <v>1260</v>
      </c>
      <c r="H2257" s="27">
        <f t="shared" si="70"/>
        <v>0</v>
      </c>
      <c r="I2257" s="18">
        <v>978.8</v>
      </c>
      <c r="J2257" s="27">
        <v>1260</v>
      </c>
      <c r="K2257" s="18">
        <f t="shared" si="71"/>
        <v>0</v>
      </c>
      <c r="L2257" s="27">
        <v>1009.97</v>
      </c>
      <c r="M2257" s="36">
        <v>31.17</v>
      </c>
      <c r="T2257" s="41">
        <v>0</v>
      </c>
      <c r="U2257" s="41">
        <v>0</v>
      </c>
      <c r="V2257" s="42" t="s">
        <v>113</v>
      </c>
      <c r="W2257" s="42">
        <v>0</v>
      </c>
      <c r="X2257" s="42">
        <v>0</v>
      </c>
    </row>
    <row r="2258" spans="1:24">
      <c r="A2258" s="27" t="s">
        <v>4235</v>
      </c>
      <c r="B2258" s="28" t="s">
        <v>215</v>
      </c>
      <c r="C2258" s="27" t="s">
        <v>4236</v>
      </c>
      <c r="D2258" s="27" t="s">
        <v>112</v>
      </c>
      <c r="E2258" s="29">
        <v>40543</v>
      </c>
      <c r="F2258" s="27">
        <v>15</v>
      </c>
      <c r="G2258" s="18">
        <v>15364.6</v>
      </c>
      <c r="H2258" s="27">
        <f t="shared" si="70"/>
        <v>0</v>
      </c>
      <c r="I2258" s="18">
        <v>11935.57</v>
      </c>
      <c r="J2258" s="27">
        <v>15364.6</v>
      </c>
      <c r="K2258" s="18">
        <f t="shared" si="71"/>
        <v>0</v>
      </c>
      <c r="L2258" s="27">
        <v>12315.68</v>
      </c>
      <c r="M2258" s="36">
        <v>380.11</v>
      </c>
      <c r="T2258" s="41">
        <v>0</v>
      </c>
      <c r="U2258" s="41">
        <v>0</v>
      </c>
      <c r="V2258" s="42" t="s">
        <v>113</v>
      </c>
      <c r="W2258" s="42">
        <v>0</v>
      </c>
      <c r="X2258" s="42">
        <v>0</v>
      </c>
    </row>
    <row r="2259" spans="1:24">
      <c r="A2259" s="27" t="s">
        <v>4237</v>
      </c>
      <c r="B2259" s="28" t="s">
        <v>215</v>
      </c>
      <c r="C2259" s="27" t="s">
        <v>4238</v>
      </c>
      <c r="D2259" s="27" t="s">
        <v>112</v>
      </c>
      <c r="E2259" s="29">
        <v>40543</v>
      </c>
      <c r="F2259" s="27">
        <v>15</v>
      </c>
      <c r="G2259" s="18">
        <v>720</v>
      </c>
      <c r="H2259" s="27">
        <f t="shared" si="70"/>
        <v>0</v>
      </c>
      <c r="I2259" s="18">
        <v>559.30999999999995</v>
      </c>
      <c r="J2259" s="27">
        <v>720</v>
      </c>
      <c r="K2259" s="18">
        <f t="shared" si="71"/>
        <v>0</v>
      </c>
      <c r="L2259" s="27">
        <v>577.12</v>
      </c>
      <c r="M2259" s="36">
        <v>17.809999999999999</v>
      </c>
      <c r="T2259" s="41">
        <v>0</v>
      </c>
      <c r="U2259" s="41">
        <v>0</v>
      </c>
      <c r="V2259" s="42" t="s">
        <v>113</v>
      </c>
      <c r="W2259" s="42">
        <v>0</v>
      </c>
      <c r="X2259" s="42">
        <v>0</v>
      </c>
    </row>
    <row r="2260" spans="1:24">
      <c r="A2260" s="27" t="s">
        <v>4239</v>
      </c>
      <c r="B2260" s="28" t="s">
        <v>215</v>
      </c>
      <c r="C2260" s="27" t="s">
        <v>4240</v>
      </c>
      <c r="D2260" s="27" t="s">
        <v>112</v>
      </c>
      <c r="E2260" s="29">
        <v>40543</v>
      </c>
      <c r="F2260" s="27">
        <v>15</v>
      </c>
      <c r="G2260" s="18">
        <v>720</v>
      </c>
      <c r="H2260" s="27">
        <f t="shared" si="70"/>
        <v>0</v>
      </c>
      <c r="I2260" s="18">
        <v>559.30999999999995</v>
      </c>
      <c r="J2260" s="27">
        <v>720</v>
      </c>
      <c r="K2260" s="18">
        <f t="shared" si="71"/>
        <v>0</v>
      </c>
      <c r="L2260" s="27">
        <v>577.12</v>
      </c>
      <c r="M2260" s="36">
        <v>17.809999999999999</v>
      </c>
      <c r="T2260" s="41">
        <v>0</v>
      </c>
      <c r="U2260" s="41">
        <v>0</v>
      </c>
      <c r="V2260" s="42" t="s">
        <v>113</v>
      </c>
      <c r="W2260" s="42">
        <v>0</v>
      </c>
      <c r="X2260" s="42">
        <v>0</v>
      </c>
    </row>
    <row r="2261" spans="1:24">
      <c r="A2261" s="27" t="s">
        <v>4241</v>
      </c>
      <c r="B2261" s="28" t="s">
        <v>215</v>
      </c>
      <c r="C2261" s="27" t="s">
        <v>4242</v>
      </c>
      <c r="D2261" s="27" t="s">
        <v>112</v>
      </c>
      <c r="E2261" s="29">
        <v>40543</v>
      </c>
      <c r="F2261" s="27">
        <v>15</v>
      </c>
      <c r="G2261" s="18">
        <v>720</v>
      </c>
      <c r="H2261" s="27">
        <f t="shared" si="70"/>
        <v>0</v>
      </c>
      <c r="I2261" s="18">
        <v>559.30999999999995</v>
      </c>
      <c r="J2261" s="27">
        <v>720</v>
      </c>
      <c r="K2261" s="18">
        <f t="shared" si="71"/>
        <v>0</v>
      </c>
      <c r="L2261" s="27">
        <v>577.12</v>
      </c>
      <c r="M2261" s="36">
        <v>17.809999999999999</v>
      </c>
      <c r="T2261" s="41">
        <v>0</v>
      </c>
      <c r="U2261" s="41">
        <v>0</v>
      </c>
      <c r="V2261" s="42" t="s">
        <v>113</v>
      </c>
      <c r="W2261" s="42">
        <v>0</v>
      </c>
      <c r="X2261" s="42">
        <v>0</v>
      </c>
    </row>
    <row r="2262" spans="1:24">
      <c r="A2262" s="27" t="s">
        <v>4243</v>
      </c>
      <c r="B2262" s="28" t="s">
        <v>215</v>
      </c>
      <c r="C2262" s="27" t="s">
        <v>4244</v>
      </c>
      <c r="D2262" s="27" t="s">
        <v>112</v>
      </c>
      <c r="E2262" s="29">
        <v>40543</v>
      </c>
      <c r="F2262" s="27">
        <v>15</v>
      </c>
      <c r="G2262" s="18">
        <v>720</v>
      </c>
      <c r="H2262" s="27">
        <f t="shared" si="70"/>
        <v>0</v>
      </c>
      <c r="I2262" s="18">
        <v>559.30999999999995</v>
      </c>
      <c r="J2262" s="27">
        <v>720</v>
      </c>
      <c r="K2262" s="18">
        <f t="shared" si="71"/>
        <v>0</v>
      </c>
      <c r="L2262" s="27">
        <v>577.12</v>
      </c>
      <c r="M2262" s="36">
        <v>17.809999999999999</v>
      </c>
      <c r="T2262" s="41">
        <v>0</v>
      </c>
      <c r="U2262" s="41">
        <v>0</v>
      </c>
      <c r="V2262" s="42" t="s">
        <v>113</v>
      </c>
      <c r="W2262" s="42">
        <v>0</v>
      </c>
      <c r="X2262" s="42">
        <v>0</v>
      </c>
    </row>
    <row r="2263" spans="1:24">
      <c r="A2263" s="27" t="s">
        <v>4245</v>
      </c>
      <c r="B2263" s="28" t="s">
        <v>215</v>
      </c>
      <c r="C2263" s="27" t="s">
        <v>4246</v>
      </c>
      <c r="D2263" s="27" t="s">
        <v>112</v>
      </c>
      <c r="E2263" s="29">
        <v>40543</v>
      </c>
      <c r="F2263" s="27">
        <v>15</v>
      </c>
      <c r="G2263" s="18">
        <v>720</v>
      </c>
      <c r="H2263" s="27">
        <f t="shared" si="70"/>
        <v>0</v>
      </c>
      <c r="I2263" s="18">
        <v>559.30999999999995</v>
      </c>
      <c r="J2263" s="27">
        <v>720</v>
      </c>
      <c r="K2263" s="18">
        <f t="shared" si="71"/>
        <v>0</v>
      </c>
      <c r="L2263" s="27">
        <v>577.12</v>
      </c>
      <c r="M2263" s="36">
        <v>17.809999999999999</v>
      </c>
      <c r="T2263" s="41">
        <v>0</v>
      </c>
      <c r="U2263" s="41">
        <v>0</v>
      </c>
      <c r="V2263" s="42" t="s">
        <v>113</v>
      </c>
      <c r="W2263" s="42">
        <v>0</v>
      </c>
      <c r="X2263" s="42">
        <v>0</v>
      </c>
    </row>
    <row r="2264" spans="1:24">
      <c r="A2264" s="27" t="s">
        <v>4247</v>
      </c>
      <c r="B2264" s="28" t="s">
        <v>215</v>
      </c>
      <c r="C2264" s="27" t="s">
        <v>4248</v>
      </c>
      <c r="D2264" s="27" t="s">
        <v>112</v>
      </c>
      <c r="E2264" s="29">
        <v>40543</v>
      </c>
      <c r="F2264" s="27">
        <v>15</v>
      </c>
      <c r="G2264" s="18">
        <v>478.12</v>
      </c>
      <c r="H2264" s="27">
        <f t="shared" si="70"/>
        <v>0</v>
      </c>
      <c r="I2264" s="18">
        <v>371.42</v>
      </c>
      <c r="J2264" s="27">
        <v>478.12</v>
      </c>
      <c r="K2264" s="18">
        <f t="shared" si="71"/>
        <v>0</v>
      </c>
      <c r="L2264" s="27">
        <v>383.25</v>
      </c>
      <c r="M2264" s="36">
        <v>11.83</v>
      </c>
      <c r="T2264" s="41">
        <v>0</v>
      </c>
      <c r="U2264" s="41">
        <v>0</v>
      </c>
      <c r="V2264" s="42" t="s">
        <v>113</v>
      </c>
      <c r="W2264" s="42">
        <v>0</v>
      </c>
      <c r="X2264" s="42">
        <v>0</v>
      </c>
    </row>
    <row r="2265" spans="1:24">
      <c r="A2265" s="27" t="s">
        <v>4249</v>
      </c>
      <c r="B2265" s="28" t="s">
        <v>215</v>
      </c>
      <c r="C2265" s="27" t="s">
        <v>4250</v>
      </c>
      <c r="D2265" s="27" t="s">
        <v>112</v>
      </c>
      <c r="E2265" s="29">
        <v>40543</v>
      </c>
      <c r="F2265" s="27">
        <v>15</v>
      </c>
      <c r="G2265" s="18">
        <v>478.12</v>
      </c>
      <c r="H2265" s="27">
        <f t="shared" si="70"/>
        <v>0</v>
      </c>
      <c r="I2265" s="18">
        <v>371.42</v>
      </c>
      <c r="J2265" s="27">
        <v>478.12</v>
      </c>
      <c r="K2265" s="18">
        <f t="shared" si="71"/>
        <v>0</v>
      </c>
      <c r="L2265" s="27">
        <v>383.25</v>
      </c>
      <c r="M2265" s="36">
        <v>11.83</v>
      </c>
      <c r="T2265" s="41">
        <v>0</v>
      </c>
      <c r="U2265" s="41">
        <v>0</v>
      </c>
      <c r="V2265" s="42" t="s">
        <v>113</v>
      </c>
      <c r="W2265" s="42">
        <v>0</v>
      </c>
      <c r="X2265" s="42">
        <v>0</v>
      </c>
    </row>
    <row r="2266" spans="1:24">
      <c r="A2266" s="27" t="s">
        <v>4251</v>
      </c>
      <c r="B2266" s="28" t="s">
        <v>215</v>
      </c>
      <c r="C2266" s="27" t="s">
        <v>4252</v>
      </c>
      <c r="D2266" s="27" t="s">
        <v>112</v>
      </c>
      <c r="E2266" s="29">
        <v>40543</v>
      </c>
      <c r="F2266" s="27">
        <v>15</v>
      </c>
      <c r="G2266" s="18">
        <v>478.12</v>
      </c>
      <c r="H2266" s="27">
        <f t="shared" si="70"/>
        <v>0</v>
      </c>
      <c r="I2266" s="18">
        <v>371.42</v>
      </c>
      <c r="J2266" s="27">
        <v>478.12</v>
      </c>
      <c r="K2266" s="18">
        <f t="shared" si="71"/>
        <v>0</v>
      </c>
      <c r="L2266" s="27">
        <v>383.25</v>
      </c>
      <c r="M2266" s="36">
        <v>11.83</v>
      </c>
      <c r="T2266" s="41">
        <v>0</v>
      </c>
      <c r="U2266" s="41">
        <v>0</v>
      </c>
      <c r="V2266" s="42" t="s">
        <v>113</v>
      </c>
      <c r="W2266" s="42">
        <v>0</v>
      </c>
      <c r="X2266" s="42">
        <v>0</v>
      </c>
    </row>
    <row r="2267" spans="1:24">
      <c r="A2267" s="27" t="s">
        <v>4253</v>
      </c>
      <c r="B2267" s="28" t="s">
        <v>215</v>
      </c>
      <c r="C2267" s="27" t="s">
        <v>4254</v>
      </c>
      <c r="D2267" s="27" t="s">
        <v>112</v>
      </c>
      <c r="E2267" s="29">
        <v>40543</v>
      </c>
      <c r="F2267" s="27">
        <v>15</v>
      </c>
      <c r="G2267" s="18">
        <v>478.12</v>
      </c>
      <c r="H2267" s="27">
        <f t="shared" si="70"/>
        <v>0</v>
      </c>
      <c r="I2267" s="18">
        <v>371.42</v>
      </c>
      <c r="J2267" s="27">
        <v>478.12</v>
      </c>
      <c r="K2267" s="18">
        <f t="shared" si="71"/>
        <v>0</v>
      </c>
      <c r="L2267" s="27">
        <v>383.25</v>
      </c>
      <c r="M2267" s="36">
        <v>11.83</v>
      </c>
      <c r="T2267" s="41">
        <v>0</v>
      </c>
      <c r="U2267" s="41">
        <v>0</v>
      </c>
      <c r="V2267" s="42" t="s">
        <v>113</v>
      </c>
      <c r="W2267" s="42">
        <v>0</v>
      </c>
      <c r="X2267" s="42">
        <v>0</v>
      </c>
    </row>
    <row r="2268" spans="1:24">
      <c r="A2268" s="27" t="s">
        <v>4255</v>
      </c>
      <c r="B2268" s="28" t="s">
        <v>215</v>
      </c>
      <c r="C2268" s="27" t="s">
        <v>4256</v>
      </c>
      <c r="D2268" s="27" t="s">
        <v>230</v>
      </c>
      <c r="E2268" s="29">
        <v>39813</v>
      </c>
      <c r="F2268" s="27">
        <v>15</v>
      </c>
      <c r="G2268" s="18">
        <v>4000</v>
      </c>
      <c r="H2268" s="27">
        <f t="shared" si="70"/>
        <v>4000</v>
      </c>
      <c r="I2268" s="18">
        <v>3800</v>
      </c>
      <c r="J2268" s="27">
        <v>4000</v>
      </c>
      <c r="K2268" s="18">
        <f t="shared" si="71"/>
        <v>4000</v>
      </c>
      <c r="L2268" s="27">
        <v>3800</v>
      </c>
      <c r="M2268" s="36">
        <v>0</v>
      </c>
      <c r="T2268" s="41">
        <v>0</v>
      </c>
      <c r="U2268" s="41">
        <v>0</v>
      </c>
      <c r="V2268" s="42" t="s">
        <v>113</v>
      </c>
      <c r="W2268" s="42">
        <v>4000</v>
      </c>
      <c r="X2268" s="42">
        <v>4000</v>
      </c>
    </row>
    <row r="2269" spans="1:24">
      <c r="A2269" s="27" t="s">
        <v>4257</v>
      </c>
      <c r="B2269" s="28" t="s">
        <v>215</v>
      </c>
      <c r="C2269" s="27" t="s">
        <v>4258</v>
      </c>
      <c r="D2269" s="27" t="s">
        <v>230</v>
      </c>
      <c r="E2269" s="29">
        <v>39813</v>
      </c>
      <c r="F2269" s="27">
        <v>15</v>
      </c>
      <c r="G2269" s="18">
        <v>4000</v>
      </c>
      <c r="H2269" s="27">
        <f t="shared" si="70"/>
        <v>4000</v>
      </c>
      <c r="I2269" s="18">
        <v>3800</v>
      </c>
      <c r="J2269" s="27">
        <v>4000</v>
      </c>
      <c r="K2269" s="18">
        <f t="shared" si="71"/>
        <v>4000</v>
      </c>
      <c r="L2269" s="27">
        <v>3800</v>
      </c>
      <c r="M2269" s="36">
        <v>0</v>
      </c>
      <c r="T2269" s="41">
        <v>0</v>
      </c>
      <c r="U2269" s="41">
        <v>0</v>
      </c>
      <c r="V2269" s="42" t="s">
        <v>113</v>
      </c>
      <c r="W2269" s="42">
        <v>4000</v>
      </c>
      <c r="X2269" s="42">
        <v>4000</v>
      </c>
    </row>
    <row r="2270" spans="1:24">
      <c r="A2270" s="27" t="s">
        <v>4259</v>
      </c>
      <c r="B2270" s="28" t="s">
        <v>215</v>
      </c>
      <c r="C2270" s="27" t="s">
        <v>4260</v>
      </c>
      <c r="D2270" s="27" t="s">
        <v>112</v>
      </c>
      <c r="E2270" s="29">
        <v>39813</v>
      </c>
      <c r="F2270" s="27">
        <v>15</v>
      </c>
      <c r="G2270" s="18">
        <v>32000</v>
      </c>
      <c r="H2270" s="27">
        <f t="shared" si="70"/>
        <v>32000</v>
      </c>
      <c r="I2270" s="18">
        <v>30400</v>
      </c>
      <c r="J2270" s="27">
        <v>32000</v>
      </c>
      <c r="K2270" s="18">
        <f t="shared" si="71"/>
        <v>32000</v>
      </c>
      <c r="L2270" s="27">
        <v>30400</v>
      </c>
      <c r="M2270" s="36">
        <v>0</v>
      </c>
      <c r="T2270" s="41">
        <v>0</v>
      </c>
      <c r="U2270" s="41">
        <v>0</v>
      </c>
      <c r="V2270" s="42" t="s">
        <v>113</v>
      </c>
      <c r="W2270" s="42">
        <v>32000</v>
      </c>
      <c r="X2270" s="42">
        <v>32000</v>
      </c>
    </row>
    <row r="2271" spans="1:24">
      <c r="A2271" s="27" t="s">
        <v>4261</v>
      </c>
      <c r="B2271" s="28" t="s">
        <v>215</v>
      </c>
      <c r="C2271" s="27" t="s">
        <v>4262</v>
      </c>
      <c r="D2271" s="27" t="s">
        <v>112</v>
      </c>
      <c r="E2271" s="29">
        <v>39813</v>
      </c>
      <c r="F2271" s="27">
        <v>15</v>
      </c>
      <c r="G2271" s="18">
        <v>32000</v>
      </c>
      <c r="H2271" s="27">
        <f t="shared" si="70"/>
        <v>32000</v>
      </c>
      <c r="I2271" s="18">
        <v>30400</v>
      </c>
      <c r="J2271" s="27">
        <v>32000</v>
      </c>
      <c r="K2271" s="18">
        <f t="shared" si="71"/>
        <v>32000</v>
      </c>
      <c r="L2271" s="27">
        <v>30400</v>
      </c>
      <c r="M2271" s="36">
        <v>0</v>
      </c>
      <c r="T2271" s="41">
        <v>0</v>
      </c>
      <c r="U2271" s="41">
        <v>0</v>
      </c>
      <c r="V2271" s="42" t="s">
        <v>113</v>
      </c>
      <c r="W2271" s="42">
        <v>32000</v>
      </c>
      <c r="X2271" s="42">
        <v>32000</v>
      </c>
    </row>
    <row r="2272" spans="1:24">
      <c r="A2272" s="27" t="s">
        <v>4263</v>
      </c>
      <c r="B2272" s="28" t="s">
        <v>215</v>
      </c>
      <c r="C2272" s="27" t="s">
        <v>1261</v>
      </c>
      <c r="D2272" s="27" t="s">
        <v>230</v>
      </c>
      <c r="E2272" s="29">
        <v>39813</v>
      </c>
      <c r="F2272" s="27">
        <v>15</v>
      </c>
      <c r="G2272" s="18">
        <v>163905.96</v>
      </c>
      <c r="H2272" s="27">
        <f t="shared" si="70"/>
        <v>163905.96</v>
      </c>
      <c r="I2272" s="18">
        <v>155710.66</v>
      </c>
      <c r="J2272" s="27">
        <v>163905.96</v>
      </c>
      <c r="K2272" s="18">
        <f t="shared" si="71"/>
        <v>163905.96</v>
      </c>
      <c r="L2272" s="27">
        <v>155710.66</v>
      </c>
      <c r="M2272" s="36">
        <v>0</v>
      </c>
      <c r="T2272" s="41">
        <v>0</v>
      </c>
      <c r="U2272" s="41">
        <v>0</v>
      </c>
      <c r="V2272" s="42" t="s">
        <v>113</v>
      </c>
      <c r="W2272" s="42">
        <v>163905.96</v>
      </c>
      <c r="X2272" s="42">
        <v>163905.96</v>
      </c>
    </row>
    <row r="2273" spans="1:24">
      <c r="A2273" s="27" t="s">
        <v>4264</v>
      </c>
      <c r="B2273" s="28" t="s">
        <v>215</v>
      </c>
      <c r="C2273" s="27" t="s">
        <v>4265</v>
      </c>
      <c r="D2273" s="27" t="s">
        <v>112</v>
      </c>
      <c r="E2273" s="29">
        <v>39813</v>
      </c>
      <c r="F2273" s="27">
        <v>15</v>
      </c>
      <c r="G2273" s="18">
        <v>5300</v>
      </c>
      <c r="H2273" s="27">
        <f t="shared" si="70"/>
        <v>5300</v>
      </c>
      <c r="I2273" s="18">
        <v>5035</v>
      </c>
      <c r="J2273" s="27">
        <v>5300</v>
      </c>
      <c r="K2273" s="18">
        <f t="shared" si="71"/>
        <v>5300</v>
      </c>
      <c r="L2273" s="27">
        <v>5035</v>
      </c>
      <c r="M2273" s="36">
        <v>0</v>
      </c>
      <c r="T2273" s="41">
        <v>0</v>
      </c>
      <c r="U2273" s="41">
        <v>0</v>
      </c>
      <c r="V2273" s="42" t="s">
        <v>113</v>
      </c>
      <c r="W2273" s="42">
        <v>5300</v>
      </c>
      <c r="X2273" s="42">
        <v>5300</v>
      </c>
    </row>
    <row r="2274" spans="1:24">
      <c r="A2274" s="27" t="s">
        <v>4266</v>
      </c>
      <c r="B2274" s="28" t="s">
        <v>215</v>
      </c>
      <c r="C2274" s="27" t="s">
        <v>4267</v>
      </c>
      <c r="D2274" s="27" t="s">
        <v>112</v>
      </c>
      <c r="E2274" s="29">
        <v>39813</v>
      </c>
      <c r="F2274" s="27">
        <v>15</v>
      </c>
      <c r="G2274" s="18">
        <v>5300</v>
      </c>
      <c r="H2274" s="27">
        <f t="shared" si="70"/>
        <v>5300</v>
      </c>
      <c r="I2274" s="18">
        <v>5035</v>
      </c>
      <c r="J2274" s="27">
        <v>5300</v>
      </c>
      <c r="K2274" s="18">
        <f t="shared" si="71"/>
        <v>5300</v>
      </c>
      <c r="L2274" s="27">
        <v>5035</v>
      </c>
      <c r="M2274" s="36">
        <v>0</v>
      </c>
      <c r="T2274" s="41">
        <v>0</v>
      </c>
      <c r="U2274" s="41">
        <v>0</v>
      </c>
      <c r="V2274" s="42" t="s">
        <v>113</v>
      </c>
      <c r="W2274" s="42">
        <v>5300</v>
      </c>
      <c r="X2274" s="42">
        <v>5300</v>
      </c>
    </row>
    <row r="2275" spans="1:24">
      <c r="A2275" s="27" t="s">
        <v>4268</v>
      </c>
      <c r="B2275" s="28" t="s">
        <v>215</v>
      </c>
      <c r="C2275" s="27" t="s">
        <v>1011</v>
      </c>
      <c r="D2275" s="27" t="s">
        <v>230</v>
      </c>
      <c r="E2275" s="29">
        <v>39813</v>
      </c>
      <c r="F2275" s="27">
        <v>15</v>
      </c>
      <c r="G2275" s="18">
        <v>132195.09</v>
      </c>
      <c r="H2275" s="27">
        <f t="shared" si="70"/>
        <v>132195.09</v>
      </c>
      <c r="I2275" s="18">
        <v>125585.33</v>
      </c>
      <c r="J2275" s="27">
        <v>132195.09</v>
      </c>
      <c r="K2275" s="18">
        <f t="shared" si="71"/>
        <v>132195.09</v>
      </c>
      <c r="L2275" s="27">
        <v>125585.33</v>
      </c>
      <c r="M2275" s="36">
        <v>0</v>
      </c>
      <c r="T2275" s="41">
        <v>0</v>
      </c>
      <c r="U2275" s="41">
        <v>0</v>
      </c>
      <c r="V2275" s="42" t="s">
        <v>113</v>
      </c>
      <c r="W2275" s="42">
        <v>132195.09</v>
      </c>
      <c r="X2275" s="42">
        <v>132195.09</v>
      </c>
    </row>
    <row r="2276" spans="1:24">
      <c r="A2276" s="27" t="s">
        <v>4269</v>
      </c>
      <c r="B2276" s="28" t="s">
        <v>215</v>
      </c>
      <c r="C2276" s="27" t="s">
        <v>955</v>
      </c>
      <c r="D2276" s="27" t="s">
        <v>230</v>
      </c>
      <c r="E2276" s="29">
        <v>39813</v>
      </c>
      <c r="F2276" s="27">
        <v>15</v>
      </c>
      <c r="G2276" s="18">
        <v>132195.09</v>
      </c>
      <c r="H2276" s="27">
        <f t="shared" si="70"/>
        <v>132195.09</v>
      </c>
      <c r="I2276" s="18">
        <v>125585.33</v>
      </c>
      <c r="J2276" s="27">
        <v>132195.09</v>
      </c>
      <c r="K2276" s="18">
        <f t="shared" si="71"/>
        <v>132195.09</v>
      </c>
      <c r="L2276" s="27">
        <v>125585.33</v>
      </c>
      <c r="M2276" s="36">
        <v>0</v>
      </c>
      <c r="T2276" s="41">
        <v>0</v>
      </c>
      <c r="U2276" s="41">
        <v>0</v>
      </c>
      <c r="V2276" s="42" t="s">
        <v>113</v>
      </c>
      <c r="W2276" s="42">
        <v>132195.09</v>
      </c>
      <c r="X2276" s="42">
        <v>132195.09</v>
      </c>
    </row>
    <row r="2277" spans="1:24">
      <c r="A2277" s="27" t="s">
        <v>4270</v>
      </c>
      <c r="B2277" s="28" t="s">
        <v>215</v>
      </c>
      <c r="C2277" s="27" t="s">
        <v>1237</v>
      </c>
      <c r="D2277" s="27" t="s">
        <v>230</v>
      </c>
      <c r="E2277" s="29">
        <v>39813</v>
      </c>
      <c r="F2277" s="27">
        <v>15</v>
      </c>
      <c r="G2277" s="18">
        <v>132195.09</v>
      </c>
      <c r="H2277" s="27">
        <f t="shared" si="70"/>
        <v>132195.09</v>
      </c>
      <c r="I2277" s="18">
        <v>125585.33</v>
      </c>
      <c r="J2277" s="27">
        <v>132195.09</v>
      </c>
      <c r="K2277" s="18">
        <f t="shared" si="71"/>
        <v>132195.09</v>
      </c>
      <c r="L2277" s="27">
        <v>125585.33</v>
      </c>
      <c r="M2277" s="36">
        <v>0</v>
      </c>
      <c r="T2277" s="41">
        <v>0</v>
      </c>
      <c r="U2277" s="41">
        <v>0</v>
      </c>
      <c r="V2277" s="42" t="s">
        <v>113</v>
      </c>
      <c r="W2277" s="42">
        <v>132195.09</v>
      </c>
      <c r="X2277" s="42">
        <v>132195.09</v>
      </c>
    </row>
    <row r="2278" spans="1:24">
      <c r="A2278" s="27" t="s">
        <v>4271</v>
      </c>
      <c r="B2278" s="28" t="s">
        <v>215</v>
      </c>
      <c r="C2278" s="27" t="s">
        <v>4272</v>
      </c>
      <c r="D2278" s="27" t="s">
        <v>230</v>
      </c>
      <c r="E2278" s="29">
        <v>39813</v>
      </c>
      <c r="F2278" s="27">
        <v>15</v>
      </c>
      <c r="G2278" s="18">
        <v>132195.09</v>
      </c>
      <c r="H2278" s="27">
        <f t="shared" si="70"/>
        <v>132195.09</v>
      </c>
      <c r="I2278" s="18">
        <v>125585.33</v>
      </c>
      <c r="J2278" s="27">
        <v>132195.09</v>
      </c>
      <c r="K2278" s="18">
        <f t="shared" si="71"/>
        <v>132195.09</v>
      </c>
      <c r="L2278" s="27">
        <v>125585.33</v>
      </c>
      <c r="M2278" s="36">
        <v>0</v>
      </c>
      <c r="T2278" s="41">
        <v>0</v>
      </c>
      <c r="U2278" s="41">
        <v>0</v>
      </c>
      <c r="V2278" s="42" t="s">
        <v>113</v>
      </c>
      <c r="W2278" s="42">
        <v>132195.09</v>
      </c>
      <c r="X2278" s="42">
        <v>132195.09</v>
      </c>
    </row>
    <row r="2279" spans="1:24">
      <c r="A2279" s="27" t="s">
        <v>4273</v>
      </c>
      <c r="B2279" s="28" t="s">
        <v>215</v>
      </c>
      <c r="C2279" s="27" t="s">
        <v>4274</v>
      </c>
      <c r="D2279" s="27" t="s">
        <v>230</v>
      </c>
      <c r="E2279" s="29">
        <v>39813</v>
      </c>
      <c r="F2279" s="27">
        <v>15</v>
      </c>
      <c r="G2279" s="18">
        <v>62284.09</v>
      </c>
      <c r="H2279" s="27">
        <f t="shared" si="70"/>
        <v>62284.09</v>
      </c>
      <c r="I2279" s="18">
        <v>59169.89</v>
      </c>
      <c r="J2279" s="27">
        <v>62284.09</v>
      </c>
      <c r="K2279" s="18">
        <f t="shared" si="71"/>
        <v>62284.09</v>
      </c>
      <c r="L2279" s="27">
        <v>59169.89</v>
      </c>
      <c r="M2279" s="36">
        <v>0</v>
      </c>
      <c r="T2279" s="41">
        <v>0</v>
      </c>
      <c r="U2279" s="41">
        <v>0</v>
      </c>
      <c r="V2279" s="42" t="s">
        <v>113</v>
      </c>
      <c r="W2279" s="42">
        <v>62284.09</v>
      </c>
      <c r="X2279" s="42">
        <v>62284.09</v>
      </c>
    </row>
    <row r="2280" spans="1:24">
      <c r="A2280" s="27" t="s">
        <v>4275</v>
      </c>
      <c r="B2280" s="28" t="s">
        <v>215</v>
      </c>
      <c r="C2280" s="27" t="s">
        <v>4276</v>
      </c>
      <c r="D2280" s="27" t="s">
        <v>230</v>
      </c>
      <c r="E2280" s="29">
        <v>39813</v>
      </c>
      <c r="F2280" s="27">
        <v>12</v>
      </c>
      <c r="G2280" s="18">
        <v>478.12</v>
      </c>
      <c r="H2280" s="27">
        <f t="shared" si="70"/>
        <v>478.12</v>
      </c>
      <c r="I2280" s="18">
        <v>454.21</v>
      </c>
      <c r="J2280" s="27">
        <v>478.12</v>
      </c>
      <c r="K2280" s="18">
        <f t="shared" si="71"/>
        <v>478.12</v>
      </c>
      <c r="L2280" s="27">
        <v>454.21</v>
      </c>
      <c r="M2280" s="36">
        <v>0</v>
      </c>
      <c r="T2280" s="41">
        <v>0</v>
      </c>
      <c r="U2280" s="41">
        <v>0</v>
      </c>
      <c r="V2280" s="42" t="s">
        <v>113</v>
      </c>
      <c r="W2280" s="42">
        <v>478.12</v>
      </c>
      <c r="X2280" s="42">
        <v>478.12</v>
      </c>
    </row>
    <row r="2281" spans="1:24">
      <c r="A2281" s="27" t="s">
        <v>4277</v>
      </c>
      <c r="B2281" s="28" t="s">
        <v>215</v>
      </c>
      <c r="C2281" s="27" t="s">
        <v>4278</v>
      </c>
      <c r="D2281" s="27" t="s">
        <v>230</v>
      </c>
      <c r="E2281" s="29">
        <v>39813</v>
      </c>
      <c r="F2281" s="27">
        <v>15</v>
      </c>
      <c r="G2281" s="18">
        <v>478.12</v>
      </c>
      <c r="H2281" s="27">
        <f t="shared" si="70"/>
        <v>478.12</v>
      </c>
      <c r="I2281" s="18">
        <v>454.21</v>
      </c>
      <c r="J2281" s="27">
        <v>478.12</v>
      </c>
      <c r="K2281" s="18">
        <f t="shared" si="71"/>
        <v>478.12</v>
      </c>
      <c r="L2281" s="27">
        <v>454.21</v>
      </c>
      <c r="M2281" s="36">
        <v>0</v>
      </c>
      <c r="T2281" s="41">
        <v>0</v>
      </c>
      <c r="U2281" s="41">
        <v>0</v>
      </c>
      <c r="V2281" s="42" t="s">
        <v>113</v>
      </c>
      <c r="W2281" s="42">
        <v>478.12</v>
      </c>
      <c r="X2281" s="42">
        <v>478.12</v>
      </c>
    </row>
    <row r="2282" spans="1:24">
      <c r="A2282" s="27" t="s">
        <v>4279</v>
      </c>
      <c r="B2282" s="28" t="s">
        <v>215</v>
      </c>
      <c r="C2282" s="27" t="s">
        <v>4280</v>
      </c>
      <c r="D2282" s="27" t="s">
        <v>230</v>
      </c>
      <c r="E2282" s="29">
        <v>39813</v>
      </c>
      <c r="F2282" s="27">
        <v>15</v>
      </c>
      <c r="G2282" s="18">
        <v>478.12</v>
      </c>
      <c r="H2282" s="27">
        <f t="shared" si="70"/>
        <v>478.12</v>
      </c>
      <c r="I2282" s="18">
        <v>454.21</v>
      </c>
      <c r="J2282" s="27">
        <v>478.12</v>
      </c>
      <c r="K2282" s="18">
        <f t="shared" si="71"/>
        <v>478.12</v>
      </c>
      <c r="L2282" s="27">
        <v>454.21</v>
      </c>
      <c r="M2282" s="36">
        <v>0</v>
      </c>
      <c r="T2282" s="41">
        <v>0</v>
      </c>
      <c r="U2282" s="41">
        <v>0</v>
      </c>
      <c r="V2282" s="42" t="s">
        <v>113</v>
      </c>
      <c r="W2282" s="42">
        <v>478.12</v>
      </c>
      <c r="X2282" s="42">
        <v>478.12</v>
      </c>
    </row>
    <row r="2283" spans="1:24">
      <c r="A2283" s="27" t="s">
        <v>4281</v>
      </c>
      <c r="B2283" s="28" t="s">
        <v>215</v>
      </c>
      <c r="C2283" s="27" t="s">
        <v>4282</v>
      </c>
      <c r="D2283" s="27" t="s">
        <v>230</v>
      </c>
      <c r="E2283" s="29">
        <v>39813</v>
      </c>
      <c r="F2283" s="27">
        <v>15</v>
      </c>
      <c r="G2283" s="18">
        <v>478.12</v>
      </c>
      <c r="H2283" s="27">
        <f t="shared" si="70"/>
        <v>478.12</v>
      </c>
      <c r="I2283" s="18">
        <v>454.21</v>
      </c>
      <c r="J2283" s="27">
        <v>478.12</v>
      </c>
      <c r="K2283" s="18">
        <f t="shared" si="71"/>
        <v>478.12</v>
      </c>
      <c r="L2283" s="27">
        <v>454.21</v>
      </c>
      <c r="M2283" s="36">
        <v>0</v>
      </c>
      <c r="T2283" s="41">
        <v>0</v>
      </c>
      <c r="U2283" s="41">
        <v>0</v>
      </c>
      <c r="V2283" s="42" t="s">
        <v>113</v>
      </c>
      <c r="W2283" s="42">
        <v>478.12</v>
      </c>
      <c r="X2283" s="42">
        <v>478.12</v>
      </c>
    </row>
    <row r="2284" spans="1:24">
      <c r="A2284" s="27" t="s">
        <v>4283</v>
      </c>
      <c r="B2284" s="28" t="s">
        <v>215</v>
      </c>
      <c r="C2284" s="27" t="s">
        <v>4284</v>
      </c>
      <c r="D2284" s="27" t="s">
        <v>230</v>
      </c>
      <c r="E2284" s="29">
        <v>39813</v>
      </c>
      <c r="F2284" s="27">
        <v>15</v>
      </c>
      <c r="G2284" s="18">
        <v>3780</v>
      </c>
      <c r="H2284" s="27">
        <f t="shared" si="70"/>
        <v>3780</v>
      </c>
      <c r="I2284" s="18">
        <v>3591</v>
      </c>
      <c r="J2284" s="27">
        <v>3780</v>
      </c>
      <c r="K2284" s="18">
        <f t="shared" si="71"/>
        <v>3780</v>
      </c>
      <c r="L2284" s="27">
        <v>3591</v>
      </c>
      <c r="M2284" s="36">
        <v>0</v>
      </c>
      <c r="T2284" s="41">
        <v>0</v>
      </c>
      <c r="U2284" s="41">
        <v>0</v>
      </c>
      <c r="V2284" s="42" t="s">
        <v>113</v>
      </c>
      <c r="W2284" s="42">
        <v>3780</v>
      </c>
      <c r="X2284" s="42">
        <v>3780</v>
      </c>
    </row>
    <row r="2285" spans="1:24">
      <c r="A2285" s="27" t="s">
        <v>4285</v>
      </c>
      <c r="B2285" s="28" t="s">
        <v>215</v>
      </c>
      <c r="C2285" s="27" t="s">
        <v>4286</v>
      </c>
      <c r="D2285" s="27" t="s">
        <v>230</v>
      </c>
      <c r="E2285" s="29">
        <v>39813</v>
      </c>
      <c r="F2285" s="27">
        <v>15</v>
      </c>
      <c r="G2285" s="18">
        <v>3780</v>
      </c>
      <c r="H2285" s="27">
        <f t="shared" si="70"/>
        <v>3780</v>
      </c>
      <c r="I2285" s="18">
        <v>3591</v>
      </c>
      <c r="J2285" s="27">
        <v>3780</v>
      </c>
      <c r="K2285" s="18">
        <f t="shared" si="71"/>
        <v>3780</v>
      </c>
      <c r="L2285" s="27">
        <v>3591</v>
      </c>
      <c r="M2285" s="36">
        <v>0</v>
      </c>
      <c r="T2285" s="41">
        <v>0</v>
      </c>
      <c r="U2285" s="41">
        <v>0</v>
      </c>
      <c r="V2285" s="42" t="s">
        <v>113</v>
      </c>
      <c r="W2285" s="42">
        <v>3780</v>
      </c>
      <c r="X2285" s="42">
        <v>3780</v>
      </c>
    </row>
    <row r="2286" spans="1:24">
      <c r="A2286" s="27" t="s">
        <v>4287</v>
      </c>
      <c r="B2286" s="28" t="s">
        <v>215</v>
      </c>
      <c r="C2286" s="27" t="s">
        <v>4288</v>
      </c>
      <c r="D2286" s="27" t="s">
        <v>230</v>
      </c>
      <c r="E2286" s="29">
        <v>39813</v>
      </c>
      <c r="F2286" s="27">
        <v>15</v>
      </c>
      <c r="G2286" s="18">
        <v>3780</v>
      </c>
      <c r="H2286" s="27">
        <f t="shared" si="70"/>
        <v>3780</v>
      </c>
      <c r="I2286" s="18">
        <v>3591</v>
      </c>
      <c r="J2286" s="27">
        <v>3780</v>
      </c>
      <c r="K2286" s="18">
        <f t="shared" si="71"/>
        <v>3780</v>
      </c>
      <c r="L2286" s="27">
        <v>3591</v>
      </c>
      <c r="M2286" s="36">
        <v>0</v>
      </c>
      <c r="T2286" s="41">
        <v>0</v>
      </c>
      <c r="U2286" s="41">
        <v>0</v>
      </c>
      <c r="V2286" s="42" t="s">
        <v>113</v>
      </c>
      <c r="W2286" s="42">
        <v>3780</v>
      </c>
      <c r="X2286" s="42">
        <v>3780</v>
      </c>
    </row>
    <row r="2287" spans="1:24">
      <c r="A2287" s="27" t="s">
        <v>4289</v>
      </c>
      <c r="B2287" s="28" t="s">
        <v>215</v>
      </c>
      <c r="C2287" s="27" t="s">
        <v>4290</v>
      </c>
      <c r="D2287" s="27" t="s">
        <v>230</v>
      </c>
      <c r="E2287" s="29">
        <v>39813</v>
      </c>
      <c r="F2287" s="27">
        <v>15</v>
      </c>
      <c r="G2287" s="18">
        <v>3780</v>
      </c>
      <c r="H2287" s="27">
        <f t="shared" si="70"/>
        <v>3780</v>
      </c>
      <c r="I2287" s="18">
        <v>3591</v>
      </c>
      <c r="J2287" s="27">
        <v>3780</v>
      </c>
      <c r="K2287" s="18">
        <f t="shared" si="71"/>
        <v>3780</v>
      </c>
      <c r="L2287" s="27">
        <v>3591</v>
      </c>
      <c r="M2287" s="36">
        <v>0</v>
      </c>
      <c r="T2287" s="41">
        <v>0</v>
      </c>
      <c r="U2287" s="41">
        <v>0</v>
      </c>
      <c r="V2287" s="42" t="s">
        <v>113</v>
      </c>
      <c r="W2287" s="42">
        <v>3780</v>
      </c>
      <c r="X2287" s="42">
        <v>3780</v>
      </c>
    </row>
    <row r="2288" spans="1:24">
      <c r="A2288" s="27" t="s">
        <v>4291</v>
      </c>
      <c r="B2288" s="28" t="s">
        <v>215</v>
      </c>
      <c r="C2288" s="27" t="s">
        <v>4292</v>
      </c>
      <c r="D2288" s="27" t="s">
        <v>112</v>
      </c>
      <c r="E2288" s="29">
        <v>39813</v>
      </c>
      <c r="F2288" s="27">
        <v>15</v>
      </c>
      <c r="G2288" s="18">
        <v>478.12</v>
      </c>
      <c r="H2288" s="27">
        <f t="shared" si="70"/>
        <v>478.12</v>
      </c>
      <c r="I2288" s="18">
        <v>454.21</v>
      </c>
      <c r="J2288" s="27">
        <v>478.12</v>
      </c>
      <c r="K2288" s="18">
        <f t="shared" si="71"/>
        <v>478.12</v>
      </c>
      <c r="L2288" s="27">
        <v>454.21</v>
      </c>
      <c r="M2288" s="36">
        <v>0</v>
      </c>
      <c r="T2288" s="41">
        <v>0</v>
      </c>
      <c r="U2288" s="41">
        <v>0</v>
      </c>
      <c r="V2288" s="42" t="s">
        <v>113</v>
      </c>
      <c r="W2288" s="42">
        <v>478.12</v>
      </c>
      <c r="X2288" s="42">
        <v>478.12</v>
      </c>
    </row>
    <row r="2289" spans="1:24">
      <c r="A2289" s="27" t="s">
        <v>4293</v>
      </c>
      <c r="B2289" s="28" t="s">
        <v>215</v>
      </c>
      <c r="C2289" s="27" t="s">
        <v>4294</v>
      </c>
      <c r="D2289" s="27" t="s">
        <v>112</v>
      </c>
      <c r="E2289" s="29">
        <v>39813</v>
      </c>
      <c r="F2289" s="27">
        <v>15</v>
      </c>
      <c r="G2289" s="18">
        <v>478.12</v>
      </c>
      <c r="H2289" s="27">
        <f t="shared" si="70"/>
        <v>478.12</v>
      </c>
      <c r="I2289" s="18">
        <v>454.21</v>
      </c>
      <c r="J2289" s="27">
        <v>478.12</v>
      </c>
      <c r="K2289" s="18">
        <f t="shared" si="71"/>
        <v>478.12</v>
      </c>
      <c r="L2289" s="27">
        <v>454.21</v>
      </c>
      <c r="M2289" s="36">
        <v>0</v>
      </c>
      <c r="T2289" s="41">
        <v>0</v>
      </c>
      <c r="U2289" s="41">
        <v>0</v>
      </c>
      <c r="V2289" s="42" t="s">
        <v>113</v>
      </c>
      <c r="W2289" s="42">
        <v>478.12</v>
      </c>
      <c r="X2289" s="42">
        <v>478.12</v>
      </c>
    </row>
    <row r="2290" spans="1:24">
      <c r="A2290" s="27" t="s">
        <v>4295</v>
      </c>
      <c r="B2290" s="28" t="s">
        <v>215</v>
      </c>
      <c r="C2290" s="27" t="s">
        <v>4296</v>
      </c>
      <c r="D2290" s="27" t="s">
        <v>112</v>
      </c>
      <c r="E2290" s="29">
        <v>39813</v>
      </c>
      <c r="F2290" s="27">
        <v>15</v>
      </c>
      <c r="G2290" s="18">
        <v>478.12</v>
      </c>
      <c r="H2290" s="27">
        <f t="shared" si="70"/>
        <v>478.12</v>
      </c>
      <c r="I2290" s="18">
        <v>454.21</v>
      </c>
      <c r="J2290" s="27">
        <v>478.12</v>
      </c>
      <c r="K2290" s="18">
        <f t="shared" si="71"/>
        <v>478.12</v>
      </c>
      <c r="L2290" s="27">
        <v>454.21</v>
      </c>
      <c r="M2290" s="36">
        <v>0</v>
      </c>
      <c r="T2290" s="41">
        <v>0</v>
      </c>
      <c r="U2290" s="41">
        <v>0</v>
      </c>
      <c r="V2290" s="42" t="s">
        <v>113</v>
      </c>
      <c r="W2290" s="42">
        <v>478.12</v>
      </c>
      <c r="X2290" s="42">
        <v>478.12</v>
      </c>
    </row>
    <row r="2291" spans="1:24">
      <c r="A2291" s="27" t="s">
        <v>4297</v>
      </c>
      <c r="B2291" s="28" t="s">
        <v>215</v>
      </c>
      <c r="C2291" s="27" t="s">
        <v>4298</v>
      </c>
      <c r="D2291" s="27" t="s">
        <v>112</v>
      </c>
      <c r="E2291" s="29">
        <v>39813</v>
      </c>
      <c r="F2291" s="27">
        <v>15</v>
      </c>
      <c r="G2291" s="18">
        <v>478.12</v>
      </c>
      <c r="H2291" s="27">
        <f t="shared" si="70"/>
        <v>478.12</v>
      </c>
      <c r="I2291" s="18">
        <v>454.21</v>
      </c>
      <c r="J2291" s="27">
        <v>478.12</v>
      </c>
      <c r="K2291" s="18">
        <f t="shared" si="71"/>
        <v>478.12</v>
      </c>
      <c r="L2291" s="27">
        <v>454.21</v>
      </c>
      <c r="M2291" s="36">
        <v>0</v>
      </c>
      <c r="T2291" s="41">
        <v>0</v>
      </c>
      <c r="U2291" s="41">
        <v>0</v>
      </c>
      <c r="V2291" s="42" t="s">
        <v>113</v>
      </c>
      <c r="W2291" s="42">
        <v>478.12</v>
      </c>
      <c r="X2291" s="42">
        <v>478.12</v>
      </c>
    </row>
    <row r="2292" spans="1:24">
      <c r="A2292" s="27" t="s">
        <v>4299</v>
      </c>
      <c r="B2292" s="28" t="s">
        <v>215</v>
      </c>
      <c r="C2292" s="27" t="s">
        <v>4300</v>
      </c>
      <c r="D2292" s="27" t="s">
        <v>112</v>
      </c>
      <c r="E2292" s="29">
        <v>39813</v>
      </c>
      <c r="F2292" s="27">
        <v>15</v>
      </c>
      <c r="G2292" s="18">
        <v>478.12</v>
      </c>
      <c r="H2292" s="27">
        <f t="shared" si="70"/>
        <v>478.12</v>
      </c>
      <c r="I2292" s="18">
        <v>454.21</v>
      </c>
      <c r="J2292" s="27">
        <v>478.12</v>
      </c>
      <c r="K2292" s="18">
        <f t="shared" si="71"/>
        <v>478.12</v>
      </c>
      <c r="L2292" s="27">
        <v>454.21</v>
      </c>
      <c r="M2292" s="36">
        <v>0</v>
      </c>
      <c r="T2292" s="41">
        <v>0</v>
      </c>
      <c r="U2292" s="41">
        <v>0</v>
      </c>
      <c r="V2292" s="42" t="s">
        <v>113</v>
      </c>
      <c r="W2292" s="42">
        <v>478.12</v>
      </c>
      <c r="X2292" s="42">
        <v>478.12</v>
      </c>
    </row>
    <row r="2293" spans="1:24">
      <c r="A2293" s="27" t="s">
        <v>4301</v>
      </c>
      <c r="B2293" s="28" t="s">
        <v>215</v>
      </c>
      <c r="C2293" s="27" t="s">
        <v>4302</v>
      </c>
      <c r="D2293" s="27" t="s">
        <v>112</v>
      </c>
      <c r="E2293" s="29">
        <v>39813</v>
      </c>
      <c r="F2293" s="27">
        <v>15</v>
      </c>
      <c r="G2293" s="18">
        <v>478.12</v>
      </c>
      <c r="H2293" s="27">
        <f t="shared" si="70"/>
        <v>478.12</v>
      </c>
      <c r="I2293" s="18">
        <v>454.21</v>
      </c>
      <c r="J2293" s="27">
        <v>478.12</v>
      </c>
      <c r="K2293" s="18">
        <f t="shared" si="71"/>
        <v>478.12</v>
      </c>
      <c r="L2293" s="27">
        <v>454.21</v>
      </c>
      <c r="M2293" s="36">
        <v>0</v>
      </c>
      <c r="T2293" s="41">
        <v>0</v>
      </c>
      <c r="U2293" s="41">
        <v>0</v>
      </c>
      <c r="V2293" s="42" t="s">
        <v>113</v>
      </c>
      <c r="W2293" s="42">
        <v>478.12</v>
      </c>
      <c r="X2293" s="42">
        <v>478.12</v>
      </c>
    </row>
    <row r="2294" spans="1:24">
      <c r="A2294" s="27" t="s">
        <v>4303</v>
      </c>
      <c r="B2294" s="28" t="s">
        <v>215</v>
      </c>
      <c r="C2294" s="27" t="s">
        <v>4304</v>
      </c>
      <c r="D2294" s="27" t="s">
        <v>112</v>
      </c>
      <c r="E2294" s="29">
        <v>39813</v>
      </c>
      <c r="F2294" s="27">
        <v>15</v>
      </c>
      <c r="G2294" s="18">
        <v>478.12</v>
      </c>
      <c r="H2294" s="27">
        <f t="shared" si="70"/>
        <v>478.12</v>
      </c>
      <c r="I2294" s="18">
        <v>454.21</v>
      </c>
      <c r="J2294" s="27">
        <v>478.12</v>
      </c>
      <c r="K2294" s="18">
        <f t="shared" si="71"/>
        <v>478.12</v>
      </c>
      <c r="L2294" s="27">
        <v>454.21</v>
      </c>
      <c r="M2294" s="36">
        <v>0</v>
      </c>
      <c r="T2294" s="41">
        <v>0</v>
      </c>
      <c r="U2294" s="41">
        <v>0</v>
      </c>
      <c r="V2294" s="42" t="s">
        <v>113</v>
      </c>
      <c r="W2294" s="42">
        <v>478.12</v>
      </c>
      <c r="X2294" s="42">
        <v>478.12</v>
      </c>
    </row>
    <row r="2295" spans="1:24">
      <c r="A2295" s="27" t="s">
        <v>4305</v>
      </c>
      <c r="B2295" s="28" t="s">
        <v>215</v>
      </c>
      <c r="C2295" s="27" t="s">
        <v>4306</v>
      </c>
      <c r="D2295" s="27" t="s">
        <v>112</v>
      </c>
      <c r="E2295" s="29">
        <v>39813</v>
      </c>
      <c r="F2295" s="27">
        <v>15</v>
      </c>
      <c r="G2295" s="18">
        <v>478.12</v>
      </c>
      <c r="H2295" s="27">
        <f t="shared" si="70"/>
        <v>478.12</v>
      </c>
      <c r="I2295" s="18">
        <v>454.21</v>
      </c>
      <c r="J2295" s="27">
        <v>478.12</v>
      </c>
      <c r="K2295" s="18">
        <f t="shared" si="71"/>
        <v>478.12</v>
      </c>
      <c r="L2295" s="27">
        <v>454.21</v>
      </c>
      <c r="M2295" s="36">
        <v>0</v>
      </c>
      <c r="T2295" s="41">
        <v>0</v>
      </c>
      <c r="U2295" s="41">
        <v>0</v>
      </c>
      <c r="V2295" s="42" t="s">
        <v>113</v>
      </c>
      <c r="W2295" s="42">
        <v>478.12</v>
      </c>
      <c r="X2295" s="42">
        <v>478.12</v>
      </c>
    </row>
    <row r="2296" spans="1:24">
      <c r="A2296" s="27" t="s">
        <v>4307</v>
      </c>
      <c r="B2296" s="28" t="s">
        <v>215</v>
      </c>
      <c r="C2296" s="27" t="s">
        <v>4308</v>
      </c>
      <c r="D2296" s="27" t="s">
        <v>112</v>
      </c>
      <c r="E2296" s="29">
        <v>39813</v>
      </c>
      <c r="F2296" s="27">
        <v>15</v>
      </c>
      <c r="G2296" s="18">
        <v>478.12</v>
      </c>
      <c r="H2296" s="27">
        <f t="shared" si="70"/>
        <v>478.12</v>
      </c>
      <c r="I2296" s="18">
        <v>454.21</v>
      </c>
      <c r="J2296" s="27">
        <v>478.12</v>
      </c>
      <c r="K2296" s="18">
        <f t="shared" si="71"/>
        <v>478.12</v>
      </c>
      <c r="L2296" s="27">
        <v>454.21</v>
      </c>
      <c r="M2296" s="36">
        <v>0</v>
      </c>
      <c r="T2296" s="41">
        <v>0</v>
      </c>
      <c r="U2296" s="41">
        <v>0</v>
      </c>
      <c r="V2296" s="42" t="s">
        <v>113</v>
      </c>
      <c r="W2296" s="42">
        <v>478.12</v>
      </c>
      <c r="X2296" s="42">
        <v>478.12</v>
      </c>
    </row>
    <row r="2297" spans="1:24">
      <c r="A2297" s="27" t="s">
        <v>4309</v>
      </c>
      <c r="B2297" s="28" t="s">
        <v>215</v>
      </c>
      <c r="C2297" s="27" t="s">
        <v>4310</v>
      </c>
      <c r="D2297" s="27" t="s">
        <v>112</v>
      </c>
      <c r="E2297" s="29">
        <v>39813</v>
      </c>
      <c r="F2297" s="27">
        <v>15</v>
      </c>
      <c r="G2297" s="18">
        <v>478.12</v>
      </c>
      <c r="H2297" s="27">
        <f t="shared" si="70"/>
        <v>478.12</v>
      </c>
      <c r="I2297" s="18">
        <v>454.21</v>
      </c>
      <c r="J2297" s="27">
        <v>478.12</v>
      </c>
      <c r="K2297" s="18">
        <f t="shared" si="71"/>
        <v>478.12</v>
      </c>
      <c r="L2297" s="27">
        <v>454.21</v>
      </c>
      <c r="M2297" s="36">
        <v>0</v>
      </c>
      <c r="T2297" s="41">
        <v>0</v>
      </c>
      <c r="U2297" s="41">
        <v>0</v>
      </c>
      <c r="V2297" s="42" t="s">
        <v>113</v>
      </c>
      <c r="W2297" s="42">
        <v>478.12</v>
      </c>
      <c r="X2297" s="42">
        <v>478.12</v>
      </c>
    </row>
    <row r="2298" spans="1:24">
      <c r="A2298" s="27" t="s">
        <v>4311</v>
      </c>
      <c r="B2298" s="28" t="s">
        <v>215</v>
      </c>
      <c r="C2298" s="27" t="s">
        <v>4312</v>
      </c>
      <c r="D2298" s="27" t="s">
        <v>112</v>
      </c>
      <c r="E2298" s="29">
        <v>39813</v>
      </c>
      <c r="F2298" s="27">
        <v>15</v>
      </c>
      <c r="G2298" s="18">
        <v>478.12</v>
      </c>
      <c r="H2298" s="27">
        <f t="shared" si="70"/>
        <v>478.12</v>
      </c>
      <c r="I2298" s="18">
        <v>454.21</v>
      </c>
      <c r="J2298" s="27">
        <v>478.12</v>
      </c>
      <c r="K2298" s="18">
        <f t="shared" si="71"/>
        <v>478.12</v>
      </c>
      <c r="L2298" s="27">
        <v>454.21</v>
      </c>
      <c r="M2298" s="36">
        <v>0</v>
      </c>
      <c r="T2298" s="41">
        <v>0</v>
      </c>
      <c r="U2298" s="41">
        <v>0</v>
      </c>
      <c r="V2298" s="42" t="s">
        <v>113</v>
      </c>
      <c r="W2298" s="42">
        <v>478.12</v>
      </c>
      <c r="X2298" s="42">
        <v>478.12</v>
      </c>
    </row>
    <row r="2299" spans="1:24">
      <c r="A2299" s="27" t="s">
        <v>4313</v>
      </c>
      <c r="B2299" s="28" t="s">
        <v>215</v>
      </c>
      <c r="C2299" s="27" t="s">
        <v>4314</v>
      </c>
      <c r="D2299" s="27" t="s">
        <v>112</v>
      </c>
      <c r="E2299" s="29">
        <v>39813</v>
      </c>
      <c r="F2299" s="27">
        <v>15</v>
      </c>
      <c r="G2299" s="18">
        <v>478.12</v>
      </c>
      <c r="H2299" s="27">
        <f t="shared" si="70"/>
        <v>478.12</v>
      </c>
      <c r="I2299" s="18">
        <v>454.21</v>
      </c>
      <c r="J2299" s="27">
        <v>478.12</v>
      </c>
      <c r="K2299" s="18">
        <f t="shared" si="71"/>
        <v>478.12</v>
      </c>
      <c r="L2299" s="27">
        <v>454.21</v>
      </c>
      <c r="M2299" s="36">
        <v>0</v>
      </c>
      <c r="T2299" s="41">
        <v>0</v>
      </c>
      <c r="U2299" s="41">
        <v>0</v>
      </c>
      <c r="V2299" s="42" t="s">
        <v>113</v>
      </c>
      <c r="W2299" s="42">
        <v>478.12</v>
      </c>
      <c r="X2299" s="42">
        <v>478.12</v>
      </c>
    </row>
    <row r="2300" spans="1:24">
      <c r="A2300" s="27" t="s">
        <v>4315</v>
      </c>
      <c r="B2300" s="28" t="s">
        <v>215</v>
      </c>
      <c r="C2300" s="27" t="s">
        <v>4316</v>
      </c>
      <c r="D2300" s="27" t="s">
        <v>112</v>
      </c>
      <c r="E2300" s="29">
        <v>39813</v>
      </c>
      <c r="F2300" s="27">
        <v>15</v>
      </c>
      <c r="G2300" s="18">
        <v>478.12</v>
      </c>
      <c r="H2300" s="27">
        <f t="shared" si="70"/>
        <v>478.12</v>
      </c>
      <c r="I2300" s="18">
        <v>454.21</v>
      </c>
      <c r="J2300" s="27">
        <v>478.12</v>
      </c>
      <c r="K2300" s="18">
        <f t="shared" si="71"/>
        <v>478.12</v>
      </c>
      <c r="L2300" s="27">
        <v>454.21</v>
      </c>
      <c r="M2300" s="36">
        <v>0</v>
      </c>
      <c r="T2300" s="41">
        <v>0</v>
      </c>
      <c r="U2300" s="41">
        <v>0</v>
      </c>
      <c r="V2300" s="42" t="s">
        <v>113</v>
      </c>
      <c r="W2300" s="42">
        <v>478.12</v>
      </c>
      <c r="X2300" s="42">
        <v>478.12</v>
      </c>
    </row>
    <row r="2301" spans="1:24">
      <c r="A2301" s="27" t="s">
        <v>4317</v>
      </c>
      <c r="B2301" s="28" t="s">
        <v>215</v>
      </c>
      <c r="C2301" s="27" t="s">
        <v>4318</v>
      </c>
      <c r="D2301" s="27" t="s">
        <v>112</v>
      </c>
      <c r="E2301" s="29">
        <v>39813</v>
      </c>
      <c r="F2301" s="27">
        <v>15</v>
      </c>
      <c r="G2301" s="18">
        <v>478.12</v>
      </c>
      <c r="H2301" s="27">
        <f t="shared" si="70"/>
        <v>478.12</v>
      </c>
      <c r="I2301" s="18">
        <v>454.21</v>
      </c>
      <c r="J2301" s="27">
        <v>478.12</v>
      </c>
      <c r="K2301" s="18">
        <f t="shared" si="71"/>
        <v>478.12</v>
      </c>
      <c r="L2301" s="27">
        <v>454.21</v>
      </c>
      <c r="M2301" s="36">
        <v>0</v>
      </c>
      <c r="T2301" s="41">
        <v>0</v>
      </c>
      <c r="U2301" s="41">
        <v>0</v>
      </c>
      <c r="V2301" s="42" t="s">
        <v>113</v>
      </c>
      <c r="W2301" s="42">
        <v>478.12</v>
      </c>
      <c r="X2301" s="42">
        <v>478.12</v>
      </c>
    </row>
    <row r="2302" spans="1:24">
      <c r="A2302" s="27" t="s">
        <v>4319</v>
      </c>
      <c r="B2302" s="28" t="s">
        <v>215</v>
      </c>
      <c r="C2302" s="27" t="s">
        <v>4320</v>
      </c>
      <c r="D2302" s="27" t="s">
        <v>230</v>
      </c>
      <c r="E2302" s="29">
        <v>41257</v>
      </c>
      <c r="F2302" s="27">
        <v>15</v>
      </c>
      <c r="G2302" s="18">
        <v>107971.74</v>
      </c>
      <c r="H2302" s="27">
        <f t="shared" si="70"/>
        <v>0</v>
      </c>
      <c r="I2302" s="18">
        <v>48722.239999999998</v>
      </c>
      <c r="J2302" s="27">
        <v>107971.74</v>
      </c>
      <c r="K2302" s="18">
        <f t="shared" si="71"/>
        <v>0</v>
      </c>
      <c r="L2302" s="27">
        <v>54705.67</v>
      </c>
      <c r="M2302" s="36">
        <v>5983.43</v>
      </c>
      <c r="T2302" s="41">
        <v>0</v>
      </c>
      <c r="U2302" s="41">
        <v>0</v>
      </c>
      <c r="V2302" s="42" t="s">
        <v>113</v>
      </c>
      <c r="W2302" s="42">
        <v>0</v>
      </c>
      <c r="X2302" s="42">
        <v>0</v>
      </c>
    </row>
    <row r="2303" spans="1:24">
      <c r="A2303" s="27" t="s">
        <v>4321</v>
      </c>
      <c r="B2303" s="28" t="s">
        <v>215</v>
      </c>
      <c r="C2303" s="27" t="s">
        <v>4322</v>
      </c>
      <c r="D2303" s="27" t="s">
        <v>230</v>
      </c>
      <c r="E2303" s="29">
        <v>39813</v>
      </c>
      <c r="F2303" s="27">
        <v>15</v>
      </c>
      <c r="G2303" s="18">
        <v>62284.09</v>
      </c>
      <c r="H2303" s="27">
        <f t="shared" si="70"/>
        <v>62284.09</v>
      </c>
      <c r="I2303" s="18">
        <v>59169.89</v>
      </c>
      <c r="J2303" s="27">
        <v>62284.09</v>
      </c>
      <c r="K2303" s="18">
        <f t="shared" si="71"/>
        <v>62284.09</v>
      </c>
      <c r="L2303" s="27">
        <v>59169.89</v>
      </c>
      <c r="M2303" s="36">
        <v>0</v>
      </c>
      <c r="T2303" s="41">
        <v>0</v>
      </c>
      <c r="U2303" s="41">
        <v>0</v>
      </c>
      <c r="V2303" s="42" t="s">
        <v>113</v>
      </c>
      <c r="W2303" s="42">
        <v>62284.09</v>
      </c>
      <c r="X2303" s="42">
        <v>62284.09</v>
      </c>
    </row>
    <row r="2304" spans="1:24">
      <c r="A2304" s="27" t="s">
        <v>4323</v>
      </c>
      <c r="B2304" s="28" t="s">
        <v>215</v>
      </c>
      <c r="C2304" s="27" t="s">
        <v>4324</v>
      </c>
      <c r="D2304" s="27" t="s">
        <v>230</v>
      </c>
      <c r="E2304" s="29">
        <v>39813</v>
      </c>
      <c r="F2304" s="27">
        <v>15</v>
      </c>
      <c r="G2304" s="18">
        <v>62284.09</v>
      </c>
      <c r="H2304" s="27">
        <f t="shared" si="70"/>
        <v>62284.09</v>
      </c>
      <c r="I2304" s="18">
        <v>59169.89</v>
      </c>
      <c r="J2304" s="27">
        <v>62284.09</v>
      </c>
      <c r="K2304" s="18">
        <f t="shared" si="71"/>
        <v>62284.09</v>
      </c>
      <c r="L2304" s="27">
        <v>59169.89</v>
      </c>
      <c r="M2304" s="36">
        <v>0</v>
      </c>
      <c r="T2304" s="41">
        <v>0</v>
      </c>
      <c r="U2304" s="41">
        <v>0</v>
      </c>
      <c r="V2304" s="42" t="s">
        <v>113</v>
      </c>
      <c r="W2304" s="42">
        <v>62284.09</v>
      </c>
      <c r="X2304" s="42">
        <v>62284.09</v>
      </c>
    </row>
    <row r="2305" spans="1:24">
      <c r="A2305" s="27" t="s">
        <v>4325</v>
      </c>
      <c r="B2305" s="28" t="s">
        <v>215</v>
      </c>
      <c r="C2305" s="27" t="s">
        <v>4326</v>
      </c>
      <c r="D2305" s="27" t="s">
        <v>230</v>
      </c>
      <c r="E2305" s="29">
        <v>39813</v>
      </c>
      <c r="F2305" s="27">
        <v>15</v>
      </c>
      <c r="G2305" s="18">
        <v>62284.09</v>
      </c>
      <c r="H2305" s="27">
        <f t="shared" si="70"/>
        <v>62284.09</v>
      </c>
      <c r="I2305" s="18">
        <v>59169.89</v>
      </c>
      <c r="J2305" s="27">
        <v>62284.09</v>
      </c>
      <c r="K2305" s="18">
        <f t="shared" si="71"/>
        <v>62284.09</v>
      </c>
      <c r="L2305" s="27">
        <v>59169.89</v>
      </c>
      <c r="M2305" s="36">
        <v>0</v>
      </c>
      <c r="T2305" s="41">
        <v>0</v>
      </c>
      <c r="U2305" s="41">
        <v>0</v>
      </c>
      <c r="V2305" s="42" t="s">
        <v>113</v>
      </c>
      <c r="W2305" s="42">
        <v>62284.09</v>
      </c>
      <c r="X2305" s="42">
        <v>62284.09</v>
      </c>
    </row>
    <row r="2306" spans="1:24">
      <c r="A2306" s="27" t="s">
        <v>4327</v>
      </c>
      <c r="B2306" s="28" t="s">
        <v>215</v>
      </c>
      <c r="C2306" s="27" t="s">
        <v>4328</v>
      </c>
      <c r="D2306" s="27" t="s">
        <v>230</v>
      </c>
      <c r="E2306" s="29">
        <v>39813</v>
      </c>
      <c r="F2306" s="27">
        <v>15</v>
      </c>
      <c r="G2306" s="18">
        <v>62284.09</v>
      </c>
      <c r="H2306" s="27">
        <f t="shared" si="70"/>
        <v>62284.09</v>
      </c>
      <c r="I2306" s="18">
        <v>59169.89</v>
      </c>
      <c r="J2306" s="27">
        <v>62284.09</v>
      </c>
      <c r="K2306" s="18">
        <f t="shared" si="71"/>
        <v>62284.09</v>
      </c>
      <c r="L2306" s="27">
        <v>59169.89</v>
      </c>
      <c r="M2306" s="36">
        <v>0</v>
      </c>
      <c r="T2306" s="41">
        <v>0</v>
      </c>
      <c r="U2306" s="41">
        <v>0</v>
      </c>
      <c r="V2306" s="42" t="s">
        <v>113</v>
      </c>
      <c r="W2306" s="42">
        <v>62284.09</v>
      </c>
      <c r="X2306" s="42">
        <v>62284.09</v>
      </c>
    </row>
    <row r="2307" spans="1:24">
      <c r="A2307" s="27" t="s">
        <v>4329</v>
      </c>
      <c r="B2307" s="28" t="s">
        <v>215</v>
      </c>
      <c r="C2307" s="27" t="s">
        <v>1011</v>
      </c>
      <c r="D2307" s="27" t="s">
        <v>230</v>
      </c>
      <c r="E2307" s="29">
        <v>39813</v>
      </c>
      <c r="F2307" s="27">
        <v>15</v>
      </c>
      <c r="G2307" s="18">
        <v>62284.09</v>
      </c>
      <c r="H2307" s="27">
        <f t="shared" si="70"/>
        <v>62284.09</v>
      </c>
      <c r="I2307" s="18">
        <v>59169.89</v>
      </c>
      <c r="J2307" s="27">
        <v>62284.09</v>
      </c>
      <c r="K2307" s="18">
        <f t="shared" si="71"/>
        <v>62284.09</v>
      </c>
      <c r="L2307" s="27">
        <v>59169.89</v>
      </c>
      <c r="M2307" s="36">
        <v>0</v>
      </c>
      <c r="T2307" s="41">
        <v>0</v>
      </c>
      <c r="U2307" s="41">
        <v>0</v>
      </c>
      <c r="V2307" s="42" t="s">
        <v>113</v>
      </c>
      <c r="W2307" s="42">
        <v>62284.09</v>
      </c>
      <c r="X2307" s="42">
        <v>62284.09</v>
      </c>
    </row>
    <row r="2308" spans="1:24">
      <c r="A2308" s="27" t="s">
        <v>4330</v>
      </c>
      <c r="B2308" s="28" t="s">
        <v>215</v>
      </c>
      <c r="C2308" s="27" t="s">
        <v>1195</v>
      </c>
      <c r="D2308" s="27" t="s">
        <v>230</v>
      </c>
      <c r="E2308" s="29">
        <v>39813</v>
      </c>
      <c r="F2308" s="27">
        <v>15</v>
      </c>
      <c r="G2308" s="18">
        <v>62284.09</v>
      </c>
      <c r="H2308" s="27">
        <f t="shared" si="70"/>
        <v>62284.09</v>
      </c>
      <c r="I2308" s="18">
        <v>59169.89</v>
      </c>
      <c r="J2308" s="27">
        <v>62284.09</v>
      </c>
      <c r="K2308" s="18">
        <f t="shared" si="71"/>
        <v>62284.09</v>
      </c>
      <c r="L2308" s="27">
        <v>59169.89</v>
      </c>
      <c r="M2308" s="36">
        <v>0</v>
      </c>
      <c r="T2308" s="41">
        <v>0</v>
      </c>
      <c r="U2308" s="41">
        <v>0</v>
      </c>
      <c r="V2308" s="42" t="s">
        <v>113</v>
      </c>
      <c r="W2308" s="42">
        <v>62284.09</v>
      </c>
      <c r="X2308" s="42">
        <v>62284.09</v>
      </c>
    </row>
    <row r="2309" spans="1:24">
      <c r="A2309" s="27" t="s">
        <v>4331</v>
      </c>
      <c r="B2309" s="28" t="s">
        <v>215</v>
      </c>
      <c r="C2309" s="27" t="s">
        <v>1198</v>
      </c>
      <c r="D2309" s="27" t="s">
        <v>230</v>
      </c>
      <c r="E2309" s="29">
        <v>39813</v>
      </c>
      <c r="F2309" s="27">
        <v>15</v>
      </c>
      <c r="G2309" s="18">
        <v>62284.09</v>
      </c>
      <c r="H2309" s="27">
        <f t="shared" si="70"/>
        <v>62284.09</v>
      </c>
      <c r="I2309" s="18">
        <v>59169.89</v>
      </c>
      <c r="J2309" s="27">
        <v>62284.09</v>
      </c>
      <c r="K2309" s="18">
        <f t="shared" si="71"/>
        <v>62284.09</v>
      </c>
      <c r="L2309" s="27">
        <v>59169.89</v>
      </c>
      <c r="M2309" s="36">
        <v>0</v>
      </c>
      <c r="T2309" s="41">
        <v>0</v>
      </c>
      <c r="U2309" s="41">
        <v>0</v>
      </c>
      <c r="V2309" s="42" t="s">
        <v>113</v>
      </c>
      <c r="W2309" s="42">
        <v>62284.09</v>
      </c>
      <c r="X2309" s="42">
        <v>62284.09</v>
      </c>
    </row>
    <row r="2310" spans="1:24">
      <c r="A2310" s="27" t="s">
        <v>4332</v>
      </c>
      <c r="B2310" s="28" t="s">
        <v>215</v>
      </c>
      <c r="C2310" s="27" t="s">
        <v>4333</v>
      </c>
      <c r="D2310" s="27" t="s">
        <v>230</v>
      </c>
      <c r="E2310" s="29">
        <v>39813</v>
      </c>
      <c r="F2310" s="27">
        <v>15</v>
      </c>
      <c r="G2310" s="18">
        <v>103815.79</v>
      </c>
      <c r="H2310" s="27">
        <f t="shared" ref="H2310:H2373" si="72">IFERROR(IF(ROUND((G2310-I2310)/G2310,2)&lt;=0.05,G2310,0),0)</f>
        <v>103815.79</v>
      </c>
      <c r="I2310" s="18">
        <v>98625</v>
      </c>
      <c r="J2310" s="27">
        <v>103815.79</v>
      </c>
      <c r="K2310" s="18">
        <f t="shared" ref="K2310:K2373" si="73">IFERROR(IF(ROUND((J2310-L2310)/J2310,2)&lt;=0.05,J2310,0),0)</f>
        <v>103815.79</v>
      </c>
      <c r="L2310" s="27">
        <v>98625</v>
      </c>
      <c r="M2310" s="36">
        <v>0</v>
      </c>
      <c r="T2310" s="41">
        <v>0</v>
      </c>
      <c r="U2310" s="41">
        <v>0</v>
      </c>
      <c r="V2310" s="42" t="s">
        <v>113</v>
      </c>
      <c r="W2310" s="42">
        <v>103815.79</v>
      </c>
      <c r="X2310" s="42">
        <v>103815.79</v>
      </c>
    </row>
    <row r="2311" spans="1:24">
      <c r="A2311" s="27" t="s">
        <v>4334</v>
      </c>
      <c r="B2311" s="28" t="s">
        <v>215</v>
      </c>
      <c r="C2311" s="27" t="s">
        <v>1772</v>
      </c>
      <c r="D2311" s="27" t="s">
        <v>112</v>
      </c>
      <c r="E2311" s="29">
        <v>40543</v>
      </c>
      <c r="F2311" s="27">
        <v>15</v>
      </c>
      <c r="G2311" s="18">
        <v>48000</v>
      </c>
      <c r="H2311" s="27">
        <f t="shared" si="72"/>
        <v>0</v>
      </c>
      <c r="I2311" s="18">
        <v>37287.5</v>
      </c>
      <c r="J2311" s="27">
        <v>48000</v>
      </c>
      <c r="K2311" s="18">
        <f t="shared" si="73"/>
        <v>0</v>
      </c>
      <c r="L2311" s="27">
        <v>38475</v>
      </c>
      <c r="M2311" s="36">
        <v>1187.5</v>
      </c>
      <c r="T2311" s="41">
        <v>0</v>
      </c>
      <c r="U2311" s="41">
        <v>0</v>
      </c>
      <c r="V2311" s="42" t="s">
        <v>113</v>
      </c>
      <c r="W2311" s="42">
        <v>0</v>
      </c>
      <c r="X2311" s="42">
        <v>0</v>
      </c>
    </row>
    <row r="2312" spans="1:24">
      <c r="A2312" s="27" t="s">
        <v>4335</v>
      </c>
      <c r="B2312" s="28" t="s">
        <v>215</v>
      </c>
      <c r="C2312" s="27" t="s">
        <v>4336</v>
      </c>
      <c r="D2312" s="27" t="s">
        <v>230</v>
      </c>
      <c r="E2312" s="29">
        <v>39813</v>
      </c>
      <c r="F2312" s="27">
        <v>15</v>
      </c>
      <c r="G2312" s="18">
        <v>103815.79</v>
      </c>
      <c r="H2312" s="27">
        <f t="shared" si="72"/>
        <v>103815.79</v>
      </c>
      <c r="I2312" s="18">
        <v>98625</v>
      </c>
      <c r="J2312" s="27">
        <v>103815.79</v>
      </c>
      <c r="K2312" s="18">
        <f t="shared" si="73"/>
        <v>103815.79</v>
      </c>
      <c r="L2312" s="27">
        <v>98625</v>
      </c>
      <c r="M2312" s="36">
        <v>0</v>
      </c>
      <c r="T2312" s="41">
        <v>0</v>
      </c>
      <c r="U2312" s="41">
        <v>0</v>
      </c>
      <c r="V2312" s="42" t="s">
        <v>113</v>
      </c>
      <c r="W2312" s="42">
        <v>103815.79</v>
      </c>
      <c r="X2312" s="42">
        <v>103815.79</v>
      </c>
    </row>
    <row r="2313" spans="1:24">
      <c r="A2313" s="27" t="s">
        <v>4337</v>
      </c>
      <c r="B2313" s="28" t="s">
        <v>215</v>
      </c>
      <c r="C2313" s="27" t="s">
        <v>4338</v>
      </c>
      <c r="D2313" s="27" t="s">
        <v>230</v>
      </c>
      <c r="E2313" s="29">
        <v>39813</v>
      </c>
      <c r="F2313" s="27">
        <v>15</v>
      </c>
      <c r="G2313" s="18">
        <v>103815.79</v>
      </c>
      <c r="H2313" s="27">
        <f t="shared" si="72"/>
        <v>103815.79</v>
      </c>
      <c r="I2313" s="18">
        <v>98625</v>
      </c>
      <c r="J2313" s="27">
        <v>103815.79</v>
      </c>
      <c r="K2313" s="18">
        <f t="shared" si="73"/>
        <v>103815.79</v>
      </c>
      <c r="L2313" s="27">
        <v>98625</v>
      </c>
      <c r="M2313" s="36">
        <v>0</v>
      </c>
      <c r="T2313" s="41">
        <v>0</v>
      </c>
      <c r="U2313" s="41">
        <v>0</v>
      </c>
      <c r="V2313" s="42" t="s">
        <v>113</v>
      </c>
      <c r="W2313" s="42">
        <v>103815.79</v>
      </c>
      <c r="X2313" s="42">
        <v>103815.79</v>
      </c>
    </row>
    <row r="2314" spans="1:24">
      <c r="A2314" s="27" t="s">
        <v>4339</v>
      </c>
      <c r="B2314" s="28" t="s">
        <v>215</v>
      </c>
      <c r="C2314" s="27" t="s">
        <v>4340</v>
      </c>
      <c r="D2314" s="27" t="s">
        <v>230</v>
      </c>
      <c r="E2314" s="29">
        <v>39813</v>
      </c>
      <c r="F2314" s="27">
        <v>15</v>
      </c>
      <c r="G2314" s="18">
        <v>103815.79</v>
      </c>
      <c r="H2314" s="27">
        <f t="shared" si="72"/>
        <v>103815.79</v>
      </c>
      <c r="I2314" s="18">
        <v>98625</v>
      </c>
      <c r="J2314" s="27">
        <v>103815.79</v>
      </c>
      <c r="K2314" s="18">
        <f t="shared" si="73"/>
        <v>103815.79</v>
      </c>
      <c r="L2314" s="27">
        <v>98625</v>
      </c>
      <c r="M2314" s="36">
        <v>0</v>
      </c>
      <c r="T2314" s="41">
        <v>0</v>
      </c>
      <c r="U2314" s="41">
        <v>0</v>
      </c>
      <c r="V2314" s="42" t="s">
        <v>113</v>
      </c>
      <c r="W2314" s="42">
        <v>103815.79</v>
      </c>
      <c r="X2314" s="42">
        <v>103815.79</v>
      </c>
    </row>
    <row r="2315" spans="1:24">
      <c r="A2315" s="27" t="s">
        <v>4341</v>
      </c>
      <c r="B2315" s="28" t="s">
        <v>215</v>
      </c>
      <c r="C2315" s="27" t="s">
        <v>1880</v>
      </c>
      <c r="D2315" s="27" t="s">
        <v>112</v>
      </c>
      <c r="E2315" s="29">
        <v>40543</v>
      </c>
      <c r="F2315" s="27">
        <v>15</v>
      </c>
      <c r="G2315" s="18">
        <v>327.72</v>
      </c>
      <c r="H2315" s="27">
        <f t="shared" si="72"/>
        <v>0</v>
      </c>
      <c r="I2315" s="18">
        <v>254.59</v>
      </c>
      <c r="J2315" s="27">
        <v>327.72</v>
      </c>
      <c r="K2315" s="18">
        <f t="shared" si="73"/>
        <v>0</v>
      </c>
      <c r="L2315" s="27">
        <v>262.7</v>
      </c>
      <c r="M2315" s="36">
        <v>8.11</v>
      </c>
      <c r="T2315" s="41">
        <v>0</v>
      </c>
      <c r="U2315" s="41">
        <v>0</v>
      </c>
      <c r="V2315" s="42" t="s">
        <v>113</v>
      </c>
      <c r="W2315" s="42">
        <v>0</v>
      </c>
      <c r="X2315" s="42">
        <v>0</v>
      </c>
    </row>
    <row r="2316" spans="1:24">
      <c r="A2316" s="27" t="s">
        <v>4342</v>
      </c>
      <c r="B2316" s="28" t="s">
        <v>215</v>
      </c>
      <c r="C2316" s="27" t="s">
        <v>1882</v>
      </c>
      <c r="D2316" s="27" t="s">
        <v>112</v>
      </c>
      <c r="E2316" s="29">
        <v>40543</v>
      </c>
      <c r="F2316" s="27">
        <v>15</v>
      </c>
      <c r="G2316" s="18">
        <v>327.72</v>
      </c>
      <c r="H2316" s="27">
        <f t="shared" si="72"/>
        <v>0</v>
      </c>
      <c r="I2316" s="18">
        <v>254.59</v>
      </c>
      <c r="J2316" s="27">
        <v>327.72</v>
      </c>
      <c r="K2316" s="18">
        <f t="shared" si="73"/>
        <v>0</v>
      </c>
      <c r="L2316" s="27">
        <v>262.7</v>
      </c>
      <c r="M2316" s="36">
        <v>8.11</v>
      </c>
      <c r="T2316" s="41">
        <v>0</v>
      </c>
      <c r="U2316" s="41">
        <v>0</v>
      </c>
      <c r="V2316" s="42" t="s">
        <v>113</v>
      </c>
      <c r="W2316" s="42">
        <v>0</v>
      </c>
      <c r="X2316" s="42">
        <v>0</v>
      </c>
    </row>
    <row r="2317" spans="1:24">
      <c r="A2317" s="27" t="s">
        <v>4343</v>
      </c>
      <c r="B2317" s="28" t="s">
        <v>215</v>
      </c>
      <c r="C2317" s="27" t="s">
        <v>1884</v>
      </c>
      <c r="D2317" s="27" t="s">
        <v>112</v>
      </c>
      <c r="E2317" s="29">
        <v>40543</v>
      </c>
      <c r="F2317" s="27">
        <v>15</v>
      </c>
      <c r="G2317" s="18">
        <v>327.72</v>
      </c>
      <c r="H2317" s="27">
        <f t="shared" si="72"/>
        <v>0</v>
      </c>
      <c r="I2317" s="18">
        <v>254.59</v>
      </c>
      <c r="J2317" s="27">
        <v>327.72</v>
      </c>
      <c r="K2317" s="18">
        <f t="shared" si="73"/>
        <v>0</v>
      </c>
      <c r="L2317" s="27">
        <v>262.7</v>
      </c>
      <c r="M2317" s="36">
        <v>8.11</v>
      </c>
      <c r="T2317" s="41">
        <v>0</v>
      </c>
      <c r="U2317" s="41">
        <v>0</v>
      </c>
      <c r="V2317" s="42" t="s">
        <v>113</v>
      </c>
      <c r="W2317" s="42">
        <v>0</v>
      </c>
      <c r="X2317" s="42">
        <v>0</v>
      </c>
    </row>
    <row r="2318" spans="1:24">
      <c r="A2318" s="27" t="s">
        <v>4344</v>
      </c>
      <c r="B2318" s="28" t="s">
        <v>215</v>
      </c>
      <c r="C2318" s="27" t="s">
        <v>4345</v>
      </c>
      <c r="D2318" s="27" t="s">
        <v>230</v>
      </c>
      <c r="E2318" s="29">
        <v>39813</v>
      </c>
      <c r="F2318" s="27">
        <v>15</v>
      </c>
      <c r="G2318" s="18">
        <v>103815.79</v>
      </c>
      <c r="H2318" s="27">
        <f t="shared" si="72"/>
        <v>103815.79</v>
      </c>
      <c r="I2318" s="18">
        <v>98625</v>
      </c>
      <c r="J2318" s="27">
        <v>103815.79</v>
      </c>
      <c r="K2318" s="18">
        <f t="shared" si="73"/>
        <v>103815.79</v>
      </c>
      <c r="L2318" s="27">
        <v>98625</v>
      </c>
      <c r="M2318" s="36">
        <v>0</v>
      </c>
      <c r="T2318" s="41">
        <v>0</v>
      </c>
      <c r="U2318" s="41">
        <v>0</v>
      </c>
      <c r="V2318" s="42" t="s">
        <v>113</v>
      </c>
      <c r="W2318" s="42">
        <v>103815.79</v>
      </c>
      <c r="X2318" s="42">
        <v>103815.79</v>
      </c>
    </row>
    <row r="2319" spans="1:24">
      <c r="A2319" s="27" t="s">
        <v>4346</v>
      </c>
      <c r="B2319" s="28" t="s">
        <v>215</v>
      </c>
      <c r="C2319" s="27" t="s">
        <v>4347</v>
      </c>
      <c r="D2319" s="27" t="s">
        <v>112</v>
      </c>
      <c r="E2319" s="29">
        <v>39722</v>
      </c>
      <c r="F2319" s="27">
        <v>15</v>
      </c>
      <c r="G2319" s="18">
        <v>70224</v>
      </c>
      <c r="H2319" s="27">
        <f t="shared" si="72"/>
        <v>0</v>
      </c>
      <c r="I2319" s="18">
        <v>52858.32</v>
      </c>
      <c r="J2319" s="27">
        <v>70224</v>
      </c>
      <c r="K2319" s="18">
        <f t="shared" si="73"/>
        <v>0</v>
      </c>
      <c r="L2319" s="27">
        <v>55724.76</v>
      </c>
      <c r="M2319" s="36">
        <v>2866.44</v>
      </c>
      <c r="T2319" s="41">
        <v>0</v>
      </c>
      <c r="U2319" s="41">
        <v>0</v>
      </c>
      <c r="V2319" s="42" t="s">
        <v>113</v>
      </c>
      <c r="W2319" s="42">
        <v>0</v>
      </c>
      <c r="X2319" s="42">
        <v>0</v>
      </c>
    </row>
    <row r="2320" spans="1:24">
      <c r="A2320" s="27" t="s">
        <v>4348</v>
      </c>
      <c r="B2320" s="28" t="s">
        <v>215</v>
      </c>
      <c r="C2320" s="27" t="s">
        <v>4349</v>
      </c>
      <c r="D2320" s="27" t="s">
        <v>112</v>
      </c>
      <c r="E2320" s="29">
        <v>40543</v>
      </c>
      <c r="F2320" s="27">
        <v>15</v>
      </c>
      <c r="G2320" s="18">
        <v>30000</v>
      </c>
      <c r="H2320" s="27">
        <f t="shared" si="72"/>
        <v>0</v>
      </c>
      <c r="I2320" s="18">
        <v>23304.69</v>
      </c>
      <c r="J2320" s="27">
        <v>30000</v>
      </c>
      <c r="K2320" s="18">
        <f t="shared" si="73"/>
        <v>0</v>
      </c>
      <c r="L2320" s="27">
        <v>24046.880000000001</v>
      </c>
      <c r="M2320" s="36">
        <v>742.19</v>
      </c>
      <c r="T2320" s="41">
        <v>0</v>
      </c>
      <c r="U2320" s="41">
        <v>0</v>
      </c>
      <c r="V2320" s="42" t="s">
        <v>113</v>
      </c>
      <c r="W2320" s="42">
        <v>0</v>
      </c>
      <c r="X2320" s="42">
        <v>0</v>
      </c>
    </row>
    <row r="2321" spans="1:24">
      <c r="A2321" s="27" t="s">
        <v>4350</v>
      </c>
      <c r="B2321" s="28" t="s">
        <v>215</v>
      </c>
      <c r="C2321" s="27" t="s">
        <v>4351</v>
      </c>
      <c r="D2321" s="27" t="s">
        <v>112</v>
      </c>
      <c r="E2321" s="29">
        <v>40543</v>
      </c>
      <c r="F2321" s="27">
        <v>15</v>
      </c>
      <c r="G2321" s="18">
        <v>30000</v>
      </c>
      <c r="H2321" s="27">
        <f t="shared" si="72"/>
        <v>0</v>
      </c>
      <c r="I2321" s="18">
        <v>23304.69</v>
      </c>
      <c r="J2321" s="27">
        <v>30000</v>
      </c>
      <c r="K2321" s="18">
        <f t="shared" si="73"/>
        <v>0</v>
      </c>
      <c r="L2321" s="27">
        <v>24046.880000000001</v>
      </c>
      <c r="M2321" s="36">
        <v>742.19</v>
      </c>
      <c r="T2321" s="41">
        <v>0</v>
      </c>
      <c r="U2321" s="41">
        <v>0</v>
      </c>
      <c r="V2321" s="42" t="s">
        <v>113</v>
      </c>
      <c r="W2321" s="42">
        <v>0</v>
      </c>
      <c r="X2321" s="42">
        <v>0</v>
      </c>
    </row>
    <row r="2322" spans="1:24">
      <c r="A2322" s="27" t="s">
        <v>4352</v>
      </c>
      <c r="B2322" s="28" t="s">
        <v>215</v>
      </c>
      <c r="C2322" s="27" t="s">
        <v>4353</v>
      </c>
      <c r="D2322" s="27" t="s">
        <v>112</v>
      </c>
      <c r="E2322" s="29">
        <v>40543</v>
      </c>
      <c r="F2322" s="27">
        <v>15</v>
      </c>
      <c r="G2322" s="18">
        <v>30000</v>
      </c>
      <c r="H2322" s="27">
        <f t="shared" si="72"/>
        <v>0</v>
      </c>
      <c r="I2322" s="18">
        <v>23304.69</v>
      </c>
      <c r="J2322" s="27">
        <v>30000</v>
      </c>
      <c r="K2322" s="18">
        <f t="shared" si="73"/>
        <v>0</v>
      </c>
      <c r="L2322" s="27">
        <v>24046.880000000001</v>
      </c>
      <c r="M2322" s="36">
        <v>742.19</v>
      </c>
      <c r="T2322" s="41">
        <v>0</v>
      </c>
      <c r="U2322" s="41">
        <v>0</v>
      </c>
      <c r="V2322" s="42" t="s">
        <v>113</v>
      </c>
      <c r="W2322" s="42">
        <v>0</v>
      </c>
      <c r="X2322" s="42">
        <v>0</v>
      </c>
    </row>
    <row r="2323" spans="1:24">
      <c r="A2323" s="27" t="s">
        <v>4354</v>
      </c>
      <c r="B2323" s="28" t="s">
        <v>215</v>
      </c>
      <c r="C2323" s="27" t="s">
        <v>4355</v>
      </c>
      <c r="D2323" s="27" t="s">
        <v>112</v>
      </c>
      <c r="E2323" s="29">
        <v>40543</v>
      </c>
      <c r="F2323" s="27">
        <v>15</v>
      </c>
      <c r="G2323" s="18">
        <v>70224.899999999994</v>
      </c>
      <c r="H2323" s="27">
        <f t="shared" si="72"/>
        <v>0</v>
      </c>
      <c r="I2323" s="18">
        <v>54552.31</v>
      </c>
      <c r="J2323" s="27">
        <v>70224.899999999994</v>
      </c>
      <c r="K2323" s="18">
        <f t="shared" si="73"/>
        <v>0</v>
      </c>
      <c r="L2323" s="27">
        <v>56289.64</v>
      </c>
      <c r="M2323" s="36">
        <v>1737.33</v>
      </c>
      <c r="T2323" s="41">
        <v>0</v>
      </c>
      <c r="U2323" s="41">
        <v>0</v>
      </c>
      <c r="V2323" s="42" t="s">
        <v>113</v>
      </c>
      <c r="W2323" s="42">
        <v>0</v>
      </c>
      <c r="X2323" s="42">
        <v>0</v>
      </c>
    </row>
    <row r="2324" spans="1:24">
      <c r="A2324" s="27" t="s">
        <v>4356</v>
      </c>
      <c r="B2324" s="28" t="s">
        <v>215</v>
      </c>
      <c r="C2324" s="27" t="s">
        <v>4357</v>
      </c>
      <c r="D2324" s="27" t="s">
        <v>112</v>
      </c>
      <c r="E2324" s="29">
        <v>40543</v>
      </c>
      <c r="F2324" s="27">
        <v>15</v>
      </c>
      <c r="G2324" s="18">
        <v>30000</v>
      </c>
      <c r="H2324" s="27">
        <f t="shared" si="72"/>
        <v>0</v>
      </c>
      <c r="I2324" s="18">
        <v>23304.69</v>
      </c>
      <c r="J2324" s="27">
        <v>30000</v>
      </c>
      <c r="K2324" s="18">
        <f t="shared" si="73"/>
        <v>0</v>
      </c>
      <c r="L2324" s="27">
        <v>24046.880000000001</v>
      </c>
      <c r="M2324" s="36">
        <v>742.19</v>
      </c>
      <c r="T2324" s="41">
        <v>0</v>
      </c>
      <c r="U2324" s="41">
        <v>0</v>
      </c>
      <c r="V2324" s="42" t="s">
        <v>113</v>
      </c>
      <c r="W2324" s="42">
        <v>0</v>
      </c>
      <c r="X2324" s="42">
        <v>0</v>
      </c>
    </row>
    <row r="2325" spans="1:24">
      <c r="A2325" s="27" t="s">
        <v>4358</v>
      </c>
      <c r="B2325" s="28" t="s">
        <v>215</v>
      </c>
      <c r="C2325" s="27" t="s">
        <v>4359</v>
      </c>
      <c r="D2325" s="27" t="s">
        <v>112</v>
      </c>
      <c r="E2325" s="29">
        <v>40543</v>
      </c>
      <c r="F2325" s="27">
        <v>15</v>
      </c>
      <c r="G2325" s="18">
        <v>30000</v>
      </c>
      <c r="H2325" s="27">
        <f t="shared" si="72"/>
        <v>0</v>
      </c>
      <c r="I2325" s="18">
        <v>23304.69</v>
      </c>
      <c r="J2325" s="27">
        <v>30000</v>
      </c>
      <c r="K2325" s="18">
        <f t="shared" si="73"/>
        <v>0</v>
      </c>
      <c r="L2325" s="27">
        <v>24046.880000000001</v>
      </c>
      <c r="M2325" s="36">
        <v>742.19</v>
      </c>
      <c r="T2325" s="41">
        <v>0</v>
      </c>
      <c r="U2325" s="41">
        <v>0</v>
      </c>
      <c r="V2325" s="42" t="s">
        <v>113</v>
      </c>
      <c r="W2325" s="42">
        <v>0</v>
      </c>
      <c r="X2325" s="42">
        <v>0</v>
      </c>
    </row>
    <row r="2326" spans="1:24">
      <c r="A2326" s="27" t="s">
        <v>4360</v>
      </c>
      <c r="B2326" s="28" t="s">
        <v>215</v>
      </c>
      <c r="C2326" s="27" t="s">
        <v>4361</v>
      </c>
      <c r="D2326" s="27" t="s">
        <v>112</v>
      </c>
      <c r="E2326" s="29">
        <v>40543</v>
      </c>
      <c r="F2326" s="27">
        <v>15</v>
      </c>
      <c r="G2326" s="18">
        <v>30000</v>
      </c>
      <c r="H2326" s="27">
        <f t="shared" si="72"/>
        <v>0</v>
      </c>
      <c r="I2326" s="18">
        <v>23304.69</v>
      </c>
      <c r="J2326" s="27">
        <v>30000</v>
      </c>
      <c r="K2326" s="18">
        <f t="shared" si="73"/>
        <v>0</v>
      </c>
      <c r="L2326" s="27">
        <v>24046.880000000001</v>
      </c>
      <c r="M2326" s="36">
        <v>742.19</v>
      </c>
      <c r="T2326" s="41">
        <v>0</v>
      </c>
      <c r="U2326" s="41">
        <v>0</v>
      </c>
      <c r="V2326" s="42" t="s">
        <v>113</v>
      </c>
      <c r="W2326" s="42">
        <v>0</v>
      </c>
      <c r="X2326" s="42">
        <v>0</v>
      </c>
    </row>
    <row r="2327" spans="1:24">
      <c r="A2327" s="27" t="s">
        <v>4362</v>
      </c>
      <c r="B2327" s="28" t="s">
        <v>215</v>
      </c>
      <c r="C2327" s="27" t="s">
        <v>4363</v>
      </c>
      <c r="D2327" s="27" t="s">
        <v>112</v>
      </c>
      <c r="E2327" s="29">
        <v>40543</v>
      </c>
      <c r="F2327" s="27">
        <v>15</v>
      </c>
      <c r="G2327" s="18">
        <v>70224.899999999994</v>
      </c>
      <c r="H2327" s="27">
        <f t="shared" si="72"/>
        <v>0</v>
      </c>
      <c r="I2327" s="18">
        <v>54552.31</v>
      </c>
      <c r="J2327" s="27">
        <v>70224.899999999994</v>
      </c>
      <c r="K2327" s="18">
        <f t="shared" si="73"/>
        <v>0</v>
      </c>
      <c r="L2327" s="27">
        <v>56289.64</v>
      </c>
      <c r="M2327" s="36">
        <v>1737.33</v>
      </c>
      <c r="T2327" s="41">
        <v>0</v>
      </c>
      <c r="U2327" s="41">
        <v>0</v>
      </c>
      <c r="V2327" s="42" t="s">
        <v>113</v>
      </c>
      <c r="W2327" s="42">
        <v>0</v>
      </c>
      <c r="X2327" s="42">
        <v>0</v>
      </c>
    </row>
    <row r="2328" spans="1:24">
      <c r="A2328" s="27" t="s">
        <v>4364</v>
      </c>
      <c r="B2328" s="28" t="s">
        <v>215</v>
      </c>
      <c r="C2328" s="27" t="s">
        <v>4365</v>
      </c>
      <c r="D2328" s="27" t="s">
        <v>112</v>
      </c>
      <c r="E2328" s="29">
        <v>40543</v>
      </c>
      <c r="F2328" s="27">
        <v>15</v>
      </c>
      <c r="G2328" s="18">
        <v>30000</v>
      </c>
      <c r="H2328" s="27">
        <f t="shared" si="72"/>
        <v>0</v>
      </c>
      <c r="I2328" s="18">
        <v>23304.69</v>
      </c>
      <c r="J2328" s="27">
        <v>30000</v>
      </c>
      <c r="K2328" s="18">
        <f t="shared" si="73"/>
        <v>0</v>
      </c>
      <c r="L2328" s="27">
        <v>24046.880000000001</v>
      </c>
      <c r="M2328" s="36">
        <v>742.19</v>
      </c>
      <c r="T2328" s="41">
        <v>0</v>
      </c>
      <c r="U2328" s="41">
        <v>0</v>
      </c>
      <c r="V2328" s="42" t="s">
        <v>113</v>
      </c>
      <c r="W2328" s="42">
        <v>0</v>
      </c>
      <c r="X2328" s="42">
        <v>0</v>
      </c>
    </row>
    <row r="2329" spans="1:24">
      <c r="A2329" s="27" t="s">
        <v>4366</v>
      </c>
      <c r="B2329" s="28" t="s">
        <v>215</v>
      </c>
      <c r="C2329" s="27" t="s">
        <v>4367</v>
      </c>
      <c r="D2329" s="27" t="s">
        <v>112</v>
      </c>
      <c r="E2329" s="29">
        <v>40543</v>
      </c>
      <c r="F2329" s="27">
        <v>15</v>
      </c>
      <c r="G2329" s="18">
        <v>30000</v>
      </c>
      <c r="H2329" s="27">
        <f t="shared" si="72"/>
        <v>0</v>
      </c>
      <c r="I2329" s="18">
        <v>23304.69</v>
      </c>
      <c r="J2329" s="27">
        <v>30000</v>
      </c>
      <c r="K2329" s="18">
        <f t="shared" si="73"/>
        <v>0</v>
      </c>
      <c r="L2329" s="27">
        <v>24046.880000000001</v>
      </c>
      <c r="M2329" s="36">
        <v>742.19</v>
      </c>
      <c r="T2329" s="41">
        <v>0</v>
      </c>
      <c r="U2329" s="41">
        <v>0</v>
      </c>
      <c r="V2329" s="42" t="s">
        <v>113</v>
      </c>
      <c r="W2329" s="42">
        <v>0</v>
      </c>
      <c r="X2329" s="42">
        <v>0</v>
      </c>
    </row>
    <row r="2330" spans="1:24">
      <c r="A2330" s="27" t="s">
        <v>4368</v>
      </c>
      <c r="B2330" s="28" t="s">
        <v>215</v>
      </c>
      <c r="C2330" s="27" t="s">
        <v>4369</v>
      </c>
      <c r="D2330" s="27" t="s">
        <v>112</v>
      </c>
      <c r="E2330" s="29">
        <v>40543</v>
      </c>
      <c r="F2330" s="27">
        <v>15</v>
      </c>
      <c r="G2330" s="18">
        <v>30000</v>
      </c>
      <c r="H2330" s="27">
        <f t="shared" si="72"/>
        <v>0</v>
      </c>
      <c r="I2330" s="18">
        <v>23304.69</v>
      </c>
      <c r="J2330" s="27">
        <v>30000</v>
      </c>
      <c r="K2330" s="18">
        <f t="shared" si="73"/>
        <v>0</v>
      </c>
      <c r="L2330" s="27">
        <v>24046.880000000001</v>
      </c>
      <c r="M2330" s="36">
        <v>742.19</v>
      </c>
      <c r="T2330" s="41">
        <v>0</v>
      </c>
      <c r="U2330" s="41">
        <v>0</v>
      </c>
      <c r="V2330" s="42" t="s">
        <v>113</v>
      </c>
      <c r="W2330" s="42">
        <v>0</v>
      </c>
      <c r="X2330" s="42">
        <v>0</v>
      </c>
    </row>
    <row r="2331" spans="1:24">
      <c r="A2331" s="27" t="s">
        <v>4370</v>
      </c>
      <c r="B2331" s="28" t="s">
        <v>215</v>
      </c>
      <c r="C2331" s="27" t="s">
        <v>3024</v>
      </c>
      <c r="D2331" s="27" t="s">
        <v>112</v>
      </c>
      <c r="E2331" s="29">
        <v>40543</v>
      </c>
      <c r="F2331" s="27">
        <v>15</v>
      </c>
      <c r="G2331" s="18">
        <v>70224.899999999994</v>
      </c>
      <c r="H2331" s="27">
        <f t="shared" si="72"/>
        <v>0</v>
      </c>
      <c r="I2331" s="18">
        <v>54552.31</v>
      </c>
      <c r="J2331" s="27">
        <v>70224.899999999994</v>
      </c>
      <c r="K2331" s="18">
        <f t="shared" si="73"/>
        <v>0</v>
      </c>
      <c r="L2331" s="27">
        <v>56289.64</v>
      </c>
      <c r="M2331" s="36">
        <v>1737.33</v>
      </c>
      <c r="T2331" s="41">
        <v>0</v>
      </c>
      <c r="U2331" s="41">
        <v>0</v>
      </c>
      <c r="V2331" s="42" t="s">
        <v>113</v>
      </c>
      <c r="W2331" s="42">
        <v>0</v>
      </c>
      <c r="X2331" s="42">
        <v>0</v>
      </c>
    </row>
    <row r="2332" spans="1:24">
      <c r="A2332" s="27" t="s">
        <v>4371</v>
      </c>
      <c r="B2332" s="28" t="s">
        <v>215</v>
      </c>
      <c r="C2332" s="27" t="s">
        <v>488</v>
      </c>
      <c r="D2332" s="27" t="s">
        <v>112</v>
      </c>
      <c r="E2332" s="29">
        <v>40543</v>
      </c>
      <c r="F2332" s="27">
        <v>15</v>
      </c>
      <c r="G2332" s="18">
        <v>70224.899999999994</v>
      </c>
      <c r="H2332" s="27">
        <f t="shared" si="72"/>
        <v>0</v>
      </c>
      <c r="I2332" s="18">
        <v>54552.31</v>
      </c>
      <c r="J2332" s="27">
        <v>70224.899999999994</v>
      </c>
      <c r="K2332" s="18">
        <f t="shared" si="73"/>
        <v>0</v>
      </c>
      <c r="L2332" s="27">
        <v>56289.64</v>
      </c>
      <c r="M2332" s="36">
        <v>1737.33</v>
      </c>
      <c r="T2332" s="41">
        <v>0</v>
      </c>
      <c r="U2332" s="41">
        <v>0</v>
      </c>
      <c r="V2332" s="42" t="s">
        <v>113</v>
      </c>
      <c r="W2332" s="42">
        <v>0</v>
      </c>
      <c r="X2332" s="42">
        <v>0</v>
      </c>
    </row>
    <row r="2333" spans="1:24">
      <c r="A2333" s="27" t="s">
        <v>4372</v>
      </c>
      <c r="B2333" s="28" t="s">
        <v>215</v>
      </c>
      <c r="C2333" s="27" t="s">
        <v>4373</v>
      </c>
      <c r="D2333" s="27" t="s">
        <v>112</v>
      </c>
      <c r="E2333" s="29">
        <v>40543</v>
      </c>
      <c r="F2333" s="27">
        <v>15</v>
      </c>
      <c r="G2333" s="18">
        <v>30000</v>
      </c>
      <c r="H2333" s="27">
        <f t="shared" si="72"/>
        <v>0</v>
      </c>
      <c r="I2333" s="18">
        <v>23304.69</v>
      </c>
      <c r="J2333" s="27">
        <v>30000</v>
      </c>
      <c r="K2333" s="18">
        <f t="shared" si="73"/>
        <v>0</v>
      </c>
      <c r="L2333" s="27">
        <v>24046.880000000001</v>
      </c>
      <c r="M2333" s="36">
        <v>742.19</v>
      </c>
      <c r="T2333" s="41">
        <v>0</v>
      </c>
      <c r="U2333" s="41">
        <v>0</v>
      </c>
      <c r="V2333" s="42" t="s">
        <v>113</v>
      </c>
      <c r="W2333" s="42">
        <v>0</v>
      </c>
      <c r="X2333" s="42">
        <v>0</v>
      </c>
    </row>
    <row r="2334" spans="1:24">
      <c r="A2334" s="27" t="s">
        <v>4374</v>
      </c>
      <c r="B2334" s="28" t="s">
        <v>215</v>
      </c>
      <c r="C2334" s="27" t="s">
        <v>4375</v>
      </c>
      <c r="D2334" s="27" t="s">
        <v>112</v>
      </c>
      <c r="E2334" s="29">
        <v>40543</v>
      </c>
      <c r="F2334" s="27">
        <v>15</v>
      </c>
      <c r="G2334" s="18">
        <v>30000</v>
      </c>
      <c r="H2334" s="27">
        <f t="shared" si="72"/>
        <v>0</v>
      </c>
      <c r="I2334" s="18">
        <v>23304.69</v>
      </c>
      <c r="J2334" s="27">
        <v>30000</v>
      </c>
      <c r="K2334" s="18">
        <f t="shared" si="73"/>
        <v>0</v>
      </c>
      <c r="L2334" s="27">
        <v>24046.880000000001</v>
      </c>
      <c r="M2334" s="36">
        <v>742.19</v>
      </c>
      <c r="T2334" s="41">
        <v>0</v>
      </c>
      <c r="U2334" s="41">
        <v>0</v>
      </c>
      <c r="V2334" s="42" t="s">
        <v>113</v>
      </c>
      <c r="W2334" s="42">
        <v>0</v>
      </c>
      <c r="X2334" s="42">
        <v>0</v>
      </c>
    </row>
    <row r="2335" spans="1:24">
      <c r="A2335" s="27" t="s">
        <v>4376</v>
      </c>
      <c r="B2335" s="28" t="s">
        <v>215</v>
      </c>
      <c r="C2335" s="27" t="s">
        <v>4377</v>
      </c>
      <c r="D2335" s="27" t="s">
        <v>112</v>
      </c>
      <c r="E2335" s="29">
        <v>40543</v>
      </c>
      <c r="F2335" s="27">
        <v>15</v>
      </c>
      <c r="G2335" s="18">
        <v>30000</v>
      </c>
      <c r="H2335" s="27">
        <f t="shared" si="72"/>
        <v>0</v>
      </c>
      <c r="I2335" s="18">
        <v>23304.69</v>
      </c>
      <c r="J2335" s="27">
        <v>30000</v>
      </c>
      <c r="K2335" s="18">
        <f t="shared" si="73"/>
        <v>0</v>
      </c>
      <c r="L2335" s="27">
        <v>24046.880000000001</v>
      </c>
      <c r="M2335" s="36">
        <v>742.19</v>
      </c>
      <c r="T2335" s="41">
        <v>0</v>
      </c>
      <c r="U2335" s="41">
        <v>0</v>
      </c>
      <c r="V2335" s="42" t="s">
        <v>113</v>
      </c>
      <c r="W2335" s="42">
        <v>0</v>
      </c>
      <c r="X2335" s="42">
        <v>0</v>
      </c>
    </row>
    <row r="2336" spans="1:24">
      <c r="A2336" s="27" t="s">
        <v>4378</v>
      </c>
      <c r="B2336" s="28" t="s">
        <v>215</v>
      </c>
      <c r="C2336" s="27" t="s">
        <v>3417</v>
      </c>
      <c r="D2336" s="27" t="s">
        <v>112</v>
      </c>
      <c r="E2336" s="29">
        <v>40543</v>
      </c>
      <c r="F2336" s="27">
        <v>15</v>
      </c>
      <c r="G2336" s="18">
        <v>30000</v>
      </c>
      <c r="H2336" s="27">
        <f t="shared" si="72"/>
        <v>0</v>
      </c>
      <c r="I2336" s="18">
        <v>23304.69</v>
      </c>
      <c r="J2336" s="27">
        <v>30000</v>
      </c>
      <c r="K2336" s="18">
        <f t="shared" si="73"/>
        <v>0</v>
      </c>
      <c r="L2336" s="27">
        <v>24046.880000000001</v>
      </c>
      <c r="M2336" s="36">
        <v>742.19</v>
      </c>
      <c r="T2336" s="41">
        <v>0</v>
      </c>
      <c r="U2336" s="41">
        <v>0</v>
      </c>
      <c r="V2336" s="42" t="s">
        <v>113</v>
      </c>
      <c r="W2336" s="42">
        <v>0</v>
      </c>
      <c r="X2336" s="42">
        <v>0</v>
      </c>
    </row>
    <row r="2337" spans="1:24">
      <c r="A2337" s="27" t="s">
        <v>4379</v>
      </c>
      <c r="B2337" s="28" t="s">
        <v>215</v>
      </c>
      <c r="C2337" s="27" t="s">
        <v>3419</v>
      </c>
      <c r="D2337" s="27" t="s">
        <v>112</v>
      </c>
      <c r="E2337" s="29">
        <v>40543</v>
      </c>
      <c r="F2337" s="27">
        <v>15</v>
      </c>
      <c r="G2337" s="18">
        <v>30000</v>
      </c>
      <c r="H2337" s="27">
        <f t="shared" si="72"/>
        <v>0</v>
      </c>
      <c r="I2337" s="18">
        <v>23304.69</v>
      </c>
      <c r="J2337" s="27">
        <v>30000</v>
      </c>
      <c r="K2337" s="18">
        <f t="shared" si="73"/>
        <v>0</v>
      </c>
      <c r="L2337" s="27">
        <v>24046.880000000001</v>
      </c>
      <c r="M2337" s="36">
        <v>742.19</v>
      </c>
      <c r="T2337" s="41">
        <v>0</v>
      </c>
      <c r="U2337" s="41">
        <v>0</v>
      </c>
      <c r="V2337" s="42" t="s">
        <v>113</v>
      </c>
      <c r="W2337" s="42">
        <v>0</v>
      </c>
      <c r="X2337" s="42">
        <v>0</v>
      </c>
    </row>
    <row r="2338" spans="1:24">
      <c r="A2338" s="27" t="s">
        <v>4380</v>
      </c>
      <c r="B2338" s="28" t="s">
        <v>215</v>
      </c>
      <c r="C2338" s="27" t="s">
        <v>3421</v>
      </c>
      <c r="D2338" s="27" t="s">
        <v>112</v>
      </c>
      <c r="E2338" s="29">
        <v>40543</v>
      </c>
      <c r="F2338" s="27">
        <v>15</v>
      </c>
      <c r="G2338" s="18">
        <v>30000</v>
      </c>
      <c r="H2338" s="27">
        <f t="shared" si="72"/>
        <v>0</v>
      </c>
      <c r="I2338" s="18">
        <v>23304.69</v>
      </c>
      <c r="J2338" s="27">
        <v>30000</v>
      </c>
      <c r="K2338" s="18">
        <f t="shared" si="73"/>
        <v>0</v>
      </c>
      <c r="L2338" s="27">
        <v>24046.880000000001</v>
      </c>
      <c r="M2338" s="36">
        <v>742.19</v>
      </c>
      <c r="T2338" s="41">
        <v>0</v>
      </c>
      <c r="U2338" s="41">
        <v>0</v>
      </c>
      <c r="V2338" s="42" t="s">
        <v>113</v>
      </c>
      <c r="W2338" s="42">
        <v>0</v>
      </c>
      <c r="X2338" s="42">
        <v>0</v>
      </c>
    </row>
    <row r="2339" spans="1:24">
      <c r="A2339" s="27" t="s">
        <v>4381</v>
      </c>
      <c r="B2339" s="28" t="s">
        <v>215</v>
      </c>
      <c r="C2339" s="27" t="s">
        <v>4382</v>
      </c>
      <c r="D2339" s="27" t="s">
        <v>230</v>
      </c>
      <c r="E2339" s="29">
        <v>39813</v>
      </c>
      <c r="F2339" s="27">
        <v>15</v>
      </c>
      <c r="G2339" s="18">
        <v>103815.79</v>
      </c>
      <c r="H2339" s="27">
        <f t="shared" si="72"/>
        <v>103815.79</v>
      </c>
      <c r="I2339" s="18">
        <v>98625</v>
      </c>
      <c r="J2339" s="27">
        <v>103815.79</v>
      </c>
      <c r="K2339" s="18">
        <f t="shared" si="73"/>
        <v>103815.79</v>
      </c>
      <c r="L2339" s="27">
        <v>98625</v>
      </c>
      <c r="M2339" s="36">
        <v>0</v>
      </c>
      <c r="T2339" s="41">
        <v>0</v>
      </c>
      <c r="U2339" s="41">
        <v>0</v>
      </c>
      <c r="V2339" s="42" t="s">
        <v>113</v>
      </c>
      <c r="W2339" s="42">
        <v>103815.79</v>
      </c>
      <c r="X2339" s="42">
        <v>103815.79</v>
      </c>
    </row>
    <row r="2340" spans="1:24">
      <c r="A2340" s="27" t="s">
        <v>4383</v>
      </c>
      <c r="B2340" s="28" t="s">
        <v>215</v>
      </c>
      <c r="C2340" s="27" t="s">
        <v>4384</v>
      </c>
      <c r="D2340" s="27" t="s">
        <v>230</v>
      </c>
      <c r="E2340" s="29">
        <v>39813</v>
      </c>
      <c r="F2340" s="27">
        <v>15</v>
      </c>
      <c r="G2340" s="18">
        <v>103815.79</v>
      </c>
      <c r="H2340" s="27">
        <f t="shared" si="72"/>
        <v>103815.79</v>
      </c>
      <c r="I2340" s="18">
        <v>98625</v>
      </c>
      <c r="J2340" s="27">
        <v>103815.79</v>
      </c>
      <c r="K2340" s="18">
        <f t="shared" si="73"/>
        <v>103815.79</v>
      </c>
      <c r="L2340" s="27">
        <v>98625</v>
      </c>
      <c r="M2340" s="36">
        <v>0</v>
      </c>
      <c r="T2340" s="41">
        <v>0</v>
      </c>
      <c r="U2340" s="41">
        <v>0</v>
      </c>
      <c r="V2340" s="42" t="s">
        <v>113</v>
      </c>
      <c r="W2340" s="42">
        <v>103815.79</v>
      </c>
      <c r="X2340" s="42">
        <v>103815.79</v>
      </c>
    </row>
    <row r="2341" spans="1:24">
      <c r="A2341" s="27" t="s">
        <v>4385</v>
      </c>
      <c r="B2341" s="28" t="s">
        <v>215</v>
      </c>
      <c r="C2341" s="27" t="s">
        <v>1011</v>
      </c>
      <c r="D2341" s="27" t="s">
        <v>230</v>
      </c>
      <c r="E2341" s="29">
        <v>39813</v>
      </c>
      <c r="F2341" s="27">
        <v>15</v>
      </c>
      <c r="G2341" s="18">
        <v>103815.79</v>
      </c>
      <c r="H2341" s="27">
        <f t="shared" si="72"/>
        <v>103815.79</v>
      </c>
      <c r="I2341" s="18">
        <v>98625</v>
      </c>
      <c r="J2341" s="27">
        <v>103815.79</v>
      </c>
      <c r="K2341" s="18">
        <f t="shared" si="73"/>
        <v>103815.79</v>
      </c>
      <c r="L2341" s="27">
        <v>98625</v>
      </c>
      <c r="M2341" s="36">
        <v>0</v>
      </c>
      <c r="T2341" s="41">
        <v>0</v>
      </c>
      <c r="U2341" s="41">
        <v>0</v>
      </c>
      <c r="V2341" s="42" t="s">
        <v>113</v>
      </c>
      <c r="W2341" s="42">
        <v>103815.79</v>
      </c>
      <c r="X2341" s="42">
        <v>103815.79</v>
      </c>
    </row>
    <row r="2342" spans="1:24">
      <c r="A2342" s="27" t="s">
        <v>4386</v>
      </c>
      <c r="B2342" s="28" t="s">
        <v>215</v>
      </c>
      <c r="C2342" s="27" t="s">
        <v>4387</v>
      </c>
      <c r="D2342" s="27" t="s">
        <v>230</v>
      </c>
      <c r="E2342" s="29">
        <v>39813</v>
      </c>
      <c r="F2342" s="27">
        <v>15</v>
      </c>
      <c r="G2342" s="18">
        <v>121259.51</v>
      </c>
      <c r="H2342" s="27">
        <f t="shared" si="72"/>
        <v>121259.51</v>
      </c>
      <c r="I2342" s="18">
        <v>115196.53</v>
      </c>
      <c r="J2342" s="27">
        <v>121259.51</v>
      </c>
      <c r="K2342" s="18">
        <f t="shared" si="73"/>
        <v>121259.51</v>
      </c>
      <c r="L2342" s="27">
        <v>115196.53</v>
      </c>
      <c r="M2342" s="36">
        <v>0</v>
      </c>
      <c r="T2342" s="41">
        <v>0</v>
      </c>
      <c r="U2342" s="41">
        <v>0</v>
      </c>
      <c r="V2342" s="42" t="s">
        <v>113</v>
      </c>
      <c r="W2342" s="42">
        <v>121259.51</v>
      </c>
      <c r="X2342" s="42">
        <v>121259.51</v>
      </c>
    </row>
    <row r="2343" spans="1:24">
      <c r="A2343" s="27" t="s">
        <v>4388</v>
      </c>
      <c r="B2343" s="28" t="s">
        <v>215</v>
      </c>
      <c r="C2343" s="27" t="s">
        <v>4389</v>
      </c>
      <c r="D2343" s="27" t="s">
        <v>230</v>
      </c>
      <c r="E2343" s="29">
        <v>39813</v>
      </c>
      <c r="F2343" s="27">
        <v>15</v>
      </c>
      <c r="G2343" s="18">
        <v>121259.51</v>
      </c>
      <c r="H2343" s="27">
        <f t="shared" si="72"/>
        <v>121259.51</v>
      </c>
      <c r="I2343" s="18">
        <v>115196.53</v>
      </c>
      <c r="J2343" s="27">
        <v>121259.51</v>
      </c>
      <c r="K2343" s="18">
        <f t="shared" si="73"/>
        <v>121259.51</v>
      </c>
      <c r="L2343" s="27">
        <v>115196.53</v>
      </c>
      <c r="M2343" s="36">
        <v>0</v>
      </c>
      <c r="T2343" s="41">
        <v>0</v>
      </c>
      <c r="U2343" s="41">
        <v>0</v>
      </c>
      <c r="V2343" s="42" t="s">
        <v>113</v>
      </c>
      <c r="W2343" s="42">
        <v>121259.51</v>
      </c>
      <c r="X2343" s="42">
        <v>121259.51</v>
      </c>
    </row>
    <row r="2344" spans="1:24">
      <c r="A2344" s="27" t="s">
        <v>4390</v>
      </c>
      <c r="B2344" s="28" t="s">
        <v>215</v>
      </c>
      <c r="C2344" s="27" t="s">
        <v>3992</v>
      </c>
      <c r="D2344" s="27" t="s">
        <v>230</v>
      </c>
      <c r="E2344" s="29">
        <v>39813</v>
      </c>
      <c r="F2344" s="27">
        <v>15</v>
      </c>
      <c r="G2344" s="18">
        <v>103815.79</v>
      </c>
      <c r="H2344" s="27">
        <f t="shared" si="72"/>
        <v>103815.79</v>
      </c>
      <c r="I2344" s="18">
        <v>98625</v>
      </c>
      <c r="J2344" s="27">
        <v>103815.79</v>
      </c>
      <c r="K2344" s="18">
        <f t="shared" si="73"/>
        <v>103815.79</v>
      </c>
      <c r="L2344" s="27">
        <v>98625</v>
      </c>
      <c r="M2344" s="36">
        <v>0</v>
      </c>
      <c r="T2344" s="41">
        <v>0</v>
      </c>
      <c r="U2344" s="41">
        <v>0</v>
      </c>
      <c r="V2344" s="42" t="s">
        <v>113</v>
      </c>
      <c r="W2344" s="42">
        <v>103815.79</v>
      </c>
      <c r="X2344" s="42">
        <v>103815.79</v>
      </c>
    </row>
    <row r="2345" spans="1:24">
      <c r="A2345" s="27" t="s">
        <v>4391</v>
      </c>
      <c r="B2345" s="28" t="s">
        <v>215</v>
      </c>
      <c r="C2345" s="27" t="s">
        <v>3098</v>
      </c>
      <c r="D2345" s="27" t="s">
        <v>230</v>
      </c>
      <c r="E2345" s="29">
        <v>39813</v>
      </c>
      <c r="F2345" s="27">
        <v>15</v>
      </c>
      <c r="G2345" s="18">
        <v>103815.79</v>
      </c>
      <c r="H2345" s="27">
        <f t="shared" si="72"/>
        <v>103815.79</v>
      </c>
      <c r="I2345" s="18">
        <v>98625</v>
      </c>
      <c r="J2345" s="27">
        <v>103815.79</v>
      </c>
      <c r="K2345" s="18">
        <f t="shared" si="73"/>
        <v>103815.79</v>
      </c>
      <c r="L2345" s="27">
        <v>98625</v>
      </c>
      <c r="M2345" s="36">
        <v>0</v>
      </c>
      <c r="T2345" s="41">
        <v>0</v>
      </c>
      <c r="U2345" s="41">
        <v>0</v>
      </c>
      <c r="V2345" s="42" t="s">
        <v>113</v>
      </c>
      <c r="W2345" s="42">
        <v>103815.79</v>
      </c>
      <c r="X2345" s="42">
        <v>103815.79</v>
      </c>
    </row>
    <row r="2346" spans="1:24">
      <c r="A2346" s="27" t="s">
        <v>4392</v>
      </c>
      <c r="B2346" s="28" t="s">
        <v>215</v>
      </c>
      <c r="C2346" s="27" t="s">
        <v>4393</v>
      </c>
      <c r="D2346" s="27" t="s">
        <v>230</v>
      </c>
      <c r="E2346" s="29">
        <v>39813</v>
      </c>
      <c r="F2346" s="27">
        <v>15</v>
      </c>
      <c r="G2346" s="18">
        <v>103815.79</v>
      </c>
      <c r="H2346" s="27">
        <f t="shared" si="72"/>
        <v>103815.79</v>
      </c>
      <c r="I2346" s="18">
        <v>98625</v>
      </c>
      <c r="J2346" s="27">
        <v>103815.79</v>
      </c>
      <c r="K2346" s="18">
        <f t="shared" si="73"/>
        <v>103815.79</v>
      </c>
      <c r="L2346" s="27">
        <v>98625</v>
      </c>
      <c r="M2346" s="36">
        <v>0</v>
      </c>
      <c r="T2346" s="41">
        <v>0</v>
      </c>
      <c r="U2346" s="41">
        <v>0</v>
      </c>
      <c r="V2346" s="42" t="s">
        <v>113</v>
      </c>
      <c r="W2346" s="42">
        <v>103815.79</v>
      </c>
      <c r="X2346" s="42">
        <v>103815.79</v>
      </c>
    </row>
    <row r="2347" spans="1:24">
      <c r="A2347" s="27" t="s">
        <v>4394</v>
      </c>
      <c r="B2347" s="28" t="s">
        <v>215</v>
      </c>
      <c r="C2347" s="27" t="s">
        <v>4395</v>
      </c>
      <c r="D2347" s="27" t="s">
        <v>230</v>
      </c>
      <c r="E2347" s="29">
        <v>39813</v>
      </c>
      <c r="F2347" s="27">
        <v>15</v>
      </c>
      <c r="G2347" s="18">
        <v>71592.570000000007</v>
      </c>
      <c r="H2347" s="27">
        <f t="shared" si="72"/>
        <v>71592.570000000007</v>
      </c>
      <c r="I2347" s="18">
        <v>68012.94</v>
      </c>
      <c r="J2347" s="27">
        <v>71592.570000000007</v>
      </c>
      <c r="K2347" s="18">
        <f t="shared" si="73"/>
        <v>71592.570000000007</v>
      </c>
      <c r="L2347" s="27">
        <v>68012.94</v>
      </c>
      <c r="M2347" s="36">
        <v>0</v>
      </c>
      <c r="T2347" s="41">
        <v>0</v>
      </c>
      <c r="U2347" s="41">
        <v>0</v>
      </c>
      <c r="V2347" s="42" t="s">
        <v>113</v>
      </c>
      <c r="W2347" s="42">
        <v>71592.570000000007</v>
      </c>
      <c r="X2347" s="42">
        <v>71592.570000000007</v>
      </c>
    </row>
    <row r="2348" spans="1:24">
      <c r="A2348" s="27" t="s">
        <v>4396</v>
      </c>
      <c r="B2348" s="28" t="s">
        <v>215</v>
      </c>
      <c r="C2348" s="27" t="s">
        <v>4397</v>
      </c>
      <c r="D2348" s="27" t="s">
        <v>230</v>
      </c>
      <c r="E2348" s="29">
        <v>39813</v>
      </c>
      <c r="F2348" s="27">
        <v>15</v>
      </c>
      <c r="G2348" s="18">
        <v>71592.570000000007</v>
      </c>
      <c r="H2348" s="27">
        <f t="shared" si="72"/>
        <v>71592.570000000007</v>
      </c>
      <c r="I2348" s="18">
        <v>68012.94</v>
      </c>
      <c r="J2348" s="27">
        <v>71592.570000000007</v>
      </c>
      <c r="K2348" s="18">
        <f t="shared" si="73"/>
        <v>71592.570000000007</v>
      </c>
      <c r="L2348" s="27">
        <v>68012.94</v>
      </c>
      <c r="M2348" s="36">
        <v>0</v>
      </c>
      <c r="T2348" s="41">
        <v>0</v>
      </c>
      <c r="U2348" s="41">
        <v>0</v>
      </c>
      <c r="V2348" s="42" t="s">
        <v>113</v>
      </c>
      <c r="W2348" s="42">
        <v>71592.570000000007</v>
      </c>
      <c r="X2348" s="42">
        <v>71592.570000000007</v>
      </c>
    </row>
    <row r="2349" spans="1:24">
      <c r="A2349" s="27" t="s">
        <v>4398</v>
      </c>
      <c r="B2349" s="28" t="s">
        <v>215</v>
      </c>
      <c r="C2349" s="27" t="s">
        <v>4399</v>
      </c>
      <c r="D2349" s="27" t="s">
        <v>230</v>
      </c>
      <c r="E2349" s="29">
        <v>39813</v>
      </c>
      <c r="F2349" s="27">
        <v>15</v>
      </c>
      <c r="G2349" s="18">
        <v>71592.570000000007</v>
      </c>
      <c r="H2349" s="27">
        <f t="shared" si="72"/>
        <v>71592.570000000007</v>
      </c>
      <c r="I2349" s="18">
        <v>68012.94</v>
      </c>
      <c r="J2349" s="27">
        <v>71592.570000000007</v>
      </c>
      <c r="K2349" s="18">
        <f t="shared" si="73"/>
        <v>71592.570000000007</v>
      </c>
      <c r="L2349" s="27">
        <v>68012.94</v>
      </c>
      <c r="M2349" s="36">
        <v>0</v>
      </c>
      <c r="T2349" s="41">
        <v>0</v>
      </c>
      <c r="U2349" s="41">
        <v>0</v>
      </c>
      <c r="V2349" s="42" t="s">
        <v>113</v>
      </c>
      <c r="W2349" s="42">
        <v>71592.570000000007</v>
      </c>
      <c r="X2349" s="42">
        <v>71592.570000000007</v>
      </c>
    </row>
    <row r="2350" spans="1:24">
      <c r="A2350" s="27" t="s">
        <v>4400</v>
      </c>
      <c r="B2350" s="28" t="s">
        <v>215</v>
      </c>
      <c r="C2350" s="27" t="s">
        <v>4401</v>
      </c>
      <c r="D2350" s="27" t="s">
        <v>230</v>
      </c>
      <c r="E2350" s="29">
        <v>40298</v>
      </c>
      <c r="F2350" s="27">
        <v>15</v>
      </c>
      <c r="G2350" s="18">
        <v>71592.570000000007</v>
      </c>
      <c r="H2350" s="27">
        <f t="shared" si="72"/>
        <v>0</v>
      </c>
      <c r="I2350" s="18">
        <v>67089.440000000002</v>
      </c>
      <c r="J2350" s="27">
        <v>71592.570000000007</v>
      </c>
      <c r="K2350" s="18">
        <f t="shared" si="73"/>
        <v>0</v>
      </c>
      <c r="L2350" s="27">
        <v>67235.259999999995</v>
      </c>
      <c r="M2350" s="36">
        <v>145.82</v>
      </c>
      <c r="T2350" s="41">
        <v>0</v>
      </c>
      <c r="U2350" s="41">
        <v>0</v>
      </c>
      <c r="V2350" s="42" t="s">
        <v>113</v>
      </c>
      <c r="W2350" s="42">
        <v>0</v>
      </c>
      <c r="X2350" s="42">
        <v>0</v>
      </c>
    </row>
    <row r="2351" spans="1:24">
      <c r="A2351" s="27" t="s">
        <v>4402</v>
      </c>
      <c r="B2351" s="28" t="s">
        <v>215</v>
      </c>
      <c r="C2351" s="27" t="s">
        <v>4403</v>
      </c>
      <c r="D2351" s="27" t="s">
        <v>230</v>
      </c>
      <c r="E2351" s="29">
        <v>39813</v>
      </c>
      <c r="F2351" s="27">
        <v>15</v>
      </c>
      <c r="G2351" s="18">
        <v>71592.570000000007</v>
      </c>
      <c r="H2351" s="27">
        <f t="shared" si="72"/>
        <v>71592.570000000007</v>
      </c>
      <c r="I2351" s="18">
        <v>68012.94</v>
      </c>
      <c r="J2351" s="27">
        <v>71592.570000000007</v>
      </c>
      <c r="K2351" s="18">
        <f t="shared" si="73"/>
        <v>71592.570000000007</v>
      </c>
      <c r="L2351" s="27">
        <v>68012.94</v>
      </c>
      <c r="M2351" s="36">
        <v>0</v>
      </c>
      <c r="T2351" s="41">
        <v>0</v>
      </c>
      <c r="U2351" s="41">
        <v>0</v>
      </c>
      <c r="V2351" s="42" t="s">
        <v>113</v>
      </c>
      <c r="W2351" s="42">
        <v>71592.570000000007</v>
      </c>
      <c r="X2351" s="42">
        <v>71592.570000000007</v>
      </c>
    </row>
    <row r="2352" spans="1:24">
      <c r="A2352" s="27" t="s">
        <v>4404</v>
      </c>
      <c r="B2352" s="28" t="s">
        <v>215</v>
      </c>
      <c r="C2352" s="27" t="s">
        <v>1087</v>
      </c>
      <c r="D2352" s="27" t="s">
        <v>230</v>
      </c>
      <c r="E2352" s="29">
        <v>41257</v>
      </c>
      <c r="F2352" s="27">
        <v>15</v>
      </c>
      <c r="G2352" s="18">
        <v>67971.740000000005</v>
      </c>
      <c r="H2352" s="27">
        <f t="shared" si="72"/>
        <v>0</v>
      </c>
      <c r="I2352" s="18">
        <v>54402.879999999997</v>
      </c>
      <c r="J2352" s="27">
        <v>67971.740000000005</v>
      </c>
      <c r="K2352" s="18">
        <f t="shared" si="73"/>
        <v>0</v>
      </c>
      <c r="L2352" s="27">
        <v>55532.91</v>
      </c>
      <c r="M2352" s="36">
        <v>1130.03</v>
      </c>
      <c r="T2352" s="41">
        <v>0</v>
      </c>
      <c r="U2352" s="41">
        <v>0</v>
      </c>
      <c r="V2352" s="42" t="s">
        <v>113</v>
      </c>
      <c r="W2352" s="42">
        <v>0</v>
      </c>
      <c r="X2352" s="42">
        <v>0</v>
      </c>
    </row>
    <row r="2353" spans="1:24">
      <c r="A2353" s="27" t="s">
        <v>4405</v>
      </c>
      <c r="B2353" s="28" t="s">
        <v>215</v>
      </c>
      <c r="C2353" s="27" t="s">
        <v>1083</v>
      </c>
      <c r="D2353" s="27" t="s">
        <v>230</v>
      </c>
      <c r="E2353" s="29">
        <v>41257</v>
      </c>
      <c r="F2353" s="27">
        <v>15</v>
      </c>
      <c r="G2353" s="18">
        <v>67971.75</v>
      </c>
      <c r="H2353" s="27">
        <f t="shared" si="72"/>
        <v>0</v>
      </c>
      <c r="I2353" s="18">
        <v>54402.89</v>
      </c>
      <c r="J2353" s="27">
        <v>67971.75</v>
      </c>
      <c r="K2353" s="18">
        <f t="shared" si="73"/>
        <v>0</v>
      </c>
      <c r="L2353" s="27">
        <v>55532.92</v>
      </c>
      <c r="M2353" s="36">
        <v>1130.03</v>
      </c>
      <c r="T2353" s="41">
        <v>0</v>
      </c>
      <c r="U2353" s="41">
        <v>0</v>
      </c>
      <c r="V2353" s="42" t="s">
        <v>113</v>
      </c>
      <c r="W2353" s="42">
        <v>0</v>
      </c>
      <c r="X2353" s="42">
        <v>0</v>
      </c>
    </row>
    <row r="2354" spans="1:24">
      <c r="A2354" s="27" t="s">
        <v>4406</v>
      </c>
      <c r="B2354" s="28" t="s">
        <v>215</v>
      </c>
      <c r="C2354" s="27" t="s">
        <v>4407</v>
      </c>
      <c r="D2354" s="27" t="s">
        <v>230</v>
      </c>
      <c r="E2354" s="29">
        <v>39813</v>
      </c>
      <c r="F2354" s="27">
        <v>15</v>
      </c>
      <c r="G2354" s="18">
        <v>71592.570000000007</v>
      </c>
      <c r="H2354" s="27">
        <f t="shared" si="72"/>
        <v>71592.570000000007</v>
      </c>
      <c r="I2354" s="18">
        <v>68012.94</v>
      </c>
      <c r="J2354" s="27">
        <v>71592.570000000007</v>
      </c>
      <c r="K2354" s="18">
        <f t="shared" si="73"/>
        <v>71592.570000000007</v>
      </c>
      <c r="L2354" s="27">
        <v>68012.94</v>
      </c>
      <c r="M2354" s="36">
        <v>0</v>
      </c>
      <c r="T2354" s="41">
        <v>0</v>
      </c>
      <c r="U2354" s="41">
        <v>0</v>
      </c>
      <c r="V2354" s="42" t="s">
        <v>113</v>
      </c>
      <c r="W2354" s="42">
        <v>71592.570000000007</v>
      </c>
      <c r="X2354" s="42">
        <v>71592.570000000007</v>
      </c>
    </row>
    <row r="2355" spans="1:24">
      <c r="A2355" s="27" t="s">
        <v>4408</v>
      </c>
      <c r="B2355" s="28" t="s">
        <v>215</v>
      </c>
      <c r="C2355" s="27" t="s">
        <v>955</v>
      </c>
      <c r="D2355" s="27" t="s">
        <v>230</v>
      </c>
      <c r="E2355" s="29">
        <v>39813</v>
      </c>
      <c r="F2355" s="27">
        <v>15</v>
      </c>
      <c r="G2355" s="18">
        <v>103815.79</v>
      </c>
      <c r="H2355" s="27">
        <f t="shared" si="72"/>
        <v>103815.79</v>
      </c>
      <c r="I2355" s="18">
        <v>98625</v>
      </c>
      <c r="J2355" s="27">
        <v>103815.79</v>
      </c>
      <c r="K2355" s="18">
        <f t="shared" si="73"/>
        <v>103815.79</v>
      </c>
      <c r="L2355" s="27">
        <v>98625</v>
      </c>
      <c r="M2355" s="36">
        <v>0</v>
      </c>
      <c r="T2355" s="41">
        <v>0</v>
      </c>
      <c r="U2355" s="41">
        <v>0</v>
      </c>
      <c r="V2355" s="42" t="s">
        <v>113</v>
      </c>
      <c r="W2355" s="42">
        <v>103815.79</v>
      </c>
      <c r="X2355" s="42">
        <v>103815.79</v>
      </c>
    </row>
    <row r="2356" spans="1:24">
      <c r="A2356" s="27" t="s">
        <v>4409</v>
      </c>
      <c r="B2356" s="28" t="s">
        <v>215</v>
      </c>
      <c r="C2356" s="27" t="s">
        <v>1011</v>
      </c>
      <c r="D2356" s="27" t="s">
        <v>230</v>
      </c>
      <c r="E2356" s="29">
        <v>39813</v>
      </c>
      <c r="F2356" s="27">
        <v>15</v>
      </c>
      <c r="G2356" s="18">
        <v>71592.570000000007</v>
      </c>
      <c r="H2356" s="27">
        <f t="shared" si="72"/>
        <v>71592.570000000007</v>
      </c>
      <c r="I2356" s="18">
        <v>68012.94</v>
      </c>
      <c r="J2356" s="27">
        <v>71592.570000000007</v>
      </c>
      <c r="K2356" s="18">
        <f t="shared" si="73"/>
        <v>71592.570000000007</v>
      </c>
      <c r="L2356" s="27">
        <v>68012.94</v>
      </c>
      <c r="M2356" s="36">
        <v>0</v>
      </c>
      <c r="T2356" s="41">
        <v>0</v>
      </c>
      <c r="U2356" s="41">
        <v>0</v>
      </c>
      <c r="V2356" s="42" t="s">
        <v>113</v>
      </c>
      <c r="W2356" s="42">
        <v>71592.570000000007</v>
      </c>
      <c r="X2356" s="42">
        <v>71592.570000000007</v>
      </c>
    </row>
    <row r="2357" spans="1:24">
      <c r="A2357" s="27" t="s">
        <v>4410</v>
      </c>
      <c r="B2357" s="28" t="s">
        <v>215</v>
      </c>
      <c r="C2357" s="27" t="s">
        <v>955</v>
      </c>
      <c r="D2357" s="27" t="s">
        <v>230</v>
      </c>
      <c r="E2357" s="29">
        <v>39813</v>
      </c>
      <c r="F2357" s="27">
        <v>15</v>
      </c>
      <c r="G2357" s="18">
        <v>71592.570000000007</v>
      </c>
      <c r="H2357" s="27">
        <f t="shared" si="72"/>
        <v>71592.570000000007</v>
      </c>
      <c r="I2357" s="18">
        <v>68012.94</v>
      </c>
      <c r="J2357" s="27">
        <v>71592.570000000007</v>
      </c>
      <c r="K2357" s="18">
        <f t="shared" si="73"/>
        <v>71592.570000000007</v>
      </c>
      <c r="L2357" s="27">
        <v>68012.94</v>
      </c>
      <c r="M2357" s="36">
        <v>0</v>
      </c>
      <c r="T2357" s="41">
        <v>0</v>
      </c>
      <c r="U2357" s="41">
        <v>0</v>
      </c>
      <c r="V2357" s="42" t="s">
        <v>113</v>
      </c>
      <c r="W2357" s="42">
        <v>71592.570000000007</v>
      </c>
      <c r="X2357" s="42">
        <v>71592.570000000007</v>
      </c>
    </row>
    <row r="2358" spans="1:24">
      <c r="A2358" s="27" t="s">
        <v>4411</v>
      </c>
      <c r="B2358" s="28" t="s">
        <v>215</v>
      </c>
      <c r="C2358" s="27" t="s">
        <v>1834</v>
      </c>
      <c r="D2358" s="27" t="s">
        <v>230</v>
      </c>
      <c r="E2358" s="29">
        <v>39813</v>
      </c>
      <c r="F2358" s="27">
        <v>15</v>
      </c>
      <c r="G2358" s="18">
        <v>24000</v>
      </c>
      <c r="H2358" s="27">
        <f t="shared" si="72"/>
        <v>24000</v>
      </c>
      <c r="I2358" s="18">
        <v>22800</v>
      </c>
      <c r="J2358" s="27">
        <v>24000</v>
      </c>
      <c r="K2358" s="18">
        <f t="shared" si="73"/>
        <v>24000</v>
      </c>
      <c r="L2358" s="27">
        <v>22800</v>
      </c>
      <c r="M2358" s="36">
        <v>0</v>
      </c>
      <c r="T2358" s="41">
        <v>0</v>
      </c>
      <c r="U2358" s="41">
        <v>0</v>
      </c>
      <c r="V2358" s="42" t="s">
        <v>113</v>
      </c>
      <c r="W2358" s="42">
        <v>24000</v>
      </c>
      <c r="X2358" s="42">
        <v>24000</v>
      </c>
    </row>
    <row r="2359" spans="1:24">
      <c r="A2359" s="27" t="s">
        <v>4412</v>
      </c>
      <c r="B2359" s="28" t="s">
        <v>215</v>
      </c>
      <c r="C2359" s="27" t="s">
        <v>1832</v>
      </c>
      <c r="D2359" s="27" t="s">
        <v>230</v>
      </c>
      <c r="E2359" s="29">
        <v>39813</v>
      </c>
      <c r="F2359" s="27">
        <v>15</v>
      </c>
      <c r="G2359" s="18">
        <v>24000</v>
      </c>
      <c r="H2359" s="27">
        <f t="shared" si="72"/>
        <v>24000</v>
      </c>
      <c r="I2359" s="18">
        <v>22800</v>
      </c>
      <c r="J2359" s="27">
        <v>24000</v>
      </c>
      <c r="K2359" s="18">
        <f t="shared" si="73"/>
        <v>24000</v>
      </c>
      <c r="L2359" s="27">
        <v>22800</v>
      </c>
      <c r="M2359" s="36">
        <v>0</v>
      </c>
      <c r="T2359" s="41">
        <v>0</v>
      </c>
      <c r="U2359" s="41">
        <v>0</v>
      </c>
      <c r="V2359" s="42" t="s">
        <v>113</v>
      </c>
      <c r="W2359" s="42">
        <v>24000</v>
      </c>
      <c r="X2359" s="42">
        <v>24000</v>
      </c>
    </row>
    <row r="2360" spans="1:24">
      <c r="A2360" s="27" t="s">
        <v>4413</v>
      </c>
      <c r="B2360" s="28" t="s">
        <v>215</v>
      </c>
      <c r="C2360" s="27" t="s">
        <v>4414</v>
      </c>
      <c r="D2360" s="27" t="s">
        <v>230</v>
      </c>
      <c r="E2360" s="29">
        <v>39813</v>
      </c>
      <c r="F2360" s="27">
        <v>15</v>
      </c>
      <c r="G2360" s="18">
        <v>40560.019999999997</v>
      </c>
      <c r="H2360" s="27">
        <f t="shared" si="72"/>
        <v>40560.019999999997</v>
      </c>
      <c r="I2360" s="18">
        <v>38532.01</v>
      </c>
      <c r="J2360" s="27">
        <v>40560.019999999997</v>
      </c>
      <c r="K2360" s="18">
        <f t="shared" si="73"/>
        <v>40560.019999999997</v>
      </c>
      <c r="L2360" s="27">
        <v>38532.01</v>
      </c>
      <c r="M2360" s="36">
        <v>0</v>
      </c>
      <c r="T2360" s="41">
        <v>0</v>
      </c>
      <c r="U2360" s="41">
        <v>0</v>
      </c>
      <c r="V2360" s="42" t="s">
        <v>113</v>
      </c>
      <c r="W2360" s="42">
        <v>40560.019999999997</v>
      </c>
      <c r="X2360" s="42">
        <v>40560.019999999997</v>
      </c>
    </row>
    <row r="2361" spans="1:24">
      <c r="A2361" s="27" t="s">
        <v>4415</v>
      </c>
      <c r="B2361" s="28" t="s">
        <v>215</v>
      </c>
      <c r="C2361" s="27" t="s">
        <v>1624</v>
      </c>
      <c r="D2361" s="27" t="s">
        <v>230</v>
      </c>
      <c r="E2361" s="29">
        <v>39813</v>
      </c>
      <c r="F2361" s="27">
        <v>15</v>
      </c>
      <c r="G2361" s="18">
        <v>40560.019999999997</v>
      </c>
      <c r="H2361" s="27">
        <f t="shared" si="72"/>
        <v>40560.019999999997</v>
      </c>
      <c r="I2361" s="18">
        <v>38532.01</v>
      </c>
      <c r="J2361" s="27">
        <v>40560.019999999997</v>
      </c>
      <c r="K2361" s="18">
        <f t="shared" si="73"/>
        <v>40560.019999999997</v>
      </c>
      <c r="L2361" s="27">
        <v>38532.01</v>
      </c>
      <c r="M2361" s="36">
        <v>0</v>
      </c>
      <c r="T2361" s="41">
        <v>0</v>
      </c>
      <c r="U2361" s="41">
        <v>0</v>
      </c>
      <c r="V2361" s="42" t="s">
        <v>113</v>
      </c>
      <c r="W2361" s="42">
        <v>40560.019999999997</v>
      </c>
      <c r="X2361" s="42">
        <v>40560.019999999997</v>
      </c>
    </row>
    <row r="2362" spans="1:24">
      <c r="A2362" s="27" t="s">
        <v>4416</v>
      </c>
      <c r="B2362" s="28" t="s">
        <v>215</v>
      </c>
      <c r="C2362" s="27" t="s">
        <v>1198</v>
      </c>
      <c r="D2362" s="27" t="s">
        <v>230</v>
      </c>
      <c r="E2362" s="29">
        <v>39813</v>
      </c>
      <c r="F2362" s="27">
        <v>15</v>
      </c>
      <c r="G2362" s="18">
        <v>46800.01</v>
      </c>
      <c r="H2362" s="27">
        <f t="shared" si="72"/>
        <v>46800.01</v>
      </c>
      <c r="I2362" s="18">
        <v>44460.01</v>
      </c>
      <c r="J2362" s="27">
        <v>46800.01</v>
      </c>
      <c r="K2362" s="18">
        <f t="shared" si="73"/>
        <v>46800.01</v>
      </c>
      <c r="L2362" s="27">
        <v>44460.01</v>
      </c>
      <c r="M2362" s="36">
        <v>0</v>
      </c>
      <c r="T2362" s="41">
        <v>0</v>
      </c>
      <c r="U2362" s="41">
        <v>0</v>
      </c>
      <c r="V2362" s="42" t="s">
        <v>113</v>
      </c>
      <c r="W2362" s="42">
        <v>46800.01</v>
      </c>
      <c r="X2362" s="42">
        <v>46800.01</v>
      </c>
    </row>
    <row r="2363" spans="1:24">
      <c r="A2363" s="27" t="s">
        <v>4417</v>
      </c>
      <c r="B2363" s="28" t="s">
        <v>215</v>
      </c>
      <c r="C2363" s="27" t="s">
        <v>1057</v>
      </c>
      <c r="D2363" s="27" t="s">
        <v>230</v>
      </c>
      <c r="E2363" s="29">
        <v>39813</v>
      </c>
      <c r="F2363" s="27">
        <v>15</v>
      </c>
      <c r="G2363" s="18">
        <v>71592.570000000007</v>
      </c>
      <c r="H2363" s="27">
        <f t="shared" si="72"/>
        <v>71592.570000000007</v>
      </c>
      <c r="I2363" s="18">
        <v>68012.94</v>
      </c>
      <c r="J2363" s="27">
        <v>71592.570000000007</v>
      </c>
      <c r="K2363" s="18">
        <f t="shared" si="73"/>
        <v>71592.570000000007</v>
      </c>
      <c r="L2363" s="27">
        <v>68012.94</v>
      </c>
      <c r="M2363" s="36">
        <v>0</v>
      </c>
      <c r="T2363" s="41">
        <v>0</v>
      </c>
      <c r="U2363" s="41">
        <v>0</v>
      </c>
      <c r="V2363" s="42" t="s">
        <v>113</v>
      </c>
      <c r="W2363" s="42">
        <v>71592.570000000007</v>
      </c>
      <c r="X2363" s="42">
        <v>71592.570000000007</v>
      </c>
    </row>
    <row r="2364" spans="1:24">
      <c r="A2364" s="27" t="s">
        <v>4418</v>
      </c>
      <c r="B2364" s="28" t="s">
        <v>215</v>
      </c>
      <c r="C2364" s="27" t="s">
        <v>1198</v>
      </c>
      <c r="D2364" s="27" t="s">
        <v>230</v>
      </c>
      <c r="E2364" s="29">
        <v>39813</v>
      </c>
      <c r="F2364" s="27">
        <v>15</v>
      </c>
      <c r="G2364" s="18">
        <v>103815.79</v>
      </c>
      <c r="H2364" s="27">
        <f t="shared" si="72"/>
        <v>103815.79</v>
      </c>
      <c r="I2364" s="18">
        <v>98625</v>
      </c>
      <c r="J2364" s="27">
        <v>103815.79</v>
      </c>
      <c r="K2364" s="18">
        <f t="shared" si="73"/>
        <v>103815.79</v>
      </c>
      <c r="L2364" s="27">
        <v>98625</v>
      </c>
      <c r="M2364" s="36">
        <v>0</v>
      </c>
      <c r="T2364" s="41">
        <v>0</v>
      </c>
      <c r="U2364" s="41">
        <v>0</v>
      </c>
      <c r="V2364" s="42" t="s">
        <v>113</v>
      </c>
      <c r="W2364" s="42">
        <v>103815.79</v>
      </c>
      <c r="X2364" s="42">
        <v>103815.79</v>
      </c>
    </row>
    <row r="2365" spans="1:24">
      <c r="A2365" s="27" t="s">
        <v>4419</v>
      </c>
      <c r="B2365" s="28" t="s">
        <v>215</v>
      </c>
      <c r="C2365" s="27" t="s">
        <v>4420</v>
      </c>
      <c r="D2365" s="27" t="s">
        <v>230</v>
      </c>
      <c r="E2365" s="29">
        <v>39813</v>
      </c>
      <c r="F2365" s="27">
        <v>15</v>
      </c>
      <c r="G2365" s="18">
        <v>71592.570000000007</v>
      </c>
      <c r="H2365" s="27">
        <f t="shared" si="72"/>
        <v>71592.570000000007</v>
      </c>
      <c r="I2365" s="18">
        <v>68012.94</v>
      </c>
      <c r="J2365" s="27">
        <v>71592.570000000007</v>
      </c>
      <c r="K2365" s="18">
        <f t="shared" si="73"/>
        <v>71592.570000000007</v>
      </c>
      <c r="L2365" s="27">
        <v>68012.94</v>
      </c>
      <c r="M2365" s="36">
        <v>0</v>
      </c>
      <c r="T2365" s="41">
        <v>0</v>
      </c>
      <c r="U2365" s="41">
        <v>0</v>
      </c>
      <c r="V2365" s="42" t="s">
        <v>113</v>
      </c>
      <c r="W2365" s="42">
        <v>71592.570000000007</v>
      </c>
      <c r="X2365" s="42">
        <v>71592.570000000007</v>
      </c>
    </row>
    <row r="2366" spans="1:24">
      <c r="A2366" s="27" t="s">
        <v>4421</v>
      </c>
      <c r="B2366" s="28" t="s">
        <v>215</v>
      </c>
      <c r="C2366" s="27" t="s">
        <v>1057</v>
      </c>
      <c r="D2366" s="27" t="s">
        <v>230</v>
      </c>
      <c r="E2366" s="29">
        <v>39813</v>
      </c>
      <c r="F2366" s="27">
        <v>15</v>
      </c>
      <c r="G2366" s="18">
        <v>103815.79</v>
      </c>
      <c r="H2366" s="27">
        <f t="shared" si="72"/>
        <v>103815.79</v>
      </c>
      <c r="I2366" s="18">
        <v>98624.99</v>
      </c>
      <c r="J2366" s="27">
        <v>103815.79</v>
      </c>
      <c r="K2366" s="18">
        <f t="shared" si="73"/>
        <v>103815.79</v>
      </c>
      <c r="L2366" s="27">
        <v>98624.99</v>
      </c>
      <c r="M2366" s="36">
        <v>0</v>
      </c>
      <c r="T2366" s="41">
        <v>0</v>
      </c>
      <c r="U2366" s="41">
        <v>0</v>
      </c>
      <c r="V2366" s="42" t="s">
        <v>113</v>
      </c>
      <c r="W2366" s="42">
        <v>103815.79</v>
      </c>
      <c r="X2366" s="42">
        <v>103815.79</v>
      </c>
    </row>
    <row r="2367" spans="1:24">
      <c r="A2367" s="27" t="s">
        <v>4422</v>
      </c>
      <c r="B2367" s="28" t="s">
        <v>215</v>
      </c>
      <c r="C2367" s="27" t="s">
        <v>4423</v>
      </c>
      <c r="D2367" s="27" t="s">
        <v>112</v>
      </c>
      <c r="E2367" s="29">
        <v>39813</v>
      </c>
      <c r="F2367" s="27">
        <v>15</v>
      </c>
      <c r="G2367" s="18">
        <v>200</v>
      </c>
      <c r="H2367" s="27">
        <f t="shared" si="72"/>
        <v>200</v>
      </c>
      <c r="I2367" s="18">
        <v>190</v>
      </c>
      <c r="J2367" s="27">
        <v>200</v>
      </c>
      <c r="K2367" s="18">
        <f t="shared" si="73"/>
        <v>200</v>
      </c>
      <c r="L2367" s="27">
        <v>190</v>
      </c>
      <c r="M2367" s="36">
        <v>0</v>
      </c>
      <c r="T2367" s="41">
        <v>0</v>
      </c>
      <c r="U2367" s="41">
        <v>0</v>
      </c>
      <c r="V2367" s="42" t="s">
        <v>113</v>
      </c>
      <c r="W2367" s="42">
        <v>200</v>
      </c>
      <c r="X2367" s="42">
        <v>200</v>
      </c>
    </row>
    <row r="2368" spans="1:24">
      <c r="A2368" s="27" t="s">
        <v>4424</v>
      </c>
      <c r="B2368" s="28" t="s">
        <v>215</v>
      </c>
      <c r="C2368" s="27" t="s">
        <v>4425</v>
      </c>
      <c r="D2368" s="27" t="s">
        <v>112</v>
      </c>
      <c r="E2368" s="29">
        <v>39813</v>
      </c>
      <c r="F2368" s="27">
        <v>15</v>
      </c>
      <c r="G2368" s="18">
        <v>200</v>
      </c>
      <c r="H2368" s="27">
        <f t="shared" si="72"/>
        <v>200</v>
      </c>
      <c r="I2368" s="18">
        <v>190</v>
      </c>
      <c r="J2368" s="27">
        <v>200</v>
      </c>
      <c r="K2368" s="18">
        <f t="shared" si="73"/>
        <v>200</v>
      </c>
      <c r="L2368" s="27">
        <v>190</v>
      </c>
      <c r="M2368" s="36">
        <v>0</v>
      </c>
      <c r="T2368" s="41">
        <v>0</v>
      </c>
      <c r="U2368" s="41">
        <v>0</v>
      </c>
      <c r="V2368" s="42" t="s">
        <v>113</v>
      </c>
      <c r="W2368" s="42">
        <v>200</v>
      </c>
      <c r="X2368" s="42">
        <v>200</v>
      </c>
    </row>
    <row r="2369" spans="1:24">
      <c r="A2369" s="27" t="s">
        <v>4426</v>
      </c>
      <c r="B2369" s="28" t="s">
        <v>215</v>
      </c>
      <c r="C2369" s="27" t="s">
        <v>4427</v>
      </c>
      <c r="D2369" s="27" t="s">
        <v>112</v>
      </c>
      <c r="E2369" s="29">
        <v>39813</v>
      </c>
      <c r="F2369" s="27">
        <v>15</v>
      </c>
      <c r="G2369" s="18">
        <v>200</v>
      </c>
      <c r="H2369" s="27">
        <f t="shared" si="72"/>
        <v>200</v>
      </c>
      <c r="I2369" s="18">
        <v>190</v>
      </c>
      <c r="J2369" s="27">
        <v>200</v>
      </c>
      <c r="K2369" s="18">
        <f t="shared" si="73"/>
        <v>200</v>
      </c>
      <c r="L2369" s="27">
        <v>190</v>
      </c>
      <c r="M2369" s="36">
        <v>0</v>
      </c>
      <c r="T2369" s="41">
        <v>0</v>
      </c>
      <c r="U2369" s="41">
        <v>0</v>
      </c>
      <c r="V2369" s="42" t="s">
        <v>113</v>
      </c>
      <c r="W2369" s="42">
        <v>200</v>
      </c>
      <c r="X2369" s="42">
        <v>200</v>
      </c>
    </row>
    <row r="2370" spans="1:24">
      <c r="A2370" s="27" t="s">
        <v>4428</v>
      </c>
      <c r="B2370" s="28" t="s">
        <v>215</v>
      </c>
      <c r="C2370" s="27" t="s">
        <v>4429</v>
      </c>
      <c r="D2370" s="27" t="s">
        <v>112</v>
      </c>
      <c r="E2370" s="29">
        <v>39813</v>
      </c>
      <c r="F2370" s="27">
        <v>15</v>
      </c>
      <c r="G2370" s="18">
        <v>200</v>
      </c>
      <c r="H2370" s="27">
        <f t="shared" si="72"/>
        <v>200</v>
      </c>
      <c r="I2370" s="18">
        <v>190</v>
      </c>
      <c r="J2370" s="27">
        <v>200</v>
      </c>
      <c r="K2370" s="18">
        <f t="shared" si="73"/>
        <v>200</v>
      </c>
      <c r="L2370" s="27">
        <v>190</v>
      </c>
      <c r="M2370" s="36">
        <v>0</v>
      </c>
      <c r="T2370" s="41">
        <v>0</v>
      </c>
      <c r="U2370" s="41">
        <v>0</v>
      </c>
      <c r="V2370" s="42" t="s">
        <v>113</v>
      </c>
      <c r="W2370" s="42">
        <v>200</v>
      </c>
      <c r="X2370" s="42">
        <v>200</v>
      </c>
    </row>
    <row r="2371" spans="1:24">
      <c r="A2371" s="27" t="s">
        <v>4430</v>
      </c>
      <c r="B2371" s="28" t="s">
        <v>215</v>
      </c>
      <c r="C2371" s="27" t="s">
        <v>4431</v>
      </c>
      <c r="D2371" s="27" t="s">
        <v>112</v>
      </c>
      <c r="E2371" s="29">
        <v>39813</v>
      </c>
      <c r="F2371" s="27">
        <v>15</v>
      </c>
      <c r="G2371" s="18">
        <v>200</v>
      </c>
      <c r="H2371" s="27">
        <f t="shared" si="72"/>
        <v>200</v>
      </c>
      <c r="I2371" s="18">
        <v>190</v>
      </c>
      <c r="J2371" s="27">
        <v>200</v>
      </c>
      <c r="K2371" s="18">
        <f t="shared" si="73"/>
        <v>200</v>
      </c>
      <c r="L2371" s="27">
        <v>190</v>
      </c>
      <c r="M2371" s="36">
        <v>0</v>
      </c>
      <c r="T2371" s="41">
        <v>0</v>
      </c>
      <c r="U2371" s="41">
        <v>0</v>
      </c>
      <c r="V2371" s="42" t="s">
        <v>113</v>
      </c>
      <c r="W2371" s="42">
        <v>200</v>
      </c>
      <c r="X2371" s="42">
        <v>200</v>
      </c>
    </row>
    <row r="2372" spans="1:24">
      <c r="A2372" s="27" t="s">
        <v>4432</v>
      </c>
      <c r="B2372" s="28" t="s">
        <v>215</v>
      </c>
      <c r="C2372" s="27" t="s">
        <v>4433</v>
      </c>
      <c r="D2372" s="27" t="s">
        <v>112</v>
      </c>
      <c r="E2372" s="29">
        <v>39813</v>
      </c>
      <c r="F2372" s="27">
        <v>15</v>
      </c>
      <c r="G2372" s="18">
        <v>200</v>
      </c>
      <c r="H2372" s="27">
        <f t="shared" si="72"/>
        <v>200</v>
      </c>
      <c r="I2372" s="18">
        <v>190</v>
      </c>
      <c r="J2372" s="27">
        <v>200</v>
      </c>
      <c r="K2372" s="18">
        <f t="shared" si="73"/>
        <v>200</v>
      </c>
      <c r="L2372" s="27">
        <v>190</v>
      </c>
      <c r="M2372" s="36">
        <v>0</v>
      </c>
      <c r="T2372" s="41">
        <v>0</v>
      </c>
      <c r="U2372" s="41">
        <v>0</v>
      </c>
      <c r="V2372" s="42" t="s">
        <v>113</v>
      </c>
      <c r="W2372" s="42">
        <v>200</v>
      </c>
      <c r="X2372" s="42">
        <v>200</v>
      </c>
    </row>
    <row r="2373" spans="1:24">
      <c r="A2373" s="27" t="s">
        <v>4434</v>
      </c>
      <c r="B2373" s="28" t="s">
        <v>215</v>
      </c>
      <c r="C2373" s="27" t="s">
        <v>1880</v>
      </c>
      <c r="D2373" s="27" t="s">
        <v>112</v>
      </c>
      <c r="E2373" s="29">
        <v>39813</v>
      </c>
      <c r="F2373" s="27">
        <v>15</v>
      </c>
      <c r="G2373" s="18">
        <v>200</v>
      </c>
      <c r="H2373" s="27">
        <f t="shared" si="72"/>
        <v>200</v>
      </c>
      <c r="I2373" s="18">
        <v>190</v>
      </c>
      <c r="J2373" s="27">
        <v>200</v>
      </c>
      <c r="K2373" s="18">
        <f t="shared" si="73"/>
        <v>200</v>
      </c>
      <c r="L2373" s="27">
        <v>190</v>
      </c>
      <c r="M2373" s="36">
        <v>0</v>
      </c>
      <c r="T2373" s="41">
        <v>0</v>
      </c>
      <c r="U2373" s="41">
        <v>0</v>
      </c>
      <c r="V2373" s="42" t="s">
        <v>113</v>
      </c>
      <c r="W2373" s="42">
        <v>200</v>
      </c>
      <c r="X2373" s="42">
        <v>200</v>
      </c>
    </row>
    <row r="2374" spans="1:24">
      <c r="A2374" s="27" t="s">
        <v>4435</v>
      </c>
      <c r="B2374" s="28" t="s">
        <v>215</v>
      </c>
      <c r="C2374" s="27" t="s">
        <v>1882</v>
      </c>
      <c r="D2374" s="27" t="s">
        <v>112</v>
      </c>
      <c r="E2374" s="29">
        <v>39813</v>
      </c>
      <c r="F2374" s="27">
        <v>15</v>
      </c>
      <c r="G2374" s="18">
        <v>200</v>
      </c>
      <c r="H2374" s="27">
        <f t="shared" ref="H2374:H2437" si="74">IFERROR(IF(ROUND((G2374-I2374)/G2374,2)&lt;=0.05,G2374,0),0)</f>
        <v>200</v>
      </c>
      <c r="I2374" s="18">
        <v>190</v>
      </c>
      <c r="J2374" s="27">
        <v>200</v>
      </c>
      <c r="K2374" s="18">
        <f t="shared" ref="K2374:K2437" si="75">IFERROR(IF(ROUND((J2374-L2374)/J2374,2)&lt;=0.05,J2374,0),0)</f>
        <v>200</v>
      </c>
      <c r="L2374" s="27">
        <v>190</v>
      </c>
      <c r="M2374" s="36">
        <v>0</v>
      </c>
      <c r="T2374" s="41">
        <v>0</v>
      </c>
      <c r="U2374" s="41">
        <v>0</v>
      </c>
      <c r="V2374" s="42" t="s">
        <v>113</v>
      </c>
      <c r="W2374" s="42">
        <v>200</v>
      </c>
      <c r="X2374" s="42">
        <v>200</v>
      </c>
    </row>
    <row r="2375" spans="1:24">
      <c r="A2375" s="27" t="s">
        <v>4436</v>
      </c>
      <c r="B2375" s="28" t="s">
        <v>215</v>
      </c>
      <c r="C2375" s="27" t="s">
        <v>1884</v>
      </c>
      <c r="D2375" s="27" t="s">
        <v>112</v>
      </c>
      <c r="E2375" s="29">
        <v>39813</v>
      </c>
      <c r="F2375" s="27">
        <v>15</v>
      </c>
      <c r="G2375" s="18">
        <v>200</v>
      </c>
      <c r="H2375" s="27">
        <f t="shared" si="74"/>
        <v>200</v>
      </c>
      <c r="I2375" s="18">
        <v>190</v>
      </c>
      <c r="J2375" s="27">
        <v>200</v>
      </c>
      <c r="K2375" s="18">
        <f t="shared" si="75"/>
        <v>200</v>
      </c>
      <c r="L2375" s="27">
        <v>190</v>
      </c>
      <c r="M2375" s="36">
        <v>0</v>
      </c>
      <c r="T2375" s="41">
        <v>0</v>
      </c>
      <c r="U2375" s="41">
        <v>0</v>
      </c>
      <c r="V2375" s="42" t="s">
        <v>113</v>
      </c>
      <c r="W2375" s="42">
        <v>200</v>
      </c>
      <c r="X2375" s="42">
        <v>200</v>
      </c>
    </row>
    <row r="2376" spans="1:24">
      <c r="A2376" s="27" t="s">
        <v>4437</v>
      </c>
      <c r="B2376" s="28" t="s">
        <v>215</v>
      </c>
      <c r="C2376" s="27" t="s">
        <v>4438</v>
      </c>
      <c r="D2376" s="27" t="s">
        <v>230</v>
      </c>
      <c r="E2376" s="29">
        <v>39813</v>
      </c>
      <c r="F2376" s="27">
        <v>15</v>
      </c>
      <c r="G2376" s="18">
        <v>13483.2</v>
      </c>
      <c r="H2376" s="27">
        <f t="shared" si="74"/>
        <v>13483.2</v>
      </c>
      <c r="I2376" s="18">
        <v>12809.04</v>
      </c>
      <c r="J2376" s="27">
        <v>13483.2</v>
      </c>
      <c r="K2376" s="18">
        <f t="shared" si="75"/>
        <v>13483.2</v>
      </c>
      <c r="L2376" s="27">
        <v>12809.04</v>
      </c>
      <c r="M2376" s="36">
        <v>0</v>
      </c>
      <c r="T2376" s="41">
        <v>0</v>
      </c>
      <c r="U2376" s="41">
        <v>0</v>
      </c>
      <c r="V2376" s="42" t="s">
        <v>113</v>
      </c>
      <c r="W2376" s="42">
        <v>13483.2</v>
      </c>
      <c r="X2376" s="42">
        <v>13483.2</v>
      </c>
    </row>
    <row r="2377" spans="1:24">
      <c r="A2377" s="27" t="s">
        <v>4439</v>
      </c>
      <c r="B2377" s="28" t="s">
        <v>215</v>
      </c>
      <c r="C2377" s="27" t="s">
        <v>4440</v>
      </c>
      <c r="D2377" s="27" t="s">
        <v>112</v>
      </c>
      <c r="E2377" s="29">
        <v>40543</v>
      </c>
      <c r="F2377" s="27">
        <v>15</v>
      </c>
      <c r="G2377" s="18">
        <v>33000</v>
      </c>
      <c r="H2377" s="27">
        <f t="shared" si="74"/>
        <v>0</v>
      </c>
      <c r="I2377" s="18">
        <v>25635.16</v>
      </c>
      <c r="J2377" s="27">
        <v>33000</v>
      </c>
      <c r="K2377" s="18">
        <f t="shared" si="75"/>
        <v>0</v>
      </c>
      <c r="L2377" s="27">
        <v>26451.57</v>
      </c>
      <c r="M2377" s="36">
        <v>816.41</v>
      </c>
      <c r="T2377" s="41">
        <v>0</v>
      </c>
      <c r="U2377" s="41">
        <v>0</v>
      </c>
      <c r="V2377" s="42" t="s">
        <v>113</v>
      </c>
      <c r="W2377" s="42">
        <v>0</v>
      </c>
      <c r="X2377" s="42">
        <v>0</v>
      </c>
    </row>
    <row r="2378" spans="1:24">
      <c r="A2378" s="27" t="s">
        <v>4441</v>
      </c>
      <c r="B2378" s="28" t="s">
        <v>215</v>
      </c>
      <c r="C2378" s="27" t="s">
        <v>4442</v>
      </c>
      <c r="D2378" s="27" t="s">
        <v>112</v>
      </c>
      <c r="E2378" s="29">
        <v>40543</v>
      </c>
      <c r="F2378" s="27">
        <v>15</v>
      </c>
      <c r="G2378" s="18">
        <v>33000</v>
      </c>
      <c r="H2378" s="27">
        <f t="shared" si="74"/>
        <v>0</v>
      </c>
      <c r="I2378" s="18">
        <v>25635.16</v>
      </c>
      <c r="J2378" s="27">
        <v>33000</v>
      </c>
      <c r="K2378" s="18">
        <f t="shared" si="75"/>
        <v>0</v>
      </c>
      <c r="L2378" s="27">
        <v>26451.57</v>
      </c>
      <c r="M2378" s="36">
        <v>816.41</v>
      </c>
      <c r="T2378" s="41">
        <v>0</v>
      </c>
      <c r="U2378" s="41">
        <v>0</v>
      </c>
      <c r="V2378" s="42" t="s">
        <v>113</v>
      </c>
      <c r="W2378" s="42">
        <v>0</v>
      </c>
      <c r="X2378" s="42">
        <v>0</v>
      </c>
    </row>
    <row r="2379" spans="1:24">
      <c r="A2379" s="27" t="s">
        <v>4443</v>
      </c>
      <c r="B2379" s="28" t="s">
        <v>215</v>
      </c>
      <c r="C2379" s="27" t="s">
        <v>4444</v>
      </c>
      <c r="D2379" s="27" t="s">
        <v>112</v>
      </c>
      <c r="E2379" s="29">
        <v>40543</v>
      </c>
      <c r="F2379" s="27">
        <v>15</v>
      </c>
      <c r="G2379" s="18">
        <v>33000</v>
      </c>
      <c r="H2379" s="27">
        <f t="shared" si="74"/>
        <v>0</v>
      </c>
      <c r="I2379" s="18">
        <v>25635.16</v>
      </c>
      <c r="J2379" s="27">
        <v>33000</v>
      </c>
      <c r="K2379" s="18">
        <f t="shared" si="75"/>
        <v>0</v>
      </c>
      <c r="L2379" s="27">
        <v>26451.57</v>
      </c>
      <c r="M2379" s="36">
        <v>816.41</v>
      </c>
      <c r="T2379" s="41">
        <v>0</v>
      </c>
      <c r="U2379" s="41">
        <v>0</v>
      </c>
      <c r="V2379" s="42" t="s">
        <v>113</v>
      </c>
      <c r="W2379" s="42">
        <v>0</v>
      </c>
      <c r="X2379" s="42">
        <v>0</v>
      </c>
    </row>
    <row r="2380" spans="1:24">
      <c r="A2380" s="27" t="s">
        <v>4445</v>
      </c>
      <c r="B2380" s="28" t="s">
        <v>215</v>
      </c>
      <c r="C2380" s="27" t="s">
        <v>4446</v>
      </c>
      <c r="D2380" s="27" t="s">
        <v>230</v>
      </c>
      <c r="E2380" s="29">
        <v>39813</v>
      </c>
      <c r="F2380" s="27">
        <v>15</v>
      </c>
      <c r="G2380" s="18">
        <v>1260</v>
      </c>
      <c r="H2380" s="27">
        <f t="shared" si="74"/>
        <v>1260</v>
      </c>
      <c r="I2380" s="18">
        <v>1197</v>
      </c>
      <c r="J2380" s="27">
        <v>1260</v>
      </c>
      <c r="K2380" s="18">
        <f t="shared" si="75"/>
        <v>1260</v>
      </c>
      <c r="L2380" s="27">
        <v>1197</v>
      </c>
      <c r="M2380" s="36">
        <v>0</v>
      </c>
      <c r="T2380" s="41">
        <v>0</v>
      </c>
      <c r="U2380" s="41">
        <v>0</v>
      </c>
      <c r="V2380" s="42" t="s">
        <v>113</v>
      </c>
      <c r="W2380" s="42">
        <v>1260</v>
      </c>
      <c r="X2380" s="42">
        <v>1260</v>
      </c>
    </row>
    <row r="2381" spans="1:24">
      <c r="A2381" s="27" t="s">
        <v>4447</v>
      </c>
      <c r="B2381" s="28" t="s">
        <v>215</v>
      </c>
      <c r="C2381" s="27" t="s">
        <v>4448</v>
      </c>
      <c r="D2381" s="27" t="s">
        <v>230</v>
      </c>
      <c r="E2381" s="29">
        <v>39813</v>
      </c>
      <c r="F2381" s="27">
        <v>15</v>
      </c>
      <c r="G2381" s="18">
        <v>1260</v>
      </c>
      <c r="H2381" s="27">
        <f t="shared" si="74"/>
        <v>1260</v>
      </c>
      <c r="I2381" s="18">
        <v>1197</v>
      </c>
      <c r="J2381" s="27">
        <v>1260</v>
      </c>
      <c r="K2381" s="18">
        <f t="shared" si="75"/>
        <v>1260</v>
      </c>
      <c r="L2381" s="27">
        <v>1197</v>
      </c>
      <c r="M2381" s="36">
        <v>0</v>
      </c>
      <c r="T2381" s="41">
        <v>0</v>
      </c>
      <c r="U2381" s="41">
        <v>0</v>
      </c>
      <c r="V2381" s="42" t="s">
        <v>113</v>
      </c>
      <c r="W2381" s="42">
        <v>1260</v>
      </c>
      <c r="X2381" s="42">
        <v>1260</v>
      </c>
    </row>
    <row r="2382" spans="1:24">
      <c r="A2382" s="27" t="s">
        <v>4449</v>
      </c>
      <c r="B2382" s="28" t="s">
        <v>215</v>
      </c>
      <c r="C2382" s="27" t="s">
        <v>4450</v>
      </c>
      <c r="D2382" s="27" t="s">
        <v>230</v>
      </c>
      <c r="E2382" s="29">
        <v>39813</v>
      </c>
      <c r="F2382" s="27">
        <v>15</v>
      </c>
      <c r="G2382" s="18">
        <v>1260</v>
      </c>
      <c r="H2382" s="27">
        <f t="shared" si="74"/>
        <v>1260</v>
      </c>
      <c r="I2382" s="18">
        <v>1197</v>
      </c>
      <c r="J2382" s="27">
        <v>1260</v>
      </c>
      <c r="K2382" s="18">
        <f t="shared" si="75"/>
        <v>1260</v>
      </c>
      <c r="L2382" s="27">
        <v>1197</v>
      </c>
      <c r="M2382" s="36">
        <v>0</v>
      </c>
      <c r="T2382" s="41">
        <v>0</v>
      </c>
      <c r="U2382" s="41">
        <v>0</v>
      </c>
      <c r="V2382" s="42" t="s">
        <v>113</v>
      </c>
      <c r="W2382" s="42">
        <v>1260</v>
      </c>
      <c r="X2382" s="42">
        <v>1260</v>
      </c>
    </row>
    <row r="2383" spans="1:24">
      <c r="A2383" s="27" t="s">
        <v>4451</v>
      </c>
      <c r="B2383" s="28" t="s">
        <v>215</v>
      </c>
      <c r="C2383" s="27" t="s">
        <v>1474</v>
      </c>
      <c r="D2383" s="27" t="s">
        <v>230</v>
      </c>
      <c r="E2383" s="29">
        <v>39813</v>
      </c>
      <c r="F2383" s="27">
        <v>15</v>
      </c>
      <c r="G2383" s="18">
        <v>1260</v>
      </c>
      <c r="H2383" s="27">
        <f t="shared" si="74"/>
        <v>1260</v>
      </c>
      <c r="I2383" s="18">
        <v>1197</v>
      </c>
      <c r="J2383" s="27">
        <v>1260</v>
      </c>
      <c r="K2383" s="18">
        <f t="shared" si="75"/>
        <v>1260</v>
      </c>
      <c r="L2383" s="27">
        <v>1197</v>
      </c>
      <c r="M2383" s="36">
        <v>0</v>
      </c>
      <c r="T2383" s="41">
        <v>0</v>
      </c>
      <c r="U2383" s="41">
        <v>0</v>
      </c>
      <c r="V2383" s="42" t="s">
        <v>113</v>
      </c>
      <c r="W2383" s="42">
        <v>1260</v>
      </c>
      <c r="X2383" s="42">
        <v>1260</v>
      </c>
    </row>
    <row r="2384" spans="1:24">
      <c r="A2384" s="27" t="s">
        <v>4452</v>
      </c>
      <c r="B2384" s="28" t="s">
        <v>215</v>
      </c>
      <c r="C2384" s="27" t="s">
        <v>1476</v>
      </c>
      <c r="D2384" s="27" t="s">
        <v>230</v>
      </c>
      <c r="E2384" s="29">
        <v>39813</v>
      </c>
      <c r="F2384" s="27">
        <v>15</v>
      </c>
      <c r="G2384" s="18">
        <v>1260</v>
      </c>
      <c r="H2384" s="27">
        <f t="shared" si="74"/>
        <v>1260</v>
      </c>
      <c r="I2384" s="18">
        <v>1197</v>
      </c>
      <c r="J2384" s="27">
        <v>1260</v>
      </c>
      <c r="K2384" s="18">
        <f t="shared" si="75"/>
        <v>1260</v>
      </c>
      <c r="L2384" s="27">
        <v>1197</v>
      </c>
      <c r="M2384" s="36">
        <v>0</v>
      </c>
      <c r="T2384" s="41">
        <v>0</v>
      </c>
      <c r="U2384" s="41">
        <v>0</v>
      </c>
      <c r="V2384" s="42" t="s">
        <v>113</v>
      </c>
      <c r="W2384" s="42">
        <v>1260</v>
      </c>
      <c r="X2384" s="42">
        <v>1260</v>
      </c>
    </row>
    <row r="2385" spans="1:24">
      <c r="A2385" s="27" t="s">
        <v>4453</v>
      </c>
      <c r="B2385" s="28" t="s">
        <v>215</v>
      </c>
      <c r="C2385" s="27" t="s">
        <v>1472</v>
      </c>
      <c r="D2385" s="27" t="s">
        <v>230</v>
      </c>
      <c r="E2385" s="29">
        <v>39813</v>
      </c>
      <c r="F2385" s="27">
        <v>15</v>
      </c>
      <c r="G2385" s="18">
        <v>1260</v>
      </c>
      <c r="H2385" s="27">
        <f t="shared" si="74"/>
        <v>1260</v>
      </c>
      <c r="I2385" s="18">
        <v>1197</v>
      </c>
      <c r="J2385" s="27">
        <v>1260</v>
      </c>
      <c r="K2385" s="18">
        <f t="shared" si="75"/>
        <v>1260</v>
      </c>
      <c r="L2385" s="27">
        <v>1197</v>
      </c>
      <c r="M2385" s="36">
        <v>0</v>
      </c>
      <c r="T2385" s="41">
        <v>0</v>
      </c>
      <c r="U2385" s="41">
        <v>0</v>
      </c>
      <c r="V2385" s="42" t="s">
        <v>113</v>
      </c>
      <c r="W2385" s="42">
        <v>1260</v>
      </c>
      <c r="X2385" s="42">
        <v>1260</v>
      </c>
    </row>
    <row r="2386" spans="1:24">
      <c r="A2386" s="27" t="s">
        <v>4454</v>
      </c>
      <c r="B2386" s="28" t="s">
        <v>215</v>
      </c>
      <c r="C2386" s="27" t="s">
        <v>4455</v>
      </c>
      <c r="D2386" s="27" t="s">
        <v>230</v>
      </c>
      <c r="E2386" s="29">
        <v>41257</v>
      </c>
      <c r="F2386" s="27">
        <v>15</v>
      </c>
      <c r="G2386" s="18">
        <v>6894.51</v>
      </c>
      <c r="H2386" s="27">
        <f t="shared" si="74"/>
        <v>0</v>
      </c>
      <c r="I2386" s="18">
        <v>3111.15</v>
      </c>
      <c r="J2386" s="27">
        <v>6894.51</v>
      </c>
      <c r="K2386" s="18">
        <f t="shared" si="75"/>
        <v>0</v>
      </c>
      <c r="L2386" s="27">
        <v>3493.22</v>
      </c>
      <c r="M2386" s="36">
        <v>382.07</v>
      </c>
      <c r="T2386" s="41">
        <v>0</v>
      </c>
      <c r="U2386" s="41">
        <v>0</v>
      </c>
      <c r="V2386" s="42" t="s">
        <v>113</v>
      </c>
      <c r="W2386" s="42">
        <v>0</v>
      </c>
      <c r="X2386" s="42">
        <v>0</v>
      </c>
    </row>
    <row r="2387" spans="1:24">
      <c r="A2387" s="27" t="s">
        <v>4456</v>
      </c>
      <c r="B2387" s="28" t="s">
        <v>215</v>
      </c>
      <c r="C2387" s="27" t="s">
        <v>4457</v>
      </c>
      <c r="D2387" s="27" t="s">
        <v>230</v>
      </c>
      <c r="E2387" s="29">
        <v>41257</v>
      </c>
      <c r="F2387" s="27">
        <v>15</v>
      </c>
      <c r="G2387" s="18">
        <v>163905.96</v>
      </c>
      <c r="H2387" s="27">
        <f t="shared" si="74"/>
        <v>0</v>
      </c>
      <c r="I2387" s="18">
        <v>73962.559999999998</v>
      </c>
      <c r="J2387" s="27">
        <v>163905.96</v>
      </c>
      <c r="K2387" s="18">
        <f t="shared" si="75"/>
        <v>0</v>
      </c>
      <c r="L2387" s="27">
        <v>83045.679999999993</v>
      </c>
      <c r="M2387" s="36">
        <v>9083.1200000000008</v>
      </c>
      <c r="T2387" s="41">
        <v>0</v>
      </c>
      <c r="U2387" s="41">
        <v>0</v>
      </c>
      <c r="V2387" s="42" t="s">
        <v>113</v>
      </c>
      <c r="W2387" s="42">
        <v>0</v>
      </c>
      <c r="X2387" s="42">
        <v>0</v>
      </c>
    </row>
    <row r="2388" spans="1:24">
      <c r="A2388" s="27" t="s">
        <v>4458</v>
      </c>
      <c r="B2388" s="28" t="s">
        <v>215</v>
      </c>
      <c r="C2388" s="27" t="s">
        <v>2696</v>
      </c>
      <c r="D2388" s="27" t="s">
        <v>230</v>
      </c>
      <c r="E2388" s="29">
        <v>41257</v>
      </c>
      <c r="F2388" s="27">
        <v>15</v>
      </c>
      <c r="G2388" s="18">
        <v>141905.96</v>
      </c>
      <c r="H2388" s="27">
        <f t="shared" si="74"/>
        <v>0</v>
      </c>
      <c r="I2388" s="18">
        <v>113577.99</v>
      </c>
      <c r="J2388" s="27">
        <v>141905.96</v>
      </c>
      <c r="K2388" s="18">
        <f t="shared" si="75"/>
        <v>0</v>
      </c>
      <c r="L2388" s="27">
        <v>115937.18</v>
      </c>
      <c r="M2388" s="36">
        <v>2359.19</v>
      </c>
      <c r="T2388" s="41">
        <v>0</v>
      </c>
      <c r="U2388" s="41">
        <v>0</v>
      </c>
      <c r="V2388" s="42" t="s">
        <v>113</v>
      </c>
      <c r="W2388" s="42">
        <v>0</v>
      </c>
      <c r="X2388" s="42">
        <v>0</v>
      </c>
    </row>
    <row r="2389" spans="1:24">
      <c r="A2389" s="27" t="s">
        <v>4459</v>
      </c>
      <c r="B2389" s="28" t="s">
        <v>215</v>
      </c>
      <c r="C2389" s="27" t="s">
        <v>4460</v>
      </c>
      <c r="D2389" s="27" t="s">
        <v>230</v>
      </c>
      <c r="E2389" s="29">
        <v>41257</v>
      </c>
      <c r="F2389" s="27">
        <v>15</v>
      </c>
      <c r="G2389" s="18">
        <v>4000</v>
      </c>
      <c r="H2389" s="27">
        <f t="shared" si="74"/>
        <v>0</v>
      </c>
      <c r="I2389" s="18">
        <v>3201.5</v>
      </c>
      <c r="J2389" s="27">
        <v>4000</v>
      </c>
      <c r="K2389" s="18">
        <f t="shared" si="75"/>
        <v>0</v>
      </c>
      <c r="L2389" s="27">
        <v>3268</v>
      </c>
      <c r="M2389" s="36">
        <v>66.5</v>
      </c>
      <c r="T2389" s="41">
        <v>0</v>
      </c>
      <c r="U2389" s="41">
        <v>0</v>
      </c>
      <c r="V2389" s="42" t="s">
        <v>113</v>
      </c>
      <c r="W2389" s="42">
        <v>0</v>
      </c>
      <c r="X2389" s="42">
        <v>0</v>
      </c>
    </row>
    <row r="2390" spans="1:24">
      <c r="A2390" s="27" t="s">
        <v>4461</v>
      </c>
      <c r="B2390" s="28" t="s">
        <v>215</v>
      </c>
      <c r="C2390" s="27" t="s">
        <v>4462</v>
      </c>
      <c r="D2390" s="27" t="s">
        <v>230</v>
      </c>
      <c r="E2390" s="29">
        <v>41257</v>
      </c>
      <c r="F2390" s="27">
        <v>15</v>
      </c>
      <c r="G2390" s="18">
        <v>141905.96</v>
      </c>
      <c r="H2390" s="27">
        <f t="shared" si="74"/>
        <v>0</v>
      </c>
      <c r="I2390" s="18">
        <v>113577.98</v>
      </c>
      <c r="J2390" s="27">
        <v>141905.96</v>
      </c>
      <c r="K2390" s="18">
        <f t="shared" si="75"/>
        <v>0</v>
      </c>
      <c r="L2390" s="27">
        <v>115937.17</v>
      </c>
      <c r="M2390" s="36">
        <v>2359.19</v>
      </c>
      <c r="T2390" s="41">
        <v>0</v>
      </c>
      <c r="U2390" s="41">
        <v>0</v>
      </c>
      <c r="V2390" s="42" t="s">
        <v>113</v>
      </c>
      <c r="W2390" s="42">
        <v>0</v>
      </c>
      <c r="X2390" s="42">
        <v>0</v>
      </c>
    </row>
    <row r="2391" spans="1:24">
      <c r="A2391" s="27" t="s">
        <v>4463</v>
      </c>
      <c r="B2391" s="28" t="s">
        <v>215</v>
      </c>
      <c r="C2391" s="27" t="s">
        <v>4455</v>
      </c>
      <c r="D2391" s="27" t="s">
        <v>230</v>
      </c>
      <c r="E2391" s="29">
        <v>41257</v>
      </c>
      <c r="F2391" s="27">
        <v>15</v>
      </c>
      <c r="G2391" s="18">
        <v>4000</v>
      </c>
      <c r="H2391" s="27">
        <f t="shared" si="74"/>
        <v>0</v>
      </c>
      <c r="I2391" s="18">
        <v>3201.5</v>
      </c>
      <c r="J2391" s="27">
        <v>4000</v>
      </c>
      <c r="K2391" s="18">
        <f t="shared" si="75"/>
        <v>0</v>
      </c>
      <c r="L2391" s="27">
        <v>3268</v>
      </c>
      <c r="M2391" s="36">
        <v>66.5</v>
      </c>
      <c r="T2391" s="41">
        <v>0</v>
      </c>
      <c r="U2391" s="41">
        <v>0</v>
      </c>
      <c r="V2391" s="42" t="s">
        <v>113</v>
      </c>
      <c r="W2391" s="42">
        <v>0</v>
      </c>
      <c r="X2391" s="42">
        <v>0</v>
      </c>
    </row>
    <row r="2392" spans="1:24">
      <c r="A2392" s="27" t="s">
        <v>4464</v>
      </c>
      <c r="B2392" s="28" t="s">
        <v>215</v>
      </c>
      <c r="C2392" s="27" t="s">
        <v>4465</v>
      </c>
      <c r="D2392" s="27" t="s">
        <v>112</v>
      </c>
      <c r="E2392" s="29">
        <v>39813</v>
      </c>
      <c r="F2392" s="27">
        <v>15</v>
      </c>
      <c r="G2392" s="18">
        <v>23000</v>
      </c>
      <c r="H2392" s="27">
        <f t="shared" si="74"/>
        <v>23000</v>
      </c>
      <c r="I2392" s="18">
        <v>21850</v>
      </c>
      <c r="J2392" s="27">
        <v>23000</v>
      </c>
      <c r="K2392" s="18">
        <f t="shared" si="75"/>
        <v>23000</v>
      </c>
      <c r="L2392" s="27">
        <v>21850</v>
      </c>
      <c r="M2392" s="36">
        <v>0</v>
      </c>
      <c r="T2392" s="41">
        <v>0</v>
      </c>
      <c r="U2392" s="41">
        <v>0</v>
      </c>
      <c r="V2392" s="42" t="s">
        <v>113</v>
      </c>
      <c r="W2392" s="42">
        <v>23000</v>
      </c>
      <c r="X2392" s="42">
        <v>23000</v>
      </c>
    </row>
    <row r="2393" spans="1:24">
      <c r="A2393" s="27" t="s">
        <v>4466</v>
      </c>
      <c r="B2393" s="28" t="s">
        <v>215</v>
      </c>
      <c r="C2393" s="27" t="s">
        <v>4467</v>
      </c>
      <c r="D2393" s="27" t="s">
        <v>112</v>
      </c>
      <c r="E2393" s="29">
        <v>39813</v>
      </c>
      <c r="F2393" s="27">
        <v>15</v>
      </c>
      <c r="G2393" s="18">
        <v>23000</v>
      </c>
      <c r="H2393" s="27">
        <f t="shared" si="74"/>
        <v>23000</v>
      </c>
      <c r="I2393" s="18">
        <v>21850</v>
      </c>
      <c r="J2393" s="27">
        <v>23000</v>
      </c>
      <c r="K2393" s="18">
        <f t="shared" si="75"/>
        <v>23000</v>
      </c>
      <c r="L2393" s="27">
        <v>21850</v>
      </c>
      <c r="M2393" s="36">
        <v>0</v>
      </c>
      <c r="T2393" s="41">
        <v>0</v>
      </c>
      <c r="U2393" s="41">
        <v>0</v>
      </c>
      <c r="V2393" s="42" t="s">
        <v>113</v>
      </c>
      <c r="W2393" s="42">
        <v>23000</v>
      </c>
      <c r="X2393" s="42">
        <v>23000</v>
      </c>
    </row>
    <row r="2394" spans="1:24">
      <c r="A2394" s="27" t="s">
        <v>4468</v>
      </c>
      <c r="B2394" s="28" t="s">
        <v>215</v>
      </c>
      <c r="C2394" s="27" t="s">
        <v>4469</v>
      </c>
      <c r="D2394" s="27" t="s">
        <v>118</v>
      </c>
      <c r="E2394" s="29">
        <v>40170</v>
      </c>
      <c r="F2394" s="27">
        <v>15</v>
      </c>
      <c r="G2394" s="18">
        <v>5572.65</v>
      </c>
      <c r="H2394" s="27">
        <f t="shared" si="74"/>
        <v>5572.65</v>
      </c>
      <c r="I2394" s="18">
        <v>5294.02</v>
      </c>
      <c r="J2394" s="27">
        <v>5572.65</v>
      </c>
      <c r="K2394" s="18">
        <f t="shared" si="75"/>
        <v>5572.65</v>
      </c>
      <c r="L2394" s="27">
        <v>5294.02</v>
      </c>
      <c r="M2394" s="36">
        <v>0</v>
      </c>
      <c r="T2394" s="41">
        <v>0</v>
      </c>
      <c r="U2394" s="41">
        <v>0</v>
      </c>
      <c r="V2394" s="42" t="s">
        <v>113</v>
      </c>
      <c r="W2394" s="42">
        <v>5572.65</v>
      </c>
      <c r="X2394" s="42">
        <v>5572.65</v>
      </c>
    </row>
    <row r="2395" spans="1:24">
      <c r="A2395" s="27" t="s">
        <v>4470</v>
      </c>
      <c r="B2395" s="28" t="s">
        <v>215</v>
      </c>
      <c r="C2395" s="27" t="s">
        <v>4471</v>
      </c>
      <c r="D2395" s="27" t="s">
        <v>118</v>
      </c>
      <c r="E2395" s="29">
        <v>40170</v>
      </c>
      <c r="F2395" s="27">
        <v>15</v>
      </c>
      <c r="G2395" s="18">
        <v>5572.68</v>
      </c>
      <c r="H2395" s="27">
        <f t="shared" si="74"/>
        <v>5572.68</v>
      </c>
      <c r="I2395" s="18">
        <v>5294.05</v>
      </c>
      <c r="J2395" s="27">
        <v>5572.68</v>
      </c>
      <c r="K2395" s="18">
        <f t="shared" si="75"/>
        <v>5572.68</v>
      </c>
      <c r="L2395" s="27">
        <v>5294.05</v>
      </c>
      <c r="M2395" s="36">
        <v>0</v>
      </c>
      <c r="T2395" s="41">
        <v>0</v>
      </c>
      <c r="U2395" s="41">
        <v>0</v>
      </c>
      <c r="V2395" s="42" t="s">
        <v>113</v>
      </c>
      <c r="W2395" s="42">
        <v>5572.68</v>
      </c>
      <c r="X2395" s="42">
        <v>5572.68</v>
      </c>
    </row>
    <row r="2396" spans="1:24">
      <c r="A2396" s="27" t="s">
        <v>4472</v>
      </c>
      <c r="B2396" s="28" t="s">
        <v>215</v>
      </c>
      <c r="C2396" s="27" t="s">
        <v>4473</v>
      </c>
      <c r="D2396" s="27" t="s">
        <v>118</v>
      </c>
      <c r="E2396" s="29">
        <v>40170</v>
      </c>
      <c r="F2396" s="27">
        <v>15</v>
      </c>
      <c r="G2396" s="18">
        <v>5572.68</v>
      </c>
      <c r="H2396" s="27">
        <f t="shared" si="74"/>
        <v>5572.68</v>
      </c>
      <c r="I2396" s="18">
        <v>5294.05</v>
      </c>
      <c r="J2396" s="27">
        <v>5572.68</v>
      </c>
      <c r="K2396" s="18">
        <f t="shared" si="75"/>
        <v>5572.68</v>
      </c>
      <c r="L2396" s="27">
        <v>5294.05</v>
      </c>
      <c r="M2396" s="36">
        <v>0</v>
      </c>
      <c r="T2396" s="41">
        <v>0</v>
      </c>
      <c r="U2396" s="41">
        <v>0</v>
      </c>
      <c r="V2396" s="42" t="s">
        <v>113</v>
      </c>
      <c r="W2396" s="42">
        <v>5572.68</v>
      </c>
      <c r="X2396" s="42">
        <v>5572.68</v>
      </c>
    </row>
    <row r="2397" spans="1:24">
      <c r="A2397" s="27" t="s">
        <v>4474</v>
      </c>
      <c r="B2397" s="28" t="s">
        <v>215</v>
      </c>
      <c r="C2397" s="27" t="s">
        <v>4475</v>
      </c>
      <c r="D2397" s="27" t="s">
        <v>112</v>
      </c>
      <c r="E2397" s="29">
        <v>40268</v>
      </c>
      <c r="F2397" s="27">
        <v>15</v>
      </c>
      <c r="G2397" s="18">
        <v>47301.99</v>
      </c>
      <c r="H2397" s="27">
        <f t="shared" si="74"/>
        <v>0</v>
      </c>
      <c r="I2397" s="18">
        <v>32462.86</v>
      </c>
      <c r="J2397" s="27">
        <v>47301.99</v>
      </c>
      <c r="K2397" s="18">
        <f t="shared" si="75"/>
        <v>0</v>
      </c>
      <c r="L2397" s="27">
        <v>34458.699999999997</v>
      </c>
      <c r="M2397" s="36">
        <v>1995.84</v>
      </c>
      <c r="T2397" s="41">
        <v>0</v>
      </c>
      <c r="U2397" s="41">
        <v>0</v>
      </c>
      <c r="V2397" s="42" t="s">
        <v>113</v>
      </c>
      <c r="W2397" s="42">
        <v>0</v>
      </c>
      <c r="X2397" s="42">
        <v>0</v>
      </c>
    </row>
    <row r="2398" spans="1:24">
      <c r="A2398" s="27" t="s">
        <v>4476</v>
      </c>
      <c r="B2398" s="28" t="s">
        <v>215</v>
      </c>
      <c r="C2398" s="27" t="s">
        <v>4477</v>
      </c>
      <c r="D2398" s="27" t="s">
        <v>112</v>
      </c>
      <c r="E2398" s="29">
        <v>40268</v>
      </c>
      <c r="F2398" s="27">
        <v>12</v>
      </c>
      <c r="G2398" s="18">
        <v>1569.69</v>
      </c>
      <c r="H2398" s="27">
        <f t="shared" si="74"/>
        <v>1569.69</v>
      </c>
      <c r="I2398" s="18">
        <v>1569.69</v>
      </c>
      <c r="J2398" s="27">
        <v>1569.69</v>
      </c>
      <c r="K2398" s="18">
        <f t="shared" si="75"/>
        <v>1569.69</v>
      </c>
      <c r="L2398" s="27">
        <v>1569.69</v>
      </c>
      <c r="M2398" s="36">
        <v>0</v>
      </c>
      <c r="T2398" s="41">
        <v>0</v>
      </c>
      <c r="U2398" s="41">
        <v>0</v>
      </c>
      <c r="V2398" s="42" t="s">
        <v>113</v>
      </c>
      <c r="W2398" s="42">
        <v>1569.69</v>
      </c>
      <c r="X2398" s="42">
        <v>1569.69</v>
      </c>
    </row>
    <row r="2399" spans="1:24">
      <c r="A2399" s="27" t="s">
        <v>4478</v>
      </c>
      <c r="B2399" s="28" t="s">
        <v>215</v>
      </c>
      <c r="C2399" s="27" t="s">
        <v>4479</v>
      </c>
      <c r="D2399" s="27" t="s">
        <v>112</v>
      </c>
      <c r="E2399" s="29">
        <v>40268</v>
      </c>
      <c r="F2399" s="27">
        <v>12</v>
      </c>
      <c r="G2399" s="18">
        <v>1569.69</v>
      </c>
      <c r="H2399" s="27">
        <f t="shared" si="74"/>
        <v>1569.69</v>
      </c>
      <c r="I2399" s="18">
        <v>1569.69</v>
      </c>
      <c r="J2399" s="27">
        <v>1569.69</v>
      </c>
      <c r="K2399" s="18">
        <f t="shared" si="75"/>
        <v>1569.69</v>
      </c>
      <c r="L2399" s="27">
        <v>1569.69</v>
      </c>
      <c r="M2399" s="36">
        <v>0</v>
      </c>
      <c r="T2399" s="41">
        <v>0</v>
      </c>
      <c r="U2399" s="41">
        <v>0</v>
      </c>
      <c r="V2399" s="42" t="s">
        <v>113</v>
      </c>
      <c r="W2399" s="42">
        <v>1569.69</v>
      </c>
      <c r="X2399" s="42">
        <v>1569.69</v>
      </c>
    </row>
    <row r="2400" spans="1:24">
      <c r="A2400" s="27" t="s">
        <v>4480</v>
      </c>
      <c r="B2400" s="28" t="s">
        <v>215</v>
      </c>
      <c r="C2400" s="27" t="s">
        <v>4481</v>
      </c>
      <c r="D2400" s="27" t="s">
        <v>112</v>
      </c>
      <c r="E2400" s="29">
        <v>40268</v>
      </c>
      <c r="F2400" s="27">
        <v>12</v>
      </c>
      <c r="G2400" s="18">
        <v>1569.69</v>
      </c>
      <c r="H2400" s="27">
        <f t="shared" si="74"/>
        <v>1569.69</v>
      </c>
      <c r="I2400" s="18">
        <v>1569.69</v>
      </c>
      <c r="J2400" s="27">
        <v>1569.69</v>
      </c>
      <c r="K2400" s="18">
        <f t="shared" si="75"/>
        <v>1569.69</v>
      </c>
      <c r="L2400" s="27">
        <v>1569.69</v>
      </c>
      <c r="M2400" s="36">
        <v>0</v>
      </c>
      <c r="T2400" s="41">
        <v>0</v>
      </c>
      <c r="U2400" s="41">
        <v>0</v>
      </c>
      <c r="V2400" s="42" t="s">
        <v>113</v>
      </c>
      <c r="W2400" s="42">
        <v>1569.69</v>
      </c>
      <c r="X2400" s="42">
        <v>1569.69</v>
      </c>
    </row>
    <row r="2401" spans="1:24">
      <c r="A2401" s="27" t="s">
        <v>4482</v>
      </c>
      <c r="B2401" s="28" t="s">
        <v>215</v>
      </c>
      <c r="C2401" s="27" t="s">
        <v>4483</v>
      </c>
      <c r="D2401" s="27" t="s">
        <v>112</v>
      </c>
      <c r="E2401" s="29">
        <v>40268</v>
      </c>
      <c r="F2401" s="27">
        <v>12</v>
      </c>
      <c r="G2401" s="18">
        <v>1848.04</v>
      </c>
      <c r="H2401" s="27">
        <f t="shared" si="74"/>
        <v>1848.04</v>
      </c>
      <c r="I2401" s="18">
        <v>1848.04</v>
      </c>
      <c r="J2401" s="27">
        <v>1848.04</v>
      </c>
      <c r="K2401" s="18">
        <f t="shared" si="75"/>
        <v>1848.04</v>
      </c>
      <c r="L2401" s="27">
        <v>1848.04</v>
      </c>
      <c r="M2401" s="36">
        <v>0</v>
      </c>
      <c r="T2401" s="41">
        <v>0</v>
      </c>
      <c r="U2401" s="41">
        <v>0</v>
      </c>
      <c r="V2401" s="42" t="s">
        <v>113</v>
      </c>
      <c r="W2401" s="42">
        <v>1848.04</v>
      </c>
      <c r="X2401" s="42">
        <v>1848.04</v>
      </c>
    </row>
    <row r="2402" spans="1:24">
      <c r="A2402" s="27" t="s">
        <v>4484</v>
      </c>
      <c r="B2402" s="28" t="s">
        <v>215</v>
      </c>
      <c r="C2402" s="27" t="s">
        <v>4485</v>
      </c>
      <c r="D2402" s="27" t="s">
        <v>112</v>
      </c>
      <c r="E2402" s="29">
        <v>40268</v>
      </c>
      <c r="F2402" s="27">
        <v>12</v>
      </c>
      <c r="G2402" s="18">
        <v>1848.04</v>
      </c>
      <c r="H2402" s="27">
        <f t="shared" si="74"/>
        <v>1848.04</v>
      </c>
      <c r="I2402" s="18">
        <v>1848.04</v>
      </c>
      <c r="J2402" s="27">
        <v>1848.04</v>
      </c>
      <c r="K2402" s="18">
        <f t="shared" si="75"/>
        <v>1848.04</v>
      </c>
      <c r="L2402" s="27">
        <v>1848.04</v>
      </c>
      <c r="M2402" s="36">
        <v>0</v>
      </c>
      <c r="T2402" s="41">
        <v>0</v>
      </c>
      <c r="U2402" s="41">
        <v>0</v>
      </c>
      <c r="V2402" s="42" t="s">
        <v>113</v>
      </c>
      <c r="W2402" s="42">
        <v>1848.04</v>
      </c>
      <c r="X2402" s="42">
        <v>1848.04</v>
      </c>
    </row>
    <row r="2403" spans="1:24">
      <c r="A2403" s="27" t="s">
        <v>4486</v>
      </c>
      <c r="B2403" s="28" t="s">
        <v>215</v>
      </c>
      <c r="C2403" s="27" t="s">
        <v>4487</v>
      </c>
      <c r="D2403" s="27" t="s">
        <v>112</v>
      </c>
      <c r="E2403" s="29">
        <v>40268</v>
      </c>
      <c r="F2403" s="27">
        <v>12</v>
      </c>
      <c r="G2403" s="18">
        <v>1848.04</v>
      </c>
      <c r="H2403" s="27">
        <f t="shared" si="74"/>
        <v>1848.04</v>
      </c>
      <c r="I2403" s="18">
        <v>1848.04</v>
      </c>
      <c r="J2403" s="27">
        <v>1848.04</v>
      </c>
      <c r="K2403" s="18">
        <f t="shared" si="75"/>
        <v>1848.04</v>
      </c>
      <c r="L2403" s="27">
        <v>1848.04</v>
      </c>
      <c r="M2403" s="36">
        <v>0</v>
      </c>
      <c r="T2403" s="41">
        <v>0</v>
      </c>
      <c r="U2403" s="41">
        <v>0</v>
      </c>
      <c r="V2403" s="42" t="s">
        <v>113</v>
      </c>
      <c r="W2403" s="42">
        <v>1848.04</v>
      </c>
      <c r="X2403" s="42">
        <v>1848.04</v>
      </c>
    </row>
    <row r="2404" spans="1:24">
      <c r="A2404" s="27" t="s">
        <v>4488</v>
      </c>
      <c r="B2404" s="28" t="s">
        <v>215</v>
      </c>
      <c r="C2404" s="27" t="s">
        <v>4489</v>
      </c>
      <c r="D2404" s="27" t="s">
        <v>112</v>
      </c>
      <c r="E2404" s="29">
        <v>40268</v>
      </c>
      <c r="F2404" s="27">
        <v>15</v>
      </c>
      <c r="G2404" s="18">
        <v>47301.99</v>
      </c>
      <c r="H2404" s="27">
        <f t="shared" si="74"/>
        <v>0</v>
      </c>
      <c r="I2404" s="18">
        <v>32462.86</v>
      </c>
      <c r="J2404" s="27">
        <v>47301.99</v>
      </c>
      <c r="K2404" s="18">
        <f t="shared" si="75"/>
        <v>0</v>
      </c>
      <c r="L2404" s="27">
        <v>34458.699999999997</v>
      </c>
      <c r="M2404" s="36">
        <v>1995.84</v>
      </c>
      <c r="T2404" s="41">
        <v>0</v>
      </c>
      <c r="U2404" s="41">
        <v>0</v>
      </c>
      <c r="V2404" s="42" t="s">
        <v>113</v>
      </c>
      <c r="W2404" s="42">
        <v>0</v>
      </c>
      <c r="X2404" s="42">
        <v>0</v>
      </c>
    </row>
    <row r="2405" spans="1:24">
      <c r="A2405" s="27" t="s">
        <v>4490</v>
      </c>
      <c r="B2405" s="28" t="s">
        <v>215</v>
      </c>
      <c r="C2405" s="27" t="s">
        <v>4491</v>
      </c>
      <c r="D2405" s="27" t="s">
        <v>112</v>
      </c>
      <c r="E2405" s="29">
        <v>40268</v>
      </c>
      <c r="F2405" s="27">
        <v>12</v>
      </c>
      <c r="G2405" s="18">
        <v>1569.69</v>
      </c>
      <c r="H2405" s="27">
        <f t="shared" si="74"/>
        <v>1569.69</v>
      </c>
      <c r="I2405" s="18">
        <v>1569.69</v>
      </c>
      <c r="J2405" s="27">
        <v>1569.69</v>
      </c>
      <c r="K2405" s="18">
        <f t="shared" si="75"/>
        <v>1569.69</v>
      </c>
      <c r="L2405" s="27">
        <v>1569.69</v>
      </c>
      <c r="M2405" s="36">
        <v>0</v>
      </c>
      <c r="T2405" s="41">
        <v>0</v>
      </c>
      <c r="U2405" s="41">
        <v>0</v>
      </c>
      <c r="V2405" s="42" t="s">
        <v>113</v>
      </c>
      <c r="W2405" s="42">
        <v>1569.69</v>
      </c>
      <c r="X2405" s="42">
        <v>1569.69</v>
      </c>
    </row>
    <row r="2406" spans="1:24">
      <c r="A2406" s="27" t="s">
        <v>4492</v>
      </c>
      <c r="B2406" s="28" t="s">
        <v>215</v>
      </c>
      <c r="C2406" s="27" t="s">
        <v>4493</v>
      </c>
      <c r="D2406" s="27" t="s">
        <v>112</v>
      </c>
      <c r="E2406" s="29">
        <v>40268</v>
      </c>
      <c r="F2406" s="27">
        <v>12</v>
      </c>
      <c r="G2406" s="18">
        <v>1569.69</v>
      </c>
      <c r="H2406" s="27">
        <f t="shared" si="74"/>
        <v>1569.69</v>
      </c>
      <c r="I2406" s="18">
        <v>1569.69</v>
      </c>
      <c r="J2406" s="27">
        <v>1569.69</v>
      </c>
      <c r="K2406" s="18">
        <f t="shared" si="75"/>
        <v>1569.69</v>
      </c>
      <c r="L2406" s="27">
        <v>1569.69</v>
      </c>
      <c r="M2406" s="36">
        <v>0</v>
      </c>
      <c r="T2406" s="41">
        <v>0</v>
      </c>
      <c r="U2406" s="41">
        <v>0</v>
      </c>
      <c r="V2406" s="42" t="s">
        <v>113</v>
      </c>
      <c r="W2406" s="42">
        <v>1569.69</v>
      </c>
      <c r="X2406" s="42">
        <v>1569.69</v>
      </c>
    </row>
    <row r="2407" spans="1:24">
      <c r="A2407" s="27" t="s">
        <v>4494</v>
      </c>
      <c r="B2407" s="28" t="s">
        <v>215</v>
      </c>
      <c r="C2407" s="27" t="s">
        <v>4495</v>
      </c>
      <c r="D2407" s="27" t="s">
        <v>112</v>
      </c>
      <c r="E2407" s="29">
        <v>40268</v>
      </c>
      <c r="F2407" s="27">
        <v>12</v>
      </c>
      <c r="G2407" s="18">
        <v>1569.69</v>
      </c>
      <c r="H2407" s="27">
        <f t="shared" si="74"/>
        <v>1569.69</v>
      </c>
      <c r="I2407" s="18">
        <v>1569.69</v>
      </c>
      <c r="J2407" s="27">
        <v>1569.69</v>
      </c>
      <c r="K2407" s="18">
        <f t="shared" si="75"/>
        <v>1569.69</v>
      </c>
      <c r="L2407" s="27">
        <v>1569.69</v>
      </c>
      <c r="M2407" s="36">
        <v>0</v>
      </c>
      <c r="T2407" s="41">
        <v>0</v>
      </c>
      <c r="U2407" s="41">
        <v>0</v>
      </c>
      <c r="V2407" s="42" t="s">
        <v>113</v>
      </c>
      <c r="W2407" s="42">
        <v>1569.69</v>
      </c>
      <c r="X2407" s="42">
        <v>1569.69</v>
      </c>
    </row>
    <row r="2408" spans="1:24">
      <c r="A2408" s="27" t="s">
        <v>4496</v>
      </c>
      <c r="B2408" s="28" t="s">
        <v>215</v>
      </c>
      <c r="C2408" s="27" t="s">
        <v>4497</v>
      </c>
      <c r="D2408" s="27" t="s">
        <v>112</v>
      </c>
      <c r="E2408" s="29">
        <v>40268</v>
      </c>
      <c r="F2408" s="27">
        <v>12</v>
      </c>
      <c r="G2408" s="18">
        <v>1848.04</v>
      </c>
      <c r="H2408" s="27">
        <f t="shared" si="74"/>
        <v>1848.04</v>
      </c>
      <c r="I2408" s="18">
        <v>1848.04</v>
      </c>
      <c r="J2408" s="27">
        <v>1848.04</v>
      </c>
      <c r="K2408" s="18">
        <f t="shared" si="75"/>
        <v>1848.04</v>
      </c>
      <c r="L2408" s="27">
        <v>1848.04</v>
      </c>
      <c r="M2408" s="36">
        <v>0</v>
      </c>
      <c r="T2408" s="41">
        <v>0</v>
      </c>
      <c r="U2408" s="41">
        <v>0</v>
      </c>
      <c r="V2408" s="42" t="s">
        <v>113</v>
      </c>
      <c r="W2408" s="42">
        <v>1848.04</v>
      </c>
      <c r="X2408" s="42">
        <v>1848.04</v>
      </c>
    </row>
    <row r="2409" spans="1:24">
      <c r="A2409" s="27" t="s">
        <v>4498</v>
      </c>
      <c r="B2409" s="28" t="s">
        <v>215</v>
      </c>
      <c r="C2409" s="27" t="s">
        <v>4499</v>
      </c>
      <c r="D2409" s="27" t="s">
        <v>112</v>
      </c>
      <c r="E2409" s="29">
        <v>40268</v>
      </c>
      <c r="F2409" s="27">
        <v>12</v>
      </c>
      <c r="G2409" s="18">
        <v>1848.04</v>
      </c>
      <c r="H2409" s="27">
        <f t="shared" si="74"/>
        <v>1848.04</v>
      </c>
      <c r="I2409" s="18">
        <v>1848.04</v>
      </c>
      <c r="J2409" s="27">
        <v>1848.04</v>
      </c>
      <c r="K2409" s="18">
        <f t="shared" si="75"/>
        <v>1848.04</v>
      </c>
      <c r="L2409" s="27">
        <v>1848.04</v>
      </c>
      <c r="M2409" s="36">
        <v>0</v>
      </c>
      <c r="T2409" s="41">
        <v>0</v>
      </c>
      <c r="U2409" s="41">
        <v>0</v>
      </c>
      <c r="V2409" s="42" t="s">
        <v>113</v>
      </c>
      <c r="W2409" s="42">
        <v>1848.04</v>
      </c>
      <c r="X2409" s="42">
        <v>1848.04</v>
      </c>
    </row>
    <row r="2410" spans="1:24">
      <c r="A2410" s="27" t="s">
        <v>4500</v>
      </c>
      <c r="B2410" s="28" t="s">
        <v>215</v>
      </c>
      <c r="C2410" s="27" t="s">
        <v>4501</v>
      </c>
      <c r="D2410" s="27" t="s">
        <v>112</v>
      </c>
      <c r="E2410" s="29">
        <v>40268</v>
      </c>
      <c r="F2410" s="27">
        <v>12</v>
      </c>
      <c r="G2410" s="18">
        <v>1848.04</v>
      </c>
      <c r="H2410" s="27">
        <f t="shared" si="74"/>
        <v>1848.04</v>
      </c>
      <c r="I2410" s="18">
        <v>1848.04</v>
      </c>
      <c r="J2410" s="27">
        <v>1848.04</v>
      </c>
      <c r="K2410" s="18">
        <f t="shared" si="75"/>
        <v>1848.04</v>
      </c>
      <c r="L2410" s="27">
        <v>1848.04</v>
      </c>
      <c r="M2410" s="36">
        <v>0</v>
      </c>
      <c r="T2410" s="41">
        <v>0</v>
      </c>
      <c r="U2410" s="41">
        <v>0</v>
      </c>
      <c r="V2410" s="42" t="s">
        <v>113</v>
      </c>
      <c r="W2410" s="42">
        <v>1848.04</v>
      </c>
      <c r="X2410" s="42">
        <v>1848.04</v>
      </c>
    </row>
    <row r="2411" spans="1:24">
      <c r="A2411" s="27" t="s">
        <v>4502</v>
      </c>
      <c r="B2411" s="28" t="s">
        <v>215</v>
      </c>
      <c r="C2411" s="27" t="s">
        <v>4503</v>
      </c>
      <c r="D2411" s="27" t="s">
        <v>112</v>
      </c>
      <c r="E2411" s="29">
        <v>40268</v>
      </c>
      <c r="F2411" s="27">
        <v>15</v>
      </c>
      <c r="G2411" s="18">
        <v>47301.99</v>
      </c>
      <c r="H2411" s="27">
        <f t="shared" si="74"/>
        <v>0</v>
      </c>
      <c r="I2411" s="18">
        <v>32462.86</v>
      </c>
      <c r="J2411" s="27">
        <v>47301.99</v>
      </c>
      <c r="K2411" s="18">
        <f t="shared" si="75"/>
        <v>0</v>
      </c>
      <c r="L2411" s="27">
        <v>34458.699999999997</v>
      </c>
      <c r="M2411" s="36">
        <v>1995.84</v>
      </c>
      <c r="T2411" s="41">
        <v>0</v>
      </c>
      <c r="U2411" s="41">
        <v>0</v>
      </c>
      <c r="V2411" s="42" t="s">
        <v>113</v>
      </c>
      <c r="W2411" s="42">
        <v>0</v>
      </c>
      <c r="X2411" s="42">
        <v>0</v>
      </c>
    </row>
    <row r="2412" spans="1:24">
      <c r="A2412" s="27" t="s">
        <v>4504</v>
      </c>
      <c r="B2412" s="28" t="s">
        <v>215</v>
      </c>
      <c r="C2412" s="27" t="s">
        <v>4505</v>
      </c>
      <c r="D2412" s="27" t="s">
        <v>112</v>
      </c>
      <c r="E2412" s="29">
        <v>40268</v>
      </c>
      <c r="F2412" s="27">
        <v>12</v>
      </c>
      <c r="G2412" s="18">
        <v>1569.69</v>
      </c>
      <c r="H2412" s="27">
        <f t="shared" si="74"/>
        <v>1569.69</v>
      </c>
      <c r="I2412" s="18">
        <v>1569.69</v>
      </c>
      <c r="J2412" s="27">
        <v>1569.69</v>
      </c>
      <c r="K2412" s="18">
        <f t="shared" si="75"/>
        <v>1569.69</v>
      </c>
      <c r="L2412" s="27">
        <v>1569.69</v>
      </c>
      <c r="M2412" s="36">
        <v>0</v>
      </c>
      <c r="T2412" s="41">
        <v>0</v>
      </c>
      <c r="U2412" s="41">
        <v>0</v>
      </c>
      <c r="V2412" s="42" t="s">
        <v>113</v>
      </c>
      <c r="W2412" s="42">
        <v>1569.69</v>
      </c>
      <c r="X2412" s="42">
        <v>1569.69</v>
      </c>
    </row>
    <row r="2413" spans="1:24">
      <c r="A2413" s="27" t="s">
        <v>4506</v>
      </c>
      <c r="B2413" s="28" t="s">
        <v>215</v>
      </c>
      <c r="C2413" s="27" t="s">
        <v>4507</v>
      </c>
      <c r="D2413" s="27" t="s">
        <v>112</v>
      </c>
      <c r="E2413" s="29">
        <v>40268</v>
      </c>
      <c r="F2413" s="27">
        <v>12</v>
      </c>
      <c r="G2413" s="18">
        <v>1569.69</v>
      </c>
      <c r="H2413" s="27">
        <f t="shared" si="74"/>
        <v>1569.69</v>
      </c>
      <c r="I2413" s="18">
        <v>1569.69</v>
      </c>
      <c r="J2413" s="27">
        <v>1569.69</v>
      </c>
      <c r="K2413" s="18">
        <f t="shared" si="75"/>
        <v>1569.69</v>
      </c>
      <c r="L2413" s="27">
        <v>1569.69</v>
      </c>
      <c r="M2413" s="36">
        <v>0</v>
      </c>
      <c r="T2413" s="41">
        <v>0</v>
      </c>
      <c r="U2413" s="41">
        <v>0</v>
      </c>
      <c r="V2413" s="42" t="s">
        <v>113</v>
      </c>
      <c r="W2413" s="42">
        <v>1569.69</v>
      </c>
      <c r="X2413" s="42">
        <v>1569.69</v>
      </c>
    </row>
    <row r="2414" spans="1:24">
      <c r="A2414" s="27" t="s">
        <v>4508</v>
      </c>
      <c r="B2414" s="28" t="s">
        <v>215</v>
      </c>
      <c r="C2414" s="27" t="s">
        <v>4509</v>
      </c>
      <c r="D2414" s="27" t="s">
        <v>112</v>
      </c>
      <c r="E2414" s="29">
        <v>40268</v>
      </c>
      <c r="F2414" s="27">
        <v>12</v>
      </c>
      <c r="G2414" s="18">
        <v>1569.69</v>
      </c>
      <c r="H2414" s="27">
        <f t="shared" si="74"/>
        <v>1569.69</v>
      </c>
      <c r="I2414" s="18">
        <v>1569.69</v>
      </c>
      <c r="J2414" s="27">
        <v>1569.69</v>
      </c>
      <c r="K2414" s="18">
        <f t="shared" si="75"/>
        <v>1569.69</v>
      </c>
      <c r="L2414" s="27">
        <v>1569.69</v>
      </c>
      <c r="M2414" s="36">
        <v>0</v>
      </c>
      <c r="T2414" s="41">
        <v>0</v>
      </c>
      <c r="U2414" s="41">
        <v>0</v>
      </c>
      <c r="V2414" s="42" t="s">
        <v>113</v>
      </c>
      <c r="W2414" s="42">
        <v>1569.69</v>
      </c>
      <c r="X2414" s="42">
        <v>1569.69</v>
      </c>
    </row>
    <row r="2415" spans="1:24">
      <c r="A2415" s="27" t="s">
        <v>4510</v>
      </c>
      <c r="B2415" s="28" t="s">
        <v>215</v>
      </c>
      <c r="C2415" s="27" t="s">
        <v>4511</v>
      </c>
      <c r="D2415" s="27" t="s">
        <v>112</v>
      </c>
      <c r="E2415" s="29">
        <v>40268</v>
      </c>
      <c r="F2415" s="27">
        <v>12</v>
      </c>
      <c r="G2415" s="18">
        <v>1848.04</v>
      </c>
      <c r="H2415" s="27">
        <f t="shared" si="74"/>
        <v>1848.04</v>
      </c>
      <c r="I2415" s="18">
        <v>1848.04</v>
      </c>
      <c r="J2415" s="27">
        <v>1848.04</v>
      </c>
      <c r="K2415" s="18">
        <f t="shared" si="75"/>
        <v>1848.04</v>
      </c>
      <c r="L2415" s="27">
        <v>1848.04</v>
      </c>
      <c r="M2415" s="36">
        <v>0</v>
      </c>
      <c r="T2415" s="41">
        <v>0</v>
      </c>
      <c r="U2415" s="41">
        <v>0</v>
      </c>
      <c r="V2415" s="42" t="s">
        <v>113</v>
      </c>
      <c r="W2415" s="42">
        <v>1848.04</v>
      </c>
      <c r="X2415" s="42">
        <v>1848.04</v>
      </c>
    </row>
    <row r="2416" spans="1:24">
      <c r="A2416" s="27" t="s">
        <v>4512</v>
      </c>
      <c r="B2416" s="28" t="s">
        <v>215</v>
      </c>
      <c r="C2416" s="27" t="s">
        <v>4513</v>
      </c>
      <c r="D2416" s="27" t="s">
        <v>112</v>
      </c>
      <c r="E2416" s="29">
        <v>40268</v>
      </c>
      <c r="F2416" s="27">
        <v>12</v>
      </c>
      <c r="G2416" s="18">
        <v>1848.04</v>
      </c>
      <c r="H2416" s="27">
        <f t="shared" si="74"/>
        <v>1848.04</v>
      </c>
      <c r="I2416" s="18">
        <v>1848.04</v>
      </c>
      <c r="J2416" s="27">
        <v>1848.04</v>
      </c>
      <c r="K2416" s="18">
        <f t="shared" si="75"/>
        <v>1848.04</v>
      </c>
      <c r="L2416" s="27">
        <v>1848.04</v>
      </c>
      <c r="M2416" s="36">
        <v>0</v>
      </c>
      <c r="T2416" s="41">
        <v>0</v>
      </c>
      <c r="U2416" s="41">
        <v>0</v>
      </c>
      <c r="V2416" s="42" t="s">
        <v>113</v>
      </c>
      <c r="W2416" s="42">
        <v>1848.04</v>
      </c>
      <c r="X2416" s="42">
        <v>1848.04</v>
      </c>
    </row>
    <row r="2417" spans="1:24">
      <c r="A2417" s="27" t="s">
        <v>4514</v>
      </c>
      <c r="B2417" s="28" t="s">
        <v>215</v>
      </c>
      <c r="C2417" s="27" t="s">
        <v>4515</v>
      </c>
      <c r="D2417" s="27" t="s">
        <v>112</v>
      </c>
      <c r="E2417" s="29">
        <v>40268</v>
      </c>
      <c r="F2417" s="27">
        <v>12</v>
      </c>
      <c r="G2417" s="18">
        <v>1848.04</v>
      </c>
      <c r="H2417" s="27">
        <f t="shared" si="74"/>
        <v>1848.04</v>
      </c>
      <c r="I2417" s="18">
        <v>1848.04</v>
      </c>
      <c r="J2417" s="27">
        <v>1848.04</v>
      </c>
      <c r="K2417" s="18">
        <f t="shared" si="75"/>
        <v>1848.04</v>
      </c>
      <c r="L2417" s="27">
        <v>1848.04</v>
      </c>
      <c r="M2417" s="36">
        <v>0</v>
      </c>
      <c r="T2417" s="41">
        <v>0</v>
      </c>
      <c r="U2417" s="41">
        <v>0</v>
      </c>
      <c r="V2417" s="42" t="s">
        <v>113</v>
      </c>
      <c r="W2417" s="42">
        <v>1848.04</v>
      </c>
      <c r="X2417" s="42">
        <v>1848.04</v>
      </c>
    </row>
    <row r="2418" spans="1:24">
      <c r="A2418" s="27" t="s">
        <v>4516</v>
      </c>
      <c r="B2418" s="28" t="s">
        <v>215</v>
      </c>
      <c r="C2418" s="27" t="s">
        <v>488</v>
      </c>
      <c r="D2418" s="27" t="s">
        <v>112</v>
      </c>
      <c r="E2418" s="29">
        <v>40268</v>
      </c>
      <c r="F2418" s="27">
        <v>15</v>
      </c>
      <c r="G2418" s="18">
        <v>47301.99</v>
      </c>
      <c r="H2418" s="27">
        <f t="shared" si="74"/>
        <v>0</v>
      </c>
      <c r="I2418" s="18">
        <v>32462.86</v>
      </c>
      <c r="J2418" s="27">
        <v>47301.99</v>
      </c>
      <c r="K2418" s="18">
        <f t="shared" si="75"/>
        <v>0</v>
      </c>
      <c r="L2418" s="27">
        <v>34458.699999999997</v>
      </c>
      <c r="M2418" s="36">
        <v>1995.84</v>
      </c>
      <c r="T2418" s="41">
        <v>0</v>
      </c>
      <c r="U2418" s="41">
        <v>0</v>
      </c>
      <c r="V2418" s="42" t="s">
        <v>113</v>
      </c>
      <c r="W2418" s="42">
        <v>0</v>
      </c>
      <c r="X2418" s="42">
        <v>0</v>
      </c>
    </row>
    <row r="2419" spans="1:24">
      <c r="A2419" s="27" t="s">
        <v>4517</v>
      </c>
      <c r="B2419" s="28" t="s">
        <v>215</v>
      </c>
      <c r="C2419" s="27" t="s">
        <v>4518</v>
      </c>
      <c r="D2419" s="27" t="s">
        <v>112</v>
      </c>
      <c r="E2419" s="29">
        <v>40268</v>
      </c>
      <c r="F2419" s="27">
        <v>12</v>
      </c>
      <c r="G2419" s="18">
        <v>1569.69</v>
      </c>
      <c r="H2419" s="27">
        <f t="shared" si="74"/>
        <v>1569.69</v>
      </c>
      <c r="I2419" s="18">
        <v>1569.69</v>
      </c>
      <c r="J2419" s="27">
        <v>1569.69</v>
      </c>
      <c r="K2419" s="18">
        <f t="shared" si="75"/>
        <v>1569.69</v>
      </c>
      <c r="L2419" s="27">
        <v>1569.69</v>
      </c>
      <c r="M2419" s="36">
        <v>0</v>
      </c>
      <c r="T2419" s="41">
        <v>0</v>
      </c>
      <c r="U2419" s="41">
        <v>0</v>
      </c>
      <c r="V2419" s="42" t="s">
        <v>113</v>
      </c>
      <c r="W2419" s="42">
        <v>1569.69</v>
      </c>
      <c r="X2419" s="42">
        <v>1569.69</v>
      </c>
    </row>
    <row r="2420" spans="1:24">
      <c r="A2420" s="27" t="s">
        <v>4519</v>
      </c>
      <c r="B2420" s="28" t="s">
        <v>215</v>
      </c>
      <c r="C2420" s="27" t="s">
        <v>4520</v>
      </c>
      <c r="D2420" s="27" t="s">
        <v>112</v>
      </c>
      <c r="E2420" s="29">
        <v>40268</v>
      </c>
      <c r="F2420" s="27">
        <v>12</v>
      </c>
      <c r="G2420" s="18">
        <v>1569.69</v>
      </c>
      <c r="H2420" s="27">
        <f t="shared" si="74"/>
        <v>1569.69</v>
      </c>
      <c r="I2420" s="18">
        <v>1569.69</v>
      </c>
      <c r="J2420" s="27">
        <v>1569.69</v>
      </c>
      <c r="K2420" s="18">
        <f t="shared" si="75"/>
        <v>1569.69</v>
      </c>
      <c r="L2420" s="27">
        <v>1569.69</v>
      </c>
      <c r="M2420" s="36">
        <v>0</v>
      </c>
      <c r="T2420" s="41">
        <v>0</v>
      </c>
      <c r="U2420" s="41">
        <v>0</v>
      </c>
      <c r="V2420" s="42" t="s">
        <v>113</v>
      </c>
      <c r="W2420" s="42">
        <v>1569.69</v>
      </c>
      <c r="X2420" s="42">
        <v>1569.69</v>
      </c>
    </row>
    <row r="2421" spans="1:24">
      <c r="A2421" s="27" t="s">
        <v>4521</v>
      </c>
      <c r="B2421" s="28" t="s">
        <v>215</v>
      </c>
      <c r="C2421" s="27" t="s">
        <v>4522</v>
      </c>
      <c r="D2421" s="27" t="s">
        <v>112</v>
      </c>
      <c r="E2421" s="29">
        <v>40268</v>
      </c>
      <c r="F2421" s="27">
        <v>12</v>
      </c>
      <c r="G2421" s="18">
        <v>1569.69</v>
      </c>
      <c r="H2421" s="27">
        <f t="shared" si="74"/>
        <v>1569.69</v>
      </c>
      <c r="I2421" s="18">
        <v>1569.69</v>
      </c>
      <c r="J2421" s="27">
        <v>1569.69</v>
      </c>
      <c r="K2421" s="18">
        <f t="shared" si="75"/>
        <v>1569.69</v>
      </c>
      <c r="L2421" s="27">
        <v>1569.69</v>
      </c>
      <c r="M2421" s="36">
        <v>0</v>
      </c>
      <c r="T2421" s="41">
        <v>0</v>
      </c>
      <c r="U2421" s="41">
        <v>0</v>
      </c>
      <c r="V2421" s="42" t="s">
        <v>113</v>
      </c>
      <c r="W2421" s="42">
        <v>1569.69</v>
      </c>
      <c r="X2421" s="42">
        <v>1569.69</v>
      </c>
    </row>
    <row r="2422" spans="1:24">
      <c r="A2422" s="27" t="s">
        <v>4523</v>
      </c>
      <c r="B2422" s="28" t="s">
        <v>215</v>
      </c>
      <c r="C2422" s="27" t="s">
        <v>4524</v>
      </c>
      <c r="D2422" s="27" t="s">
        <v>112</v>
      </c>
      <c r="E2422" s="29">
        <v>40268</v>
      </c>
      <c r="F2422" s="27">
        <v>12</v>
      </c>
      <c r="G2422" s="18">
        <v>971.71</v>
      </c>
      <c r="H2422" s="27">
        <f t="shared" si="74"/>
        <v>971.71</v>
      </c>
      <c r="I2422" s="18">
        <v>971.71</v>
      </c>
      <c r="J2422" s="27">
        <v>971.71</v>
      </c>
      <c r="K2422" s="18">
        <f t="shared" si="75"/>
        <v>971.71</v>
      </c>
      <c r="L2422" s="27">
        <v>971.71</v>
      </c>
      <c r="M2422" s="36">
        <v>0</v>
      </c>
      <c r="T2422" s="41">
        <v>0</v>
      </c>
      <c r="U2422" s="41">
        <v>0</v>
      </c>
      <c r="V2422" s="42" t="s">
        <v>113</v>
      </c>
      <c r="W2422" s="42">
        <v>971.71</v>
      </c>
      <c r="X2422" s="42">
        <v>971.71</v>
      </c>
    </row>
    <row r="2423" spans="1:24">
      <c r="A2423" s="27" t="s">
        <v>4525</v>
      </c>
      <c r="B2423" s="28" t="s">
        <v>215</v>
      </c>
      <c r="C2423" s="27" t="s">
        <v>4526</v>
      </c>
      <c r="D2423" s="27" t="s">
        <v>112</v>
      </c>
      <c r="E2423" s="29">
        <v>40268</v>
      </c>
      <c r="F2423" s="27">
        <v>12</v>
      </c>
      <c r="G2423" s="18">
        <v>971.71</v>
      </c>
      <c r="H2423" s="27">
        <f t="shared" si="74"/>
        <v>971.71</v>
      </c>
      <c r="I2423" s="18">
        <v>971.71</v>
      </c>
      <c r="J2423" s="27">
        <v>971.71</v>
      </c>
      <c r="K2423" s="18">
        <f t="shared" si="75"/>
        <v>971.71</v>
      </c>
      <c r="L2423" s="27">
        <v>971.71</v>
      </c>
      <c r="M2423" s="36">
        <v>0</v>
      </c>
      <c r="T2423" s="41">
        <v>0</v>
      </c>
      <c r="U2423" s="41">
        <v>0</v>
      </c>
      <c r="V2423" s="42" t="s">
        <v>113</v>
      </c>
      <c r="W2423" s="42">
        <v>971.71</v>
      </c>
      <c r="X2423" s="42">
        <v>971.71</v>
      </c>
    </row>
    <row r="2424" spans="1:24">
      <c r="A2424" s="27" t="s">
        <v>4527</v>
      </c>
      <c r="B2424" s="28" t="s">
        <v>215</v>
      </c>
      <c r="C2424" s="27" t="s">
        <v>4528</v>
      </c>
      <c r="D2424" s="27" t="s">
        <v>112</v>
      </c>
      <c r="E2424" s="29">
        <v>40268</v>
      </c>
      <c r="F2424" s="27">
        <v>12</v>
      </c>
      <c r="G2424" s="18">
        <v>971.71</v>
      </c>
      <c r="H2424" s="27">
        <f t="shared" si="74"/>
        <v>971.71</v>
      </c>
      <c r="I2424" s="18">
        <v>971.71</v>
      </c>
      <c r="J2424" s="27">
        <v>971.71</v>
      </c>
      <c r="K2424" s="18">
        <f t="shared" si="75"/>
        <v>971.71</v>
      </c>
      <c r="L2424" s="27">
        <v>971.71</v>
      </c>
      <c r="M2424" s="36">
        <v>0</v>
      </c>
      <c r="T2424" s="41">
        <v>0</v>
      </c>
      <c r="U2424" s="41">
        <v>0</v>
      </c>
      <c r="V2424" s="42" t="s">
        <v>113</v>
      </c>
      <c r="W2424" s="42">
        <v>971.71</v>
      </c>
      <c r="X2424" s="42">
        <v>971.71</v>
      </c>
    </row>
    <row r="2425" spans="1:24">
      <c r="A2425" s="27" t="s">
        <v>4529</v>
      </c>
      <c r="B2425" s="28" t="s">
        <v>215</v>
      </c>
      <c r="C2425" s="27" t="s">
        <v>4530</v>
      </c>
      <c r="D2425" s="27" t="s">
        <v>112</v>
      </c>
      <c r="E2425" s="29">
        <v>40268</v>
      </c>
      <c r="F2425" s="27">
        <v>12</v>
      </c>
      <c r="G2425" s="18">
        <v>1848.04</v>
      </c>
      <c r="H2425" s="27">
        <f t="shared" si="74"/>
        <v>1848.04</v>
      </c>
      <c r="I2425" s="18">
        <v>1848.04</v>
      </c>
      <c r="J2425" s="27">
        <v>1848.04</v>
      </c>
      <c r="K2425" s="18">
        <f t="shared" si="75"/>
        <v>1848.04</v>
      </c>
      <c r="L2425" s="27">
        <v>1848.04</v>
      </c>
      <c r="M2425" s="36">
        <v>0</v>
      </c>
      <c r="T2425" s="41">
        <v>0</v>
      </c>
      <c r="U2425" s="41">
        <v>0</v>
      </c>
      <c r="V2425" s="42" t="s">
        <v>113</v>
      </c>
      <c r="W2425" s="42">
        <v>1848.04</v>
      </c>
      <c r="X2425" s="42">
        <v>1848.04</v>
      </c>
    </row>
    <row r="2426" spans="1:24">
      <c r="A2426" s="27" t="s">
        <v>4531</v>
      </c>
      <c r="B2426" s="28" t="s">
        <v>215</v>
      </c>
      <c r="C2426" s="27" t="s">
        <v>4532</v>
      </c>
      <c r="D2426" s="27" t="s">
        <v>112</v>
      </c>
      <c r="E2426" s="29">
        <v>40268</v>
      </c>
      <c r="F2426" s="27">
        <v>12</v>
      </c>
      <c r="G2426" s="18">
        <v>1848.04</v>
      </c>
      <c r="H2426" s="27">
        <f t="shared" si="74"/>
        <v>1848.04</v>
      </c>
      <c r="I2426" s="18">
        <v>1848.04</v>
      </c>
      <c r="J2426" s="27">
        <v>1848.04</v>
      </c>
      <c r="K2426" s="18">
        <f t="shared" si="75"/>
        <v>1848.04</v>
      </c>
      <c r="L2426" s="27">
        <v>1848.04</v>
      </c>
      <c r="M2426" s="36">
        <v>0</v>
      </c>
      <c r="T2426" s="41">
        <v>0</v>
      </c>
      <c r="U2426" s="41">
        <v>0</v>
      </c>
      <c r="V2426" s="42" t="s">
        <v>113</v>
      </c>
      <c r="W2426" s="42">
        <v>1848.04</v>
      </c>
      <c r="X2426" s="42">
        <v>1848.04</v>
      </c>
    </row>
    <row r="2427" spans="1:24">
      <c r="A2427" s="27" t="s">
        <v>4533</v>
      </c>
      <c r="B2427" s="28" t="s">
        <v>215</v>
      </c>
      <c r="C2427" s="27" t="s">
        <v>4534</v>
      </c>
      <c r="D2427" s="27" t="s">
        <v>112</v>
      </c>
      <c r="E2427" s="29">
        <v>40268</v>
      </c>
      <c r="F2427" s="27">
        <v>12</v>
      </c>
      <c r="G2427" s="18">
        <v>1848.04</v>
      </c>
      <c r="H2427" s="27">
        <f t="shared" si="74"/>
        <v>1848.04</v>
      </c>
      <c r="I2427" s="18">
        <v>1848.04</v>
      </c>
      <c r="J2427" s="27">
        <v>1848.04</v>
      </c>
      <c r="K2427" s="18">
        <f t="shared" si="75"/>
        <v>1848.04</v>
      </c>
      <c r="L2427" s="27">
        <v>1848.04</v>
      </c>
      <c r="M2427" s="36">
        <v>0</v>
      </c>
      <c r="T2427" s="41">
        <v>0</v>
      </c>
      <c r="U2427" s="41">
        <v>0</v>
      </c>
      <c r="V2427" s="42" t="s">
        <v>113</v>
      </c>
      <c r="W2427" s="42">
        <v>1848.04</v>
      </c>
      <c r="X2427" s="42">
        <v>1848.04</v>
      </c>
    </row>
    <row r="2428" spans="1:24">
      <c r="A2428" s="27" t="s">
        <v>4535</v>
      </c>
      <c r="B2428" s="28" t="s">
        <v>215</v>
      </c>
      <c r="C2428" s="27" t="s">
        <v>4536</v>
      </c>
      <c r="D2428" s="27" t="s">
        <v>230</v>
      </c>
      <c r="E2428" s="29">
        <v>40268</v>
      </c>
      <c r="F2428" s="27">
        <v>15</v>
      </c>
      <c r="G2428" s="18">
        <v>76350.78</v>
      </c>
      <c r="H2428" s="27">
        <f t="shared" si="74"/>
        <v>0</v>
      </c>
      <c r="I2428" s="18">
        <v>52398.77</v>
      </c>
      <c r="J2428" s="27">
        <v>76350.78</v>
      </c>
      <c r="K2428" s="18">
        <f t="shared" si="75"/>
        <v>0</v>
      </c>
      <c r="L2428" s="27">
        <v>55620.29</v>
      </c>
      <c r="M2428" s="36">
        <v>3221.52</v>
      </c>
      <c r="T2428" s="41">
        <v>0</v>
      </c>
      <c r="U2428" s="41">
        <v>0</v>
      </c>
      <c r="V2428" s="42" t="s">
        <v>113</v>
      </c>
      <c r="W2428" s="42">
        <v>0</v>
      </c>
      <c r="X2428" s="42">
        <v>0</v>
      </c>
    </row>
    <row r="2429" spans="1:24">
      <c r="A2429" s="27" t="s">
        <v>4537</v>
      </c>
      <c r="B2429" s="28" t="s">
        <v>215</v>
      </c>
      <c r="C2429" s="27" t="s">
        <v>4538</v>
      </c>
      <c r="D2429" s="27" t="s">
        <v>230</v>
      </c>
      <c r="E2429" s="29">
        <v>40268</v>
      </c>
      <c r="F2429" s="27">
        <v>15</v>
      </c>
      <c r="G2429" s="18">
        <v>76350.78</v>
      </c>
      <c r="H2429" s="27">
        <f t="shared" si="74"/>
        <v>0</v>
      </c>
      <c r="I2429" s="18">
        <v>52398.77</v>
      </c>
      <c r="J2429" s="27">
        <v>76350.78</v>
      </c>
      <c r="K2429" s="18">
        <f t="shared" si="75"/>
        <v>0</v>
      </c>
      <c r="L2429" s="27">
        <v>55620.29</v>
      </c>
      <c r="M2429" s="36">
        <v>3221.52</v>
      </c>
      <c r="T2429" s="41">
        <v>0</v>
      </c>
      <c r="U2429" s="41">
        <v>0</v>
      </c>
      <c r="V2429" s="42" t="s">
        <v>113</v>
      </c>
      <c r="W2429" s="42">
        <v>0</v>
      </c>
      <c r="X2429" s="42">
        <v>0</v>
      </c>
    </row>
    <row r="2430" spans="1:24">
      <c r="A2430" s="27" t="s">
        <v>4539</v>
      </c>
      <c r="B2430" s="28" t="s">
        <v>215</v>
      </c>
      <c r="C2430" s="27" t="s">
        <v>4540</v>
      </c>
      <c r="D2430" s="27" t="s">
        <v>230</v>
      </c>
      <c r="E2430" s="29">
        <v>40268</v>
      </c>
      <c r="F2430" s="27">
        <v>15</v>
      </c>
      <c r="G2430" s="18">
        <v>76350.78</v>
      </c>
      <c r="H2430" s="27">
        <f t="shared" si="74"/>
        <v>0</v>
      </c>
      <c r="I2430" s="18">
        <v>52398.77</v>
      </c>
      <c r="J2430" s="27">
        <v>76350.78</v>
      </c>
      <c r="K2430" s="18">
        <f t="shared" si="75"/>
        <v>0</v>
      </c>
      <c r="L2430" s="27">
        <v>55620.29</v>
      </c>
      <c r="M2430" s="36">
        <v>3221.52</v>
      </c>
      <c r="T2430" s="41">
        <v>0</v>
      </c>
      <c r="U2430" s="41">
        <v>0</v>
      </c>
      <c r="V2430" s="42" t="s">
        <v>113</v>
      </c>
      <c r="W2430" s="42">
        <v>0</v>
      </c>
      <c r="X2430" s="42">
        <v>0</v>
      </c>
    </row>
    <row r="2431" spans="1:24">
      <c r="A2431" s="27" t="s">
        <v>4541</v>
      </c>
      <c r="B2431" s="28" t="s">
        <v>215</v>
      </c>
      <c r="C2431" s="27" t="s">
        <v>4542</v>
      </c>
      <c r="D2431" s="27" t="s">
        <v>230</v>
      </c>
      <c r="E2431" s="29">
        <v>40268</v>
      </c>
      <c r="F2431" s="27">
        <v>15</v>
      </c>
      <c r="G2431" s="18">
        <v>76350.78</v>
      </c>
      <c r="H2431" s="27">
        <f t="shared" si="74"/>
        <v>0</v>
      </c>
      <c r="I2431" s="18">
        <v>52398.77</v>
      </c>
      <c r="J2431" s="27">
        <v>76350.78</v>
      </c>
      <c r="K2431" s="18">
        <f t="shared" si="75"/>
        <v>0</v>
      </c>
      <c r="L2431" s="27">
        <v>55620.29</v>
      </c>
      <c r="M2431" s="36">
        <v>3221.52</v>
      </c>
      <c r="T2431" s="41">
        <v>0</v>
      </c>
      <c r="U2431" s="41">
        <v>0</v>
      </c>
      <c r="V2431" s="42" t="s">
        <v>113</v>
      </c>
      <c r="W2431" s="42">
        <v>0</v>
      </c>
      <c r="X2431" s="42">
        <v>0</v>
      </c>
    </row>
    <row r="2432" spans="1:24">
      <c r="A2432" s="27" t="s">
        <v>4543</v>
      </c>
      <c r="B2432" s="28" t="s">
        <v>215</v>
      </c>
      <c r="C2432" s="27" t="s">
        <v>4544</v>
      </c>
      <c r="D2432" s="27" t="s">
        <v>230</v>
      </c>
      <c r="E2432" s="29">
        <v>40268</v>
      </c>
      <c r="F2432" s="27">
        <v>15</v>
      </c>
      <c r="G2432" s="18">
        <v>76350.78</v>
      </c>
      <c r="H2432" s="27">
        <f t="shared" si="74"/>
        <v>0</v>
      </c>
      <c r="I2432" s="18">
        <v>52398.77</v>
      </c>
      <c r="J2432" s="27">
        <v>76350.78</v>
      </c>
      <c r="K2432" s="18">
        <f t="shared" si="75"/>
        <v>0</v>
      </c>
      <c r="L2432" s="27">
        <v>55620.29</v>
      </c>
      <c r="M2432" s="36">
        <v>3221.52</v>
      </c>
      <c r="T2432" s="41">
        <v>0</v>
      </c>
      <c r="U2432" s="41">
        <v>0</v>
      </c>
      <c r="V2432" s="42" t="s">
        <v>113</v>
      </c>
      <c r="W2432" s="42">
        <v>0</v>
      </c>
      <c r="X2432" s="42">
        <v>0</v>
      </c>
    </row>
    <row r="2433" spans="1:24">
      <c r="A2433" s="27" t="s">
        <v>4545</v>
      </c>
      <c r="B2433" s="28" t="s">
        <v>215</v>
      </c>
      <c r="C2433" s="27" t="s">
        <v>4546</v>
      </c>
      <c r="D2433" s="27" t="s">
        <v>230</v>
      </c>
      <c r="E2433" s="29">
        <v>40268</v>
      </c>
      <c r="F2433" s="27">
        <v>15</v>
      </c>
      <c r="G2433" s="18">
        <v>76350.78</v>
      </c>
      <c r="H2433" s="27">
        <f t="shared" si="74"/>
        <v>0</v>
      </c>
      <c r="I2433" s="18">
        <v>52398.77</v>
      </c>
      <c r="J2433" s="27">
        <v>76350.78</v>
      </c>
      <c r="K2433" s="18">
        <f t="shared" si="75"/>
        <v>0</v>
      </c>
      <c r="L2433" s="27">
        <v>55620.29</v>
      </c>
      <c r="M2433" s="36">
        <v>3221.52</v>
      </c>
      <c r="T2433" s="41">
        <v>0</v>
      </c>
      <c r="U2433" s="41">
        <v>0</v>
      </c>
      <c r="V2433" s="42" t="s">
        <v>113</v>
      </c>
      <c r="W2433" s="42">
        <v>0</v>
      </c>
      <c r="X2433" s="42">
        <v>0</v>
      </c>
    </row>
    <row r="2434" spans="1:24">
      <c r="A2434" s="27" t="s">
        <v>4547</v>
      </c>
      <c r="B2434" s="28" t="s">
        <v>215</v>
      </c>
      <c r="C2434" s="27" t="s">
        <v>4548</v>
      </c>
      <c r="D2434" s="27" t="s">
        <v>230</v>
      </c>
      <c r="E2434" s="29">
        <v>40268</v>
      </c>
      <c r="F2434" s="27">
        <v>15</v>
      </c>
      <c r="G2434" s="18">
        <v>76350.78</v>
      </c>
      <c r="H2434" s="27">
        <f t="shared" si="74"/>
        <v>0</v>
      </c>
      <c r="I2434" s="18">
        <v>52398.77</v>
      </c>
      <c r="J2434" s="27">
        <v>76350.78</v>
      </c>
      <c r="K2434" s="18">
        <f t="shared" si="75"/>
        <v>0</v>
      </c>
      <c r="L2434" s="27">
        <v>55620.29</v>
      </c>
      <c r="M2434" s="36">
        <v>3221.52</v>
      </c>
      <c r="T2434" s="41">
        <v>0</v>
      </c>
      <c r="U2434" s="41">
        <v>0</v>
      </c>
      <c r="V2434" s="42" t="s">
        <v>113</v>
      </c>
      <c r="W2434" s="42">
        <v>0</v>
      </c>
      <c r="X2434" s="42">
        <v>0</v>
      </c>
    </row>
    <row r="2435" spans="1:24">
      <c r="A2435" s="27" t="s">
        <v>4549</v>
      </c>
      <c r="B2435" s="28" t="s">
        <v>215</v>
      </c>
      <c r="C2435" s="27" t="s">
        <v>4550</v>
      </c>
      <c r="D2435" s="27" t="s">
        <v>230</v>
      </c>
      <c r="E2435" s="29">
        <v>40268</v>
      </c>
      <c r="F2435" s="27">
        <v>15</v>
      </c>
      <c r="G2435" s="18">
        <v>76350.78</v>
      </c>
      <c r="H2435" s="27">
        <f t="shared" si="74"/>
        <v>0</v>
      </c>
      <c r="I2435" s="18">
        <v>52398.77</v>
      </c>
      <c r="J2435" s="27">
        <v>76350.78</v>
      </c>
      <c r="K2435" s="18">
        <f t="shared" si="75"/>
        <v>0</v>
      </c>
      <c r="L2435" s="27">
        <v>55620.29</v>
      </c>
      <c r="M2435" s="36">
        <v>3221.52</v>
      </c>
      <c r="T2435" s="41">
        <v>0</v>
      </c>
      <c r="U2435" s="41">
        <v>0</v>
      </c>
      <c r="V2435" s="42" t="s">
        <v>113</v>
      </c>
      <c r="W2435" s="42">
        <v>0</v>
      </c>
      <c r="X2435" s="42">
        <v>0</v>
      </c>
    </row>
    <row r="2436" spans="1:24">
      <c r="A2436" s="27" t="s">
        <v>4551</v>
      </c>
      <c r="B2436" s="28" t="s">
        <v>215</v>
      </c>
      <c r="C2436" s="27" t="s">
        <v>4552</v>
      </c>
      <c r="D2436" s="27" t="s">
        <v>230</v>
      </c>
      <c r="E2436" s="29">
        <v>40268</v>
      </c>
      <c r="F2436" s="27">
        <v>15</v>
      </c>
      <c r="G2436" s="18">
        <v>76350.78</v>
      </c>
      <c r="H2436" s="27">
        <f t="shared" si="74"/>
        <v>0</v>
      </c>
      <c r="I2436" s="18">
        <v>52398.77</v>
      </c>
      <c r="J2436" s="27">
        <v>76350.78</v>
      </c>
      <c r="K2436" s="18">
        <f t="shared" si="75"/>
        <v>0</v>
      </c>
      <c r="L2436" s="27">
        <v>55620.29</v>
      </c>
      <c r="M2436" s="36">
        <v>3221.52</v>
      </c>
      <c r="T2436" s="41">
        <v>0</v>
      </c>
      <c r="U2436" s="41">
        <v>0</v>
      </c>
      <c r="V2436" s="42" t="s">
        <v>113</v>
      </c>
      <c r="W2436" s="42">
        <v>0</v>
      </c>
      <c r="X2436" s="42">
        <v>0</v>
      </c>
    </row>
    <row r="2437" spans="1:24">
      <c r="A2437" s="27" t="s">
        <v>4553</v>
      </c>
      <c r="B2437" s="28" t="s">
        <v>215</v>
      </c>
      <c r="C2437" s="27" t="s">
        <v>955</v>
      </c>
      <c r="D2437" s="27" t="s">
        <v>230</v>
      </c>
      <c r="E2437" s="29">
        <v>40268</v>
      </c>
      <c r="F2437" s="27">
        <v>15</v>
      </c>
      <c r="G2437" s="18">
        <v>110808.04</v>
      </c>
      <c r="H2437" s="27">
        <f t="shared" si="74"/>
        <v>0</v>
      </c>
      <c r="I2437" s="18">
        <v>73073.75</v>
      </c>
      <c r="J2437" s="27">
        <v>110808.04</v>
      </c>
      <c r="K2437" s="18">
        <f t="shared" si="75"/>
        <v>0</v>
      </c>
      <c r="L2437" s="27">
        <v>78224.77</v>
      </c>
      <c r="M2437" s="36">
        <v>5151.0200000000004</v>
      </c>
      <c r="T2437" s="41">
        <v>0</v>
      </c>
      <c r="U2437" s="41">
        <v>0</v>
      </c>
      <c r="V2437" s="42" t="s">
        <v>113</v>
      </c>
      <c r="W2437" s="42">
        <v>0</v>
      </c>
      <c r="X2437" s="42">
        <v>0</v>
      </c>
    </row>
    <row r="2438" spans="1:24">
      <c r="A2438" s="27" t="s">
        <v>4554</v>
      </c>
      <c r="B2438" s="28" t="s">
        <v>215</v>
      </c>
      <c r="C2438" s="27" t="s">
        <v>953</v>
      </c>
      <c r="D2438" s="27" t="s">
        <v>230</v>
      </c>
      <c r="E2438" s="29">
        <v>40268</v>
      </c>
      <c r="F2438" s="27">
        <v>15</v>
      </c>
      <c r="G2438" s="18">
        <v>65206.67</v>
      </c>
      <c r="H2438" s="27">
        <f t="shared" ref="H2438:H2501" si="76">IFERROR(IF(ROUND((G2438-I2438)/G2438,2)&lt;=0.05,G2438,0),0)</f>
        <v>0</v>
      </c>
      <c r="I2438" s="18">
        <v>44750.68</v>
      </c>
      <c r="J2438" s="27">
        <v>65206.67</v>
      </c>
      <c r="K2438" s="18">
        <f t="shared" ref="K2438:K2501" si="77">IFERROR(IF(ROUND((J2438-L2438)/J2438,2)&lt;=0.05,J2438,0),0)</f>
        <v>0</v>
      </c>
      <c r="L2438" s="27">
        <v>47501.99</v>
      </c>
      <c r="M2438" s="36">
        <v>2751.31</v>
      </c>
      <c r="T2438" s="41">
        <v>0</v>
      </c>
      <c r="U2438" s="41">
        <v>0</v>
      </c>
      <c r="V2438" s="42" t="s">
        <v>113</v>
      </c>
      <c r="W2438" s="42">
        <v>0</v>
      </c>
      <c r="X2438" s="42">
        <v>0</v>
      </c>
    </row>
    <row r="2439" spans="1:24">
      <c r="A2439" s="27" t="s">
        <v>4555</v>
      </c>
      <c r="B2439" s="28" t="s">
        <v>215</v>
      </c>
      <c r="C2439" s="27" t="s">
        <v>1671</v>
      </c>
      <c r="D2439" s="27" t="s">
        <v>230</v>
      </c>
      <c r="E2439" s="29">
        <v>40268</v>
      </c>
      <c r="F2439" s="27">
        <v>15</v>
      </c>
      <c r="G2439" s="18">
        <v>70317.62</v>
      </c>
      <c r="H2439" s="27">
        <f t="shared" si="76"/>
        <v>0</v>
      </c>
      <c r="I2439" s="18">
        <v>48258.27</v>
      </c>
      <c r="J2439" s="27">
        <v>70317.62</v>
      </c>
      <c r="K2439" s="18">
        <f t="shared" si="77"/>
        <v>0</v>
      </c>
      <c r="L2439" s="27">
        <v>51225.23</v>
      </c>
      <c r="M2439" s="36">
        <v>2966.96</v>
      </c>
      <c r="T2439" s="41">
        <v>0</v>
      </c>
      <c r="U2439" s="41">
        <v>0</v>
      </c>
      <c r="V2439" s="42" t="s">
        <v>113</v>
      </c>
      <c r="W2439" s="42">
        <v>0</v>
      </c>
      <c r="X2439" s="42">
        <v>0</v>
      </c>
    </row>
    <row r="2440" spans="1:24">
      <c r="A2440" s="27" t="s">
        <v>4556</v>
      </c>
      <c r="B2440" s="28" t="s">
        <v>215</v>
      </c>
      <c r="C2440" s="27" t="s">
        <v>1057</v>
      </c>
      <c r="D2440" s="27" t="s">
        <v>230</v>
      </c>
      <c r="E2440" s="29">
        <v>40268</v>
      </c>
      <c r="F2440" s="27">
        <v>15</v>
      </c>
      <c r="G2440" s="18">
        <v>76350.78</v>
      </c>
      <c r="H2440" s="27">
        <f t="shared" si="76"/>
        <v>0</v>
      </c>
      <c r="I2440" s="18">
        <v>52398.77</v>
      </c>
      <c r="J2440" s="27">
        <v>76350.78</v>
      </c>
      <c r="K2440" s="18">
        <f t="shared" si="77"/>
        <v>0</v>
      </c>
      <c r="L2440" s="27">
        <v>55620.29</v>
      </c>
      <c r="M2440" s="36">
        <v>3221.52</v>
      </c>
      <c r="T2440" s="41">
        <v>0</v>
      </c>
      <c r="U2440" s="41">
        <v>0</v>
      </c>
      <c r="V2440" s="42" t="s">
        <v>113</v>
      </c>
      <c r="W2440" s="42">
        <v>0</v>
      </c>
      <c r="X2440" s="42">
        <v>0</v>
      </c>
    </row>
    <row r="2441" spans="1:24">
      <c r="A2441" s="27" t="s">
        <v>4557</v>
      </c>
      <c r="B2441" s="28" t="s">
        <v>215</v>
      </c>
      <c r="C2441" s="27" t="s">
        <v>4558</v>
      </c>
      <c r="D2441" s="27" t="s">
        <v>230</v>
      </c>
      <c r="E2441" s="29">
        <v>40268</v>
      </c>
      <c r="F2441" s="27">
        <v>15</v>
      </c>
      <c r="G2441" s="18">
        <v>42417.1</v>
      </c>
      <c r="H2441" s="27">
        <f t="shared" si="76"/>
        <v>0</v>
      </c>
      <c r="I2441" s="18">
        <v>29110.42</v>
      </c>
      <c r="J2441" s="27">
        <v>42417.1</v>
      </c>
      <c r="K2441" s="18">
        <f t="shared" si="77"/>
        <v>0</v>
      </c>
      <c r="L2441" s="27">
        <v>30900.15</v>
      </c>
      <c r="M2441" s="36">
        <v>1789.73</v>
      </c>
      <c r="T2441" s="41">
        <v>0</v>
      </c>
      <c r="U2441" s="41">
        <v>0</v>
      </c>
      <c r="V2441" s="42" t="s">
        <v>113</v>
      </c>
      <c r="W2441" s="42">
        <v>0</v>
      </c>
      <c r="X2441" s="42">
        <v>0</v>
      </c>
    </row>
    <row r="2442" spans="1:24">
      <c r="A2442" s="27" t="s">
        <v>4559</v>
      </c>
      <c r="B2442" s="28" t="s">
        <v>215</v>
      </c>
      <c r="C2442" s="27" t="s">
        <v>4560</v>
      </c>
      <c r="D2442" s="27" t="s">
        <v>230</v>
      </c>
      <c r="E2442" s="29">
        <v>40268</v>
      </c>
      <c r="F2442" s="27">
        <v>15</v>
      </c>
      <c r="G2442" s="18">
        <v>42417.1</v>
      </c>
      <c r="H2442" s="27">
        <f t="shared" si="76"/>
        <v>0</v>
      </c>
      <c r="I2442" s="18">
        <v>29110.42</v>
      </c>
      <c r="J2442" s="27">
        <v>42417.1</v>
      </c>
      <c r="K2442" s="18">
        <f t="shared" si="77"/>
        <v>0</v>
      </c>
      <c r="L2442" s="27">
        <v>30900.15</v>
      </c>
      <c r="M2442" s="36">
        <v>1789.73</v>
      </c>
      <c r="T2442" s="41">
        <v>0</v>
      </c>
      <c r="U2442" s="41">
        <v>0</v>
      </c>
      <c r="V2442" s="42" t="s">
        <v>113</v>
      </c>
      <c r="W2442" s="42">
        <v>0</v>
      </c>
      <c r="X2442" s="42">
        <v>0</v>
      </c>
    </row>
    <row r="2443" spans="1:24">
      <c r="A2443" s="27" t="s">
        <v>4561</v>
      </c>
      <c r="B2443" s="28" t="s">
        <v>215</v>
      </c>
      <c r="C2443" s="27" t="s">
        <v>1087</v>
      </c>
      <c r="D2443" s="27" t="s">
        <v>230</v>
      </c>
      <c r="E2443" s="29">
        <v>40268</v>
      </c>
      <c r="F2443" s="27">
        <v>15</v>
      </c>
      <c r="G2443" s="18">
        <v>88206.720000000001</v>
      </c>
      <c r="H2443" s="27">
        <f t="shared" si="76"/>
        <v>0</v>
      </c>
      <c r="I2443" s="18">
        <v>60535.38</v>
      </c>
      <c r="J2443" s="27">
        <v>88206.720000000001</v>
      </c>
      <c r="K2443" s="18">
        <f t="shared" si="77"/>
        <v>0</v>
      </c>
      <c r="L2443" s="27">
        <v>64257.14</v>
      </c>
      <c r="M2443" s="36">
        <v>3721.76</v>
      </c>
      <c r="T2443" s="41">
        <v>0</v>
      </c>
      <c r="U2443" s="41">
        <v>0</v>
      </c>
      <c r="V2443" s="42" t="s">
        <v>113</v>
      </c>
      <c r="W2443" s="42">
        <v>0</v>
      </c>
      <c r="X2443" s="42">
        <v>0</v>
      </c>
    </row>
    <row r="2444" spans="1:24">
      <c r="A2444" s="27" t="s">
        <v>4562</v>
      </c>
      <c r="B2444" s="28" t="s">
        <v>215</v>
      </c>
      <c r="C2444" s="27" t="s">
        <v>2696</v>
      </c>
      <c r="D2444" s="27" t="s">
        <v>230</v>
      </c>
      <c r="E2444" s="29">
        <v>40268</v>
      </c>
      <c r="F2444" s="27">
        <v>15</v>
      </c>
      <c r="G2444" s="18">
        <v>50101.98</v>
      </c>
      <c r="H2444" s="27">
        <f t="shared" si="76"/>
        <v>0</v>
      </c>
      <c r="I2444" s="18">
        <v>34384.449999999997</v>
      </c>
      <c r="J2444" s="27">
        <v>50101.98</v>
      </c>
      <c r="K2444" s="18">
        <f t="shared" si="77"/>
        <v>0</v>
      </c>
      <c r="L2444" s="27">
        <v>36498.44</v>
      </c>
      <c r="M2444" s="36">
        <v>2113.9899999999998</v>
      </c>
      <c r="T2444" s="41">
        <v>0</v>
      </c>
      <c r="U2444" s="41">
        <v>0</v>
      </c>
      <c r="V2444" s="42" t="s">
        <v>113</v>
      </c>
      <c r="W2444" s="42">
        <v>0</v>
      </c>
      <c r="X2444" s="42">
        <v>0</v>
      </c>
    </row>
    <row r="2445" spans="1:24">
      <c r="A2445" s="27" t="s">
        <v>4563</v>
      </c>
      <c r="B2445" s="28" t="s">
        <v>215</v>
      </c>
      <c r="C2445" s="27" t="s">
        <v>2175</v>
      </c>
      <c r="D2445" s="27" t="s">
        <v>112</v>
      </c>
      <c r="E2445" s="29">
        <v>40268</v>
      </c>
      <c r="F2445" s="27">
        <v>12</v>
      </c>
      <c r="G2445" s="18">
        <v>1848.04</v>
      </c>
      <c r="H2445" s="27">
        <f t="shared" si="76"/>
        <v>1848.04</v>
      </c>
      <c r="I2445" s="18">
        <v>1848.04</v>
      </c>
      <c r="J2445" s="27">
        <v>1848.04</v>
      </c>
      <c r="K2445" s="18">
        <f t="shared" si="77"/>
        <v>1848.04</v>
      </c>
      <c r="L2445" s="27">
        <v>1848.04</v>
      </c>
      <c r="M2445" s="36">
        <v>0</v>
      </c>
      <c r="T2445" s="41">
        <v>0</v>
      </c>
      <c r="U2445" s="41">
        <v>0</v>
      </c>
      <c r="V2445" s="42" t="s">
        <v>113</v>
      </c>
      <c r="W2445" s="42">
        <v>1848.04</v>
      </c>
      <c r="X2445" s="42">
        <v>1848.04</v>
      </c>
    </row>
    <row r="2446" spans="1:24">
      <c r="A2446" s="27" t="s">
        <v>4564</v>
      </c>
      <c r="B2446" s="28" t="s">
        <v>215</v>
      </c>
      <c r="C2446" s="27" t="s">
        <v>2173</v>
      </c>
      <c r="D2446" s="27" t="s">
        <v>112</v>
      </c>
      <c r="E2446" s="29">
        <v>40268</v>
      </c>
      <c r="F2446" s="27">
        <v>12</v>
      </c>
      <c r="G2446" s="18">
        <v>1848.04</v>
      </c>
      <c r="H2446" s="27">
        <f t="shared" si="76"/>
        <v>1848.04</v>
      </c>
      <c r="I2446" s="18">
        <v>1848.04</v>
      </c>
      <c r="J2446" s="27">
        <v>1848.04</v>
      </c>
      <c r="K2446" s="18">
        <f t="shared" si="77"/>
        <v>1848.04</v>
      </c>
      <c r="L2446" s="27">
        <v>1848.04</v>
      </c>
      <c r="M2446" s="36">
        <v>0</v>
      </c>
      <c r="T2446" s="41">
        <v>0</v>
      </c>
      <c r="U2446" s="41">
        <v>0</v>
      </c>
      <c r="V2446" s="42" t="s">
        <v>113</v>
      </c>
      <c r="W2446" s="42">
        <v>1848.04</v>
      </c>
      <c r="X2446" s="42">
        <v>1848.04</v>
      </c>
    </row>
    <row r="2447" spans="1:24">
      <c r="A2447" s="27" t="s">
        <v>4565</v>
      </c>
      <c r="B2447" s="28" t="s">
        <v>215</v>
      </c>
      <c r="C2447" s="27" t="s">
        <v>2177</v>
      </c>
      <c r="D2447" s="27" t="s">
        <v>112</v>
      </c>
      <c r="E2447" s="29">
        <v>40268</v>
      </c>
      <c r="F2447" s="27">
        <v>12</v>
      </c>
      <c r="G2447" s="18">
        <v>1848.08</v>
      </c>
      <c r="H2447" s="27">
        <f t="shared" si="76"/>
        <v>1848.08</v>
      </c>
      <c r="I2447" s="18">
        <v>1848.08</v>
      </c>
      <c r="J2447" s="27">
        <v>1848.08</v>
      </c>
      <c r="K2447" s="18">
        <f t="shared" si="77"/>
        <v>1848.08</v>
      </c>
      <c r="L2447" s="27">
        <v>1848.08</v>
      </c>
      <c r="M2447" s="36">
        <v>0</v>
      </c>
      <c r="T2447" s="41">
        <v>0</v>
      </c>
      <c r="U2447" s="41">
        <v>0</v>
      </c>
      <c r="V2447" s="42" t="s">
        <v>113</v>
      </c>
      <c r="W2447" s="42">
        <v>1848.08</v>
      </c>
      <c r="X2447" s="42">
        <v>1848.08</v>
      </c>
    </row>
    <row r="2448" spans="1:24">
      <c r="A2448" s="27" t="s">
        <v>4566</v>
      </c>
      <c r="B2448" s="28" t="s">
        <v>215</v>
      </c>
      <c r="C2448" s="27" t="s">
        <v>4567</v>
      </c>
      <c r="D2448" s="27" t="s">
        <v>118</v>
      </c>
      <c r="E2448" s="29">
        <v>40169</v>
      </c>
      <c r="F2448" s="27">
        <v>15</v>
      </c>
      <c r="G2448" s="18">
        <v>18140.48</v>
      </c>
      <c r="H2448" s="27">
        <f t="shared" si="76"/>
        <v>18140.48</v>
      </c>
      <c r="I2448" s="18">
        <v>17233.46</v>
      </c>
      <c r="J2448" s="27">
        <v>18140.48</v>
      </c>
      <c r="K2448" s="18">
        <f t="shared" si="77"/>
        <v>18140.48</v>
      </c>
      <c r="L2448" s="27">
        <v>17233.46</v>
      </c>
      <c r="M2448" s="36">
        <v>0</v>
      </c>
      <c r="T2448" s="41">
        <v>0</v>
      </c>
      <c r="U2448" s="41">
        <v>0</v>
      </c>
      <c r="V2448" s="42" t="s">
        <v>113</v>
      </c>
      <c r="W2448" s="42">
        <v>18140.48</v>
      </c>
      <c r="X2448" s="42">
        <v>18140.48</v>
      </c>
    </row>
    <row r="2449" spans="1:24">
      <c r="A2449" s="27" t="s">
        <v>4568</v>
      </c>
      <c r="B2449" s="28" t="s">
        <v>215</v>
      </c>
      <c r="C2449" s="27" t="s">
        <v>4569</v>
      </c>
      <c r="D2449" s="27" t="s">
        <v>118</v>
      </c>
      <c r="E2449" s="29">
        <v>40083</v>
      </c>
      <c r="F2449" s="27">
        <v>15</v>
      </c>
      <c r="G2449" s="18">
        <v>24257.55</v>
      </c>
      <c r="H2449" s="27">
        <f t="shared" si="76"/>
        <v>24257.55</v>
      </c>
      <c r="I2449" s="18">
        <v>23044.67</v>
      </c>
      <c r="J2449" s="27">
        <v>24257.55</v>
      </c>
      <c r="K2449" s="18">
        <f t="shared" si="77"/>
        <v>24257.55</v>
      </c>
      <c r="L2449" s="27">
        <v>23044.67</v>
      </c>
      <c r="M2449" s="36">
        <v>0</v>
      </c>
      <c r="T2449" s="41">
        <v>0</v>
      </c>
      <c r="U2449" s="41">
        <v>0</v>
      </c>
      <c r="V2449" s="42" t="s">
        <v>113</v>
      </c>
      <c r="W2449" s="42">
        <v>24257.55</v>
      </c>
      <c r="X2449" s="42">
        <v>24257.55</v>
      </c>
    </row>
    <row r="2450" spans="1:24">
      <c r="A2450" s="27" t="s">
        <v>4570</v>
      </c>
      <c r="B2450" s="28" t="s">
        <v>215</v>
      </c>
      <c r="C2450" s="27" t="s">
        <v>4571</v>
      </c>
      <c r="D2450" s="27" t="s">
        <v>220</v>
      </c>
      <c r="E2450" s="29">
        <v>40083</v>
      </c>
      <c r="F2450" s="27">
        <v>15</v>
      </c>
      <c r="G2450" s="18">
        <v>109479.91</v>
      </c>
      <c r="H2450" s="27">
        <f t="shared" si="76"/>
        <v>109479.91</v>
      </c>
      <c r="I2450" s="18">
        <v>104005.91</v>
      </c>
      <c r="J2450" s="27">
        <v>109479.91</v>
      </c>
      <c r="K2450" s="18">
        <f t="shared" si="77"/>
        <v>109479.91</v>
      </c>
      <c r="L2450" s="27">
        <v>104005.91</v>
      </c>
      <c r="M2450" s="36">
        <v>0</v>
      </c>
      <c r="T2450" s="41">
        <v>0</v>
      </c>
      <c r="U2450" s="41">
        <v>0</v>
      </c>
      <c r="V2450" s="42" t="s">
        <v>113</v>
      </c>
      <c r="W2450" s="42">
        <v>109479.91</v>
      </c>
      <c r="X2450" s="42">
        <v>109479.91</v>
      </c>
    </row>
    <row r="2451" spans="1:24">
      <c r="A2451" s="27" t="s">
        <v>4572</v>
      </c>
      <c r="B2451" s="28" t="s">
        <v>215</v>
      </c>
      <c r="C2451" s="27" t="s">
        <v>4573</v>
      </c>
      <c r="D2451" s="27" t="s">
        <v>230</v>
      </c>
      <c r="E2451" s="29">
        <v>39417</v>
      </c>
      <c r="F2451" s="27">
        <v>15</v>
      </c>
      <c r="G2451" s="18">
        <v>460629.99</v>
      </c>
      <c r="H2451" s="27">
        <f t="shared" si="76"/>
        <v>0</v>
      </c>
      <c r="I2451" s="18">
        <v>407442.87</v>
      </c>
      <c r="J2451" s="27">
        <v>460629.99</v>
      </c>
      <c r="K2451" s="18">
        <f t="shared" si="77"/>
        <v>0</v>
      </c>
      <c r="L2451" s="27">
        <v>414981.78</v>
      </c>
      <c r="M2451" s="36">
        <v>7538.91</v>
      </c>
      <c r="T2451" s="41">
        <v>0</v>
      </c>
      <c r="U2451" s="41">
        <v>0</v>
      </c>
      <c r="V2451" s="42" t="s">
        <v>113</v>
      </c>
      <c r="W2451" s="42">
        <v>0</v>
      </c>
      <c r="X2451" s="42">
        <v>0</v>
      </c>
    </row>
    <row r="2452" spans="1:24">
      <c r="A2452" s="27" t="s">
        <v>4574</v>
      </c>
      <c r="B2452" s="28" t="s">
        <v>215</v>
      </c>
      <c r="C2452" s="27" t="s">
        <v>2761</v>
      </c>
      <c r="D2452" s="27" t="s">
        <v>118</v>
      </c>
      <c r="E2452" s="29">
        <v>40170</v>
      </c>
      <c r="F2452" s="27">
        <v>12</v>
      </c>
      <c r="G2452" s="18">
        <v>41880.660000000003</v>
      </c>
      <c r="H2452" s="27">
        <f t="shared" si="76"/>
        <v>41880.660000000003</v>
      </c>
      <c r="I2452" s="18">
        <v>40568.15</v>
      </c>
      <c r="J2452" s="27">
        <v>41880.660000000003</v>
      </c>
      <c r="K2452" s="18">
        <f t="shared" si="77"/>
        <v>41880.660000000003</v>
      </c>
      <c r="L2452" s="27">
        <v>39786.629999999997</v>
      </c>
      <c r="M2452" s="36">
        <v>-781.52</v>
      </c>
      <c r="T2452" s="41">
        <v>0</v>
      </c>
      <c r="U2452" s="41">
        <v>0</v>
      </c>
      <c r="V2452" s="42" t="s">
        <v>113</v>
      </c>
      <c r="W2452" s="42">
        <v>41880.660000000003</v>
      </c>
      <c r="X2452" s="42">
        <v>41880.660000000003</v>
      </c>
    </row>
    <row r="2453" spans="1:24">
      <c r="A2453" s="27" t="s">
        <v>4575</v>
      </c>
      <c r="B2453" s="28" t="s">
        <v>215</v>
      </c>
      <c r="C2453" s="27" t="s">
        <v>640</v>
      </c>
      <c r="D2453" s="27" t="s">
        <v>118</v>
      </c>
      <c r="E2453" s="29">
        <v>40170</v>
      </c>
      <c r="F2453" s="27">
        <v>12</v>
      </c>
      <c r="G2453" s="18">
        <v>18064.189999999999</v>
      </c>
      <c r="H2453" s="27">
        <f t="shared" si="76"/>
        <v>18064.189999999999</v>
      </c>
      <c r="I2453" s="18">
        <v>17487.669999999998</v>
      </c>
      <c r="J2453" s="27">
        <v>18064.189999999999</v>
      </c>
      <c r="K2453" s="18">
        <f t="shared" si="77"/>
        <v>18064.189999999999</v>
      </c>
      <c r="L2453" s="27">
        <v>17160.98</v>
      </c>
      <c r="M2453" s="36">
        <v>-326.69</v>
      </c>
      <c r="T2453" s="41">
        <v>0</v>
      </c>
      <c r="U2453" s="41">
        <v>0</v>
      </c>
      <c r="V2453" s="42" t="s">
        <v>113</v>
      </c>
      <c r="W2453" s="42">
        <v>18064.189999999999</v>
      </c>
      <c r="X2453" s="42">
        <v>18064.189999999999</v>
      </c>
    </row>
    <row r="2454" spans="1:24">
      <c r="A2454" s="27" t="s">
        <v>4576</v>
      </c>
      <c r="B2454" s="28" t="s">
        <v>215</v>
      </c>
      <c r="C2454" s="27" t="s">
        <v>3460</v>
      </c>
      <c r="D2454" s="27" t="s">
        <v>230</v>
      </c>
      <c r="E2454" s="29">
        <v>40079</v>
      </c>
      <c r="F2454" s="27">
        <v>12</v>
      </c>
      <c r="G2454" s="18">
        <v>481.49</v>
      </c>
      <c r="H2454" s="27">
        <f t="shared" si="76"/>
        <v>481.49</v>
      </c>
      <c r="I2454" s="18">
        <v>481.49</v>
      </c>
      <c r="J2454" s="27">
        <v>481.49</v>
      </c>
      <c r="K2454" s="18">
        <f t="shared" si="77"/>
        <v>481.49</v>
      </c>
      <c r="L2454" s="27">
        <v>481.49</v>
      </c>
      <c r="M2454" s="36">
        <v>0</v>
      </c>
      <c r="T2454" s="41">
        <v>0</v>
      </c>
      <c r="U2454" s="41">
        <v>0</v>
      </c>
      <c r="V2454" s="42" t="s">
        <v>113</v>
      </c>
      <c r="W2454" s="42">
        <v>481.49</v>
      </c>
      <c r="X2454" s="42">
        <v>481.49</v>
      </c>
    </row>
    <row r="2455" spans="1:24">
      <c r="A2455" s="27" t="s">
        <v>4577</v>
      </c>
      <c r="B2455" s="28" t="s">
        <v>215</v>
      </c>
      <c r="C2455" s="27" t="s">
        <v>642</v>
      </c>
      <c r="D2455" s="27" t="s">
        <v>118</v>
      </c>
      <c r="E2455" s="29">
        <v>40170</v>
      </c>
      <c r="F2455" s="27">
        <v>12</v>
      </c>
      <c r="G2455" s="18">
        <v>16399.060000000001</v>
      </c>
      <c r="H2455" s="27">
        <f t="shared" si="76"/>
        <v>16399.060000000001</v>
      </c>
      <c r="I2455" s="18">
        <v>15885.12</v>
      </c>
      <c r="J2455" s="27">
        <v>16399.060000000001</v>
      </c>
      <c r="K2455" s="18">
        <f t="shared" si="77"/>
        <v>16399.060000000001</v>
      </c>
      <c r="L2455" s="27">
        <v>15579.11</v>
      </c>
      <c r="M2455" s="36">
        <v>-306.01</v>
      </c>
      <c r="T2455" s="41">
        <v>0</v>
      </c>
      <c r="U2455" s="41">
        <v>0</v>
      </c>
      <c r="V2455" s="42" t="s">
        <v>113</v>
      </c>
      <c r="W2455" s="42">
        <v>16399.060000000001</v>
      </c>
      <c r="X2455" s="42">
        <v>16399.060000000001</v>
      </c>
    </row>
    <row r="2456" spans="1:24">
      <c r="A2456" s="27" t="s">
        <v>4578</v>
      </c>
      <c r="B2456" s="28" t="s">
        <v>215</v>
      </c>
      <c r="C2456" s="27" t="s">
        <v>4579</v>
      </c>
      <c r="D2456" s="27" t="s">
        <v>118</v>
      </c>
      <c r="E2456" s="29">
        <v>40170</v>
      </c>
      <c r="F2456" s="27">
        <v>12</v>
      </c>
      <c r="G2456" s="18">
        <v>16399.03</v>
      </c>
      <c r="H2456" s="27">
        <f t="shared" si="76"/>
        <v>16399.03</v>
      </c>
      <c r="I2456" s="18">
        <v>15885.12</v>
      </c>
      <c r="J2456" s="27">
        <v>16399.03</v>
      </c>
      <c r="K2456" s="18">
        <f t="shared" si="77"/>
        <v>16399.03</v>
      </c>
      <c r="L2456" s="27">
        <v>15579.08</v>
      </c>
      <c r="M2456" s="36">
        <v>-306.04000000000002</v>
      </c>
      <c r="T2456" s="41">
        <v>0</v>
      </c>
      <c r="U2456" s="41">
        <v>0</v>
      </c>
      <c r="V2456" s="42" t="s">
        <v>113</v>
      </c>
      <c r="W2456" s="42">
        <v>16399.03</v>
      </c>
      <c r="X2456" s="42">
        <v>16399.03</v>
      </c>
    </row>
    <row r="2457" spans="1:24">
      <c r="A2457" s="27" t="s">
        <v>4580</v>
      </c>
      <c r="B2457" s="28" t="s">
        <v>215</v>
      </c>
      <c r="C2457" s="27" t="s">
        <v>4581</v>
      </c>
      <c r="D2457" s="27" t="s">
        <v>118</v>
      </c>
      <c r="E2457" s="29">
        <v>40170</v>
      </c>
      <c r="F2457" s="27">
        <v>12</v>
      </c>
      <c r="G2457" s="18">
        <v>16399.060000000001</v>
      </c>
      <c r="H2457" s="27">
        <f t="shared" si="76"/>
        <v>16399.060000000001</v>
      </c>
      <c r="I2457" s="18">
        <v>15885.12</v>
      </c>
      <c r="J2457" s="27">
        <v>16399.060000000001</v>
      </c>
      <c r="K2457" s="18">
        <f t="shared" si="77"/>
        <v>16399.060000000001</v>
      </c>
      <c r="L2457" s="27">
        <v>15579.11</v>
      </c>
      <c r="M2457" s="36">
        <v>-306.01</v>
      </c>
      <c r="T2457" s="41">
        <v>0</v>
      </c>
      <c r="U2457" s="41">
        <v>0</v>
      </c>
      <c r="V2457" s="42" t="s">
        <v>113</v>
      </c>
      <c r="W2457" s="42">
        <v>16399.060000000001</v>
      </c>
      <c r="X2457" s="42">
        <v>16399.060000000001</v>
      </c>
    </row>
    <row r="2458" spans="1:24">
      <c r="A2458" s="27" t="s">
        <v>4582</v>
      </c>
      <c r="B2458" s="28" t="s">
        <v>215</v>
      </c>
      <c r="C2458" s="27" t="s">
        <v>4583</v>
      </c>
      <c r="D2458" s="27" t="s">
        <v>118</v>
      </c>
      <c r="E2458" s="29">
        <v>40170</v>
      </c>
      <c r="F2458" s="27">
        <v>12</v>
      </c>
      <c r="G2458" s="18">
        <v>16399.060000000001</v>
      </c>
      <c r="H2458" s="27">
        <f t="shared" si="76"/>
        <v>16399.060000000001</v>
      </c>
      <c r="I2458" s="18">
        <v>15885.12</v>
      </c>
      <c r="J2458" s="27">
        <v>16399.060000000001</v>
      </c>
      <c r="K2458" s="18">
        <f t="shared" si="77"/>
        <v>16399.060000000001</v>
      </c>
      <c r="L2458" s="27">
        <v>15579.11</v>
      </c>
      <c r="M2458" s="36">
        <v>-306.01</v>
      </c>
      <c r="T2458" s="41">
        <v>0</v>
      </c>
      <c r="U2458" s="41">
        <v>0</v>
      </c>
      <c r="V2458" s="42" t="s">
        <v>113</v>
      </c>
      <c r="W2458" s="42">
        <v>16399.060000000001</v>
      </c>
      <c r="X2458" s="42">
        <v>16399.060000000001</v>
      </c>
    </row>
    <row r="2459" spans="1:24">
      <c r="A2459" s="27" t="s">
        <v>4584</v>
      </c>
      <c r="B2459" s="28" t="s">
        <v>215</v>
      </c>
      <c r="C2459" s="27" t="s">
        <v>638</v>
      </c>
      <c r="D2459" s="27" t="s">
        <v>118</v>
      </c>
      <c r="E2459" s="29">
        <v>40170</v>
      </c>
      <c r="F2459" s="27">
        <v>12</v>
      </c>
      <c r="G2459" s="18">
        <v>16399.060000000001</v>
      </c>
      <c r="H2459" s="27">
        <f t="shared" si="76"/>
        <v>16399.060000000001</v>
      </c>
      <c r="I2459" s="18">
        <v>15885.12</v>
      </c>
      <c r="J2459" s="27">
        <v>16399.060000000001</v>
      </c>
      <c r="K2459" s="18">
        <f t="shared" si="77"/>
        <v>16399.060000000001</v>
      </c>
      <c r="L2459" s="27">
        <v>15579.11</v>
      </c>
      <c r="M2459" s="36">
        <v>-306.01</v>
      </c>
      <c r="T2459" s="41">
        <v>0</v>
      </c>
      <c r="U2459" s="41">
        <v>0</v>
      </c>
      <c r="V2459" s="42" t="s">
        <v>113</v>
      </c>
      <c r="W2459" s="42">
        <v>16399.060000000001</v>
      </c>
      <c r="X2459" s="42">
        <v>16399.060000000001</v>
      </c>
    </row>
    <row r="2460" spans="1:24">
      <c r="A2460" s="27" t="s">
        <v>4585</v>
      </c>
      <c r="B2460" s="28" t="s">
        <v>215</v>
      </c>
      <c r="C2460" s="27" t="s">
        <v>1013</v>
      </c>
      <c r="D2460" s="27" t="s">
        <v>112</v>
      </c>
      <c r="E2460" s="29">
        <v>40169</v>
      </c>
      <c r="F2460" s="27">
        <v>15</v>
      </c>
      <c r="G2460" s="18">
        <v>568534.30000000005</v>
      </c>
      <c r="H2460" s="27">
        <f t="shared" si="76"/>
        <v>568534.30000000005</v>
      </c>
      <c r="I2460" s="18">
        <v>540107.57999999996</v>
      </c>
      <c r="J2460" s="27">
        <v>568534.30000000005</v>
      </c>
      <c r="K2460" s="18">
        <f t="shared" si="77"/>
        <v>568534.30000000005</v>
      </c>
      <c r="L2460" s="27">
        <v>540107.57999999996</v>
      </c>
      <c r="M2460" s="36">
        <v>0</v>
      </c>
      <c r="T2460" s="41">
        <v>0</v>
      </c>
      <c r="U2460" s="41">
        <v>0</v>
      </c>
      <c r="V2460" s="42" t="s">
        <v>113</v>
      </c>
      <c r="W2460" s="42">
        <v>568534.30000000005</v>
      </c>
      <c r="X2460" s="42">
        <v>568534.30000000005</v>
      </c>
    </row>
    <row r="2461" spans="1:24">
      <c r="A2461" s="27" t="s">
        <v>4586</v>
      </c>
      <c r="B2461" s="28" t="s">
        <v>215</v>
      </c>
      <c r="C2461" s="27" t="s">
        <v>4587</v>
      </c>
      <c r="D2461" s="27" t="s">
        <v>230</v>
      </c>
      <c r="E2461" s="29">
        <v>40083</v>
      </c>
      <c r="F2461" s="27">
        <v>15</v>
      </c>
      <c r="G2461" s="18">
        <v>163084.25</v>
      </c>
      <c r="H2461" s="27">
        <f t="shared" si="76"/>
        <v>0</v>
      </c>
      <c r="I2461" s="18">
        <v>131430.49</v>
      </c>
      <c r="J2461" s="27">
        <v>163084.25</v>
      </c>
      <c r="K2461" s="18">
        <f t="shared" si="77"/>
        <v>0</v>
      </c>
      <c r="L2461" s="27">
        <v>136377.76</v>
      </c>
      <c r="M2461" s="36">
        <v>4947.2700000000004</v>
      </c>
      <c r="T2461" s="41">
        <v>0</v>
      </c>
      <c r="U2461" s="41">
        <v>0</v>
      </c>
      <c r="V2461" s="42" t="s">
        <v>113</v>
      </c>
      <c r="W2461" s="42">
        <v>0</v>
      </c>
      <c r="X2461" s="42">
        <v>0</v>
      </c>
    </row>
    <row r="2462" spans="1:24">
      <c r="A2462" s="27" t="s">
        <v>4588</v>
      </c>
      <c r="B2462" s="28" t="s">
        <v>215</v>
      </c>
      <c r="C2462" s="27" t="s">
        <v>4589</v>
      </c>
      <c r="D2462" s="27" t="s">
        <v>112</v>
      </c>
      <c r="E2462" s="29">
        <v>40169</v>
      </c>
      <c r="F2462" s="27">
        <v>15</v>
      </c>
      <c r="G2462" s="18">
        <v>37093.03</v>
      </c>
      <c r="H2462" s="27">
        <f t="shared" si="76"/>
        <v>37093.03</v>
      </c>
      <c r="I2462" s="18">
        <v>35238.379999999997</v>
      </c>
      <c r="J2462" s="27">
        <v>37093.03</v>
      </c>
      <c r="K2462" s="18">
        <f t="shared" si="77"/>
        <v>37093.03</v>
      </c>
      <c r="L2462" s="27">
        <v>35238.379999999997</v>
      </c>
      <c r="M2462" s="36">
        <v>0</v>
      </c>
      <c r="T2462" s="41">
        <v>0</v>
      </c>
      <c r="U2462" s="41">
        <v>0</v>
      </c>
      <c r="V2462" s="42" t="s">
        <v>113</v>
      </c>
      <c r="W2462" s="42">
        <v>37093.03</v>
      </c>
      <c r="X2462" s="42">
        <v>37093.03</v>
      </c>
    </row>
    <row r="2463" spans="1:24">
      <c r="A2463" s="27" t="s">
        <v>4590</v>
      </c>
      <c r="B2463" s="28" t="s">
        <v>215</v>
      </c>
      <c r="C2463" s="27" t="s">
        <v>4591</v>
      </c>
      <c r="D2463" s="27" t="s">
        <v>230</v>
      </c>
      <c r="E2463" s="29">
        <v>40083</v>
      </c>
      <c r="F2463" s="27">
        <v>15</v>
      </c>
      <c r="G2463" s="18">
        <v>46270.94</v>
      </c>
      <c r="H2463" s="27">
        <f t="shared" si="76"/>
        <v>0</v>
      </c>
      <c r="I2463" s="18">
        <v>36548.449999999997</v>
      </c>
      <c r="J2463" s="27">
        <v>46270.94</v>
      </c>
      <c r="K2463" s="18">
        <f t="shared" si="77"/>
        <v>0</v>
      </c>
      <c r="L2463" s="27">
        <v>38108.230000000003</v>
      </c>
      <c r="M2463" s="36">
        <v>1559.78</v>
      </c>
      <c r="T2463" s="41">
        <v>0</v>
      </c>
      <c r="U2463" s="41">
        <v>0</v>
      </c>
      <c r="V2463" s="42" t="s">
        <v>113</v>
      </c>
      <c r="W2463" s="42">
        <v>0</v>
      </c>
      <c r="X2463" s="42">
        <v>0</v>
      </c>
    </row>
    <row r="2464" spans="1:24">
      <c r="A2464" s="27" t="s">
        <v>4592</v>
      </c>
      <c r="B2464" s="28" t="s">
        <v>215</v>
      </c>
      <c r="C2464" s="27" t="s">
        <v>4593</v>
      </c>
      <c r="D2464" s="27" t="s">
        <v>118</v>
      </c>
      <c r="E2464" s="29">
        <v>40169</v>
      </c>
      <c r="F2464" s="27">
        <v>15</v>
      </c>
      <c r="G2464" s="18">
        <v>18140.490000000002</v>
      </c>
      <c r="H2464" s="27">
        <f t="shared" si="76"/>
        <v>18140.490000000002</v>
      </c>
      <c r="I2464" s="18">
        <v>17233.47</v>
      </c>
      <c r="J2464" s="27">
        <v>18140.490000000002</v>
      </c>
      <c r="K2464" s="18">
        <f t="shared" si="77"/>
        <v>18140.490000000002</v>
      </c>
      <c r="L2464" s="27">
        <v>17233.47</v>
      </c>
      <c r="M2464" s="36">
        <v>0</v>
      </c>
      <c r="T2464" s="41">
        <v>0</v>
      </c>
      <c r="U2464" s="41">
        <v>0</v>
      </c>
      <c r="V2464" s="42" t="s">
        <v>113</v>
      </c>
      <c r="W2464" s="42">
        <v>18140.490000000002</v>
      </c>
      <c r="X2464" s="42">
        <v>18140.490000000002</v>
      </c>
    </row>
    <row r="2465" spans="1:24">
      <c r="A2465" s="27" t="s">
        <v>4594</v>
      </c>
      <c r="B2465" s="28" t="s">
        <v>215</v>
      </c>
      <c r="C2465" s="27" t="s">
        <v>4595</v>
      </c>
      <c r="D2465" s="27" t="s">
        <v>118</v>
      </c>
      <c r="E2465" s="29">
        <v>40169</v>
      </c>
      <c r="F2465" s="27">
        <v>15</v>
      </c>
      <c r="G2465" s="18">
        <v>18140.48</v>
      </c>
      <c r="H2465" s="27">
        <f t="shared" si="76"/>
        <v>18140.48</v>
      </c>
      <c r="I2465" s="18">
        <v>18140.48</v>
      </c>
      <c r="J2465" s="27">
        <v>18140.48</v>
      </c>
      <c r="K2465" s="18">
        <f t="shared" si="77"/>
        <v>0</v>
      </c>
      <c r="L2465" s="27">
        <v>16991.59</v>
      </c>
      <c r="M2465" s="36">
        <v>-1148.8900000000001</v>
      </c>
      <c r="T2465" s="41">
        <v>0</v>
      </c>
      <c r="U2465" s="41">
        <v>0</v>
      </c>
      <c r="V2465" s="42" t="s">
        <v>113</v>
      </c>
      <c r="W2465" s="42">
        <v>0</v>
      </c>
      <c r="X2465" s="42">
        <v>0</v>
      </c>
    </row>
    <row r="2466" spans="1:24">
      <c r="A2466" s="27" t="s">
        <v>4596</v>
      </c>
      <c r="B2466" s="28" t="s">
        <v>215</v>
      </c>
      <c r="C2466" s="27" t="s">
        <v>4597</v>
      </c>
      <c r="D2466" s="27" t="s">
        <v>118</v>
      </c>
      <c r="E2466" s="29">
        <v>40169</v>
      </c>
      <c r="F2466" s="27">
        <v>15</v>
      </c>
      <c r="G2466" s="18">
        <v>18140.490000000002</v>
      </c>
      <c r="H2466" s="27">
        <f t="shared" si="76"/>
        <v>18140.490000000002</v>
      </c>
      <c r="I2466" s="18">
        <v>17233.47</v>
      </c>
      <c r="J2466" s="27">
        <v>18140.490000000002</v>
      </c>
      <c r="K2466" s="18">
        <f t="shared" si="77"/>
        <v>18140.490000000002</v>
      </c>
      <c r="L2466" s="27">
        <v>17233.47</v>
      </c>
      <c r="M2466" s="36">
        <v>0</v>
      </c>
      <c r="T2466" s="41">
        <v>0</v>
      </c>
      <c r="U2466" s="41">
        <v>0</v>
      </c>
      <c r="V2466" s="42" t="s">
        <v>113</v>
      </c>
      <c r="W2466" s="42">
        <v>18140.490000000002</v>
      </c>
      <c r="X2466" s="42">
        <v>18140.490000000002</v>
      </c>
    </row>
    <row r="2467" spans="1:24">
      <c r="A2467" s="27" t="s">
        <v>4598</v>
      </c>
      <c r="B2467" s="28" t="s">
        <v>215</v>
      </c>
      <c r="C2467" s="27" t="s">
        <v>4599</v>
      </c>
      <c r="D2467" s="27" t="s">
        <v>118</v>
      </c>
      <c r="E2467" s="29">
        <v>40169</v>
      </c>
      <c r="F2467" s="27">
        <v>15</v>
      </c>
      <c r="G2467" s="18">
        <v>18140.490000000002</v>
      </c>
      <c r="H2467" s="27">
        <f t="shared" si="76"/>
        <v>18140.490000000002</v>
      </c>
      <c r="I2467" s="18">
        <v>17233.47</v>
      </c>
      <c r="J2467" s="27">
        <v>18140.490000000002</v>
      </c>
      <c r="K2467" s="18">
        <f t="shared" si="77"/>
        <v>18140.490000000002</v>
      </c>
      <c r="L2467" s="27">
        <v>17233.47</v>
      </c>
      <c r="M2467" s="36">
        <v>0</v>
      </c>
      <c r="T2467" s="41">
        <v>0</v>
      </c>
      <c r="U2467" s="41">
        <v>0</v>
      </c>
      <c r="V2467" s="42" t="s">
        <v>113</v>
      </c>
      <c r="W2467" s="42">
        <v>18140.490000000002</v>
      </c>
      <c r="X2467" s="42">
        <v>18140.490000000002</v>
      </c>
    </row>
    <row r="2468" spans="1:24">
      <c r="A2468" s="27" t="s">
        <v>4600</v>
      </c>
      <c r="B2468" s="28" t="s">
        <v>215</v>
      </c>
      <c r="C2468" s="27" t="s">
        <v>4601</v>
      </c>
      <c r="D2468" s="27" t="s">
        <v>230</v>
      </c>
      <c r="E2468" s="29">
        <v>43069</v>
      </c>
      <c r="F2468" s="27">
        <v>15</v>
      </c>
      <c r="G2468" s="18">
        <v>18404.68</v>
      </c>
      <c r="H2468" s="27">
        <f t="shared" si="76"/>
        <v>0</v>
      </c>
      <c r="I2468" s="18">
        <v>1285.42</v>
      </c>
      <c r="J2468" s="27">
        <v>18404.68</v>
      </c>
      <c r="K2468" s="18">
        <f t="shared" si="77"/>
        <v>0</v>
      </c>
      <c r="L2468" s="27">
        <v>2449.42</v>
      </c>
      <c r="M2468" s="36">
        <v>1164</v>
      </c>
      <c r="T2468" s="41">
        <v>0</v>
      </c>
      <c r="U2468" s="41">
        <v>0</v>
      </c>
      <c r="V2468" s="42" t="s">
        <v>113</v>
      </c>
      <c r="W2468" s="42">
        <v>0</v>
      </c>
      <c r="X2468" s="42">
        <v>0</v>
      </c>
    </row>
    <row r="2469" spans="1:24">
      <c r="A2469" s="27" t="s">
        <v>4602</v>
      </c>
      <c r="B2469" s="28" t="s">
        <v>215</v>
      </c>
      <c r="C2469" s="27" t="s">
        <v>4603</v>
      </c>
      <c r="D2469" s="27" t="s">
        <v>230</v>
      </c>
      <c r="E2469" s="29">
        <v>43069</v>
      </c>
      <c r="F2469" s="27">
        <v>15</v>
      </c>
      <c r="G2469" s="18">
        <v>28842.12</v>
      </c>
      <c r="H2469" s="27">
        <f t="shared" si="76"/>
        <v>0</v>
      </c>
      <c r="I2469" s="18">
        <v>2014.4</v>
      </c>
      <c r="J2469" s="27">
        <v>28842.12</v>
      </c>
      <c r="K2469" s="18">
        <f t="shared" si="77"/>
        <v>0</v>
      </c>
      <c r="L2469" s="27">
        <v>3838.52</v>
      </c>
      <c r="M2469" s="36">
        <v>1824.12</v>
      </c>
      <c r="T2469" s="41">
        <v>0</v>
      </c>
      <c r="U2469" s="41">
        <v>0</v>
      </c>
      <c r="V2469" s="42" t="s">
        <v>113</v>
      </c>
      <c r="W2469" s="42">
        <v>0</v>
      </c>
      <c r="X2469" s="42">
        <v>0</v>
      </c>
    </row>
    <row r="2470" spans="1:24">
      <c r="A2470" s="27" t="s">
        <v>4604</v>
      </c>
      <c r="B2470" s="28" t="s">
        <v>215</v>
      </c>
      <c r="C2470" s="27" t="s">
        <v>4605</v>
      </c>
      <c r="D2470" s="27" t="s">
        <v>230</v>
      </c>
      <c r="E2470" s="29">
        <v>43069</v>
      </c>
      <c r="F2470" s="27">
        <v>15</v>
      </c>
      <c r="G2470" s="18">
        <v>18404.68</v>
      </c>
      <c r="H2470" s="27">
        <f t="shared" si="76"/>
        <v>0</v>
      </c>
      <c r="I2470" s="18">
        <v>1285.42</v>
      </c>
      <c r="J2470" s="27">
        <v>18404.68</v>
      </c>
      <c r="K2470" s="18">
        <f t="shared" si="77"/>
        <v>0</v>
      </c>
      <c r="L2470" s="27">
        <v>2449.42</v>
      </c>
      <c r="M2470" s="36">
        <v>1164</v>
      </c>
      <c r="T2470" s="41">
        <v>0</v>
      </c>
      <c r="U2470" s="41">
        <v>0</v>
      </c>
      <c r="V2470" s="42" t="s">
        <v>113</v>
      </c>
      <c r="W2470" s="42">
        <v>0</v>
      </c>
      <c r="X2470" s="42">
        <v>0</v>
      </c>
    </row>
    <row r="2471" spans="1:24">
      <c r="A2471" s="27" t="s">
        <v>4606</v>
      </c>
      <c r="B2471" s="28" t="s">
        <v>215</v>
      </c>
      <c r="C2471" s="27" t="s">
        <v>1758</v>
      </c>
      <c r="D2471" s="27" t="s">
        <v>230</v>
      </c>
      <c r="E2471" s="29">
        <v>43069</v>
      </c>
      <c r="F2471" s="27">
        <v>15</v>
      </c>
      <c r="G2471" s="18">
        <v>263858.48</v>
      </c>
      <c r="H2471" s="27">
        <f t="shared" si="76"/>
        <v>0</v>
      </c>
      <c r="I2471" s="18">
        <v>18428.43</v>
      </c>
      <c r="J2471" s="27">
        <v>263858.48</v>
      </c>
      <c r="K2471" s="18">
        <f t="shared" si="77"/>
        <v>0</v>
      </c>
      <c r="L2471" s="27">
        <v>35116.129999999997</v>
      </c>
      <c r="M2471" s="36">
        <v>16687.7</v>
      </c>
      <c r="T2471" s="41">
        <v>0</v>
      </c>
      <c r="U2471" s="41">
        <v>0</v>
      </c>
      <c r="V2471" s="42" t="s">
        <v>113</v>
      </c>
      <c r="W2471" s="42">
        <v>0</v>
      </c>
      <c r="X2471" s="42">
        <v>0</v>
      </c>
    </row>
    <row r="2472" spans="1:24">
      <c r="A2472" s="27" t="s">
        <v>4607</v>
      </c>
      <c r="B2472" s="28" t="s">
        <v>215</v>
      </c>
      <c r="C2472" s="27" t="s">
        <v>1772</v>
      </c>
      <c r="D2472" s="27" t="s">
        <v>112</v>
      </c>
      <c r="E2472" s="29">
        <v>43404</v>
      </c>
      <c r="F2472" s="27">
        <v>15</v>
      </c>
      <c r="G2472" s="18">
        <v>71681.45</v>
      </c>
      <c r="H2472" s="27">
        <f t="shared" si="76"/>
        <v>0</v>
      </c>
      <c r="I2472" s="18">
        <v>756.64</v>
      </c>
      <c r="J2472" s="27">
        <v>71681.45</v>
      </c>
      <c r="K2472" s="18">
        <f t="shared" si="77"/>
        <v>0</v>
      </c>
      <c r="L2472" s="27">
        <v>5296.47</v>
      </c>
      <c r="M2472" s="36">
        <v>4539.83</v>
      </c>
      <c r="T2472" s="41">
        <v>0</v>
      </c>
      <c r="U2472" s="41">
        <v>0</v>
      </c>
      <c r="V2472" s="42" t="s">
        <v>113</v>
      </c>
      <c r="W2472" s="42">
        <v>0</v>
      </c>
      <c r="X2472" s="42">
        <v>0</v>
      </c>
    </row>
    <row r="2473" spans="1:24">
      <c r="A2473" s="27" t="s">
        <v>4608</v>
      </c>
      <c r="B2473" s="28" t="s">
        <v>215</v>
      </c>
      <c r="C2473" s="27" t="s">
        <v>1200</v>
      </c>
      <c r="D2473" s="27" t="s">
        <v>112</v>
      </c>
      <c r="E2473" s="29">
        <v>43404</v>
      </c>
      <c r="F2473" s="27">
        <v>15</v>
      </c>
      <c r="G2473" s="18">
        <v>111823.07</v>
      </c>
      <c r="H2473" s="27">
        <f t="shared" si="76"/>
        <v>0</v>
      </c>
      <c r="I2473" s="18">
        <v>1180.3499999999999</v>
      </c>
      <c r="J2473" s="27">
        <v>111823.07</v>
      </c>
      <c r="K2473" s="18">
        <f t="shared" si="77"/>
        <v>0</v>
      </c>
      <c r="L2473" s="27">
        <v>8262.48</v>
      </c>
      <c r="M2473" s="36">
        <v>7082.13</v>
      </c>
      <c r="T2473" s="41">
        <v>0</v>
      </c>
      <c r="U2473" s="41">
        <v>0</v>
      </c>
      <c r="V2473" s="42" t="s">
        <v>113</v>
      </c>
      <c r="W2473" s="42">
        <v>0</v>
      </c>
      <c r="X2473" s="42">
        <v>0</v>
      </c>
    </row>
    <row r="2474" spans="1:24">
      <c r="A2474" s="27" t="s">
        <v>4609</v>
      </c>
      <c r="B2474" s="28" t="s">
        <v>215</v>
      </c>
      <c r="C2474" s="27" t="s">
        <v>1013</v>
      </c>
      <c r="D2474" s="27" t="s">
        <v>112</v>
      </c>
      <c r="E2474" s="29">
        <v>43404</v>
      </c>
      <c r="F2474" s="27">
        <v>15</v>
      </c>
      <c r="G2474" s="18">
        <v>162942.19</v>
      </c>
      <c r="H2474" s="27">
        <f t="shared" si="76"/>
        <v>0</v>
      </c>
      <c r="I2474" s="18">
        <v>1719.93</v>
      </c>
      <c r="J2474" s="27">
        <v>162942.19</v>
      </c>
      <c r="K2474" s="18">
        <f t="shared" si="77"/>
        <v>0</v>
      </c>
      <c r="L2474" s="27">
        <v>12039.6</v>
      </c>
      <c r="M2474" s="36">
        <v>10319.67</v>
      </c>
      <c r="T2474" s="41">
        <v>0</v>
      </c>
      <c r="U2474" s="41">
        <v>0</v>
      </c>
      <c r="V2474" s="42" t="s">
        <v>113</v>
      </c>
      <c r="W2474" s="42">
        <v>0</v>
      </c>
      <c r="X2474" s="42">
        <v>0</v>
      </c>
    </row>
    <row r="2475" spans="1:24">
      <c r="A2475" s="27" t="s">
        <v>4610</v>
      </c>
      <c r="B2475" s="28" t="s">
        <v>215</v>
      </c>
      <c r="C2475" s="27" t="s">
        <v>3929</v>
      </c>
      <c r="D2475" s="27" t="s">
        <v>112</v>
      </c>
      <c r="E2475" s="29">
        <v>43404</v>
      </c>
      <c r="F2475" s="27">
        <v>15</v>
      </c>
      <c r="G2475" s="18">
        <v>157750.39999999999</v>
      </c>
      <c r="H2475" s="27">
        <f t="shared" si="76"/>
        <v>0</v>
      </c>
      <c r="I2475" s="18">
        <v>1665.13</v>
      </c>
      <c r="J2475" s="27">
        <v>157750.39999999999</v>
      </c>
      <c r="K2475" s="18">
        <f t="shared" si="77"/>
        <v>0</v>
      </c>
      <c r="L2475" s="27">
        <v>11655.99</v>
      </c>
      <c r="M2475" s="36">
        <v>9990.86</v>
      </c>
      <c r="T2475" s="41">
        <v>0</v>
      </c>
      <c r="U2475" s="41">
        <v>0</v>
      </c>
      <c r="V2475" s="42" t="s">
        <v>113</v>
      </c>
      <c r="W2475" s="42">
        <v>0</v>
      </c>
      <c r="X2475" s="42">
        <v>0</v>
      </c>
    </row>
    <row r="2476" spans="1:24">
      <c r="A2476" s="27" t="s">
        <v>4611</v>
      </c>
      <c r="B2476" s="28" t="s">
        <v>215</v>
      </c>
      <c r="C2476" s="27" t="s">
        <v>3927</v>
      </c>
      <c r="D2476" s="27" t="s">
        <v>112</v>
      </c>
      <c r="E2476" s="29">
        <v>43404</v>
      </c>
      <c r="F2476" s="27">
        <v>15</v>
      </c>
      <c r="G2476" s="18">
        <v>157750.39999999999</v>
      </c>
      <c r="H2476" s="27">
        <f t="shared" si="76"/>
        <v>0</v>
      </c>
      <c r="I2476" s="18">
        <v>1665.13</v>
      </c>
      <c r="J2476" s="27">
        <v>157750.39999999999</v>
      </c>
      <c r="K2476" s="18">
        <f t="shared" si="77"/>
        <v>0</v>
      </c>
      <c r="L2476" s="27">
        <v>11655.99</v>
      </c>
      <c r="M2476" s="36">
        <v>9990.86</v>
      </c>
      <c r="T2476" s="41">
        <v>0</v>
      </c>
      <c r="U2476" s="41">
        <v>0</v>
      </c>
      <c r="V2476" s="42" t="s">
        <v>113</v>
      </c>
      <c r="W2476" s="42">
        <v>0</v>
      </c>
      <c r="X2476" s="42">
        <v>0</v>
      </c>
    </row>
    <row r="2477" spans="1:24">
      <c r="A2477" s="27" t="s">
        <v>4612</v>
      </c>
      <c r="B2477" s="28" t="s">
        <v>215</v>
      </c>
      <c r="C2477" s="27" t="s">
        <v>3931</v>
      </c>
      <c r="D2477" s="27" t="s">
        <v>112</v>
      </c>
      <c r="E2477" s="29">
        <v>43404</v>
      </c>
      <c r="F2477" s="27">
        <v>15</v>
      </c>
      <c r="G2477" s="18">
        <v>157750.39999999999</v>
      </c>
      <c r="H2477" s="27">
        <f t="shared" si="76"/>
        <v>0</v>
      </c>
      <c r="I2477" s="18">
        <v>1665.13</v>
      </c>
      <c r="J2477" s="27">
        <v>157750.39999999999</v>
      </c>
      <c r="K2477" s="18">
        <f t="shared" si="77"/>
        <v>0</v>
      </c>
      <c r="L2477" s="27">
        <v>11655.99</v>
      </c>
      <c r="M2477" s="36">
        <v>9990.86</v>
      </c>
      <c r="T2477" s="41">
        <v>0</v>
      </c>
      <c r="U2477" s="41">
        <v>0</v>
      </c>
      <c r="V2477" s="42" t="s">
        <v>113</v>
      </c>
      <c r="W2477" s="42">
        <v>0</v>
      </c>
      <c r="X2477" s="42">
        <v>0</v>
      </c>
    </row>
    <row r="2478" spans="1:24">
      <c r="A2478" s="27" t="s">
        <v>4613</v>
      </c>
      <c r="B2478" s="28" t="s">
        <v>215</v>
      </c>
      <c r="C2478" s="27" t="s">
        <v>4614</v>
      </c>
      <c r="D2478" s="27" t="s">
        <v>112</v>
      </c>
      <c r="E2478" s="29">
        <v>43404</v>
      </c>
      <c r="F2478" s="27">
        <v>15</v>
      </c>
      <c r="G2478" s="18">
        <v>157750.39999999999</v>
      </c>
      <c r="H2478" s="27">
        <f t="shared" si="76"/>
        <v>0</v>
      </c>
      <c r="I2478" s="18">
        <v>1665.13</v>
      </c>
      <c r="J2478" s="27">
        <v>157750.39999999999</v>
      </c>
      <c r="K2478" s="18">
        <f t="shared" si="77"/>
        <v>0</v>
      </c>
      <c r="L2478" s="27">
        <v>11655.99</v>
      </c>
      <c r="M2478" s="36">
        <v>9990.86</v>
      </c>
      <c r="T2478" s="41">
        <v>0</v>
      </c>
      <c r="U2478" s="41">
        <v>0</v>
      </c>
      <c r="V2478" s="42" t="s">
        <v>113</v>
      </c>
      <c r="W2478" s="42">
        <v>0</v>
      </c>
      <c r="X2478" s="42">
        <v>0</v>
      </c>
    </row>
    <row r="2479" spans="1:24">
      <c r="A2479" s="27" t="s">
        <v>4615</v>
      </c>
      <c r="B2479" s="28" t="s">
        <v>215</v>
      </c>
      <c r="C2479" s="27" t="s">
        <v>4616</v>
      </c>
      <c r="D2479" s="27" t="s">
        <v>230</v>
      </c>
      <c r="E2479" s="29">
        <v>43340</v>
      </c>
      <c r="F2479" s="27">
        <v>15</v>
      </c>
      <c r="G2479" s="18">
        <v>1589063.57</v>
      </c>
      <c r="H2479" s="27">
        <f t="shared" si="76"/>
        <v>0</v>
      </c>
      <c r="I2479" s="18">
        <v>33546.9</v>
      </c>
      <c r="J2479" s="27">
        <v>1589063.57</v>
      </c>
      <c r="K2479" s="18">
        <f t="shared" si="77"/>
        <v>0</v>
      </c>
      <c r="L2479" s="27">
        <v>134187.59</v>
      </c>
      <c r="M2479" s="36">
        <v>100640.69</v>
      </c>
      <c r="T2479" s="41">
        <v>0</v>
      </c>
      <c r="U2479" s="41">
        <v>0</v>
      </c>
      <c r="V2479" s="42" t="s">
        <v>113</v>
      </c>
      <c r="W2479" s="42">
        <v>0</v>
      </c>
      <c r="X2479" s="42">
        <v>0</v>
      </c>
    </row>
    <row r="2480" spans="1:24">
      <c r="A2480" s="27" t="s">
        <v>4617</v>
      </c>
      <c r="B2480" s="28" t="s">
        <v>215</v>
      </c>
      <c r="C2480" s="27" t="s">
        <v>4618</v>
      </c>
      <c r="D2480" s="27" t="s">
        <v>230</v>
      </c>
      <c r="E2480" s="29">
        <v>43340</v>
      </c>
      <c r="F2480" s="27">
        <v>15</v>
      </c>
      <c r="G2480" s="18">
        <v>48511.43</v>
      </c>
      <c r="H2480" s="27">
        <f t="shared" si="76"/>
        <v>0</v>
      </c>
      <c r="I2480" s="18">
        <v>1024.1300000000001</v>
      </c>
      <c r="J2480" s="27">
        <v>48511.43</v>
      </c>
      <c r="K2480" s="18">
        <f t="shared" si="77"/>
        <v>0</v>
      </c>
      <c r="L2480" s="27">
        <v>4096.5200000000004</v>
      </c>
      <c r="M2480" s="36">
        <v>3072.39</v>
      </c>
      <c r="T2480" s="41">
        <v>0</v>
      </c>
      <c r="U2480" s="41">
        <v>0</v>
      </c>
      <c r="V2480" s="42" t="s">
        <v>113</v>
      </c>
      <c r="W2480" s="42">
        <v>0</v>
      </c>
      <c r="X2480" s="42">
        <v>0</v>
      </c>
    </row>
    <row r="2481" spans="1:24">
      <c r="A2481" s="27" t="s">
        <v>4619</v>
      </c>
      <c r="B2481" s="28" t="s">
        <v>215</v>
      </c>
      <c r="C2481" s="27" t="s">
        <v>4620</v>
      </c>
      <c r="D2481" s="27" t="s">
        <v>230</v>
      </c>
      <c r="E2481" s="29">
        <v>43340</v>
      </c>
      <c r="F2481" s="27">
        <v>15</v>
      </c>
      <c r="G2481" s="18">
        <v>223540.97</v>
      </c>
      <c r="H2481" s="27">
        <f t="shared" si="76"/>
        <v>0</v>
      </c>
      <c r="I2481" s="18">
        <v>4719.2</v>
      </c>
      <c r="J2481" s="27">
        <v>223540.97</v>
      </c>
      <c r="K2481" s="18">
        <f t="shared" si="77"/>
        <v>0</v>
      </c>
      <c r="L2481" s="27">
        <v>18876.79</v>
      </c>
      <c r="M2481" s="36">
        <v>14157.59</v>
      </c>
      <c r="T2481" s="41">
        <v>0</v>
      </c>
      <c r="U2481" s="41">
        <v>0</v>
      </c>
      <c r="V2481" s="42" t="s">
        <v>113</v>
      </c>
      <c r="W2481" s="42">
        <v>0</v>
      </c>
      <c r="X2481" s="42">
        <v>0</v>
      </c>
    </row>
    <row r="2482" spans="1:24">
      <c r="A2482" s="27" t="s">
        <v>4621</v>
      </c>
      <c r="B2482" s="28" t="s">
        <v>215</v>
      </c>
      <c r="C2482" s="27" t="s">
        <v>4622</v>
      </c>
      <c r="D2482" s="27" t="s">
        <v>230</v>
      </c>
      <c r="E2482" s="29">
        <v>43340</v>
      </c>
      <c r="F2482" s="27">
        <v>15</v>
      </c>
      <c r="G2482" s="18">
        <v>229750.44</v>
      </c>
      <c r="H2482" s="27">
        <f t="shared" si="76"/>
        <v>0</v>
      </c>
      <c r="I2482" s="18">
        <v>4850.29</v>
      </c>
      <c r="J2482" s="27">
        <v>229750.44</v>
      </c>
      <c r="K2482" s="18">
        <f t="shared" si="77"/>
        <v>0</v>
      </c>
      <c r="L2482" s="27">
        <v>19401.150000000001</v>
      </c>
      <c r="M2482" s="36">
        <v>14550.86</v>
      </c>
      <c r="T2482" s="41">
        <v>0</v>
      </c>
      <c r="U2482" s="41">
        <v>0</v>
      </c>
      <c r="V2482" s="42" t="s">
        <v>113</v>
      </c>
      <c r="W2482" s="42">
        <v>0</v>
      </c>
      <c r="X2482" s="42">
        <v>0</v>
      </c>
    </row>
    <row r="2483" spans="1:24">
      <c r="A2483" s="27" t="s">
        <v>4623</v>
      </c>
      <c r="B2483" s="28" t="s">
        <v>215</v>
      </c>
      <c r="C2483" s="27" t="s">
        <v>4624</v>
      </c>
      <c r="D2483" s="27" t="s">
        <v>230</v>
      </c>
      <c r="E2483" s="29">
        <v>43340</v>
      </c>
      <c r="F2483" s="27">
        <v>15</v>
      </c>
      <c r="G2483" s="18">
        <v>80723.13</v>
      </c>
      <c r="H2483" s="27">
        <f t="shared" si="76"/>
        <v>0</v>
      </c>
      <c r="I2483" s="18">
        <v>1704.15</v>
      </c>
      <c r="J2483" s="27">
        <v>80723.13</v>
      </c>
      <c r="K2483" s="18">
        <f t="shared" si="77"/>
        <v>0</v>
      </c>
      <c r="L2483" s="27">
        <v>6816.62</v>
      </c>
      <c r="M2483" s="36">
        <v>5112.47</v>
      </c>
      <c r="T2483" s="41">
        <v>0</v>
      </c>
      <c r="U2483" s="41">
        <v>0</v>
      </c>
      <c r="V2483" s="42" t="s">
        <v>113</v>
      </c>
      <c r="W2483" s="42">
        <v>0</v>
      </c>
      <c r="X2483" s="42">
        <v>0</v>
      </c>
    </row>
    <row r="2484" spans="1:24">
      <c r="A2484" s="27" t="s">
        <v>4625</v>
      </c>
      <c r="B2484" s="28" t="s">
        <v>215</v>
      </c>
      <c r="C2484" s="27" t="s">
        <v>4626</v>
      </c>
      <c r="D2484" s="27" t="s">
        <v>230</v>
      </c>
      <c r="E2484" s="29">
        <v>43340</v>
      </c>
      <c r="F2484" s="27">
        <v>15</v>
      </c>
      <c r="G2484" s="18">
        <v>31047.360000000001</v>
      </c>
      <c r="H2484" s="27">
        <f t="shared" si="76"/>
        <v>0</v>
      </c>
      <c r="I2484" s="18">
        <v>655.44</v>
      </c>
      <c r="J2484" s="27">
        <v>31047.360000000001</v>
      </c>
      <c r="K2484" s="18">
        <f t="shared" si="77"/>
        <v>0</v>
      </c>
      <c r="L2484" s="27">
        <v>2621.77</v>
      </c>
      <c r="M2484" s="36">
        <v>1966.33</v>
      </c>
      <c r="T2484" s="41">
        <v>0</v>
      </c>
      <c r="U2484" s="41">
        <v>0</v>
      </c>
      <c r="V2484" s="42" t="s">
        <v>113</v>
      </c>
      <c r="W2484" s="42">
        <v>0</v>
      </c>
      <c r="X2484" s="42">
        <v>0</v>
      </c>
    </row>
    <row r="2485" spans="1:24">
      <c r="A2485" s="27" t="s">
        <v>4627</v>
      </c>
      <c r="B2485" s="28" t="s">
        <v>215</v>
      </c>
      <c r="C2485" s="27" t="s">
        <v>4628</v>
      </c>
      <c r="D2485" s="27" t="s">
        <v>230</v>
      </c>
      <c r="E2485" s="29">
        <v>43340</v>
      </c>
      <c r="F2485" s="27">
        <v>15</v>
      </c>
      <c r="G2485" s="18">
        <v>12418.94</v>
      </c>
      <c r="H2485" s="27">
        <f t="shared" si="76"/>
        <v>0</v>
      </c>
      <c r="I2485" s="18">
        <v>262.18</v>
      </c>
      <c r="J2485" s="27">
        <v>12418.94</v>
      </c>
      <c r="K2485" s="18">
        <f t="shared" si="77"/>
        <v>0</v>
      </c>
      <c r="L2485" s="27">
        <v>1048.71</v>
      </c>
      <c r="M2485" s="36">
        <v>786.53</v>
      </c>
      <c r="T2485" s="41">
        <v>0</v>
      </c>
      <c r="U2485" s="41">
        <v>0</v>
      </c>
      <c r="V2485" s="42" t="s">
        <v>113</v>
      </c>
      <c r="W2485" s="42">
        <v>0</v>
      </c>
      <c r="X2485" s="42">
        <v>0</v>
      </c>
    </row>
    <row r="2486" spans="1:24">
      <c r="A2486" s="27" t="s">
        <v>4629</v>
      </c>
      <c r="B2486" s="28" t="s">
        <v>215</v>
      </c>
      <c r="C2486" s="27" t="s">
        <v>4630</v>
      </c>
      <c r="D2486" s="27" t="s">
        <v>230</v>
      </c>
      <c r="E2486" s="29">
        <v>43340</v>
      </c>
      <c r="F2486" s="27">
        <v>15</v>
      </c>
      <c r="G2486" s="18">
        <v>235811.82</v>
      </c>
      <c r="H2486" s="27">
        <f t="shared" si="76"/>
        <v>0</v>
      </c>
      <c r="I2486" s="18">
        <v>4978.25</v>
      </c>
      <c r="J2486" s="27">
        <v>235811.82</v>
      </c>
      <c r="K2486" s="18">
        <f t="shared" si="77"/>
        <v>0</v>
      </c>
      <c r="L2486" s="27">
        <v>19913</v>
      </c>
      <c r="M2486" s="36">
        <v>14934.75</v>
      </c>
      <c r="T2486" s="41">
        <v>0</v>
      </c>
      <c r="U2486" s="41">
        <v>0</v>
      </c>
      <c r="V2486" s="42" t="s">
        <v>113</v>
      </c>
      <c r="W2486" s="42">
        <v>0</v>
      </c>
      <c r="X2486" s="42">
        <v>0</v>
      </c>
    </row>
    <row r="2487" spans="1:24">
      <c r="A2487" s="27" t="s">
        <v>4631</v>
      </c>
      <c r="B2487" s="28" t="s">
        <v>215</v>
      </c>
      <c r="C2487" s="27" t="s">
        <v>4632</v>
      </c>
      <c r="D2487" s="27" t="s">
        <v>230</v>
      </c>
      <c r="E2487" s="29">
        <v>43444</v>
      </c>
      <c r="F2487" s="27">
        <v>15</v>
      </c>
      <c r="G2487" s="18">
        <v>215425.8</v>
      </c>
      <c r="H2487" s="27">
        <f t="shared" si="76"/>
        <v>0</v>
      </c>
      <c r="I2487" s="18">
        <v>0</v>
      </c>
      <c r="J2487" s="27">
        <v>215425.8</v>
      </c>
      <c r="K2487" s="18">
        <f t="shared" si="77"/>
        <v>0</v>
      </c>
      <c r="L2487" s="27">
        <v>13643.63</v>
      </c>
      <c r="M2487" s="36">
        <v>13643.63</v>
      </c>
      <c r="T2487" s="41">
        <v>0</v>
      </c>
      <c r="U2487" s="41">
        <v>0</v>
      </c>
      <c r="V2487" s="42" t="s">
        <v>113</v>
      </c>
      <c r="W2487" s="42">
        <v>0</v>
      </c>
      <c r="X2487" s="42">
        <v>0</v>
      </c>
    </row>
    <row r="2488" spans="1:24">
      <c r="A2488" s="27" t="s">
        <v>4633</v>
      </c>
      <c r="B2488" s="28" t="s">
        <v>215</v>
      </c>
      <c r="C2488" s="27" t="s">
        <v>4634</v>
      </c>
      <c r="D2488" s="27" t="s">
        <v>230</v>
      </c>
      <c r="E2488" s="29">
        <v>43444</v>
      </c>
      <c r="F2488" s="27">
        <v>15</v>
      </c>
      <c r="G2488" s="18">
        <v>215425.79</v>
      </c>
      <c r="H2488" s="27">
        <f t="shared" si="76"/>
        <v>0</v>
      </c>
      <c r="I2488" s="18">
        <v>0</v>
      </c>
      <c r="J2488" s="27">
        <v>215425.79</v>
      </c>
      <c r="K2488" s="18">
        <f t="shared" si="77"/>
        <v>0</v>
      </c>
      <c r="L2488" s="27">
        <v>13643.63</v>
      </c>
      <c r="M2488" s="36">
        <v>13643.63</v>
      </c>
      <c r="T2488" s="41">
        <v>0</v>
      </c>
      <c r="U2488" s="41">
        <v>0</v>
      </c>
      <c r="V2488" s="42" t="s">
        <v>113</v>
      </c>
      <c r="W2488" s="42">
        <v>0</v>
      </c>
      <c r="X2488" s="42">
        <v>0</v>
      </c>
    </row>
    <row r="2489" spans="1:24">
      <c r="A2489" s="27" t="s">
        <v>4635</v>
      </c>
      <c r="B2489" s="28" t="s">
        <v>215</v>
      </c>
      <c r="C2489" s="27" t="s">
        <v>4632</v>
      </c>
      <c r="D2489" s="27" t="s">
        <v>230</v>
      </c>
      <c r="E2489" s="29">
        <v>43444</v>
      </c>
      <c r="F2489" s="27">
        <v>15</v>
      </c>
      <c r="G2489" s="18">
        <v>206684.66</v>
      </c>
      <c r="H2489" s="27">
        <f t="shared" si="76"/>
        <v>0</v>
      </c>
      <c r="I2489" s="18">
        <v>0</v>
      </c>
      <c r="J2489" s="27">
        <v>206684.66</v>
      </c>
      <c r="K2489" s="18">
        <f t="shared" si="77"/>
        <v>0</v>
      </c>
      <c r="L2489" s="27">
        <v>13090.03</v>
      </c>
      <c r="M2489" s="36">
        <v>13090.03</v>
      </c>
      <c r="T2489" s="41">
        <v>0</v>
      </c>
      <c r="U2489" s="41">
        <v>0</v>
      </c>
      <c r="V2489" s="42" t="s">
        <v>113</v>
      </c>
      <c r="W2489" s="42">
        <v>0</v>
      </c>
      <c r="X2489" s="42">
        <v>0</v>
      </c>
    </row>
    <row r="2490" spans="1:24">
      <c r="A2490" s="27" t="s">
        <v>4636</v>
      </c>
      <c r="B2490" s="28" t="s">
        <v>215</v>
      </c>
      <c r="C2490" s="27" t="s">
        <v>4634</v>
      </c>
      <c r="D2490" s="27" t="s">
        <v>230</v>
      </c>
      <c r="E2490" s="29">
        <v>43444</v>
      </c>
      <c r="F2490" s="27">
        <v>15</v>
      </c>
      <c r="G2490" s="18">
        <v>206684.69</v>
      </c>
      <c r="H2490" s="27">
        <f t="shared" si="76"/>
        <v>0</v>
      </c>
      <c r="I2490" s="18">
        <v>0</v>
      </c>
      <c r="J2490" s="27">
        <v>206684.69</v>
      </c>
      <c r="K2490" s="18">
        <f t="shared" si="77"/>
        <v>0</v>
      </c>
      <c r="L2490" s="27">
        <v>13090.03</v>
      </c>
      <c r="M2490" s="36">
        <v>13090.03</v>
      </c>
      <c r="T2490" s="41">
        <v>0</v>
      </c>
      <c r="U2490" s="41">
        <v>0</v>
      </c>
      <c r="V2490" s="42" t="s">
        <v>113</v>
      </c>
      <c r="W2490" s="42">
        <v>0</v>
      </c>
      <c r="X2490" s="42">
        <v>0</v>
      </c>
    </row>
    <row r="2491" spans="1:24">
      <c r="A2491" s="27" t="s">
        <v>4637</v>
      </c>
      <c r="B2491" s="28" t="s">
        <v>215</v>
      </c>
      <c r="C2491" s="27" t="s">
        <v>4638</v>
      </c>
      <c r="D2491" s="27" t="s">
        <v>230</v>
      </c>
      <c r="E2491" s="29">
        <v>43410</v>
      </c>
      <c r="F2491" s="27">
        <v>15</v>
      </c>
      <c r="G2491" s="18">
        <v>475.88</v>
      </c>
      <c r="H2491" s="27">
        <f t="shared" si="76"/>
        <v>0</v>
      </c>
      <c r="I2491" s="18">
        <v>2.5099999999999998</v>
      </c>
      <c r="J2491" s="27">
        <v>475.88</v>
      </c>
      <c r="K2491" s="18">
        <f t="shared" si="77"/>
        <v>0</v>
      </c>
      <c r="L2491" s="27">
        <v>32.65</v>
      </c>
      <c r="M2491" s="36">
        <v>30.14</v>
      </c>
      <c r="T2491" s="41">
        <v>0</v>
      </c>
      <c r="U2491" s="41">
        <v>0</v>
      </c>
      <c r="V2491" s="42" t="s">
        <v>113</v>
      </c>
      <c r="W2491" s="42">
        <v>0</v>
      </c>
      <c r="X2491" s="42">
        <v>0</v>
      </c>
    </row>
    <row r="2492" spans="1:24">
      <c r="A2492" s="27" t="s">
        <v>4639</v>
      </c>
      <c r="B2492" s="28" t="s">
        <v>215</v>
      </c>
      <c r="C2492" s="27" t="s">
        <v>4638</v>
      </c>
      <c r="D2492" s="27" t="s">
        <v>230</v>
      </c>
      <c r="E2492" s="29">
        <v>43410</v>
      </c>
      <c r="F2492" s="27">
        <v>15</v>
      </c>
      <c r="G2492" s="18">
        <v>475.88</v>
      </c>
      <c r="H2492" s="27">
        <f t="shared" si="76"/>
        <v>0</v>
      </c>
      <c r="I2492" s="18">
        <v>2.5099999999999998</v>
      </c>
      <c r="J2492" s="27">
        <v>475.88</v>
      </c>
      <c r="K2492" s="18">
        <f t="shared" si="77"/>
        <v>0</v>
      </c>
      <c r="L2492" s="27">
        <v>32.65</v>
      </c>
      <c r="M2492" s="36">
        <v>30.14</v>
      </c>
      <c r="T2492" s="41">
        <v>0</v>
      </c>
      <c r="U2492" s="41">
        <v>0</v>
      </c>
      <c r="V2492" s="42" t="s">
        <v>113</v>
      </c>
      <c r="W2492" s="42">
        <v>0</v>
      </c>
      <c r="X2492" s="42">
        <v>0</v>
      </c>
    </row>
    <row r="2493" spans="1:24">
      <c r="A2493" s="27" t="s">
        <v>4640</v>
      </c>
      <c r="B2493" s="28" t="s">
        <v>215</v>
      </c>
      <c r="C2493" s="27" t="s">
        <v>4638</v>
      </c>
      <c r="D2493" s="27" t="s">
        <v>230</v>
      </c>
      <c r="E2493" s="29">
        <v>43410</v>
      </c>
      <c r="F2493" s="27">
        <v>15</v>
      </c>
      <c r="G2493" s="18">
        <v>475.88</v>
      </c>
      <c r="H2493" s="27">
        <f t="shared" si="76"/>
        <v>0</v>
      </c>
      <c r="I2493" s="18">
        <v>2.5099999999999998</v>
      </c>
      <c r="J2493" s="27">
        <v>475.88</v>
      </c>
      <c r="K2493" s="18">
        <f t="shared" si="77"/>
        <v>0</v>
      </c>
      <c r="L2493" s="27">
        <v>32.65</v>
      </c>
      <c r="M2493" s="36">
        <v>30.14</v>
      </c>
      <c r="T2493" s="41">
        <v>0</v>
      </c>
      <c r="U2493" s="41">
        <v>0</v>
      </c>
      <c r="V2493" s="42" t="s">
        <v>113</v>
      </c>
      <c r="W2493" s="42">
        <v>0</v>
      </c>
      <c r="X2493" s="42">
        <v>0</v>
      </c>
    </row>
    <row r="2494" spans="1:24">
      <c r="A2494" s="27" t="s">
        <v>4641</v>
      </c>
      <c r="B2494" s="28" t="s">
        <v>215</v>
      </c>
      <c r="C2494" s="27" t="s">
        <v>4638</v>
      </c>
      <c r="D2494" s="27" t="s">
        <v>230</v>
      </c>
      <c r="E2494" s="29">
        <v>43410</v>
      </c>
      <c r="F2494" s="27">
        <v>15</v>
      </c>
      <c r="G2494" s="18">
        <v>475.88</v>
      </c>
      <c r="H2494" s="27">
        <f t="shared" si="76"/>
        <v>0</v>
      </c>
      <c r="I2494" s="18">
        <v>2.5099999999999998</v>
      </c>
      <c r="J2494" s="27">
        <v>475.88</v>
      </c>
      <c r="K2494" s="18">
        <f t="shared" si="77"/>
        <v>0</v>
      </c>
      <c r="L2494" s="27">
        <v>32.65</v>
      </c>
      <c r="M2494" s="36">
        <v>30.14</v>
      </c>
      <c r="T2494" s="41">
        <v>0</v>
      </c>
      <c r="U2494" s="41">
        <v>0</v>
      </c>
      <c r="V2494" s="42" t="s">
        <v>113</v>
      </c>
      <c r="W2494" s="42">
        <v>0</v>
      </c>
      <c r="X2494" s="42">
        <v>0</v>
      </c>
    </row>
    <row r="2495" spans="1:24">
      <c r="A2495" s="27" t="s">
        <v>4642</v>
      </c>
      <c r="B2495" s="28" t="s">
        <v>215</v>
      </c>
      <c r="C2495" s="27" t="s">
        <v>4638</v>
      </c>
      <c r="D2495" s="27" t="s">
        <v>230</v>
      </c>
      <c r="E2495" s="29">
        <v>43410</v>
      </c>
      <c r="F2495" s="27">
        <v>15</v>
      </c>
      <c r="G2495" s="18">
        <v>475.88</v>
      </c>
      <c r="H2495" s="27">
        <f t="shared" si="76"/>
        <v>0</v>
      </c>
      <c r="I2495" s="18">
        <v>2.5099999999999998</v>
      </c>
      <c r="J2495" s="27">
        <v>475.88</v>
      </c>
      <c r="K2495" s="18">
        <f t="shared" si="77"/>
        <v>0</v>
      </c>
      <c r="L2495" s="27">
        <v>32.65</v>
      </c>
      <c r="M2495" s="36">
        <v>30.14</v>
      </c>
      <c r="T2495" s="41">
        <v>0</v>
      </c>
      <c r="U2495" s="41">
        <v>0</v>
      </c>
      <c r="V2495" s="42" t="s">
        <v>113</v>
      </c>
      <c r="W2495" s="42">
        <v>0</v>
      </c>
      <c r="X2495" s="42">
        <v>0</v>
      </c>
    </row>
    <row r="2496" spans="1:24">
      <c r="A2496" s="27" t="s">
        <v>4643</v>
      </c>
      <c r="B2496" s="28" t="s">
        <v>215</v>
      </c>
      <c r="C2496" s="27" t="s">
        <v>4638</v>
      </c>
      <c r="D2496" s="27" t="s">
        <v>230</v>
      </c>
      <c r="E2496" s="29">
        <v>43410</v>
      </c>
      <c r="F2496" s="27">
        <v>15</v>
      </c>
      <c r="G2496" s="18">
        <v>475.88</v>
      </c>
      <c r="H2496" s="27">
        <f t="shared" si="76"/>
        <v>0</v>
      </c>
      <c r="I2496" s="18">
        <v>2.5099999999999998</v>
      </c>
      <c r="J2496" s="27">
        <v>475.88</v>
      </c>
      <c r="K2496" s="18">
        <f t="shared" si="77"/>
        <v>0</v>
      </c>
      <c r="L2496" s="27">
        <v>32.65</v>
      </c>
      <c r="M2496" s="36">
        <v>30.14</v>
      </c>
      <c r="T2496" s="41">
        <v>0</v>
      </c>
      <c r="U2496" s="41">
        <v>0</v>
      </c>
      <c r="V2496" s="42" t="s">
        <v>113</v>
      </c>
      <c r="W2496" s="42">
        <v>0</v>
      </c>
      <c r="X2496" s="42">
        <v>0</v>
      </c>
    </row>
    <row r="2497" spans="1:24">
      <c r="A2497" s="27" t="s">
        <v>4644</v>
      </c>
      <c r="B2497" s="28" t="s">
        <v>215</v>
      </c>
      <c r="C2497" s="27" t="s">
        <v>4638</v>
      </c>
      <c r="D2497" s="27" t="s">
        <v>230</v>
      </c>
      <c r="E2497" s="29">
        <v>43410</v>
      </c>
      <c r="F2497" s="27">
        <v>15</v>
      </c>
      <c r="G2497" s="18">
        <v>475.88</v>
      </c>
      <c r="H2497" s="27">
        <f t="shared" si="76"/>
        <v>0</v>
      </c>
      <c r="I2497" s="18">
        <v>2.5099999999999998</v>
      </c>
      <c r="J2497" s="27">
        <v>475.88</v>
      </c>
      <c r="K2497" s="18">
        <f t="shared" si="77"/>
        <v>0</v>
      </c>
      <c r="L2497" s="27">
        <v>32.65</v>
      </c>
      <c r="M2497" s="36">
        <v>30.14</v>
      </c>
      <c r="T2497" s="41">
        <v>0</v>
      </c>
      <c r="U2497" s="41">
        <v>0</v>
      </c>
      <c r="V2497" s="42" t="s">
        <v>113</v>
      </c>
      <c r="W2497" s="42">
        <v>0</v>
      </c>
      <c r="X2497" s="42">
        <v>0</v>
      </c>
    </row>
    <row r="2498" spans="1:24">
      <c r="A2498" s="27" t="s">
        <v>4645</v>
      </c>
      <c r="B2498" s="28" t="s">
        <v>215</v>
      </c>
      <c r="C2498" s="27" t="s">
        <v>4638</v>
      </c>
      <c r="D2498" s="27" t="s">
        <v>230</v>
      </c>
      <c r="E2498" s="29">
        <v>43410</v>
      </c>
      <c r="F2498" s="27">
        <v>15</v>
      </c>
      <c r="G2498" s="18">
        <v>475.88</v>
      </c>
      <c r="H2498" s="27">
        <f t="shared" si="76"/>
        <v>0</v>
      </c>
      <c r="I2498" s="18">
        <v>2.5099999999999998</v>
      </c>
      <c r="J2498" s="27">
        <v>475.88</v>
      </c>
      <c r="K2498" s="18">
        <f t="shared" si="77"/>
        <v>0</v>
      </c>
      <c r="L2498" s="27">
        <v>32.65</v>
      </c>
      <c r="M2498" s="36">
        <v>30.14</v>
      </c>
      <c r="T2498" s="41">
        <v>0</v>
      </c>
      <c r="U2498" s="41">
        <v>0</v>
      </c>
      <c r="V2498" s="42" t="s">
        <v>113</v>
      </c>
      <c r="W2498" s="42">
        <v>0</v>
      </c>
      <c r="X2498" s="42">
        <v>0</v>
      </c>
    </row>
    <row r="2499" spans="1:24">
      <c r="A2499" s="27" t="s">
        <v>4646</v>
      </c>
      <c r="B2499" s="28" t="s">
        <v>215</v>
      </c>
      <c r="C2499" s="27" t="s">
        <v>4638</v>
      </c>
      <c r="D2499" s="27" t="s">
        <v>230</v>
      </c>
      <c r="E2499" s="29">
        <v>43410</v>
      </c>
      <c r="F2499" s="27">
        <v>15</v>
      </c>
      <c r="G2499" s="18">
        <v>475.88</v>
      </c>
      <c r="H2499" s="27">
        <f t="shared" si="76"/>
        <v>0</v>
      </c>
      <c r="I2499" s="18">
        <v>2.5099999999999998</v>
      </c>
      <c r="J2499" s="27">
        <v>475.88</v>
      </c>
      <c r="K2499" s="18">
        <f t="shared" si="77"/>
        <v>0</v>
      </c>
      <c r="L2499" s="27">
        <v>32.65</v>
      </c>
      <c r="M2499" s="36">
        <v>30.14</v>
      </c>
      <c r="T2499" s="41">
        <v>0</v>
      </c>
      <c r="U2499" s="41">
        <v>0</v>
      </c>
      <c r="V2499" s="42" t="s">
        <v>113</v>
      </c>
      <c r="W2499" s="42">
        <v>0</v>
      </c>
      <c r="X2499" s="42">
        <v>0</v>
      </c>
    </row>
    <row r="2500" spans="1:24">
      <c r="A2500" s="27" t="s">
        <v>4647</v>
      </c>
      <c r="B2500" s="28" t="s">
        <v>215</v>
      </c>
      <c r="C2500" s="27" t="s">
        <v>4638</v>
      </c>
      <c r="D2500" s="27" t="s">
        <v>230</v>
      </c>
      <c r="E2500" s="29">
        <v>43410</v>
      </c>
      <c r="F2500" s="27">
        <v>15</v>
      </c>
      <c r="G2500" s="18">
        <v>475.88</v>
      </c>
      <c r="H2500" s="27">
        <f t="shared" si="76"/>
        <v>0</v>
      </c>
      <c r="I2500" s="18">
        <v>2.5099999999999998</v>
      </c>
      <c r="J2500" s="27">
        <v>475.88</v>
      </c>
      <c r="K2500" s="18">
        <f t="shared" si="77"/>
        <v>0</v>
      </c>
      <c r="L2500" s="27">
        <v>32.65</v>
      </c>
      <c r="M2500" s="36">
        <v>30.14</v>
      </c>
      <c r="T2500" s="41">
        <v>0</v>
      </c>
      <c r="U2500" s="41">
        <v>0</v>
      </c>
      <c r="V2500" s="42" t="s">
        <v>113</v>
      </c>
      <c r="W2500" s="42">
        <v>0</v>
      </c>
      <c r="X2500" s="42">
        <v>0</v>
      </c>
    </row>
    <row r="2501" spans="1:24">
      <c r="A2501" s="27" t="s">
        <v>4648</v>
      </c>
      <c r="B2501" s="28" t="s">
        <v>215</v>
      </c>
      <c r="C2501" s="27" t="s">
        <v>4649</v>
      </c>
      <c r="D2501" s="27" t="s">
        <v>230</v>
      </c>
      <c r="E2501" s="29">
        <v>43410</v>
      </c>
      <c r="F2501" s="27">
        <v>15</v>
      </c>
      <c r="G2501" s="18">
        <v>14751.2</v>
      </c>
      <c r="H2501" s="27">
        <f t="shared" si="76"/>
        <v>0</v>
      </c>
      <c r="I2501" s="18">
        <v>77.849999999999994</v>
      </c>
      <c r="J2501" s="27">
        <v>14751.2</v>
      </c>
      <c r="K2501" s="18">
        <f t="shared" si="77"/>
        <v>0</v>
      </c>
      <c r="L2501" s="27">
        <v>1012.09</v>
      </c>
      <c r="M2501" s="36">
        <v>934.24</v>
      </c>
      <c r="T2501" s="41">
        <v>0</v>
      </c>
      <c r="U2501" s="41">
        <v>0</v>
      </c>
      <c r="V2501" s="42" t="s">
        <v>113</v>
      </c>
      <c r="W2501" s="42">
        <v>0</v>
      </c>
      <c r="X2501" s="42">
        <v>0</v>
      </c>
    </row>
    <row r="2502" spans="1:24">
      <c r="A2502" s="27" t="s">
        <v>4650</v>
      </c>
      <c r="B2502" s="28" t="s">
        <v>215</v>
      </c>
      <c r="C2502" s="27" t="s">
        <v>4649</v>
      </c>
      <c r="D2502" s="27" t="s">
        <v>230</v>
      </c>
      <c r="E2502" s="29">
        <v>43410</v>
      </c>
      <c r="F2502" s="27">
        <v>15</v>
      </c>
      <c r="G2502" s="18">
        <v>14751.2</v>
      </c>
      <c r="H2502" s="27">
        <f t="shared" ref="H2502:H2565" si="78">IFERROR(IF(ROUND((G2502-I2502)/G2502,2)&lt;=0.05,G2502,0),0)</f>
        <v>0</v>
      </c>
      <c r="I2502" s="18">
        <v>77.849999999999994</v>
      </c>
      <c r="J2502" s="27">
        <v>14751.2</v>
      </c>
      <c r="K2502" s="18">
        <f t="shared" ref="K2502:K2565" si="79">IFERROR(IF(ROUND((J2502-L2502)/J2502,2)&lt;=0.05,J2502,0),0)</f>
        <v>0</v>
      </c>
      <c r="L2502" s="27">
        <v>1012.09</v>
      </c>
      <c r="M2502" s="36">
        <v>934.24</v>
      </c>
      <c r="T2502" s="41">
        <v>0</v>
      </c>
      <c r="U2502" s="41">
        <v>0</v>
      </c>
      <c r="V2502" s="42" t="s">
        <v>113</v>
      </c>
      <c r="W2502" s="42">
        <v>0</v>
      </c>
      <c r="X2502" s="42">
        <v>0</v>
      </c>
    </row>
    <row r="2503" spans="1:24">
      <c r="A2503" s="27" t="s">
        <v>4651</v>
      </c>
      <c r="B2503" s="28" t="s">
        <v>215</v>
      </c>
      <c r="C2503" s="27" t="s">
        <v>4649</v>
      </c>
      <c r="D2503" s="27" t="s">
        <v>230</v>
      </c>
      <c r="E2503" s="29">
        <v>43410</v>
      </c>
      <c r="F2503" s="27">
        <v>15</v>
      </c>
      <c r="G2503" s="18">
        <v>14751.2</v>
      </c>
      <c r="H2503" s="27">
        <f t="shared" si="78"/>
        <v>0</v>
      </c>
      <c r="I2503" s="18">
        <v>77.849999999999994</v>
      </c>
      <c r="J2503" s="27">
        <v>14751.2</v>
      </c>
      <c r="K2503" s="18">
        <f t="shared" si="79"/>
        <v>0</v>
      </c>
      <c r="L2503" s="27">
        <v>1012.09</v>
      </c>
      <c r="M2503" s="36">
        <v>934.24</v>
      </c>
      <c r="T2503" s="41">
        <v>0</v>
      </c>
      <c r="U2503" s="41">
        <v>0</v>
      </c>
      <c r="V2503" s="42" t="s">
        <v>113</v>
      </c>
      <c r="W2503" s="42">
        <v>0</v>
      </c>
      <c r="X2503" s="42">
        <v>0</v>
      </c>
    </row>
    <row r="2504" spans="1:24">
      <c r="A2504" s="27" t="s">
        <v>4652</v>
      </c>
      <c r="B2504" s="28" t="s">
        <v>215</v>
      </c>
      <c r="C2504" s="27" t="s">
        <v>4649</v>
      </c>
      <c r="D2504" s="27" t="s">
        <v>230</v>
      </c>
      <c r="E2504" s="29">
        <v>43410</v>
      </c>
      <c r="F2504" s="27">
        <v>15</v>
      </c>
      <c r="G2504" s="18">
        <v>14751.2</v>
      </c>
      <c r="H2504" s="27">
        <f t="shared" si="78"/>
        <v>0</v>
      </c>
      <c r="I2504" s="18">
        <v>77.849999999999994</v>
      </c>
      <c r="J2504" s="27">
        <v>14751.2</v>
      </c>
      <c r="K2504" s="18">
        <f t="shared" si="79"/>
        <v>0</v>
      </c>
      <c r="L2504" s="27">
        <v>1012.09</v>
      </c>
      <c r="M2504" s="36">
        <v>934.24</v>
      </c>
      <c r="T2504" s="41">
        <v>0</v>
      </c>
      <c r="U2504" s="41">
        <v>0</v>
      </c>
      <c r="V2504" s="42" t="s">
        <v>113</v>
      </c>
      <c r="W2504" s="42">
        <v>0</v>
      </c>
      <c r="X2504" s="42">
        <v>0</v>
      </c>
    </row>
    <row r="2505" spans="1:24">
      <c r="A2505" s="27" t="s">
        <v>4653</v>
      </c>
      <c r="B2505" s="28" t="s">
        <v>215</v>
      </c>
      <c r="C2505" s="27" t="s">
        <v>4649</v>
      </c>
      <c r="D2505" s="27" t="s">
        <v>230</v>
      </c>
      <c r="E2505" s="29">
        <v>43410</v>
      </c>
      <c r="F2505" s="27">
        <v>15</v>
      </c>
      <c r="G2505" s="18">
        <v>14751.2</v>
      </c>
      <c r="H2505" s="27">
        <f t="shared" si="78"/>
        <v>0</v>
      </c>
      <c r="I2505" s="18">
        <v>77.849999999999994</v>
      </c>
      <c r="J2505" s="27">
        <v>14751.2</v>
      </c>
      <c r="K2505" s="18">
        <f t="shared" si="79"/>
        <v>0</v>
      </c>
      <c r="L2505" s="27">
        <v>1012.09</v>
      </c>
      <c r="M2505" s="36">
        <v>934.24</v>
      </c>
      <c r="T2505" s="41">
        <v>0</v>
      </c>
      <c r="U2505" s="41">
        <v>0</v>
      </c>
      <c r="V2505" s="42" t="s">
        <v>113</v>
      </c>
      <c r="W2505" s="42">
        <v>0</v>
      </c>
      <c r="X2505" s="42">
        <v>0</v>
      </c>
    </row>
    <row r="2506" spans="1:24">
      <c r="A2506" s="27" t="s">
        <v>4654</v>
      </c>
      <c r="B2506" s="28" t="s">
        <v>215</v>
      </c>
      <c r="C2506" s="27" t="s">
        <v>4649</v>
      </c>
      <c r="D2506" s="27" t="s">
        <v>230</v>
      </c>
      <c r="E2506" s="29">
        <v>43410</v>
      </c>
      <c r="F2506" s="27">
        <v>15</v>
      </c>
      <c r="G2506" s="18">
        <v>14751.2</v>
      </c>
      <c r="H2506" s="27">
        <f t="shared" si="78"/>
        <v>0</v>
      </c>
      <c r="I2506" s="18">
        <v>77.849999999999994</v>
      </c>
      <c r="J2506" s="27">
        <v>14751.2</v>
      </c>
      <c r="K2506" s="18">
        <f t="shared" si="79"/>
        <v>0</v>
      </c>
      <c r="L2506" s="27">
        <v>1012.09</v>
      </c>
      <c r="M2506" s="36">
        <v>934.24</v>
      </c>
      <c r="T2506" s="41">
        <v>0</v>
      </c>
      <c r="U2506" s="41">
        <v>0</v>
      </c>
      <c r="V2506" s="42" t="s">
        <v>113</v>
      </c>
      <c r="W2506" s="42">
        <v>0</v>
      </c>
      <c r="X2506" s="42">
        <v>0</v>
      </c>
    </row>
    <row r="2507" spans="1:24">
      <c r="A2507" s="27" t="s">
        <v>4655</v>
      </c>
      <c r="B2507" s="28" t="s">
        <v>215</v>
      </c>
      <c r="C2507" s="27" t="s">
        <v>4649</v>
      </c>
      <c r="D2507" s="27" t="s">
        <v>230</v>
      </c>
      <c r="E2507" s="29">
        <v>43410</v>
      </c>
      <c r="F2507" s="27">
        <v>15</v>
      </c>
      <c r="G2507" s="18">
        <v>14751.2</v>
      </c>
      <c r="H2507" s="27">
        <f t="shared" si="78"/>
        <v>0</v>
      </c>
      <c r="I2507" s="18">
        <v>77.849999999999994</v>
      </c>
      <c r="J2507" s="27">
        <v>14751.2</v>
      </c>
      <c r="K2507" s="18">
        <f t="shared" si="79"/>
        <v>0</v>
      </c>
      <c r="L2507" s="27">
        <v>1012.09</v>
      </c>
      <c r="M2507" s="36">
        <v>934.24</v>
      </c>
      <c r="T2507" s="41">
        <v>0</v>
      </c>
      <c r="U2507" s="41">
        <v>0</v>
      </c>
      <c r="V2507" s="42" t="s">
        <v>113</v>
      </c>
      <c r="W2507" s="42">
        <v>0</v>
      </c>
      <c r="X2507" s="42">
        <v>0</v>
      </c>
    </row>
    <row r="2508" spans="1:24">
      <c r="A2508" s="27" t="s">
        <v>4656</v>
      </c>
      <c r="B2508" s="28" t="s">
        <v>215</v>
      </c>
      <c r="C2508" s="27" t="s">
        <v>4649</v>
      </c>
      <c r="D2508" s="27" t="s">
        <v>230</v>
      </c>
      <c r="E2508" s="29">
        <v>43410</v>
      </c>
      <c r="F2508" s="27">
        <v>15</v>
      </c>
      <c r="G2508" s="18">
        <v>14751.2</v>
      </c>
      <c r="H2508" s="27">
        <f t="shared" si="78"/>
        <v>0</v>
      </c>
      <c r="I2508" s="18">
        <v>77.849999999999994</v>
      </c>
      <c r="J2508" s="27">
        <v>14751.2</v>
      </c>
      <c r="K2508" s="18">
        <f t="shared" si="79"/>
        <v>0</v>
      </c>
      <c r="L2508" s="27">
        <v>1012.09</v>
      </c>
      <c r="M2508" s="36">
        <v>934.24</v>
      </c>
      <c r="T2508" s="41">
        <v>0</v>
      </c>
      <c r="U2508" s="41">
        <v>0</v>
      </c>
      <c r="V2508" s="42" t="s">
        <v>113</v>
      </c>
      <c r="W2508" s="42">
        <v>0</v>
      </c>
      <c r="X2508" s="42">
        <v>0</v>
      </c>
    </row>
    <row r="2509" spans="1:24">
      <c r="A2509" s="27" t="s">
        <v>4657</v>
      </c>
      <c r="B2509" s="28" t="s">
        <v>215</v>
      </c>
      <c r="C2509" s="27" t="s">
        <v>4649</v>
      </c>
      <c r="D2509" s="27" t="s">
        <v>230</v>
      </c>
      <c r="E2509" s="29">
        <v>43410</v>
      </c>
      <c r="F2509" s="27">
        <v>15</v>
      </c>
      <c r="G2509" s="18">
        <v>14751.2</v>
      </c>
      <c r="H2509" s="27">
        <f t="shared" si="78"/>
        <v>0</v>
      </c>
      <c r="I2509" s="18">
        <v>77.849999999999994</v>
      </c>
      <c r="J2509" s="27">
        <v>14751.2</v>
      </c>
      <c r="K2509" s="18">
        <f t="shared" si="79"/>
        <v>0</v>
      </c>
      <c r="L2509" s="27">
        <v>1012.09</v>
      </c>
      <c r="M2509" s="36">
        <v>934.24</v>
      </c>
      <c r="T2509" s="41">
        <v>0</v>
      </c>
      <c r="U2509" s="41">
        <v>0</v>
      </c>
      <c r="V2509" s="42" t="s">
        <v>113</v>
      </c>
      <c r="W2509" s="42">
        <v>0</v>
      </c>
      <c r="X2509" s="42">
        <v>0</v>
      </c>
    </row>
    <row r="2510" spans="1:24">
      <c r="A2510" s="27" t="s">
        <v>4658</v>
      </c>
      <c r="B2510" s="28" t="s">
        <v>215</v>
      </c>
      <c r="C2510" s="27" t="s">
        <v>4649</v>
      </c>
      <c r="D2510" s="27" t="s">
        <v>230</v>
      </c>
      <c r="E2510" s="29">
        <v>43410</v>
      </c>
      <c r="F2510" s="27">
        <v>15</v>
      </c>
      <c r="G2510" s="18">
        <v>14751.2</v>
      </c>
      <c r="H2510" s="27">
        <f t="shared" si="78"/>
        <v>0</v>
      </c>
      <c r="I2510" s="18">
        <v>77.849999999999994</v>
      </c>
      <c r="J2510" s="27">
        <v>14751.2</v>
      </c>
      <c r="K2510" s="18">
        <f t="shared" si="79"/>
        <v>0</v>
      </c>
      <c r="L2510" s="27">
        <v>1012.09</v>
      </c>
      <c r="M2510" s="36">
        <v>934.24</v>
      </c>
      <c r="T2510" s="41">
        <v>0</v>
      </c>
      <c r="U2510" s="41">
        <v>0</v>
      </c>
      <c r="V2510" s="42" t="s">
        <v>113</v>
      </c>
      <c r="W2510" s="42">
        <v>0</v>
      </c>
      <c r="X2510" s="42">
        <v>0</v>
      </c>
    </row>
    <row r="2511" spans="1:24">
      <c r="A2511" s="27" t="s">
        <v>4659</v>
      </c>
      <c r="B2511" s="28" t="s">
        <v>215</v>
      </c>
      <c r="C2511" s="27" t="s">
        <v>4649</v>
      </c>
      <c r="D2511" s="27" t="s">
        <v>230</v>
      </c>
      <c r="E2511" s="29">
        <v>43410</v>
      </c>
      <c r="F2511" s="27">
        <v>15</v>
      </c>
      <c r="G2511" s="18">
        <v>14751.2</v>
      </c>
      <c r="H2511" s="27">
        <f t="shared" si="78"/>
        <v>0</v>
      </c>
      <c r="I2511" s="18">
        <v>77.849999999999994</v>
      </c>
      <c r="J2511" s="27">
        <v>14751.2</v>
      </c>
      <c r="K2511" s="18">
        <f t="shared" si="79"/>
        <v>0</v>
      </c>
      <c r="L2511" s="27">
        <v>1012.09</v>
      </c>
      <c r="M2511" s="36">
        <v>934.24</v>
      </c>
      <c r="T2511" s="41">
        <v>0</v>
      </c>
      <c r="U2511" s="41">
        <v>0</v>
      </c>
      <c r="V2511" s="42" t="s">
        <v>113</v>
      </c>
      <c r="W2511" s="42">
        <v>0</v>
      </c>
      <c r="X2511" s="42">
        <v>0</v>
      </c>
    </row>
    <row r="2512" spans="1:24">
      <c r="A2512" s="27" t="s">
        <v>4660</v>
      </c>
      <c r="B2512" s="28" t="s">
        <v>215</v>
      </c>
      <c r="C2512" s="27" t="s">
        <v>4649</v>
      </c>
      <c r="D2512" s="27" t="s">
        <v>230</v>
      </c>
      <c r="E2512" s="29">
        <v>43410</v>
      </c>
      <c r="F2512" s="27">
        <v>15</v>
      </c>
      <c r="G2512" s="18">
        <v>14751.2</v>
      </c>
      <c r="H2512" s="27">
        <f t="shared" si="78"/>
        <v>0</v>
      </c>
      <c r="I2512" s="18">
        <v>77.849999999999994</v>
      </c>
      <c r="J2512" s="27">
        <v>14751.2</v>
      </c>
      <c r="K2512" s="18">
        <f t="shared" si="79"/>
        <v>0</v>
      </c>
      <c r="L2512" s="27">
        <v>1012.09</v>
      </c>
      <c r="M2512" s="36">
        <v>934.24</v>
      </c>
      <c r="T2512" s="41">
        <v>0</v>
      </c>
      <c r="U2512" s="41">
        <v>0</v>
      </c>
      <c r="V2512" s="42" t="s">
        <v>113</v>
      </c>
      <c r="W2512" s="42">
        <v>0</v>
      </c>
      <c r="X2512" s="42">
        <v>0</v>
      </c>
    </row>
    <row r="2513" spans="1:24">
      <c r="A2513" s="27" t="s">
        <v>4661</v>
      </c>
      <c r="B2513" s="28" t="s">
        <v>215</v>
      </c>
      <c r="C2513" s="27" t="s">
        <v>4649</v>
      </c>
      <c r="D2513" s="27" t="s">
        <v>230</v>
      </c>
      <c r="E2513" s="29">
        <v>43410</v>
      </c>
      <c r="F2513" s="27">
        <v>15</v>
      </c>
      <c r="G2513" s="18">
        <v>14751.2</v>
      </c>
      <c r="H2513" s="27">
        <f t="shared" si="78"/>
        <v>0</v>
      </c>
      <c r="I2513" s="18">
        <v>77.849999999999994</v>
      </c>
      <c r="J2513" s="27">
        <v>14751.2</v>
      </c>
      <c r="K2513" s="18">
        <f t="shared" si="79"/>
        <v>0</v>
      </c>
      <c r="L2513" s="27">
        <v>1012.09</v>
      </c>
      <c r="M2513" s="36">
        <v>934.24</v>
      </c>
      <c r="T2513" s="41">
        <v>0</v>
      </c>
      <c r="U2513" s="41">
        <v>0</v>
      </c>
      <c r="V2513" s="42" t="s">
        <v>113</v>
      </c>
      <c r="W2513" s="42">
        <v>0</v>
      </c>
      <c r="X2513" s="42">
        <v>0</v>
      </c>
    </row>
    <row r="2514" spans="1:24">
      <c r="A2514" s="27" t="s">
        <v>4662</v>
      </c>
      <c r="B2514" s="28" t="s">
        <v>215</v>
      </c>
      <c r="C2514" s="27" t="s">
        <v>4649</v>
      </c>
      <c r="D2514" s="27" t="s">
        <v>230</v>
      </c>
      <c r="E2514" s="29">
        <v>43410</v>
      </c>
      <c r="F2514" s="27">
        <v>15</v>
      </c>
      <c r="G2514" s="18">
        <v>14751.2</v>
      </c>
      <c r="H2514" s="27">
        <f t="shared" si="78"/>
        <v>0</v>
      </c>
      <c r="I2514" s="18">
        <v>77.849999999999994</v>
      </c>
      <c r="J2514" s="27">
        <v>14751.2</v>
      </c>
      <c r="K2514" s="18">
        <f t="shared" si="79"/>
        <v>0</v>
      </c>
      <c r="L2514" s="27">
        <v>1012.09</v>
      </c>
      <c r="M2514" s="36">
        <v>934.24</v>
      </c>
      <c r="T2514" s="41">
        <v>0</v>
      </c>
      <c r="U2514" s="41">
        <v>0</v>
      </c>
      <c r="V2514" s="42" t="s">
        <v>113</v>
      </c>
      <c r="W2514" s="42">
        <v>0</v>
      </c>
      <c r="X2514" s="42">
        <v>0</v>
      </c>
    </row>
    <row r="2515" spans="1:24">
      <c r="A2515" s="27" t="s">
        <v>4663</v>
      </c>
      <c r="B2515" s="28" t="s">
        <v>215</v>
      </c>
      <c r="C2515" s="27" t="s">
        <v>4649</v>
      </c>
      <c r="D2515" s="27" t="s">
        <v>230</v>
      </c>
      <c r="E2515" s="29">
        <v>43410</v>
      </c>
      <c r="F2515" s="27">
        <v>15</v>
      </c>
      <c r="G2515" s="18">
        <v>14751.2</v>
      </c>
      <c r="H2515" s="27">
        <f t="shared" si="78"/>
        <v>0</v>
      </c>
      <c r="I2515" s="18">
        <v>77.849999999999994</v>
      </c>
      <c r="J2515" s="27">
        <v>14751.2</v>
      </c>
      <c r="K2515" s="18">
        <f t="shared" si="79"/>
        <v>0</v>
      </c>
      <c r="L2515" s="27">
        <v>1012.09</v>
      </c>
      <c r="M2515" s="36">
        <v>934.24</v>
      </c>
      <c r="T2515" s="41">
        <v>0</v>
      </c>
      <c r="U2515" s="41">
        <v>0</v>
      </c>
      <c r="V2515" s="42" t="s">
        <v>113</v>
      </c>
      <c r="W2515" s="42">
        <v>0</v>
      </c>
      <c r="X2515" s="42">
        <v>0</v>
      </c>
    </row>
    <row r="2516" spans="1:24">
      <c r="A2516" s="27" t="s">
        <v>4664</v>
      </c>
      <c r="B2516" s="28" t="s">
        <v>215</v>
      </c>
      <c r="C2516" s="27" t="s">
        <v>4649</v>
      </c>
      <c r="D2516" s="27" t="s">
        <v>230</v>
      </c>
      <c r="E2516" s="29">
        <v>43410</v>
      </c>
      <c r="F2516" s="27">
        <v>15</v>
      </c>
      <c r="G2516" s="18">
        <v>14751.2</v>
      </c>
      <c r="H2516" s="27">
        <f t="shared" si="78"/>
        <v>0</v>
      </c>
      <c r="I2516" s="18">
        <v>77.849999999999994</v>
      </c>
      <c r="J2516" s="27">
        <v>14751.2</v>
      </c>
      <c r="K2516" s="18">
        <f t="shared" si="79"/>
        <v>0</v>
      </c>
      <c r="L2516" s="27">
        <v>1012.09</v>
      </c>
      <c r="M2516" s="36">
        <v>934.24</v>
      </c>
      <c r="T2516" s="41">
        <v>0</v>
      </c>
      <c r="U2516" s="41">
        <v>0</v>
      </c>
      <c r="V2516" s="42" t="s">
        <v>113</v>
      </c>
      <c r="W2516" s="42">
        <v>0</v>
      </c>
      <c r="X2516" s="42">
        <v>0</v>
      </c>
    </row>
    <row r="2517" spans="1:24">
      <c r="A2517" s="27" t="s">
        <v>4665</v>
      </c>
      <c r="B2517" s="28" t="s">
        <v>215</v>
      </c>
      <c r="C2517" s="27" t="s">
        <v>4649</v>
      </c>
      <c r="D2517" s="27" t="s">
        <v>230</v>
      </c>
      <c r="E2517" s="29">
        <v>43410</v>
      </c>
      <c r="F2517" s="27">
        <v>15</v>
      </c>
      <c r="G2517" s="18">
        <v>14751.2</v>
      </c>
      <c r="H2517" s="27">
        <f t="shared" si="78"/>
        <v>0</v>
      </c>
      <c r="I2517" s="18">
        <v>77.849999999999994</v>
      </c>
      <c r="J2517" s="27">
        <v>14751.2</v>
      </c>
      <c r="K2517" s="18">
        <f t="shared" si="79"/>
        <v>0</v>
      </c>
      <c r="L2517" s="27">
        <v>1012.09</v>
      </c>
      <c r="M2517" s="36">
        <v>934.24</v>
      </c>
      <c r="T2517" s="41">
        <v>0</v>
      </c>
      <c r="U2517" s="41">
        <v>0</v>
      </c>
      <c r="V2517" s="42" t="s">
        <v>113</v>
      </c>
      <c r="W2517" s="42">
        <v>0</v>
      </c>
      <c r="X2517" s="42">
        <v>0</v>
      </c>
    </row>
    <row r="2518" spans="1:24">
      <c r="A2518" s="27" t="s">
        <v>4666</v>
      </c>
      <c r="B2518" s="28" t="s">
        <v>215</v>
      </c>
      <c r="C2518" s="27" t="s">
        <v>4649</v>
      </c>
      <c r="D2518" s="27" t="s">
        <v>230</v>
      </c>
      <c r="E2518" s="29">
        <v>43410</v>
      </c>
      <c r="F2518" s="27">
        <v>15</v>
      </c>
      <c r="G2518" s="18">
        <v>14751.2</v>
      </c>
      <c r="H2518" s="27">
        <f t="shared" si="78"/>
        <v>0</v>
      </c>
      <c r="I2518" s="18">
        <v>77.849999999999994</v>
      </c>
      <c r="J2518" s="27">
        <v>14751.2</v>
      </c>
      <c r="K2518" s="18">
        <f t="shared" si="79"/>
        <v>0</v>
      </c>
      <c r="L2518" s="27">
        <v>1012.09</v>
      </c>
      <c r="M2518" s="36">
        <v>934.24</v>
      </c>
      <c r="T2518" s="41">
        <v>0</v>
      </c>
      <c r="U2518" s="41">
        <v>0</v>
      </c>
      <c r="V2518" s="42" t="s">
        <v>113</v>
      </c>
      <c r="W2518" s="42">
        <v>0</v>
      </c>
      <c r="X2518" s="42">
        <v>0</v>
      </c>
    </row>
    <row r="2519" spans="1:24">
      <c r="A2519" s="27" t="s">
        <v>4667</v>
      </c>
      <c r="B2519" s="28" t="s">
        <v>215</v>
      </c>
      <c r="C2519" s="27" t="s">
        <v>4649</v>
      </c>
      <c r="D2519" s="27" t="s">
        <v>230</v>
      </c>
      <c r="E2519" s="29">
        <v>43410</v>
      </c>
      <c r="F2519" s="27">
        <v>15</v>
      </c>
      <c r="G2519" s="18">
        <v>14751.2</v>
      </c>
      <c r="H2519" s="27">
        <f t="shared" si="78"/>
        <v>0</v>
      </c>
      <c r="I2519" s="18">
        <v>77.849999999999994</v>
      </c>
      <c r="J2519" s="27">
        <v>14751.2</v>
      </c>
      <c r="K2519" s="18">
        <f t="shared" si="79"/>
        <v>0</v>
      </c>
      <c r="L2519" s="27">
        <v>1012.09</v>
      </c>
      <c r="M2519" s="36">
        <v>934.24</v>
      </c>
      <c r="T2519" s="41">
        <v>0</v>
      </c>
      <c r="U2519" s="41">
        <v>0</v>
      </c>
      <c r="V2519" s="42" t="s">
        <v>113</v>
      </c>
      <c r="W2519" s="42">
        <v>0</v>
      </c>
      <c r="X2519" s="42">
        <v>0</v>
      </c>
    </row>
    <row r="2520" spans="1:24">
      <c r="A2520" s="27" t="s">
        <v>4668</v>
      </c>
      <c r="B2520" s="28" t="s">
        <v>215</v>
      </c>
      <c r="C2520" s="27" t="s">
        <v>4649</v>
      </c>
      <c r="D2520" s="27" t="s">
        <v>230</v>
      </c>
      <c r="E2520" s="29">
        <v>43410</v>
      </c>
      <c r="F2520" s="27">
        <v>15</v>
      </c>
      <c r="G2520" s="18">
        <v>14751.2</v>
      </c>
      <c r="H2520" s="27">
        <f t="shared" si="78"/>
        <v>0</v>
      </c>
      <c r="I2520" s="18">
        <v>77.849999999999994</v>
      </c>
      <c r="J2520" s="27">
        <v>14751.2</v>
      </c>
      <c r="K2520" s="18">
        <f t="shared" si="79"/>
        <v>0</v>
      </c>
      <c r="L2520" s="27">
        <v>1012.09</v>
      </c>
      <c r="M2520" s="36">
        <v>934.24</v>
      </c>
      <c r="T2520" s="41">
        <v>0</v>
      </c>
      <c r="U2520" s="41">
        <v>0</v>
      </c>
      <c r="V2520" s="42" t="s">
        <v>113</v>
      </c>
      <c r="W2520" s="42">
        <v>0</v>
      </c>
      <c r="X2520" s="42">
        <v>0</v>
      </c>
    </row>
    <row r="2521" spans="1:24">
      <c r="A2521" s="27" t="s">
        <v>4669</v>
      </c>
      <c r="B2521" s="28" t="s">
        <v>215</v>
      </c>
      <c r="C2521" s="27" t="s">
        <v>4649</v>
      </c>
      <c r="D2521" s="27" t="s">
        <v>230</v>
      </c>
      <c r="E2521" s="29">
        <v>43410</v>
      </c>
      <c r="F2521" s="27">
        <v>15</v>
      </c>
      <c r="G2521" s="18">
        <v>14751.2</v>
      </c>
      <c r="H2521" s="27">
        <f t="shared" si="78"/>
        <v>0</v>
      </c>
      <c r="I2521" s="18">
        <v>77.849999999999994</v>
      </c>
      <c r="J2521" s="27">
        <v>14751.2</v>
      </c>
      <c r="K2521" s="18">
        <f t="shared" si="79"/>
        <v>0</v>
      </c>
      <c r="L2521" s="27">
        <v>1012.09</v>
      </c>
      <c r="M2521" s="36">
        <v>934.24</v>
      </c>
      <c r="T2521" s="41">
        <v>0</v>
      </c>
      <c r="U2521" s="41">
        <v>0</v>
      </c>
      <c r="V2521" s="42" t="s">
        <v>113</v>
      </c>
      <c r="W2521" s="42">
        <v>0</v>
      </c>
      <c r="X2521" s="42">
        <v>0</v>
      </c>
    </row>
    <row r="2522" spans="1:24">
      <c r="A2522" s="27" t="s">
        <v>4670</v>
      </c>
      <c r="B2522" s="28" t="s">
        <v>215</v>
      </c>
      <c r="C2522" s="27" t="s">
        <v>4649</v>
      </c>
      <c r="D2522" s="27" t="s">
        <v>230</v>
      </c>
      <c r="E2522" s="29">
        <v>43410</v>
      </c>
      <c r="F2522" s="27">
        <v>15</v>
      </c>
      <c r="G2522" s="18">
        <v>14751.2</v>
      </c>
      <c r="H2522" s="27">
        <f t="shared" si="78"/>
        <v>0</v>
      </c>
      <c r="I2522" s="18">
        <v>77.849999999999994</v>
      </c>
      <c r="J2522" s="27">
        <v>14751.2</v>
      </c>
      <c r="K2522" s="18">
        <f t="shared" si="79"/>
        <v>0</v>
      </c>
      <c r="L2522" s="27">
        <v>1012.09</v>
      </c>
      <c r="M2522" s="36">
        <v>934.24</v>
      </c>
      <c r="T2522" s="41">
        <v>0</v>
      </c>
      <c r="U2522" s="41">
        <v>0</v>
      </c>
      <c r="V2522" s="42" t="s">
        <v>113</v>
      </c>
      <c r="W2522" s="42">
        <v>0</v>
      </c>
      <c r="X2522" s="42">
        <v>0</v>
      </c>
    </row>
    <row r="2523" spans="1:24">
      <c r="A2523" s="27" t="s">
        <v>4671</v>
      </c>
      <c r="B2523" s="28" t="s">
        <v>215</v>
      </c>
      <c r="C2523" s="27" t="s">
        <v>4649</v>
      </c>
      <c r="D2523" s="27" t="s">
        <v>230</v>
      </c>
      <c r="E2523" s="29">
        <v>43410</v>
      </c>
      <c r="F2523" s="27">
        <v>15</v>
      </c>
      <c r="G2523" s="18">
        <v>14751.19</v>
      </c>
      <c r="H2523" s="27">
        <f t="shared" si="78"/>
        <v>0</v>
      </c>
      <c r="I2523" s="18">
        <v>77.849999999999994</v>
      </c>
      <c r="J2523" s="27">
        <v>14751.19</v>
      </c>
      <c r="K2523" s="18">
        <f t="shared" si="79"/>
        <v>0</v>
      </c>
      <c r="L2523" s="27">
        <v>1012.09</v>
      </c>
      <c r="M2523" s="36">
        <v>934.24</v>
      </c>
      <c r="T2523" s="41">
        <v>0</v>
      </c>
      <c r="U2523" s="41">
        <v>0</v>
      </c>
      <c r="V2523" s="42" t="s">
        <v>113</v>
      </c>
      <c r="W2523" s="42">
        <v>0</v>
      </c>
      <c r="X2523" s="42">
        <v>0</v>
      </c>
    </row>
    <row r="2524" spans="1:24">
      <c r="A2524" s="27" t="s">
        <v>4672</v>
      </c>
      <c r="B2524" s="28" t="s">
        <v>215</v>
      </c>
      <c r="C2524" s="27" t="s">
        <v>4649</v>
      </c>
      <c r="D2524" s="27" t="s">
        <v>230</v>
      </c>
      <c r="E2524" s="29">
        <v>43410</v>
      </c>
      <c r="F2524" s="27">
        <v>15</v>
      </c>
      <c r="G2524" s="18">
        <v>14751.19</v>
      </c>
      <c r="H2524" s="27">
        <f t="shared" si="78"/>
        <v>0</v>
      </c>
      <c r="I2524" s="18">
        <v>77.849999999999994</v>
      </c>
      <c r="J2524" s="27">
        <v>14751.19</v>
      </c>
      <c r="K2524" s="18">
        <f t="shared" si="79"/>
        <v>0</v>
      </c>
      <c r="L2524" s="27">
        <v>1012.09</v>
      </c>
      <c r="M2524" s="36">
        <v>934.24</v>
      </c>
      <c r="T2524" s="41">
        <v>0</v>
      </c>
      <c r="U2524" s="41">
        <v>0</v>
      </c>
      <c r="V2524" s="42" t="s">
        <v>113</v>
      </c>
      <c r="W2524" s="42">
        <v>0</v>
      </c>
      <c r="X2524" s="42">
        <v>0</v>
      </c>
    </row>
    <row r="2525" spans="1:24">
      <c r="A2525" s="27" t="s">
        <v>4673</v>
      </c>
      <c r="B2525" s="28" t="s">
        <v>215</v>
      </c>
      <c r="C2525" s="27" t="s">
        <v>4649</v>
      </c>
      <c r="D2525" s="27" t="s">
        <v>230</v>
      </c>
      <c r="E2525" s="29">
        <v>43410</v>
      </c>
      <c r="F2525" s="27">
        <v>15</v>
      </c>
      <c r="G2525" s="18">
        <v>14751.19</v>
      </c>
      <c r="H2525" s="27">
        <f t="shared" si="78"/>
        <v>0</v>
      </c>
      <c r="I2525" s="18">
        <v>77.849999999999994</v>
      </c>
      <c r="J2525" s="27">
        <v>14751.19</v>
      </c>
      <c r="K2525" s="18">
        <f t="shared" si="79"/>
        <v>0</v>
      </c>
      <c r="L2525" s="27">
        <v>1012.09</v>
      </c>
      <c r="M2525" s="36">
        <v>934.24</v>
      </c>
      <c r="T2525" s="41">
        <v>0</v>
      </c>
      <c r="U2525" s="41">
        <v>0</v>
      </c>
      <c r="V2525" s="42" t="s">
        <v>113</v>
      </c>
      <c r="W2525" s="42">
        <v>0</v>
      </c>
      <c r="X2525" s="42">
        <v>0</v>
      </c>
    </row>
    <row r="2526" spans="1:24">
      <c r="A2526" s="27" t="s">
        <v>4674</v>
      </c>
      <c r="B2526" s="28" t="s">
        <v>215</v>
      </c>
      <c r="C2526" s="27" t="s">
        <v>4649</v>
      </c>
      <c r="D2526" s="27" t="s">
        <v>230</v>
      </c>
      <c r="E2526" s="29">
        <v>43410</v>
      </c>
      <c r="F2526" s="27">
        <v>15</v>
      </c>
      <c r="G2526" s="18">
        <v>14751.19</v>
      </c>
      <c r="H2526" s="27">
        <f t="shared" si="78"/>
        <v>0</v>
      </c>
      <c r="I2526" s="18">
        <v>77.849999999999994</v>
      </c>
      <c r="J2526" s="27">
        <v>14751.19</v>
      </c>
      <c r="K2526" s="18">
        <f t="shared" si="79"/>
        <v>0</v>
      </c>
      <c r="L2526" s="27">
        <v>1012.09</v>
      </c>
      <c r="M2526" s="36">
        <v>934.24</v>
      </c>
      <c r="T2526" s="41">
        <v>0</v>
      </c>
      <c r="U2526" s="41">
        <v>0</v>
      </c>
      <c r="V2526" s="42" t="s">
        <v>113</v>
      </c>
      <c r="W2526" s="42">
        <v>0</v>
      </c>
      <c r="X2526" s="42">
        <v>0</v>
      </c>
    </row>
    <row r="2527" spans="1:24">
      <c r="A2527" s="27" t="s">
        <v>4675</v>
      </c>
      <c r="B2527" s="28" t="s">
        <v>215</v>
      </c>
      <c r="C2527" s="27" t="s">
        <v>4649</v>
      </c>
      <c r="D2527" s="27" t="s">
        <v>230</v>
      </c>
      <c r="E2527" s="29">
        <v>43410</v>
      </c>
      <c r="F2527" s="27">
        <v>15</v>
      </c>
      <c r="G2527" s="18">
        <v>14751.19</v>
      </c>
      <c r="H2527" s="27">
        <f t="shared" si="78"/>
        <v>0</v>
      </c>
      <c r="I2527" s="18">
        <v>77.849999999999994</v>
      </c>
      <c r="J2527" s="27">
        <v>14751.19</v>
      </c>
      <c r="K2527" s="18">
        <f t="shared" si="79"/>
        <v>0</v>
      </c>
      <c r="L2527" s="27">
        <v>1012.09</v>
      </c>
      <c r="M2527" s="36">
        <v>934.24</v>
      </c>
      <c r="T2527" s="41">
        <v>0</v>
      </c>
      <c r="U2527" s="41">
        <v>0</v>
      </c>
      <c r="V2527" s="42" t="s">
        <v>113</v>
      </c>
      <c r="W2527" s="42">
        <v>0</v>
      </c>
      <c r="X2527" s="42">
        <v>0</v>
      </c>
    </row>
    <row r="2528" spans="1:24">
      <c r="A2528" s="27" t="s">
        <v>4676</v>
      </c>
      <c r="B2528" s="28" t="s">
        <v>215</v>
      </c>
      <c r="C2528" s="27" t="s">
        <v>4649</v>
      </c>
      <c r="D2528" s="27" t="s">
        <v>230</v>
      </c>
      <c r="E2528" s="29">
        <v>43410</v>
      </c>
      <c r="F2528" s="27">
        <v>15</v>
      </c>
      <c r="G2528" s="18">
        <v>14751.19</v>
      </c>
      <c r="H2528" s="27">
        <f t="shared" si="78"/>
        <v>0</v>
      </c>
      <c r="I2528" s="18">
        <v>77.849999999999994</v>
      </c>
      <c r="J2528" s="27">
        <v>14751.19</v>
      </c>
      <c r="K2528" s="18">
        <f t="shared" si="79"/>
        <v>0</v>
      </c>
      <c r="L2528" s="27">
        <v>1012.09</v>
      </c>
      <c r="M2528" s="36">
        <v>934.24</v>
      </c>
      <c r="T2528" s="41">
        <v>0</v>
      </c>
      <c r="U2528" s="41">
        <v>0</v>
      </c>
      <c r="V2528" s="42" t="s">
        <v>113</v>
      </c>
      <c r="W2528" s="42">
        <v>0</v>
      </c>
      <c r="X2528" s="42">
        <v>0</v>
      </c>
    </row>
    <row r="2529" spans="1:24">
      <c r="A2529" s="27" t="s">
        <v>4677</v>
      </c>
      <c r="B2529" s="28" t="s">
        <v>215</v>
      </c>
      <c r="C2529" s="27" t="s">
        <v>4649</v>
      </c>
      <c r="D2529" s="27" t="s">
        <v>230</v>
      </c>
      <c r="E2529" s="29">
        <v>43410</v>
      </c>
      <c r="F2529" s="27">
        <v>15</v>
      </c>
      <c r="G2529" s="18">
        <v>14751.19</v>
      </c>
      <c r="H2529" s="27">
        <f t="shared" si="78"/>
        <v>0</v>
      </c>
      <c r="I2529" s="18">
        <v>77.849999999999994</v>
      </c>
      <c r="J2529" s="27">
        <v>14751.19</v>
      </c>
      <c r="K2529" s="18">
        <f t="shared" si="79"/>
        <v>0</v>
      </c>
      <c r="L2529" s="27">
        <v>1012.09</v>
      </c>
      <c r="M2529" s="36">
        <v>934.24</v>
      </c>
      <c r="T2529" s="41">
        <v>0</v>
      </c>
      <c r="U2529" s="41">
        <v>0</v>
      </c>
      <c r="V2529" s="42" t="s">
        <v>113</v>
      </c>
      <c r="W2529" s="42">
        <v>0</v>
      </c>
      <c r="X2529" s="42">
        <v>0</v>
      </c>
    </row>
    <row r="2530" spans="1:24">
      <c r="A2530" s="27" t="s">
        <v>4678</v>
      </c>
      <c r="B2530" s="28" t="s">
        <v>215</v>
      </c>
      <c r="C2530" s="27" t="s">
        <v>4649</v>
      </c>
      <c r="D2530" s="27" t="s">
        <v>230</v>
      </c>
      <c r="E2530" s="29">
        <v>43410</v>
      </c>
      <c r="F2530" s="27">
        <v>15</v>
      </c>
      <c r="G2530" s="18">
        <v>14751.19</v>
      </c>
      <c r="H2530" s="27">
        <f t="shared" si="78"/>
        <v>0</v>
      </c>
      <c r="I2530" s="18">
        <v>77.849999999999994</v>
      </c>
      <c r="J2530" s="27">
        <v>14751.19</v>
      </c>
      <c r="K2530" s="18">
        <f t="shared" si="79"/>
        <v>0</v>
      </c>
      <c r="L2530" s="27">
        <v>1012.09</v>
      </c>
      <c r="M2530" s="36">
        <v>934.24</v>
      </c>
      <c r="T2530" s="41">
        <v>0</v>
      </c>
      <c r="U2530" s="41">
        <v>0</v>
      </c>
      <c r="V2530" s="42" t="s">
        <v>113</v>
      </c>
      <c r="W2530" s="42">
        <v>0</v>
      </c>
      <c r="X2530" s="42">
        <v>0</v>
      </c>
    </row>
    <row r="2531" spans="1:24">
      <c r="A2531" s="27" t="s">
        <v>4679</v>
      </c>
      <c r="B2531" s="28" t="s">
        <v>215</v>
      </c>
      <c r="C2531" s="27" t="s">
        <v>4649</v>
      </c>
      <c r="D2531" s="27" t="s">
        <v>230</v>
      </c>
      <c r="E2531" s="29">
        <v>43410</v>
      </c>
      <c r="F2531" s="27">
        <v>15</v>
      </c>
      <c r="G2531" s="18">
        <v>14751.19</v>
      </c>
      <c r="H2531" s="27">
        <f t="shared" si="78"/>
        <v>0</v>
      </c>
      <c r="I2531" s="18">
        <v>77.849999999999994</v>
      </c>
      <c r="J2531" s="27">
        <v>14751.19</v>
      </c>
      <c r="K2531" s="18">
        <f t="shared" si="79"/>
        <v>0</v>
      </c>
      <c r="L2531" s="27">
        <v>1012.09</v>
      </c>
      <c r="M2531" s="36">
        <v>934.24</v>
      </c>
      <c r="T2531" s="41">
        <v>0</v>
      </c>
      <c r="U2531" s="41">
        <v>0</v>
      </c>
      <c r="V2531" s="42" t="s">
        <v>113</v>
      </c>
      <c r="W2531" s="42">
        <v>0</v>
      </c>
      <c r="X2531" s="42">
        <v>0</v>
      </c>
    </row>
    <row r="2532" spans="1:24">
      <c r="A2532" s="27" t="s">
        <v>4680</v>
      </c>
      <c r="B2532" s="28" t="s">
        <v>215</v>
      </c>
      <c r="C2532" s="27" t="s">
        <v>4649</v>
      </c>
      <c r="D2532" s="27" t="s">
        <v>230</v>
      </c>
      <c r="E2532" s="29">
        <v>43410</v>
      </c>
      <c r="F2532" s="27">
        <v>15</v>
      </c>
      <c r="G2532" s="18">
        <v>14751.19</v>
      </c>
      <c r="H2532" s="27">
        <f t="shared" si="78"/>
        <v>0</v>
      </c>
      <c r="I2532" s="18">
        <v>77.849999999999994</v>
      </c>
      <c r="J2532" s="27">
        <v>14751.19</v>
      </c>
      <c r="K2532" s="18">
        <f t="shared" si="79"/>
        <v>0</v>
      </c>
      <c r="L2532" s="27">
        <v>1012.09</v>
      </c>
      <c r="M2532" s="36">
        <v>934.24</v>
      </c>
      <c r="T2532" s="41">
        <v>0</v>
      </c>
      <c r="U2532" s="41">
        <v>0</v>
      </c>
      <c r="V2532" s="42" t="s">
        <v>113</v>
      </c>
      <c r="W2532" s="42">
        <v>0</v>
      </c>
      <c r="X2532" s="42">
        <v>0</v>
      </c>
    </row>
    <row r="2533" spans="1:24">
      <c r="A2533" s="27" t="s">
        <v>4681</v>
      </c>
      <c r="B2533" s="28" t="s">
        <v>215</v>
      </c>
      <c r="C2533" s="27" t="s">
        <v>4649</v>
      </c>
      <c r="D2533" s="27" t="s">
        <v>230</v>
      </c>
      <c r="E2533" s="29">
        <v>43410</v>
      </c>
      <c r="F2533" s="27">
        <v>15</v>
      </c>
      <c r="G2533" s="18">
        <v>14751.19</v>
      </c>
      <c r="H2533" s="27">
        <f t="shared" si="78"/>
        <v>0</v>
      </c>
      <c r="I2533" s="18">
        <v>77.849999999999994</v>
      </c>
      <c r="J2533" s="27">
        <v>14751.19</v>
      </c>
      <c r="K2533" s="18">
        <f t="shared" si="79"/>
        <v>0</v>
      </c>
      <c r="L2533" s="27">
        <v>1012.09</v>
      </c>
      <c r="M2533" s="36">
        <v>934.24</v>
      </c>
      <c r="T2533" s="41">
        <v>0</v>
      </c>
      <c r="U2533" s="41">
        <v>0</v>
      </c>
      <c r="V2533" s="42" t="s">
        <v>113</v>
      </c>
      <c r="W2533" s="42">
        <v>0</v>
      </c>
      <c r="X2533" s="42">
        <v>0</v>
      </c>
    </row>
    <row r="2534" spans="1:24">
      <c r="A2534" s="27" t="s">
        <v>4682</v>
      </c>
      <c r="B2534" s="28" t="s">
        <v>215</v>
      </c>
      <c r="C2534" s="27" t="s">
        <v>4649</v>
      </c>
      <c r="D2534" s="27" t="s">
        <v>230</v>
      </c>
      <c r="E2534" s="29">
        <v>43410</v>
      </c>
      <c r="F2534" s="27">
        <v>15</v>
      </c>
      <c r="G2534" s="18">
        <v>14751.19</v>
      </c>
      <c r="H2534" s="27">
        <f t="shared" si="78"/>
        <v>0</v>
      </c>
      <c r="I2534" s="18">
        <v>77.849999999999994</v>
      </c>
      <c r="J2534" s="27">
        <v>14751.19</v>
      </c>
      <c r="K2534" s="18">
        <f t="shared" si="79"/>
        <v>0</v>
      </c>
      <c r="L2534" s="27">
        <v>1012.09</v>
      </c>
      <c r="M2534" s="36">
        <v>934.24</v>
      </c>
      <c r="T2534" s="41">
        <v>0</v>
      </c>
      <c r="U2534" s="41">
        <v>0</v>
      </c>
      <c r="V2534" s="42" t="s">
        <v>113</v>
      </c>
      <c r="W2534" s="42">
        <v>0</v>
      </c>
      <c r="X2534" s="42">
        <v>0</v>
      </c>
    </row>
    <row r="2535" spans="1:24">
      <c r="A2535" s="27" t="s">
        <v>4683</v>
      </c>
      <c r="B2535" s="28" t="s">
        <v>215</v>
      </c>
      <c r="C2535" s="27" t="s">
        <v>4649</v>
      </c>
      <c r="D2535" s="27" t="s">
        <v>230</v>
      </c>
      <c r="E2535" s="29">
        <v>43410</v>
      </c>
      <c r="F2535" s="27">
        <v>15</v>
      </c>
      <c r="G2535" s="18">
        <v>14751.19</v>
      </c>
      <c r="H2535" s="27">
        <f t="shared" si="78"/>
        <v>0</v>
      </c>
      <c r="I2535" s="18">
        <v>77.849999999999994</v>
      </c>
      <c r="J2535" s="27">
        <v>14751.19</v>
      </c>
      <c r="K2535" s="18">
        <f t="shared" si="79"/>
        <v>0</v>
      </c>
      <c r="L2535" s="27">
        <v>1012.09</v>
      </c>
      <c r="M2535" s="36">
        <v>934.24</v>
      </c>
      <c r="T2535" s="41">
        <v>0</v>
      </c>
      <c r="U2535" s="41">
        <v>0</v>
      </c>
      <c r="V2535" s="42" t="s">
        <v>113</v>
      </c>
      <c r="W2535" s="42">
        <v>0</v>
      </c>
      <c r="X2535" s="42">
        <v>0</v>
      </c>
    </row>
    <row r="2536" spans="1:24">
      <c r="A2536" s="27" t="s">
        <v>4684</v>
      </c>
      <c r="B2536" s="28" t="s">
        <v>215</v>
      </c>
      <c r="C2536" s="27" t="s">
        <v>4649</v>
      </c>
      <c r="D2536" s="27" t="s">
        <v>230</v>
      </c>
      <c r="E2536" s="29">
        <v>43410</v>
      </c>
      <c r="F2536" s="27">
        <v>15</v>
      </c>
      <c r="G2536" s="18">
        <v>14751.19</v>
      </c>
      <c r="H2536" s="27">
        <f t="shared" si="78"/>
        <v>0</v>
      </c>
      <c r="I2536" s="18">
        <v>77.849999999999994</v>
      </c>
      <c r="J2536" s="27">
        <v>14751.19</v>
      </c>
      <c r="K2536" s="18">
        <f t="shared" si="79"/>
        <v>0</v>
      </c>
      <c r="L2536" s="27">
        <v>1012.09</v>
      </c>
      <c r="M2536" s="36">
        <v>934.24</v>
      </c>
      <c r="T2536" s="41">
        <v>0</v>
      </c>
      <c r="U2536" s="41">
        <v>0</v>
      </c>
      <c r="V2536" s="42" t="s">
        <v>113</v>
      </c>
      <c r="W2536" s="42">
        <v>0</v>
      </c>
      <c r="X2536" s="42">
        <v>0</v>
      </c>
    </row>
    <row r="2537" spans="1:24">
      <c r="A2537" s="27" t="s">
        <v>4685</v>
      </c>
      <c r="B2537" s="28" t="s">
        <v>215</v>
      </c>
      <c r="C2537" s="27" t="s">
        <v>4649</v>
      </c>
      <c r="D2537" s="27" t="s">
        <v>230</v>
      </c>
      <c r="E2537" s="29">
        <v>43410</v>
      </c>
      <c r="F2537" s="27">
        <v>15</v>
      </c>
      <c r="G2537" s="18">
        <v>14751.19</v>
      </c>
      <c r="H2537" s="27">
        <f t="shared" si="78"/>
        <v>0</v>
      </c>
      <c r="I2537" s="18">
        <v>77.849999999999994</v>
      </c>
      <c r="J2537" s="27">
        <v>14751.19</v>
      </c>
      <c r="K2537" s="18">
        <f t="shared" si="79"/>
        <v>0</v>
      </c>
      <c r="L2537" s="27">
        <v>1012.09</v>
      </c>
      <c r="M2537" s="36">
        <v>934.24</v>
      </c>
      <c r="T2537" s="41">
        <v>0</v>
      </c>
      <c r="U2537" s="41">
        <v>0</v>
      </c>
      <c r="V2537" s="42" t="s">
        <v>113</v>
      </c>
      <c r="W2537" s="42">
        <v>0</v>
      </c>
      <c r="X2537" s="42">
        <v>0</v>
      </c>
    </row>
    <row r="2538" spans="1:24">
      <c r="A2538" s="27" t="s">
        <v>4686</v>
      </c>
      <c r="B2538" s="28" t="s">
        <v>215</v>
      </c>
      <c r="C2538" s="27" t="s">
        <v>4649</v>
      </c>
      <c r="D2538" s="27" t="s">
        <v>230</v>
      </c>
      <c r="E2538" s="29">
        <v>43410</v>
      </c>
      <c r="F2538" s="27">
        <v>15</v>
      </c>
      <c r="G2538" s="18">
        <v>14751.19</v>
      </c>
      <c r="H2538" s="27">
        <f t="shared" si="78"/>
        <v>0</v>
      </c>
      <c r="I2538" s="18">
        <v>77.849999999999994</v>
      </c>
      <c r="J2538" s="27">
        <v>14751.19</v>
      </c>
      <c r="K2538" s="18">
        <f t="shared" si="79"/>
        <v>0</v>
      </c>
      <c r="L2538" s="27">
        <v>1012.09</v>
      </c>
      <c r="M2538" s="36">
        <v>934.24</v>
      </c>
      <c r="T2538" s="41">
        <v>0</v>
      </c>
      <c r="U2538" s="41">
        <v>0</v>
      </c>
      <c r="V2538" s="42" t="s">
        <v>113</v>
      </c>
      <c r="W2538" s="42">
        <v>0</v>
      </c>
      <c r="X2538" s="42">
        <v>0</v>
      </c>
    </row>
    <row r="2539" spans="1:24">
      <c r="A2539" s="27" t="s">
        <v>4687</v>
      </c>
      <c r="B2539" s="28" t="s">
        <v>215</v>
      </c>
      <c r="C2539" s="27" t="s">
        <v>4649</v>
      </c>
      <c r="D2539" s="27" t="s">
        <v>230</v>
      </c>
      <c r="E2539" s="29">
        <v>43410</v>
      </c>
      <c r="F2539" s="27">
        <v>15</v>
      </c>
      <c r="G2539" s="18">
        <v>14751.19</v>
      </c>
      <c r="H2539" s="27">
        <f t="shared" si="78"/>
        <v>0</v>
      </c>
      <c r="I2539" s="18">
        <v>77.849999999999994</v>
      </c>
      <c r="J2539" s="27">
        <v>14751.19</v>
      </c>
      <c r="K2539" s="18">
        <f t="shared" si="79"/>
        <v>0</v>
      </c>
      <c r="L2539" s="27">
        <v>1012.09</v>
      </c>
      <c r="M2539" s="36">
        <v>934.24</v>
      </c>
      <c r="T2539" s="41">
        <v>0</v>
      </c>
      <c r="U2539" s="41">
        <v>0</v>
      </c>
      <c r="V2539" s="42" t="s">
        <v>113</v>
      </c>
      <c r="W2539" s="42">
        <v>0</v>
      </c>
      <c r="X2539" s="42">
        <v>0</v>
      </c>
    </row>
    <row r="2540" spans="1:24">
      <c r="A2540" s="27" t="s">
        <v>4688</v>
      </c>
      <c r="B2540" s="28" t="s">
        <v>215</v>
      </c>
      <c r="C2540" s="27" t="s">
        <v>4649</v>
      </c>
      <c r="D2540" s="27" t="s">
        <v>230</v>
      </c>
      <c r="E2540" s="29">
        <v>43410</v>
      </c>
      <c r="F2540" s="27">
        <v>15</v>
      </c>
      <c r="G2540" s="18">
        <v>14751.19</v>
      </c>
      <c r="H2540" s="27">
        <f t="shared" si="78"/>
        <v>0</v>
      </c>
      <c r="I2540" s="18">
        <v>77.849999999999994</v>
      </c>
      <c r="J2540" s="27">
        <v>14751.19</v>
      </c>
      <c r="K2540" s="18">
        <f t="shared" si="79"/>
        <v>0</v>
      </c>
      <c r="L2540" s="27">
        <v>1012.09</v>
      </c>
      <c r="M2540" s="36">
        <v>934.24</v>
      </c>
      <c r="T2540" s="41">
        <v>0</v>
      </c>
      <c r="U2540" s="41">
        <v>0</v>
      </c>
      <c r="V2540" s="42" t="s">
        <v>113</v>
      </c>
      <c r="W2540" s="42">
        <v>0</v>
      </c>
      <c r="X2540" s="42">
        <v>0</v>
      </c>
    </row>
    <row r="2541" spans="1:24">
      <c r="A2541" s="27" t="s">
        <v>4689</v>
      </c>
      <c r="B2541" s="28" t="s">
        <v>215</v>
      </c>
      <c r="C2541" s="27" t="s">
        <v>4649</v>
      </c>
      <c r="D2541" s="27" t="s">
        <v>230</v>
      </c>
      <c r="E2541" s="29">
        <v>43410</v>
      </c>
      <c r="F2541" s="27">
        <v>15</v>
      </c>
      <c r="G2541" s="18">
        <v>14751.19</v>
      </c>
      <c r="H2541" s="27">
        <f t="shared" si="78"/>
        <v>0</v>
      </c>
      <c r="I2541" s="18">
        <v>77.849999999999994</v>
      </c>
      <c r="J2541" s="27">
        <v>14751.19</v>
      </c>
      <c r="K2541" s="18">
        <f t="shared" si="79"/>
        <v>0</v>
      </c>
      <c r="L2541" s="27">
        <v>1012.09</v>
      </c>
      <c r="M2541" s="36">
        <v>934.24</v>
      </c>
      <c r="T2541" s="41">
        <v>0</v>
      </c>
      <c r="U2541" s="41">
        <v>0</v>
      </c>
      <c r="V2541" s="42" t="s">
        <v>113</v>
      </c>
      <c r="W2541" s="42">
        <v>0</v>
      </c>
      <c r="X2541" s="42">
        <v>0</v>
      </c>
    </row>
    <row r="2542" spans="1:24">
      <c r="A2542" s="27" t="s">
        <v>4690</v>
      </c>
      <c r="B2542" s="28" t="s">
        <v>215</v>
      </c>
      <c r="C2542" s="27" t="s">
        <v>4649</v>
      </c>
      <c r="D2542" s="27" t="s">
        <v>230</v>
      </c>
      <c r="E2542" s="29">
        <v>43410</v>
      </c>
      <c r="F2542" s="27">
        <v>15</v>
      </c>
      <c r="G2542" s="18">
        <v>14751.19</v>
      </c>
      <c r="H2542" s="27">
        <f t="shared" si="78"/>
        <v>0</v>
      </c>
      <c r="I2542" s="18">
        <v>77.849999999999994</v>
      </c>
      <c r="J2542" s="27">
        <v>14751.19</v>
      </c>
      <c r="K2542" s="18">
        <f t="shared" si="79"/>
        <v>0</v>
      </c>
      <c r="L2542" s="27">
        <v>1012.09</v>
      </c>
      <c r="M2542" s="36">
        <v>934.24</v>
      </c>
      <c r="T2542" s="41">
        <v>0</v>
      </c>
      <c r="U2542" s="41">
        <v>0</v>
      </c>
      <c r="V2542" s="42" t="s">
        <v>113</v>
      </c>
      <c r="W2542" s="42">
        <v>0</v>
      </c>
      <c r="X2542" s="42">
        <v>0</v>
      </c>
    </row>
    <row r="2543" spans="1:24">
      <c r="A2543" s="27" t="s">
        <v>4691</v>
      </c>
      <c r="B2543" s="28" t="s">
        <v>215</v>
      </c>
      <c r="C2543" s="27" t="s">
        <v>4649</v>
      </c>
      <c r="D2543" s="27" t="s">
        <v>230</v>
      </c>
      <c r="E2543" s="29">
        <v>43410</v>
      </c>
      <c r="F2543" s="27">
        <v>15</v>
      </c>
      <c r="G2543" s="18">
        <v>14751.19</v>
      </c>
      <c r="H2543" s="27">
        <f t="shared" si="78"/>
        <v>0</v>
      </c>
      <c r="I2543" s="18">
        <v>77.849999999999994</v>
      </c>
      <c r="J2543" s="27">
        <v>14751.19</v>
      </c>
      <c r="K2543" s="18">
        <f t="shared" si="79"/>
        <v>0</v>
      </c>
      <c r="L2543" s="27">
        <v>1012.09</v>
      </c>
      <c r="M2543" s="36">
        <v>934.24</v>
      </c>
      <c r="T2543" s="41">
        <v>0</v>
      </c>
      <c r="U2543" s="41">
        <v>0</v>
      </c>
      <c r="V2543" s="42" t="s">
        <v>113</v>
      </c>
      <c r="W2543" s="42">
        <v>0</v>
      </c>
      <c r="X2543" s="42">
        <v>0</v>
      </c>
    </row>
    <row r="2544" spans="1:24">
      <c r="A2544" s="27" t="s">
        <v>4692</v>
      </c>
      <c r="B2544" s="28" t="s">
        <v>215</v>
      </c>
      <c r="C2544" s="27" t="s">
        <v>4649</v>
      </c>
      <c r="D2544" s="27" t="s">
        <v>230</v>
      </c>
      <c r="E2544" s="29">
        <v>43410</v>
      </c>
      <c r="F2544" s="27">
        <v>15</v>
      </c>
      <c r="G2544" s="18">
        <v>14751.19</v>
      </c>
      <c r="H2544" s="27">
        <f t="shared" si="78"/>
        <v>0</v>
      </c>
      <c r="I2544" s="18">
        <v>77.849999999999994</v>
      </c>
      <c r="J2544" s="27">
        <v>14751.19</v>
      </c>
      <c r="K2544" s="18">
        <f t="shared" si="79"/>
        <v>0</v>
      </c>
      <c r="L2544" s="27">
        <v>1012.09</v>
      </c>
      <c r="M2544" s="36">
        <v>934.24</v>
      </c>
      <c r="T2544" s="41">
        <v>0</v>
      </c>
      <c r="U2544" s="41">
        <v>0</v>
      </c>
      <c r="V2544" s="42" t="s">
        <v>113</v>
      </c>
      <c r="W2544" s="42">
        <v>0</v>
      </c>
      <c r="X2544" s="42">
        <v>0</v>
      </c>
    </row>
    <row r="2545" spans="1:24">
      <c r="A2545" s="27" t="s">
        <v>4693</v>
      </c>
      <c r="B2545" s="28" t="s">
        <v>215</v>
      </c>
      <c r="C2545" s="27" t="s">
        <v>4649</v>
      </c>
      <c r="D2545" s="27" t="s">
        <v>230</v>
      </c>
      <c r="E2545" s="29">
        <v>43410</v>
      </c>
      <c r="F2545" s="27">
        <v>15</v>
      </c>
      <c r="G2545" s="18">
        <v>14751.19</v>
      </c>
      <c r="H2545" s="27">
        <f t="shared" si="78"/>
        <v>0</v>
      </c>
      <c r="I2545" s="18">
        <v>77.849999999999994</v>
      </c>
      <c r="J2545" s="27">
        <v>14751.19</v>
      </c>
      <c r="K2545" s="18">
        <f t="shared" si="79"/>
        <v>0</v>
      </c>
      <c r="L2545" s="27">
        <v>1012.09</v>
      </c>
      <c r="M2545" s="36">
        <v>934.24</v>
      </c>
      <c r="T2545" s="41">
        <v>0</v>
      </c>
      <c r="U2545" s="41">
        <v>0</v>
      </c>
      <c r="V2545" s="42" t="s">
        <v>113</v>
      </c>
      <c r="W2545" s="42">
        <v>0</v>
      </c>
      <c r="X2545" s="42">
        <v>0</v>
      </c>
    </row>
    <row r="2546" spans="1:24">
      <c r="A2546" s="27" t="s">
        <v>4694</v>
      </c>
      <c r="B2546" s="28" t="s">
        <v>215</v>
      </c>
      <c r="C2546" s="27" t="s">
        <v>4649</v>
      </c>
      <c r="D2546" s="27" t="s">
        <v>230</v>
      </c>
      <c r="E2546" s="29">
        <v>43410</v>
      </c>
      <c r="F2546" s="27">
        <v>15</v>
      </c>
      <c r="G2546" s="18">
        <v>14751.19</v>
      </c>
      <c r="H2546" s="27">
        <f t="shared" si="78"/>
        <v>0</v>
      </c>
      <c r="I2546" s="18">
        <v>77.849999999999994</v>
      </c>
      <c r="J2546" s="27">
        <v>14751.19</v>
      </c>
      <c r="K2546" s="18">
        <f t="shared" si="79"/>
        <v>0</v>
      </c>
      <c r="L2546" s="27">
        <v>1012.09</v>
      </c>
      <c r="M2546" s="36">
        <v>934.24</v>
      </c>
      <c r="T2546" s="41">
        <v>0</v>
      </c>
      <c r="U2546" s="41">
        <v>0</v>
      </c>
      <c r="V2546" s="42" t="s">
        <v>113</v>
      </c>
      <c r="W2546" s="42">
        <v>0</v>
      </c>
      <c r="X2546" s="42">
        <v>0</v>
      </c>
    </row>
    <row r="2547" spans="1:24">
      <c r="A2547" s="27" t="s">
        <v>4695</v>
      </c>
      <c r="B2547" s="28" t="s">
        <v>215</v>
      </c>
      <c r="C2547" s="27" t="s">
        <v>4649</v>
      </c>
      <c r="D2547" s="27" t="s">
        <v>230</v>
      </c>
      <c r="E2547" s="29">
        <v>43410</v>
      </c>
      <c r="F2547" s="27">
        <v>15</v>
      </c>
      <c r="G2547" s="18">
        <v>14751.19</v>
      </c>
      <c r="H2547" s="27">
        <f t="shared" si="78"/>
        <v>0</v>
      </c>
      <c r="I2547" s="18">
        <v>77.849999999999994</v>
      </c>
      <c r="J2547" s="27">
        <v>14751.19</v>
      </c>
      <c r="K2547" s="18">
        <f t="shared" si="79"/>
        <v>0</v>
      </c>
      <c r="L2547" s="27">
        <v>1012.09</v>
      </c>
      <c r="M2547" s="36">
        <v>934.24</v>
      </c>
      <c r="T2547" s="41">
        <v>0</v>
      </c>
      <c r="U2547" s="41">
        <v>0</v>
      </c>
      <c r="V2547" s="42" t="s">
        <v>113</v>
      </c>
      <c r="W2547" s="42">
        <v>0</v>
      </c>
      <c r="X2547" s="42">
        <v>0</v>
      </c>
    </row>
    <row r="2548" spans="1:24">
      <c r="A2548" s="27" t="s">
        <v>4696</v>
      </c>
      <c r="B2548" s="28" t="s">
        <v>215</v>
      </c>
      <c r="C2548" s="27" t="s">
        <v>4649</v>
      </c>
      <c r="D2548" s="27" t="s">
        <v>230</v>
      </c>
      <c r="E2548" s="29">
        <v>43410</v>
      </c>
      <c r="F2548" s="27">
        <v>15</v>
      </c>
      <c r="G2548" s="18">
        <v>14751.19</v>
      </c>
      <c r="H2548" s="27">
        <f t="shared" si="78"/>
        <v>0</v>
      </c>
      <c r="I2548" s="18">
        <v>77.849999999999994</v>
      </c>
      <c r="J2548" s="27">
        <v>14751.19</v>
      </c>
      <c r="K2548" s="18">
        <f t="shared" si="79"/>
        <v>0</v>
      </c>
      <c r="L2548" s="27">
        <v>1012.09</v>
      </c>
      <c r="M2548" s="36">
        <v>934.24</v>
      </c>
      <c r="T2548" s="41">
        <v>0</v>
      </c>
      <c r="U2548" s="41">
        <v>0</v>
      </c>
      <c r="V2548" s="42" t="s">
        <v>113</v>
      </c>
      <c r="W2548" s="42">
        <v>0</v>
      </c>
      <c r="X2548" s="42">
        <v>0</v>
      </c>
    </row>
    <row r="2549" spans="1:24">
      <c r="A2549" s="27" t="s">
        <v>4697</v>
      </c>
      <c r="B2549" s="28" t="s">
        <v>215</v>
      </c>
      <c r="C2549" s="27" t="s">
        <v>4649</v>
      </c>
      <c r="D2549" s="27" t="s">
        <v>230</v>
      </c>
      <c r="E2549" s="29">
        <v>43410</v>
      </c>
      <c r="F2549" s="27">
        <v>15</v>
      </c>
      <c r="G2549" s="18">
        <v>14751.19</v>
      </c>
      <c r="H2549" s="27">
        <f t="shared" si="78"/>
        <v>0</v>
      </c>
      <c r="I2549" s="18">
        <v>77.849999999999994</v>
      </c>
      <c r="J2549" s="27">
        <v>14751.19</v>
      </c>
      <c r="K2549" s="18">
        <f t="shared" si="79"/>
        <v>0</v>
      </c>
      <c r="L2549" s="27">
        <v>1012.09</v>
      </c>
      <c r="M2549" s="36">
        <v>934.24</v>
      </c>
      <c r="T2549" s="41">
        <v>0</v>
      </c>
      <c r="U2549" s="41">
        <v>0</v>
      </c>
      <c r="V2549" s="42" t="s">
        <v>113</v>
      </c>
      <c r="W2549" s="42">
        <v>0</v>
      </c>
      <c r="X2549" s="42">
        <v>0</v>
      </c>
    </row>
    <row r="2550" spans="1:24">
      <c r="A2550" s="27" t="s">
        <v>4698</v>
      </c>
      <c r="B2550" s="28" t="s">
        <v>215</v>
      </c>
      <c r="C2550" s="27" t="s">
        <v>4649</v>
      </c>
      <c r="D2550" s="27" t="s">
        <v>230</v>
      </c>
      <c r="E2550" s="29">
        <v>43410</v>
      </c>
      <c r="F2550" s="27">
        <v>15</v>
      </c>
      <c r="G2550" s="18">
        <v>14751.19</v>
      </c>
      <c r="H2550" s="27">
        <f t="shared" si="78"/>
        <v>0</v>
      </c>
      <c r="I2550" s="18">
        <v>77.849999999999994</v>
      </c>
      <c r="J2550" s="27">
        <v>14751.19</v>
      </c>
      <c r="K2550" s="18">
        <f t="shared" si="79"/>
        <v>0</v>
      </c>
      <c r="L2550" s="27">
        <v>1012.09</v>
      </c>
      <c r="M2550" s="36">
        <v>934.24</v>
      </c>
      <c r="T2550" s="41">
        <v>0</v>
      </c>
      <c r="U2550" s="41">
        <v>0</v>
      </c>
      <c r="V2550" s="42" t="s">
        <v>113</v>
      </c>
      <c r="W2550" s="42">
        <v>0</v>
      </c>
      <c r="X2550" s="42">
        <v>0</v>
      </c>
    </row>
    <row r="2551" spans="1:24">
      <c r="A2551" s="27" t="s">
        <v>4699</v>
      </c>
      <c r="B2551" s="28" t="s">
        <v>215</v>
      </c>
      <c r="C2551" s="27" t="s">
        <v>4649</v>
      </c>
      <c r="D2551" s="27" t="s">
        <v>230</v>
      </c>
      <c r="E2551" s="29">
        <v>43410</v>
      </c>
      <c r="F2551" s="27">
        <v>15</v>
      </c>
      <c r="G2551" s="18">
        <v>14751.19</v>
      </c>
      <c r="H2551" s="27">
        <f t="shared" si="78"/>
        <v>0</v>
      </c>
      <c r="I2551" s="18">
        <v>77.849999999999994</v>
      </c>
      <c r="J2551" s="27">
        <v>14751.19</v>
      </c>
      <c r="K2551" s="18">
        <f t="shared" si="79"/>
        <v>0</v>
      </c>
      <c r="L2551" s="27">
        <v>1012.09</v>
      </c>
      <c r="M2551" s="36">
        <v>934.24</v>
      </c>
      <c r="T2551" s="41">
        <v>0</v>
      </c>
      <c r="U2551" s="41">
        <v>0</v>
      </c>
      <c r="V2551" s="42" t="s">
        <v>113</v>
      </c>
      <c r="W2551" s="42">
        <v>0</v>
      </c>
      <c r="X2551" s="42">
        <v>0</v>
      </c>
    </row>
    <row r="2552" spans="1:24">
      <c r="A2552" s="27" t="s">
        <v>4700</v>
      </c>
      <c r="B2552" s="28" t="s">
        <v>215</v>
      </c>
      <c r="C2552" s="27" t="s">
        <v>4649</v>
      </c>
      <c r="D2552" s="27" t="s">
        <v>230</v>
      </c>
      <c r="E2552" s="29">
        <v>43410</v>
      </c>
      <c r="F2552" s="27">
        <v>15</v>
      </c>
      <c r="G2552" s="18">
        <v>14751.19</v>
      </c>
      <c r="H2552" s="27">
        <f t="shared" si="78"/>
        <v>0</v>
      </c>
      <c r="I2552" s="18">
        <v>77.849999999999994</v>
      </c>
      <c r="J2552" s="27">
        <v>14751.19</v>
      </c>
      <c r="K2552" s="18">
        <f t="shared" si="79"/>
        <v>0</v>
      </c>
      <c r="L2552" s="27">
        <v>1012.09</v>
      </c>
      <c r="M2552" s="36">
        <v>934.24</v>
      </c>
      <c r="T2552" s="41">
        <v>0</v>
      </c>
      <c r="U2552" s="41">
        <v>0</v>
      </c>
      <c r="V2552" s="42" t="s">
        <v>113</v>
      </c>
      <c r="W2552" s="42">
        <v>0</v>
      </c>
      <c r="X2552" s="42">
        <v>0</v>
      </c>
    </row>
    <row r="2553" spans="1:24">
      <c r="A2553" s="27" t="s">
        <v>4701</v>
      </c>
      <c r="B2553" s="28" t="s">
        <v>215</v>
      </c>
      <c r="C2553" s="27" t="s">
        <v>4649</v>
      </c>
      <c r="D2553" s="27" t="s">
        <v>230</v>
      </c>
      <c r="E2553" s="29">
        <v>43410</v>
      </c>
      <c r="F2553" s="27">
        <v>15</v>
      </c>
      <c r="G2553" s="18">
        <v>14751.19</v>
      </c>
      <c r="H2553" s="27">
        <f t="shared" si="78"/>
        <v>0</v>
      </c>
      <c r="I2553" s="18">
        <v>77.849999999999994</v>
      </c>
      <c r="J2553" s="27">
        <v>14751.19</v>
      </c>
      <c r="K2553" s="18">
        <f t="shared" si="79"/>
        <v>0</v>
      </c>
      <c r="L2553" s="27">
        <v>1012.09</v>
      </c>
      <c r="M2553" s="36">
        <v>934.24</v>
      </c>
      <c r="T2553" s="41">
        <v>0</v>
      </c>
      <c r="U2553" s="41">
        <v>0</v>
      </c>
      <c r="V2553" s="42" t="s">
        <v>113</v>
      </c>
      <c r="W2553" s="42">
        <v>0</v>
      </c>
      <c r="X2553" s="42">
        <v>0</v>
      </c>
    </row>
    <row r="2554" spans="1:24">
      <c r="A2554" s="27" t="s">
        <v>4702</v>
      </c>
      <c r="B2554" s="28" t="s">
        <v>215</v>
      </c>
      <c r="C2554" s="27" t="s">
        <v>4703</v>
      </c>
      <c r="D2554" s="27" t="s">
        <v>230</v>
      </c>
      <c r="E2554" s="29">
        <v>43830</v>
      </c>
      <c r="F2554" s="27">
        <v>15</v>
      </c>
      <c r="G2554" s="18">
        <v>0</v>
      </c>
      <c r="H2554" s="27">
        <f t="shared" si="78"/>
        <v>0</v>
      </c>
      <c r="I2554" s="18">
        <v>0</v>
      </c>
      <c r="J2554" s="27">
        <v>150565.34</v>
      </c>
      <c r="K2554" s="18">
        <f t="shared" si="79"/>
        <v>0</v>
      </c>
      <c r="L2554" s="27">
        <v>0</v>
      </c>
      <c r="M2554" s="36">
        <v>0</v>
      </c>
      <c r="N2554" s="18" t="s">
        <v>123</v>
      </c>
      <c r="O2554" s="19">
        <v>150565.34</v>
      </c>
      <c r="T2554" s="41">
        <v>0</v>
      </c>
      <c r="U2554" s="41">
        <v>0</v>
      </c>
      <c r="V2554" s="42" t="s">
        <v>113</v>
      </c>
      <c r="W2554" s="42">
        <v>0</v>
      </c>
      <c r="X2554" s="42">
        <v>0</v>
      </c>
    </row>
    <row r="2555" spans="1:24">
      <c r="A2555" s="27" t="s">
        <v>4704</v>
      </c>
      <c r="B2555" s="28" t="s">
        <v>215</v>
      </c>
      <c r="C2555" s="27" t="s">
        <v>4705</v>
      </c>
      <c r="D2555" s="27" t="s">
        <v>230</v>
      </c>
      <c r="E2555" s="29">
        <v>39417</v>
      </c>
      <c r="F2555" s="27">
        <v>15</v>
      </c>
      <c r="G2555" s="18">
        <v>56431</v>
      </c>
      <c r="H2555" s="27">
        <f t="shared" si="78"/>
        <v>0</v>
      </c>
      <c r="I2555" s="18">
        <v>52969.75</v>
      </c>
      <c r="J2555" s="27">
        <v>56431</v>
      </c>
      <c r="K2555" s="18">
        <f t="shared" si="79"/>
        <v>0</v>
      </c>
      <c r="L2555" s="27">
        <v>53129.68</v>
      </c>
      <c r="M2555" s="36">
        <v>159.93</v>
      </c>
      <c r="T2555" s="41">
        <v>0</v>
      </c>
      <c r="U2555" s="41">
        <v>0</v>
      </c>
      <c r="V2555" s="42" t="s">
        <v>113</v>
      </c>
      <c r="W2555" s="42">
        <v>0</v>
      </c>
      <c r="X2555" s="42">
        <v>0</v>
      </c>
    </row>
    <row r="2556" spans="1:24">
      <c r="A2556" s="27" t="s">
        <v>4706</v>
      </c>
      <c r="B2556" s="28" t="s">
        <v>215</v>
      </c>
      <c r="C2556" s="27" t="s">
        <v>4707</v>
      </c>
      <c r="D2556" s="27" t="s">
        <v>230</v>
      </c>
      <c r="E2556" s="29">
        <v>39417</v>
      </c>
      <c r="F2556" s="27">
        <v>15</v>
      </c>
      <c r="G2556" s="18">
        <v>56431</v>
      </c>
      <c r="H2556" s="27">
        <f t="shared" si="78"/>
        <v>0</v>
      </c>
      <c r="I2556" s="18">
        <v>52969.75</v>
      </c>
      <c r="J2556" s="27">
        <v>56431</v>
      </c>
      <c r="K2556" s="18">
        <f t="shared" si="79"/>
        <v>0</v>
      </c>
      <c r="L2556" s="27">
        <v>53129.68</v>
      </c>
      <c r="M2556" s="36">
        <v>159.93</v>
      </c>
      <c r="T2556" s="41">
        <v>0</v>
      </c>
      <c r="U2556" s="41">
        <v>0</v>
      </c>
      <c r="V2556" s="42" t="s">
        <v>113</v>
      </c>
      <c r="W2556" s="42">
        <v>0</v>
      </c>
      <c r="X2556" s="42">
        <v>0</v>
      </c>
    </row>
    <row r="2557" spans="1:24">
      <c r="A2557" s="27" t="s">
        <v>4708</v>
      </c>
      <c r="B2557" s="28" t="s">
        <v>215</v>
      </c>
      <c r="C2557" s="27" t="s">
        <v>4709</v>
      </c>
      <c r="D2557" s="27" t="s">
        <v>230</v>
      </c>
      <c r="E2557" s="29">
        <v>39417</v>
      </c>
      <c r="F2557" s="27">
        <v>15</v>
      </c>
      <c r="G2557" s="18">
        <v>56431</v>
      </c>
      <c r="H2557" s="27">
        <f t="shared" si="78"/>
        <v>0</v>
      </c>
      <c r="I2557" s="18">
        <v>52969.75</v>
      </c>
      <c r="J2557" s="27">
        <v>56431</v>
      </c>
      <c r="K2557" s="18">
        <f t="shared" si="79"/>
        <v>0</v>
      </c>
      <c r="L2557" s="27">
        <v>53129.68</v>
      </c>
      <c r="M2557" s="36">
        <v>159.93</v>
      </c>
      <c r="T2557" s="41">
        <v>0</v>
      </c>
      <c r="U2557" s="41">
        <v>0</v>
      </c>
      <c r="V2557" s="42" t="s">
        <v>113</v>
      </c>
      <c r="W2557" s="42">
        <v>0</v>
      </c>
      <c r="X2557" s="42">
        <v>0</v>
      </c>
    </row>
    <row r="2558" spans="1:24">
      <c r="A2558" s="27" t="s">
        <v>4710</v>
      </c>
      <c r="B2558" s="28" t="s">
        <v>215</v>
      </c>
      <c r="C2558" s="27" t="s">
        <v>4711</v>
      </c>
      <c r="D2558" s="27" t="s">
        <v>230</v>
      </c>
      <c r="E2558" s="29">
        <v>40268</v>
      </c>
      <c r="F2558" s="27">
        <v>15</v>
      </c>
      <c r="G2558" s="18">
        <v>19799.169999999998</v>
      </c>
      <c r="H2558" s="27">
        <f t="shared" si="78"/>
        <v>0</v>
      </c>
      <c r="I2558" s="18">
        <v>13587.96</v>
      </c>
      <c r="J2558" s="27">
        <v>19799.169999999998</v>
      </c>
      <c r="K2558" s="18">
        <f t="shared" si="79"/>
        <v>0</v>
      </c>
      <c r="L2558" s="27">
        <v>14423.36</v>
      </c>
      <c r="M2558" s="36">
        <v>835.4</v>
      </c>
      <c r="T2558" s="41">
        <v>0</v>
      </c>
      <c r="U2558" s="41">
        <v>0</v>
      </c>
      <c r="V2558" s="42" t="s">
        <v>113</v>
      </c>
      <c r="W2558" s="42">
        <v>0</v>
      </c>
      <c r="X2558" s="42">
        <v>0</v>
      </c>
    </row>
    <row r="2559" spans="1:24">
      <c r="A2559" s="27" t="s">
        <v>4712</v>
      </c>
      <c r="B2559" s="28" t="s">
        <v>215</v>
      </c>
      <c r="C2559" s="27" t="s">
        <v>4713</v>
      </c>
      <c r="D2559" s="27" t="s">
        <v>230</v>
      </c>
      <c r="E2559" s="29">
        <v>40268</v>
      </c>
      <c r="F2559" s="27">
        <v>15</v>
      </c>
      <c r="G2559" s="18">
        <v>19799.169999999998</v>
      </c>
      <c r="H2559" s="27">
        <f t="shared" si="78"/>
        <v>0</v>
      </c>
      <c r="I2559" s="18">
        <v>13587.96</v>
      </c>
      <c r="J2559" s="27">
        <v>19799.169999999998</v>
      </c>
      <c r="K2559" s="18">
        <f t="shared" si="79"/>
        <v>0</v>
      </c>
      <c r="L2559" s="27">
        <v>14423.36</v>
      </c>
      <c r="M2559" s="36">
        <v>835.4</v>
      </c>
      <c r="T2559" s="41">
        <v>0</v>
      </c>
      <c r="U2559" s="41">
        <v>0</v>
      </c>
      <c r="V2559" s="42" t="s">
        <v>113</v>
      </c>
      <c r="W2559" s="42">
        <v>0</v>
      </c>
      <c r="X2559" s="42">
        <v>0</v>
      </c>
    </row>
    <row r="2560" spans="1:24">
      <c r="A2560" s="27" t="s">
        <v>4714</v>
      </c>
      <c r="B2560" s="28" t="s">
        <v>215</v>
      </c>
      <c r="C2560" s="27" t="s">
        <v>4715</v>
      </c>
      <c r="D2560" s="27" t="s">
        <v>230</v>
      </c>
      <c r="E2560" s="29">
        <v>40268</v>
      </c>
      <c r="F2560" s="27">
        <v>15</v>
      </c>
      <c r="G2560" s="18">
        <v>19799.16</v>
      </c>
      <c r="H2560" s="27">
        <f t="shared" si="78"/>
        <v>0</v>
      </c>
      <c r="I2560" s="18">
        <v>13587.95</v>
      </c>
      <c r="J2560" s="27">
        <v>19799.16</v>
      </c>
      <c r="K2560" s="18">
        <f t="shared" si="79"/>
        <v>0</v>
      </c>
      <c r="L2560" s="27">
        <v>14423.35</v>
      </c>
      <c r="M2560" s="36">
        <v>835.4</v>
      </c>
      <c r="T2560" s="41">
        <v>0</v>
      </c>
      <c r="U2560" s="41">
        <v>0</v>
      </c>
      <c r="V2560" s="42" t="s">
        <v>113</v>
      </c>
      <c r="W2560" s="42">
        <v>0</v>
      </c>
      <c r="X2560" s="42">
        <v>0</v>
      </c>
    </row>
    <row r="2561" spans="1:24">
      <c r="A2561" s="27" t="s">
        <v>4716</v>
      </c>
      <c r="B2561" s="28" t="s">
        <v>215</v>
      </c>
      <c r="C2561" s="27" t="s">
        <v>4717</v>
      </c>
      <c r="D2561" s="27" t="s">
        <v>230</v>
      </c>
      <c r="E2561" s="29">
        <v>40113</v>
      </c>
      <c r="F2561" s="27">
        <v>15</v>
      </c>
      <c r="G2561" s="18">
        <v>18000</v>
      </c>
      <c r="H2561" s="27">
        <f t="shared" si="78"/>
        <v>0</v>
      </c>
      <c r="I2561" s="18">
        <v>14204.18</v>
      </c>
      <c r="J2561" s="27">
        <v>18000</v>
      </c>
      <c r="K2561" s="18">
        <f t="shared" si="79"/>
        <v>0</v>
      </c>
      <c r="L2561" s="27">
        <v>14813.83</v>
      </c>
      <c r="M2561" s="36">
        <v>609.65</v>
      </c>
      <c r="T2561" s="41">
        <v>0</v>
      </c>
      <c r="U2561" s="41">
        <v>0</v>
      </c>
      <c r="V2561" s="42" t="s">
        <v>113</v>
      </c>
      <c r="W2561" s="42">
        <v>0</v>
      </c>
      <c r="X2561" s="42">
        <v>0</v>
      </c>
    </row>
    <row r="2562" spans="1:24">
      <c r="A2562" s="27" t="s">
        <v>4718</v>
      </c>
      <c r="B2562" s="28" t="s">
        <v>215</v>
      </c>
      <c r="C2562" s="27" t="s">
        <v>4719</v>
      </c>
      <c r="D2562" s="27" t="s">
        <v>230</v>
      </c>
      <c r="E2562" s="29">
        <v>40165</v>
      </c>
      <c r="F2562" s="27">
        <v>15</v>
      </c>
      <c r="G2562" s="18">
        <v>20000</v>
      </c>
      <c r="H2562" s="27">
        <f t="shared" si="78"/>
        <v>20000</v>
      </c>
      <c r="I2562" s="18">
        <v>19000</v>
      </c>
      <c r="J2562" s="27">
        <v>20000</v>
      </c>
      <c r="K2562" s="18">
        <f t="shared" si="79"/>
        <v>20000</v>
      </c>
      <c r="L2562" s="27">
        <v>19000</v>
      </c>
      <c r="M2562" s="36">
        <v>0</v>
      </c>
      <c r="T2562" s="41">
        <v>0</v>
      </c>
      <c r="U2562" s="41">
        <v>0</v>
      </c>
      <c r="V2562" s="42" t="s">
        <v>113</v>
      </c>
      <c r="W2562" s="42">
        <v>20000</v>
      </c>
      <c r="X2562" s="42">
        <v>20000</v>
      </c>
    </row>
    <row r="2563" spans="1:24">
      <c r="A2563" s="27" t="s">
        <v>4720</v>
      </c>
      <c r="B2563" s="28" t="s">
        <v>215</v>
      </c>
      <c r="C2563" s="27" t="s">
        <v>4721</v>
      </c>
      <c r="D2563" s="27" t="s">
        <v>230</v>
      </c>
      <c r="E2563" s="29">
        <v>37226</v>
      </c>
      <c r="F2563" s="27">
        <v>15</v>
      </c>
      <c r="G2563" s="18">
        <v>49269</v>
      </c>
      <c r="H2563" s="27">
        <f t="shared" si="78"/>
        <v>49269</v>
      </c>
      <c r="I2563" s="18">
        <v>46805.55</v>
      </c>
      <c r="J2563" s="27">
        <v>49269</v>
      </c>
      <c r="K2563" s="18">
        <f t="shared" si="79"/>
        <v>49269</v>
      </c>
      <c r="L2563" s="27">
        <v>46805.55</v>
      </c>
      <c r="M2563" s="36">
        <v>0</v>
      </c>
      <c r="T2563" s="41">
        <v>0</v>
      </c>
      <c r="U2563" s="41">
        <v>0</v>
      </c>
      <c r="V2563" s="42" t="s">
        <v>113</v>
      </c>
      <c r="W2563" s="42">
        <v>49269</v>
      </c>
      <c r="X2563" s="42">
        <v>49269</v>
      </c>
    </row>
    <row r="2564" spans="1:24">
      <c r="A2564" s="27" t="s">
        <v>4722</v>
      </c>
      <c r="B2564" s="28" t="s">
        <v>215</v>
      </c>
      <c r="C2564" s="27" t="s">
        <v>4723</v>
      </c>
      <c r="D2564" s="27" t="s">
        <v>230</v>
      </c>
      <c r="E2564" s="29">
        <v>37226</v>
      </c>
      <c r="F2564" s="27">
        <v>15</v>
      </c>
      <c r="G2564" s="18">
        <v>49269</v>
      </c>
      <c r="H2564" s="27">
        <f t="shared" si="78"/>
        <v>49269</v>
      </c>
      <c r="I2564" s="18">
        <v>46805.55</v>
      </c>
      <c r="J2564" s="27">
        <v>49269</v>
      </c>
      <c r="K2564" s="18">
        <f t="shared" si="79"/>
        <v>49269</v>
      </c>
      <c r="L2564" s="27">
        <v>46805.55</v>
      </c>
      <c r="M2564" s="36">
        <v>0</v>
      </c>
      <c r="T2564" s="41">
        <v>0</v>
      </c>
      <c r="U2564" s="41">
        <v>0</v>
      </c>
      <c r="V2564" s="42" t="s">
        <v>113</v>
      </c>
      <c r="W2564" s="42">
        <v>49269</v>
      </c>
      <c r="X2564" s="42">
        <v>49269</v>
      </c>
    </row>
    <row r="2565" spans="1:24">
      <c r="A2565" s="27" t="s">
        <v>4724</v>
      </c>
      <c r="B2565" s="28" t="s">
        <v>215</v>
      </c>
      <c r="C2565" s="27" t="s">
        <v>4725</v>
      </c>
      <c r="D2565" s="27" t="s">
        <v>230</v>
      </c>
      <c r="E2565" s="29">
        <v>37226</v>
      </c>
      <c r="F2565" s="27">
        <v>15</v>
      </c>
      <c r="G2565" s="18">
        <v>49269</v>
      </c>
      <c r="H2565" s="27">
        <f t="shared" si="78"/>
        <v>49269</v>
      </c>
      <c r="I2565" s="18">
        <v>46805.55</v>
      </c>
      <c r="J2565" s="27">
        <v>49269</v>
      </c>
      <c r="K2565" s="18">
        <f t="shared" si="79"/>
        <v>49269</v>
      </c>
      <c r="L2565" s="27">
        <v>46805.55</v>
      </c>
      <c r="M2565" s="36">
        <v>0</v>
      </c>
      <c r="T2565" s="41">
        <v>0</v>
      </c>
      <c r="U2565" s="41">
        <v>0</v>
      </c>
      <c r="V2565" s="42" t="s">
        <v>113</v>
      </c>
      <c r="W2565" s="42">
        <v>49269</v>
      </c>
      <c r="X2565" s="42">
        <v>49269</v>
      </c>
    </row>
    <row r="2566" spans="1:24">
      <c r="A2566" s="27" t="s">
        <v>4726</v>
      </c>
      <c r="B2566" s="28" t="s">
        <v>215</v>
      </c>
      <c r="C2566" s="27" t="s">
        <v>4727</v>
      </c>
      <c r="D2566" s="27" t="s">
        <v>230</v>
      </c>
      <c r="E2566" s="29">
        <v>40113</v>
      </c>
      <c r="F2566" s="27">
        <v>15</v>
      </c>
      <c r="G2566" s="18">
        <v>18000</v>
      </c>
      <c r="H2566" s="27">
        <f t="shared" ref="H2566:H2629" si="80">IFERROR(IF(ROUND((G2566-I2566)/G2566,2)&lt;=0.05,G2566,0),0)</f>
        <v>0</v>
      </c>
      <c r="I2566" s="18">
        <v>14204.18</v>
      </c>
      <c r="J2566" s="27">
        <v>18000</v>
      </c>
      <c r="K2566" s="18">
        <f t="shared" ref="K2566:K2629" si="81">IFERROR(IF(ROUND((J2566-L2566)/J2566,2)&lt;=0.05,J2566,0),0)</f>
        <v>0</v>
      </c>
      <c r="L2566" s="27">
        <v>14813.83</v>
      </c>
      <c r="M2566" s="36">
        <v>609.65</v>
      </c>
      <c r="T2566" s="41">
        <v>0</v>
      </c>
      <c r="U2566" s="41">
        <v>0</v>
      </c>
      <c r="V2566" s="42" t="s">
        <v>113</v>
      </c>
      <c r="W2566" s="42">
        <v>0</v>
      </c>
      <c r="X2566" s="42">
        <v>0</v>
      </c>
    </row>
    <row r="2567" spans="1:24">
      <c r="A2567" s="27" t="s">
        <v>4728</v>
      </c>
      <c r="B2567" s="28" t="s">
        <v>215</v>
      </c>
      <c r="C2567" s="27" t="s">
        <v>4729</v>
      </c>
      <c r="D2567" s="27" t="s">
        <v>230</v>
      </c>
      <c r="E2567" s="29">
        <v>40113</v>
      </c>
      <c r="F2567" s="27">
        <v>15</v>
      </c>
      <c r="G2567" s="18">
        <v>18000</v>
      </c>
      <c r="H2567" s="27">
        <f t="shared" si="80"/>
        <v>0</v>
      </c>
      <c r="I2567" s="18">
        <v>14256.52</v>
      </c>
      <c r="J2567" s="27">
        <v>18000</v>
      </c>
      <c r="K2567" s="18">
        <f t="shared" si="81"/>
        <v>0</v>
      </c>
      <c r="L2567" s="27">
        <v>14855.15</v>
      </c>
      <c r="M2567" s="36">
        <v>598.63</v>
      </c>
      <c r="T2567" s="41">
        <v>0</v>
      </c>
      <c r="U2567" s="41">
        <v>0</v>
      </c>
      <c r="V2567" s="42" t="s">
        <v>113</v>
      </c>
      <c r="W2567" s="42">
        <v>0</v>
      </c>
      <c r="X2567" s="42">
        <v>0</v>
      </c>
    </row>
    <row r="2568" spans="1:24">
      <c r="A2568" s="27" t="s">
        <v>4730</v>
      </c>
      <c r="B2568" s="28" t="s">
        <v>215</v>
      </c>
      <c r="C2568" s="27" t="s">
        <v>4731</v>
      </c>
      <c r="D2568" s="27" t="s">
        <v>230</v>
      </c>
      <c r="E2568" s="29">
        <v>40083</v>
      </c>
      <c r="F2568" s="27">
        <v>15</v>
      </c>
      <c r="G2568" s="18">
        <v>18000</v>
      </c>
      <c r="H2568" s="27">
        <f t="shared" si="80"/>
        <v>0</v>
      </c>
      <c r="I2568" s="18">
        <v>14327.21</v>
      </c>
      <c r="J2568" s="27">
        <v>18000</v>
      </c>
      <c r="K2568" s="18">
        <f t="shared" si="81"/>
        <v>0</v>
      </c>
      <c r="L2568" s="27">
        <v>14910.96</v>
      </c>
      <c r="M2568" s="36">
        <v>583.75</v>
      </c>
      <c r="T2568" s="41">
        <v>0</v>
      </c>
      <c r="U2568" s="41">
        <v>0</v>
      </c>
      <c r="V2568" s="42" t="s">
        <v>113</v>
      </c>
      <c r="W2568" s="42">
        <v>0</v>
      </c>
      <c r="X2568" s="42">
        <v>0</v>
      </c>
    </row>
    <row r="2569" spans="1:24">
      <c r="A2569" s="27" t="s">
        <v>4732</v>
      </c>
      <c r="B2569" s="28" t="s">
        <v>215</v>
      </c>
      <c r="C2569" s="27" t="s">
        <v>4733</v>
      </c>
      <c r="D2569" s="27" t="s">
        <v>230</v>
      </c>
      <c r="E2569" s="29">
        <v>40113</v>
      </c>
      <c r="F2569" s="27">
        <v>15</v>
      </c>
      <c r="G2569" s="18">
        <v>18000</v>
      </c>
      <c r="H2569" s="27">
        <f t="shared" si="80"/>
        <v>0</v>
      </c>
      <c r="I2569" s="18">
        <v>14203.62</v>
      </c>
      <c r="J2569" s="27">
        <v>18000</v>
      </c>
      <c r="K2569" s="18">
        <f t="shared" si="81"/>
        <v>0</v>
      </c>
      <c r="L2569" s="27">
        <v>14813.38</v>
      </c>
      <c r="M2569" s="36">
        <v>609.76</v>
      </c>
      <c r="T2569" s="41">
        <v>0</v>
      </c>
      <c r="U2569" s="41">
        <v>0</v>
      </c>
      <c r="V2569" s="42" t="s">
        <v>113</v>
      </c>
      <c r="W2569" s="42">
        <v>0</v>
      </c>
      <c r="X2569" s="42">
        <v>0</v>
      </c>
    </row>
    <row r="2570" spans="1:24">
      <c r="A2570" s="27" t="s">
        <v>4734</v>
      </c>
      <c r="B2570" s="28" t="s">
        <v>215</v>
      </c>
      <c r="C2570" s="27" t="s">
        <v>4735</v>
      </c>
      <c r="D2570" s="27" t="s">
        <v>230</v>
      </c>
      <c r="E2570" s="29">
        <v>40113</v>
      </c>
      <c r="F2570" s="27">
        <v>15</v>
      </c>
      <c r="G2570" s="18">
        <v>18000</v>
      </c>
      <c r="H2570" s="27">
        <f t="shared" si="80"/>
        <v>0</v>
      </c>
      <c r="I2570" s="18">
        <v>14203.19</v>
      </c>
      <c r="J2570" s="27">
        <v>18000</v>
      </c>
      <c r="K2570" s="18">
        <f t="shared" si="81"/>
        <v>0</v>
      </c>
      <c r="L2570" s="27">
        <v>14813.04</v>
      </c>
      <c r="M2570" s="36">
        <v>609.85</v>
      </c>
      <c r="T2570" s="41">
        <v>0</v>
      </c>
      <c r="U2570" s="41">
        <v>0</v>
      </c>
      <c r="V2570" s="42" t="s">
        <v>113</v>
      </c>
      <c r="W2570" s="42">
        <v>0</v>
      </c>
      <c r="X2570" s="42">
        <v>0</v>
      </c>
    </row>
    <row r="2571" spans="1:24">
      <c r="A2571" s="27" t="s">
        <v>4736</v>
      </c>
      <c r="B2571" s="28" t="s">
        <v>215</v>
      </c>
      <c r="C2571" s="27" t="s">
        <v>4737</v>
      </c>
      <c r="D2571" s="27" t="s">
        <v>230</v>
      </c>
      <c r="E2571" s="29">
        <v>39417</v>
      </c>
      <c r="F2571" s="27">
        <v>15</v>
      </c>
      <c r="G2571" s="18">
        <v>56431</v>
      </c>
      <c r="H2571" s="27">
        <f t="shared" si="80"/>
        <v>0</v>
      </c>
      <c r="I2571" s="18">
        <v>52969.75</v>
      </c>
      <c r="J2571" s="27">
        <v>56431</v>
      </c>
      <c r="K2571" s="18">
        <f t="shared" si="81"/>
        <v>0</v>
      </c>
      <c r="L2571" s="27">
        <v>53129.68</v>
      </c>
      <c r="M2571" s="36">
        <v>159.93</v>
      </c>
      <c r="T2571" s="41">
        <v>0</v>
      </c>
      <c r="U2571" s="41">
        <v>0</v>
      </c>
      <c r="V2571" s="42" t="s">
        <v>113</v>
      </c>
      <c r="W2571" s="42">
        <v>0</v>
      </c>
      <c r="X2571" s="42">
        <v>0</v>
      </c>
    </row>
    <row r="2572" spans="1:24">
      <c r="A2572" s="27" t="s">
        <v>4738</v>
      </c>
      <c r="B2572" s="28" t="s">
        <v>215</v>
      </c>
      <c r="C2572" s="27" t="s">
        <v>4739</v>
      </c>
      <c r="D2572" s="27" t="s">
        <v>230</v>
      </c>
      <c r="E2572" s="29">
        <v>39417</v>
      </c>
      <c r="F2572" s="27">
        <v>15</v>
      </c>
      <c r="G2572" s="18">
        <v>56431</v>
      </c>
      <c r="H2572" s="27">
        <f t="shared" si="80"/>
        <v>0</v>
      </c>
      <c r="I2572" s="18">
        <v>52969.75</v>
      </c>
      <c r="J2572" s="27">
        <v>56431</v>
      </c>
      <c r="K2572" s="18">
        <f t="shared" si="81"/>
        <v>0</v>
      </c>
      <c r="L2572" s="27">
        <v>53129.68</v>
      </c>
      <c r="M2572" s="36">
        <v>159.93</v>
      </c>
      <c r="T2572" s="41">
        <v>0</v>
      </c>
      <c r="U2572" s="41">
        <v>0</v>
      </c>
      <c r="V2572" s="42" t="s">
        <v>113</v>
      </c>
      <c r="W2572" s="42">
        <v>0</v>
      </c>
      <c r="X2572" s="42">
        <v>0</v>
      </c>
    </row>
    <row r="2573" spans="1:24">
      <c r="A2573" s="27" t="s">
        <v>4740</v>
      </c>
      <c r="B2573" s="28" t="s">
        <v>215</v>
      </c>
      <c r="C2573" s="27" t="s">
        <v>4741</v>
      </c>
      <c r="D2573" s="27" t="s">
        <v>230</v>
      </c>
      <c r="E2573" s="29">
        <v>40113</v>
      </c>
      <c r="F2573" s="27">
        <v>15</v>
      </c>
      <c r="G2573" s="18">
        <v>18000</v>
      </c>
      <c r="H2573" s="27">
        <f t="shared" si="80"/>
        <v>0</v>
      </c>
      <c r="I2573" s="18">
        <v>14203.19</v>
      </c>
      <c r="J2573" s="27">
        <v>18000</v>
      </c>
      <c r="K2573" s="18">
        <f t="shared" si="81"/>
        <v>0</v>
      </c>
      <c r="L2573" s="27">
        <v>14813.04</v>
      </c>
      <c r="M2573" s="36">
        <v>609.85</v>
      </c>
      <c r="T2573" s="41">
        <v>0</v>
      </c>
      <c r="U2573" s="41">
        <v>0</v>
      </c>
      <c r="V2573" s="42" t="s">
        <v>113</v>
      </c>
      <c r="W2573" s="42">
        <v>0</v>
      </c>
      <c r="X2573" s="42">
        <v>0</v>
      </c>
    </row>
    <row r="2574" spans="1:24">
      <c r="A2574" s="27" t="s">
        <v>4742</v>
      </c>
      <c r="B2574" s="28" t="s">
        <v>215</v>
      </c>
      <c r="C2574" s="27" t="s">
        <v>4743</v>
      </c>
      <c r="D2574" s="27" t="s">
        <v>230</v>
      </c>
      <c r="E2574" s="29">
        <v>40113</v>
      </c>
      <c r="F2574" s="27">
        <v>15</v>
      </c>
      <c r="G2574" s="18">
        <v>6000</v>
      </c>
      <c r="H2574" s="27">
        <f t="shared" si="80"/>
        <v>0</v>
      </c>
      <c r="I2574" s="18">
        <v>4734.3999999999996</v>
      </c>
      <c r="J2574" s="27">
        <v>6000</v>
      </c>
      <c r="K2574" s="18">
        <f t="shared" si="81"/>
        <v>0</v>
      </c>
      <c r="L2574" s="27">
        <v>4937.68</v>
      </c>
      <c r="M2574" s="36">
        <v>203.28</v>
      </c>
      <c r="T2574" s="41">
        <v>0</v>
      </c>
      <c r="U2574" s="41">
        <v>0</v>
      </c>
      <c r="V2574" s="42" t="s">
        <v>113</v>
      </c>
      <c r="W2574" s="42">
        <v>0</v>
      </c>
      <c r="X2574" s="42">
        <v>0</v>
      </c>
    </row>
    <row r="2575" spans="1:24">
      <c r="A2575" s="27" t="s">
        <v>4744</v>
      </c>
      <c r="B2575" s="28" t="s">
        <v>215</v>
      </c>
      <c r="C2575" s="27" t="s">
        <v>4745</v>
      </c>
      <c r="D2575" s="27" t="s">
        <v>230</v>
      </c>
      <c r="E2575" s="29">
        <v>40113</v>
      </c>
      <c r="F2575" s="27">
        <v>15</v>
      </c>
      <c r="G2575" s="18">
        <v>6000</v>
      </c>
      <c r="H2575" s="27">
        <f t="shared" si="80"/>
        <v>0</v>
      </c>
      <c r="I2575" s="18">
        <v>4734.3999999999996</v>
      </c>
      <c r="J2575" s="27">
        <v>6000</v>
      </c>
      <c r="K2575" s="18">
        <f t="shared" si="81"/>
        <v>0</v>
      </c>
      <c r="L2575" s="27">
        <v>4937.68</v>
      </c>
      <c r="M2575" s="36">
        <v>203.28</v>
      </c>
      <c r="T2575" s="41">
        <v>0</v>
      </c>
      <c r="U2575" s="41">
        <v>0</v>
      </c>
      <c r="V2575" s="42" t="s">
        <v>113</v>
      </c>
      <c r="W2575" s="42">
        <v>0</v>
      </c>
      <c r="X2575" s="42">
        <v>0</v>
      </c>
    </row>
    <row r="2576" spans="1:24">
      <c r="A2576" s="27" t="s">
        <v>4746</v>
      </c>
      <c r="B2576" s="28" t="s">
        <v>215</v>
      </c>
      <c r="C2576" s="27" t="s">
        <v>4747</v>
      </c>
      <c r="D2576" s="27" t="s">
        <v>230</v>
      </c>
      <c r="E2576" s="29">
        <v>40113</v>
      </c>
      <c r="F2576" s="27">
        <v>15</v>
      </c>
      <c r="G2576" s="18">
        <v>6000</v>
      </c>
      <c r="H2576" s="27">
        <f t="shared" si="80"/>
        <v>0</v>
      </c>
      <c r="I2576" s="18">
        <v>4734.3999999999996</v>
      </c>
      <c r="J2576" s="27">
        <v>6000</v>
      </c>
      <c r="K2576" s="18">
        <f t="shared" si="81"/>
        <v>0</v>
      </c>
      <c r="L2576" s="27">
        <v>4937.68</v>
      </c>
      <c r="M2576" s="36">
        <v>203.28</v>
      </c>
      <c r="T2576" s="41">
        <v>0</v>
      </c>
      <c r="U2576" s="41">
        <v>0</v>
      </c>
      <c r="V2576" s="42" t="s">
        <v>113</v>
      </c>
      <c r="W2576" s="42">
        <v>0</v>
      </c>
      <c r="X2576" s="42">
        <v>0</v>
      </c>
    </row>
    <row r="2577" spans="1:24">
      <c r="A2577" s="27" t="s">
        <v>4748</v>
      </c>
      <c r="B2577" s="28" t="s">
        <v>215</v>
      </c>
      <c r="C2577" s="27" t="s">
        <v>4749</v>
      </c>
      <c r="D2577" s="27" t="s">
        <v>230</v>
      </c>
      <c r="E2577" s="29">
        <v>37226</v>
      </c>
      <c r="F2577" s="27">
        <v>15</v>
      </c>
      <c r="G2577" s="18">
        <v>49269</v>
      </c>
      <c r="H2577" s="27">
        <f t="shared" si="80"/>
        <v>49269</v>
      </c>
      <c r="I2577" s="18">
        <v>46805.55</v>
      </c>
      <c r="J2577" s="27">
        <v>49269</v>
      </c>
      <c r="K2577" s="18">
        <f t="shared" si="81"/>
        <v>49269</v>
      </c>
      <c r="L2577" s="27">
        <v>46805.55</v>
      </c>
      <c r="M2577" s="36">
        <v>0</v>
      </c>
      <c r="T2577" s="41">
        <v>0</v>
      </c>
      <c r="U2577" s="41">
        <v>0</v>
      </c>
      <c r="V2577" s="42" t="s">
        <v>113</v>
      </c>
      <c r="W2577" s="42">
        <v>49269</v>
      </c>
      <c r="X2577" s="42">
        <v>49269</v>
      </c>
    </row>
    <row r="2578" spans="1:24">
      <c r="A2578" s="27" t="s">
        <v>4750</v>
      </c>
      <c r="B2578" s="28" t="s">
        <v>215</v>
      </c>
      <c r="C2578" s="27" t="s">
        <v>4751</v>
      </c>
      <c r="D2578" s="27" t="s">
        <v>230</v>
      </c>
      <c r="E2578" s="29">
        <v>37226</v>
      </c>
      <c r="F2578" s="27">
        <v>15</v>
      </c>
      <c r="G2578" s="18">
        <v>49270.23</v>
      </c>
      <c r="H2578" s="27">
        <f t="shared" si="80"/>
        <v>49270.23</v>
      </c>
      <c r="I2578" s="18">
        <v>46806.720000000001</v>
      </c>
      <c r="J2578" s="27">
        <v>49270.23</v>
      </c>
      <c r="K2578" s="18">
        <f t="shared" si="81"/>
        <v>49270.23</v>
      </c>
      <c r="L2578" s="27">
        <v>46806.720000000001</v>
      </c>
      <c r="M2578" s="36">
        <v>0</v>
      </c>
      <c r="T2578" s="41">
        <v>0</v>
      </c>
      <c r="U2578" s="41">
        <v>0</v>
      </c>
      <c r="V2578" s="42" t="s">
        <v>113</v>
      </c>
      <c r="W2578" s="42">
        <v>49270.23</v>
      </c>
      <c r="X2578" s="42">
        <v>49270.23</v>
      </c>
    </row>
    <row r="2579" spans="1:24">
      <c r="A2579" s="27" t="s">
        <v>4752</v>
      </c>
      <c r="B2579" s="28" t="s">
        <v>215</v>
      </c>
      <c r="C2579" s="27" t="s">
        <v>4753</v>
      </c>
      <c r="D2579" s="27" t="s">
        <v>230</v>
      </c>
      <c r="E2579" s="29">
        <v>40543</v>
      </c>
      <c r="F2579" s="27">
        <v>15</v>
      </c>
      <c r="G2579" s="18">
        <v>18903.03</v>
      </c>
      <c r="H2579" s="27">
        <f t="shared" si="80"/>
        <v>0</v>
      </c>
      <c r="I2579" s="18">
        <v>11672.62</v>
      </c>
      <c r="J2579" s="27">
        <v>18903.03</v>
      </c>
      <c r="K2579" s="18">
        <f t="shared" si="81"/>
        <v>0</v>
      </c>
      <c r="L2579" s="27">
        <v>12570.51</v>
      </c>
      <c r="M2579" s="36">
        <v>897.89</v>
      </c>
      <c r="T2579" s="41">
        <v>0</v>
      </c>
      <c r="U2579" s="41">
        <v>0</v>
      </c>
      <c r="V2579" s="42" t="s">
        <v>113</v>
      </c>
      <c r="W2579" s="42">
        <v>0</v>
      </c>
      <c r="X2579" s="42">
        <v>0</v>
      </c>
    </row>
    <row r="2580" spans="1:24">
      <c r="A2580" s="27" t="s">
        <v>4754</v>
      </c>
      <c r="B2580" s="28" t="s">
        <v>215</v>
      </c>
      <c r="C2580" s="27" t="s">
        <v>4755</v>
      </c>
      <c r="D2580" s="27" t="s">
        <v>230</v>
      </c>
      <c r="E2580" s="29">
        <v>40543</v>
      </c>
      <c r="F2580" s="27">
        <v>15</v>
      </c>
      <c r="G2580" s="18">
        <v>18903.03</v>
      </c>
      <c r="H2580" s="27">
        <f t="shared" si="80"/>
        <v>0</v>
      </c>
      <c r="I2580" s="18">
        <v>11672.62</v>
      </c>
      <c r="J2580" s="27">
        <v>18903.03</v>
      </c>
      <c r="K2580" s="18">
        <f t="shared" si="81"/>
        <v>0</v>
      </c>
      <c r="L2580" s="27">
        <v>12570.51</v>
      </c>
      <c r="M2580" s="36">
        <v>897.89</v>
      </c>
      <c r="T2580" s="41">
        <v>0</v>
      </c>
      <c r="U2580" s="41">
        <v>0</v>
      </c>
      <c r="V2580" s="42" t="s">
        <v>113</v>
      </c>
      <c r="W2580" s="42">
        <v>0</v>
      </c>
      <c r="X2580" s="42">
        <v>0</v>
      </c>
    </row>
    <row r="2581" spans="1:24">
      <c r="A2581" s="27" t="s">
        <v>4756</v>
      </c>
      <c r="B2581" s="28" t="s">
        <v>215</v>
      </c>
      <c r="C2581" s="27" t="s">
        <v>4757</v>
      </c>
      <c r="D2581" s="27" t="s">
        <v>230</v>
      </c>
      <c r="E2581" s="29">
        <v>40543</v>
      </c>
      <c r="F2581" s="27">
        <v>15</v>
      </c>
      <c r="G2581" s="18">
        <v>18903.03</v>
      </c>
      <c r="H2581" s="27">
        <f t="shared" si="80"/>
        <v>0</v>
      </c>
      <c r="I2581" s="18">
        <v>11672.62</v>
      </c>
      <c r="J2581" s="27">
        <v>18903.03</v>
      </c>
      <c r="K2581" s="18">
        <f t="shared" si="81"/>
        <v>0</v>
      </c>
      <c r="L2581" s="27">
        <v>12570.51</v>
      </c>
      <c r="M2581" s="36">
        <v>897.89</v>
      </c>
      <c r="T2581" s="41">
        <v>0</v>
      </c>
      <c r="U2581" s="41">
        <v>0</v>
      </c>
      <c r="V2581" s="42" t="s">
        <v>113</v>
      </c>
      <c r="W2581" s="42">
        <v>0</v>
      </c>
      <c r="X2581" s="42">
        <v>0</v>
      </c>
    </row>
    <row r="2582" spans="1:24">
      <c r="A2582" s="27" t="s">
        <v>4758</v>
      </c>
      <c r="B2582" s="28" t="s">
        <v>215</v>
      </c>
      <c r="C2582" s="27" t="s">
        <v>4759</v>
      </c>
      <c r="D2582" s="27" t="s">
        <v>230</v>
      </c>
      <c r="E2582" s="29">
        <v>40543</v>
      </c>
      <c r="F2582" s="27">
        <v>15</v>
      </c>
      <c r="G2582" s="18">
        <v>18903.03</v>
      </c>
      <c r="H2582" s="27">
        <f t="shared" si="80"/>
        <v>0</v>
      </c>
      <c r="I2582" s="18">
        <v>11672.62</v>
      </c>
      <c r="J2582" s="27">
        <v>18903.03</v>
      </c>
      <c r="K2582" s="18">
        <f t="shared" si="81"/>
        <v>0</v>
      </c>
      <c r="L2582" s="27">
        <v>12570.51</v>
      </c>
      <c r="M2582" s="36">
        <v>897.89</v>
      </c>
      <c r="T2582" s="41">
        <v>0</v>
      </c>
      <c r="U2582" s="41">
        <v>0</v>
      </c>
      <c r="V2582" s="42" t="s">
        <v>113</v>
      </c>
      <c r="W2582" s="42">
        <v>0</v>
      </c>
      <c r="X2582" s="42">
        <v>0</v>
      </c>
    </row>
    <row r="2583" spans="1:24">
      <c r="A2583" s="27" t="s">
        <v>4760</v>
      </c>
      <c r="B2583" s="28" t="s">
        <v>215</v>
      </c>
      <c r="C2583" s="27" t="s">
        <v>4761</v>
      </c>
      <c r="D2583" s="27" t="s">
        <v>230</v>
      </c>
      <c r="E2583" s="29">
        <v>40543</v>
      </c>
      <c r="F2583" s="27">
        <v>15</v>
      </c>
      <c r="G2583" s="18">
        <v>18903.03</v>
      </c>
      <c r="H2583" s="27">
        <f t="shared" si="80"/>
        <v>0</v>
      </c>
      <c r="I2583" s="18">
        <v>11672.62</v>
      </c>
      <c r="J2583" s="27">
        <v>18903.03</v>
      </c>
      <c r="K2583" s="18">
        <f t="shared" si="81"/>
        <v>0</v>
      </c>
      <c r="L2583" s="27">
        <v>12570.51</v>
      </c>
      <c r="M2583" s="36">
        <v>897.89</v>
      </c>
      <c r="T2583" s="41">
        <v>0</v>
      </c>
      <c r="U2583" s="41">
        <v>0</v>
      </c>
      <c r="V2583" s="42" t="s">
        <v>113</v>
      </c>
      <c r="W2583" s="42">
        <v>0</v>
      </c>
      <c r="X2583" s="42">
        <v>0</v>
      </c>
    </row>
    <row r="2584" spans="1:24">
      <c r="A2584" s="27" t="s">
        <v>4762</v>
      </c>
      <c r="B2584" s="28" t="s">
        <v>215</v>
      </c>
      <c r="C2584" s="27" t="s">
        <v>4763</v>
      </c>
      <c r="D2584" s="27" t="s">
        <v>230</v>
      </c>
      <c r="E2584" s="29">
        <v>40543</v>
      </c>
      <c r="F2584" s="27">
        <v>15</v>
      </c>
      <c r="G2584" s="18">
        <v>18903.03</v>
      </c>
      <c r="H2584" s="27">
        <f t="shared" si="80"/>
        <v>0</v>
      </c>
      <c r="I2584" s="18">
        <v>11672.62</v>
      </c>
      <c r="J2584" s="27">
        <v>18903.03</v>
      </c>
      <c r="K2584" s="18">
        <f t="shared" si="81"/>
        <v>0</v>
      </c>
      <c r="L2584" s="27">
        <v>12570.51</v>
      </c>
      <c r="M2584" s="36">
        <v>897.89</v>
      </c>
      <c r="T2584" s="41">
        <v>0</v>
      </c>
      <c r="U2584" s="41">
        <v>0</v>
      </c>
      <c r="V2584" s="42" t="s">
        <v>113</v>
      </c>
      <c r="W2584" s="42">
        <v>0</v>
      </c>
      <c r="X2584" s="42">
        <v>0</v>
      </c>
    </row>
    <row r="2585" spans="1:24">
      <c r="A2585" s="27" t="s">
        <v>4764</v>
      </c>
      <c r="B2585" s="28" t="s">
        <v>215</v>
      </c>
      <c r="C2585" s="27" t="s">
        <v>1050</v>
      </c>
      <c r="D2585" s="27" t="s">
        <v>230</v>
      </c>
      <c r="E2585" s="29">
        <v>40268</v>
      </c>
      <c r="F2585" s="27">
        <v>15</v>
      </c>
      <c r="G2585" s="18">
        <v>98617.03</v>
      </c>
      <c r="H2585" s="27">
        <f t="shared" si="80"/>
        <v>0</v>
      </c>
      <c r="I2585" s="18">
        <v>91509.25</v>
      </c>
      <c r="J2585" s="27">
        <v>98617.03</v>
      </c>
      <c r="K2585" s="18">
        <f t="shared" si="81"/>
        <v>0</v>
      </c>
      <c r="L2585" s="27">
        <v>91857.56</v>
      </c>
      <c r="M2585" s="36">
        <v>348.31</v>
      </c>
      <c r="T2585" s="41">
        <v>0</v>
      </c>
      <c r="U2585" s="41">
        <v>0</v>
      </c>
      <c r="V2585" s="42" t="s">
        <v>113</v>
      </c>
      <c r="W2585" s="42">
        <v>0</v>
      </c>
      <c r="X2585" s="42">
        <v>0</v>
      </c>
    </row>
    <row r="2586" spans="1:24">
      <c r="A2586" s="27" t="s">
        <v>4765</v>
      </c>
      <c r="B2586" s="28" t="s">
        <v>215</v>
      </c>
      <c r="C2586" s="27" t="s">
        <v>4766</v>
      </c>
      <c r="D2586" s="27" t="s">
        <v>230</v>
      </c>
      <c r="E2586" s="29">
        <v>40543</v>
      </c>
      <c r="F2586" s="27">
        <v>15</v>
      </c>
      <c r="G2586" s="18">
        <v>18903.03</v>
      </c>
      <c r="H2586" s="27">
        <f t="shared" si="80"/>
        <v>0</v>
      </c>
      <c r="I2586" s="18">
        <v>11672.62</v>
      </c>
      <c r="J2586" s="27">
        <v>18903.03</v>
      </c>
      <c r="K2586" s="18">
        <f t="shared" si="81"/>
        <v>0</v>
      </c>
      <c r="L2586" s="27">
        <v>12570.51</v>
      </c>
      <c r="M2586" s="36">
        <v>897.89</v>
      </c>
      <c r="T2586" s="41">
        <v>0</v>
      </c>
      <c r="U2586" s="41">
        <v>0</v>
      </c>
      <c r="V2586" s="42" t="s">
        <v>113</v>
      </c>
      <c r="W2586" s="42">
        <v>0</v>
      </c>
      <c r="X2586" s="42">
        <v>0</v>
      </c>
    </row>
    <row r="2587" spans="1:24">
      <c r="A2587" s="27" t="s">
        <v>4767</v>
      </c>
      <c r="B2587" s="28" t="s">
        <v>215</v>
      </c>
      <c r="C2587" s="27" t="s">
        <v>4755</v>
      </c>
      <c r="D2587" s="27" t="s">
        <v>230</v>
      </c>
      <c r="E2587" s="29">
        <v>39417</v>
      </c>
      <c r="F2587" s="27">
        <v>15</v>
      </c>
      <c r="G2587" s="18">
        <v>10710</v>
      </c>
      <c r="H2587" s="27">
        <f t="shared" si="80"/>
        <v>0</v>
      </c>
      <c r="I2587" s="18">
        <v>8607.0499999999993</v>
      </c>
      <c r="J2587" s="27">
        <v>10710</v>
      </c>
      <c r="K2587" s="18">
        <f t="shared" si="81"/>
        <v>0</v>
      </c>
      <c r="L2587" s="27">
        <v>8998.91</v>
      </c>
      <c r="M2587" s="36">
        <v>391.86</v>
      </c>
      <c r="T2587" s="41">
        <v>0</v>
      </c>
      <c r="U2587" s="41">
        <v>0</v>
      </c>
      <c r="V2587" s="42" t="s">
        <v>113</v>
      </c>
      <c r="W2587" s="42">
        <v>0</v>
      </c>
      <c r="X2587" s="42">
        <v>0</v>
      </c>
    </row>
    <row r="2588" spans="1:24">
      <c r="A2588" s="27" t="s">
        <v>4768</v>
      </c>
      <c r="B2588" s="28" t="s">
        <v>215</v>
      </c>
      <c r="C2588" s="27" t="s">
        <v>4769</v>
      </c>
      <c r="D2588" s="27" t="s">
        <v>230</v>
      </c>
      <c r="E2588" s="29">
        <v>40171</v>
      </c>
      <c r="F2588" s="27">
        <v>15</v>
      </c>
      <c r="G2588" s="18">
        <v>18000</v>
      </c>
      <c r="H2588" s="27">
        <f t="shared" si="80"/>
        <v>18000</v>
      </c>
      <c r="I2588" s="18">
        <v>17100</v>
      </c>
      <c r="J2588" s="27">
        <v>18000</v>
      </c>
      <c r="K2588" s="18">
        <f t="shared" si="81"/>
        <v>18000</v>
      </c>
      <c r="L2588" s="27">
        <v>17100</v>
      </c>
      <c r="M2588" s="36">
        <v>0</v>
      </c>
      <c r="T2588" s="41">
        <v>0</v>
      </c>
      <c r="U2588" s="41">
        <v>0</v>
      </c>
      <c r="V2588" s="42" t="s">
        <v>113</v>
      </c>
      <c r="W2588" s="42">
        <v>18000</v>
      </c>
      <c r="X2588" s="42">
        <v>18000</v>
      </c>
    </row>
    <row r="2589" spans="1:24">
      <c r="A2589" s="27" t="s">
        <v>4770</v>
      </c>
      <c r="B2589" s="28" t="s">
        <v>215</v>
      </c>
      <c r="C2589" s="27" t="s">
        <v>4771</v>
      </c>
      <c r="D2589" s="27" t="s">
        <v>230</v>
      </c>
      <c r="E2589" s="29">
        <v>40171</v>
      </c>
      <c r="F2589" s="27">
        <v>15</v>
      </c>
      <c r="G2589" s="18">
        <v>18000</v>
      </c>
      <c r="H2589" s="27">
        <f t="shared" si="80"/>
        <v>18000</v>
      </c>
      <c r="I2589" s="18">
        <v>17100</v>
      </c>
      <c r="J2589" s="27">
        <v>18000</v>
      </c>
      <c r="K2589" s="18">
        <f t="shared" si="81"/>
        <v>18000</v>
      </c>
      <c r="L2589" s="27">
        <v>17100</v>
      </c>
      <c r="M2589" s="36">
        <v>0</v>
      </c>
      <c r="T2589" s="41">
        <v>0</v>
      </c>
      <c r="U2589" s="41">
        <v>0</v>
      </c>
      <c r="V2589" s="42" t="s">
        <v>113</v>
      </c>
      <c r="W2589" s="42">
        <v>18000</v>
      </c>
      <c r="X2589" s="42">
        <v>18000</v>
      </c>
    </row>
    <row r="2590" spans="1:24">
      <c r="A2590" s="27" t="s">
        <v>4772</v>
      </c>
      <c r="B2590" s="28" t="s">
        <v>215</v>
      </c>
      <c r="C2590" s="27" t="s">
        <v>4753</v>
      </c>
      <c r="D2590" s="27" t="s">
        <v>230</v>
      </c>
      <c r="E2590" s="29">
        <v>39417</v>
      </c>
      <c r="F2590" s="27">
        <v>15</v>
      </c>
      <c r="G2590" s="18">
        <v>90000</v>
      </c>
      <c r="H2590" s="27">
        <f t="shared" si="80"/>
        <v>0</v>
      </c>
      <c r="I2590" s="18">
        <v>72328.13</v>
      </c>
      <c r="J2590" s="27">
        <v>90000</v>
      </c>
      <c r="K2590" s="18">
        <f t="shared" si="81"/>
        <v>0</v>
      </c>
      <c r="L2590" s="27">
        <v>75621.100000000006</v>
      </c>
      <c r="M2590" s="36">
        <v>3292.97</v>
      </c>
      <c r="T2590" s="41">
        <v>0</v>
      </c>
      <c r="U2590" s="41">
        <v>0</v>
      </c>
      <c r="V2590" s="42" t="s">
        <v>113</v>
      </c>
      <c r="W2590" s="42">
        <v>0</v>
      </c>
      <c r="X2590" s="42">
        <v>0</v>
      </c>
    </row>
    <row r="2591" spans="1:24">
      <c r="A2591" s="27" t="s">
        <v>4773</v>
      </c>
      <c r="B2591" s="28" t="s">
        <v>215</v>
      </c>
      <c r="C2591" s="27" t="s">
        <v>4757</v>
      </c>
      <c r="D2591" s="27" t="s">
        <v>230</v>
      </c>
      <c r="E2591" s="29">
        <v>40171</v>
      </c>
      <c r="F2591" s="27">
        <v>15</v>
      </c>
      <c r="G2591" s="18">
        <v>18000</v>
      </c>
      <c r="H2591" s="27">
        <f t="shared" si="80"/>
        <v>18000</v>
      </c>
      <c r="I2591" s="18">
        <v>17100</v>
      </c>
      <c r="J2591" s="27">
        <v>18000</v>
      </c>
      <c r="K2591" s="18">
        <f t="shared" si="81"/>
        <v>18000</v>
      </c>
      <c r="L2591" s="27">
        <v>17100</v>
      </c>
      <c r="M2591" s="36">
        <v>0</v>
      </c>
      <c r="T2591" s="41">
        <v>0</v>
      </c>
      <c r="U2591" s="41">
        <v>0</v>
      </c>
      <c r="V2591" s="42" t="s">
        <v>113</v>
      </c>
      <c r="W2591" s="42">
        <v>18000</v>
      </c>
      <c r="X2591" s="42">
        <v>18000</v>
      </c>
    </row>
    <row r="2592" spans="1:24">
      <c r="A2592" s="27" t="s">
        <v>4774</v>
      </c>
      <c r="B2592" s="28" t="s">
        <v>215</v>
      </c>
      <c r="C2592" s="27" t="s">
        <v>4766</v>
      </c>
      <c r="D2592" s="27" t="s">
        <v>230</v>
      </c>
      <c r="E2592" s="29">
        <v>40171</v>
      </c>
      <c r="F2592" s="27">
        <v>15</v>
      </c>
      <c r="G2592" s="18">
        <v>18000</v>
      </c>
      <c r="H2592" s="27">
        <f t="shared" si="80"/>
        <v>18000</v>
      </c>
      <c r="I2592" s="18">
        <v>17100</v>
      </c>
      <c r="J2592" s="27">
        <v>18000</v>
      </c>
      <c r="K2592" s="18">
        <f t="shared" si="81"/>
        <v>18000</v>
      </c>
      <c r="L2592" s="27">
        <v>17100</v>
      </c>
      <c r="M2592" s="36">
        <v>0</v>
      </c>
      <c r="T2592" s="41">
        <v>0</v>
      </c>
      <c r="U2592" s="41">
        <v>0</v>
      </c>
      <c r="V2592" s="42" t="s">
        <v>113</v>
      </c>
      <c r="W2592" s="42">
        <v>18000</v>
      </c>
      <c r="X2592" s="42">
        <v>18000</v>
      </c>
    </row>
    <row r="2593" spans="1:24">
      <c r="A2593" s="27" t="s">
        <v>4775</v>
      </c>
      <c r="B2593" s="28" t="s">
        <v>215</v>
      </c>
      <c r="C2593" s="27" t="s">
        <v>1050</v>
      </c>
      <c r="D2593" s="27" t="s">
        <v>230</v>
      </c>
      <c r="E2593" s="29">
        <v>40165</v>
      </c>
      <c r="F2593" s="27">
        <v>15</v>
      </c>
      <c r="G2593" s="18">
        <v>12135.47</v>
      </c>
      <c r="H2593" s="27">
        <f t="shared" si="80"/>
        <v>12135.47</v>
      </c>
      <c r="I2593" s="18">
        <v>11528.7</v>
      </c>
      <c r="J2593" s="27">
        <v>12135.47</v>
      </c>
      <c r="K2593" s="18">
        <f t="shared" si="81"/>
        <v>12135.47</v>
      </c>
      <c r="L2593" s="27">
        <v>11528.7</v>
      </c>
      <c r="M2593" s="36">
        <v>0</v>
      </c>
      <c r="T2593" s="41">
        <v>0</v>
      </c>
      <c r="U2593" s="41">
        <v>0</v>
      </c>
      <c r="V2593" s="42" t="s">
        <v>113</v>
      </c>
      <c r="W2593" s="42">
        <v>12135.47</v>
      </c>
      <c r="X2593" s="42">
        <v>12135.47</v>
      </c>
    </row>
    <row r="2594" spans="1:24">
      <c r="A2594" s="27" t="s">
        <v>4776</v>
      </c>
      <c r="B2594" s="28" t="s">
        <v>215</v>
      </c>
      <c r="C2594" s="27" t="s">
        <v>4777</v>
      </c>
      <c r="D2594" s="27" t="s">
        <v>230</v>
      </c>
      <c r="E2594" s="29">
        <v>40113</v>
      </c>
      <c r="F2594" s="27">
        <v>15</v>
      </c>
      <c r="G2594" s="18">
        <v>18000</v>
      </c>
      <c r="H2594" s="27">
        <f t="shared" si="80"/>
        <v>0</v>
      </c>
      <c r="I2594" s="18">
        <v>14203.62</v>
      </c>
      <c r="J2594" s="27">
        <v>18000</v>
      </c>
      <c r="K2594" s="18">
        <f t="shared" si="81"/>
        <v>0</v>
      </c>
      <c r="L2594" s="27">
        <v>14813.38</v>
      </c>
      <c r="M2594" s="36">
        <v>609.76</v>
      </c>
      <c r="T2594" s="41">
        <v>0</v>
      </c>
      <c r="U2594" s="41">
        <v>0</v>
      </c>
      <c r="V2594" s="42" t="s">
        <v>113</v>
      </c>
      <c r="W2594" s="42">
        <v>0</v>
      </c>
      <c r="X2594" s="42">
        <v>0</v>
      </c>
    </row>
    <row r="2595" spans="1:24">
      <c r="A2595" s="27" t="s">
        <v>4778</v>
      </c>
      <c r="B2595" s="28" t="s">
        <v>215</v>
      </c>
      <c r="C2595" s="27" t="s">
        <v>4779</v>
      </c>
      <c r="D2595" s="27" t="s">
        <v>230</v>
      </c>
      <c r="E2595" s="29">
        <v>40113</v>
      </c>
      <c r="F2595" s="27">
        <v>15</v>
      </c>
      <c r="G2595" s="18">
        <v>18000</v>
      </c>
      <c r="H2595" s="27">
        <f t="shared" si="80"/>
        <v>0</v>
      </c>
      <c r="I2595" s="18">
        <v>14204.4</v>
      </c>
      <c r="J2595" s="27">
        <v>18000</v>
      </c>
      <c r="K2595" s="18">
        <f t="shared" si="81"/>
        <v>0</v>
      </c>
      <c r="L2595" s="27">
        <v>14814</v>
      </c>
      <c r="M2595" s="36">
        <v>609.6</v>
      </c>
      <c r="T2595" s="41">
        <v>0</v>
      </c>
      <c r="U2595" s="41">
        <v>0</v>
      </c>
      <c r="V2595" s="42" t="s">
        <v>113</v>
      </c>
      <c r="W2595" s="42">
        <v>0</v>
      </c>
      <c r="X2595" s="42">
        <v>0</v>
      </c>
    </row>
    <row r="2596" spans="1:24">
      <c r="A2596" s="27" t="s">
        <v>4780</v>
      </c>
      <c r="B2596" s="28" t="s">
        <v>215</v>
      </c>
      <c r="C2596" s="27" t="s">
        <v>4781</v>
      </c>
      <c r="D2596" s="27" t="s">
        <v>230</v>
      </c>
      <c r="E2596" s="29">
        <v>40113</v>
      </c>
      <c r="F2596" s="27">
        <v>15</v>
      </c>
      <c r="G2596" s="18">
        <v>18000</v>
      </c>
      <c r="H2596" s="27">
        <f t="shared" si="80"/>
        <v>0</v>
      </c>
      <c r="I2596" s="18">
        <v>14207.63</v>
      </c>
      <c r="J2596" s="27">
        <v>18000</v>
      </c>
      <c r="K2596" s="18">
        <f t="shared" si="81"/>
        <v>0</v>
      </c>
      <c r="L2596" s="27">
        <v>14816.55</v>
      </c>
      <c r="M2596" s="36">
        <v>608.91999999999996</v>
      </c>
      <c r="T2596" s="41">
        <v>0</v>
      </c>
      <c r="U2596" s="41">
        <v>0</v>
      </c>
      <c r="V2596" s="42" t="s">
        <v>113</v>
      </c>
      <c r="W2596" s="42">
        <v>0</v>
      </c>
      <c r="X2596" s="42">
        <v>0</v>
      </c>
    </row>
    <row r="2597" spans="1:24">
      <c r="A2597" s="27" t="s">
        <v>4782</v>
      </c>
      <c r="B2597" s="28" t="s">
        <v>215</v>
      </c>
      <c r="C2597" s="27" t="s">
        <v>4783</v>
      </c>
      <c r="D2597" s="27" t="s">
        <v>230</v>
      </c>
      <c r="E2597" s="29">
        <v>41272</v>
      </c>
      <c r="F2597" s="27">
        <v>15</v>
      </c>
      <c r="G2597" s="18">
        <v>10015.5</v>
      </c>
      <c r="H2597" s="27">
        <f t="shared" si="80"/>
        <v>10015.5</v>
      </c>
      <c r="I2597" s="18">
        <v>10015.5</v>
      </c>
      <c r="J2597" s="27">
        <v>10015.5</v>
      </c>
      <c r="K2597" s="18">
        <f t="shared" si="81"/>
        <v>10015.5</v>
      </c>
      <c r="L2597" s="27">
        <v>9514.7199999999993</v>
      </c>
      <c r="M2597" s="36">
        <v>-500.78</v>
      </c>
      <c r="T2597" s="41">
        <v>0</v>
      </c>
      <c r="U2597" s="41">
        <v>0</v>
      </c>
      <c r="V2597" s="42" t="s">
        <v>113</v>
      </c>
      <c r="W2597" s="42">
        <v>10015.5</v>
      </c>
      <c r="X2597" s="42">
        <v>10015.5</v>
      </c>
    </row>
    <row r="2598" spans="1:24">
      <c r="A2598" s="27" t="s">
        <v>4784</v>
      </c>
      <c r="B2598" s="28" t="s">
        <v>215</v>
      </c>
      <c r="C2598" s="27" t="s">
        <v>4785</v>
      </c>
      <c r="D2598" s="27" t="s">
        <v>230</v>
      </c>
      <c r="E2598" s="29">
        <v>41272</v>
      </c>
      <c r="F2598" s="27">
        <v>15</v>
      </c>
      <c r="G2598" s="18">
        <v>10015.5</v>
      </c>
      <c r="H2598" s="27">
        <f t="shared" si="80"/>
        <v>10015.5</v>
      </c>
      <c r="I2598" s="18">
        <v>10015.5</v>
      </c>
      <c r="J2598" s="27">
        <v>10015.5</v>
      </c>
      <c r="K2598" s="18">
        <f t="shared" si="81"/>
        <v>10015.5</v>
      </c>
      <c r="L2598" s="27">
        <v>9514.7199999999993</v>
      </c>
      <c r="M2598" s="36">
        <v>-500.78</v>
      </c>
      <c r="T2598" s="41">
        <v>0</v>
      </c>
      <c r="U2598" s="41">
        <v>0</v>
      </c>
      <c r="V2598" s="42" t="s">
        <v>113</v>
      </c>
      <c r="W2598" s="42">
        <v>10015.5</v>
      </c>
      <c r="X2598" s="42">
        <v>10015.5</v>
      </c>
    </row>
    <row r="2599" spans="1:24">
      <c r="A2599" s="27" t="s">
        <v>4786</v>
      </c>
      <c r="B2599" s="28" t="s">
        <v>215</v>
      </c>
      <c r="C2599" s="27" t="s">
        <v>4787</v>
      </c>
      <c r="D2599" s="27" t="s">
        <v>230</v>
      </c>
      <c r="E2599" s="29">
        <v>41272</v>
      </c>
      <c r="F2599" s="27">
        <v>15</v>
      </c>
      <c r="G2599" s="18">
        <v>10015.5</v>
      </c>
      <c r="H2599" s="27">
        <f t="shared" si="80"/>
        <v>10015.5</v>
      </c>
      <c r="I2599" s="18">
        <v>10015.5</v>
      </c>
      <c r="J2599" s="27">
        <v>10015.5</v>
      </c>
      <c r="K2599" s="18">
        <f t="shared" si="81"/>
        <v>10015.5</v>
      </c>
      <c r="L2599" s="27">
        <v>9514.7199999999993</v>
      </c>
      <c r="M2599" s="36">
        <v>-500.78</v>
      </c>
      <c r="T2599" s="41">
        <v>0</v>
      </c>
      <c r="U2599" s="41">
        <v>0</v>
      </c>
      <c r="V2599" s="42" t="s">
        <v>113</v>
      </c>
      <c r="W2599" s="42">
        <v>10015.5</v>
      </c>
      <c r="X2599" s="42">
        <v>10015.5</v>
      </c>
    </row>
    <row r="2600" spans="1:24">
      <c r="A2600" s="27" t="s">
        <v>4788</v>
      </c>
      <c r="B2600" s="28" t="s">
        <v>215</v>
      </c>
      <c r="C2600" s="27" t="s">
        <v>4769</v>
      </c>
      <c r="D2600" s="27" t="s">
        <v>230</v>
      </c>
      <c r="E2600" s="29">
        <v>41272</v>
      </c>
      <c r="F2600" s="27">
        <v>15</v>
      </c>
      <c r="G2600" s="18">
        <v>9954.7999999999993</v>
      </c>
      <c r="H2600" s="27">
        <f t="shared" si="80"/>
        <v>9954.7999999999993</v>
      </c>
      <c r="I2600" s="18">
        <v>9954.7999999999993</v>
      </c>
      <c r="J2600" s="27">
        <v>9954.7999999999993</v>
      </c>
      <c r="K2600" s="18">
        <f t="shared" si="81"/>
        <v>9954.7999999999993</v>
      </c>
      <c r="L2600" s="27">
        <v>9457.06</v>
      </c>
      <c r="M2600" s="36">
        <v>-497.74</v>
      </c>
      <c r="T2600" s="41">
        <v>0</v>
      </c>
      <c r="U2600" s="41">
        <v>0</v>
      </c>
      <c r="V2600" s="42" t="s">
        <v>113</v>
      </c>
      <c r="W2600" s="42">
        <v>9954.7999999999993</v>
      </c>
      <c r="X2600" s="42">
        <v>9954.7999999999993</v>
      </c>
    </row>
    <row r="2601" spans="1:24">
      <c r="A2601" s="27" t="s">
        <v>4789</v>
      </c>
      <c r="B2601" s="28" t="s">
        <v>215</v>
      </c>
      <c r="C2601" s="27" t="s">
        <v>4790</v>
      </c>
      <c r="D2601" s="27" t="s">
        <v>230</v>
      </c>
      <c r="E2601" s="29">
        <v>41272</v>
      </c>
      <c r="F2601" s="27">
        <v>15</v>
      </c>
      <c r="G2601" s="18">
        <v>10015.5</v>
      </c>
      <c r="H2601" s="27">
        <f t="shared" si="80"/>
        <v>10015.5</v>
      </c>
      <c r="I2601" s="18">
        <v>10015.5</v>
      </c>
      <c r="J2601" s="27">
        <v>10015.5</v>
      </c>
      <c r="K2601" s="18">
        <f t="shared" si="81"/>
        <v>10015.5</v>
      </c>
      <c r="L2601" s="27">
        <v>9514.7199999999993</v>
      </c>
      <c r="M2601" s="36">
        <v>-500.78</v>
      </c>
      <c r="T2601" s="41">
        <v>0</v>
      </c>
      <c r="U2601" s="41">
        <v>0</v>
      </c>
      <c r="V2601" s="42" t="s">
        <v>113</v>
      </c>
      <c r="W2601" s="42">
        <v>10015.5</v>
      </c>
      <c r="X2601" s="42">
        <v>10015.5</v>
      </c>
    </row>
    <row r="2602" spans="1:24">
      <c r="A2602" s="27" t="s">
        <v>4791</v>
      </c>
      <c r="B2602" s="28" t="s">
        <v>215</v>
      </c>
      <c r="C2602" s="27" t="s">
        <v>4792</v>
      </c>
      <c r="D2602" s="27" t="s">
        <v>230</v>
      </c>
      <c r="E2602" s="29">
        <v>40268</v>
      </c>
      <c r="F2602" s="27">
        <v>15</v>
      </c>
      <c r="G2602" s="18">
        <v>16089.76</v>
      </c>
      <c r="H2602" s="27">
        <f t="shared" si="80"/>
        <v>0</v>
      </c>
      <c r="I2602" s="18">
        <v>10895.92</v>
      </c>
      <c r="J2602" s="27">
        <v>16089.76</v>
      </c>
      <c r="K2602" s="18">
        <f t="shared" si="81"/>
        <v>0</v>
      </c>
      <c r="L2602" s="27">
        <v>11598.22</v>
      </c>
      <c r="M2602" s="36">
        <v>702.3</v>
      </c>
      <c r="T2602" s="41">
        <v>0</v>
      </c>
      <c r="U2602" s="41">
        <v>0</v>
      </c>
      <c r="V2602" s="42" t="s">
        <v>113</v>
      </c>
      <c r="W2602" s="42">
        <v>0</v>
      </c>
      <c r="X2602" s="42">
        <v>0</v>
      </c>
    </row>
    <row r="2603" spans="1:24">
      <c r="A2603" s="27" t="s">
        <v>4793</v>
      </c>
      <c r="B2603" s="28" t="s">
        <v>215</v>
      </c>
      <c r="C2603" s="27" t="s">
        <v>4794</v>
      </c>
      <c r="D2603" s="27" t="s">
        <v>230</v>
      </c>
      <c r="E2603" s="29">
        <v>41272</v>
      </c>
      <c r="F2603" s="27">
        <v>15</v>
      </c>
      <c r="G2603" s="18">
        <v>35403.47</v>
      </c>
      <c r="H2603" s="27">
        <f t="shared" si="80"/>
        <v>35403.47</v>
      </c>
      <c r="I2603" s="18">
        <v>35403.47</v>
      </c>
      <c r="J2603" s="27">
        <v>35403.47</v>
      </c>
      <c r="K2603" s="18">
        <f t="shared" si="81"/>
        <v>35403.47</v>
      </c>
      <c r="L2603" s="27">
        <v>33633.300000000003</v>
      </c>
      <c r="M2603" s="36">
        <v>-1770.17</v>
      </c>
      <c r="T2603" s="41">
        <v>0</v>
      </c>
      <c r="U2603" s="41">
        <v>0</v>
      </c>
      <c r="V2603" s="42" t="s">
        <v>113</v>
      </c>
      <c r="W2603" s="42">
        <v>35403.47</v>
      </c>
      <c r="X2603" s="42">
        <v>35403.47</v>
      </c>
    </row>
    <row r="2604" spans="1:24">
      <c r="A2604" s="27" t="s">
        <v>4795</v>
      </c>
      <c r="B2604" s="28" t="s">
        <v>215</v>
      </c>
      <c r="C2604" s="27" t="s">
        <v>4796</v>
      </c>
      <c r="D2604" s="27" t="s">
        <v>230</v>
      </c>
      <c r="E2604" s="29">
        <v>41272</v>
      </c>
      <c r="F2604" s="27">
        <v>15</v>
      </c>
      <c r="G2604" s="18">
        <v>35403.47</v>
      </c>
      <c r="H2604" s="27">
        <f t="shared" si="80"/>
        <v>35403.47</v>
      </c>
      <c r="I2604" s="18">
        <v>35403.47</v>
      </c>
      <c r="J2604" s="27">
        <v>35403.47</v>
      </c>
      <c r="K2604" s="18">
        <f t="shared" si="81"/>
        <v>35403.47</v>
      </c>
      <c r="L2604" s="27">
        <v>33633.300000000003</v>
      </c>
      <c r="M2604" s="36">
        <v>-1770.17</v>
      </c>
      <c r="T2604" s="41">
        <v>0</v>
      </c>
      <c r="U2604" s="41">
        <v>0</v>
      </c>
      <c r="V2604" s="42" t="s">
        <v>113</v>
      </c>
      <c r="W2604" s="42">
        <v>35403.47</v>
      </c>
      <c r="X2604" s="42">
        <v>35403.47</v>
      </c>
    </row>
    <row r="2605" spans="1:24">
      <c r="A2605" s="27" t="s">
        <v>4797</v>
      </c>
      <c r="B2605" s="28" t="s">
        <v>215</v>
      </c>
      <c r="C2605" s="27" t="s">
        <v>1239</v>
      </c>
      <c r="D2605" s="27" t="s">
        <v>230</v>
      </c>
      <c r="E2605" s="29">
        <v>41272</v>
      </c>
      <c r="F2605" s="27">
        <v>15</v>
      </c>
      <c r="G2605" s="18">
        <v>35403.47</v>
      </c>
      <c r="H2605" s="27">
        <f t="shared" si="80"/>
        <v>35403.47</v>
      </c>
      <c r="I2605" s="18">
        <v>35403.47</v>
      </c>
      <c r="J2605" s="27">
        <v>35403.47</v>
      </c>
      <c r="K2605" s="18">
        <f t="shared" si="81"/>
        <v>35403.47</v>
      </c>
      <c r="L2605" s="27">
        <v>33633.300000000003</v>
      </c>
      <c r="M2605" s="36">
        <v>-1770.17</v>
      </c>
      <c r="T2605" s="41">
        <v>0</v>
      </c>
      <c r="U2605" s="41">
        <v>0</v>
      </c>
      <c r="V2605" s="42" t="s">
        <v>113</v>
      </c>
      <c r="W2605" s="42">
        <v>35403.47</v>
      </c>
      <c r="X2605" s="42">
        <v>35403.47</v>
      </c>
    </row>
    <row r="2606" spans="1:24">
      <c r="A2606" s="27" t="s">
        <v>4798</v>
      </c>
      <c r="B2606" s="28" t="s">
        <v>215</v>
      </c>
      <c r="C2606" s="27" t="s">
        <v>4799</v>
      </c>
      <c r="D2606" s="27" t="s">
        <v>230</v>
      </c>
      <c r="E2606" s="29">
        <v>41272</v>
      </c>
      <c r="F2606" s="27">
        <v>15</v>
      </c>
      <c r="G2606" s="18">
        <v>35403.440000000002</v>
      </c>
      <c r="H2606" s="27">
        <f t="shared" si="80"/>
        <v>35403.440000000002</v>
      </c>
      <c r="I2606" s="18">
        <v>35403.440000000002</v>
      </c>
      <c r="J2606" s="27">
        <v>35403.440000000002</v>
      </c>
      <c r="K2606" s="18">
        <f t="shared" si="81"/>
        <v>35403.440000000002</v>
      </c>
      <c r="L2606" s="27">
        <v>33633.269999999997</v>
      </c>
      <c r="M2606" s="36">
        <v>-1770.17</v>
      </c>
      <c r="T2606" s="41">
        <v>0</v>
      </c>
      <c r="U2606" s="41">
        <v>0</v>
      </c>
      <c r="V2606" s="42" t="s">
        <v>113</v>
      </c>
      <c r="W2606" s="42">
        <v>35403.440000000002</v>
      </c>
      <c r="X2606" s="42">
        <v>35403.440000000002</v>
      </c>
    </row>
    <row r="2607" spans="1:24">
      <c r="A2607" s="27" t="s">
        <v>4800</v>
      </c>
      <c r="B2607" s="28" t="s">
        <v>215</v>
      </c>
      <c r="C2607" s="27" t="s">
        <v>4801</v>
      </c>
      <c r="D2607" s="27" t="s">
        <v>112</v>
      </c>
      <c r="E2607" s="29">
        <v>37408</v>
      </c>
      <c r="F2607" s="27">
        <v>15</v>
      </c>
      <c r="G2607" s="18">
        <v>69666.240000000005</v>
      </c>
      <c r="H2607" s="27">
        <f t="shared" si="80"/>
        <v>69666.240000000005</v>
      </c>
      <c r="I2607" s="18">
        <v>66182.929999999993</v>
      </c>
      <c r="J2607" s="27">
        <v>69666.240000000005</v>
      </c>
      <c r="K2607" s="18">
        <f t="shared" si="81"/>
        <v>69666.240000000005</v>
      </c>
      <c r="L2607" s="27">
        <v>66182.929999999993</v>
      </c>
      <c r="M2607" s="36">
        <v>0</v>
      </c>
      <c r="T2607" s="41">
        <v>0</v>
      </c>
      <c r="U2607" s="41">
        <v>0</v>
      </c>
      <c r="V2607" s="42" t="s">
        <v>113</v>
      </c>
      <c r="W2607" s="42">
        <v>69666.240000000005</v>
      </c>
      <c r="X2607" s="42">
        <v>69666.240000000005</v>
      </c>
    </row>
    <row r="2608" spans="1:24">
      <c r="A2608" s="27" t="s">
        <v>4802</v>
      </c>
      <c r="B2608" s="28" t="s">
        <v>215</v>
      </c>
      <c r="C2608" s="27" t="s">
        <v>4803</v>
      </c>
      <c r="D2608" s="27" t="s">
        <v>230</v>
      </c>
      <c r="E2608" s="29">
        <v>37408</v>
      </c>
      <c r="F2608" s="27">
        <v>15</v>
      </c>
      <c r="G2608" s="18">
        <v>164616.76</v>
      </c>
      <c r="H2608" s="27">
        <f t="shared" si="80"/>
        <v>164616.76</v>
      </c>
      <c r="I2608" s="18">
        <v>156385.92000000001</v>
      </c>
      <c r="J2608" s="27">
        <v>164616.76</v>
      </c>
      <c r="K2608" s="18">
        <f t="shared" si="81"/>
        <v>164616.76</v>
      </c>
      <c r="L2608" s="27">
        <v>156385.92000000001</v>
      </c>
      <c r="M2608" s="36">
        <v>0</v>
      </c>
      <c r="T2608" s="41">
        <v>0</v>
      </c>
      <c r="U2608" s="41">
        <v>0</v>
      </c>
      <c r="V2608" s="42" t="s">
        <v>113</v>
      </c>
      <c r="W2608" s="42">
        <v>164616.76</v>
      </c>
      <c r="X2608" s="42">
        <v>164616.76</v>
      </c>
    </row>
    <row r="2609" spans="1:24">
      <c r="A2609" s="27" t="s">
        <v>4804</v>
      </c>
      <c r="B2609" s="28" t="s">
        <v>215</v>
      </c>
      <c r="C2609" s="27" t="s">
        <v>4805</v>
      </c>
      <c r="D2609" s="27" t="s">
        <v>112</v>
      </c>
      <c r="E2609" s="29">
        <v>40268</v>
      </c>
      <c r="F2609" s="27">
        <v>12</v>
      </c>
      <c r="G2609" s="18">
        <v>4033.56</v>
      </c>
      <c r="H2609" s="27">
        <f t="shared" si="80"/>
        <v>4033.56</v>
      </c>
      <c r="I2609" s="18">
        <v>4033.56</v>
      </c>
      <c r="J2609" s="27">
        <v>4033.56</v>
      </c>
      <c r="K2609" s="18">
        <f t="shared" si="81"/>
        <v>4033.56</v>
      </c>
      <c r="L2609" s="27">
        <v>4033.56</v>
      </c>
      <c r="M2609" s="36">
        <v>0</v>
      </c>
      <c r="T2609" s="41">
        <v>0</v>
      </c>
      <c r="U2609" s="41">
        <v>0</v>
      </c>
      <c r="V2609" s="42" t="s">
        <v>113</v>
      </c>
      <c r="W2609" s="42">
        <v>4033.56</v>
      </c>
      <c r="X2609" s="42">
        <v>4033.56</v>
      </c>
    </row>
    <row r="2610" spans="1:24">
      <c r="A2610" s="27" t="s">
        <v>4806</v>
      </c>
      <c r="B2610" s="28" t="s">
        <v>215</v>
      </c>
      <c r="C2610" s="27" t="s">
        <v>4807</v>
      </c>
      <c r="D2610" s="27" t="s">
        <v>112</v>
      </c>
      <c r="E2610" s="29">
        <v>40268</v>
      </c>
      <c r="F2610" s="27">
        <v>12</v>
      </c>
      <c r="G2610" s="18">
        <v>4033.55</v>
      </c>
      <c r="H2610" s="27">
        <f t="shared" si="80"/>
        <v>4033.55</v>
      </c>
      <c r="I2610" s="18">
        <v>4033.55</v>
      </c>
      <c r="J2610" s="27">
        <v>4033.55</v>
      </c>
      <c r="K2610" s="18">
        <f t="shared" si="81"/>
        <v>4033.55</v>
      </c>
      <c r="L2610" s="27">
        <v>4033.55</v>
      </c>
      <c r="M2610" s="36">
        <v>0</v>
      </c>
      <c r="T2610" s="41">
        <v>0</v>
      </c>
      <c r="U2610" s="41">
        <v>0</v>
      </c>
      <c r="V2610" s="42" t="s">
        <v>113</v>
      </c>
      <c r="W2610" s="42">
        <v>4033.55</v>
      </c>
      <c r="X2610" s="42">
        <v>4033.55</v>
      </c>
    </row>
    <row r="2611" spans="1:24">
      <c r="A2611" s="27" t="s">
        <v>4808</v>
      </c>
      <c r="B2611" s="28" t="s">
        <v>215</v>
      </c>
      <c r="C2611" s="27" t="s">
        <v>4809</v>
      </c>
      <c r="D2611" s="27" t="s">
        <v>230</v>
      </c>
      <c r="E2611" s="29">
        <v>40268</v>
      </c>
      <c r="F2611" s="27">
        <v>15</v>
      </c>
      <c r="G2611" s="18">
        <v>8483.42</v>
      </c>
      <c r="H2611" s="27">
        <f t="shared" si="80"/>
        <v>0</v>
      </c>
      <c r="I2611" s="18">
        <v>5822.09</v>
      </c>
      <c r="J2611" s="27">
        <v>8483.42</v>
      </c>
      <c r="K2611" s="18">
        <f t="shared" si="81"/>
        <v>0</v>
      </c>
      <c r="L2611" s="27">
        <v>6180.04</v>
      </c>
      <c r="M2611" s="36">
        <v>357.95</v>
      </c>
      <c r="T2611" s="41">
        <v>0</v>
      </c>
      <c r="U2611" s="41">
        <v>0</v>
      </c>
      <c r="V2611" s="42" t="s">
        <v>113</v>
      </c>
      <c r="W2611" s="42">
        <v>0</v>
      </c>
      <c r="X2611" s="42">
        <v>0</v>
      </c>
    </row>
    <row r="2612" spans="1:24">
      <c r="A2612" s="27" t="s">
        <v>4810</v>
      </c>
      <c r="B2612" s="28" t="s">
        <v>215</v>
      </c>
      <c r="C2612" s="27" t="s">
        <v>4811</v>
      </c>
      <c r="D2612" s="27" t="s">
        <v>230</v>
      </c>
      <c r="E2612" s="29">
        <v>40268</v>
      </c>
      <c r="F2612" s="27">
        <v>15</v>
      </c>
      <c r="G2612" s="18">
        <v>8483.42</v>
      </c>
      <c r="H2612" s="27">
        <f t="shared" si="80"/>
        <v>0</v>
      </c>
      <c r="I2612" s="18">
        <v>5822.09</v>
      </c>
      <c r="J2612" s="27">
        <v>8483.42</v>
      </c>
      <c r="K2612" s="18">
        <f t="shared" si="81"/>
        <v>0</v>
      </c>
      <c r="L2612" s="27">
        <v>6180.04</v>
      </c>
      <c r="M2612" s="36">
        <v>357.95</v>
      </c>
      <c r="T2612" s="41">
        <v>0</v>
      </c>
      <c r="U2612" s="41">
        <v>0</v>
      </c>
      <c r="V2612" s="42" t="s">
        <v>113</v>
      </c>
      <c r="W2612" s="42">
        <v>0</v>
      </c>
      <c r="X2612" s="42">
        <v>0</v>
      </c>
    </row>
    <row r="2613" spans="1:24">
      <c r="A2613" s="27" t="s">
        <v>4812</v>
      </c>
      <c r="B2613" s="28" t="s">
        <v>215</v>
      </c>
      <c r="C2613" s="27" t="s">
        <v>4813</v>
      </c>
      <c r="D2613" s="27" t="s">
        <v>230</v>
      </c>
      <c r="E2613" s="29">
        <v>40268</v>
      </c>
      <c r="F2613" s="27">
        <v>15</v>
      </c>
      <c r="G2613" s="18">
        <v>8483.42</v>
      </c>
      <c r="H2613" s="27">
        <f t="shared" si="80"/>
        <v>0</v>
      </c>
      <c r="I2613" s="18">
        <v>5822.09</v>
      </c>
      <c r="J2613" s="27">
        <v>8483.42</v>
      </c>
      <c r="K2613" s="18">
        <f t="shared" si="81"/>
        <v>0</v>
      </c>
      <c r="L2613" s="27">
        <v>6180.04</v>
      </c>
      <c r="M2613" s="36">
        <v>357.95</v>
      </c>
      <c r="T2613" s="41">
        <v>0</v>
      </c>
      <c r="U2613" s="41">
        <v>0</v>
      </c>
      <c r="V2613" s="42" t="s">
        <v>113</v>
      </c>
      <c r="W2613" s="42">
        <v>0</v>
      </c>
      <c r="X2613" s="42">
        <v>0</v>
      </c>
    </row>
    <row r="2614" spans="1:24">
      <c r="A2614" s="27" t="s">
        <v>4814</v>
      </c>
      <c r="B2614" s="28" t="s">
        <v>215</v>
      </c>
      <c r="C2614" s="27" t="s">
        <v>4815</v>
      </c>
      <c r="D2614" s="27" t="s">
        <v>230</v>
      </c>
      <c r="E2614" s="29">
        <v>40268</v>
      </c>
      <c r="F2614" s="27">
        <v>15</v>
      </c>
      <c r="G2614" s="18">
        <v>8483.42</v>
      </c>
      <c r="H2614" s="27">
        <f t="shared" si="80"/>
        <v>0</v>
      </c>
      <c r="I2614" s="18">
        <v>5822.09</v>
      </c>
      <c r="J2614" s="27">
        <v>8483.42</v>
      </c>
      <c r="K2614" s="18">
        <f t="shared" si="81"/>
        <v>0</v>
      </c>
      <c r="L2614" s="27">
        <v>6180.04</v>
      </c>
      <c r="M2614" s="36">
        <v>357.95</v>
      </c>
      <c r="T2614" s="41">
        <v>0</v>
      </c>
      <c r="U2614" s="41">
        <v>0</v>
      </c>
      <c r="V2614" s="42" t="s">
        <v>113</v>
      </c>
      <c r="W2614" s="42">
        <v>0</v>
      </c>
      <c r="X2614" s="42">
        <v>0</v>
      </c>
    </row>
    <row r="2615" spans="1:24">
      <c r="A2615" s="27" t="s">
        <v>4816</v>
      </c>
      <c r="B2615" s="28" t="s">
        <v>215</v>
      </c>
      <c r="C2615" s="27" t="s">
        <v>4817</v>
      </c>
      <c r="D2615" s="27" t="s">
        <v>230</v>
      </c>
      <c r="E2615" s="29">
        <v>40268</v>
      </c>
      <c r="F2615" s="27">
        <v>15</v>
      </c>
      <c r="G2615" s="18">
        <v>8483.42</v>
      </c>
      <c r="H2615" s="27">
        <f t="shared" si="80"/>
        <v>0</v>
      </c>
      <c r="I2615" s="18">
        <v>5822.09</v>
      </c>
      <c r="J2615" s="27">
        <v>8483.42</v>
      </c>
      <c r="K2615" s="18">
        <f t="shared" si="81"/>
        <v>0</v>
      </c>
      <c r="L2615" s="27">
        <v>6180.04</v>
      </c>
      <c r="M2615" s="36">
        <v>357.95</v>
      </c>
      <c r="T2615" s="41">
        <v>0</v>
      </c>
      <c r="U2615" s="41">
        <v>0</v>
      </c>
      <c r="V2615" s="42" t="s">
        <v>113</v>
      </c>
      <c r="W2615" s="42">
        <v>0</v>
      </c>
      <c r="X2615" s="42">
        <v>0</v>
      </c>
    </row>
    <row r="2616" spans="1:24">
      <c r="A2616" s="27" t="s">
        <v>4818</v>
      </c>
      <c r="B2616" s="28" t="s">
        <v>215</v>
      </c>
      <c r="C2616" s="27" t="s">
        <v>4819</v>
      </c>
      <c r="D2616" s="27" t="s">
        <v>230</v>
      </c>
      <c r="E2616" s="29">
        <v>40268</v>
      </c>
      <c r="F2616" s="27">
        <v>15</v>
      </c>
      <c r="G2616" s="18">
        <v>8483.42</v>
      </c>
      <c r="H2616" s="27">
        <f t="shared" si="80"/>
        <v>0</v>
      </c>
      <c r="I2616" s="18">
        <v>5822.09</v>
      </c>
      <c r="J2616" s="27">
        <v>8483.42</v>
      </c>
      <c r="K2616" s="18">
        <f t="shared" si="81"/>
        <v>0</v>
      </c>
      <c r="L2616" s="27">
        <v>6180.04</v>
      </c>
      <c r="M2616" s="36">
        <v>357.95</v>
      </c>
      <c r="T2616" s="41">
        <v>0</v>
      </c>
      <c r="U2616" s="41">
        <v>0</v>
      </c>
      <c r="V2616" s="42" t="s">
        <v>113</v>
      </c>
      <c r="W2616" s="42">
        <v>0</v>
      </c>
      <c r="X2616" s="42">
        <v>0</v>
      </c>
    </row>
    <row r="2617" spans="1:24">
      <c r="A2617" s="27" t="s">
        <v>4820</v>
      </c>
      <c r="B2617" s="28" t="s">
        <v>215</v>
      </c>
      <c r="C2617" s="27" t="s">
        <v>4821</v>
      </c>
      <c r="D2617" s="27" t="s">
        <v>230</v>
      </c>
      <c r="E2617" s="29">
        <v>40268</v>
      </c>
      <c r="F2617" s="27">
        <v>15</v>
      </c>
      <c r="G2617" s="18">
        <v>8483.42</v>
      </c>
      <c r="H2617" s="27">
        <f t="shared" si="80"/>
        <v>0</v>
      </c>
      <c r="I2617" s="18">
        <v>5822.09</v>
      </c>
      <c r="J2617" s="27">
        <v>8483.42</v>
      </c>
      <c r="K2617" s="18">
        <f t="shared" si="81"/>
        <v>0</v>
      </c>
      <c r="L2617" s="27">
        <v>6180.04</v>
      </c>
      <c r="M2617" s="36">
        <v>357.95</v>
      </c>
      <c r="T2617" s="41">
        <v>0</v>
      </c>
      <c r="U2617" s="41">
        <v>0</v>
      </c>
      <c r="V2617" s="42" t="s">
        <v>113</v>
      </c>
      <c r="W2617" s="42">
        <v>0</v>
      </c>
      <c r="X2617" s="42">
        <v>0</v>
      </c>
    </row>
    <row r="2618" spans="1:24">
      <c r="A2618" s="27" t="s">
        <v>4822</v>
      </c>
      <c r="B2618" s="28" t="s">
        <v>215</v>
      </c>
      <c r="C2618" s="27" t="s">
        <v>4823</v>
      </c>
      <c r="D2618" s="27" t="s">
        <v>230</v>
      </c>
      <c r="E2618" s="29">
        <v>40268</v>
      </c>
      <c r="F2618" s="27">
        <v>15</v>
      </c>
      <c r="G2618" s="18">
        <v>8483.42</v>
      </c>
      <c r="H2618" s="27">
        <f t="shared" si="80"/>
        <v>0</v>
      </c>
      <c r="I2618" s="18">
        <v>5822.09</v>
      </c>
      <c r="J2618" s="27">
        <v>8483.42</v>
      </c>
      <c r="K2618" s="18">
        <f t="shared" si="81"/>
        <v>0</v>
      </c>
      <c r="L2618" s="27">
        <v>6180.04</v>
      </c>
      <c r="M2618" s="36">
        <v>357.95</v>
      </c>
      <c r="T2618" s="41">
        <v>0</v>
      </c>
      <c r="U2618" s="41">
        <v>0</v>
      </c>
      <c r="V2618" s="42" t="s">
        <v>113</v>
      </c>
      <c r="W2618" s="42">
        <v>0</v>
      </c>
      <c r="X2618" s="42">
        <v>0</v>
      </c>
    </row>
    <row r="2619" spans="1:24">
      <c r="A2619" s="27" t="s">
        <v>4824</v>
      </c>
      <c r="B2619" s="28" t="s">
        <v>215</v>
      </c>
      <c r="C2619" s="27" t="s">
        <v>4825</v>
      </c>
      <c r="D2619" s="27" t="s">
        <v>230</v>
      </c>
      <c r="E2619" s="29">
        <v>40268</v>
      </c>
      <c r="F2619" s="27">
        <v>15</v>
      </c>
      <c r="G2619" s="18">
        <v>8483.42</v>
      </c>
      <c r="H2619" s="27">
        <f t="shared" si="80"/>
        <v>0</v>
      </c>
      <c r="I2619" s="18">
        <v>5822.09</v>
      </c>
      <c r="J2619" s="27">
        <v>8483.42</v>
      </c>
      <c r="K2619" s="18">
        <f t="shared" si="81"/>
        <v>0</v>
      </c>
      <c r="L2619" s="27">
        <v>6180.04</v>
      </c>
      <c r="M2619" s="36">
        <v>357.95</v>
      </c>
      <c r="T2619" s="41">
        <v>0</v>
      </c>
      <c r="U2619" s="41">
        <v>0</v>
      </c>
      <c r="V2619" s="42" t="s">
        <v>113</v>
      </c>
      <c r="W2619" s="42">
        <v>0</v>
      </c>
      <c r="X2619" s="42">
        <v>0</v>
      </c>
    </row>
    <row r="2620" spans="1:24">
      <c r="A2620" s="27" t="s">
        <v>4826</v>
      </c>
      <c r="B2620" s="28" t="s">
        <v>215</v>
      </c>
      <c r="C2620" s="27" t="s">
        <v>4827</v>
      </c>
      <c r="D2620" s="27" t="s">
        <v>230</v>
      </c>
      <c r="E2620" s="29">
        <v>40268</v>
      </c>
      <c r="F2620" s="27">
        <v>15</v>
      </c>
      <c r="G2620" s="18">
        <v>8483.42</v>
      </c>
      <c r="H2620" s="27">
        <f t="shared" si="80"/>
        <v>0</v>
      </c>
      <c r="I2620" s="18">
        <v>5822.09</v>
      </c>
      <c r="J2620" s="27">
        <v>8483.42</v>
      </c>
      <c r="K2620" s="18">
        <f t="shared" si="81"/>
        <v>0</v>
      </c>
      <c r="L2620" s="27">
        <v>6180.04</v>
      </c>
      <c r="M2620" s="36">
        <v>357.95</v>
      </c>
      <c r="T2620" s="41">
        <v>0</v>
      </c>
      <c r="U2620" s="41">
        <v>0</v>
      </c>
      <c r="V2620" s="42" t="s">
        <v>113</v>
      </c>
      <c r="W2620" s="42">
        <v>0</v>
      </c>
      <c r="X2620" s="42">
        <v>0</v>
      </c>
    </row>
    <row r="2621" spans="1:24">
      <c r="A2621" s="27" t="s">
        <v>4828</v>
      </c>
      <c r="B2621" s="28" t="s">
        <v>215</v>
      </c>
      <c r="C2621" s="27" t="s">
        <v>1050</v>
      </c>
      <c r="D2621" s="27" t="s">
        <v>230</v>
      </c>
      <c r="E2621" s="29">
        <v>40268</v>
      </c>
      <c r="F2621" s="27">
        <v>15</v>
      </c>
      <c r="G2621" s="18">
        <v>8483.42</v>
      </c>
      <c r="H2621" s="27">
        <f t="shared" si="80"/>
        <v>0</v>
      </c>
      <c r="I2621" s="18">
        <v>5822.09</v>
      </c>
      <c r="J2621" s="27">
        <v>8483.42</v>
      </c>
      <c r="K2621" s="18">
        <f t="shared" si="81"/>
        <v>0</v>
      </c>
      <c r="L2621" s="27">
        <v>6180.04</v>
      </c>
      <c r="M2621" s="36">
        <v>357.95</v>
      </c>
      <c r="T2621" s="41">
        <v>0</v>
      </c>
      <c r="U2621" s="41">
        <v>0</v>
      </c>
      <c r="V2621" s="42" t="s">
        <v>113</v>
      </c>
      <c r="W2621" s="42">
        <v>0</v>
      </c>
      <c r="X2621" s="42">
        <v>0</v>
      </c>
    </row>
    <row r="2622" spans="1:24">
      <c r="A2622" s="27" t="s">
        <v>4829</v>
      </c>
      <c r="B2622" s="28" t="s">
        <v>215</v>
      </c>
      <c r="C2622" s="27" t="s">
        <v>4830</v>
      </c>
      <c r="D2622" s="27" t="s">
        <v>230</v>
      </c>
      <c r="E2622" s="29">
        <v>40268</v>
      </c>
      <c r="F2622" s="27">
        <v>15</v>
      </c>
      <c r="G2622" s="18">
        <v>8483.6</v>
      </c>
      <c r="H2622" s="27">
        <f t="shared" si="80"/>
        <v>0</v>
      </c>
      <c r="I2622" s="18">
        <v>5822.21</v>
      </c>
      <c r="J2622" s="27">
        <v>8483.6</v>
      </c>
      <c r="K2622" s="18">
        <f t="shared" si="81"/>
        <v>0</v>
      </c>
      <c r="L2622" s="27">
        <v>6180.16</v>
      </c>
      <c r="M2622" s="36">
        <v>357.95</v>
      </c>
      <c r="T2622" s="41">
        <v>0</v>
      </c>
      <c r="U2622" s="41">
        <v>0</v>
      </c>
      <c r="V2622" s="42" t="s">
        <v>113</v>
      </c>
      <c r="W2622" s="42">
        <v>0</v>
      </c>
      <c r="X2622" s="42">
        <v>0</v>
      </c>
    </row>
    <row r="2623" spans="1:24">
      <c r="A2623" s="27" t="s">
        <v>4831</v>
      </c>
      <c r="B2623" s="28" t="s">
        <v>215</v>
      </c>
      <c r="C2623" s="27" t="s">
        <v>4832</v>
      </c>
      <c r="D2623" s="27" t="s">
        <v>230</v>
      </c>
      <c r="E2623" s="29">
        <v>41272</v>
      </c>
      <c r="F2623" s="27">
        <v>15</v>
      </c>
      <c r="G2623" s="18">
        <v>9954.82</v>
      </c>
      <c r="H2623" s="27">
        <f t="shared" si="80"/>
        <v>9954.82</v>
      </c>
      <c r="I2623" s="18">
        <v>9954.82</v>
      </c>
      <c r="J2623" s="27">
        <v>9954.82</v>
      </c>
      <c r="K2623" s="18">
        <f t="shared" si="81"/>
        <v>9954.82</v>
      </c>
      <c r="L2623" s="27">
        <v>9457.08</v>
      </c>
      <c r="M2623" s="36">
        <v>-497.74</v>
      </c>
      <c r="T2623" s="41">
        <v>0</v>
      </c>
      <c r="U2623" s="41">
        <v>0</v>
      </c>
      <c r="V2623" s="42" t="s">
        <v>113</v>
      </c>
      <c r="W2623" s="42">
        <v>9954.82</v>
      </c>
      <c r="X2623" s="42">
        <v>9954.82</v>
      </c>
    </row>
    <row r="2624" spans="1:24">
      <c r="A2624" s="27" t="s">
        <v>4833</v>
      </c>
      <c r="B2624" s="28" t="s">
        <v>215</v>
      </c>
      <c r="C2624" s="27" t="s">
        <v>4834</v>
      </c>
      <c r="D2624" s="27" t="s">
        <v>230</v>
      </c>
      <c r="E2624" s="29">
        <v>40543</v>
      </c>
      <c r="F2624" s="27">
        <v>15</v>
      </c>
      <c r="G2624" s="18">
        <v>18000</v>
      </c>
      <c r="H2624" s="27">
        <f t="shared" si="80"/>
        <v>0</v>
      </c>
      <c r="I2624" s="18">
        <v>11115</v>
      </c>
      <c r="J2624" s="27">
        <v>18000</v>
      </c>
      <c r="K2624" s="18">
        <f t="shared" si="81"/>
        <v>0</v>
      </c>
      <c r="L2624" s="27">
        <v>11970</v>
      </c>
      <c r="M2624" s="36">
        <v>855</v>
      </c>
      <c r="T2624" s="41">
        <v>0</v>
      </c>
      <c r="U2624" s="41">
        <v>0</v>
      </c>
      <c r="V2624" s="42" t="s">
        <v>113</v>
      </c>
      <c r="W2624" s="42">
        <v>0</v>
      </c>
      <c r="X2624" s="42">
        <v>0</v>
      </c>
    </row>
    <row r="2625" spans="1:24">
      <c r="A2625" s="27" t="s">
        <v>4835</v>
      </c>
      <c r="B2625" s="28" t="s">
        <v>215</v>
      </c>
      <c r="C2625" s="27" t="s">
        <v>4836</v>
      </c>
      <c r="D2625" s="27" t="s">
        <v>230</v>
      </c>
      <c r="E2625" s="29">
        <v>40543</v>
      </c>
      <c r="F2625" s="27">
        <v>15</v>
      </c>
      <c r="G2625" s="18">
        <v>18000</v>
      </c>
      <c r="H2625" s="27">
        <f t="shared" si="80"/>
        <v>0</v>
      </c>
      <c r="I2625" s="18">
        <v>11115</v>
      </c>
      <c r="J2625" s="27">
        <v>18000</v>
      </c>
      <c r="K2625" s="18">
        <f t="shared" si="81"/>
        <v>0</v>
      </c>
      <c r="L2625" s="27">
        <v>11970</v>
      </c>
      <c r="M2625" s="36">
        <v>855</v>
      </c>
      <c r="T2625" s="41">
        <v>0</v>
      </c>
      <c r="U2625" s="41">
        <v>0</v>
      </c>
      <c r="V2625" s="42" t="s">
        <v>113</v>
      </c>
      <c r="W2625" s="42">
        <v>0</v>
      </c>
      <c r="X2625" s="42">
        <v>0</v>
      </c>
    </row>
    <row r="2626" spans="1:24">
      <c r="A2626" s="27" t="s">
        <v>4837</v>
      </c>
      <c r="B2626" s="28" t="s">
        <v>215</v>
      </c>
      <c r="C2626" s="27" t="s">
        <v>4838</v>
      </c>
      <c r="D2626" s="27" t="s">
        <v>230</v>
      </c>
      <c r="E2626" s="29">
        <v>35765</v>
      </c>
      <c r="F2626" s="27">
        <v>15</v>
      </c>
      <c r="G2626" s="18">
        <v>198459.16</v>
      </c>
      <c r="H2626" s="27">
        <f t="shared" si="80"/>
        <v>198459.16</v>
      </c>
      <c r="I2626" s="18">
        <v>188536.2</v>
      </c>
      <c r="J2626" s="27">
        <v>198459.16</v>
      </c>
      <c r="K2626" s="18">
        <f t="shared" si="81"/>
        <v>198459.16</v>
      </c>
      <c r="L2626" s="27">
        <v>188536.2</v>
      </c>
      <c r="M2626" s="36">
        <v>0</v>
      </c>
      <c r="T2626" s="41">
        <v>0</v>
      </c>
      <c r="U2626" s="41">
        <v>0</v>
      </c>
      <c r="V2626" s="42" t="s">
        <v>113</v>
      </c>
      <c r="W2626" s="42">
        <v>198459.16</v>
      </c>
      <c r="X2626" s="42">
        <v>198459.16</v>
      </c>
    </row>
    <row r="2627" spans="1:24">
      <c r="A2627" s="27" t="s">
        <v>4839</v>
      </c>
      <c r="B2627" s="28" t="s">
        <v>215</v>
      </c>
      <c r="C2627" s="27" t="s">
        <v>4840</v>
      </c>
      <c r="D2627" s="27" t="s">
        <v>230</v>
      </c>
      <c r="E2627" s="29">
        <v>37408</v>
      </c>
      <c r="F2627" s="27">
        <v>15</v>
      </c>
      <c r="G2627" s="18">
        <v>18000</v>
      </c>
      <c r="H2627" s="27">
        <f t="shared" si="80"/>
        <v>18000</v>
      </c>
      <c r="I2627" s="18">
        <v>17100</v>
      </c>
      <c r="J2627" s="27">
        <v>18000</v>
      </c>
      <c r="K2627" s="18">
        <f t="shared" si="81"/>
        <v>18000</v>
      </c>
      <c r="L2627" s="27">
        <v>17100</v>
      </c>
      <c r="M2627" s="36">
        <v>0</v>
      </c>
      <c r="T2627" s="41">
        <v>0</v>
      </c>
      <c r="U2627" s="41">
        <v>0</v>
      </c>
      <c r="V2627" s="42" t="s">
        <v>113</v>
      </c>
      <c r="W2627" s="42">
        <v>18000</v>
      </c>
      <c r="X2627" s="42">
        <v>18000</v>
      </c>
    </row>
    <row r="2628" spans="1:24">
      <c r="A2628" s="27" t="s">
        <v>4841</v>
      </c>
      <c r="B2628" s="28" t="s">
        <v>215</v>
      </c>
      <c r="C2628" s="27" t="s">
        <v>4842</v>
      </c>
      <c r="D2628" s="27" t="s">
        <v>230</v>
      </c>
      <c r="E2628" s="29">
        <v>37408</v>
      </c>
      <c r="F2628" s="27">
        <v>15</v>
      </c>
      <c r="G2628" s="18">
        <v>18000</v>
      </c>
      <c r="H2628" s="27">
        <f t="shared" si="80"/>
        <v>18000</v>
      </c>
      <c r="I2628" s="18">
        <v>17100</v>
      </c>
      <c r="J2628" s="27">
        <v>18000</v>
      </c>
      <c r="K2628" s="18">
        <f t="shared" si="81"/>
        <v>18000</v>
      </c>
      <c r="L2628" s="27">
        <v>17100</v>
      </c>
      <c r="M2628" s="36">
        <v>0</v>
      </c>
      <c r="T2628" s="41">
        <v>0</v>
      </c>
      <c r="U2628" s="41">
        <v>0</v>
      </c>
      <c r="V2628" s="42" t="s">
        <v>113</v>
      </c>
      <c r="W2628" s="42">
        <v>18000</v>
      </c>
      <c r="X2628" s="42">
        <v>18000</v>
      </c>
    </row>
    <row r="2629" spans="1:24">
      <c r="A2629" s="27" t="s">
        <v>4843</v>
      </c>
      <c r="B2629" s="28" t="s">
        <v>215</v>
      </c>
      <c r="C2629" s="27" t="s">
        <v>4844</v>
      </c>
      <c r="D2629" s="27" t="s">
        <v>230</v>
      </c>
      <c r="E2629" s="29">
        <v>40169</v>
      </c>
      <c r="F2629" s="27">
        <v>15</v>
      </c>
      <c r="G2629" s="18">
        <v>12000</v>
      </c>
      <c r="H2629" s="27">
        <f t="shared" si="80"/>
        <v>12000</v>
      </c>
      <c r="I2629" s="18">
        <v>11400</v>
      </c>
      <c r="J2629" s="27">
        <v>12000</v>
      </c>
      <c r="K2629" s="18">
        <f t="shared" si="81"/>
        <v>12000</v>
      </c>
      <c r="L2629" s="27">
        <v>11400</v>
      </c>
      <c r="M2629" s="36">
        <v>0</v>
      </c>
      <c r="T2629" s="41">
        <v>0</v>
      </c>
      <c r="U2629" s="41">
        <v>0</v>
      </c>
      <c r="V2629" s="42" t="s">
        <v>113</v>
      </c>
      <c r="W2629" s="42">
        <v>12000</v>
      </c>
      <c r="X2629" s="42">
        <v>12000</v>
      </c>
    </row>
    <row r="2630" spans="1:24">
      <c r="A2630" s="27" t="s">
        <v>4845</v>
      </c>
      <c r="B2630" s="28" t="s">
        <v>215</v>
      </c>
      <c r="C2630" s="27" t="s">
        <v>4846</v>
      </c>
      <c r="D2630" s="27" t="s">
        <v>230</v>
      </c>
      <c r="E2630" s="29">
        <v>41272</v>
      </c>
      <c r="F2630" s="27">
        <v>15</v>
      </c>
      <c r="G2630" s="18">
        <v>6309.11</v>
      </c>
      <c r="H2630" s="27">
        <f t="shared" ref="H2630:H2693" si="82">IFERROR(IF(ROUND((G2630-I2630)/G2630,2)&lt;=0.05,G2630,0),0)</f>
        <v>6309.11</v>
      </c>
      <c r="I2630" s="18">
        <v>6309.11</v>
      </c>
      <c r="J2630" s="27">
        <v>6309.11</v>
      </c>
      <c r="K2630" s="18">
        <f t="shared" ref="K2630:K2693" si="83">IFERROR(IF(ROUND((J2630-L2630)/J2630,2)&lt;=0.05,J2630,0),0)</f>
        <v>6309.11</v>
      </c>
      <c r="L2630" s="27">
        <v>5993.65</v>
      </c>
      <c r="M2630" s="36">
        <v>-315.45999999999998</v>
      </c>
      <c r="T2630" s="41">
        <v>0</v>
      </c>
      <c r="U2630" s="41">
        <v>0</v>
      </c>
      <c r="V2630" s="42" t="s">
        <v>113</v>
      </c>
      <c r="W2630" s="42">
        <v>6309.11</v>
      </c>
      <c r="X2630" s="42">
        <v>6309.11</v>
      </c>
    </row>
    <row r="2631" spans="1:24">
      <c r="A2631" s="27" t="s">
        <v>4847</v>
      </c>
      <c r="B2631" s="28" t="s">
        <v>215</v>
      </c>
      <c r="C2631" s="27" t="s">
        <v>4848</v>
      </c>
      <c r="D2631" s="27" t="s">
        <v>230</v>
      </c>
      <c r="E2631" s="29">
        <v>39417</v>
      </c>
      <c r="F2631" s="27">
        <v>15</v>
      </c>
      <c r="G2631" s="18">
        <v>12353.61</v>
      </c>
      <c r="H2631" s="27">
        <f t="shared" si="82"/>
        <v>0</v>
      </c>
      <c r="I2631" s="18">
        <v>9967.31</v>
      </c>
      <c r="J2631" s="27">
        <v>12353.61</v>
      </c>
      <c r="K2631" s="18">
        <f t="shared" si="83"/>
        <v>0</v>
      </c>
      <c r="L2631" s="27">
        <v>10409.469999999999</v>
      </c>
      <c r="M2631" s="36">
        <v>442.16</v>
      </c>
      <c r="T2631" s="41">
        <v>0</v>
      </c>
      <c r="U2631" s="41">
        <v>0</v>
      </c>
      <c r="V2631" s="42" t="s">
        <v>113</v>
      </c>
      <c r="W2631" s="42">
        <v>0</v>
      </c>
      <c r="X2631" s="42">
        <v>0</v>
      </c>
    </row>
    <row r="2632" spans="1:24">
      <c r="A2632" s="27" t="s">
        <v>4849</v>
      </c>
      <c r="B2632" s="28" t="s">
        <v>215</v>
      </c>
      <c r="C2632" s="27" t="s">
        <v>4850</v>
      </c>
      <c r="D2632" s="27" t="s">
        <v>230</v>
      </c>
      <c r="E2632" s="29">
        <v>39417</v>
      </c>
      <c r="F2632" s="27">
        <v>15</v>
      </c>
      <c r="G2632" s="18">
        <v>12353.61</v>
      </c>
      <c r="H2632" s="27">
        <f t="shared" si="82"/>
        <v>0</v>
      </c>
      <c r="I2632" s="18">
        <v>9967.31</v>
      </c>
      <c r="J2632" s="27">
        <v>12353.61</v>
      </c>
      <c r="K2632" s="18">
        <f t="shared" si="83"/>
        <v>0</v>
      </c>
      <c r="L2632" s="27">
        <v>10409.469999999999</v>
      </c>
      <c r="M2632" s="36">
        <v>442.16</v>
      </c>
      <c r="T2632" s="41">
        <v>0</v>
      </c>
      <c r="U2632" s="41">
        <v>0</v>
      </c>
      <c r="V2632" s="42" t="s">
        <v>113</v>
      </c>
      <c r="W2632" s="42">
        <v>0</v>
      </c>
      <c r="X2632" s="42">
        <v>0</v>
      </c>
    </row>
    <row r="2633" spans="1:24">
      <c r="A2633" s="27" t="s">
        <v>4851</v>
      </c>
      <c r="B2633" s="28" t="s">
        <v>215</v>
      </c>
      <c r="C2633" s="27" t="s">
        <v>4852</v>
      </c>
      <c r="D2633" s="27" t="s">
        <v>230</v>
      </c>
      <c r="E2633" s="29">
        <v>39417</v>
      </c>
      <c r="F2633" s="27">
        <v>15</v>
      </c>
      <c r="G2633" s="18">
        <v>12353.61</v>
      </c>
      <c r="H2633" s="27">
        <f t="shared" si="82"/>
        <v>0</v>
      </c>
      <c r="I2633" s="18">
        <v>9967.31</v>
      </c>
      <c r="J2633" s="27">
        <v>12353.61</v>
      </c>
      <c r="K2633" s="18">
        <f t="shared" si="83"/>
        <v>0</v>
      </c>
      <c r="L2633" s="27">
        <v>10409.469999999999</v>
      </c>
      <c r="M2633" s="36">
        <v>442.16</v>
      </c>
      <c r="T2633" s="41">
        <v>0</v>
      </c>
      <c r="U2633" s="41">
        <v>0</v>
      </c>
      <c r="V2633" s="42" t="s">
        <v>113</v>
      </c>
      <c r="W2633" s="42">
        <v>0</v>
      </c>
      <c r="X2633" s="42">
        <v>0</v>
      </c>
    </row>
    <row r="2634" spans="1:24">
      <c r="A2634" s="27" t="s">
        <v>4853</v>
      </c>
      <c r="B2634" s="28" t="s">
        <v>215</v>
      </c>
      <c r="C2634" s="27" t="s">
        <v>4854</v>
      </c>
      <c r="D2634" s="27" t="s">
        <v>230</v>
      </c>
      <c r="E2634" s="29">
        <v>39417</v>
      </c>
      <c r="F2634" s="27">
        <v>15</v>
      </c>
      <c r="G2634" s="18">
        <v>12353.61</v>
      </c>
      <c r="H2634" s="27">
        <f t="shared" si="82"/>
        <v>0</v>
      </c>
      <c r="I2634" s="18">
        <v>9967.31</v>
      </c>
      <c r="J2634" s="27">
        <v>12353.61</v>
      </c>
      <c r="K2634" s="18">
        <f t="shared" si="83"/>
        <v>0</v>
      </c>
      <c r="L2634" s="27">
        <v>10409.469999999999</v>
      </c>
      <c r="M2634" s="36">
        <v>442.16</v>
      </c>
      <c r="T2634" s="41">
        <v>0</v>
      </c>
      <c r="U2634" s="41">
        <v>0</v>
      </c>
      <c r="V2634" s="42" t="s">
        <v>113</v>
      </c>
      <c r="W2634" s="42">
        <v>0</v>
      </c>
      <c r="X2634" s="42">
        <v>0</v>
      </c>
    </row>
    <row r="2635" spans="1:24">
      <c r="A2635" s="27" t="s">
        <v>4855</v>
      </c>
      <c r="B2635" s="28" t="s">
        <v>215</v>
      </c>
      <c r="C2635" s="27" t="s">
        <v>4856</v>
      </c>
      <c r="D2635" s="27" t="s">
        <v>112</v>
      </c>
      <c r="E2635" s="29">
        <v>40543</v>
      </c>
      <c r="F2635" s="27">
        <v>15</v>
      </c>
      <c r="G2635" s="18">
        <v>20000</v>
      </c>
      <c r="H2635" s="27">
        <f t="shared" si="82"/>
        <v>0</v>
      </c>
      <c r="I2635" s="18">
        <v>12350</v>
      </c>
      <c r="J2635" s="27">
        <v>20000</v>
      </c>
      <c r="K2635" s="18">
        <f t="shared" si="83"/>
        <v>0</v>
      </c>
      <c r="L2635" s="27">
        <v>13300</v>
      </c>
      <c r="M2635" s="36">
        <v>950</v>
      </c>
      <c r="T2635" s="41">
        <v>0</v>
      </c>
      <c r="U2635" s="41">
        <v>0</v>
      </c>
      <c r="V2635" s="42" t="s">
        <v>113</v>
      </c>
      <c r="W2635" s="42">
        <v>0</v>
      </c>
      <c r="X2635" s="42">
        <v>0</v>
      </c>
    </row>
    <row r="2636" spans="1:24">
      <c r="A2636" s="27" t="s">
        <v>4857</v>
      </c>
      <c r="B2636" s="28" t="s">
        <v>215</v>
      </c>
      <c r="C2636" s="27" t="s">
        <v>4858</v>
      </c>
      <c r="D2636" s="27" t="s">
        <v>230</v>
      </c>
      <c r="E2636" s="29">
        <v>40268</v>
      </c>
      <c r="F2636" s="27">
        <v>15</v>
      </c>
      <c r="G2636" s="18">
        <v>30000</v>
      </c>
      <c r="H2636" s="27">
        <f t="shared" si="82"/>
        <v>0</v>
      </c>
      <c r="I2636" s="18">
        <v>21848.720000000001</v>
      </c>
      <c r="J2636" s="27">
        <v>30000</v>
      </c>
      <c r="K2636" s="18">
        <f t="shared" si="83"/>
        <v>0</v>
      </c>
      <c r="L2636" s="27">
        <v>22912.92</v>
      </c>
      <c r="M2636" s="36">
        <v>1064.2</v>
      </c>
      <c r="T2636" s="41">
        <v>0</v>
      </c>
      <c r="U2636" s="41">
        <v>0</v>
      </c>
      <c r="V2636" s="42" t="s">
        <v>113</v>
      </c>
      <c r="W2636" s="42">
        <v>0</v>
      </c>
      <c r="X2636" s="42">
        <v>0</v>
      </c>
    </row>
    <row r="2637" spans="1:24">
      <c r="A2637" s="27" t="s">
        <v>4859</v>
      </c>
      <c r="B2637" s="28" t="s">
        <v>215</v>
      </c>
      <c r="C2637" s="27" t="s">
        <v>4860</v>
      </c>
      <c r="D2637" s="27" t="s">
        <v>230</v>
      </c>
      <c r="E2637" s="29">
        <v>40268</v>
      </c>
      <c r="F2637" s="27">
        <v>15</v>
      </c>
      <c r="G2637" s="18">
        <v>30000</v>
      </c>
      <c r="H2637" s="27">
        <f t="shared" si="82"/>
        <v>0</v>
      </c>
      <c r="I2637" s="18">
        <v>21848.720000000001</v>
      </c>
      <c r="J2637" s="27">
        <v>30000</v>
      </c>
      <c r="K2637" s="18">
        <f t="shared" si="83"/>
        <v>0</v>
      </c>
      <c r="L2637" s="27">
        <v>22912.92</v>
      </c>
      <c r="M2637" s="36">
        <v>1064.2</v>
      </c>
      <c r="T2637" s="41">
        <v>0</v>
      </c>
      <c r="U2637" s="41">
        <v>0</v>
      </c>
      <c r="V2637" s="42" t="s">
        <v>113</v>
      </c>
      <c r="W2637" s="42">
        <v>0</v>
      </c>
      <c r="X2637" s="42">
        <v>0</v>
      </c>
    </row>
    <row r="2638" spans="1:24">
      <c r="A2638" s="27" t="s">
        <v>4861</v>
      </c>
      <c r="B2638" s="28" t="s">
        <v>215</v>
      </c>
      <c r="C2638" s="27" t="s">
        <v>4862</v>
      </c>
      <c r="D2638" s="27" t="s">
        <v>230</v>
      </c>
      <c r="E2638" s="29">
        <v>40268</v>
      </c>
      <c r="F2638" s="27">
        <v>15</v>
      </c>
      <c r="G2638" s="18">
        <v>30000</v>
      </c>
      <c r="H2638" s="27">
        <f t="shared" si="82"/>
        <v>0</v>
      </c>
      <c r="I2638" s="18">
        <v>21848.720000000001</v>
      </c>
      <c r="J2638" s="27">
        <v>30000</v>
      </c>
      <c r="K2638" s="18">
        <f t="shared" si="83"/>
        <v>0</v>
      </c>
      <c r="L2638" s="27">
        <v>22912.92</v>
      </c>
      <c r="M2638" s="36">
        <v>1064.2</v>
      </c>
      <c r="T2638" s="41">
        <v>0</v>
      </c>
      <c r="U2638" s="41">
        <v>0</v>
      </c>
      <c r="V2638" s="42" t="s">
        <v>113</v>
      </c>
      <c r="W2638" s="42">
        <v>0</v>
      </c>
      <c r="X2638" s="42">
        <v>0</v>
      </c>
    </row>
    <row r="2639" spans="1:24">
      <c r="A2639" s="27" t="s">
        <v>4863</v>
      </c>
      <c r="B2639" s="28" t="s">
        <v>215</v>
      </c>
      <c r="C2639" s="27" t="s">
        <v>4864</v>
      </c>
      <c r="D2639" s="27" t="s">
        <v>230</v>
      </c>
      <c r="E2639" s="29">
        <v>40268</v>
      </c>
      <c r="F2639" s="27">
        <v>15</v>
      </c>
      <c r="G2639" s="18">
        <v>30000</v>
      </c>
      <c r="H2639" s="27">
        <f t="shared" si="82"/>
        <v>0</v>
      </c>
      <c r="I2639" s="18">
        <v>21848.720000000001</v>
      </c>
      <c r="J2639" s="27">
        <v>30000</v>
      </c>
      <c r="K2639" s="18">
        <f t="shared" si="83"/>
        <v>0</v>
      </c>
      <c r="L2639" s="27">
        <v>22912.92</v>
      </c>
      <c r="M2639" s="36">
        <v>1064.2</v>
      </c>
      <c r="T2639" s="41">
        <v>0</v>
      </c>
      <c r="U2639" s="41">
        <v>0</v>
      </c>
      <c r="V2639" s="42" t="s">
        <v>113</v>
      </c>
      <c r="W2639" s="42">
        <v>0</v>
      </c>
      <c r="X2639" s="42">
        <v>0</v>
      </c>
    </row>
    <row r="2640" spans="1:24">
      <c r="A2640" s="27" t="s">
        <v>4865</v>
      </c>
      <c r="B2640" s="28" t="s">
        <v>215</v>
      </c>
      <c r="C2640" s="27" t="s">
        <v>4866</v>
      </c>
      <c r="D2640" s="27" t="s">
        <v>230</v>
      </c>
      <c r="E2640" s="29">
        <v>40268</v>
      </c>
      <c r="F2640" s="27">
        <v>15</v>
      </c>
      <c r="G2640" s="18">
        <v>30000</v>
      </c>
      <c r="H2640" s="27">
        <f t="shared" si="82"/>
        <v>0</v>
      </c>
      <c r="I2640" s="18">
        <v>21848.720000000001</v>
      </c>
      <c r="J2640" s="27">
        <v>30000</v>
      </c>
      <c r="K2640" s="18">
        <f t="shared" si="83"/>
        <v>0</v>
      </c>
      <c r="L2640" s="27">
        <v>22912.92</v>
      </c>
      <c r="M2640" s="36">
        <v>1064.2</v>
      </c>
      <c r="T2640" s="41">
        <v>0</v>
      </c>
      <c r="U2640" s="41">
        <v>0</v>
      </c>
      <c r="V2640" s="42" t="s">
        <v>113</v>
      </c>
      <c r="W2640" s="42">
        <v>0</v>
      </c>
      <c r="X2640" s="42">
        <v>0</v>
      </c>
    </row>
    <row r="2641" spans="1:24">
      <c r="A2641" s="27" t="s">
        <v>4867</v>
      </c>
      <c r="B2641" s="28" t="s">
        <v>215</v>
      </c>
      <c r="C2641" s="27" t="s">
        <v>4868</v>
      </c>
      <c r="D2641" s="27" t="s">
        <v>230</v>
      </c>
      <c r="E2641" s="29">
        <v>40268</v>
      </c>
      <c r="F2641" s="27">
        <v>15</v>
      </c>
      <c r="G2641" s="18">
        <v>30000</v>
      </c>
      <c r="H2641" s="27">
        <f t="shared" si="82"/>
        <v>0</v>
      </c>
      <c r="I2641" s="18">
        <v>21848.720000000001</v>
      </c>
      <c r="J2641" s="27">
        <v>30000</v>
      </c>
      <c r="K2641" s="18">
        <f t="shared" si="83"/>
        <v>0</v>
      </c>
      <c r="L2641" s="27">
        <v>22912.92</v>
      </c>
      <c r="M2641" s="36">
        <v>1064.2</v>
      </c>
      <c r="T2641" s="41">
        <v>0</v>
      </c>
      <c r="U2641" s="41">
        <v>0</v>
      </c>
      <c r="V2641" s="42" t="s">
        <v>113</v>
      </c>
      <c r="W2641" s="42">
        <v>0</v>
      </c>
      <c r="X2641" s="42">
        <v>0</v>
      </c>
    </row>
    <row r="2642" spans="1:24">
      <c r="A2642" s="27" t="s">
        <v>4869</v>
      </c>
      <c r="B2642" s="28" t="s">
        <v>215</v>
      </c>
      <c r="C2642" s="27" t="s">
        <v>4870</v>
      </c>
      <c r="D2642" s="27" t="s">
        <v>230</v>
      </c>
      <c r="E2642" s="29">
        <v>40268</v>
      </c>
      <c r="F2642" s="27">
        <v>15</v>
      </c>
      <c r="G2642" s="18">
        <v>30000</v>
      </c>
      <c r="H2642" s="27">
        <f t="shared" si="82"/>
        <v>0</v>
      </c>
      <c r="I2642" s="18">
        <v>21848.720000000001</v>
      </c>
      <c r="J2642" s="27">
        <v>30000</v>
      </c>
      <c r="K2642" s="18">
        <f t="shared" si="83"/>
        <v>0</v>
      </c>
      <c r="L2642" s="27">
        <v>22912.92</v>
      </c>
      <c r="M2642" s="36">
        <v>1064.2</v>
      </c>
      <c r="T2642" s="41">
        <v>0</v>
      </c>
      <c r="U2642" s="41">
        <v>0</v>
      </c>
      <c r="V2642" s="42" t="s">
        <v>113</v>
      </c>
      <c r="W2642" s="42">
        <v>0</v>
      </c>
      <c r="X2642" s="42">
        <v>0</v>
      </c>
    </row>
    <row r="2643" spans="1:24">
      <c r="A2643" s="27" t="s">
        <v>4871</v>
      </c>
      <c r="B2643" s="28" t="s">
        <v>215</v>
      </c>
      <c r="C2643" s="27" t="s">
        <v>4872</v>
      </c>
      <c r="D2643" s="27" t="s">
        <v>230</v>
      </c>
      <c r="E2643" s="29">
        <v>40268</v>
      </c>
      <c r="F2643" s="27">
        <v>15</v>
      </c>
      <c r="G2643" s="18">
        <v>30000</v>
      </c>
      <c r="H2643" s="27">
        <f t="shared" si="82"/>
        <v>0</v>
      </c>
      <c r="I2643" s="18">
        <v>21848.720000000001</v>
      </c>
      <c r="J2643" s="27">
        <v>30000</v>
      </c>
      <c r="K2643" s="18">
        <f t="shared" si="83"/>
        <v>0</v>
      </c>
      <c r="L2643" s="27">
        <v>22912.92</v>
      </c>
      <c r="M2643" s="36">
        <v>1064.2</v>
      </c>
      <c r="T2643" s="41">
        <v>0</v>
      </c>
      <c r="U2643" s="41">
        <v>0</v>
      </c>
      <c r="V2643" s="42" t="s">
        <v>113</v>
      </c>
      <c r="W2643" s="42">
        <v>0</v>
      </c>
      <c r="X2643" s="42">
        <v>0</v>
      </c>
    </row>
    <row r="2644" spans="1:24">
      <c r="A2644" s="27" t="s">
        <v>4873</v>
      </c>
      <c r="B2644" s="28" t="s">
        <v>215</v>
      </c>
      <c r="C2644" s="27" t="s">
        <v>4874</v>
      </c>
      <c r="D2644" s="27" t="s">
        <v>230</v>
      </c>
      <c r="E2644" s="29">
        <v>40268</v>
      </c>
      <c r="F2644" s="27">
        <v>15</v>
      </c>
      <c r="G2644" s="18">
        <v>30000</v>
      </c>
      <c r="H2644" s="27">
        <f t="shared" si="82"/>
        <v>0</v>
      </c>
      <c r="I2644" s="18">
        <v>21848.720000000001</v>
      </c>
      <c r="J2644" s="27">
        <v>30000</v>
      </c>
      <c r="K2644" s="18">
        <f t="shared" si="83"/>
        <v>0</v>
      </c>
      <c r="L2644" s="27">
        <v>22912.92</v>
      </c>
      <c r="M2644" s="36">
        <v>1064.2</v>
      </c>
      <c r="T2644" s="41">
        <v>0</v>
      </c>
      <c r="U2644" s="41">
        <v>0</v>
      </c>
      <c r="V2644" s="42" t="s">
        <v>113</v>
      </c>
      <c r="W2644" s="42">
        <v>0</v>
      </c>
      <c r="X2644" s="42">
        <v>0</v>
      </c>
    </row>
    <row r="2645" spans="1:24">
      <c r="A2645" s="27" t="s">
        <v>4875</v>
      </c>
      <c r="B2645" s="28" t="s">
        <v>215</v>
      </c>
      <c r="C2645" s="27" t="s">
        <v>4876</v>
      </c>
      <c r="D2645" s="27" t="s">
        <v>230</v>
      </c>
      <c r="E2645" s="29">
        <v>40268</v>
      </c>
      <c r="F2645" s="27">
        <v>15</v>
      </c>
      <c r="G2645" s="18">
        <v>30000</v>
      </c>
      <c r="H2645" s="27">
        <f t="shared" si="82"/>
        <v>0</v>
      </c>
      <c r="I2645" s="18">
        <v>21848.720000000001</v>
      </c>
      <c r="J2645" s="27">
        <v>30000</v>
      </c>
      <c r="K2645" s="18">
        <f t="shared" si="83"/>
        <v>0</v>
      </c>
      <c r="L2645" s="27">
        <v>22912.92</v>
      </c>
      <c r="M2645" s="36">
        <v>1064.2</v>
      </c>
      <c r="T2645" s="41">
        <v>0</v>
      </c>
      <c r="U2645" s="41">
        <v>0</v>
      </c>
      <c r="V2645" s="42" t="s">
        <v>113</v>
      </c>
      <c r="W2645" s="42">
        <v>0</v>
      </c>
      <c r="X2645" s="42">
        <v>0</v>
      </c>
    </row>
    <row r="2646" spans="1:24">
      <c r="A2646" s="27" t="s">
        <v>4877</v>
      </c>
      <c r="B2646" s="28" t="s">
        <v>215</v>
      </c>
      <c r="C2646" s="27" t="s">
        <v>4878</v>
      </c>
      <c r="D2646" s="27" t="s">
        <v>230</v>
      </c>
      <c r="E2646" s="29">
        <v>40268</v>
      </c>
      <c r="F2646" s="27">
        <v>15</v>
      </c>
      <c r="G2646" s="18">
        <v>30000</v>
      </c>
      <c r="H2646" s="27">
        <f t="shared" si="82"/>
        <v>0</v>
      </c>
      <c r="I2646" s="18">
        <v>21848.720000000001</v>
      </c>
      <c r="J2646" s="27">
        <v>30000</v>
      </c>
      <c r="K2646" s="18">
        <f t="shared" si="83"/>
        <v>0</v>
      </c>
      <c r="L2646" s="27">
        <v>22912.92</v>
      </c>
      <c r="M2646" s="36">
        <v>1064.2</v>
      </c>
      <c r="T2646" s="41">
        <v>0</v>
      </c>
      <c r="U2646" s="41">
        <v>0</v>
      </c>
      <c r="V2646" s="42" t="s">
        <v>113</v>
      </c>
      <c r="W2646" s="42">
        <v>0</v>
      </c>
      <c r="X2646" s="42">
        <v>0</v>
      </c>
    </row>
    <row r="2647" spans="1:24">
      <c r="A2647" s="27" t="s">
        <v>4879</v>
      </c>
      <c r="B2647" s="28" t="s">
        <v>215</v>
      </c>
      <c r="C2647" s="27" t="s">
        <v>4880</v>
      </c>
      <c r="D2647" s="27" t="s">
        <v>230</v>
      </c>
      <c r="E2647" s="29">
        <v>40268</v>
      </c>
      <c r="F2647" s="27">
        <v>15</v>
      </c>
      <c r="G2647" s="18">
        <v>30000</v>
      </c>
      <c r="H2647" s="27">
        <f t="shared" si="82"/>
        <v>0</v>
      </c>
      <c r="I2647" s="18">
        <v>21848.720000000001</v>
      </c>
      <c r="J2647" s="27">
        <v>30000</v>
      </c>
      <c r="K2647" s="18">
        <f t="shared" si="83"/>
        <v>0</v>
      </c>
      <c r="L2647" s="27">
        <v>22912.92</v>
      </c>
      <c r="M2647" s="36">
        <v>1064.2</v>
      </c>
      <c r="T2647" s="41">
        <v>0</v>
      </c>
      <c r="U2647" s="41">
        <v>0</v>
      </c>
      <c r="V2647" s="42" t="s">
        <v>113</v>
      </c>
      <c r="W2647" s="42">
        <v>0</v>
      </c>
      <c r="X2647" s="42">
        <v>0</v>
      </c>
    </row>
    <row r="2648" spans="1:24">
      <c r="A2648" s="27" t="s">
        <v>4881</v>
      </c>
      <c r="B2648" s="28" t="s">
        <v>215</v>
      </c>
      <c r="C2648" s="27" t="s">
        <v>4882</v>
      </c>
      <c r="D2648" s="27" t="s">
        <v>230</v>
      </c>
      <c r="E2648" s="29">
        <v>40268</v>
      </c>
      <c r="F2648" s="27">
        <v>15</v>
      </c>
      <c r="G2648" s="18">
        <v>30000</v>
      </c>
      <c r="H2648" s="27">
        <f t="shared" si="82"/>
        <v>0</v>
      </c>
      <c r="I2648" s="18">
        <v>21848.720000000001</v>
      </c>
      <c r="J2648" s="27">
        <v>30000</v>
      </c>
      <c r="K2648" s="18">
        <f t="shared" si="83"/>
        <v>0</v>
      </c>
      <c r="L2648" s="27">
        <v>22912.92</v>
      </c>
      <c r="M2648" s="36">
        <v>1064.2</v>
      </c>
      <c r="T2648" s="41">
        <v>0</v>
      </c>
      <c r="U2648" s="41">
        <v>0</v>
      </c>
      <c r="V2648" s="42" t="s">
        <v>113</v>
      </c>
      <c r="W2648" s="42">
        <v>0</v>
      </c>
      <c r="X2648" s="42">
        <v>0</v>
      </c>
    </row>
    <row r="2649" spans="1:24">
      <c r="A2649" s="27" t="s">
        <v>4883</v>
      </c>
      <c r="B2649" s="28" t="s">
        <v>215</v>
      </c>
      <c r="C2649" s="27" t="s">
        <v>4884</v>
      </c>
      <c r="D2649" s="27" t="s">
        <v>230</v>
      </c>
      <c r="E2649" s="29">
        <v>40543</v>
      </c>
      <c r="F2649" s="27">
        <v>15</v>
      </c>
      <c r="G2649" s="18">
        <v>18000</v>
      </c>
      <c r="H2649" s="27">
        <f t="shared" si="82"/>
        <v>0</v>
      </c>
      <c r="I2649" s="18">
        <v>11115</v>
      </c>
      <c r="J2649" s="27">
        <v>18000</v>
      </c>
      <c r="K2649" s="18">
        <f t="shared" si="83"/>
        <v>0</v>
      </c>
      <c r="L2649" s="27">
        <v>11970</v>
      </c>
      <c r="M2649" s="36">
        <v>855</v>
      </c>
      <c r="T2649" s="41">
        <v>0</v>
      </c>
      <c r="U2649" s="41">
        <v>0</v>
      </c>
      <c r="V2649" s="42" t="s">
        <v>113</v>
      </c>
      <c r="W2649" s="42">
        <v>0</v>
      </c>
      <c r="X2649" s="42">
        <v>0</v>
      </c>
    </row>
    <row r="2650" spans="1:24">
      <c r="A2650" s="27" t="s">
        <v>4885</v>
      </c>
      <c r="B2650" s="28" t="s">
        <v>215</v>
      </c>
      <c r="C2650" s="27" t="s">
        <v>4886</v>
      </c>
      <c r="D2650" s="27" t="s">
        <v>230</v>
      </c>
      <c r="E2650" s="29">
        <v>39417</v>
      </c>
      <c r="F2650" s="27">
        <v>15</v>
      </c>
      <c r="G2650" s="18">
        <v>75486</v>
      </c>
      <c r="H2650" s="27">
        <f t="shared" si="82"/>
        <v>0</v>
      </c>
      <c r="I2650" s="18">
        <v>60664.01</v>
      </c>
      <c r="J2650" s="27">
        <v>75486</v>
      </c>
      <c r="K2650" s="18">
        <f t="shared" si="83"/>
        <v>0</v>
      </c>
      <c r="L2650" s="27">
        <v>63425.93</v>
      </c>
      <c r="M2650" s="36">
        <v>2761.92</v>
      </c>
      <c r="T2650" s="41">
        <v>0</v>
      </c>
      <c r="U2650" s="41">
        <v>0</v>
      </c>
      <c r="V2650" s="42" t="s">
        <v>113</v>
      </c>
      <c r="W2650" s="42">
        <v>0</v>
      </c>
      <c r="X2650" s="42">
        <v>0</v>
      </c>
    </row>
    <row r="2651" spans="1:24">
      <c r="A2651" s="27" t="s">
        <v>4887</v>
      </c>
      <c r="B2651" s="28" t="s">
        <v>215</v>
      </c>
      <c r="C2651" s="27" t="s">
        <v>4888</v>
      </c>
      <c r="D2651" s="27" t="s">
        <v>230</v>
      </c>
      <c r="E2651" s="29">
        <v>39417</v>
      </c>
      <c r="F2651" s="27">
        <v>15</v>
      </c>
      <c r="G2651" s="18">
        <v>75486</v>
      </c>
      <c r="H2651" s="27">
        <f t="shared" si="82"/>
        <v>0</v>
      </c>
      <c r="I2651" s="18">
        <v>60664.01</v>
      </c>
      <c r="J2651" s="27">
        <v>75486</v>
      </c>
      <c r="K2651" s="18">
        <f t="shared" si="83"/>
        <v>0</v>
      </c>
      <c r="L2651" s="27">
        <v>63425.93</v>
      </c>
      <c r="M2651" s="36">
        <v>2761.92</v>
      </c>
      <c r="T2651" s="41">
        <v>0</v>
      </c>
      <c r="U2651" s="41">
        <v>0</v>
      </c>
      <c r="V2651" s="42" t="s">
        <v>113</v>
      </c>
      <c r="W2651" s="42">
        <v>0</v>
      </c>
      <c r="X2651" s="42">
        <v>0</v>
      </c>
    </row>
    <row r="2652" spans="1:24">
      <c r="A2652" s="27" t="s">
        <v>4889</v>
      </c>
      <c r="B2652" s="28" t="s">
        <v>215</v>
      </c>
      <c r="C2652" s="27" t="s">
        <v>4890</v>
      </c>
      <c r="D2652" s="27" t="s">
        <v>230</v>
      </c>
      <c r="E2652" s="29">
        <v>39417</v>
      </c>
      <c r="F2652" s="27">
        <v>15</v>
      </c>
      <c r="G2652" s="18">
        <v>75486</v>
      </c>
      <c r="H2652" s="27">
        <f t="shared" si="82"/>
        <v>0</v>
      </c>
      <c r="I2652" s="18">
        <v>60664.01</v>
      </c>
      <c r="J2652" s="27">
        <v>75486</v>
      </c>
      <c r="K2652" s="18">
        <f t="shared" si="83"/>
        <v>0</v>
      </c>
      <c r="L2652" s="27">
        <v>63425.93</v>
      </c>
      <c r="M2652" s="36">
        <v>2761.92</v>
      </c>
      <c r="T2652" s="41">
        <v>0</v>
      </c>
      <c r="U2652" s="41">
        <v>0</v>
      </c>
      <c r="V2652" s="42" t="s">
        <v>113</v>
      </c>
      <c r="W2652" s="42">
        <v>0</v>
      </c>
      <c r="X2652" s="42">
        <v>0</v>
      </c>
    </row>
    <row r="2653" spans="1:24">
      <c r="A2653" s="27" t="s">
        <v>4891</v>
      </c>
      <c r="B2653" s="28" t="s">
        <v>215</v>
      </c>
      <c r="C2653" s="27" t="s">
        <v>4892</v>
      </c>
      <c r="D2653" s="27" t="s">
        <v>230</v>
      </c>
      <c r="E2653" s="29">
        <v>40543</v>
      </c>
      <c r="F2653" s="27">
        <v>15</v>
      </c>
      <c r="G2653" s="18">
        <v>18000</v>
      </c>
      <c r="H2653" s="27">
        <f t="shared" si="82"/>
        <v>0</v>
      </c>
      <c r="I2653" s="18">
        <v>11115</v>
      </c>
      <c r="J2653" s="27">
        <v>18000</v>
      </c>
      <c r="K2653" s="18">
        <f t="shared" si="83"/>
        <v>0</v>
      </c>
      <c r="L2653" s="27">
        <v>11970</v>
      </c>
      <c r="M2653" s="36">
        <v>855</v>
      </c>
      <c r="T2653" s="41">
        <v>0</v>
      </c>
      <c r="U2653" s="41">
        <v>0</v>
      </c>
      <c r="V2653" s="42" t="s">
        <v>113</v>
      </c>
      <c r="W2653" s="42">
        <v>0</v>
      </c>
      <c r="X2653" s="42">
        <v>0</v>
      </c>
    </row>
    <row r="2654" spans="1:24">
      <c r="A2654" s="27" t="s">
        <v>4893</v>
      </c>
      <c r="B2654" s="28" t="s">
        <v>215</v>
      </c>
      <c r="C2654" s="27" t="s">
        <v>4894</v>
      </c>
      <c r="D2654" s="27" t="s">
        <v>230</v>
      </c>
      <c r="E2654" s="29">
        <v>40543</v>
      </c>
      <c r="F2654" s="27">
        <v>15</v>
      </c>
      <c r="G2654" s="18">
        <v>18000</v>
      </c>
      <c r="H2654" s="27">
        <f t="shared" si="82"/>
        <v>0</v>
      </c>
      <c r="I2654" s="18">
        <v>11115</v>
      </c>
      <c r="J2654" s="27">
        <v>18000</v>
      </c>
      <c r="K2654" s="18">
        <f t="shared" si="83"/>
        <v>0</v>
      </c>
      <c r="L2654" s="27">
        <v>11970</v>
      </c>
      <c r="M2654" s="36">
        <v>855</v>
      </c>
      <c r="T2654" s="41">
        <v>0</v>
      </c>
      <c r="U2654" s="41">
        <v>0</v>
      </c>
      <c r="V2654" s="42" t="s">
        <v>113</v>
      </c>
      <c r="W2654" s="42">
        <v>0</v>
      </c>
      <c r="X2654" s="42">
        <v>0</v>
      </c>
    </row>
    <row r="2655" spans="1:24">
      <c r="A2655" s="27" t="s">
        <v>4895</v>
      </c>
      <c r="B2655" s="28" t="s">
        <v>215</v>
      </c>
      <c r="C2655" s="27" t="s">
        <v>4896</v>
      </c>
      <c r="D2655" s="27" t="s">
        <v>230</v>
      </c>
      <c r="E2655" s="29">
        <v>40543</v>
      </c>
      <c r="F2655" s="27">
        <v>15</v>
      </c>
      <c r="G2655" s="18">
        <v>18000</v>
      </c>
      <c r="H2655" s="27">
        <f t="shared" si="82"/>
        <v>0</v>
      </c>
      <c r="I2655" s="18">
        <v>11115</v>
      </c>
      <c r="J2655" s="27">
        <v>18000</v>
      </c>
      <c r="K2655" s="18">
        <f t="shared" si="83"/>
        <v>0</v>
      </c>
      <c r="L2655" s="27">
        <v>11970</v>
      </c>
      <c r="M2655" s="36">
        <v>855</v>
      </c>
      <c r="T2655" s="41">
        <v>0</v>
      </c>
      <c r="U2655" s="41">
        <v>0</v>
      </c>
      <c r="V2655" s="42" t="s">
        <v>113</v>
      </c>
      <c r="W2655" s="42">
        <v>0</v>
      </c>
      <c r="X2655" s="42">
        <v>0</v>
      </c>
    </row>
    <row r="2656" spans="1:24">
      <c r="A2656" s="27" t="s">
        <v>4897</v>
      </c>
      <c r="B2656" s="28" t="s">
        <v>215</v>
      </c>
      <c r="C2656" s="27" t="s">
        <v>4898</v>
      </c>
      <c r="D2656" s="27" t="s">
        <v>230</v>
      </c>
      <c r="E2656" s="29">
        <v>40113</v>
      </c>
      <c r="F2656" s="27">
        <v>15</v>
      </c>
      <c r="G2656" s="18">
        <v>18000</v>
      </c>
      <c r="H2656" s="27">
        <f t="shared" si="82"/>
        <v>0</v>
      </c>
      <c r="I2656" s="18">
        <v>14203.62</v>
      </c>
      <c r="J2656" s="27">
        <v>18000</v>
      </c>
      <c r="K2656" s="18">
        <f t="shared" si="83"/>
        <v>0</v>
      </c>
      <c r="L2656" s="27">
        <v>14813.38</v>
      </c>
      <c r="M2656" s="36">
        <v>609.76</v>
      </c>
      <c r="T2656" s="41">
        <v>0</v>
      </c>
      <c r="U2656" s="41">
        <v>0</v>
      </c>
      <c r="V2656" s="42" t="s">
        <v>113</v>
      </c>
      <c r="W2656" s="42">
        <v>0</v>
      </c>
      <c r="X2656" s="42">
        <v>0</v>
      </c>
    </row>
    <row r="2657" spans="1:24">
      <c r="A2657" s="27" t="s">
        <v>4899</v>
      </c>
      <c r="B2657" s="28" t="s">
        <v>215</v>
      </c>
      <c r="C2657" s="27" t="s">
        <v>4900</v>
      </c>
      <c r="D2657" s="27" t="s">
        <v>112</v>
      </c>
      <c r="E2657" s="29">
        <v>40543</v>
      </c>
      <c r="F2657" s="27">
        <v>15</v>
      </c>
      <c r="G2657" s="18">
        <v>20000</v>
      </c>
      <c r="H2657" s="27">
        <f t="shared" si="82"/>
        <v>0</v>
      </c>
      <c r="I2657" s="18">
        <v>12350</v>
      </c>
      <c r="J2657" s="27">
        <v>20000</v>
      </c>
      <c r="K2657" s="18">
        <f t="shared" si="83"/>
        <v>0</v>
      </c>
      <c r="L2657" s="27">
        <v>13300</v>
      </c>
      <c r="M2657" s="36">
        <v>950</v>
      </c>
      <c r="T2657" s="41">
        <v>0</v>
      </c>
      <c r="U2657" s="41">
        <v>0</v>
      </c>
      <c r="V2657" s="42" t="s">
        <v>113</v>
      </c>
      <c r="W2657" s="42">
        <v>0</v>
      </c>
      <c r="X2657" s="42">
        <v>0</v>
      </c>
    </row>
    <row r="2658" spans="1:24">
      <c r="A2658" s="27" t="s">
        <v>4901</v>
      </c>
      <c r="B2658" s="28" t="s">
        <v>215</v>
      </c>
      <c r="C2658" s="27" t="s">
        <v>4902</v>
      </c>
      <c r="D2658" s="27" t="s">
        <v>230</v>
      </c>
      <c r="E2658" s="29">
        <v>40543</v>
      </c>
      <c r="F2658" s="27">
        <v>15</v>
      </c>
      <c r="G2658" s="18">
        <v>18000</v>
      </c>
      <c r="H2658" s="27">
        <f t="shared" si="82"/>
        <v>0</v>
      </c>
      <c r="I2658" s="18">
        <v>11115</v>
      </c>
      <c r="J2658" s="27">
        <v>18000</v>
      </c>
      <c r="K2658" s="18">
        <f t="shared" si="83"/>
        <v>0</v>
      </c>
      <c r="L2658" s="27">
        <v>11970</v>
      </c>
      <c r="M2658" s="36">
        <v>855</v>
      </c>
      <c r="T2658" s="41">
        <v>0</v>
      </c>
      <c r="U2658" s="41">
        <v>0</v>
      </c>
      <c r="V2658" s="42" t="s">
        <v>113</v>
      </c>
      <c r="W2658" s="42">
        <v>0</v>
      </c>
      <c r="X2658" s="42">
        <v>0</v>
      </c>
    </row>
    <row r="2659" spans="1:24">
      <c r="A2659" s="27" t="s">
        <v>4903</v>
      </c>
      <c r="B2659" s="28" t="s">
        <v>215</v>
      </c>
      <c r="C2659" s="27" t="s">
        <v>4904</v>
      </c>
      <c r="D2659" s="27" t="s">
        <v>230</v>
      </c>
      <c r="E2659" s="29">
        <v>40543</v>
      </c>
      <c r="F2659" s="27">
        <v>15</v>
      </c>
      <c r="G2659" s="18">
        <v>18000</v>
      </c>
      <c r="H2659" s="27">
        <f t="shared" si="82"/>
        <v>0</v>
      </c>
      <c r="I2659" s="18">
        <v>11115</v>
      </c>
      <c r="J2659" s="27">
        <v>18000</v>
      </c>
      <c r="K2659" s="18">
        <f t="shared" si="83"/>
        <v>0</v>
      </c>
      <c r="L2659" s="27">
        <v>11970</v>
      </c>
      <c r="M2659" s="36">
        <v>855</v>
      </c>
      <c r="T2659" s="41">
        <v>0</v>
      </c>
      <c r="U2659" s="41">
        <v>0</v>
      </c>
      <c r="V2659" s="42" t="s">
        <v>113</v>
      </c>
      <c r="W2659" s="42">
        <v>0</v>
      </c>
      <c r="X2659" s="42">
        <v>0</v>
      </c>
    </row>
    <row r="2660" spans="1:24">
      <c r="A2660" s="27" t="s">
        <v>4905</v>
      </c>
      <c r="B2660" s="28" t="s">
        <v>215</v>
      </c>
      <c r="C2660" s="27" t="s">
        <v>4906</v>
      </c>
      <c r="D2660" s="27" t="s">
        <v>230</v>
      </c>
      <c r="E2660" s="29">
        <v>40268</v>
      </c>
      <c r="F2660" s="27">
        <v>15</v>
      </c>
      <c r="G2660" s="18">
        <v>30000</v>
      </c>
      <c r="H2660" s="27">
        <f t="shared" si="82"/>
        <v>0</v>
      </c>
      <c r="I2660" s="18">
        <v>21848.720000000001</v>
      </c>
      <c r="J2660" s="27">
        <v>30000</v>
      </c>
      <c r="K2660" s="18">
        <f t="shared" si="83"/>
        <v>0</v>
      </c>
      <c r="L2660" s="27">
        <v>22912.92</v>
      </c>
      <c r="M2660" s="36">
        <v>1064.2</v>
      </c>
      <c r="T2660" s="41">
        <v>0</v>
      </c>
      <c r="U2660" s="41">
        <v>0</v>
      </c>
      <c r="V2660" s="42" t="s">
        <v>113</v>
      </c>
      <c r="W2660" s="42">
        <v>0</v>
      </c>
      <c r="X2660" s="42">
        <v>0</v>
      </c>
    </row>
    <row r="2661" spans="1:24">
      <c r="A2661" s="27" t="s">
        <v>4907</v>
      </c>
      <c r="B2661" s="28" t="s">
        <v>215</v>
      </c>
      <c r="C2661" s="27" t="s">
        <v>4908</v>
      </c>
      <c r="D2661" s="27" t="s">
        <v>230</v>
      </c>
      <c r="E2661" s="29">
        <v>40268</v>
      </c>
      <c r="F2661" s="27">
        <v>15</v>
      </c>
      <c r="G2661" s="18">
        <v>30000</v>
      </c>
      <c r="H2661" s="27">
        <f t="shared" si="82"/>
        <v>0</v>
      </c>
      <c r="I2661" s="18">
        <v>21848.720000000001</v>
      </c>
      <c r="J2661" s="27">
        <v>30000</v>
      </c>
      <c r="K2661" s="18">
        <f t="shared" si="83"/>
        <v>0</v>
      </c>
      <c r="L2661" s="27">
        <v>22912.92</v>
      </c>
      <c r="M2661" s="36">
        <v>1064.2</v>
      </c>
      <c r="T2661" s="41">
        <v>0</v>
      </c>
      <c r="U2661" s="41">
        <v>0</v>
      </c>
      <c r="V2661" s="42" t="s">
        <v>113</v>
      </c>
      <c r="W2661" s="42">
        <v>0</v>
      </c>
      <c r="X2661" s="42">
        <v>0</v>
      </c>
    </row>
    <row r="2662" spans="1:24">
      <c r="A2662" s="27" t="s">
        <v>4909</v>
      </c>
      <c r="B2662" s="28" t="s">
        <v>215</v>
      </c>
      <c r="C2662" s="27" t="s">
        <v>4910</v>
      </c>
      <c r="D2662" s="27" t="s">
        <v>230</v>
      </c>
      <c r="E2662" s="29">
        <v>40268</v>
      </c>
      <c r="F2662" s="27">
        <v>15</v>
      </c>
      <c r="G2662" s="18">
        <v>30000</v>
      </c>
      <c r="H2662" s="27">
        <f t="shared" si="82"/>
        <v>0</v>
      </c>
      <c r="I2662" s="18">
        <v>21848.720000000001</v>
      </c>
      <c r="J2662" s="27">
        <v>30000</v>
      </c>
      <c r="K2662" s="18">
        <f t="shared" si="83"/>
        <v>0</v>
      </c>
      <c r="L2662" s="27">
        <v>22912.92</v>
      </c>
      <c r="M2662" s="36">
        <v>1064.2</v>
      </c>
      <c r="T2662" s="41">
        <v>0</v>
      </c>
      <c r="U2662" s="41">
        <v>0</v>
      </c>
      <c r="V2662" s="42" t="s">
        <v>113</v>
      </c>
      <c r="W2662" s="42">
        <v>0</v>
      </c>
      <c r="X2662" s="42">
        <v>0</v>
      </c>
    </row>
    <row r="2663" spans="1:24">
      <c r="A2663" s="27" t="s">
        <v>4911</v>
      </c>
      <c r="B2663" s="28" t="s">
        <v>215</v>
      </c>
      <c r="C2663" s="27" t="s">
        <v>4912</v>
      </c>
      <c r="D2663" s="27" t="s">
        <v>230</v>
      </c>
      <c r="E2663" s="29">
        <v>40268</v>
      </c>
      <c r="F2663" s="27">
        <v>15</v>
      </c>
      <c r="G2663" s="18">
        <v>30000</v>
      </c>
      <c r="H2663" s="27">
        <f t="shared" si="82"/>
        <v>0</v>
      </c>
      <c r="I2663" s="18">
        <v>21848.720000000001</v>
      </c>
      <c r="J2663" s="27">
        <v>30000</v>
      </c>
      <c r="K2663" s="18">
        <f t="shared" si="83"/>
        <v>0</v>
      </c>
      <c r="L2663" s="27">
        <v>22912.92</v>
      </c>
      <c r="M2663" s="36">
        <v>1064.2</v>
      </c>
      <c r="T2663" s="41">
        <v>0</v>
      </c>
      <c r="U2663" s="41">
        <v>0</v>
      </c>
      <c r="V2663" s="42" t="s">
        <v>113</v>
      </c>
      <c r="W2663" s="42">
        <v>0</v>
      </c>
      <c r="X2663" s="42">
        <v>0</v>
      </c>
    </row>
    <row r="2664" spans="1:24">
      <c r="A2664" s="27" t="s">
        <v>4913</v>
      </c>
      <c r="B2664" s="28" t="s">
        <v>215</v>
      </c>
      <c r="C2664" s="27" t="s">
        <v>4914</v>
      </c>
      <c r="D2664" s="27" t="s">
        <v>230</v>
      </c>
      <c r="E2664" s="29">
        <v>40268</v>
      </c>
      <c r="F2664" s="27">
        <v>15</v>
      </c>
      <c r="G2664" s="18">
        <v>30000</v>
      </c>
      <c r="H2664" s="27">
        <f t="shared" si="82"/>
        <v>0</v>
      </c>
      <c r="I2664" s="18">
        <v>21848.720000000001</v>
      </c>
      <c r="J2664" s="27">
        <v>30000</v>
      </c>
      <c r="K2664" s="18">
        <f t="shared" si="83"/>
        <v>0</v>
      </c>
      <c r="L2664" s="27">
        <v>22912.92</v>
      </c>
      <c r="M2664" s="36">
        <v>1064.2</v>
      </c>
      <c r="T2664" s="41">
        <v>0</v>
      </c>
      <c r="U2664" s="41">
        <v>0</v>
      </c>
      <c r="V2664" s="42" t="s">
        <v>113</v>
      </c>
      <c r="W2664" s="42">
        <v>0</v>
      </c>
      <c r="X2664" s="42">
        <v>0</v>
      </c>
    </row>
    <row r="2665" spans="1:24">
      <c r="A2665" s="27" t="s">
        <v>4915</v>
      </c>
      <c r="B2665" s="28" t="s">
        <v>215</v>
      </c>
      <c r="C2665" s="27" t="s">
        <v>4916</v>
      </c>
      <c r="D2665" s="27" t="s">
        <v>230</v>
      </c>
      <c r="E2665" s="29">
        <v>40268</v>
      </c>
      <c r="F2665" s="27">
        <v>15</v>
      </c>
      <c r="G2665" s="18">
        <v>30000</v>
      </c>
      <c r="H2665" s="27">
        <f t="shared" si="82"/>
        <v>0</v>
      </c>
      <c r="I2665" s="18">
        <v>21848.720000000001</v>
      </c>
      <c r="J2665" s="27">
        <v>30000</v>
      </c>
      <c r="K2665" s="18">
        <f t="shared" si="83"/>
        <v>0</v>
      </c>
      <c r="L2665" s="27">
        <v>22912.92</v>
      </c>
      <c r="M2665" s="36">
        <v>1064.2</v>
      </c>
      <c r="T2665" s="41">
        <v>0</v>
      </c>
      <c r="U2665" s="41">
        <v>0</v>
      </c>
      <c r="V2665" s="42" t="s">
        <v>113</v>
      </c>
      <c r="W2665" s="42">
        <v>0</v>
      </c>
      <c r="X2665" s="42">
        <v>0</v>
      </c>
    </row>
    <row r="2666" spans="1:24">
      <c r="A2666" s="27" t="s">
        <v>4917</v>
      </c>
      <c r="B2666" s="28" t="s">
        <v>215</v>
      </c>
      <c r="C2666" s="27" t="s">
        <v>4918</v>
      </c>
      <c r="D2666" s="27" t="s">
        <v>230</v>
      </c>
      <c r="E2666" s="29">
        <v>40268</v>
      </c>
      <c r="F2666" s="27">
        <v>15</v>
      </c>
      <c r="G2666" s="18">
        <v>60000</v>
      </c>
      <c r="H2666" s="27">
        <f t="shared" si="82"/>
        <v>0</v>
      </c>
      <c r="I2666" s="18">
        <v>43697.45</v>
      </c>
      <c r="J2666" s="27">
        <v>60000</v>
      </c>
      <c r="K2666" s="18">
        <f t="shared" si="83"/>
        <v>0</v>
      </c>
      <c r="L2666" s="27">
        <v>45825.86</v>
      </c>
      <c r="M2666" s="36">
        <v>2128.41</v>
      </c>
      <c r="T2666" s="41">
        <v>0</v>
      </c>
      <c r="U2666" s="41">
        <v>0</v>
      </c>
      <c r="V2666" s="42" t="s">
        <v>113</v>
      </c>
      <c r="W2666" s="42">
        <v>0</v>
      </c>
      <c r="X2666" s="42">
        <v>0</v>
      </c>
    </row>
    <row r="2667" spans="1:24">
      <c r="A2667" s="27" t="s">
        <v>4919</v>
      </c>
      <c r="B2667" s="28" t="s">
        <v>215</v>
      </c>
      <c r="C2667" s="27" t="s">
        <v>4920</v>
      </c>
      <c r="D2667" s="27" t="s">
        <v>230</v>
      </c>
      <c r="E2667" s="29">
        <v>40268</v>
      </c>
      <c r="F2667" s="27">
        <v>15</v>
      </c>
      <c r="G2667" s="18">
        <v>20000</v>
      </c>
      <c r="H2667" s="27">
        <f t="shared" si="82"/>
        <v>0</v>
      </c>
      <c r="I2667" s="18">
        <v>14565.81</v>
      </c>
      <c r="J2667" s="27">
        <v>20000</v>
      </c>
      <c r="K2667" s="18">
        <f t="shared" si="83"/>
        <v>0</v>
      </c>
      <c r="L2667" s="27">
        <v>15275.28</v>
      </c>
      <c r="M2667" s="36">
        <v>709.47</v>
      </c>
      <c r="T2667" s="41">
        <v>0</v>
      </c>
      <c r="U2667" s="41">
        <v>0</v>
      </c>
      <c r="V2667" s="42" t="s">
        <v>113</v>
      </c>
      <c r="W2667" s="42">
        <v>0</v>
      </c>
      <c r="X2667" s="42">
        <v>0</v>
      </c>
    </row>
    <row r="2668" spans="1:24">
      <c r="A2668" s="27" t="s">
        <v>4921</v>
      </c>
      <c r="B2668" s="28" t="s">
        <v>215</v>
      </c>
      <c r="C2668" s="27" t="s">
        <v>4922</v>
      </c>
      <c r="D2668" s="27" t="s">
        <v>230</v>
      </c>
      <c r="E2668" s="29">
        <v>41272</v>
      </c>
      <c r="F2668" s="27">
        <v>15</v>
      </c>
      <c r="G2668" s="18">
        <v>5257.61</v>
      </c>
      <c r="H2668" s="27">
        <f t="shared" si="82"/>
        <v>5257.61</v>
      </c>
      <c r="I2668" s="18">
        <v>5257.61</v>
      </c>
      <c r="J2668" s="27">
        <v>5257.61</v>
      </c>
      <c r="K2668" s="18">
        <f t="shared" si="83"/>
        <v>5257.61</v>
      </c>
      <c r="L2668" s="27">
        <v>4994.7299999999996</v>
      </c>
      <c r="M2668" s="36">
        <v>-262.88</v>
      </c>
      <c r="T2668" s="41">
        <v>0</v>
      </c>
      <c r="U2668" s="41">
        <v>0</v>
      </c>
      <c r="V2668" s="42" t="s">
        <v>113</v>
      </c>
      <c r="W2668" s="42">
        <v>5257.61</v>
      </c>
      <c r="X2668" s="42">
        <v>5257.61</v>
      </c>
    </row>
    <row r="2669" spans="1:24">
      <c r="A2669" s="27" t="s">
        <v>4923</v>
      </c>
      <c r="B2669" s="28" t="s">
        <v>215</v>
      </c>
      <c r="C2669" s="27" t="s">
        <v>4924</v>
      </c>
      <c r="D2669" s="27" t="s">
        <v>230</v>
      </c>
      <c r="E2669" s="29">
        <v>41269</v>
      </c>
      <c r="F2669" s="27">
        <v>15</v>
      </c>
      <c r="G2669" s="18">
        <v>105830</v>
      </c>
      <c r="H2669" s="27">
        <f t="shared" si="82"/>
        <v>0</v>
      </c>
      <c r="I2669" s="18">
        <v>54794.61</v>
      </c>
      <c r="J2669" s="27">
        <v>105830</v>
      </c>
      <c r="K2669" s="18">
        <f t="shared" si="83"/>
        <v>0</v>
      </c>
      <c r="L2669" s="27">
        <v>59877.26</v>
      </c>
      <c r="M2669" s="36">
        <v>5082.6499999999996</v>
      </c>
      <c r="T2669" s="41">
        <v>0</v>
      </c>
      <c r="U2669" s="41">
        <v>0</v>
      </c>
      <c r="V2669" s="42" t="s">
        <v>113</v>
      </c>
      <c r="W2669" s="42">
        <v>0</v>
      </c>
      <c r="X2669" s="42">
        <v>0</v>
      </c>
    </row>
    <row r="2670" spans="1:24">
      <c r="A2670" s="27" t="s">
        <v>4925</v>
      </c>
      <c r="B2670" s="28" t="s">
        <v>215</v>
      </c>
      <c r="C2670" s="27" t="s">
        <v>4926</v>
      </c>
      <c r="D2670" s="27" t="s">
        <v>230</v>
      </c>
      <c r="E2670" s="29">
        <v>41269</v>
      </c>
      <c r="F2670" s="27">
        <v>15</v>
      </c>
      <c r="G2670" s="18">
        <v>105830</v>
      </c>
      <c r="H2670" s="27">
        <f t="shared" si="82"/>
        <v>0</v>
      </c>
      <c r="I2670" s="18">
        <v>54794.61</v>
      </c>
      <c r="J2670" s="27">
        <v>105830</v>
      </c>
      <c r="K2670" s="18">
        <f t="shared" si="83"/>
        <v>0</v>
      </c>
      <c r="L2670" s="27">
        <v>59877.26</v>
      </c>
      <c r="M2670" s="36">
        <v>5082.6499999999996</v>
      </c>
      <c r="T2670" s="41">
        <v>0</v>
      </c>
      <c r="U2670" s="41">
        <v>0</v>
      </c>
      <c r="V2670" s="42" t="s">
        <v>113</v>
      </c>
      <c r="W2670" s="42">
        <v>0</v>
      </c>
      <c r="X2670" s="42">
        <v>0</v>
      </c>
    </row>
    <row r="2671" spans="1:24">
      <c r="A2671" s="27" t="s">
        <v>4927</v>
      </c>
      <c r="B2671" s="28" t="s">
        <v>215</v>
      </c>
      <c r="C2671" s="27" t="s">
        <v>4928</v>
      </c>
      <c r="D2671" s="27" t="s">
        <v>230</v>
      </c>
      <c r="E2671" s="29">
        <v>41269</v>
      </c>
      <c r="F2671" s="27">
        <v>15</v>
      </c>
      <c r="G2671" s="18">
        <v>8878.6299999999992</v>
      </c>
      <c r="H2671" s="27">
        <f t="shared" si="82"/>
        <v>0</v>
      </c>
      <c r="I2671" s="18">
        <v>4597.01</v>
      </c>
      <c r="J2671" s="27">
        <v>8878.6299999999992</v>
      </c>
      <c r="K2671" s="18">
        <f t="shared" si="83"/>
        <v>0</v>
      </c>
      <c r="L2671" s="27">
        <v>5023.42</v>
      </c>
      <c r="M2671" s="36">
        <v>426.41</v>
      </c>
      <c r="T2671" s="41">
        <v>0</v>
      </c>
      <c r="U2671" s="41">
        <v>0</v>
      </c>
      <c r="V2671" s="42" t="s">
        <v>113</v>
      </c>
      <c r="W2671" s="42">
        <v>0</v>
      </c>
      <c r="X2671" s="42">
        <v>0</v>
      </c>
    </row>
    <row r="2672" spans="1:24">
      <c r="A2672" s="27" t="s">
        <v>4929</v>
      </c>
      <c r="B2672" s="28" t="s">
        <v>215</v>
      </c>
      <c r="C2672" s="27" t="s">
        <v>4930</v>
      </c>
      <c r="D2672" s="27" t="s">
        <v>230</v>
      </c>
      <c r="E2672" s="29">
        <v>41269</v>
      </c>
      <c r="F2672" s="27">
        <v>15</v>
      </c>
      <c r="G2672" s="18">
        <v>8878.6299999999992</v>
      </c>
      <c r="H2672" s="27">
        <f t="shared" si="82"/>
        <v>0</v>
      </c>
      <c r="I2672" s="18">
        <v>4597.01</v>
      </c>
      <c r="J2672" s="27">
        <v>8878.6299999999992</v>
      </c>
      <c r="K2672" s="18">
        <f t="shared" si="83"/>
        <v>0</v>
      </c>
      <c r="L2672" s="27">
        <v>5023.42</v>
      </c>
      <c r="M2672" s="36">
        <v>426.41</v>
      </c>
      <c r="T2672" s="41">
        <v>0</v>
      </c>
      <c r="U2672" s="41">
        <v>0</v>
      </c>
      <c r="V2672" s="42" t="s">
        <v>113</v>
      </c>
      <c r="W2672" s="42">
        <v>0</v>
      </c>
      <c r="X2672" s="42">
        <v>0</v>
      </c>
    </row>
    <row r="2673" spans="1:24">
      <c r="A2673" s="27" t="s">
        <v>4931</v>
      </c>
      <c r="B2673" s="28" t="s">
        <v>215</v>
      </c>
      <c r="C2673" s="27" t="s">
        <v>4932</v>
      </c>
      <c r="D2673" s="27" t="s">
        <v>230</v>
      </c>
      <c r="E2673" s="29">
        <v>41269</v>
      </c>
      <c r="F2673" s="27">
        <v>15</v>
      </c>
      <c r="G2673" s="18">
        <v>105830</v>
      </c>
      <c r="H2673" s="27">
        <f t="shared" si="82"/>
        <v>0</v>
      </c>
      <c r="I2673" s="18">
        <v>54794.62</v>
      </c>
      <c r="J2673" s="27">
        <v>105830</v>
      </c>
      <c r="K2673" s="18">
        <f t="shared" si="83"/>
        <v>0</v>
      </c>
      <c r="L2673" s="27">
        <v>59877.27</v>
      </c>
      <c r="M2673" s="36">
        <v>5082.6499999999996</v>
      </c>
      <c r="T2673" s="41">
        <v>0</v>
      </c>
      <c r="U2673" s="41">
        <v>0</v>
      </c>
      <c r="V2673" s="42" t="s">
        <v>113</v>
      </c>
      <c r="W2673" s="42">
        <v>0</v>
      </c>
      <c r="X2673" s="42">
        <v>0</v>
      </c>
    </row>
    <row r="2674" spans="1:24">
      <c r="A2674" s="27" t="s">
        <v>4933</v>
      </c>
      <c r="B2674" s="28" t="s">
        <v>215</v>
      </c>
      <c r="C2674" s="27" t="s">
        <v>4934</v>
      </c>
      <c r="D2674" s="27" t="s">
        <v>230</v>
      </c>
      <c r="E2674" s="29">
        <v>41269</v>
      </c>
      <c r="F2674" s="27">
        <v>15</v>
      </c>
      <c r="G2674" s="18">
        <v>105830</v>
      </c>
      <c r="H2674" s="27">
        <f t="shared" si="82"/>
        <v>0</v>
      </c>
      <c r="I2674" s="18">
        <v>54794.61</v>
      </c>
      <c r="J2674" s="27">
        <v>105830</v>
      </c>
      <c r="K2674" s="18">
        <f t="shared" si="83"/>
        <v>0</v>
      </c>
      <c r="L2674" s="27">
        <v>59877.26</v>
      </c>
      <c r="M2674" s="36">
        <v>5082.6499999999996</v>
      </c>
      <c r="T2674" s="41">
        <v>0</v>
      </c>
      <c r="U2674" s="41">
        <v>0</v>
      </c>
      <c r="V2674" s="42" t="s">
        <v>113</v>
      </c>
      <c r="W2674" s="42">
        <v>0</v>
      </c>
      <c r="X2674" s="42">
        <v>0</v>
      </c>
    </row>
    <row r="2675" spans="1:24">
      <c r="A2675" s="27" t="s">
        <v>4935</v>
      </c>
      <c r="B2675" s="28" t="s">
        <v>215</v>
      </c>
      <c r="C2675" s="27" t="s">
        <v>4936</v>
      </c>
      <c r="D2675" s="27" t="s">
        <v>230</v>
      </c>
      <c r="E2675" s="29">
        <v>41269</v>
      </c>
      <c r="F2675" s="27">
        <v>15</v>
      </c>
      <c r="G2675" s="18">
        <v>105830</v>
      </c>
      <c r="H2675" s="27">
        <f t="shared" si="82"/>
        <v>0</v>
      </c>
      <c r="I2675" s="18">
        <v>54794.62</v>
      </c>
      <c r="J2675" s="27">
        <v>105830</v>
      </c>
      <c r="K2675" s="18">
        <f t="shared" si="83"/>
        <v>0</v>
      </c>
      <c r="L2675" s="27">
        <v>59877.27</v>
      </c>
      <c r="M2675" s="36">
        <v>5082.6499999999996</v>
      </c>
      <c r="T2675" s="41">
        <v>0</v>
      </c>
      <c r="U2675" s="41">
        <v>0</v>
      </c>
      <c r="V2675" s="42" t="s">
        <v>113</v>
      </c>
      <c r="W2675" s="42">
        <v>0</v>
      </c>
      <c r="X2675" s="42">
        <v>0</v>
      </c>
    </row>
    <row r="2676" spans="1:24">
      <c r="A2676" s="27" t="s">
        <v>4937</v>
      </c>
      <c r="B2676" s="28" t="s">
        <v>215</v>
      </c>
      <c r="C2676" s="27" t="s">
        <v>4938</v>
      </c>
      <c r="D2676" s="27" t="s">
        <v>230</v>
      </c>
      <c r="E2676" s="29">
        <v>41269</v>
      </c>
      <c r="F2676" s="27">
        <v>15</v>
      </c>
      <c r="G2676" s="18">
        <v>105830</v>
      </c>
      <c r="H2676" s="27">
        <f t="shared" si="82"/>
        <v>0</v>
      </c>
      <c r="I2676" s="18">
        <v>54794.61</v>
      </c>
      <c r="J2676" s="27">
        <v>105830</v>
      </c>
      <c r="K2676" s="18">
        <f t="shared" si="83"/>
        <v>0</v>
      </c>
      <c r="L2676" s="27">
        <v>59877.26</v>
      </c>
      <c r="M2676" s="36">
        <v>5082.6499999999996</v>
      </c>
      <c r="T2676" s="41">
        <v>0</v>
      </c>
      <c r="U2676" s="41">
        <v>0</v>
      </c>
      <c r="V2676" s="42" t="s">
        <v>113</v>
      </c>
      <c r="W2676" s="42">
        <v>0</v>
      </c>
      <c r="X2676" s="42">
        <v>0</v>
      </c>
    </row>
    <row r="2677" spans="1:24">
      <c r="A2677" s="27" t="s">
        <v>4939</v>
      </c>
      <c r="B2677" s="28" t="s">
        <v>215</v>
      </c>
      <c r="C2677" s="27" t="s">
        <v>4940</v>
      </c>
      <c r="D2677" s="27" t="s">
        <v>230</v>
      </c>
      <c r="E2677" s="29">
        <v>41269</v>
      </c>
      <c r="F2677" s="27">
        <v>15</v>
      </c>
      <c r="G2677" s="18">
        <v>105830</v>
      </c>
      <c r="H2677" s="27">
        <f t="shared" si="82"/>
        <v>0</v>
      </c>
      <c r="I2677" s="18">
        <v>54794.61</v>
      </c>
      <c r="J2677" s="27">
        <v>105830</v>
      </c>
      <c r="K2677" s="18">
        <f t="shared" si="83"/>
        <v>0</v>
      </c>
      <c r="L2677" s="27">
        <v>59877.26</v>
      </c>
      <c r="M2677" s="36">
        <v>5082.6499999999996</v>
      </c>
      <c r="T2677" s="41">
        <v>0</v>
      </c>
      <c r="U2677" s="41">
        <v>0</v>
      </c>
      <c r="V2677" s="42" t="s">
        <v>113</v>
      </c>
      <c r="W2677" s="42">
        <v>0</v>
      </c>
      <c r="X2677" s="42">
        <v>0</v>
      </c>
    </row>
    <row r="2678" spans="1:24">
      <c r="A2678" s="27" t="s">
        <v>4941</v>
      </c>
      <c r="B2678" s="28" t="s">
        <v>215</v>
      </c>
      <c r="C2678" s="27" t="s">
        <v>4942</v>
      </c>
      <c r="D2678" s="27" t="s">
        <v>230</v>
      </c>
      <c r="E2678" s="29">
        <v>41269</v>
      </c>
      <c r="F2678" s="27">
        <v>15</v>
      </c>
      <c r="G2678" s="18">
        <v>105830</v>
      </c>
      <c r="H2678" s="27">
        <f t="shared" si="82"/>
        <v>0</v>
      </c>
      <c r="I2678" s="18">
        <v>54794.62</v>
      </c>
      <c r="J2678" s="27">
        <v>105830</v>
      </c>
      <c r="K2678" s="18">
        <f t="shared" si="83"/>
        <v>0</v>
      </c>
      <c r="L2678" s="27">
        <v>59877.27</v>
      </c>
      <c r="M2678" s="36">
        <v>5082.6499999999996</v>
      </c>
      <c r="T2678" s="41">
        <v>0</v>
      </c>
      <c r="U2678" s="41">
        <v>0</v>
      </c>
      <c r="V2678" s="42" t="s">
        <v>113</v>
      </c>
      <c r="W2678" s="42">
        <v>0</v>
      </c>
      <c r="X2678" s="42">
        <v>0</v>
      </c>
    </row>
    <row r="2679" spans="1:24">
      <c r="A2679" s="27" t="s">
        <v>4943</v>
      </c>
      <c r="B2679" s="28" t="s">
        <v>215</v>
      </c>
      <c r="C2679" s="27" t="s">
        <v>4944</v>
      </c>
      <c r="D2679" s="27" t="s">
        <v>230</v>
      </c>
      <c r="E2679" s="29">
        <v>41269</v>
      </c>
      <c r="F2679" s="27">
        <v>15</v>
      </c>
      <c r="G2679" s="18">
        <v>105830</v>
      </c>
      <c r="H2679" s="27">
        <f t="shared" si="82"/>
        <v>0</v>
      </c>
      <c r="I2679" s="18">
        <v>54794.62</v>
      </c>
      <c r="J2679" s="27">
        <v>105830</v>
      </c>
      <c r="K2679" s="18">
        <f t="shared" si="83"/>
        <v>0</v>
      </c>
      <c r="L2679" s="27">
        <v>59877.27</v>
      </c>
      <c r="M2679" s="36">
        <v>5082.6499999999996</v>
      </c>
      <c r="T2679" s="41">
        <v>0</v>
      </c>
      <c r="U2679" s="41">
        <v>0</v>
      </c>
      <c r="V2679" s="42" t="s">
        <v>113</v>
      </c>
      <c r="W2679" s="42">
        <v>0</v>
      </c>
      <c r="X2679" s="42">
        <v>0</v>
      </c>
    </row>
    <row r="2680" spans="1:24">
      <c r="A2680" s="27" t="s">
        <v>4945</v>
      </c>
      <c r="B2680" s="28" t="s">
        <v>215</v>
      </c>
      <c r="C2680" s="27" t="s">
        <v>4946</v>
      </c>
      <c r="D2680" s="27" t="s">
        <v>230</v>
      </c>
      <c r="E2680" s="29">
        <v>41269</v>
      </c>
      <c r="F2680" s="27">
        <v>15</v>
      </c>
      <c r="G2680" s="18">
        <v>105830</v>
      </c>
      <c r="H2680" s="27">
        <f t="shared" si="82"/>
        <v>0</v>
      </c>
      <c r="I2680" s="18">
        <v>54794.61</v>
      </c>
      <c r="J2680" s="27">
        <v>105830</v>
      </c>
      <c r="K2680" s="18">
        <f t="shared" si="83"/>
        <v>0</v>
      </c>
      <c r="L2680" s="27">
        <v>59877.26</v>
      </c>
      <c r="M2680" s="36">
        <v>5082.6499999999996</v>
      </c>
      <c r="T2680" s="41">
        <v>0</v>
      </c>
      <c r="U2680" s="41">
        <v>0</v>
      </c>
      <c r="V2680" s="42" t="s">
        <v>113</v>
      </c>
      <c r="W2680" s="42">
        <v>0</v>
      </c>
      <c r="X2680" s="42">
        <v>0</v>
      </c>
    </row>
    <row r="2681" spans="1:24">
      <c r="A2681" s="27" t="s">
        <v>4947</v>
      </c>
      <c r="B2681" s="28" t="s">
        <v>215</v>
      </c>
      <c r="C2681" s="27" t="s">
        <v>4948</v>
      </c>
      <c r="D2681" s="27" t="s">
        <v>112</v>
      </c>
      <c r="E2681" s="29">
        <v>41272</v>
      </c>
      <c r="F2681" s="27">
        <v>15</v>
      </c>
      <c r="G2681" s="18">
        <v>144784.17000000001</v>
      </c>
      <c r="H2681" s="27">
        <f t="shared" si="82"/>
        <v>144784.17000000001</v>
      </c>
      <c r="I2681" s="18">
        <v>142892.51</v>
      </c>
      <c r="J2681" s="27">
        <v>144784.17000000001</v>
      </c>
      <c r="K2681" s="18">
        <f t="shared" si="83"/>
        <v>144784.17000000001</v>
      </c>
      <c r="L2681" s="27">
        <v>137544.95999999999</v>
      </c>
      <c r="M2681" s="36">
        <v>-5347.55</v>
      </c>
      <c r="T2681" s="41">
        <v>0</v>
      </c>
      <c r="U2681" s="41">
        <v>0</v>
      </c>
      <c r="V2681" s="42" t="s">
        <v>113</v>
      </c>
      <c r="W2681" s="42">
        <v>144784.17000000001</v>
      </c>
      <c r="X2681" s="42">
        <v>144784.17000000001</v>
      </c>
    </row>
    <row r="2682" spans="1:24">
      <c r="A2682" s="27" t="s">
        <v>4949</v>
      </c>
      <c r="B2682" s="28" t="s">
        <v>215</v>
      </c>
      <c r="C2682" s="27" t="s">
        <v>4950</v>
      </c>
      <c r="D2682" s="27" t="s">
        <v>112</v>
      </c>
      <c r="E2682" s="29">
        <v>40171</v>
      </c>
      <c r="F2682" s="27">
        <v>15</v>
      </c>
      <c r="G2682" s="18">
        <v>34845.269999999997</v>
      </c>
      <c r="H2682" s="27">
        <f t="shared" si="82"/>
        <v>34845.269999999997</v>
      </c>
      <c r="I2682" s="18">
        <v>33103.01</v>
      </c>
      <c r="J2682" s="27">
        <v>34845.269999999997</v>
      </c>
      <c r="K2682" s="18">
        <f t="shared" si="83"/>
        <v>34845.269999999997</v>
      </c>
      <c r="L2682" s="27">
        <v>33103.01</v>
      </c>
      <c r="M2682" s="36">
        <v>0</v>
      </c>
      <c r="T2682" s="41">
        <v>0</v>
      </c>
      <c r="U2682" s="41">
        <v>0</v>
      </c>
      <c r="V2682" s="42" t="s">
        <v>113</v>
      </c>
      <c r="W2682" s="42">
        <v>34845.269999999997</v>
      </c>
      <c r="X2682" s="42">
        <v>34845.269999999997</v>
      </c>
    </row>
    <row r="2683" spans="1:24">
      <c r="A2683" s="27" t="s">
        <v>4951</v>
      </c>
      <c r="B2683" s="28" t="s">
        <v>215</v>
      </c>
      <c r="C2683" s="27" t="s">
        <v>4952</v>
      </c>
      <c r="D2683" s="27" t="s">
        <v>112</v>
      </c>
      <c r="E2683" s="29">
        <v>40171</v>
      </c>
      <c r="F2683" s="27">
        <v>15</v>
      </c>
      <c r="G2683" s="18">
        <v>34845.19</v>
      </c>
      <c r="H2683" s="27">
        <f t="shared" si="82"/>
        <v>34845.19</v>
      </c>
      <c r="I2683" s="18">
        <v>33102.93</v>
      </c>
      <c r="J2683" s="27">
        <v>34845.19</v>
      </c>
      <c r="K2683" s="18">
        <f t="shared" si="83"/>
        <v>34845.19</v>
      </c>
      <c r="L2683" s="27">
        <v>33102.93</v>
      </c>
      <c r="M2683" s="36">
        <v>0</v>
      </c>
      <c r="T2683" s="41">
        <v>0</v>
      </c>
      <c r="U2683" s="41">
        <v>0</v>
      </c>
      <c r="V2683" s="42" t="s">
        <v>113</v>
      </c>
      <c r="W2683" s="42">
        <v>34845.19</v>
      </c>
      <c r="X2683" s="42">
        <v>34845.19</v>
      </c>
    </row>
    <row r="2684" spans="1:24">
      <c r="A2684" s="27" t="s">
        <v>4953</v>
      </c>
      <c r="B2684" s="28" t="s">
        <v>215</v>
      </c>
      <c r="C2684" s="27" t="s">
        <v>4954</v>
      </c>
      <c r="D2684" s="27" t="s">
        <v>112</v>
      </c>
      <c r="E2684" s="29">
        <v>40171</v>
      </c>
      <c r="F2684" s="27">
        <v>15</v>
      </c>
      <c r="G2684" s="18">
        <v>34845.269999999997</v>
      </c>
      <c r="H2684" s="27">
        <f t="shared" si="82"/>
        <v>34845.269999999997</v>
      </c>
      <c r="I2684" s="18">
        <v>33103.01</v>
      </c>
      <c r="J2684" s="27">
        <v>34845.269999999997</v>
      </c>
      <c r="K2684" s="18">
        <f t="shared" si="83"/>
        <v>34845.269999999997</v>
      </c>
      <c r="L2684" s="27">
        <v>33103.01</v>
      </c>
      <c r="M2684" s="36">
        <v>0</v>
      </c>
      <c r="T2684" s="41">
        <v>0</v>
      </c>
      <c r="U2684" s="41">
        <v>0</v>
      </c>
      <c r="V2684" s="42" t="s">
        <v>113</v>
      </c>
      <c r="W2684" s="42">
        <v>34845.269999999997</v>
      </c>
      <c r="X2684" s="42">
        <v>34845.269999999997</v>
      </c>
    </row>
    <row r="2685" spans="1:24">
      <c r="A2685" s="27" t="s">
        <v>4955</v>
      </c>
      <c r="B2685" s="28" t="s">
        <v>215</v>
      </c>
      <c r="C2685" s="27" t="s">
        <v>4956</v>
      </c>
      <c r="D2685" s="27" t="s">
        <v>112</v>
      </c>
      <c r="E2685" s="29">
        <v>40171</v>
      </c>
      <c r="F2685" s="27">
        <v>15</v>
      </c>
      <c r="G2685" s="18">
        <v>34845.269999999997</v>
      </c>
      <c r="H2685" s="27">
        <f t="shared" si="82"/>
        <v>34845.269999999997</v>
      </c>
      <c r="I2685" s="18">
        <v>33103.01</v>
      </c>
      <c r="J2685" s="27">
        <v>34845.269999999997</v>
      </c>
      <c r="K2685" s="18">
        <f t="shared" si="83"/>
        <v>34845.269999999997</v>
      </c>
      <c r="L2685" s="27">
        <v>33103.01</v>
      </c>
      <c r="M2685" s="36">
        <v>0</v>
      </c>
      <c r="T2685" s="41">
        <v>0</v>
      </c>
      <c r="U2685" s="41">
        <v>0</v>
      </c>
      <c r="V2685" s="42" t="s">
        <v>113</v>
      </c>
      <c r="W2685" s="42">
        <v>34845.269999999997</v>
      </c>
      <c r="X2685" s="42">
        <v>34845.269999999997</v>
      </c>
    </row>
    <row r="2686" spans="1:24">
      <c r="A2686" s="27" t="s">
        <v>4957</v>
      </c>
      <c r="B2686" s="28" t="s">
        <v>215</v>
      </c>
      <c r="C2686" s="27" t="s">
        <v>4958</v>
      </c>
      <c r="D2686" s="27" t="s">
        <v>112</v>
      </c>
      <c r="E2686" s="29">
        <v>40171</v>
      </c>
      <c r="F2686" s="27">
        <v>15</v>
      </c>
      <c r="G2686" s="18">
        <v>34845.269999999997</v>
      </c>
      <c r="H2686" s="27">
        <f t="shared" si="82"/>
        <v>34845.269999999997</v>
      </c>
      <c r="I2686" s="18">
        <v>33103.01</v>
      </c>
      <c r="J2686" s="27">
        <v>34845.269999999997</v>
      </c>
      <c r="K2686" s="18">
        <f t="shared" si="83"/>
        <v>34845.269999999997</v>
      </c>
      <c r="L2686" s="27">
        <v>33103.01</v>
      </c>
      <c r="M2686" s="36">
        <v>0</v>
      </c>
      <c r="T2686" s="41">
        <v>0</v>
      </c>
      <c r="U2686" s="41">
        <v>0</v>
      </c>
      <c r="V2686" s="42" t="s">
        <v>113</v>
      </c>
      <c r="W2686" s="42">
        <v>34845.269999999997</v>
      </c>
      <c r="X2686" s="42">
        <v>34845.269999999997</v>
      </c>
    </row>
    <row r="2687" spans="1:24">
      <c r="A2687" s="27" t="s">
        <v>4959</v>
      </c>
      <c r="B2687" s="28" t="s">
        <v>215</v>
      </c>
      <c r="C2687" s="27" t="s">
        <v>4960</v>
      </c>
      <c r="D2687" s="27" t="s">
        <v>112</v>
      </c>
      <c r="E2687" s="29">
        <v>40171</v>
      </c>
      <c r="F2687" s="27">
        <v>15</v>
      </c>
      <c r="G2687" s="18">
        <v>34845.269999999997</v>
      </c>
      <c r="H2687" s="27">
        <f t="shared" si="82"/>
        <v>34845.269999999997</v>
      </c>
      <c r="I2687" s="18">
        <v>33103.01</v>
      </c>
      <c r="J2687" s="27">
        <v>34845.269999999997</v>
      </c>
      <c r="K2687" s="18">
        <f t="shared" si="83"/>
        <v>34845.269999999997</v>
      </c>
      <c r="L2687" s="27">
        <v>33103.01</v>
      </c>
      <c r="M2687" s="36">
        <v>0</v>
      </c>
      <c r="T2687" s="41">
        <v>0</v>
      </c>
      <c r="U2687" s="41">
        <v>0</v>
      </c>
      <c r="V2687" s="42" t="s">
        <v>113</v>
      </c>
      <c r="W2687" s="42">
        <v>34845.269999999997</v>
      </c>
      <c r="X2687" s="42">
        <v>34845.269999999997</v>
      </c>
    </row>
    <row r="2688" spans="1:24">
      <c r="A2688" s="27" t="s">
        <v>4961</v>
      </c>
      <c r="B2688" s="28" t="s">
        <v>215</v>
      </c>
      <c r="C2688" s="27" t="s">
        <v>4962</v>
      </c>
      <c r="D2688" s="27" t="s">
        <v>112</v>
      </c>
      <c r="E2688" s="29">
        <v>40171</v>
      </c>
      <c r="F2688" s="27">
        <v>15</v>
      </c>
      <c r="G2688" s="18">
        <v>34845.269999999997</v>
      </c>
      <c r="H2688" s="27">
        <f t="shared" si="82"/>
        <v>34845.269999999997</v>
      </c>
      <c r="I2688" s="18">
        <v>33103.01</v>
      </c>
      <c r="J2688" s="27">
        <v>34845.269999999997</v>
      </c>
      <c r="K2688" s="18">
        <f t="shared" si="83"/>
        <v>34845.269999999997</v>
      </c>
      <c r="L2688" s="27">
        <v>33103.01</v>
      </c>
      <c r="M2688" s="36">
        <v>0</v>
      </c>
      <c r="T2688" s="41">
        <v>0</v>
      </c>
      <c r="U2688" s="41">
        <v>0</v>
      </c>
      <c r="V2688" s="42" t="s">
        <v>113</v>
      </c>
      <c r="W2688" s="42">
        <v>34845.269999999997</v>
      </c>
      <c r="X2688" s="42">
        <v>34845.269999999997</v>
      </c>
    </row>
    <row r="2689" spans="1:24">
      <c r="A2689" s="27" t="s">
        <v>4963</v>
      </c>
      <c r="B2689" s="28" t="s">
        <v>215</v>
      </c>
      <c r="C2689" s="27" t="s">
        <v>4964</v>
      </c>
      <c r="D2689" s="27" t="s">
        <v>112</v>
      </c>
      <c r="E2689" s="29">
        <v>40171</v>
      </c>
      <c r="F2689" s="27">
        <v>15</v>
      </c>
      <c r="G2689" s="18">
        <v>34845.269999999997</v>
      </c>
      <c r="H2689" s="27">
        <f t="shared" si="82"/>
        <v>34845.269999999997</v>
      </c>
      <c r="I2689" s="18">
        <v>33103.01</v>
      </c>
      <c r="J2689" s="27">
        <v>34845.269999999997</v>
      </c>
      <c r="K2689" s="18">
        <f t="shared" si="83"/>
        <v>34845.269999999997</v>
      </c>
      <c r="L2689" s="27">
        <v>33103.01</v>
      </c>
      <c r="M2689" s="36">
        <v>0</v>
      </c>
      <c r="T2689" s="41">
        <v>0</v>
      </c>
      <c r="U2689" s="41">
        <v>0</v>
      </c>
      <c r="V2689" s="42" t="s">
        <v>113</v>
      </c>
      <c r="W2689" s="42">
        <v>34845.269999999997</v>
      </c>
      <c r="X2689" s="42">
        <v>34845.269999999997</v>
      </c>
    </row>
    <row r="2690" spans="1:24">
      <c r="A2690" s="27" t="s">
        <v>4965</v>
      </c>
      <c r="B2690" s="28" t="s">
        <v>215</v>
      </c>
      <c r="C2690" s="27" t="s">
        <v>4966</v>
      </c>
      <c r="D2690" s="27" t="s">
        <v>112</v>
      </c>
      <c r="E2690" s="29">
        <v>40171</v>
      </c>
      <c r="F2690" s="27">
        <v>15</v>
      </c>
      <c r="G2690" s="18">
        <v>34845.269999999997</v>
      </c>
      <c r="H2690" s="27">
        <f t="shared" si="82"/>
        <v>34845.269999999997</v>
      </c>
      <c r="I2690" s="18">
        <v>33103.01</v>
      </c>
      <c r="J2690" s="27">
        <v>34845.269999999997</v>
      </c>
      <c r="K2690" s="18">
        <f t="shared" si="83"/>
        <v>34845.269999999997</v>
      </c>
      <c r="L2690" s="27">
        <v>33103.01</v>
      </c>
      <c r="M2690" s="36">
        <v>0</v>
      </c>
      <c r="T2690" s="41">
        <v>0</v>
      </c>
      <c r="U2690" s="41">
        <v>0</v>
      </c>
      <c r="V2690" s="42" t="s">
        <v>113</v>
      </c>
      <c r="W2690" s="42">
        <v>34845.269999999997</v>
      </c>
      <c r="X2690" s="42">
        <v>34845.269999999997</v>
      </c>
    </row>
    <row r="2691" spans="1:24">
      <c r="A2691" s="27" t="s">
        <v>4967</v>
      </c>
      <c r="B2691" s="28" t="s">
        <v>215</v>
      </c>
      <c r="C2691" s="27" t="s">
        <v>4968</v>
      </c>
      <c r="D2691" s="27" t="s">
        <v>112</v>
      </c>
      <c r="E2691" s="29">
        <v>40171</v>
      </c>
      <c r="F2691" s="27">
        <v>15</v>
      </c>
      <c r="G2691" s="18">
        <v>34845.269999999997</v>
      </c>
      <c r="H2691" s="27">
        <f t="shared" si="82"/>
        <v>34845.269999999997</v>
      </c>
      <c r="I2691" s="18">
        <v>33103.01</v>
      </c>
      <c r="J2691" s="27">
        <v>34845.269999999997</v>
      </c>
      <c r="K2691" s="18">
        <f t="shared" si="83"/>
        <v>34845.269999999997</v>
      </c>
      <c r="L2691" s="27">
        <v>33103.01</v>
      </c>
      <c r="M2691" s="36">
        <v>0</v>
      </c>
      <c r="T2691" s="41">
        <v>0</v>
      </c>
      <c r="U2691" s="41">
        <v>0</v>
      </c>
      <c r="V2691" s="42" t="s">
        <v>113</v>
      </c>
      <c r="W2691" s="42">
        <v>34845.269999999997</v>
      </c>
      <c r="X2691" s="42">
        <v>34845.269999999997</v>
      </c>
    </row>
    <row r="2692" spans="1:24">
      <c r="A2692" s="27" t="s">
        <v>4969</v>
      </c>
      <c r="B2692" s="28" t="s">
        <v>215</v>
      </c>
      <c r="C2692" s="27" t="s">
        <v>4970</v>
      </c>
      <c r="D2692" s="27" t="s">
        <v>112</v>
      </c>
      <c r="E2692" s="29">
        <v>40171</v>
      </c>
      <c r="F2692" s="27">
        <v>15</v>
      </c>
      <c r="G2692" s="18">
        <v>34845.269999999997</v>
      </c>
      <c r="H2692" s="27">
        <f t="shared" si="82"/>
        <v>34845.269999999997</v>
      </c>
      <c r="I2692" s="18">
        <v>33103.01</v>
      </c>
      <c r="J2692" s="27">
        <v>34845.269999999997</v>
      </c>
      <c r="K2692" s="18">
        <f t="shared" si="83"/>
        <v>34845.269999999997</v>
      </c>
      <c r="L2692" s="27">
        <v>33103.01</v>
      </c>
      <c r="M2692" s="36">
        <v>0</v>
      </c>
      <c r="T2692" s="41">
        <v>0</v>
      </c>
      <c r="U2692" s="41">
        <v>0</v>
      </c>
      <c r="V2692" s="42" t="s">
        <v>113</v>
      </c>
      <c r="W2692" s="42">
        <v>34845.269999999997</v>
      </c>
      <c r="X2692" s="42">
        <v>34845.269999999997</v>
      </c>
    </row>
    <row r="2693" spans="1:24">
      <c r="A2693" s="27" t="s">
        <v>4971</v>
      </c>
      <c r="B2693" s="28" t="s">
        <v>215</v>
      </c>
      <c r="C2693" s="27" t="s">
        <v>4972</v>
      </c>
      <c r="D2693" s="27" t="s">
        <v>112</v>
      </c>
      <c r="E2693" s="29">
        <v>40171</v>
      </c>
      <c r="F2693" s="27">
        <v>15</v>
      </c>
      <c r="G2693" s="18">
        <v>34845.269999999997</v>
      </c>
      <c r="H2693" s="27">
        <f t="shared" si="82"/>
        <v>34845.269999999997</v>
      </c>
      <c r="I2693" s="18">
        <v>33103.01</v>
      </c>
      <c r="J2693" s="27">
        <v>34845.269999999997</v>
      </c>
      <c r="K2693" s="18">
        <f t="shared" si="83"/>
        <v>34845.269999999997</v>
      </c>
      <c r="L2693" s="27">
        <v>33103.01</v>
      </c>
      <c r="M2693" s="36">
        <v>0</v>
      </c>
      <c r="T2693" s="41">
        <v>0</v>
      </c>
      <c r="U2693" s="41">
        <v>0</v>
      </c>
      <c r="V2693" s="42" t="s">
        <v>113</v>
      </c>
      <c r="W2693" s="42">
        <v>34845.269999999997</v>
      </c>
      <c r="X2693" s="42">
        <v>34845.269999999997</v>
      </c>
    </row>
    <row r="2694" spans="1:24">
      <c r="A2694" s="27" t="s">
        <v>4973</v>
      </c>
      <c r="B2694" s="28" t="s">
        <v>215</v>
      </c>
      <c r="C2694" s="27" t="s">
        <v>4974</v>
      </c>
      <c r="D2694" s="27" t="s">
        <v>112</v>
      </c>
      <c r="E2694" s="29">
        <v>40171</v>
      </c>
      <c r="F2694" s="27">
        <v>15</v>
      </c>
      <c r="G2694" s="18">
        <v>34845.269999999997</v>
      </c>
      <c r="H2694" s="27">
        <f t="shared" ref="H2694:H2757" si="84">IFERROR(IF(ROUND((G2694-I2694)/G2694,2)&lt;=0.05,G2694,0),0)</f>
        <v>34845.269999999997</v>
      </c>
      <c r="I2694" s="18">
        <v>33103.01</v>
      </c>
      <c r="J2694" s="27">
        <v>34845.269999999997</v>
      </c>
      <c r="K2694" s="18">
        <f t="shared" ref="K2694:K2757" si="85">IFERROR(IF(ROUND((J2694-L2694)/J2694,2)&lt;=0.05,J2694,0),0)</f>
        <v>34845.269999999997</v>
      </c>
      <c r="L2694" s="27">
        <v>33103.01</v>
      </c>
      <c r="M2694" s="36">
        <v>0</v>
      </c>
      <c r="T2694" s="41">
        <v>0</v>
      </c>
      <c r="U2694" s="41">
        <v>0</v>
      </c>
      <c r="V2694" s="42" t="s">
        <v>113</v>
      </c>
      <c r="W2694" s="42">
        <v>34845.269999999997</v>
      </c>
      <c r="X2694" s="42">
        <v>34845.269999999997</v>
      </c>
    </row>
    <row r="2695" spans="1:24">
      <c r="A2695" s="27" t="s">
        <v>4975</v>
      </c>
      <c r="B2695" s="28" t="s">
        <v>215</v>
      </c>
      <c r="C2695" s="27" t="s">
        <v>4976</v>
      </c>
      <c r="D2695" s="27" t="s">
        <v>112</v>
      </c>
      <c r="E2695" s="29">
        <v>40171</v>
      </c>
      <c r="F2695" s="27">
        <v>15</v>
      </c>
      <c r="G2695" s="18">
        <v>34845.269999999997</v>
      </c>
      <c r="H2695" s="27">
        <f t="shared" si="84"/>
        <v>34845.269999999997</v>
      </c>
      <c r="I2695" s="18">
        <v>33103.01</v>
      </c>
      <c r="J2695" s="27">
        <v>34845.269999999997</v>
      </c>
      <c r="K2695" s="18">
        <f t="shared" si="85"/>
        <v>34845.269999999997</v>
      </c>
      <c r="L2695" s="27">
        <v>33103.01</v>
      </c>
      <c r="M2695" s="36">
        <v>0</v>
      </c>
      <c r="T2695" s="41">
        <v>0</v>
      </c>
      <c r="U2695" s="41">
        <v>0</v>
      </c>
      <c r="V2695" s="42" t="s">
        <v>113</v>
      </c>
      <c r="W2695" s="42">
        <v>34845.269999999997</v>
      </c>
      <c r="X2695" s="42">
        <v>34845.269999999997</v>
      </c>
    </row>
    <row r="2696" spans="1:24">
      <c r="A2696" s="27" t="s">
        <v>4977</v>
      </c>
      <c r="B2696" s="28" t="s">
        <v>215</v>
      </c>
      <c r="C2696" s="27" t="s">
        <v>4978</v>
      </c>
      <c r="D2696" s="27" t="s">
        <v>112</v>
      </c>
      <c r="E2696" s="29">
        <v>40171</v>
      </c>
      <c r="F2696" s="27">
        <v>15</v>
      </c>
      <c r="G2696" s="18">
        <v>34845.269999999997</v>
      </c>
      <c r="H2696" s="27">
        <f t="shared" si="84"/>
        <v>34845.269999999997</v>
      </c>
      <c r="I2696" s="18">
        <v>33103.01</v>
      </c>
      <c r="J2696" s="27">
        <v>34845.269999999997</v>
      </c>
      <c r="K2696" s="18">
        <f t="shared" si="85"/>
        <v>34845.269999999997</v>
      </c>
      <c r="L2696" s="27">
        <v>33103.01</v>
      </c>
      <c r="M2696" s="36">
        <v>0</v>
      </c>
      <c r="T2696" s="41">
        <v>0</v>
      </c>
      <c r="U2696" s="41">
        <v>0</v>
      </c>
      <c r="V2696" s="42" t="s">
        <v>113</v>
      </c>
      <c r="W2696" s="42">
        <v>34845.269999999997</v>
      </c>
      <c r="X2696" s="42">
        <v>34845.269999999997</v>
      </c>
    </row>
    <row r="2697" spans="1:24">
      <c r="A2697" s="27" t="s">
        <v>4979</v>
      </c>
      <c r="B2697" s="28" t="s">
        <v>215</v>
      </c>
      <c r="C2697" s="27" t="s">
        <v>4980</v>
      </c>
      <c r="D2697" s="27" t="s">
        <v>112</v>
      </c>
      <c r="E2697" s="29">
        <v>40171</v>
      </c>
      <c r="F2697" s="27">
        <v>15</v>
      </c>
      <c r="G2697" s="18">
        <v>34845.269999999997</v>
      </c>
      <c r="H2697" s="27">
        <f t="shared" si="84"/>
        <v>34845.269999999997</v>
      </c>
      <c r="I2697" s="18">
        <v>33103.01</v>
      </c>
      <c r="J2697" s="27">
        <v>34845.269999999997</v>
      </c>
      <c r="K2697" s="18">
        <f t="shared" si="85"/>
        <v>34845.269999999997</v>
      </c>
      <c r="L2697" s="27">
        <v>33103.01</v>
      </c>
      <c r="M2697" s="36">
        <v>0</v>
      </c>
      <c r="T2697" s="41">
        <v>0</v>
      </c>
      <c r="U2697" s="41">
        <v>0</v>
      </c>
      <c r="V2697" s="42" t="s">
        <v>113</v>
      </c>
      <c r="W2697" s="42">
        <v>34845.269999999997</v>
      </c>
      <c r="X2697" s="42">
        <v>34845.269999999997</v>
      </c>
    </row>
    <row r="2698" spans="1:24">
      <c r="A2698" s="27" t="s">
        <v>4981</v>
      </c>
      <c r="B2698" s="28" t="s">
        <v>215</v>
      </c>
      <c r="C2698" s="27" t="s">
        <v>4982</v>
      </c>
      <c r="D2698" s="27" t="s">
        <v>112</v>
      </c>
      <c r="E2698" s="29">
        <v>40171</v>
      </c>
      <c r="F2698" s="27">
        <v>15</v>
      </c>
      <c r="G2698" s="18">
        <v>34845.269999999997</v>
      </c>
      <c r="H2698" s="27">
        <f t="shared" si="84"/>
        <v>34845.269999999997</v>
      </c>
      <c r="I2698" s="18">
        <v>33103.01</v>
      </c>
      <c r="J2698" s="27">
        <v>34845.269999999997</v>
      </c>
      <c r="K2698" s="18">
        <f t="shared" si="85"/>
        <v>34845.269999999997</v>
      </c>
      <c r="L2698" s="27">
        <v>33103.01</v>
      </c>
      <c r="M2698" s="36">
        <v>0</v>
      </c>
      <c r="T2698" s="41">
        <v>0</v>
      </c>
      <c r="U2698" s="41">
        <v>0</v>
      </c>
      <c r="V2698" s="42" t="s">
        <v>113</v>
      </c>
      <c r="W2698" s="42">
        <v>34845.269999999997</v>
      </c>
      <c r="X2698" s="42">
        <v>34845.269999999997</v>
      </c>
    </row>
    <row r="2699" spans="1:24">
      <c r="A2699" s="27" t="s">
        <v>4983</v>
      </c>
      <c r="B2699" s="28" t="s">
        <v>215</v>
      </c>
      <c r="C2699" s="27" t="s">
        <v>4984</v>
      </c>
      <c r="D2699" s="27" t="s">
        <v>112</v>
      </c>
      <c r="E2699" s="29">
        <v>40171</v>
      </c>
      <c r="F2699" s="27">
        <v>15</v>
      </c>
      <c r="G2699" s="18">
        <v>34845.269999999997</v>
      </c>
      <c r="H2699" s="27">
        <f t="shared" si="84"/>
        <v>34845.269999999997</v>
      </c>
      <c r="I2699" s="18">
        <v>33103.01</v>
      </c>
      <c r="J2699" s="27">
        <v>34845.269999999997</v>
      </c>
      <c r="K2699" s="18">
        <f t="shared" si="85"/>
        <v>34845.269999999997</v>
      </c>
      <c r="L2699" s="27">
        <v>33103.01</v>
      </c>
      <c r="M2699" s="36">
        <v>0</v>
      </c>
      <c r="T2699" s="41">
        <v>0</v>
      </c>
      <c r="U2699" s="41">
        <v>0</v>
      </c>
      <c r="V2699" s="42" t="s">
        <v>113</v>
      </c>
      <c r="W2699" s="42">
        <v>34845.269999999997</v>
      </c>
      <c r="X2699" s="42">
        <v>34845.269999999997</v>
      </c>
    </row>
    <row r="2700" spans="1:24">
      <c r="A2700" s="27" t="s">
        <v>4985</v>
      </c>
      <c r="B2700" s="28" t="s">
        <v>215</v>
      </c>
      <c r="C2700" s="27" t="s">
        <v>4986</v>
      </c>
      <c r="D2700" s="27" t="s">
        <v>112</v>
      </c>
      <c r="E2700" s="29">
        <v>40171</v>
      </c>
      <c r="F2700" s="27">
        <v>15</v>
      </c>
      <c r="G2700" s="18">
        <v>34845.269999999997</v>
      </c>
      <c r="H2700" s="27">
        <f t="shared" si="84"/>
        <v>34845.269999999997</v>
      </c>
      <c r="I2700" s="18">
        <v>33103.01</v>
      </c>
      <c r="J2700" s="27">
        <v>34845.269999999997</v>
      </c>
      <c r="K2700" s="18">
        <f t="shared" si="85"/>
        <v>34845.269999999997</v>
      </c>
      <c r="L2700" s="27">
        <v>33103.01</v>
      </c>
      <c r="M2700" s="36">
        <v>0</v>
      </c>
      <c r="T2700" s="41">
        <v>0</v>
      </c>
      <c r="U2700" s="41">
        <v>0</v>
      </c>
      <c r="V2700" s="42" t="s">
        <v>113</v>
      </c>
      <c r="W2700" s="42">
        <v>34845.269999999997</v>
      </c>
      <c r="X2700" s="42">
        <v>34845.269999999997</v>
      </c>
    </row>
    <row r="2701" spans="1:24">
      <c r="A2701" s="27" t="s">
        <v>4987</v>
      </c>
      <c r="B2701" s="28" t="s">
        <v>215</v>
      </c>
      <c r="C2701" s="27" t="s">
        <v>4988</v>
      </c>
      <c r="D2701" s="27" t="s">
        <v>112</v>
      </c>
      <c r="E2701" s="29">
        <v>40171</v>
      </c>
      <c r="F2701" s="27">
        <v>15</v>
      </c>
      <c r="G2701" s="18">
        <v>34845.269999999997</v>
      </c>
      <c r="H2701" s="27">
        <f t="shared" si="84"/>
        <v>34845.269999999997</v>
      </c>
      <c r="I2701" s="18">
        <v>33103.01</v>
      </c>
      <c r="J2701" s="27">
        <v>34845.269999999997</v>
      </c>
      <c r="K2701" s="18">
        <f t="shared" si="85"/>
        <v>34845.269999999997</v>
      </c>
      <c r="L2701" s="27">
        <v>33103.01</v>
      </c>
      <c r="M2701" s="36">
        <v>0</v>
      </c>
      <c r="T2701" s="41">
        <v>0</v>
      </c>
      <c r="U2701" s="41">
        <v>0</v>
      </c>
      <c r="V2701" s="42" t="s">
        <v>113</v>
      </c>
      <c r="W2701" s="42">
        <v>34845.269999999997</v>
      </c>
      <c r="X2701" s="42">
        <v>34845.269999999997</v>
      </c>
    </row>
    <row r="2702" spans="1:24">
      <c r="A2702" s="27" t="s">
        <v>4989</v>
      </c>
      <c r="B2702" s="28" t="s">
        <v>215</v>
      </c>
      <c r="C2702" s="27" t="s">
        <v>4990</v>
      </c>
      <c r="D2702" s="27" t="s">
        <v>112</v>
      </c>
      <c r="E2702" s="29">
        <v>40171</v>
      </c>
      <c r="F2702" s="27">
        <v>15</v>
      </c>
      <c r="G2702" s="18">
        <v>34845.269999999997</v>
      </c>
      <c r="H2702" s="27">
        <f t="shared" si="84"/>
        <v>34845.269999999997</v>
      </c>
      <c r="I2702" s="18">
        <v>33103.01</v>
      </c>
      <c r="J2702" s="27">
        <v>34845.269999999997</v>
      </c>
      <c r="K2702" s="18">
        <f t="shared" si="85"/>
        <v>34845.269999999997</v>
      </c>
      <c r="L2702" s="27">
        <v>33103.01</v>
      </c>
      <c r="M2702" s="36">
        <v>0</v>
      </c>
      <c r="T2702" s="41">
        <v>0</v>
      </c>
      <c r="U2702" s="41">
        <v>0</v>
      </c>
      <c r="V2702" s="42" t="s">
        <v>113</v>
      </c>
      <c r="W2702" s="42">
        <v>34845.269999999997</v>
      </c>
      <c r="X2702" s="42">
        <v>34845.269999999997</v>
      </c>
    </row>
    <row r="2703" spans="1:24">
      <c r="A2703" s="27" t="s">
        <v>4991</v>
      </c>
      <c r="B2703" s="28" t="s">
        <v>215</v>
      </c>
      <c r="C2703" s="27" t="s">
        <v>4992</v>
      </c>
      <c r="D2703" s="27" t="s">
        <v>112</v>
      </c>
      <c r="E2703" s="29">
        <v>40171</v>
      </c>
      <c r="F2703" s="27">
        <v>15</v>
      </c>
      <c r="G2703" s="18">
        <v>34845.269999999997</v>
      </c>
      <c r="H2703" s="27">
        <f t="shared" si="84"/>
        <v>34845.269999999997</v>
      </c>
      <c r="I2703" s="18">
        <v>33103.01</v>
      </c>
      <c r="J2703" s="27">
        <v>34845.269999999997</v>
      </c>
      <c r="K2703" s="18">
        <f t="shared" si="85"/>
        <v>34845.269999999997</v>
      </c>
      <c r="L2703" s="27">
        <v>33103.01</v>
      </c>
      <c r="M2703" s="36">
        <v>0</v>
      </c>
      <c r="T2703" s="41">
        <v>0</v>
      </c>
      <c r="U2703" s="41">
        <v>0</v>
      </c>
      <c r="V2703" s="42" t="s">
        <v>113</v>
      </c>
      <c r="W2703" s="42">
        <v>34845.269999999997</v>
      </c>
      <c r="X2703" s="42">
        <v>34845.269999999997</v>
      </c>
    </row>
    <row r="2704" spans="1:24">
      <c r="A2704" s="27" t="s">
        <v>4993</v>
      </c>
      <c r="B2704" s="28" t="s">
        <v>215</v>
      </c>
      <c r="C2704" s="27" t="s">
        <v>4994</v>
      </c>
      <c r="D2704" s="27" t="s">
        <v>112</v>
      </c>
      <c r="E2704" s="29">
        <v>40171</v>
      </c>
      <c r="F2704" s="27">
        <v>15</v>
      </c>
      <c r="G2704" s="18">
        <v>34845.269999999997</v>
      </c>
      <c r="H2704" s="27">
        <f t="shared" si="84"/>
        <v>34845.269999999997</v>
      </c>
      <c r="I2704" s="18">
        <v>33103.01</v>
      </c>
      <c r="J2704" s="27">
        <v>34845.269999999997</v>
      </c>
      <c r="K2704" s="18">
        <f t="shared" si="85"/>
        <v>34845.269999999997</v>
      </c>
      <c r="L2704" s="27">
        <v>33103.01</v>
      </c>
      <c r="M2704" s="36">
        <v>0</v>
      </c>
      <c r="T2704" s="41">
        <v>0</v>
      </c>
      <c r="U2704" s="41">
        <v>0</v>
      </c>
      <c r="V2704" s="42" t="s">
        <v>113</v>
      </c>
      <c r="W2704" s="42">
        <v>34845.269999999997</v>
      </c>
      <c r="X2704" s="42">
        <v>34845.269999999997</v>
      </c>
    </row>
    <row r="2705" spans="1:24">
      <c r="A2705" s="27" t="s">
        <v>4995</v>
      </c>
      <c r="B2705" s="28" t="s">
        <v>215</v>
      </c>
      <c r="C2705" s="27" t="s">
        <v>4996</v>
      </c>
      <c r="D2705" s="27" t="s">
        <v>112</v>
      </c>
      <c r="E2705" s="29">
        <v>40171</v>
      </c>
      <c r="F2705" s="27">
        <v>15</v>
      </c>
      <c r="G2705" s="18">
        <v>34845.269999999997</v>
      </c>
      <c r="H2705" s="27">
        <f t="shared" si="84"/>
        <v>34845.269999999997</v>
      </c>
      <c r="I2705" s="18">
        <v>33103.01</v>
      </c>
      <c r="J2705" s="27">
        <v>34845.269999999997</v>
      </c>
      <c r="K2705" s="18">
        <f t="shared" si="85"/>
        <v>34845.269999999997</v>
      </c>
      <c r="L2705" s="27">
        <v>33103.01</v>
      </c>
      <c r="M2705" s="36">
        <v>0</v>
      </c>
      <c r="T2705" s="41">
        <v>0</v>
      </c>
      <c r="U2705" s="41">
        <v>0</v>
      </c>
      <c r="V2705" s="42" t="s">
        <v>113</v>
      </c>
      <c r="W2705" s="42">
        <v>34845.269999999997</v>
      </c>
      <c r="X2705" s="42">
        <v>34845.269999999997</v>
      </c>
    </row>
    <row r="2706" spans="1:24">
      <c r="A2706" s="27" t="s">
        <v>4997</v>
      </c>
      <c r="B2706" s="28" t="s">
        <v>215</v>
      </c>
      <c r="C2706" s="27" t="s">
        <v>4998</v>
      </c>
      <c r="D2706" s="27" t="s">
        <v>112</v>
      </c>
      <c r="E2706" s="29">
        <v>40171</v>
      </c>
      <c r="F2706" s="27">
        <v>15</v>
      </c>
      <c r="G2706" s="18">
        <v>34845.269999999997</v>
      </c>
      <c r="H2706" s="27">
        <f t="shared" si="84"/>
        <v>34845.269999999997</v>
      </c>
      <c r="I2706" s="18">
        <v>33103.01</v>
      </c>
      <c r="J2706" s="27">
        <v>34845.269999999997</v>
      </c>
      <c r="K2706" s="18">
        <f t="shared" si="85"/>
        <v>34845.269999999997</v>
      </c>
      <c r="L2706" s="27">
        <v>33103.01</v>
      </c>
      <c r="M2706" s="36">
        <v>0</v>
      </c>
      <c r="T2706" s="41">
        <v>0</v>
      </c>
      <c r="U2706" s="41">
        <v>0</v>
      </c>
      <c r="V2706" s="42" t="s">
        <v>113</v>
      </c>
      <c r="W2706" s="42">
        <v>34845.269999999997</v>
      </c>
      <c r="X2706" s="42">
        <v>34845.269999999997</v>
      </c>
    </row>
    <row r="2707" spans="1:24">
      <c r="A2707" s="27" t="s">
        <v>4999</v>
      </c>
      <c r="B2707" s="28" t="s">
        <v>215</v>
      </c>
      <c r="C2707" s="27" t="s">
        <v>5000</v>
      </c>
      <c r="D2707" s="27" t="s">
        <v>112</v>
      </c>
      <c r="E2707" s="29">
        <v>40171</v>
      </c>
      <c r="F2707" s="27">
        <v>15</v>
      </c>
      <c r="G2707" s="18">
        <v>34845.269999999997</v>
      </c>
      <c r="H2707" s="27">
        <f t="shared" si="84"/>
        <v>34845.269999999997</v>
      </c>
      <c r="I2707" s="18">
        <v>33103.01</v>
      </c>
      <c r="J2707" s="27">
        <v>34845.269999999997</v>
      </c>
      <c r="K2707" s="18">
        <f t="shared" si="85"/>
        <v>34845.269999999997</v>
      </c>
      <c r="L2707" s="27">
        <v>33103.01</v>
      </c>
      <c r="M2707" s="36">
        <v>0</v>
      </c>
      <c r="T2707" s="41">
        <v>0</v>
      </c>
      <c r="U2707" s="41">
        <v>0</v>
      </c>
      <c r="V2707" s="42" t="s">
        <v>113</v>
      </c>
      <c r="W2707" s="42">
        <v>34845.269999999997</v>
      </c>
      <c r="X2707" s="42">
        <v>34845.269999999997</v>
      </c>
    </row>
    <row r="2708" spans="1:24">
      <c r="A2708" s="27" t="s">
        <v>5001</v>
      </c>
      <c r="B2708" s="28" t="s">
        <v>215</v>
      </c>
      <c r="C2708" s="27" t="s">
        <v>5002</v>
      </c>
      <c r="D2708" s="27" t="s">
        <v>112</v>
      </c>
      <c r="E2708" s="29">
        <v>40171</v>
      </c>
      <c r="F2708" s="27">
        <v>15</v>
      </c>
      <c r="G2708" s="18">
        <v>34845.269999999997</v>
      </c>
      <c r="H2708" s="27">
        <f t="shared" si="84"/>
        <v>34845.269999999997</v>
      </c>
      <c r="I2708" s="18">
        <v>33103.01</v>
      </c>
      <c r="J2708" s="27">
        <v>34845.269999999997</v>
      </c>
      <c r="K2708" s="18">
        <f t="shared" si="85"/>
        <v>34845.269999999997</v>
      </c>
      <c r="L2708" s="27">
        <v>33103.01</v>
      </c>
      <c r="M2708" s="36">
        <v>0</v>
      </c>
      <c r="T2708" s="41">
        <v>0</v>
      </c>
      <c r="U2708" s="41">
        <v>0</v>
      </c>
      <c r="V2708" s="42" t="s">
        <v>113</v>
      </c>
      <c r="W2708" s="42">
        <v>34845.269999999997</v>
      </c>
      <c r="X2708" s="42">
        <v>34845.269999999997</v>
      </c>
    </row>
    <row r="2709" spans="1:24">
      <c r="A2709" s="27" t="s">
        <v>5003</v>
      </c>
      <c r="B2709" s="28" t="s">
        <v>215</v>
      </c>
      <c r="C2709" s="27" t="s">
        <v>5004</v>
      </c>
      <c r="D2709" s="27" t="s">
        <v>112</v>
      </c>
      <c r="E2709" s="29">
        <v>40171</v>
      </c>
      <c r="F2709" s="27">
        <v>15</v>
      </c>
      <c r="G2709" s="18">
        <v>34845.269999999997</v>
      </c>
      <c r="H2709" s="27">
        <f t="shared" si="84"/>
        <v>34845.269999999997</v>
      </c>
      <c r="I2709" s="18">
        <v>33103.01</v>
      </c>
      <c r="J2709" s="27">
        <v>34845.269999999997</v>
      </c>
      <c r="K2709" s="18">
        <f t="shared" si="85"/>
        <v>34845.269999999997</v>
      </c>
      <c r="L2709" s="27">
        <v>33103.01</v>
      </c>
      <c r="M2709" s="36">
        <v>0</v>
      </c>
      <c r="T2709" s="41">
        <v>0</v>
      </c>
      <c r="U2709" s="41">
        <v>0</v>
      </c>
      <c r="V2709" s="42" t="s">
        <v>113</v>
      </c>
      <c r="W2709" s="42">
        <v>34845.269999999997</v>
      </c>
      <c r="X2709" s="42">
        <v>34845.269999999997</v>
      </c>
    </row>
    <row r="2710" spans="1:24">
      <c r="A2710" s="27" t="s">
        <v>5005</v>
      </c>
      <c r="B2710" s="28" t="s">
        <v>215</v>
      </c>
      <c r="C2710" s="27" t="s">
        <v>5006</v>
      </c>
      <c r="D2710" s="27" t="s">
        <v>112</v>
      </c>
      <c r="E2710" s="29">
        <v>40171</v>
      </c>
      <c r="F2710" s="27">
        <v>15</v>
      </c>
      <c r="G2710" s="18">
        <v>34845.269999999997</v>
      </c>
      <c r="H2710" s="27">
        <f t="shared" si="84"/>
        <v>34845.269999999997</v>
      </c>
      <c r="I2710" s="18">
        <v>33103.01</v>
      </c>
      <c r="J2710" s="27">
        <v>34845.269999999997</v>
      </c>
      <c r="K2710" s="18">
        <f t="shared" si="85"/>
        <v>34845.269999999997</v>
      </c>
      <c r="L2710" s="27">
        <v>33103.01</v>
      </c>
      <c r="M2710" s="36">
        <v>0</v>
      </c>
      <c r="T2710" s="41">
        <v>0</v>
      </c>
      <c r="U2710" s="41">
        <v>0</v>
      </c>
      <c r="V2710" s="42" t="s">
        <v>113</v>
      </c>
      <c r="W2710" s="42">
        <v>34845.269999999997</v>
      </c>
      <c r="X2710" s="42">
        <v>34845.269999999997</v>
      </c>
    </row>
    <row r="2711" spans="1:24">
      <c r="A2711" s="27" t="s">
        <v>5007</v>
      </c>
      <c r="B2711" s="28" t="s">
        <v>215</v>
      </c>
      <c r="C2711" s="27" t="s">
        <v>5008</v>
      </c>
      <c r="D2711" s="27" t="s">
        <v>112</v>
      </c>
      <c r="E2711" s="29">
        <v>40171</v>
      </c>
      <c r="F2711" s="27">
        <v>15</v>
      </c>
      <c r="G2711" s="18">
        <v>34845.269999999997</v>
      </c>
      <c r="H2711" s="27">
        <f t="shared" si="84"/>
        <v>34845.269999999997</v>
      </c>
      <c r="I2711" s="18">
        <v>33103.01</v>
      </c>
      <c r="J2711" s="27">
        <v>34845.269999999997</v>
      </c>
      <c r="K2711" s="18">
        <f t="shared" si="85"/>
        <v>34845.269999999997</v>
      </c>
      <c r="L2711" s="27">
        <v>33103.01</v>
      </c>
      <c r="M2711" s="36">
        <v>0</v>
      </c>
      <c r="T2711" s="41">
        <v>0</v>
      </c>
      <c r="U2711" s="41">
        <v>0</v>
      </c>
      <c r="V2711" s="42" t="s">
        <v>113</v>
      </c>
      <c r="W2711" s="42">
        <v>34845.269999999997</v>
      </c>
      <c r="X2711" s="42">
        <v>34845.269999999997</v>
      </c>
    </row>
    <row r="2712" spans="1:24">
      <c r="A2712" s="27" t="s">
        <v>5009</v>
      </c>
      <c r="B2712" s="28" t="s">
        <v>215</v>
      </c>
      <c r="C2712" s="27" t="s">
        <v>5010</v>
      </c>
      <c r="D2712" s="27" t="s">
        <v>230</v>
      </c>
      <c r="E2712" s="29">
        <v>40298</v>
      </c>
      <c r="F2712" s="27">
        <v>12</v>
      </c>
      <c r="G2712" s="18">
        <v>647.5</v>
      </c>
      <c r="H2712" s="27">
        <f t="shared" si="84"/>
        <v>647.5</v>
      </c>
      <c r="I2712" s="18">
        <v>647.5</v>
      </c>
      <c r="J2712" s="27">
        <v>647.5</v>
      </c>
      <c r="K2712" s="18">
        <f t="shared" si="85"/>
        <v>647.5</v>
      </c>
      <c r="L2712" s="27">
        <v>647.5</v>
      </c>
      <c r="M2712" s="36">
        <v>0</v>
      </c>
      <c r="T2712" s="41">
        <v>0</v>
      </c>
      <c r="U2712" s="41">
        <v>0</v>
      </c>
      <c r="V2712" s="42" t="s">
        <v>113</v>
      </c>
      <c r="W2712" s="42">
        <v>647.5</v>
      </c>
      <c r="X2712" s="42">
        <v>647.5</v>
      </c>
    </row>
    <row r="2713" spans="1:24">
      <c r="A2713" s="27" t="s">
        <v>5011</v>
      </c>
      <c r="B2713" s="28" t="s">
        <v>215</v>
      </c>
      <c r="C2713" s="27" t="s">
        <v>5012</v>
      </c>
      <c r="D2713" s="27" t="s">
        <v>230</v>
      </c>
      <c r="E2713" s="29">
        <v>40298</v>
      </c>
      <c r="F2713" s="27">
        <v>12</v>
      </c>
      <c r="G2713" s="18">
        <v>647.5</v>
      </c>
      <c r="H2713" s="27">
        <f t="shared" si="84"/>
        <v>647.5</v>
      </c>
      <c r="I2713" s="18">
        <v>647.5</v>
      </c>
      <c r="J2713" s="27">
        <v>647.5</v>
      </c>
      <c r="K2713" s="18">
        <f t="shared" si="85"/>
        <v>647.5</v>
      </c>
      <c r="L2713" s="27">
        <v>647.5</v>
      </c>
      <c r="M2713" s="36">
        <v>0</v>
      </c>
      <c r="T2713" s="41">
        <v>0</v>
      </c>
      <c r="U2713" s="41">
        <v>0</v>
      </c>
      <c r="V2713" s="42" t="s">
        <v>113</v>
      </c>
      <c r="W2713" s="42">
        <v>647.5</v>
      </c>
      <c r="X2713" s="42">
        <v>647.5</v>
      </c>
    </row>
    <row r="2714" spans="1:24">
      <c r="A2714" s="27" t="s">
        <v>5013</v>
      </c>
      <c r="B2714" s="28" t="s">
        <v>215</v>
      </c>
      <c r="C2714" s="27" t="s">
        <v>5014</v>
      </c>
      <c r="D2714" s="27" t="s">
        <v>230</v>
      </c>
      <c r="E2714" s="29">
        <v>40298</v>
      </c>
      <c r="F2714" s="27">
        <v>12</v>
      </c>
      <c r="G2714" s="18">
        <v>647.5</v>
      </c>
      <c r="H2714" s="27">
        <f t="shared" si="84"/>
        <v>647.5</v>
      </c>
      <c r="I2714" s="18">
        <v>647.5</v>
      </c>
      <c r="J2714" s="27">
        <v>647.5</v>
      </c>
      <c r="K2714" s="18">
        <f t="shared" si="85"/>
        <v>647.5</v>
      </c>
      <c r="L2714" s="27">
        <v>647.5</v>
      </c>
      <c r="M2714" s="36">
        <v>0</v>
      </c>
      <c r="T2714" s="41">
        <v>0</v>
      </c>
      <c r="U2714" s="41">
        <v>0</v>
      </c>
      <c r="V2714" s="42" t="s">
        <v>113</v>
      </c>
      <c r="W2714" s="42">
        <v>647.5</v>
      </c>
      <c r="X2714" s="42">
        <v>647.5</v>
      </c>
    </row>
    <row r="2715" spans="1:24">
      <c r="A2715" s="27" t="s">
        <v>5015</v>
      </c>
      <c r="B2715" s="28" t="s">
        <v>215</v>
      </c>
      <c r="C2715" s="27" t="s">
        <v>5016</v>
      </c>
      <c r="D2715" s="27" t="s">
        <v>230</v>
      </c>
      <c r="E2715" s="29">
        <v>40298</v>
      </c>
      <c r="F2715" s="27">
        <v>12</v>
      </c>
      <c r="G2715" s="18">
        <v>647.5</v>
      </c>
      <c r="H2715" s="27">
        <f t="shared" si="84"/>
        <v>647.5</v>
      </c>
      <c r="I2715" s="18">
        <v>647.5</v>
      </c>
      <c r="J2715" s="27">
        <v>647.5</v>
      </c>
      <c r="K2715" s="18">
        <f t="shared" si="85"/>
        <v>647.5</v>
      </c>
      <c r="L2715" s="27">
        <v>647.5</v>
      </c>
      <c r="M2715" s="36">
        <v>0</v>
      </c>
      <c r="T2715" s="41">
        <v>0</v>
      </c>
      <c r="U2715" s="41">
        <v>0</v>
      </c>
      <c r="V2715" s="42" t="s">
        <v>113</v>
      </c>
      <c r="W2715" s="42">
        <v>647.5</v>
      </c>
      <c r="X2715" s="42">
        <v>647.5</v>
      </c>
    </row>
    <row r="2716" spans="1:24">
      <c r="A2716" s="27" t="s">
        <v>5017</v>
      </c>
      <c r="B2716" s="28" t="s">
        <v>215</v>
      </c>
      <c r="C2716" s="27" t="s">
        <v>5018</v>
      </c>
      <c r="D2716" s="27" t="s">
        <v>230</v>
      </c>
      <c r="E2716" s="29">
        <v>40298</v>
      </c>
      <c r="F2716" s="27">
        <v>12</v>
      </c>
      <c r="G2716" s="18">
        <v>647.5</v>
      </c>
      <c r="H2716" s="27">
        <f t="shared" si="84"/>
        <v>647.5</v>
      </c>
      <c r="I2716" s="18">
        <v>647.5</v>
      </c>
      <c r="J2716" s="27">
        <v>647.5</v>
      </c>
      <c r="K2716" s="18">
        <f t="shared" si="85"/>
        <v>647.5</v>
      </c>
      <c r="L2716" s="27">
        <v>647.5</v>
      </c>
      <c r="M2716" s="36">
        <v>0</v>
      </c>
      <c r="T2716" s="41">
        <v>0</v>
      </c>
      <c r="U2716" s="41">
        <v>0</v>
      </c>
      <c r="V2716" s="42" t="s">
        <v>113</v>
      </c>
      <c r="W2716" s="42">
        <v>647.5</v>
      </c>
      <c r="X2716" s="42">
        <v>647.5</v>
      </c>
    </row>
    <row r="2717" spans="1:24">
      <c r="A2717" s="27" t="s">
        <v>5019</v>
      </c>
      <c r="B2717" s="28" t="s">
        <v>215</v>
      </c>
      <c r="C2717" s="27" t="s">
        <v>5020</v>
      </c>
      <c r="D2717" s="27" t="s">
        <v>230</v>
      </c>
      <c r="E2717" s="29">
        <v>40298</v>
      </c>
      <c r="F2717" s="27">
        <v>12</v>
      </c>
      <c r="G2717" s="18">
        <v>647.5</v>
      </c>
      <c r="H2717" s="27">
        <f t="shared" si="84"/>
        <v>647.5</v>
      </c>
      <c r="I2717" s="18">
        <v>647.5</v>
      </c>
      <c r="J2717" s="27">
        <v>647.5</v>
      </c>
      <c r="K2717" s="18">
        <f t="shared" si="85"/>
        <v>647.5</v>
      </c>
      <c r="L2717" s="27">
        <v>647.5</v>
      </c>
      <c r="M2717" s="36">
        <v>0</v>
      </c>
      <c r="T2717" s="41">
        <v>0</v>
      </c>
      <c r="U2717" s="41">
        <v>0</v>
      </c>
      <c r="V2717" s="42" t="s">
        <v>113</v>
      </c>
      <c r="W2717" s="42">
        <v>647.5</v>
      </c>
      <c r="X2717" s="42">
        <v>647.5</v>
      </c>
    </row>
    <row r="2718" spans="1:24">
      <c r="A2718" s="27" t="s">
        <v>5021</v>
      </c>
      <c r="B2718" s="28" t="s">
        <v>215</v>
      </c>
      <c r="C2718" s="27" t="s">
        <v>5022</v>
      </c>
      <c r="D2718" s="27" t="s">
        <v>230</v>
      </c>
      <c r="E2718" s="29">
        <v>40298</v>
      </c>
      <c r="F2718" s="27">
        <v>12</v>
      </c>
      <c r="G2718" s="18">
        <v>647.5</v>
      </c>
      <c r="H2718" s="27">
        <f t="shared" si="84"/>
        <v>647.5</v>
      </c>
      <c r="I2718" s="18">
        <v>647.5</v>
      </c>
      <c r="J2718" s="27">
        <v>647.5</v>
      </c>
      <c r="K2718" s="18">
        <f t="shared" si="85"/>
        <v>647.5</v>
      </c>
      <c r="L2718" s="27">
        <v>647.5</v>
      </c>
      <c r="M2718" s="36">
        <v>0</v>
      </c>
      <c r="T2718" s="41">
        <v>0</v>
      </c>
      <c r="U2718" s="41">
        <v>0</v>
      </c>
      <c r="V2718" s="42" t="s">
        <v>113</v>
      </c>
      <c r="W2718" s="42">
        <v>647.5</v>
      </c>
      <c r="X2718" s="42">
        <v>647.5</v>
      </c>
    </row>
    <row r="2719" spans="1:24">
      <c r="A2719" s="27" t="s">
        <v>5023</v>
      </c>
      <c r="B2719" s="28" t="s">
        <v>215</v>
      </c>
      <c r="C2719" s="27" t="s">
        <v>5024</v>
      </c>
      <c r="D2719" s="27" t="s">
        <v>230</v>
      </c>
      <c r="E2719" s="29">
        <v>40298</v>
      </c>
      <c r="F2719" s="27">
        <v>12</v>
      </c>
      <c r="G2719" s="18">
        <v>647.5</v>
      </c>
      <c r="H2719" s="27">
        <f t="shared" si="84"/>
        <v>647.5</v>
      </c>
      <c r="I2719" s="18">
        <v>647.5</v>
      </c>
      <c r="J2719" s="27">
        <v>647.5</v>
      </c>
      <c r="K2719" s="18">
        <f t="shared" si="85"/>
        <v>647.5</v>
      </c>
      <c r="L2719" s="27">
        <v>647.5</v>
      </c>
      <c r="M2719" s="36">
        <v>0</v>
      </c>
      <c r="T2719" s="41">
        <v>0</v>
      </c>
      <c r="U2719" s="41">
        <v>0</v>
      </c>
      <c r="V2719" s="42" t="s">
        <v>113</v>
      </c>
      <c r="W2719" s="42">
        <v>647.5</v>
      </c>
      <c r="X2719" s="42">
        <v>647.5</v>
      </c>
    </row>
    <row r="2720" spans="1:24">
      <c r="A2720" s="27" t="s">
        <v>5025</v>
      </c>
      <c r="B2720" s="28" t="s">
        <v>215</v>
      </c>
      <c r="C2720" s="27" t="s">
        <v>5026</v>
      </c>
      <c r="D2720" s="27" t="s">
        <v>230</v>
      </c>
      <c r="E2720" s="29">
        <v>40298</v>
      </c>
      <c r="F2720" s="27">
        <v>12</v>
      </c>
      <c r="G2720" s="18">
        <v>647.5</v>
      </c>
      <c r="H2720" s="27">
        <f t="shared" si="84"/>
        <v>647.5</v>
      </c>
      <c r="I2720" s="18">
        <v>647.5</v>
      </c>
      <c r="J2720" s="27">
        <v>647.5</v>
      </c>
      <c r="K2720" s="18">
        <f t="shared" si="85"/>
        <v>647.5</v>
      </c>
      <c r="L2720" s="27">
        <v>647.5</v>
      </c>
      <c r="M2720" s="36">
        <v>0</v>
      </c>
      <c r="T2720" s="41">
        <v>0</v>
      </c>
      <c r="U2720" s="41">
        <v>0</v>
      </c>
      <c r="V2720" s="42" t="s">
        <v>113</v>
      </c>
      <c r="W2720" s="42">
        <v>647.5</v>
      </c>
      <c r="X2720" s="42">
        <v>647.5</v>
      </c>
    </row>
    <row r="2721" spans="1:24">
      <c r="A2721" s="27" t="s">
        <v>5027</v>
      </c>
      <c r="B2721" s="28" t="s">
        <v>215</v>
      </c>
      <c r="C2721" s="27" t="s">
        <v>5028</v>
      </c>
      <c r="D2721" s="27" t="s">
        <v>230</v>
      </c>
      <c r="E2721" s="29">
        <v>40298</v>
      </c>
      <c r="F2721" s="27">
        <v>12</v>
      </c>
      <c r="G2721" s="18">
        <v>647.5</v>
      </c>
      <c r="H2721" s="27">
        <f t="shared" si="84"/>
        <v>647.5</v>
      </c>
      <c r="I2721" s="18">
        <v>647.5</v>
      </c>
      <c r="J2721" s="27">
        <v>647.5</v>
      </c>
      <c r="K2721" s="18">
        <f t="shared" si="85"/>
        <v>647.5</v>
      </c>
      <c r="L2721" s="27">
        <v>647.5</v>
      </c>
      <c r="M2721" s="36">
        <v>0</v>
      </c>
      <c r="T2721" s="41">
        <v>0</v>
      </c>
      <c r="U2721" s="41">
        <v>0</v>
      </c>
      <c r="V2721" s="42" t="s">
        <v>113</v>
      </c>
      <c r="W2721" s="42">
        <v>647.5</v>
      </c>
      <c r="X2721" s="42">
        <v>647.5</v>
      </c>
    </row>
    <row r="2722" spans="1:24">
      <c r="A2722" s="27" t="s">
        <v>5029</v>
      </c>
      <c r="B2722" s="28" t="s">
        <v>215</v>
      </c>
      <c r="C2722" s="27" t="s">
        <v>5010</v>
      </c>
      <c r="D2722" s="27" t="s">
        <v>230</v>
      </c>
      <c r="E2722" s="29">
        <v>40298</v>
      </c>
      <c r="F2722" s="27">
        <v>12</v>
      </c>
      <c r="G2722" s="18">
        <v>647.5</v>
      </c>
      <c r="H2722" s="27">
        <f t="shared" si="84"/>
        <v>647.5</v>
      </c>
      <c r="I2722" s="18">
        <v>647.5</v>
      </c>
      <c r="J2722" s="27">
        <v>647.5</v>
      </c>
      <c r="K2722" s="18">
        <f t="shared" si="85"/>
        <v>647.5</v>
      </c>
      <c r="L2722" s="27">
        <v>647.5</v>
      </c>
      <c r="M2722" s="36">
        <v>0</v>
      </c>
      <c r="T2722" s="41">
        <v>0</v>
      </c>
      <c r="U2722" s="41">
        <v>0</v>
      </c>
      <c r="V2722" s="42" t="s">
        <v>113</v>
      </c>
      <c r="W2722" s="42">
        <v>647.5</v>
      </c>
      <c r="X2722" s="42">
        <v>647.5</v>
      </c>
    </row>
    <row r="2723" spans="1:24">
      <c r="A2723" s="27" t="s">
        <v>5030</v>
      </c>
      <c r="B2723" s="28" t="s">
        <v>215</v>
      </c>
      <c r="C2723" s="27" t="s">
        <v>5012</v>
      </c>
      <c r="D2723" s="27" t="s">
        <v>230</v>
      </c>
      <c r="E2723" s="29">
        <v>40298</v>
      </c>
      <c r="F2723" s="27">
        <v>12</v>
      </c>
      <c r="G2723" s="18">
        <v>647.5</v>
      </c>
      <c r="H2723" s="27">
        <f t="shared" si="84"/>
        <v>647.5</v>
      </c>
      <c r="I2723" s="18">
        <v>647.5</v>
      </c>
      <c r="J2723" s="27">
        <v>647.5</v>
      </c>
      <c r="K2723" s="18">
        <f t="shared" si="85"/>
        <v>647.5</v>
      </c>
      <c r="L2723" s="27">
        <v>647.5</v>
      </c>
      <c r="M2723" s="36">
        <v>0</v>
      </c>
      <c r="T2723" s="41">
        <v>0</v>
      </c>
      <c r="U2723" s="41">
        <v>0</v>
      </c>
      <c r="V2723" s="42" t="s">
        <v>113</v>
      </c>
      <c r="W2723" s="42">
        <v>647.5</v>
      </c>
      <c r="X2723" s="42">
        <v>647.5</v>
      </c>
    </row>
    <row r="2724" spans="1:24">
      <c r="A2724" s="27" t="s">
        <v>5031</v>
      </c>
      <c r="B2724" s="28" t="s">
        <v>215</v>
      </c>
      <c r="C2724" s="27" t="s">
        <v>5014</v>
      </c>
      <c r="D2724" s="27" t="s">
        <v>230</v>
      </c>
      <c r="E2724" s="29">
        <v>40298</v>
      </c>
      <c r="F2724" s="27">
        <v>12</v>
      </c>
      <c r="G2724" s="18">
        <v>647.5</v>
      </c>
      <c r="H2724" s="27">
        <f t="shared" si="84"/>
        <v>647.5</v>
      </c>
      <c r="I2724" s="18">
        <v>647.5</v>
      </c>
      <c r="J2724" s="27">
        <v>647.5</v>
      </c>
      <c r="K2724" s="18">
        <f t="shared" si="85"/>
        <v>647.5</v>
      </c>
      <c r="L2724" s="27">
        <v>647.5</v>
      </c>
      <c r="M2724" s="36">
        <v>0</v>
      </c>
      <c r="T2724" s="41">
        <v>0</v>
      </c>
      <c r="U2724" s="41">
        <v>0</v>
      </c>
      <c r="V2724" s="42" t="s">
        <v>113</v>
      </c>
      <c r="W2724" s="42">
        <v>647.5</v>
      </c>
      <c r="X2724" s="42">
        <v>647.5</v>
      </c>
    </row>
    <row r="2725" spans="1:24">
      <c r="A2725" s="27" t="s">
        <v>5032</v>
      </c>
      <c r="B2725" s="28" t="s">
        <v>215</v>
      </c>
      <c r="C2725" s="27" t="s">
        <v>5016</v>
      </c>
      <c r="D2725" s="27" t="s">
        <v>230</v>
      </c>
      <c r="E2725" s="29">
        <v>40298</v>
      </c>
      <c r="F2725" s="27">
        <v>12</v>
      </c>
      <c r="G2725" s="18">
        <v>647.5</v>
      </c>
      <c r="H2725" s="27">
        <f t="shared" si="84"/>
        <v>647.5</v>
      </c>
      <c r="I2725" s="18">
        <v>647.5</v>
      </c>
      <c r="J2725" s="27">
        <v>647.5</v>
      </c>
      <c r="K2725" s="18">
        <f t="shared" si="85"/>
        <v>647.5</v>
      </c>
      <c r="L2725" s="27">
        <v>647.5</v>
      </c>
      <c r="M2725" s="36">
        <v>0</v>
      </c>
      <c r="T2725" s="41">
        <v>0</v>
      </c>
      <c r="U2725" s="41">
        <v>0</v>
      </c>
      <c r="V2725" s="42" t="s">
        <v>113</v>
      </c>
      <c r="W2725" s="42">
        <v>647.5</v>
      </c>
      <c r="X2725" s="42">
        <v>647.5</v>
      </c>
    </row>
    <row r="2726" spans="1:24">
      <c r="A2726" s="27" t="s">
        <v>5033</v>
      </c>
      <c r="B2726" s="28" t="s">
        <v>215</v>
      </c>
      <c r="C2726" s="27" t="s">
        <v>5018</v>
      </c>
      <c r="D2726" s="27" t="s">
        <v>230</v>
      </c>
      <c r="E2726" s="29">
        <v>40298</v>
      </c>
      <c r="F2726" s="27">
        <v>12</v>
      </c>
      <c r="G2726" s="18">
        <v>647.5</v>
      </c>
      <c r="H2726" s="27">
        <f t="shared" si="84"/>
        <v>647.5</v>
      </c>
      <c r="I2726" s="18">
        <v>647.5</v>
      </c>
      <c r="J2726" s="27">
        <v>647.5</v>
      </c>
      <c r="K2726" s="18">
        <f t="shared" si="85"/>
        <v>647.5</v>
      </c>
      <c r="L2726" s="27">
        <v>647.5</v>
      </c>
      <c r="M2726" s="36">
        <v>0</v>
      </c>
      <c r="T2726" s="41">
        <v>0</v>
      </c>
      <c r="U2726" s="41">
        <v>0</v>
      </c>
      <c r="V2726" s="42" t="s">
        <v>113</v>
      </c>
      <c r="W2726" s="42">
        <v>647.5</v>
      </c>
      <c r="X2726" s="42">
        <v>647.5</v>
      </c>
    </row>
    <row r="2727" spans="1:24">
      <c r="A2727" s="27" t="s">
        <v>5034</v>
      </c>
      <c r="B2727" s="28" t="s">
        <v>215</v>
      </c>
      <c r="C2727" s="27" t="s">
        <v>5020</v>
      </c>
      <c r="D2727" s="27" t="s">
        <v>230</v>
      </c>
      <c r="E2727" s="29">
        <v>40298</v>
      </c>
      <c r="F2727" s="27">
        <v>12</v>
      </c>
      <c r="G2727" s="18">
        <v>647.5</v>
      </c>
      <c r="H2727" s="27">
        <f t="shared" si="84"/>
        <v>647.5</v>
      </c>
      <c r="I2727" s="18">
        <v>647.5</v>
      </c>
      <c r="J2727" s="27">
        <v>647.5</v>
      </c>
      <c r="K2727" s="18">
        <f t="shared" si="85"/>
        <v>647.5</v>
      </c>
      <c r="L2727" s="27">
        <v>647.5</v>
      </c>
      <c r="M2727" s="36">
        <v>0</v>
      </c>
      <c r="T2727" s="41">
        <v>0</v>
      </c>
      <c r="U2727" s="41">
        <v>0</v>
      </c>
      <c r="V2727" s="42" t="s">
        <v>113</v>
      </c>
      <c r="W2727" s="42">
        <v>647.5</v>
      </c>
      <c r="X2727" s="42">
        <v>647.5</v>
      </c>
    </row>
    <row r="2728" spans="1:24">
      <c r="A2728" s="27" t="s">
        <v>5035</v>
      </c>
      <c r="B2728" s="28" t="s">
        <v>215</v>
      </c>
      <c r="C2728" s="27" t="s">
        <v>5022</v>
      </c>
      <c r="D2728" s="27" t="s">
        <v>230</v>
      </c>
      <c r="E2728" s="29">
        <v>40298</v>
      </c>
      <c r="F2728" s="27">
        <v>12</v>
      </c>
      <c r="G2728" s="18">
        <v>647.5</v>
      </c>
      <c r="H2728" s="27">
        <f t="shared" si="84"/>
        <v>647.5</v>
      </c>
      <c r="I2728" s="18">
        <v>647.5</v>
      </c>
      <c r="J2728" s="27">
        <v>647.5</v>
      </c>
      <c r="K2728" s="18">
        <f t="shared" si="85"/>
        <v>647.5</v>
      </c>
      <c r="L2728" s="27">
        <v>647.5</v>
      </c>
      <c r="M2728" s="36">
        <v>0</v>
      </c>
      <c r="T2728" s="41">
        <v>0</v>
      </c>
      <c r="U2728" s="41">
        <v>0</v>
      </c>
      <c r="V2728" s="42" t="s">
        <v>113</v>
      </c>
      <c r="W2728" s="42">
        <v>647.5</v>
      </c>
      <c r="X2728" s="42">
        <v>647.5</v>
      </c>
    </row>
    <row r="2729" spans="1:24">
      <c r="A2729" s="27" t="s">
        <v>5036</v>
      </c>
      <c r="B2729" s="28" t="s">
        <v>215</v>
      </c>
      <c r="C2729" s="27" t="s">
        <v>5037</v>
      </c>
      <c r="D2729" s="27" t="s">
        <v>230</v>
      </c>
      <c r="E2729" s="29">
        <v>35795</v>
      </c>
      <c r="F2729" s="27">
        <v>12</v>
      </c>
      <c r="G2729" s="18">
        <v>1324.17</v>
      </c>
      <c r="H2729" s="27">
        <f t="shared" si="84"/>
        <v>1324.17</v>
      </c>
      <c r="I2729" s="18">
        <v>1324.17</v>
      </c>
      <c r="J2729" s="27">
        <v>1324.17</v>
      </c>
      <c r="K2729" s="18">
        <f t="shared" si="85"/>
        <v>1324.17</v>
      </c>
      <c r="L2729" s="27">
        <v>1324.17</v>
      </c>
      <c r="M2729" s="36">
        <v>0</v>
      </c>
      <c r="T2729" s="41">
        <v>0</v>
      </c>
      <c r="U2729" s="41">
        <v>0</v>
      </c>
      <c r="V2729" s="42" t="s">
        <v>113</v>
      </c>
      <c r="W2729" s="42">
        <v>1324.17</v>
      </c>
      <c r="X2729" s="42">
        <v>1324.17</v>
      </c>
    </row>
    <row r="2730" spans="1:24">
      <c r="A2730" s="27" t="s">
        <v>5038</v>
      </c>
      <c r="B2730" s="28" t="s">
        <v>215</v>
      </c>
      <c r="C2730" s="27" t="s">
        <v>5039</v>
      </c>
      <c r="D2730" s="27" t="s">
        <v>230</v>
      </c>
      <c r="E2730" s="29">
        <v>35795</v>
      </c>
      <c r="F2730" s="27">
        <v>12</v>
      </c>
      <c r="G2730" s="18">
        <v>1324.17</v>
      </c>
      <c r="H2730" s="27">
        <f t="shared" si="84"/>
        <v>1324.17</v>
      </c>
      <c r="I2730" s="18">
        <v>1324.17</v>
      </c>
      <c r="J2730" s="27">
        <v>1324.17</v>
      </c>
      <c r="K2730" s="18">
        <f t="shared" si="85"/>
        <v>1324.17</v>
      </c>
      <c r="L2730" s="27">
        <v>1324.17</v>
      </c>
      <c r="M2730" s="36">
        <v>0</v>
      </c>
      <c r="T2730" s="41">
        <v>0</v>
      </c>
      <c r="U2730" s="41">
        <v>0</v>
      </c>
      <c r="V2730" s="42" t="s">
        <v>113</v>
      </c>
      <c r="W2730" s="42">
        <v>1324.17</v>
      </c>
      <c r="X2730" s="42">
        <v>1324.17</v>
      </c>
    </row>
    <row r="2731" spans="1:24">
      <c r="A2731" s="27" t="s">
        <v>5040</v>
      </c>
      <c r="B2731" s="28" t="s">
        <v>215</v>
      </c>
      <c r="C2731" s="27" t="s">
        <v>5041</v>
      </c>
      <c r="D2731" s="27" t="s">
        <v>230</v>
      </c>
      <c r="E2731" s="29">
        <v>35795</v>
      </c>
      <c r="F2731" s="27">
        <v>12</v>
      </c>
      <c r="G2731" s="18">
        <v>1324.17</v>
      </c>
      <c r="H2731" s="27">
        <f t="shared" si="84"/>
        <v>1324.17</v>
      </c>
      <c r="I2731" s="18">
        <v>1324.17</v>
      </c>
      <c r="J2731" s="27">
        <v>1324.17</v>
      </c>
      <c r="K2731" s="18">
        <f t="shared" si="85"/>
        <v>1324.17</v>
      </c>
      <c r="L2731" s="27">
        <v>1324.17</v>
      </c>
      <c r="M2731" s="36">
        <v>0</v>
      </c>
      <c r="T2731" s="41">
        <v>0</v>
      </c>
      <c r="U2731" s="41">
        <v>0</v>
      </c>
      <c r="V2731" s="42" t="s">
        <v>113</v>
      </c>
      <c r="W2731" s="42">
        <v>1324.17</v>
      </c>
      <c r="X2731" s="42">
        <v>1324.17</v>
      </c>
    </row>
    <row r="2732" spans="1:24">
      <c r="A2732" s="27" t="s">
        <v>5042</v>
      </c>
      <c r="B2732" s="28" t="s">
        <v>215</v>
      </c>
      <c r="C2732" s="27" t="s">
        <v>5043</v>
      </c>
      <c r="D2732" s="27" t="s">
        <v>230</v>
      </c>
      <c r="E2732" s="29">
        <v>35795</v>
      </c>
      <c r="F2732" s="27">
        <v>12</v>
      </c>
      <c r="G2732" s="18">
        <v>1324.17</v>
      </c>
      <c r="H2732" s="27">
        <f t="shared" si="84"/>
        <v>1324.17</v>
      </c>
      <c r="I2732" s="18">
        <v>1324.17</v>
      </c>
      <c r="J2732" s="27">
        <v>1324.17</v>
      </c>
      <c r="K2732" s="18">
        <f t="shared" si="85"/>
        <v>1324.17</v>
      </c>
      <c r="L2732" s="27">
        <v>1324.17</v>
      </c>
      <c r="M2732" s="36">
        <v>0</v>
      </c>
      <c r="T2732" s="41">
        <v>0</v>
      </c>
      <c r="U2732" s="41">
        <v>0</v>
      </c>
      <c r="V2732" s="42" t="s">
        <v>113</v>
      </c>
      <c r="W2732" s="42">
        <v>1324.17</v>
      </c>
      <c r="X2732" s="42">
        <v>1324.17</v>
      </c>
    </row>
    <row r="2733" spans="1:24">
      <c r="A2733" s="27" t="s">
        <v>5044</v>
      </c>
      <c r="B2733" s="28" t="s">
        <v>215</v>
      </c>
      <c r="C2733" s="27" t="s">
        <v>5045</v>
      </c>
      <c r="D2733" s="27" t="s">
        <v>230</v>
      </c>
      <c r="E2733" s="29">
        <v>35795</v>
      </c>
      <c r="F2733" s="27">
        <v>12</v>
      </c>
      <c r="G2733" s="18">
        <v>1324.17</v>
      </c>
      <c r="H2733" s="27">
        <f t="shared" si="84"/>
        <v>1324.17</v>
      </c>
      <c r="I2733" s="18">
        <v>1324.17</v>
      </c>
      <c r="J2733" s="27">
        <v>1324.17</v>
      </c>
      <c r="K2733" s="18">
        <f t="shared" si="85"/>
        <v>1324.17</v>
      </c>
      <c r="L2733" s="27">
        <v>1324.17</v>
      </c>
      <c r="M2733" s="36">
        <v>0</v>
      </c>
      <c r="T2733" s="41">
        <v>0</v>
      </c>
      <c r="U2733" s="41">
        <v>0</v>
      </c>
      <c r="V2733" s="42" t="s">
        <v>113</v>
      </c>
      <c r="W2733" s="42">
        <v>1324.17</v>
      </c>
      <c r="X2733" s="42">
        <v>1324.17</v>
      </c>
    </row>
    <row r="2734" spans="1:24">
      <c r="A2734" s="27" t="s">
        <v>5046</v>
      </c>
      <c r="B2734" s="28" t="s">
        <v>215</v>
      </c>
      <c r="C2734" s="27" t="s">
        <v>5047</v>
      </c>
      <c r="D2734" s="27" t="s">
        <v>230</v>
      </c>
      <c r="E2734" s="29">
        <v>35795</v>
      </c>
      <c r="F2734" s="27">
        <v>12</v>
      </c>
      <c r="G2734" s="18">
        <v>1324.17</v>
      </c>
      <c r="H2734" s="27">
        <f t="shared" si="84"/>
        <v>1324.17</v>
      </c>
      <c r="I2734" s="18">
        <v>1324.17</v>
      </c>
      <c r="J2734" s="27">
        <v>1324.17</v>
      </c>
      <c r="K2734" s="18">
        <f t="shared" si="85"/>
        <v>1324.17</v>
      </c>
      <c r="L2734" s="27">
        <v>1324.17</v>
      </c>
      <c r="M2734" s="36">
        <v>0</v>
      </c>
      <c r="T2734" s="41">
        <v>0</v>
      </c>
      <c r="U2734" s="41">
        <v>0</v>
      </c>
      <c r="V2734" s="42" t="s">
        <v>113</v>
      </c>
      <c r="W2734" s="42">
        <v>1324.17</v>
      </c>
      <c r="X2734" s="42">
        <v>1324.17</v>
      </c>
    </row>
    <row r="2735" spans="1:24">
      <c r="A2735" s="27" t="s">
        <v>5048</v>
      </c>
      <c r="B2735" s="28" t="s">
        <v>215</v>
      </c>
      <c r="C2735" s="27" t="s">
        <v>5049</v>
      </c>
      <c r="D2735" s="27" t="s">
        <v>230</v>
      </c>
      <c r="E2735" s="29">
        <v>35795</v>
      </c>
      <c r="F2735" s="27">
        <v>12</v>
      </c>
      <c r="G2735" s="18">
        <v>1324.17</v>
      </c>
      <c r="H2735" s="27">
        <f t="shared" si="84"/>
        <v>1324.17</v>
      </c>
      <c r="I2735" s="18">
        <v>1324.17</v>
      </c>
      <c r="J2735" s="27">
        <v>1324.17</v>
      </c>
      <c r="K2735" s="18">
        <f t="shared" si="85"/>
        <v>1324.17</v>
      </c>
      <c r="L2735" s="27">
        <v>1324.17</v>
      </c>
      <c r="M2735" s="36">
        <v>0</v>
      </c>
      <c r="T2735" s="41">
        <v>0</v>
      </c>
      <c r="U2735" s="41">
        <v>0</v>
      </c>
      <c r="V2735" s="42" t="s">
        <v>113</v>
      </c>
      <c r="W2735" s="42">
        <v>1324.17</v>
      </c>
      <c r="X2735" s="42">
        <v>1324.17</v>
      </c>
    </row>
    <row r="2736" spans="1:24">
      <c r="A2736" s="27" t="s">
        <v>5050</v>
      </c>
      <c r="B2736" s="28" t="s">
        <v>215</v>
      </c>
      <c r="C2736" s="27" t="s">
        <v>5051</v>
      </c>
      <c r="D2736" s="27" t="s">
        <v>230</v>
      </c>
      <c r="E2736" s="29">
        <v>35795</v>
      </c>
      <c r="F2736" s="27">
        <v>12</v>
      </c>
      <c r="G2736" s="18">
        <v>1324.17</v>
      </c>
      <c r="H2736" s="27">
        <f t="shared" si="84"/>
        <v>1324.17</v>
      </c>
      <c r="I2736" s="18">
        <v>1324.17</v>
      </c>
      <c r="J2736" s="27">
        <v>1324.17</v>
      </c>
      <c r="K2736" s="18">
        <f t="shared" si="85"/>
        <v>1324.17</v>
      </c>
      <c r="L2736" s="27">
        <v>1324.17</v>
      </c>
      <c r="M2736" s="36">
        <v>0</v>
      </c>
      <c r="T2736" s="41">
        <v>0</v>
      </c>
      <c r="U2736" s="41">
        <v>0</v>
      </c>
      <c r="V2736" s="42" t="s">
        <v>113</v>
      </c>
      <c r="W2736" s="42">
        <v>1324.17</v>
      </c>
      <c r="X2736" s="42">
        <v>1324.17</v>
      </c>
    </row>
    <row r="2737" spans="1:24">
      <c r="A2737" s="27" t="s">
        <v>5052</v>
      </c>
      <c r="B2737" s="28" t="s">
        <v>215</v>
      </c>
      <c r="C2737" s="27" t="s">
        <v>5053</v>
      </c>
      <c r="D2737" s="27" t="s">
        <v>230</v>
      </c>
      <c r="E2737" s="29">
        <v>35795</v>
      </c>
      <c r="F2737" s="27">
        <v>12</v>
      </c>
      <c r="G2737" s="18">
        <v>1324.17</v>
      </c>
      <c r="H2737" s="27">
        <f t="shared" si="84"/>
        <v>1324.17</v>
      </c>
      <c r="I2737" s="18">
        <v>1324.17</v>
      </c>
      <c r="J2737" s="27">
        <v>1324.17</v>
      </c>
      <c r="K2737" s="18">
        <f t="shared" si="85"/>
        <v>1324.17</v>
      </c>
      <c r="L2737" s="27">
        <v>1324.17</v>
      </c>
      <c r="M2737" s="36">
        <v>0</v>
      </c>
      <c r="T2737" s="41">
        <v>0</v>
      </c>
      <c r="U2737" s="41">
        <v>0</v>
      </c>
      <c r="V2737" s="42" t="s">
        <v>113</v>
      </c>
      <c r="W2737" s="42">
        <v>1324.17</v>
      </c>
      <c r="X2737" s="42">
        <v>1324.17</v>
      </c>
    </row>
    <row r="2738" spans="1:24">
      <c r="A2738" s="27" t="s">
        <v>5054</v>
      </c>
      <c r="B2738" s="28" t="s">
        <v>215</v>
      </c>
      <c r="C2738" s="27" t="s">
        <v>5055</v>
      </c>
      <c r="D2738" s="27" t="s">
        <v>230</v>
      </c>
      <c r="E2738" s="29">
        <v>35795</v>
      </c>
      <c r="F2738" s="27">
        <v>12</v>
      </c>
      <c r="G2738" s="18">
        <v>1324.17</v>
      </c>
      <c r="H2738" s="27">
        <f t="shared" si="84"/>
        <v>1324.17</v>
      </c>
      <c r="I2738" s="18">
        <v>1324.17</v>
      </c>
      <c r="J2738" s="27">
        <v>1324.17</v>
      </c>
      <c r="K2738" s="18">
        <f t="shared" si="85"/>
        <v>1324.17</v>
      </c>
      <c r="L2738" s="27">
        <v>1324.17</v>
      </c>
      <c r="M2738" s="36">
        <v>0</v>
      </c>
      <c r="T2738" s="41">
        <v>0</v>
      </c>
      <c r="U2738" s="41">
        <v>0</v>
      </c>
      <c r="V2738" s="42" t="s">
        <v>113</v>
      </c>
      <c r="W2738" s="42">
        <v>1324.17</v>
      </c>
      <c r="X2738" s="42">
        <v>1324.17</v>
      </c>
    </row>
    <row r="2739" spans="1:24">
      <c r="A2739" s="27" t="s">
        <v>5056</v>
      </c>
      <c r="B2739" s="28" t="s">
        <v>215</v>
      </c>
      <c r="C2739" s="27" t="s">
        <v>5057</v>
      </c>
      <c r="D2739" s="27" t="s">
        <v>230</v>
      </c>
      <c r="E2739" s="29">
        <v>35795</v>
      </c>
      <c r="F2739" s="27">
        <v>12</v>
      </c>
      <c r="G2739" s="18">
        <v>1324.17</v>
      </c>
      <c r="H2739" s="27">
        <f t="shared" si="84"/>
        <v>1324.17</v>
      </c>
      <c r="I2739" s="18">
        <v>1324.17</v>
      </c>
      <c r="J2739" s="27">
        <v>1324.17</v>
      </c>
      <c r="K2739" s="18">
        <f t="shared" si="85"/>
        <v>1324.17</v>
      </c>
      <c r="L2739" s="27">
        <v>1324.17</v>
      </c>
      <c r="M2739" s="36">
        <v>0</v>
      </c>
      <c r="T2739" s="41">
        <v>0</v>
      </c>
      <c r="U2739" s="41">
        <v>0</v>
      </c>
      <c r="V2739" s="42" t="s">
        <v>113</v>
      </c>
      <c r="W2739" s="42">
        <v>1324.17</v>
      </c>
      <c r="X2739" s="42">
        <v>1324.17</v>
      </c>
    </row>
    <row r="2740" spans="1:24">
      <c r="A2740" s="27" t="s">
        <v>5058</v>
      </c>
      <c r="B2740" s="28" t="s">
        <v>215</v>
      </c>
      <c r="C2740" s="27" t="s">
        <v>5059</v>
      </c>
      <c r="D2740" s="27" t="s">
        <v>230</v>
      </c>
      <c r="E2740" s="29">
        <v>39813</v>
      </c>
      <c r="F2740" s="27">
        <v>15</v>
      </c>
      <c r="G2740" s="18">
        <v>24000</v>
      </c>
      <c r="H2740" s="27">
        <f t="shared" si="84"/>
        <v>24000</v>
      </c>
      <c r="I2740" s="18">
        <v>22800</v>
      </c>
      <c r="J2740" s="27">
        <v>24000</v>
      </c>
      <c r="K2740" s="18">
        <f t="shared" si="85"/>
        <v>24000</v>
      </c>
      <c r="L2740" s="27">
        <v>22800</v>
      </c>
      <c r="M2740" s="36">
        <v>0</v>
      </c>
      <c r="T2740" s="41">
        <v>0</v>
      </c>
      <c r="U2740" s="41">
        <v>0</v>
      </c>
      <c r="V2740" s="42" t="s">
        <v>113</v>
      </c>
      <c r="W2740" s="42">
        <v>24000</v>
      </c>
      <c r="X2740" s="42">
        <v>24000</v>
      </c>
    </row>
    <row r="2741" spans="1:24">
      <c r="A2741" s="27" t="s">
        <v>5060</v>
      </c>
      <c r="B2741" s="28" t="s">
        <v>215</v>
      </c>
      <c r="C2741" s="27" t="s">
        <v>5061</v>
      </c>
      <c r="D2741" s="27" t="s">
        <v>230</v>
      </c>
      <c r="E2741" s="29">
        <v>39813</v>
      </c>
      <c r="F2741" s="27">
        <v>15</v>
      </c>
      <c r="G2741" s="18">
        <v>24000</v>
      </c>
      <c r="H2741" s="27">
        <f t="shared" si="84"/>
        <v>24000</v>
      </c>
      <c r="I2741" s="18">
        <v>22800</v>
      </c>
      <c r="J2741" s="27">
        <v>24000</v>
      </c>
      <c r="K2741" s="18">
        <f t="shared" si="85"/>
        <v>24000</v>
      </c>
      <c r="L2741" s="27">
        <v>22800</v>
      </c>
      <c r="M2741" s="36">
        <v>0</v>
      </c>
      <c r="T2741" s="41">
        <v>0</v>
      </c>
      <c r="U2741" s="41">
        <v>0</v>
      </c>
      <c r="V2741" s="42" t="s">
        <v>113</v>
      </c>
      <c r="W2741" s="42">
        <v>24000</v>
      </c>
      <c r="X2741" s="42">
        <v>24000</v>
      </c>
    </row>
    <row r="2742" spans="1:24">
      <c r="A2742" s="27" t="s">
        <v>5062</v>
      </c>
      <c r="B2742" s="28" t="s">
        <v>215</v>
      </c>
      <c r="C2742" s="27" t="s">
        <v>5063</v>
      </c>
      <c r="D2742" s="27" t="s">
        <v>230</v>
      </c>
      <c r="E2742" s="29">
        <v>39813</v>
      </c>
      <c r="F2742" s="27">
        <v>15</v>
      </c>
      <c r="G2742" s="18">
        <v>24000</v>
      </c>
      <c r="H2742" s="27">
        <f t="shared" si="84"/>
        <v>24000</v>
      </c>
      <c r="I2742" s="18">
        <v>22800</v>
      </c>
      <c r="J2742" s="27">
        <v>24000</v>
      </c>
      <c r="K2742" s="18">
        <f t="shared" si="85"/>
        <v>24000</v>
      </c>
      <c r="L2742" s="27">
        <v>22800</v>
      </c>
      <c r="M2742" s="36">
        <v>0</v>
      </c>
      <c r="T2742" s="41">
        <v>0</v>
      </c>
      <c r="U2742" s="41">
        <v>0</v>
      </c>
      <c r="V2742" s="42" t="s">
        <v>113</v>
      </c>
      <c r="W2742" s="42">
        <v>24000</v>
      </c>
      <c r="X2742" s="42">
        <v>24000</v>
      </c>
    </row>
    <row r="2743" spans="1:24">
      <c r="A2743" s="27" t="s">
        <v>5064</v>
      </c>
      <c r="B2743" s="28" t="s">
        <v>215</v>
      </c>
      <c r="C2743" s="27" t="s">
        <v>5065</v>
      </c>
      <c r="D2743" s="27" t="s">
        <v>230</v>
      </c>
      <c r="E2743" s="29">
        <v>39813</v>
      </c>
      <c r="F2743" s="27">
        <v>15</v>
      </c>
      <c r="G2743" s="18">
        <v>24000</v>
      </c>
      <c r="H2743" s="27">
        <f t="shared" si="84"/>
        <v>24000</v>
      </c>
      <c r="I2743" s="18">
        <v>22800</v>
      </c>
      <c r="J2743" s="27">
        <v>24000</v>
      </c>
      <c r="K2743" s="18">
        <f t="shared" si="85"/>
        <v>24000</v>
      </c>
      <c r="L2743" s="27">
        <v>22800</v>
      </c>
      <c r="M2743" s="36">
        <v>0</v>
      </c>
      <c r="T2743" s="41">
        <v>0</v>
      </c>
      <c r="U2743" s="41">
        <v>0</v>
      </c>
      <c r="V2743" s="42" t="s">
        <v>113</v>
      </c>
      <c r="W2743" s="42">
        <v>24000</v>
      </c>
      <c r="X2743" s="42">
        <v>24000</v>
      </c>
    </row>
    <row r="2744" spans="1:24">
      <c r="A2744" s="27" t="s">
        <v>5066</v>
      </c>
      <c r="B2744" s="28" t="s">
        <v>215</v>
      </c>
      <c r="C2744" s="27" t="s">
        <v>5067</v>
      </c>
      <c r="D2744" s="27" t="s">
        <v>230</v>
      </c>
      <c r="E2744" s="29">
        <v>39813</v>
      </c>
      <c r="F2744" s="27">
        <v>15</v>
      </c>
      <c r="G2744" s="18">
        <v>24000</v>
      </c>
      <c r="H2744" s="27">
        <f t="shared" si="84"/>
        <v>24000</v>
      </c>
      <c r="I2744" s="18">
        <v>22800</v>
      </c>
      <c r="J2744" s="27">
        <v>24000</v>
      </c>
      <c r="K2744" s="18">
        <f t="shared" si="85"/>
        <v>24000</v>
      </c>
      <c r="L2744" s="27">
        <v>22800</v>
      </c>
      <c r="M2744" s="36">
        <v>0</v>
      </c>
      <c r="T2744" s="41">
        <v>0</v>
      </c>
      <c r="U2744" s="41">
        <v>0</v>
      </c>
      <c r="V2744" s="42" t="s">
        <v>113</v>
      </c>
      <c r="W2744" s="42">
        <v>24000</v>
      </c>
      <c r="X2744" s="42">
        <v>24000</v>
      </c>
    </row>
    <row r="2745" spans="1:24">
      <c r="A2745" s="27" t="s">
        <v>5068</v>
      </c>
      <c r="B2745" s="28" t="s">
        <v>215</v>
      </c>
      <c r="C2745" s="27" t="s">
        <v>5069</v>
      </c>
      <c r="D2745" s="27" t="s">
        <v>230</v>
      </c>
      <c r="E2745" s="29">
        <v>39813</v>
      </c>
      <c r="F2745" s="27">
        <v>15</v>
      </c>
      <c r="G2745" s="18">
        <v>24000</v>
      </c>
      <c r="H2745" s="27">
        <f t="shared" si="84"/>
        <v>24000</v>
      </c>
      <c r="I2745" s="18">
        <v>22800</v>
      </c>
      <c r="J2745" s="27">
        <v>24000</v>
      </c>
      <c r="K2745" s="18">
        <f t="shared" si="85"/>
        <v>24000</v>
      </c>
      <c r="L2745" s="27">
        <v>22800</v>
      </c>
      <c r="M2745" s="36">
        <v>0</v>
      </c>
      <c r="T2745" s="41">
        <v>0</v>
      </c>
      <c r="U2745" s="41">
        <v>0</v>
      </c>
      <c r="V2745" s="42" t="s">
        <v>113</v>
      </c>
      <c r="W2745" s="42">
        <v>24000</v>
      </c>
      <c r="X2745" s="42">
        <v>24000</v>
      </c>
    </row>
    <row r="2746" spans="1:24">
      <c r="A2746" s="27" t="s">
        <v>5070</v>
      </c>
      <c r="B2746" s="28" t="s">
        <v>215</v>
      </c>
      <c r="C2746" s="27" t="s">
        <v>5071</v>
      </c>
      <c r="D2746" s="27" t="s">
        <v>112</v>
      </c>
      <c r="E2746" s="29">
        <v>39813</v>
      </c>
      <c r="F2746" s="27">
        <v>15</v>
      </c>
      <c r="G2746" s="18">
        <v>32000</v>
      </c>
      <c r="H2746" s="27">
        <f t="shared" si="84"/>
        <v>32000</v>
      </c>
      <c r="I2746" s="18">
        <v>30400</v>
      </c>
      <c r="J2746" s="27">
        <v>32000</v>
      </c>
      <c r="K2746" s="18">
        <f t="shared" si="85"/>
        <v>32000</v>
      </c>
      <c r="L2746" s="27">
        <v>30400</v>
      </c>
      <c r="M2746" s="36">
        <v>0</v>
      </c>
      <c r="T2746" s="41">
        <v>0</v>
      </c>
      <c r="U2746" s="41">
        <v>0</v>
      </c>
      <c r="V2746" s="42" t="s">
        <v>113</v>
      </c>
      <c r="W2746" s="42">
        <v>32000</v>
      </c>
      <c r="X2746" s="42">
        <v>32000</v>
      </c>
    </row>
    <row r="2747" spans="1:24">
      <c r="A2747" s="27" t="s">
        <v>5072</v>
      </c>
      <c r="B2747" s="28" t="s">
        <v>215</v>
      </c>
      <c r="C2747" s="27" t="s">
        <v>5073</v>
      </c>
      <c r="D2747" s="27" t="s">
        <v>112</v>
      </c>
      <c r="E2747" s="29">
        <v>39813</v>
      </c>
      <c r="F2747" s="27">
        <v>15</v>
      </c>
      <c r="G2747" s="18">
        <v>32000</v>
      </c>
      <c r="H2747" s="27">
        <f t="shared" si="84"/>
        <v>32000</v>
      </c>
      <c r="I2747" s="18">
        <v>30400</v>
      </c>
      <c r="J2747" s="27">
        <v>32000</v>
      </c>
      <c r="K2747" s="18">
        <f t="shared" si="85"/>
        <v>32000</v>
      </c>
      <c r="L2747" s="27">
        <v>30400</v>
      </c>
      <c r="M2747" s="36">
        <v>0</v>
      </c>
      <c r="T2747" s="41">
        <v>0</v>
      </c>
      <c r="U2747" s="41">
        <v>0</v>
      </c>
      <c r="V2747" s="42" t="s">
        <v>113</v>
      </c>
      <c r="W2747" s="42">
        <v>32000</v>
      </c>
      <c r="X2747" s="42">
        <v>32000</v>
      </c>
    </row>
    <row r="2748" spans="1:24">
      <c r="A2748" s="27" t="s">
        <v>5074</v>
      </c>
      <c r="B2748" s="28" t="s">
        <v>215</v>
      </c>
      <c r="C2748" s="27" t="s">
        <v>5075</v>
      </c>
      <c r="D2748" s="27" t="s">
        <v>112</v>
      </c>
      <c r="E2748" s="29">
        <v>39813</v>
      </c>
      <c r="F2748" s="27">
        <v>15</v>
      </c>
      <c r="G2748" s="18">
        <v>32000</v>
      </c>
      <c r="H2748" s="27">
        <f t="shared" si="84"/>
        <v>32000</v>
      </c>
      <c r="I2748" s="18">
        <v>30400</v>
      </c>
      <c r="J2748" s="27">
        <v>32000</v>
      </c>
      <c r="K2748" s="18">
        <f t="shared" si="85"/>
        <v>32000</v>
      </c>
      <c r="L2748" s="27">
        <v>30400</v>
      </c>
      <c r="M2748" s="36">
        <v>0</v>
      </c>
      <c r="T2748" s="41">
        <v>0</v>
      </c>
      <c r="U2748" s="41">
        <v>0</v>
      </c>
      <c r="V2748" s="42" t="s">
        <v>113</v>
      </c>
      <c r="W2748" s="42">
        <v>32000</v>
      </c>
      <c r="X2748" s="42">
        <v>32000</v>
      </c>
    </row>
    <row r="2749" spans="1:24">
      <c r="A2749" s="27" t="s">
        <v>5076</v>
      </c>
      <c r="B2749" s="28" t="s">
        <v>215</v>
      </c>
      <c r="C2749" s="27" t="s">
        <v>5077</v>
      </c>
      <c r="D2749" s="27" t="s">
        <v>230</v>
      </c>
      <c r="E2749" s="29">
        <v>39813</v>
      </c>
      <c r="F2749" s="27">
        <v>15</v>
      </c>
      <c r="G2749" s="18">
        <v>60000</v>
      </c>
      <c r="H2749" s="27">
        <f t="shared" si="84"/>
        <v>60000</v>
      </c>
      <c r="I2749" s="18">
        <v>57000</v>
      </c>
      <c r="J2749" s="27">
        <v>60000</v>
      </c>
      <c r="K2749" s="18">
        <f t="shared" si="85"/>
        <v>60000</v>
      </c>
      <c r="L2749" s="27">
        <v>57000</v>
      </c>
      <c r="M2749" s="36">
        <v>0</v>
      </c>
      <c r="T2749" s="41">
        <v>0</v>
      </c>
      <c r="U2749" s="41">
        <v>0</v>
      </c>
      <c r="V2749" s="42" t="s">
        <v>113</v>
      </c>
      <c r="W2749" s="42">
        <v>60000</v>
      </c>
      <c r="X2749" s="42">
        <v>60000</v>
      </c>
    </row>
    <row r="2750" spans="1:24">
      <c r="A2750" s="27" t="s">
        <v>5078</v>
      </c>
      <c r="B2750" s="28" t="s">
        <v>215</v>
      </c>
      <c r="C2750" s="27" t="s">
        <v>5079</v>
      </c>
      <c r="D2750" s="27" t="s">
        <v>230</v>
      </c>
      <c r="E2750" s="29">
        <v>39813</v>
      </c>
      <c r="F2750" s="27">
        <v>15</v>
      </c>
      <c r="G2750" s="18">
        <v>24000</v>
      </c>
      <c r="H2750" s="27">
        <f t="shared" si="84"/>
        <v>24000</v>
      </c>
      <c r="I2750" s="18">
        <v>22800</v>
      </c>
      <c r="J2750" s="27">
        <v>24000</v>
      </c>
      <c r="K2750" s="18">
        <f t="shared" si="85"/>
        <v>24000</v>
      </c>
      <c r="L2750" s="27">
        <v>22800</v>
      </c>
      <c r="M2750" s="36">
        <v>0</v>
      </c>
      <c r="T2750" s="41">
        <v>0</v>
      </c>
      <c r="U2750" s="41">
        <v>0</v>
      </c>
      <c r="V2750" s="42" t="s">
        <v>113</v>
      </c>
      <c r="W2750" s="42">
        <v>24000</v>
      </c>
      <c r="X2750" s="42">
        <v>24000</v>
      </c>
    </row>
    <row r="2751" spans="1:24">
      <c r="A2751" s="27" t="s">
        <v>5080</v>
      </c>
      <c r="B2751" s="28" t="s">
        <v>215</v>
      </c>
      <c r="C2751" s="27" t="s">
        <v>5081</v>
      </c>
      <c r="D2751" s="27" t="s">
        <v>112</v>
      </c>
      <c r="E2751" s="29">
        <v>39813</v>
      </c>
      <c r="F2751" s="27">
        <v>15</v>
      </c>
      <c r="G2751" s="18">
        <v>32000</v>
      </c>
      <c r="H2751" s="27">
        <f t="shared" si="84"/>
        <v>32000</v>
      </c>
      <c r="I2751" s="18">
        <v>30400</v>
      </c>
      <c r="J2751" s="27">
        <v>32000</v>
      </c>
      <c r="K2751" s="18">
        <f t="shared" si="85"/>
        <v>32000</v>
      </c>
      <c r="L2751" s="27">
        <v>30400</v>
      </c>
      <c r="M2751" s="36">
        <v>0</v>
      </c>
      <c r="T2751" s="41">
        <v>0</v>
      </c>
      <c r="U2751" s="41">
        <v>0</v>
      </c>
      <c r="V2751" s="42" t="s">
        <v>113</v>
      </c>
      <c r="W2751" s="42">
        <v>32000</v>
      </c>
      <c r="X2751" s="42">
        <v>32000</v>
      </c>
    </row>
    <row r="2752" spans="1:24">
      <c r="A2752" s="27" t="s">
        <v>5082</v>
      </c>
      <c r="B2752" s="28" t="s">
        <v>215</v>
      </c>
      <c r="C2752" s="27" t="s">
        <v>5083</v>
      </c>
      <c r="D2752" s="27" t="s">
        <v>230</v>
      </c>
      <c r="E2752" s="29">
        <v>39813</v>
      </c>
      <c r="F2752" s="27">
        <v>15</v>
      </c>
      <c r="G2752" s="18">
        <v>48000</v>
      </c>
      <c r="H2752" s="27">
        <f t="shared" si="84"/>
        <v>48000</v>
      </c>
      <c r="I2752" s="18">
        <v>45600</v>
      </c>
      <c r="J2752" s="27">
        <v>48000</v>
      </c>
      <c r="K2752" s="18">
        <f t="shared" si="85"/>
        <v>48000</v>
      </c>
      <c r="L2752" s="27">
        <v>45600</v>
      </c>
      <c r="M2752" s="36">
        <v>0</v>
      </c>
      <c r="T2752" s="41">
        <v>0</v>
      </c>
      <c r="U2752" s="41">
        <v>0</v>
      </c>
      <c r="V2752" s="42" t="s">
        <v>113</v>
      </c>
      <c r="W2752" s="42">
        <v>48000</v>
      </c>
      <c r="X2752" s="42">
        <v>48000</v>
      </c>
    </row>
    <row r="2753" spans="1:24">
      <c r="A2753" s="27" t="s">
        <v>5084</v>
      </c>
      <c r="B2753" s="28" t="s">
        <v>215</v>
      </c>
      <c r="C2753" s="27" t="s">
        <v>5085</v>
      </c>
      <c r="D2753" s="27" t="s">
        <v>230</v>
      </c>
      <c r="E2753" s="29">
        <v>39813</v>
      </c>
      <c r="F2753" s="27">
        <v>15</v>
      </c>
      <c r="G2753" s="18">
        <v>60000</v>
      </c>
      <c r="H2753" s="27">
        <f t="shared" si="84"/>
        <v>60000</v>
      </c>
      <c r="I2753" s="18">
        <v>57000</v>
      </c>
      <c r="J2753" s="27">
        <v>60000</v>
      </c>
      <c r="K2753" s="18">
        <f t="shared" si="85"/>
        <v>60000</v>
      </c>
      <c r="L2753" s="27">
        <v>57000</v>
      </c>
      <c r="M2753" s="36">
        <v>0</v>
      </c>
      <c r="T2753" s="41">
        <v>0</v>
      </c>
      <c r="U2753" s="41">
        <v>0</v>
      </c>
      <c r="V2753" s="42" t="s">
        <v>113</v>
      </c>
      <c r="W2753" s="42">
        <v>60000</v>
      </c>
      <c r="X2753" s="42">
        <v>60000</v>
      </c>
    </row>
    <row r="2754" spans="1:24">
      <c r="A2754" s="27" t="s">
        <v>5086</v>
      </c>
      <c r="B2754" s="28" t="s">
        <v>215</v>
      </c>
      <c r="C2754" s="27" t="s">
        <v>4886</v>
      </c>
      <c r="D2754" s="27" t="s">
        <v>230</v>
      </c>
      <c r="E2754" s="29">
        <v>39813</v>
      </c>
      <c r="F2754" s="27">
        <v>15</v>
      </c>
      <c r="G2754" s="18">
        <v>48964.35</v>
      </c>
      <c r="H2754" s="27">
        <f t="shared" si="84"/>
        <v>48964.35</v>
      </c>
      <c r="I2754" s="18">
        <v>46516.13</v>
      </c>
      <c r="J2754" s="27">
        <v>48964.35</v>
      </c>
      <c r="K2754" s="18">
        <f t="shared" si="85"/>
        <v>48964.35</v>
      </c>
      <c r="L2754" s="27">
        <v>46516.13</v>
      </c>
      <c r="M2754" s="36">
        <v>0</v>
      </c>
      <c r="T2754" s="41">
        <v>0</v>
      </c>
      <c r="U2754" s="41">
        <v>0</v>
      </c>
      <c r="V2754" s="42" t="s">
        <v>113</v>
      </c>
      <c r="W2754" s="42">
        <v>48964.35</v>
      </c>
      <c r="X2754" s="42">
        <v>48964.35</v>
      </c>
    </row>
    <row r="2755" spans="1:24">
      <c r="A2755" s="27" t="s">
        <v>5087</v>
      </c>
      <c r="B2755" s="28" t="s">
        <v>215</v>
      </c>
      <c r="C2755" s="27" t="s">
        <v>5088</v>
      </c>
      <c r="D2755" s="27" t="s">
        <v>230</v>
      </c>
      <c r="E2755" s="29">
        <v>39813</v>
      </c>
      <c r="F2755" s="27">
        <v>15</v>
      </c>
      <c r="G2755" s="18">
        <v>48964.35</v>
      </c>
      <c r="H2755" s="27">
        <f t="shared" si="84"/>
        <v>48964.35</v>
      </c>
      <c r="I2755" s="18">
        <v>46516.13</v>
      </c>
      <c r="J2755" s="27">
        <v>48964.35</v>
      </c>
      <c r="K2755" s="18">
        <f t="shared" si="85"/>
        <v>48964.35</v>
      </c>
      <c r="L2755" s="27">
        <v>46516.13</v>
      </c>
      <c r="M2755" s="36">
        <v>0</v>
      </c>
      <c r="T2755" s="41">
        <v>0</v>
      </c>
      <c r="U2755" s="41">
        <v>0</v>
      </c>
      <c r="V2755" s="42" t="s">
        <v>113</v>
      </c>
      <c r="W2755" s="42">
        <v>48964.35</v>
      </c>
      <c r="X2755" s="42">
        <v>48964.35</v>
      </c>
    </row>
    <row r="2756" spans="1:24">
      <c r="A2756" s="27" t="s">
        <v>5089</v>
      </c>
      <c r="B2756" s="28" t="s">
        <v>215</v>
      </c>
      <c r="C2756" s="27" t="s">
        <v>5090</v>
      </c>
      <c r="D2756" s="27" t="s">
        <v>230</v>
      </c>
      <c r="E2756" s="29">
        <v>40543</v>
      </c>
      <c r="F2756" s="27">
        <v>15</v>
      </c>
      <c r="G2756" s="18">
        <v>24000</v>
      </c>
      <c r="H2756" s="27">
        <f t="shared" si="84"/>
        <v>0</v>
      </c>
      <c r="I2756" s="18">
        <v>18643.75</v>
      </c>
      <c r="J2756" s="27">
        <v>24000</v>
      </c>
      <c r="K2756" s="18">
        <f t="shared" si="85"/>
        <v>0</v>
      </c>
      <c r="L2756" s="27">
        <v>19237.5</v>
      </c>
      <c r="M2756" s="36">
        <v>593.75</v>
      </c>
      <c r="T2756" s="41">
        <v>0</v>
      </c>
      <c r="U2756" s="41">
        <v>0</v>
      </c>
      <c r="V2756" s="42" t="s">
        <v>113</v>
      </c>
      <c r="W2756" s="42">
        <v>0</v>
      </c>
      <c r="X2756" s="42">
        <v>0</v>
      </c>
    </row>
    <row r="2757" spans="1:24">
      <c r="A2757" s="27" t="s">
        <v>5091</v>
      </c>
      <c r="B2757" s="28" t="s">
        <v>215</v>
      </c>
      <c r="C2757" s="27" t="s">
        <v>5092</v>
      </c>
      <c r="D2757" s="27" t="s">
        <v>230</v>
      </c>
      <c r="E2757" s="29">
        <v>40542</v>
      </c>
      <c r="F2757" s="27">
        <v>15</v>
      </c>
      <c r="G2757" s="18">
        <v>146893.04999999999</v>
      </c>
      <c r="H2757" s="27">
        <f t="shared" si="84"/>
        <v>0</v>
      </c>
      <c r="I2757" s="18">
        <v>78628.179999999993</v>
      </c>
      <c r="J2757" s="27">
        <v>146893.04999999999</v>
      </c>
      <c r="K2757" s="18">
        <f t="shared" si="85"/>
        <v>0</v>
      </c>
      <c r="L2757" s="27">
        <v>88781.55</v>
      </c>
      <c r="M2757" s="36">
        <v>10153.370000000001</v>
      </c>
      <c r="T2757" s="41">
        <v>0</v>
      </c>
      <c r="U2757" s="41">
        <v>0</v>
      </c>
      <c r="V2757" s="42" t="s">
        <v>113</v>
      </c>
      <c r="W2757" s="42">
        <v>0</v>
      </c>
      <c r="X2757" s="42">
        <v>0</v>
      </c>
    </row>
    <row r="2758" spans="1:24">
      <c r="A2758" s="27" t="s">
        <v>5093</v>
      </c>
      <c r="B2758" s="28" t="s">
        <v>215</v>
      </c>
      <c r="C2758" s="27" t="s">
        <v>5094</v>
      </c>
      <c r="D2758" s="27" t="s">
        <v>230</v>
      </c>
      <c r="E2758" s="29">
        <v>41257</v>
      </c>
      <c r="F2758" s="27">
        <v>15</v>
      </c>
      <c r="G2758" s="18">
        <v>52000</v>
      </c>
      <c r="H2758" s="27">
        <f t="shared" ref="H2758:H2821" si="86">IFERROR(IF(ROUND((G2758-I2758)/G2758,2)&lt;=0.05,G2758,0),0)</f>
        <v>0</v>
      </c>
      <c r="I2758" s="18">
        <v>23008.21</v>
      </c>
      <c r="J2758" s="27">
        <v>52000</v>
      </c>
      <c r="K2758" s="18">
        <f t="shared" ref="K2758:K2821" si="87">IFERROR(IF(ROUND((J2758-L2758)/J2758,2)&lt;=0.05,J2758,0),0)</f>
        <v>0</v>
      </c>
      <c r="L2758" s="27">
        <v>25940.63</v>
      </c>
      <c r="M2758" s="36">
        <v>2932.42</v>
      </c>
      <c r="T2758" s="41">
        <v>0</v>
      </c>
      <c r="U2758" s="41">
        <v>0</v>
      </c>
      <c r="V2758" s="42" t="s">
        <v>113</v>
      </c>
      <c r="W2758" s="42">
        <v>0</v>
      </c>
      <c r="X2758" s="42">
        <v>0</v>
      </c>
    </row>
    <row r="2759" spans="1:24">
      <c r="A2759" s="27" t="s">
        <v>5095</v>
      </c>
      <c r="B2759" s="28" t="s">
        <v>215</v>
      </c>
      <c r="C2759" s="27" t="s">
        <v>4809</v>
      </c>
      <c r="D2759" s="27" t="s">
        <v>230</v>
      </c>
      <c r="E2759" s="29">
        <v>41257</v>
      </c>
      <c r="F2759" s="27">
        <v>15</v>
      </c>
      <c r="G2759" s="18">
        <v>30000</v>
      </c>
      <c r="H2759" s="27">
        <f t="shared" si="86"/>
        <v>0</v>
      </c>
      <c r="I2759" s="18">
        <v>24011.25</v>
      </c>
      <c r="J2759" s="27">
        <v>30000</v>
      </c>
      <c r="K2759" s="18">
        <f t="shared" si="87"/>
        <v>0</v>
      </c>
      <c r="L2759" s="27">
        <v>24510</v>
      </c>
      <c r="M2759" s="36">
        <v>498.75</v>
      </c>
      <c r="T2759" s="41">
        <v>0</v>
      </c>
      <c r="U2759" s="41">
        <v>0</v>
      </c>
      <c r="V2759" s="42" t="s">
        <v>113</v>
      </c>
      <c r="W2759" s="42">
        <v>0</v>
      </c>
      <c r="X2759" s="42">
        <v>0</v>
      </c>
    </row>
    <row r="2760" spans="1:24">
      <c r="A2760" s="27" t="s">
        <v>5096</v>
      </c>
      <c r="B2760" s="28" t="s">
        <v>215</v>
      </c>
      <c r="C2760" s="27" t="s">
        <v>4830</v>
      </c>
      <c r="D2760" s="27" t="s">
        <v>230</v>
      </c>
      <c r="E2760" s="29">
        <v>41257</v>
      </c>
      <c r="F2760" s="27">
        <v>15</v>
      </c>
      <c r="G2760" s="18">
        <v>30000</v>
      </c>
      <c r="H2760" s="27">
        <f t="shared" si="86"/>
        <v>0</v>
      </c>
      <c r="I2760" s="18">
        <v>23035.93</v>
      </c>
      <c r="J2760" s="27">
        <v>30000</v>
      </c>
      <c r="K2760" s="18">
        <f t="shared" si="87"/>
        <v>0</v>
      </c>
      <c r="L2760" s="27">
        <v>23643.05</v>
      </c>
      <c r="M2760" s="36">
        <v>607.12</v>
      </c>
      <c r="T2760" s="41">
        <v>0</v>
      </c>
      <c r="U2760" s="41">
        <v>0</v>
      </c>
      <c r="V2760" s="42" t="s">
        <v>113</v>
      </c>
      <c r="W2760" s="42">
        <v>0</v>
      </c>
      <c r="X2760" s="42">
        <v>0</v>
      </c>
    </row>
    <row r="2761" spans="1:24">
      <c r="A2761" s="27" t="s">
        <v>5097</v>
      </c>
      <c r="B2761" s="28" t="s">
        <v>215</v>
      </c>
      <c r="C2761" s="27" t="s">
        <v>5098</v>
      </c>
      <c r="D2761" s="27" t="s">
        <v>230</v>
      </c>
      <c r="E2761" s="29">
        <v>40543</v>
      </c>
      <c r="F2761" s="27">
        <v>15</v>
      </c>
      <c r="G2761" s="18">
        <v>64000</v>
      </c>
      <c r="H2761" s="27">
        <f t="shared" si="86"/>
        <v>0</v>
      </c>
      <c r="I2761" s="18">
        <v>49716.66</v>
      </c>
      <c r="J2761" s="27">
        <v>64000</v>
      </c>
      <c r="K2761" s="18">
        <f t="shared" si="87"/>
        <v>0</v>
      </c>
      <c r="L2761" s="27">
        <v>51299.99</v>
      </c>
      <c r="M2761" s="36">
        <v>1583.33</v>
      </c>
      <c r="T2761" s="41">
        <v>0</v>
      </c>
      <c r="U2761" s="41">
        <v>0</v>
      </c>
      <c r="V2761" s="42" t="s">
        <v>113</v>
      </c>
      <c r="W2761" s="42">
        <v>0</v>
      </c>
      <c r="X2761" s="42">
        <v>0</v>
      </c>
    </row>
    <row r="2762" spans="1:24">
      <c r="A2762" s="27" t="s">
        <v>5099</v>
      </c>
      <c r="B2762" s="28" t="s">
        <v>215</v>
      </c>
      <c r="C2762" s="27" t="s">
        <v>5100</v>
      </c>
      <c r="D2762" s="27" t="s">
        <v>112</v>
      </c>
      <c r="E2762" s="29">
        <v>43404</v>
      </c>
      <c r="F2762" s="27">
        <v>15</v>
      </c>
      <c r="G2762" s="18">
        <v>2863.7</v>
      </c>
      <c r="H2762" s="27">
        <f t="shared" si="86"/>
        <v>0</v>
      </c>
      <c r="I2762" s="18">
        <v>30.43</v>
      </c>
      <c r="J2762" s="27">
        <v>2863.7</v>
      </c>
      <c r="K2762" s="18">
        <f t="shared" si="87"/>
        <v>0</v>
      </c>
      <c r="L2762" s="27">
        <v>211.78</v>
      </c>
      <c r="M2762" s="36">
        <v>181.35</v>
      </c>
      <c r="T2762" s="41">
        <v>0</v>
      </c>
      <c r="U2762" s="41">
        <v>0</v>
      </c>
      <c r="V2762" s="42" t="s">
        <v>113</v>
      </c>
      <c r="W2762" s="42">
        <v>0</v>
      </c>
      <c r="X2762" s="42">
        <v>0</v>
      </c>
    </row>
    <row r="2763" spans="1:24">
      <c r="A2763" s="27" t="s">
        <v>5101</v>
      </c>
      <c r="B2763" s="28" t="s">
        <v>5102</v>
      </c>
      <c r="C2763" s="27" t="s">
        <v>5103</v>
      </c>
      <c r="D2763" s="27" t="s">
        <v>5104</v>
      </c>
      <c r="E2763" s="29">
        <v>39854</v>
      </c>
      <c r="F2763" s="27">
        <v>15</v>
      </c>
      <c r="G2763" s="18">
        <v>279443.03000000003</v>
      </c>
      <c r="H2763" s="27">
        <f t="shared" si="86"/>
        <v>0</v>
      </c>
      <c r="I2763" s="18">
        <v>212286.41</v>
      </c>
      <c r="J2763" s="27">
        <v>279443.03000000003</v>
      </c>
      <c r="K2763" s="18">
        <f t="shared" si="87"/>
        <v>0</v>
      </c>
      <c r="L2763" s="27">
        <v>222580.18</v>
      </c>
      <c r="M2763" s="36">
        <v>10293.77</v>
      </c>
      <c r="T2763" s="41">
        <v>0</v>
      </c>
      <c r="U2763" s="41">
        <v>0</v>
      </c>
      <c r="V2763" s="42" t="s">
        <v>113</v>
      </c>
      <c r="W2763" s="42">
        <v>0</v>
      </c>
      <c r="X2763" s="42">
        <v>0</v>
      </c>
    </row>
    <row r="2764" spans="1:24">
      <c r="A2764" s="27" t="s">
        <v>5105</v>
      </c>
      <c r="B2764" s="28" t="s">
        <v>5102</v>
      </c>
      <c r="C2764" s="27" t="s">
        <v>5106</v>
      </c>
      <c r="D2764" s="27" t="s">
        <v>230</v>
      </c>
      <c r="E2764" s="29">
        <v>39854</v>
      </c>
      <c r="F2764" s="27">
        <v>15</v>
      </c>
      <c r="G2764" s="18">
        <v>706369.85</v>
      </c>
      <c r="H2764" s="27">
        <f t="shared" si="86"/>
        <v>0</v>
      </c>
      <c r="I2764" s="18">
        <v>536612.84</v>
      </c>
      <c r="J2764" s="27">
        <v>706369.85</v>
      </c>
      <c r="K2764" s="18">
        <f t="shared" si="87"/>
        <v>0</v>
      </c>
      <c r="L2764" s="27">
        <v>562633.19999999995</v>
      </c>
      <c r="M2764" s="36">
        <v>26020.36</v>
      </c>
      <c r="T2764" s="41">
        <v>0</v>
      </c>
      <c r="U2764" s="41">
        <v>0</v>
      </c>
      <c r="V2764" s="42" t="s">
        <v>113</v>
      </c>
      <c r="W2764" s="42">
        <v>0</v>
      </c>
      <c r="X2764" s="42">
        <v>0</v>
      </c>
    </row>
    <row r="2765" spans="1:24">
      <c r="A2765" s="27" t="s">
        <v>5107</v>
      </c>
      <c r="B2765" s="28" t="s">
        <v>5102</v>
      </c>
      <c r="C2765" s="27" t="s">
        <v>5108</v>
      </c>
      <c r="D2765" s="27" t="s">
        <v>230</v>
      </c>
      <c r="E2765" s="29">
        <v>39854</v>
      </c>
      <c r="F2765" s="27">
        <v>15</v>
      </c>
      <c r="G2765" s="18">
        <v>665270.72</v>
      </c>
      <c r="H2765" s="27">
        <f t="shared" si="86"/>
        <v>0</v>
      </c>
      <c r="I2765" s="18">
        <v>511809.53</v>
      </c>
      <c r="J2765" s="27">
        <v>665270.72</v>
      </c>
      <c r="K2765" s="18">
        <f t="shared" si="87"/>
        <v>0</v>
      </c>
      <c r="L2765" s="27">
        <v>535073.59</v>
      </c>
      <c r="M2765" s="36">
        <v>23264.06</v>
      </c>
      <c r="T2765" s="41">
        <v>0</v>
      </c>
      <c r="U2765" s="41">
        <v>0</v>
      </c>
      <c r="V2765" s="42" t="s">
        <v>113</v>
      </c>
      <c r="W2765" s="42">
        <v>0</v>
      </c>
      <c r="X2765" s="42">
        <v>0</v>
      </c>
    </row>
    <row r="2766" spans="1:24">
      <c r="A2766" s="27" t="s">
        <v>5109</v>
      </c>
      <c r="B2766" s="28" t="s">
        <v>5102</v>
      </c>
      <c r="C2766" s="27" t="s">
        <v>5110</v>
      </c>
      <c r="D2766" s="27" t="s">
        <v>230</v>
      </c>
      <c r="E2766" s="29">
        <v>35765</v>
      </c>
      <c r="F2766" s="27">
        <v>15</v>
      </c>
      <c r="G2766" s="18">
        <v>405149.81</v>
      </c>
      <c r="H2766" s="27">
        <f t="shared" si="86"/>
        <v>405149.81</v>
      </c>
      <c r="I2766" s="18">
        <v>384892.32</v>
      </c>
      <c r="J2766" s="27">
        <v>405149.81</v>
      </c>
      <c r="K2766" s="18">
        <f t="shared" si="87"/>
        <v>405149.81</v>
      </c>
      <c r="L2766" s="27">
        <v>384892.32</v>
      </c>
      <c r="M2766" s="36">
        <v>0</v>
      </c>
      <c r="T2766" s="41">
        <v>0</v>
      </c>
      <c r="U2766" s="41">
        <v>0</v>
      </c>
      <c r="V2766" s="42" t="s">
        <v>113</v>
      </c>
      <c r="W2766" s="42">
        <v>405149.81</v>
      </c>
      <c r="X2766" s="42">
        <v>405149.81</v>
      </c>
    </row>
    <row r="2767" spans="1:24">
      <c r="A2767" s="27" t="s">
        <v>5111</v>
      </c>
      <c r="B2767" s="28" t="s">
        <v>5102</v>
      </c>
      <c r="C2767" s="27" t="s">
        <v>5112</v>
      </c>
      <c r="D2767" s="27" t="s">
        <v>5104</v>
      </c>
      <c r="E2767" s="29">
        <v>30286</v>
      </c>
      <c r="F2767" s="27">
        <v>15</v>
      </c>
      <c r="G2767" s="18">
        <v>8566.35</v>
      </c>
      <c r="H2767" s="27">
        <f t="shared" si="86"/>
        <v>8566.35</v>
      </c>
      <c r="I2767" s="18">
        <v>8138.03</v>
      </c>
      <c r="J2767" s="27">
        <v>8566.35</v>
      </c>
      <c r="K2767" s="18">
        <f t="shared" si="87"/>
        <v>8566.35</v>
      </c>
      <c r="L2767" s="27">
        <v>8138.03</v>
      </c>
      <c r="M2767" s="36">
        <v>0</v>
      </c>
      <c r="T2767" s="41">
        <v>0</v>
      </c>
      <c r="U2767" s="41">
        <v>0</v>
      </c>
      <c r="V2767" s="42" t="s">
        <v>113</v>
      </c>
      <c r="W2767" s="42">
        <v>8566.35</v>
      </c>
      <c r="X2767" s="42">
        <v>8566.35</v>
      </c>
    </row>
    <row r="2768" spans="1:24">
      <c r="A2768" s="27" t="s">
        <v>5113</v>
      </c>
      <c r="B2768" s="28" t="s">
        <v>5102</v>
      </c>
      <c r="C2768" s="27" t="s">
        <v>5114</v>
      </c>
      <c r="D2768" s="27" t="s">
        <v>5104</v>
      </c>
      <c r="E2768" s="29">
        <v>23712</v>
      </c>
      <c r="F2768" s="27">
        <v>15</v>
      </c>
      <c r="G2768" s="18">
        <v>5664.55</v>
      </c>
      <c r="H2768" s="27">
        <f t="shared" si="86"/>
        <v>5664.55</v>
      </c>
      <c r="I2768" s="18">
        <v>5381.32</v>
      </c>
      <c r="J2768" s="27">
        <v>5664.55</v>
      </c>
      <c r="K2768" s="18">
        <f t="shared" si="87"/>
        <v>5664.55</v>
      </c>
      <c r="L2768" s="27">
        <v>5381.32</v>
      </c>
      <c r="M2768" s="36">
        <v>0</v>
      </c>
      <c r="T2768" s="41">
        <v>0</v>
      </c>
      <c r="U2768" s="41">
        <v>0</v>
      </c>
      <c r="V2768" s="42" t="s">
        <v>113</v>
      </c>
      <c r="W2768" s="42">
        <v>5664.55</v>
      </c>
      <c r="X2768" s="42">
        <v>5664.55</v>
      </c>
    </row>
    <row r="2769" spans="1:24">
      <c r="A2769" s="27" t="s">
        <v>5115</v>
      </c>
      <c r="B2769" s="28" t="s">
        <v>5102</v>
      </c>
      <c r="C2769" s="27" t="s">
        <v>5116</v>
      </c>
      <c r="D2769" s="27" t="s">
        <v>5104</v>
      </c>
      <c r="E2769" s="29">
        <v>23712</v>
      </c>
      <c r="F2769" s="27">
        <v>15</v>
      </c>
      <c r="G2769" s="18">
        <v>9288.0499999999993</v>
      </c>
      <c r="H2769" s="27">
        <f t="shared" si="86"/>
        <v>9288.0499999999993</v>
      </c>
      <c r="I2769" s="18">
        <v>8823.65</v>
      </c>
      <c r="J2769" s="27">
        <v>9288.0499999999993</v>
      </c>
      <c r="K2769" s="18">
        <f t="shared" si="87"/>
        <v>9288.0499999999993</v>
      </c>
      <c r="L2769" s="27">
        <v>8823.65</v>
      </c>
      <c r="M2769" s="36">
        <v>0</v>
      </c>
      <c r="T2769" s="41">
        <v>0</v>
      </c>
      <c r="U2769" s="41">
        <v>0</v>
      </c>
      <c r="V2769" s="42" t="s">
        <v>113</v>
      </c>
      <c r="W2769" s="42">
        <v>9288.0499999999993</v>
      </c>
      <c r="X2769" s="42">
        <v>9288.0499999999993</v>
      </c>
    </row>
    <row r="2770" spans="1:24">
      <c r="A2770" s="27" t="s">
        <v>5117</v>
      </c>
      <c r="B2770" s="28" t="s">
        <v>5102</v>
      </c>
      <c r="C2770" s="27" t="s">
        <v>5118</v>
      </c>
      <c r="D2770" s="27" t="s">
        <v>230</v>
      </c>
      <c r="E2770" s="29">
        <v>32478</v>
      </c>
      <c r="F2770" s="27">
        <v>15</v>
      </c>
      <c r="G2770" s="18">
        <v>17178.95</v>
      </c>
      <c r="H2770" s="27">
        <f t="shared" si="86"/>
        <v>17178.95</v>
      </c>
      <c r="I2770" s="18">
        <v>16320</v>
      </c>
      <c r="J2770" s="27">
        <v>17178.95</v>
      </c>
      <c r="K2770" s="18">
        <f t="shared" si="87"/>
        <v>17178.95</v>
      </c>
      <c r="L2770" s="27">
        <v>16320</v>
      </c>
      <c r="M2770" s="36">
        <v>0</v>
      </c>
      <c r="T2770" s="41">
        <v>0</v>
      </c>
      <c r="U2770" s="41">
        <v>0</v>
      </c>
      <c r="V2770" s="42" t="s">
        <v>113</v>
      </c>
      <c r="W2770" s="42">
        <v>17178.95</v>
      </c>
      <c r="X2770" s="42">
        <v>17178.95</v>
      </c>
    </row>
    <row r="2771" spans="1:24">
      <c r="A2771" s="27" t="s">
        <v>5119</v>
      </c>
      <c r="B2771" s="28" t="s">
        <v>5102</v>
      </c>
      <c r="C2771" s="27" t="s">
        <v>5120</v>
      </c>
      <c r="D2771" s="27" t="s">
        <v>5104</v>
      </c>
      <c r="E2771" s="29">
        <v>23712</v>
      </c>
      <c r="F2771" s="27">
        <v>15</v>
      </c>
      <c r="G2771" s="18">
        <v>107875</v>
      </c>
      <c r="H2771" s="27">
        <f t="shared" si="86"/>
        <v>107875</v>
      </c>
      <c r="I2771" s="18">
        <v>102481.25</v>
      </c>
      <c r="J2771" s="27">
        <v>107875</v>
      </c>
      <c r="K2771" s="18">
        <f t="shared" si="87"/>
        <v>107875</v>
      </c>
      <c r="L2771" s="27">
        <v>102481.25</v>
      </c>
      <c r="M2771" s="36">
        <v>0</v>
      </c>
      <c r="T2771" s="41">
        <v>0</v>
      </c>
      <c r="U2771" s="41">
        <v>0</v>
      </c>
      <c r="V2771" s="42" t="s">
        <v>113</v>
      </c>
      <c r="W2771" s="42">
        <v>107875</v>
      </c>
      <c r="X2771" s="42">
        <v>107875</v>
      </c>
    </row>
    <row r="2772" spans="1:24">
      <c r="A2772" s="27" t="s">
        <v>5121</v>
      </c>
      <c r="B2772" s="28" t="s">
        <v>5102</v>
      </c>
      <c r="C2772" s="27" t="s">
        <v>5122</v>
      </c>
      <c r="D2772" s="27" t="s">
        <v>5104</v>
      </c>
      <c r="E2772" s="29">
        <v>24442</v>
      </c>
      <c r="F2772" s="27">
        <v>15</v>
      </c>
      <c r="G2772" s="18">
        <v>56703</v>
      </c>
      <c r="H2772" s="27">
        <f t="shared" si="86"/>
        <v>56703</v>
      </c>
      <c r="I2772" s="18">
        <v>53867.85</v>
      </c>
      <c r="J2772" s="27">
        <v>56703</v>
      </c>
      <c r="K2772" s="18">
        <f t="shared" si="87"/>
        <v>56703</v>
      </c>
      <c r="L2772" s="27">
        <v>53867.85</v>
      </c>
      <c r="M2772" s="36">
        <v>0</v>
      </c>
      <c r="T2772" s="41">
        <v>0</v>
      </c>
      <c r="U2772" s="41">
        <v>0</v>
      </c>
      <c r="V2772" s="42" t="s">
        <v>113</v>
      </c>
      <c r="W2772" s="42">
        <v>56703</v>
      </c>
      <c r="X2772" s="42">
        <v>56703</v>
      </c>
    </row>
    <row r="2773" spans="1:24">
      <c r="A2773" s="27" t="s">
        <v>5123</v>
      </c>
      <c r="B2773" s="28" t="s">
        <v>5102</v>
      </c>
      <c r="C2773" s="27" t="s">
        <v>5124</v>
      </c>
      <c r="D2773" s="27" t="s">
        <v>230</v>
      </c>
      <c r="E2773" s="29">
        <v>37226</v>
      </c>
      <c r="F2773" s="27">
        <v>15</v>
      </c>
      <c r="G2773" s="18">
        <v>1156649.27</v>
      </c>
      <c r="H2773" s="27">
        <f t="shared" si="86"/>
        <v>1156649.27</v>
      </c>
      <c r="I2773" s="18">
        <v>1098816.81</v>
      </c>
      <c r="J2773" s="27">
        <v>1156649.27</v>
      </c>
      <c r="K2773" s="18">
        <f t="shared" si="87"/>
        <v>1156649.27</v>
      </c>
      <c r="L2773" s="27">
        <v>1098816.81</v>
      </c>
      <c r="M2773" s="36">
        <v>0</v>
      </c>
      <c r="T2773" s="41">
        <v>0</v>
      </c>
      <c r="U2773" s="41">
        <v>0</v>
      </c>
      <c r="V2773" s="42" t="s">
        <v>113</v>
      </c>
      <c r="W2773" s="42">
        <v>1156649.27</v>
      </c>
      <c r="X2773" s="42">
        <v>1156649.27</v>
      </c>
    </row>
    <row r="2774" spans="1:24">
      <c r="A2774" s="27" t="s">
        <v>5125</v>
      </c>
      <c r="B2774" s="28" t="s">
        <v>5102</v>
      </c>
      <c r="C2774" s="27" t="s">
        <v>5126</v>
      </c>
      <c r="D2774" s="27" t="s">
        <v>5104</v>
      </c>
      <c r="E2774" s="29">
        <v>37834</v>
      </c>
      <c r="F2774" s="27">
        <v>15</v>
      </c>
      <c r="G2774" s="18">
        <v>1675103.74</v>
      </c>
      <c r="H2774" s="27">
        <f t="shared" si="86"/>
        <v>1675103.74</v>
      </c>
      <c r="I2774" s="18">
        <v>1591348.55</v>
      </c>
      <c r="J2774" s="27">
        <v>1675103.74</v>
      </c>
      <c r="K2774" s="18">
        <f t="shared" si="87"/>
        <v>1675103.74</v>
      </c>
      <c r="L2774" s="27">
        <v>1591348.55</v>
      </c>
      <c r="M2774" s="36">
        <v>0</v>
      </c>
      <c r="T2774" s="41">
        <v>0</v>
      </c>
      <c r="U2774" s="41">
        <v>0</v>
      </c>
      <c r="V2774" s="42" t="s">
        <v>113</v>
      </c>
      <c r="W2774" s="42">
        <v>1675103.74</v>
      </c>
      <c r="X2774" s="42">
        <v>1675103.74</v>
      </c>
    </row>
    <row r="2775" spans="1:24">
      <c r="A2775" s="27" t="s">
        <v>5127</v>
      </c>
      <c r="B2775" s="28" t="s">
        <v>5102</v>
      </c>
      <c r="C2775" s="27" t="s">
        <v>5128</v>
      </c>
      <c r="D2775" s="27" t="s">
        <v>5104</v>
      </c>
      <c r="E2775" s="29">
        <v>39417</v>
      </c>
      <c r="F2775" s="27">
        <v>15</v>
      </c>
      <c r="G2775" s="18">
        <v>20980.75</v>
      </c>
      <c r="H2775" s="27">
        <f t="shared" si="86"/>
        <v>0</v>
      </c>
      <c r="I2775" s="18">
        <v>17894.47</v>
      </c>
      <c r="J2775" s="27">
        <v>20980.75</v>
      </c>
      <c r="K2775" s="18">
        <f t="shared" si="87"/>
        <v>0</v>
      </c>
      <c r="L2775" s="27">
        <v>18403.78</v>
      </c>
      <c r="M2775" s="36">
        <v>509.31</v>
      </c>
      <c r="T2775" s="41">
        <v>0</v>
      </c>
      <c r="U2775" s="41">
        <v>0</v>
      </c>
      <c r="V2775" s="42" t="s">
        <v>113</v>
      </c>
      <c r="W2775" s="42">
        <v>0</v>
      </c>
      <c r="X2775" s="42">
        <v>0</v>
      </c>
    </row>
    <row r="2776" spans="1:24">
      <c r="A2776" s="27" t="s">
        <v>5129</v>
      </c>
      <c r="B2776" s="28" t="s">
        <v>5102</v>
      </c>
      <c r="C2776" s="27" t="s">
        <v>5130</v>
      </c>
      <c r="D2776" s="27" t="s">
        <v>5104</v>
      </c>
      <c r="E2776" s="29">
        <v>38078</v>
      </c>
      <c r="F2776" s="27">
        <v>15</v>
      </c>
      <c r="G2776" s="18">
        <v>968664.41</v>
      </c>
      <c r="H2776" s="27">
        <f t="shared" si="86"/>
        <v>968664.41</v>
      </c>
      <c r="I2776" s="18">
        <v>920231.19</v>
      </c>
      <c r="J2776" s="27">
        <v>968664.41</v>
      </c>
      <c r="K2776" s="18">
        <f t="shared" si="87"/>
        <v>968664.41</v>
      </c>
      <c r="L2776" s="27">
        <v>920231.19</v>
      </c>
      <c r="M2776" s="36">
        <v>0</v>
      </c>
      <c r="T2776" s="41">
        <v>0</v>
      </c>
      <c r="U2776" s="41">
        <v>0</v>
      </c>
      <c r="V2776" s="42" t="s">
        <v>113</v>
      </c>
      <c r="W2776" s="42">
        <v>968664.41</v>
      </c>
      <c r="X2776" s="42">
        <v>968664.41</v>
      </c>
    </row>
    <row r="2777" spans="1:24">
      <c r="A2777" s="27" t="s">
        <v>5131</v>
      </c>
      <c r="B2777" s="28" t="s">
        <v>5102</v>
      </c>
      <c r="C2777" s="27" t="s">
        <v>5128</v>
      </c>
      <c r="D2777" s="27" t="s">
        <v>5104</v>
      </c>
      <c r="E2777" s="29">
        <v>39417</v>
      </c>
      <c r="F2777" s="27">
        <v>15</v>
      </c>
      <c r="G2777" s="18">
        <v>865840.52</v>
      </c>
      <c r="H2777" s="27">
        <f t="shared" si="86"/>
        <v>0</v>
      </c>
      <c r="I2777" s="18">
        <v>738856.34</v>
      </c>
      <c r="J2777" s="27">
        <v>865840.52</v>
      </c>
      <c r="K2777" s="18">
        <f t="shared" si="87"/>
        <v>0</v>
      </c>
      <c r="L2777" s="27">
        <v>759779.38</v>
      </c>
      <c r="M2777" s="36">
        <v>20923.04</v>
      </c>
      <c r="T2777" s="41">
        <v>0</v>
      </c>
      <c r="U2777" s="41">
        <v>0</v>
      </c>
      <c r="V2777" s="42" t="s">
        <v>113</v>
      </c>
      <c r="W2777" s="42">
        <v>0</v>
      </c>
      <c r="X2777" s="42">
        <v>0</v>
      </c>
    </row>
    <row r="2778" spans="1:24">
      <c r="A2778" s="27" t="s">
        <v>5132</v>
      </c>
      <c r="B2778" s="28" t="s">
        <v>5102</v>
      </c>
      <c r="C2778" s="27" t="s">
        <v>5133</v>
      </c>
      <c r="D2778" s="27" t="s">
        <v>5104</v>
      </c>
      <c r="E2778" s="29">
        <v>37712</v>
      </c>
      <c r="F2778" s="27">
        <v>15</v>
      </c>
      <c r="G2778" s="18">
        <v>1602102.57</v>
      </c>
      <c r="H2778" s="27">
        <f t="shared" si="86"/>
        <v>1602102.57</v>
      </c>
      <c r="I2778" s="18">
        <v>1521997.44</v>
      </c>
      <c r="J2778" s="27">
        <v>1602102.57</v>
      </c>
      <c r="K2778" s="18">
        <f t="shared" si="87"/>
        <v>1602102.57</v>
      </c>
      <c r="L2778" s="27">
        <v>1521997.44</v>
      </c>
      <c r="M2778" s="36">
        <v>0</v>
      </c>
      <c r="T2778" s="41">
        <v>0</v>
      </c>
      <c r="U2778" s="41">
        <v>0</v>
      </c>
      <c r="V2778" s="42" t="s">
        <v>113</v>
      </c>
      <c r="W2778" s="42">
        <v>1602102.57</v>
      </c>
      <c r="X2778" s="42">
        <v>1602102.57</v>
      </c>
    </row>
    <row r="2779" spans="1:24">
      <c r="A2779" s="27" t="s">
        <v>5134</v>
      </c>
      <c r="B2779" s="28" t="s">
        <v>5102</v>
      </c>
      <c r="C2779" s="27" t="s">
        <v>5135</v>
      </c>
      <c r="D2779" s="27" t="s">
        <v>5104</v>
      </c>
      <c r="E2779" s="29">
        <v>37773</v>
      </c>
      <c r="F2779" s="27">
        <v>15</v>
      </c>
      <c r="G2779" s="18">
        <v>163112.07</v>
      </c>
      <c r="H2779" s="27">
        <f t="shared" si="86"/>
        <v>163112.07</v>
      </c>
      <c r="I2779" s="18">
        <v>154956.47</v>
      </c>
      <c r="J2779" s="27">
        <v>163112.07</v>
      </c>
      <c r="K2779" s="18">
        <f t="shared" si="87"/>
        <v>163112.07</v>
      </c>
      <c r="L2779" s="27">
        <v>154956.47</v>
      </c>
      <c r="M2779" s="36">
        <v>0</v>
      </c>
      <c r="T2779" s="41">
        <v>0</v>
      </c>
      <c r="U2779" s="41">
        <v>0</v>
      </c>
      <c r="V2779" s="42" t="s">
        <v>113</v>
      </c>
      <c r="W2779" s="42">
        <v>163112.07</v>
      </c>
      <c r="X2779" s="42">
        <v>163112.07</v>
      </c>
    </row>
    <row r="2780" spans="1:24">
      <c r="A2780" s="27" t="s">
        <v>5136</v>
      </c>
      <c r="B2780" s="28" t="s">
        <v>5102</v>
      </c>
      <c r="C2780" s="27" t="s">
        <v>5137</v>
      </c>
      <c r="D2780" s="27" t="s">
        <v>5104</v>
      </c>
      <c r="E2780" s="29">
        <v>39417</v>
      </c>
      <c r="F2780" s="27">
        <v>15</v>
      </c>
      <c r="G2780" s="18">
        <v>5397.03</v>
      </c>
      <c r="H2780" s="27">
        <f t="shared" si="86"/>
        <v>0</v>
      </c>
      <c r="I2780" s="18">
        <v>4603.12</v>
      </c>
      <c r="J2780" s="27">
        <v>5397.03</v>
      </c>
      <c r="K2780" s="18">
        <f t="shared" si="87"/>
        <v>0</v>
      </c>
      <c r="L2780" s="27">
        <v>4734.13</v>
      </c>
      <c r="M2780" s="36">
        <v>131.01</v>
      </c>
      <c r="T2780" s="41">
        <v>0</v>
      </c>
      <c r="U2780" s="41">
        <v>0</v>
      </c>
      <c r="V2780" s="42" t="s">
        <v>113</v>
      </c>
      <c r="W2780" s="42">
        <v>0</v>
      </c>
      <c r="X2780" s="42">
        <v>0</v>
      </c>
    </row>
    <row r="2781" spans="1:24">
      <c r="A2781" s="27" t="s">
        <v>5138</v>
      </c>
      <c r="B2781" s="28" t="s">
        <v>5102</v>
      </c>
      <c r="C2781" s="27" t="s">
        <v>5137</v>
      </c>
      <c r="D2781" s="27" t="s">
        <v>5104</v>
      </c>
      <c r="E2781" s="29">
        <v>39417</v>
      </c>
      <c r="F2781" s="27">
        <v>15</v>
      </c>
      <c r="G2781" s="18">
        <v>6713.91</v>
      </c>
      <c r="H2781" s="27">
        <f t="shared" si="86"/>
        <v>0</v>
      </c>
      <c r="I2781" s="18">
        <v>5726.28</v>
      </c>
      <c r="J2781" s="27">
        <v>6713.91</v>
      </c>
      <c r="K2781" s="18">
        <f t="shared" si="87"/>
        <v>0</v>
      </c>
      <c r="L2781" s="27">
        <v>5889.26</v>
      </c>
      <c r="M2781" s="36">
        <v>162.97999999999999</v>
      </c>
      <c r="T2781" s="41">
        <v>0</v>
      </c>
      <c r="U2781" s="41">
        <v>0</v>
      </c>
      <c r="V2781" s="42" t="s">
        <v>113</v>
      </c>
      <c r="W2781" s="42">
        <v>0</v>
      </c>
      <c r="X2781" s="42">
        <v>0</v>
      </c>
    </row>
    <row r="2782" spans="1:24">
      <c r="A2782" s="27" t="s">
        <v>5139</v>
      </c>
      <c r="B2782" s="28" t="s">
        <v>5102</v>
      </c>
      <c r="C2782" s="27" t="s">
        <v>5140</v>
      </c>
      <c r="D2782" s="27" t="s">
        <v>5104</v>
      </c>
      <c r="E2782" s="29">
        <v>39417</v>
      </c>
      <c r="F2782" s="27">
        <v>15</v>
      </c>
      <c r="G2782" s="18">
        <v>8181.9</v>
      </c>
      <c r="H2782" s="27">
        <f t="shared" si="86"/>
        <v>0</v>
      </c>
      <c r="I2782" s="18">
        <v>6978.33</v>
      </c>
      <c r="J2782" s="27">
        <v>8181.9</v>
      </c>
      <c r="K2782" s="18">
        <f t="shared" si="87"/>
        <v>0</v>
      </c>
      <c r="L2782" s="27">
        <v>7176.95</v>
      </c>
      <c r="M2782" s="36">
        <v>198.62</v>
      </c>
      <c r="T2782" s="41">
        <v>0</v>
      </c>
      <c r="U2782" s="41">
        <v>0</v>
      </c>
      <c r="V2782" s="42" t="s">
        <v>113</v>
      </c>
      <c r="W2782" s="42">
        <v>0</v>
      </c>
      <c r="X2782" s="42">
        <v>0</v>
      </c>
    </row>
    <row r="2783" spans="1:24">
      <c r="A2783" s="27" t="s">
        <v>5141</v>
      </c>
      <c r="B2783" s="28" t="s">
        <v>5102</v>
      </c>
      <c r="C2783" s="27" t="s">
        <v>5142</v>
      </c>
      <c r="D2783" s="27" t="s">
        <v>5104</v>
      </c>
      <c r="E2783" s="29">
        <v>38412</v>
      </c>
      <c r="F2783" s="27">
        <v>15</v>
      </c>
      <c r="G2783" s="18">
        <v>9091.99</v>
      </c>
      <c r="H2783" s="27">
        <f t="shared" si="86"/>
        <v>9091.99</v>
      </c>
      <c r="I2783" s="18">
        <v>8637.39</v>
      </c>
      <c r="J2783" s="27">
        <v>9091.99</v>
      </c>
      <c r="K2783" s="18">
        <f t="shared" si="87"/>
        <v>9091.99</v>
      </c>
      <c r="L2783" s="27">
        <v>8637.39</v>
      </c>
      <c r="M2783" s="36">
        <v>0</v>
      </c>
      <c r="T2783" s="41">
        <v>0</v>
      </c>
      <c r="U2783" s="41">
        <v>0</v>
      </c>
      <c r="V2783" s="42" t="s">
        <v>113</v>
      </c>
      <c r="W2783" s="42">
        <v>9091.99</v>
      </c>
      <c r="X2783" s="42">
        <v>9091.99</v>
      </c>
    </row>
    <row r="2784" spans="1:24">
      <c r="A2784" s="27" t="s">
        <v>5143</v>
      </c>
      <c r="B2784" s="28" t="s">
        <v>5102</v>
      </c>
      <c r="C2784" s="27" t="s">
        <v>5144</v>
      </c>
      <c r="D2784" s="27" t="s">
        <v>5104</v>
      </c>
      <c r="E2784" s="29">
        <v>38078</v>
      </c>
      <c r="F2784" s="27">
        <v>15</v>
      </c>
      <c r="G2784" s="18">
        <v>54490.09</v>
      </c>
      <c r="H2784" s="27">
        <f t="shared" si="86"/>
        <v>54490.09</v>
      </c>
      <c r="I2784" s="18">
        <v>51765.59</v>
      </c>
      <c r="J2784" s="27">
        <v>54490.09</v>
      </c>
      <c r="K2784" s="18">
        <f t="shared" si="87"/>
        <v>54490.09</v>
      </c>
      <c r="L2784" s="27">
        <v>51765.59</v>
      </c>
      <c r="M2784" s="36">
        <v>0</v>
      </c>
      <c r="T2784" s="41">
        <v>0</v>
      </c>
      <c r="U2784" s="41">
        <v>0</v>
      </c>
      <c r="V2784" s="42" t="s">
        <v>113</v>
      </c>
      <c r="W2784" s="42">
        <v>54490.09</v>
      </c>
      <c r="X2784" s="42">
        <v>54490.09</v>
      </c>
    </row>
    <row r="2785" spans="1:24">
      <c r="A2785" s="27" t="s">
        <v>5145</v>
      </c>
      <c r="B2785" s="28" t="s">
        <v>5102</v>
      </c>
      <c r="C2785" s="27" t="s">
        <v>5146</v>
      </c>
      <c r="D2785" s="27" t="s">
        <v>5104</v>
      </c>
      <c r="E2785" s="29">
        <v>39417</v>
      </c>
      <c r="F2785" s="27">
        <v>15</v>
      </c>
      <c r="G2785" s="18">
        <v>5634.5</v>
      </c>
      <c r="H2785" s="27">
        <f t="shared" si="86"/>
        <v>0</v>
      </c>
      <c r="I2785" s="18">
        <v>4805.66</v>
      </c>
      <c r="J2785" s="27">
        <v>5634.5</v>
      </c>
      <c r="K2785" s="18">
        <f t="shared" si="87"/>
        <v>0</v>
      </c>
      <c r="L2785" s="27">
        <v>4942.4399999999996</v>
      </c>
      <c r="M2785" s="36">
        <v>136.78</v>
      </c>
      <c r="T2785" s="41">
        <v>0</v>
      </c>
      <c r="U2785" s="41">
        <v>0</v>
      </c>
      <c r="V2785" s="42" t="s">
        <v>113</v>
      </c>
      <c r="W2785" s="42">
        <v>0</v>
      </c>
      <c r="X2785" s="42">
        <v>0</v>
      </c>
    </row>
    <row r="2786" spans="1:24">
      <c r="A2786" s="27" t="s">
        <v>5147</v>
      </c>
      <c r="B2786" s="28" t="s">
        <v>5102</v>
      </c>
      <c r="C2786" s="27" t="s">
        <v>5148</v>
      </c>
      <c r="D2786" s="27" t="s">
        <v>5104</v>
      </c>
      <c r="E2786" s="29">
        <v>39417</v>
      </c>
      <c r="F2786" s="27">
        <v>15</v>
      </c>
      <c r="G2786" s="18">
        <v>10858.83</v>
      </c>
      <c r="H2786" s="27">
        <f t="shared" si="86"/>
        <v>0</v>
      </c>
      <c r="I2786" s="18">
        <v>9261.5</v>
      </c>
      <c r="J2786" s="27">
        <v>10858.83</v>
      </c>
      <c r="K2786" s="18">
        <f t="shared" si="87"/>
        <v>0</v>
      </c>
      <c r="L2786" s="27">
        <v>9525.1</v>
      </c>
      <c r="M2786" s="36">
        <v>263.60000000000002</v>
      </c>
      <c r="T2786" s="41">
        <v>0</v>
      </c>
      <c r="U2786" s="41">
        <v>0</v>
      </c>
      <c r="V2786" s="42" t="s">
        <v>113</v>
      </c>
      <c r="W2786" s="42">
        <v>0</v>
      </c>
      <c r="X2786" s="42">
        <v>0</v>
      </c>
    </row>
    <row r="2787" spans="1:24">
      <c r="A2787" s="27" t="s">
        <v>5149</v>
      </c>
      <c r="B2787" s="28" t="s">
        <v>5102</v>
      </c>
      <c r="C2787" s="27" t="s">
        <v>5148</v>
      </c>
      <c r="D2787" s="27" t="s">
        <v>5104</v>
      </c>
      <c r="E2787" s="29">
        <v>39417</v>
      </c>
      <c r="F2787" s="27">
        <v>15</v>
      </c>
      <c r="G2787" s="18">
        <v>10535.01</v>
      </c>
      <c r="H2787" s="27">
        <f t="shared" si="86"/>
        <v>0</v>
      </c>
      <c r="I2787" s="18">
        <v>8985.2900000000009</v>
      </c>
      <c r="J2787" s="27">
        <v>10535.01</v>
      </c>
      <c r="K2787" s="18">
        <f t="shared" si="87"/>
        <v>0</v>
      </c>
      <c r="L2787" s="27">
        <v>9241.0300000000007</v>
      </c>
      <c r="M2787" s="36">
        <v>255.74</v>
      </c>
      <c r="T2787" s="41">
        <v>0</v>
      </c>
      <c r="U2787" s="41">
        <v>0</v>
      </c>
      <c r="V2787" s="42" t="s">
        <v>113</v>
      </c>
      <c r="W2787" s="42">
        <v>0</v>
      </c>
      <c r="X2787" s="42">
        <v>0</v>
      </c>
    </row>
    <row r="2788" spans="1:24">
      <c r="A2788" s="27" t="s">
        <v>5150</v>
      </c>
      <c r="B2788" s="28" t="s">
        <v>5102</v>
      </c>
      <c r="C2788" s="27" t="s">
        <v>5151</v>
      </c>
      <c r="D2788" s="27" t="s">
        <v>5104</v>
      </c>
      <c r="E2788" s="29">
        <v>39417</v>
      </c>
      <c r="F2788" s="27">
        <v>15</v>
      </c>
      <c r="G2788" s="18">
        <v>7944.43</v>
      </c>
      <c r="H2788" s="27">
        <f t="shared" si="86"/>
        <v>0</v>
      </c>
      <c r="I2788" s="18">
        <v>6775.79</v>
      </c>
      <c r="J2788" s="27">
        <v>7944.43</v>
      </c>
      <c r="K2788" s="18">
        <f t="shared" si="87"/>
        <v>0</v>
      </c>
      <c r="L2788" s="27">
        <v>6968.65</v>
      </c>
      <c r="M2788" s="36">
        <v>192.86</v>
      </c>
      <c r="T2788" s="41">
        <v>0</v>
      </c>
      <c r="U2788" s="41">
        <v>0</v>
      </c>
      <c r="V2788" s="42" t="s">
        <v>113</v>
      </c>
      <c r="W2788" s="42">
        <v>0</v>
      </c>
      <c r="X2788" s="42">
        <v>0</v>
      </c>
    </row>
    <row r="2789" spans="1:24">
      <c r="A2789" s="27" t="s">
        <v>5152</v>
      </c>
      <c r="B2789" s="28" t="s">
        <v>5102</v>
      </c>
      <c r="C2789" s="27" t="s">
        <v>5153</v>
      </c>
      <c r="D2789" s="27" t="s">
        <v>5104</v>
      </c>
      <c r="E2789" s="29">
        <v>39417</v>
      </c>
      <c r="F2789" s="27">
        <v>15</v>
      </c>
      <c r="G2789" s="18">
        <v>45797.16</v>
      </c>
      <c r="H2789" s="27">
        <f t="shared" si="86"/>
        <v>0</v>
      </c>
      <c r="I2789" s="18">
        <v>37885.19</v>
      </c>
      <c r="J2789" s="27">
        <v>45797.16</v>
      </c>
      <c r="K2789" s="18">
        <f t="shared" si="87"/>
        <v>0</v>
      </c>
      <c r="L2789" s="27">
        <v>39290.720000000001</v>
      </c>
      <c r="M2789" s="36">
        <v>1405.53</v>
      </c>
      <c r="T2789" s="41">
        <v>0</v>
      </c>
      <c r="U2789" s="41">
        <v>0</v>
      </c>
      <c r="V2789" s="42" t="s">
        <v>113</v>
      </c>
      <c r="W2789" s="42">
        <v>0</v>
      </c>
      <c r="X2789" s="42">
        <v>0</v>
      </c>
    </row>
    <row r="2790" spans="1:24">
      <c r="A2790" s="27" t="s">
        <v>5154</v>
      </c>
      <c r="B2790" s="28" t="s">
        <v>5102</v>
      </c>
      <c r="C2790" s="27" t="s">
        <v>5155</v>
      </c>
      <c r="D2790" s="27" t="s">
        <v>5104</v>
      </c>
      <c r="E2790" s="29">
        <v>38078</v>
      </c>
      <c r="F2790" s="27">
        <v>15</v>
      </c>
      <c r="G2790" s="18">
        <v>31760.12</v>
      </c>
      <c r="H2790" s="27">
        <f t="shared" si="86"/>
        <v>31760.12</v>
      </c>
      <c r="I2790" s="18">
        <v>30172.11</v>
      </c>
      <c r="J2790" s="27">
        <v>31760.12</v>
      </c>
      <c r="K2790" s="18">
        <f t="shared" si="87"/>
        <v>31760.12</v>
      </c>
      <c r="L2790" s="27">
        <v>30172.11</v>
      </c>
      <c r="M2790" s="36">
        <v>0</v>
      </c>
      <c r="T2790" s="41">
        <v>0</v>
      </c>
      <c r="U2790" s="41">
        <v>0</v>
      </c>
      <c r="V2790" s="42" t="s">
        <v>113</v>
      </c>
      <c r="W2790" s="42">
        <v>31760.12</v>
      </c>
      <c r="X2790" s="42">
        <v>31760.12</v>
      </c>
    </row>
    <row r="2791" spans="1:24">
      <c r="A2791" s="27" t="s">
        <v>5156</v>
      </c>
      <c r="B2791" s="28" t="s">
        <v>5102</v>
      </c>
      <c r="C2791" s="27" t="s">
        <v>5157</v>
      </c>
      <c r="D2791" s="27" t="s">
        <v>5104</v>
      </c>
      <c r="E2791" s="29">
        <v>38078</v>
      </c>
      <c r="F2791" s="27">
        <v>15</v>
      </c>
      <c r="G2791" s="18">
        <v>58479.44</v>
      </c>
      <c r="H2791" s="27">
        <f t="shared" si="86"/>
        <v>58479.44</v>
      </c>
      <c r="I2791" s="18">
        <v>55555.47</v>
      </c>
      <c r="J2791" s="27">
        <v>58479.44</v>
      </c>
      <c r="K2791" s="18">
        <f t="shared" si="87"/>
        <v>58479.44</v>
      </c>
      <c r="L2791" s="27">
        <v>55555.47</v>
      </c>
      <c r="M2791" s="36">
        <v>0</v>
      </c>
      <c r="T2791" s="41">
        <v>0</v>
      </c>
      <c r="U2791" s="41">
        <v>0</v>
      </c>
      <c r="V2791" s="42" t="s">
        <v>113</v>
      </c>
      <c r="W2791" s="42">
        <v>58479.44</v>
      </c>
      <c r="X2791" s="42">
        <v>58479.44</v>
      </c>
    </row>
    <row r="2792" spans="1:24">
      <c r="A2792" s="27" t="s">
        <v>5158</v>
      </c>
      <c r="B2792" s="28" t="s">
        <v>5102</v>
      </c>
      <c r="C2792" s="27" t="s">
        <v>5159</v>
      </c>
      <c r="D2792" s="27" t="s">
        <v>5104</v>
      </c>
      <c r="E2792" s="29">
        <v>39417</v>
      </c>
      <c r="F2792" s="27">
        <v>15</v>
      </c>
      <c r="G2792" s="18">
        <v>16709.22</v>
      </c>
      <c r="H2792" s="27">
        <f t="shared" si="86"/>
        <v>0</v>
      </c>
      <c r="I2792" s="18">
        <v>14251.28</v>
      </c>
      <c r="J2792" s="27">
        <v>16709.22</v>
      </c>
      <c r="K2792" s="18">
        <f t="shared" si="87"/>
        <v>0</v>
      </c>
      <c r="L2792" s="27">
        <v>14656.9</v>
      </c>
      <c r="M2792" s="36">
        <v>405.62</v>
      </c>
      <c r="T2792" s="41">
        <v>0</v>
      </c>
      <c r="U2792" s="41">
        <v>0</v>
      </c>
      <c r="V2792" s="42" t="s">
        <v>113</v>
      </c>
      <c r="W2792" s="42">
        <v>0</v>
      </c>
      <c r="X2792" s="42">
        <v>0</v>
      </c>
    </row>
    <row r="2793" spans="1:24">
      <c r="A2793" s="27" t="s">
        <v>5160</v>
      </c>
      <c r="B2793" s="28" t="s">
        <v>5102</v>
      </c>
      <c r="C2793" s="27" t="s">
        <v>5161</v>
      </c>
      <c r="D2793" s="27" t="s">
        <v>5104</v>
      </c>
      <c r="E2793" s="29">
        <v>39417</v>
      </c>
      <c r="F2793" s="27">
        <v>15</v>
      </c>
      <c r="G2793" s="18">
        <v>11808.71</v>
      </c>
      <c r="H2793" s="27">
        <f t="shared" si="86"/>
        <v>0</v>
      </c>
      <c r="I2793" s="18">
        <v>10071.64</v>
      </c>
      <c r="J2793" s="27">
        <v>11808.71</v>
      </c>
      <c r="K2793" s="18">
        <f t="shared" si="87"/>
        <v>0</v>
      </c>
      <c r="L2793" s="27">
        <v>10358.299999999999</v>
      </c>
      <c r="M2793" s="36">
        <v>286.66000000000003</v>
      </c>
      <c r="T2793" s="41">
        <v>0</v>
      </c>
      <c r="U2793" s="41">
        <v>0</v>
      </c>
      <c r="V2793" s="42" t="s">
        <v>113</v>
      </c>
      <c r="W2793" s="42">
        <v>0</v>
      </c>
      <c r="X2793" s="42">
        <v>0</v>
      </c>
    </row>
    <row r="2794" spans="1:24">
      <c r="A2794" s="27" t="s">
        <v>5162</v>
      </c>
      <c r="B2794" s="28" t="s">
        <v>5102</v>
      </c>
      <c r="C2794" s="27" t="s">
        <v>5163</v>
      </c>
      <c r="D2794" s="27" t="s">
        <v>5104</v>
      </c>
      <c r="E2794" s="29">
        <v>38078</v>
      </c>
      <c r="F2794" s="27">
        <v>15</v>
      </c>
      <c r="G2794" s="18">
        <v>7669.44</v>
      </c>
      <c r="H2794" s="27">
        <f t="shared" si="86"/>
        <v>7669.44</v>
      </c>
      <c r="I2794" s="18">
        <v>7285.97</v>
      </c>
      <c r="J2794" s="27">
        <v>7669.44</v>
      </c>
      <c r="K2794" s="18">
        <f t="shared" si="87"/>
        <v>7669.44</v>
      </c>
      <c r="L2794" s="27">
        <v>7285.97</v>
      </c>
      <c r="M2794" s="36">
        <v>0</v>
      </c>
      <c r="T2794" s="41">
        <v>0</v>
      </c>
      <c r="U2794" s="41">
        <v>0</v>
      </c>
      <c r="V2794" s="42" t="s">
        <v>113</v>
      </c>
      <c r="W2794" s="42">
        <v>7669.44</v>
      </c>
      <c r="X2794" s="42">
        <v>7669.44</v>
      </c>
    </row>
    <row r="2795" spans="1:24">
      <c r="A2795" s="27" t="s">
        <v>5164</v>
      </c>
      <c r="B2795" s="28" t="s">
        <v>5102</v>
      </c>
      <c r="C2795" s="27" t="s">
        <v>5165</v>
      </c>
      <c r="D2795" s="27" t="s">
        <v>5104</v>
      </c>
      <c r="E2795" s="29">
        <v>39417</v>
      </c>
      <c r="F2795" s="27">
        <v>15</v>
      </c>
      <c r="G2795" s="18">
        <v>5353.86</v>
      </c>
      <c r="H2795" s="27">
        <f t="shared" si="86"/>
        <v>0</v>
      </c>
      <c r="I2795" s="18">
        <v>4566.3100000000004</v>
      </c>
      <c r="J2795" s="27">
        <v>5353.86</v>
      </c>
      <c r="K2795" s="18">
        <f t="shared" si="87"/>
        <v>0</v>
      </c>
      <c r="L2795" s="27">
        <v>4696.28</v>
      </c>
      <c r="M2795" s="36">
        <v>129.97</v>
      </c>
      <c r="T2795" s="41">
        <v>0</v>
      </c>
      <c r="U2795" s="41">
        <v>0</v>
      </c>
      <c r="V2795" s="42" t="s">
        <v>113</v>
      </c>
      <c r="W2795" s="42">
        <v>0</v>
      </c>
      <c r="X2795" s="42">
        <v>0</v>
      </c>
    </row>
    <row r="2796" spans="1:24">
      <c r="A2796" s="27" t="s">
        <v>5166</v>
      </c>
      <c r="B2796" s="28" t="s">
        <v>5102</v>
      </c>
      <c r="C2796" s="27" t="s">
        <v>5167</v>
      </c>
      <c r="D2796" s="27" t="s">
        <v>5104</v>
      </c>
      <c r="E2796" s="29">
        <v>39417</v>
      </c>
      <c r="F2796" s="27">
        <v>15</v>
      </c>
      <c r="G2796" s="18">
        <v>17346.07</v>
      </c>
      <c r="H2796" s="27">
        <f t="shared" si="86"/>
        <v>0</v>
      </c>
      <c r="I2796" s="18">
        <v>14794.44</v>
      </c>
      <c r="J2796" s="27">
        <v>17346.07</v>
      </c>
      <c r="K2796" s="18">
        <f t="shared" si="87"/>
        <v>0</v>
      </c>
      <c r="L2796" s="27">
        <v>15215.52</v>
      </c>
      <c r="M2796" s="36">
        <v>421.08</v>
      </c>
      <c r="T2796" s="41">
        <v>0</v>
      </c>
      <c r="U2796" s="41">
        <v>0</v>
      </c>
      <c r="V2796" s="42" t="s">
        <v>113</v>
      </c>
      <c r="W2796" s="42">
        <v>0</v>
      </c>
      <c r="X2796" s="42">
        <v>0</v>
      </c>
    </row>
    <row r="2797" spans="1:24">
      <c r="A2797" s="27" t="s">
        <v>5168</v>
      </c>
      <c r="B2797" s="28" t="s">
        <v>5102</v>
      </c>
      <c r="C2797" s="27" t="s">
        <v>5169</v>
      </c>
      <c r="D2797" s="27" t="s">
        <v>5104</v>
      </c>
      <c r="E2797" s="29">
        <v>39417</v>
      </c>
      <c r="F2797" s="27">
        <v>15</v>
      </c>
      <c r="G2797" s="18">
        <v>7318.38</v>
      </c>
      <c r="H2797" s="27">
        <f t="shared" si="86"/>
        <v>0</v>
      </c>
      <c r="I2797" s="18">
        <v>6241.84</v>
      </c>
      <c r="J2797" s="27">
        <v>7318.38</v>
      </c>
      <c r="K2797" s="18">
        <f t="shared" si="87"/>
        <v>0</v>
      </c>
      <c r="L2797" s="27">
        <v>6419.5</v>
      </c>
      <c r="M2797" s="36">
        <v>177.66</v>
      </c>
      <c r="T2797" s="41">
        <v>0</v>
      </c>
      <c r="U2797" s="41">
        <v>0</v>
      </c>
      <c r="V2797" s="42" t="s">
        <v>113</v>
      </c>
      <c r="W2797" s="42">
        <v>0</v>
      </c>
      <c r="X2797" s="42">
        <v>0</v>
      </c>
    </row>
    <row r="2798" spans="1:24">
      <c r="A2798" s="27" t="s">
        <v>5170</v>
      </c>
      <c r="B2798" s="28" t="s">
        <v>5102</v>
      </c>
      <c r="C2798" s="27" t="s">
        <v>5167</v>
      </c>
      <c r="D2798" s="27" t="s">
        <v>5104</v>
      </c>
      <c r="E2798" s="29">
        <v>39417</v>
      </c>
      <c r="F2798" s="27">
        <v>15</v>
      </c>
      <c r="G2798" s="18">
        <v>14658.34</v>
      </c>
      <c r="H2798" s="27">
        <f t="shared" si="86"/>
        <v>0</v>
      </c>
      <c r="I2798" s="18">
        <v>12502.08</v>
      </c>
      <c r="J2798" s="27">
        <v>14658.34</v>
      </c>
      <c r="K2798" s="18">
        <f t="shared" si="87"/>
        <v>0</v>
      </c>
      <c r="L2798" s="27">
        <v>12857.92</v>
      </c>
      <c r="M2798" s="36">
        <v>355.84</v>
      </c>
      <c r="T2798" s="41">
        <v>0</v>
      </c>
      <c r="U2798" s="41">
        <v>0</v>
      </c>
      <c r="V2798" s="42" t="s">
        <v>113</v>
      </c>
      <c r="W2798" s="42">
        <v>0</v>
      </c>
      <c r="X2798" s="42">
        <v>0</v>
      </c>
    </row>
    <row r="2799" spans="1:24">
      <c r="A2799" s="27" t="s">
        <v>5171</v>
      </c>
      <c r="B2799" s="28" t="s">
        <v>5102</v>
      </c>
      <c r="C2799" s="27" t="s">
        <v>5172</v>
      </c>
      <c r="D2799" s="27" t="s">
        <v>5104</v>
      </c>
      <c r="E2799" s="29">
        <v>39417</v>
      </c>
      <c r="F2799" s="27">
        <v>15</v>
      </c>
      <c r="G2799" s="18">
        <v>10642.95</v>
      </c>
      <c r="H2799" s="27">
        <f t="shared" si="86"/>
        <v>0</v>
      </c>
      <c r="I2799" s="18">
        <v>9077.3700000000008</v>
      </c>
      <c r="J2799" s="27">
        <v>10642.95</v>
      </c>
      <c r="K2799" s="18">
        <f t="shared" si="87"/>
        <v>0</v>
      </c>
      <c r="L2799" s="27">
        <v>9335.73</v>
      </c>
      <c r="M2799" s="36">
        <v>258.36</v>
      </c>
      <c r="T2799" s="41">
        <v>0</v>
      </c>
      <c r="U2799" s="41">
        <v>0</v>
      </c>
      <c r="V2799" s="42" t="s">
        <v>113</v>
      </c>
      <c r="W2799" s="42">
        <v>0</v>
      </c>
      <c r="X2799" s="42">
        <v>0</v>
      </c>
    </row>
    <row r="2800" spans="1:24">
      <c r="A2800" s="27" t="s">
        <v>5173</v>
      </c>
      <c r="B2800" s="28" t="s">
        <v>5102</v>
      </c>
      <c r="C2800" s="27" t="s">
        <v>5174</v>
      </c>
      <c r="D2800" s="27" t="s">
        <v>5104</v>
      </c>
      <c r="E2800" s="29">
        <v>39417</v>
      </c>
      <c r="F2800" s="27">
        <v>15</v>
      </c>
      <c r="G2800" s="18">
        <v>28064.57</v>
      </c>
      <c r="H2800" s="27">
        <f t="shared" si="86"/>
        <v>0</v>
      </c>
      <c r="I2800" s="18">
        <v>23936.240000000002</v>
      </c>
      <c r="J2800" s="27">
        <v>28064.57</v>
      </c>
      <c r="K2800" s="18">
        <f t="shared" si="87"/>
        <v>0</v>
      </c>
      <c r="L2800" s="27">
        <v>24617.52</v>
      </c>
      <c r="M2800" s="36">
        <v>681.28</v>
      </c>
      <c r="T2800" s="41">
        <v>0</v>
      </c>
      <c r="U2800" s="41">
        <v>0</v>
      </c>
      <c r="V2800" s="42" t="s">
        <v>113</v>
      </c>
      <c r="W2800" s="42">
        <v>0</v>
      </c>
      <c r="X2800" s="42">
        <v>0</v>
      </c>
    </row>
    <row r="2801" spans="1:24">
      <c r="A2801" s="27" t="s">
        <v>5175</v>
      </c>
      <c r="B2801" s="28" t="s">
        <v>5102</v>
      </c>
      <c r="C2801" s="27" t="s">
        <v>5176</v>
      </c>
      <c r="D2801" s="27" t="s">
        <v>5104</v>
      </c>
      <c r="E2801" s="29">
        <v>39417</v>
      </c>
      <c r="F2801" s="27">
        <v>15</v>
      </c>
      <c r="G2801" s="18">
        <v>10686.13</v>
      </c>
      <c r="H2801" s="27">
        <f t="shared" si="86"/>
        <v>0</v>
      </c>
      <c r="I2801" s="18">
        <v>9114.2000000000007</v>
      </c>
      <c r="J2801" s="27">
        <v>10686.13</v>
      </c>
      <c r="K2801" s="18">
        <f t="shared" si="87"/>
        <v>0</v>
      </c>
      <c r="L2801" s="27">
        <v>9373.61</v>
      </c>
      <c r="M2801" s="36">
        <v>259.41000000000003</v>
      </c>
      <c r="T2801" s="41">
        <v>0</v>
      </c>
      <c r="U2801" s="41">
        <v>0</v>
      </c>
      <c r="V2801" s="42" t="s">
        <v>113</v>
      </c>
      <c r="W2801" s="42">
        <v>0</v>
      </c>
      <c r="X2801" s="42">
        <v>0</v>
      </c>
    </row>
    <row r="2802" spans="1:24">
      <c r="A2802" s="27" t="s">
        <v>5177</v>
      </c>
      <c r="B2802" s="28" t="s">
        <v>5102</v>
      </c>
      <c r="C2802" s="27" t="s">
        <v>5178</v>
      </c>
      <c r="D2802" s="27" t="s">
        <v>5104</v>
      </c>
      <c r="E2802" s="29">
        <v>39417</v>
      </c>
      <c r="F2802" s="27">
        <v>15</v>
      </c>
      <c r="G2802" s="18">
        <v>11463.3</v>
      </c>
      <c r="H2802" s="27">
        <f t="shared" si="86"/>
        <v>0</v>
      </c>
      <c r="I2802" s="18">
        <v>9777.0300000000007</v>
      </c>
      <c r="J2802" s="27">
        <v>11463.3</v>
      </c>
      <c r="K2802" s="18">
        <f t="shared" si="87"/>
        <v>0</v>
      </c>
      <c r="L2802" s="27">
        <v>10055.299999999999</v>
      </c>
      <c r="M2802" s="36">
        <v>278.27</v>
      </c>
      <c r="T2802" s="41">
        <v>0</v>
      </c>
      <c r="U2802" s="41">
        <v>0</v>
      </c>
      <c r="V2802" s="42" t="s">
        <v>113</v>
      </c>
      <c r="W2802" s="42">
        <v>0</v>
      </c>
      <c r="X2802" s="42">
        <v>0</v>
      </c>
    </row>
    <row r="2803" spans="1:24">
      <c r="A2803" s="27" t="s">
        <v>5179</v>
      </c>
      <c r="B2803" s="28" t="s">
        <v>5102</v>
      </c>
      <c r="C2803" s="27" t="s">
        <v>5178</v>
      </c>
      <c r="D2803" s="27" t="s">
        <v>5104</v>
      </c>
      <c r="E2803" s="29">
        <v>39417</v>
      </c>
      <c r="F2803" s="27">
        <v>15</v>
      </c>
      <c r="G2803" s="18">
        <v>7426.32</v>
      </c>
      <c r="H2803" s="27">
        <f t="shared" si="86"/>
        <v>0</v>
      </c>
      <c r="I2803" s="18">
        <v>6333.9</v>
      </c>
      <c r="J2803" s="27">
        <v>7426.32</v>
      </c>
      <c r="K2803" s="18">
        <f t="shared" si="87"/>
        <v>0</v>
      </c>
      <c r="L2803" s="27">
        <v>6514.18</v>
      </c>
      <c r="M2803" s="36">
        <v>180.28</v>
      </c>
      <c r="T2803" s="41">
        <v>0</v>
      </c>
      <c r="U2803" s="41">
        <v>0</v>
      </c>
      <c r="V2803" s="42" t="s">
        <v>113</v>
      </c>
      <c r="W2803" s="42">
        <v>0</v>
      </c>
      <c r="X2803" s="42">
        <v>0</v>
      </c>
    </row>
    <row r="2804" spans="1:24">
      <c r="A2804" s="27" t="s">
        <v>5180</v>
      </c>
      <c r="B2804" s="28" t="s">
        <v>5102</v>
      </c>
      <c r="C2804" s="27" t="s">
        <v>5181</v>
      </c>
      <c r="D2804" s="27" t="s">
        <v>5104</v>
      </c>
      <c r="E2804" s="29">
        <v>39417</v>
      </c>
      <c r="F2804" s="27">
        <v>15</v>
      </c>
      <c r="G2804" s="18">
        <v>17050.09</v>
      </c>
      <c r="H2804" s="27">
        <f t="shared" si="86"/>
        <v>0</v>
      </c>
      <c r="I2804" s="18">
        <v>14969.5</v>
      </c>
      <c r="J2804" s="27">
        <v>17050.09</v>
      </c>
      <c r="K2804" s="18">
        <f t="shared" si="87"/>
        <v>0</v>
      </c>
      <c r="L2804" s="27">
        <v>15276.52</v>
      </c>
      <c r="M2804" s="36">
        <v>307.02</v>
      </c>
      <c r="T2804" s="41">
        <v>0</v>
      </c>
      <c r="U2804" s="41">
        <v>0</v>
      </c>
      <c r="V2804" s="42" t="s">
        <v>113</v>
      </c>
      <c r="W2804" s="42">
        <v>0</v>
      </c>
      <c r="X2804" s="42">
        <v>0</v>
      </c>
    </row>
    <row r="2805" spans="1:24">
      <c r="A2805" s="27" t="s">
        <v>5182</v>
      </c>
      <c r="B2805" s="28" t="s">
        <v>5102</v>
      </c>
      <c r="C2805" s="27" t="s">
        <v>5181</v>
      </c>
      <c r="D2805" s="27" t="s">
        <v>5104</v>
      </c>
      <c r="E2805" s="29">
        <v>39417</v>
      </c>
      <c r="F2805" s="27">
        <v>15</v>
      </c>
      <c r="G2805" s="18">
        <v>18306.740000000002</v>
      </c>
      <c r="H2805" s="27">
        <f t="shared" si="86"/>
        <v>0</v>
      </c>
      <c r="I2805" s="18">
        <v>15613.81</v>
      </c>
      <c r="J2805" s="27">
        <v>18306.740000000002</v>
      </c>
      <c r="K2805" s="18">
        <f t="shared" si="87"/>
        <v>0</v>
      </c>
      <c r="L2805" s="27">
        <v>16058.21</v>
      </c>
      <c r="M2805" s="36">
        <v>444.4</v>
      </c>
      <c r="T2805" s="41">
        <v>0</v>
      </c>
      <c r="U2805" s="41">
        <v>0</v>
      </c>
      <c r="V2805" s="42" t="s">
        <v>113</v>
      </c>
      <c r="W2805" s="42">
        <v>0</v>
      </c>
      <c r="X2805" s="42">
        <v>0</v>
      </c>
    </row>
    <row r="2806" spans="1:24">
      <c r="A2806" s="27" t="s">
        <v>5183</v>
      </c>
      <c r="B2806" s="28" t="s">
        <v>5102</v>
      </c>
      <c r="C2806" s="27" t="s">
        <v>5184</v>
      </c>
      <c r="D2806" s="27" t="s">
        <v>5104</v>
      </c>
      <c r="E2806" s="29">
        <v>37712</v>
      </c>
      <c r="F2806" s="27">
        <v>15</v>
      </c>
      <c r="G2806" s="18">
        <v>97565.82</v>
      </c>
      <c r="H2806" s="27">
        <f t="shared" si="86"/>
        <v>97565.82</v>
      </c>
      <c r="I2806" s="18">
        <v>92687.53</v>
      </c>
      <c r="J2806" s="27">
        <v>97565.82</v>
      </c>
      <c r="K2806" s="18">
        <f t="shared" si="87"/>
        <v>97565.82</v>
      </c>
      <c r="L2806" s="27">
        <v>92687.53</v>
      </c>
      <c r="M2806" s="36">
        <v>0</v>
      </c>
      <c r="T2806" s="41">
        <v>0</v>
      </c>
      <c r="U2806" s="41">
        <v>0</v>
      </c>
      <c r="V2806" s="42" t="s">
        <v>113</v>
      </c>
      <c r="W2806" s="42">
        <v>97565.82</v>
      </c>
      <c r="X2806" s="42">
        <v>97565.82</v>
      </c>
    </row>
    <row r="2807" spans="1:24">
      <c r="A2807" s="27" t="s">
        <v>5185</v>
      </c>
      <c r="B2807" s="28" t="s">
        <v>5102</v>
      </c>
      <c r="C2807" s="27" t="s">
        <v>5186</v>
      </c>
      <c r="D2807" s="27" t="s">
        <v>5104</v>
      </c>
      <c r="E2807" s="29">
        <v>37712</v>
      </c>
      <c r="F2807" s="27">
        <v>15</v>
      </c>
      <c r="G2807" s="18">
        <v>274690.40000000002</v>
      </c>
      <c r="H2807" s="27">
        <f t="shared" si="86"/>
        <v>274690.40000000002</v>
      </c>
      <c r="I2807" s="18">
        <v>260955.88</v>
      </c>
      <c r="J2807" s="27">
        <v>274690.40000000002</v>
      </c>
      <c r="K2807" s="18">
        <f t="shared" si="87"/>
        <v>274690.40000000002</v>
      </c>
      <c r="L2807" s="27">
        <v>260955.88</v>
      </c>
      <c r="M2807" s="36">
        <v>0</v>
      </c>
      <c r="T2807" s="41">
        <v>0</v>
      </c>
      <c r="U2807" s="41">
        <v>0</v>
      </c>
      <c r="V2807" s="42" t="s">
        <v>113</v>
      </c>
      <c r="W2807" s="42">
        <v>274690.40000000002</v>
      </c>
      <c r="X2807" s="42">
        <v>274690.40000000002</v>
      </c>
    </row>
    <row r="2808" spans="1:24">
      <c r="A2808" s="27" t="s">
        <v>5187</v>
      </c>
      <c r="B2808" s="28" t="s">
        <v>5102</v>
      </c>
      <c r="C2808" s="27" t="s">
        <v>5188</v>
      </c>
      <c r="D2808" s="27" t="s">
        <v>5104</v>
      </c>
      <c r="E2808" s="29">
        <v>37712</v>
      </c>
      <c r="F2808" s="27">
        <v>15</v>
      </c>
      <c r="G2808" s="18">
        <v>280298.74</v>
      </c>
      <c r="H2808" s="27">
        <f t="shared" si="86"/>
        <v>280298.74</v>
      </c>
      <c r="I2808" s="18">
        <v>266283.8</v>
      </c>
      <c r="J2808" s="27">
        <v>280298.74</v>
      </c>
      <c r="K2808" s="18">
        <f t="shared" si="87"/>
        <v>280298.74</v>
      </c>
      <c r="L2808" s="27">
        <v>266283.8</v>
      </c>
      <c r="M2808" s="36">
        <v>0</v>
      </c>
      <c r="T2808" s="41">
        <v>0</v>
      </c>
      <c r="U2808" s="41">
        <v>0</v>
      </c>
      <c r="V2808" s="42" t="s">
        <v>113</v>
      </c>
      <c r="W2808" s="42">
        <v>280298.74</v>
      </c>
      <c r="X2808" s="42">
        <v>280298.74</v>
      </c>
    </row>
    <row r="2809" spans="1:24">
      <c r="A2809" s="27" t="s">
        <v>5189</v>
      </c>
      <c r="B2809" s="28" t="s">
        <v>5102</v>
      </c>
      <c r="C2809" s="27" t="s">
        <v>5190</v>
      </c>
      <c r="D2809" s="27" t="s">
        <v>5104</v>
      </c>
      <c r="E2809" s="29">
        <v>38078</v>
      </c>
      <c r="F2809" s="27">
        <v>15</v>
      </c>
      <c r="G2809" s="18">
        <v>6041.75</v>
      </c>
      <c r="H2809" s="27">
        <f t="shared" si="86"/>
        <v>6041.75</v>
      </c>
      <c r="I2809" s="18">
        <v>5739.66</v>
      </c>
      <c r="J2809" s="27">
        <v>6041.75</v>
      </c>
      <c r="K2809" s="18">
        <f t="shared" si="87"/>
        <v>6041.75</v>
      </c>
      <c r="L2809" s="27">
        <v>5739.66</v>
      </c>
      <c r="M2809" s="36">
        <v>0</v>
      </c>
      <c r="T2809" s="41">
        <v>0</v>
      </c>
      <c r="U2809" s="41">
        <v>0</v>
      </c>
      <c r="V2809" s="42" t="s">
        <v>113</v>
      </c>
      <c r="W2809" s="42">
        <v>6041.75</v>
      </c>
      <c r="X2809" s="42">
        <v>6041.75</v>
      </c>
    </row>
    <row r="2810" spans="1:24">
      <c r="A2810" s="27" t="s">
        <v>5191</v>
      </c>
      <c r="B2810" s="28" t="s">
        <v>5102</v>
      </c>
      <c r="C2810" s="27" t="s">
        <v>5190</v>
      </c>
      <c r="D2810" s="27" t="s">
        <v>5104</v>
      </c>
      <c r="E2810" s="29">
        <v>38078</v>
      </c>
      <c r="F2810" s="27">
        <v>15</v>
      </c>
      <c r="G2810" s="18">
        <v>29745.89</v>
      </c>
      <c r="H2810" s="27">
        <f t="shared" si="86"/>
        <v>29745.89</v>
      </c>
      <c r="I2810" s="18">
        <v>28258.6</v>
      </c>
      <c r="J2810" s="27">
        <v>29745.89</v>
      </c>
      <c r="K2810" s="18">
        <f t="shared" si="87"/>
        <v>29745.89</v>
      </c>
      <c r="L2810" s="27">
        <v>28258.6</v>
      </c>
      <c r="M2810" s="36">
        <v>0</v>
      </c>
      <c r="T2810" s="41">
        <v>0</v>
      </c>
      <c r="U2810" s="41">
        <v>0</v>
      </c>
      <c r="V2810" s="42" t="s">
        <v>113</v>
      </c>
      <c r="W2810" s="42">
        <v>29745.89</v>
      </c>
      <c r="X2810" s="42">
        <v>29745.89</v>
      </c>
    </row>
    <row r="2811" spans="1:24">
      <c r="A2811" s="27" t="s">
        <v>5192</v>
      </c>
      <c r="B2811" s="28" t="s">
        <v>5102</v>
      </c>
      <c r="C2811" s="27" t="s">
        <v>5190</v>
      </c>
      <c r="D2811" s="27" t="s">
        <v>5104</v>
      </c>
      <c r="E2811" s="29">
        <v>38078</v>
      </c>
      <c r="F2811" s="27">
        <v>15</v>
      </c>
      <c r="G2811" s="18">
        <v>25482.55</v>
      </c>
      <c r="H2811" s="27">
        <f t="shared" si="86"/>
        <v>25482.55</v>
      </c>
      <c r="I2811" s="18">
        <v>24208.42</v>
      </c>
      <c r="J2811" s="27">
        <v>25482.55</v>
      </c>
      <c r="K2811" s="18">
        <f t="shared" si="87"/>
        <v>25482.55</v>
      </c>
      <c r="L2811" s="27">
        <v>24208.42</v>
      </c>
      <c r="M2811" s="36">
        <v>0</v>
      </c>
      <c r="T2811" s="41">
        <v>0</v>
      </c>
      <c r="U2811" s="41">
        <v>0</v>
      </c>
      <c r="V2811" s="42" t="s">
        <v>113</v>
      </c>
      <c r="W2811" s="42">
        <v>25482.55</v>
      </c>
      <c r="X2811" s="42">
        <v>25482.55</v>
      </c>
    </row>
    <row r="2812" spans="1:24">
      <c r="A2812" s="27" t="s">
        <v>5193</v>
      </c>
      <c r="B2812" s="28" t="s">
        <v>5102</v>
      </c>
      <c r="C2812" s="27" t="s">
        <v>5194</v>
      </c>
      <c r="D2812" s="27" t="s">
        <v>5104</v>
      </c>
      <c r="E2812" s="29">
        <v>38078</v>
      </c>
      <c r="F2812" s="27">
        <v>15</v>
      </c>
      <c r="G2812" s="18">
        <v>18588.14</v>
      </c>
      <c r="H2812" s="27">
        <f t="shared" si="86"/>
        <v>18588.14</v>
      </c>
      <c r="I2812" s="18">
        <v>17658.73</v>
      </c>
      <c r="J2812" s="27">
        <v>18588.14</v>
      </c>
      <c r="K2812" s="18">
        <f t="shared" si="87"/>
        <v>18588.14</v>
      </c>
      <c r="L2812" s="27">
        <v>17658.73</v>
      </c>
      <c r="M2812" s="36">
        <v>0</v>
      </c>
      <c r="T2812" s="41">
        <v>0</v>
      </c>
      <c r="U2812" s="41">
        <v>0</v>
      </c>
      <c r="V2812" s="42" t="s">
        <v>113</v>
      </c>
      <c r="W2812" s="42">
        <v>18588.14</v>
      </c>
      <c r="X2812" s="42">
        <v>18588.14</v>
      </c>
    </row>
    <row r="2813" spans="1:24">
      <c r="A2813" s="27" t="s">
        <v>5195</v>
      </c>
      <c r="B2813" s="28" t="s">
        <v>5102</v>
      </c>
      <c r="C2813" s="27" t="s">
        <v>5194</v>
      </c>
      <c r="D2813" s="27" t="s">
        <v>5104</v>
      </c>
      <c r="E2813" s="29">
        <v>38078</v>
      </c>
      <c r="F2813" s="27">
        <v>15</v>
      </c>
      <c r="G2813" s="18">
        <v>11255.2</v>
      </c>
      <c r="H2813" s="27">
        <f t="shared" si="86"/>
        <v>11255.2</v>
      </c>
      <c r="I2813" s="18">
        <v>10692.44</v>
      </c>
      <c r="J2813" s="27">
        <v>11255.2</v>
      </c>
      <c r="K2813" s="18">
        <f t="shared" si="87"/>
        <v>11255.2</v>
      </c>
      <c r="L2813" s="27">
        <v>10692.44</v>
      </c>
      <c r="M2813" s="36">
        <v>0</v>
      </c>
      <c r="T2813" s="41">
        <v>0</v>
      </c>
      <c r="U2813" s="41">
        <v>0</v>
      </c>
      <c r="V2813" s="42" t="s">
        <v>113</v>
      </c>
      <c r="W2813" s="42">
        <v>11255.2</v>
      </c>
      <c r="X2813" s="42">
        <v>11255.2</v>
      </c>
    </row>
    <row r="2814" spans="1:24">
      <c r="A2814" s="27" t="s">
        <v>5196</v>
      </c>
      <c r="B2814" s="28" t="s">
        <v>5102</v>
      </c>
      <c r="C2814" s="27" t="s">
        <v>5197</v>
      </c>
      <c r="D2814" s="27" t="s">
        <v>5104</v>
      </c>
      <c r="E2814" s="29">
        <v>38078</v>
      </c>
      <c r="F2814" s="27">
        <v>15</v>
      </c>
      <c r="G2814" s="18">
        <v>19489.53</v>
      </c>
      <c r="H2814" s="27">
        <f t="shared" si="86"/>
        <v>19489.53</v>
      </c>
      <c r="I2814" s="18">
        <v>18515.05</v>
      </c>
      <c r="J2814" s="27">
        <v>19489.53</v>
      </c>
      <c r="K2814" s="18">
        <f t="shared" si="87"/>
        <v>19489.53</v>
      </c>
      <c r="L2814" s="27">
        <v>18515.05</v>
      </c>
      <c r="M2814" s="36">
        <v>0</v>
      </c>
      <c r="T2814" s="41">
        <v>0</v>
      </c>
      <c r="U2814" s="41">
        <v>0</v>
      </c>
      <c r="V2814" s="42" t="s">
        <v>113</v>
      </c>
      <c r="W2814" s="42">
        <v>19489.53</v>
      </c>
      <c r="X2814" s="42">
        <v>19489.53</v>
      </c>
    </row>
    <row r="2815" spans="1:24">
      <c r="A2815" s="27" t="s">
        <v>5198</v>
      </c>
      <c r="B2815" s="28" t="s">
        <v>5102</v>
      </c>
      <c r="C2815" s="27" t="s">
        <v>5197</v>
      </c>
      <c r="D2815" s="27" t="s">
        <v>5104</v>
      </c>
      <c r="E2815" s="29">
        <v>38078</v>
      </c>
      <c r="F2815" s="27">
        <v>15</v>
      </c>
      <c r="G2815" s="18">
        <v>5091.6400000000003</v>
      </c>
      <c r="H2815" s="27">
        <f t="shared" si="86"/>
        <v>5091.6400000000003</v>
      </c>
      <c r="I2815" s="18">
        <v>4837.0600000000004</v>
      </c>
      <c r="J2815" s="27">
        <v>5091.6400000000003</v>
      </c>
      <c r="K2815" s="18">
        <f t="shared" si="87"/>
        <v>5091.6400000000003</v>
      </c>
      <c r="L2815" s="27">
        <v>4837.0600000000004</v>
      </c>
      <c r="M2815" s="36">
        <v>0</v>
      </c>
      <c r="T2815" s="41">
        <v>0</v>
      </c>
      <c r="U2815" s="41">
        <v>0</v>
      </c>
      <c r="V2815" s="42" t="s">
        <v>113</v>
      </c>
      <c r="W2815" s="42">
        <v>5091.6400000000003</v>
      </c>
      <c r="X2815" s="42">
        <v>5091.6400000000003</v>
      </c>
    </row>
    <row r="2816" spans="1:24">
      <c r="A2816" s="27" t="s">
        <v>5199</v>
      </c>
      <c r="B2816" s="28" t="s">
        <v>5102</v>
      </c>
      <c r="C2816" s="27" t="s">
        <v>5200</v>
      </c>
      <c r="D2816" s="27" t="s">
        <v>5104</v>
      </c>
      <c r="E2816" s="29">
        <v>38078</v>
      </c>
      <c r="F2816" s="27">
        <v>15</v>
      </c>
      <c r="G2816" s="18">
        <v>13374.69</v>
      </c>
      <c r="H2816" s="27">
        <f t="shared" si="86"/>
        <v>13374.69</v>
      </c>
      <c r="I2816" s="18">
        <v>12705.96</v>
      </c>
      <c r="J2816" s="27">
        <v>13374.69</v>
      </c>
      <c r="K2816" s="18">
        <f t="shared" si="87"/>
        <v>13374.69</v>
      </c>
      <c r="L2816" s="27">
        <v>12705.96</v>
      </c>
      <c r="M2816" s="36">
        <v>0</v>
      </c>
      <c r="T2816" s="41">
        <v>0</v>
      </c>
      <c r="U2816" s="41">
        <v>0</v>
      </c>
      <c r="V2816" s="42" t="s">
        <v>113</v>
      </c>
      <c r="W2816" s="42">
        <v>13374.69</v>
      </c>
      <c r="X2816" s="42">
        <v>13374.69</v>
      </c>
    </row>
    <row r="2817" spans="1:24">
      <c r="A2817" s="27" t="s">
        <v>5201</v>
      </c>
      <c r="B2817" s="28" t="s">
        <v>5102</v>
      </c>
      <c r="C2817" s="27" t="s">
        <v>5200</v>
      </c>
      <c r="D2817" s="27" t="s">
        <v>5104</v>
      </c>
      <c r="E2817" s="29">
        <v>38078</v>
      </c>
      <c r="F2817" s="27">
        <v>15</v>
      </c>
      <c r="G2817" s="18">
        <v>12254.04</v>
      </c>
      <c r="H2817" s="27">
        <f t="shared" si="86"/>
        <v>12254.04</v>
      </c>
      <c r="I2817" s="18">
        <v>11641.34</v>
      </c>
      <c r="J2817" s="27">
        <v>12254.04</v>
      </c>
      <c r="K2817" s="18">
        <f t="shared" si="87"/>
        <v>12254.04</v>
      </c>
      <c r="L2817" s="27">
        <v>11641.34</v>
      </c>
      <c r="M2817" s="36">
        <v>0</v>
      </c>
      <c r="T2817" s="41">
        <v>0</v>
      </c>
      <c r="U2817" s="41">
        <v>0</v>
      </c>
      <c r="V2817" s="42" t="s">
        <v>113</v>
      </c>
      <c r="W2817" s="42">
        <v>12254.04</v>
      </c>
      <c r="X2817" s="42">
        <v>12254.04</v>
      </c>
    </row>
    <row r="2818" spans="1:24">
      <c r="A2818" s="27" t="s">
        <v>5202</v>
      </c>
      <c r="B2818" s="28" t="s">
        <v>5102</v>
      </c>
      <c r="C2818" s="27" t="s">
        <v>5203</v>
      </c>
      <c r="D2818" s="27" t="s">
        <v>5104</v>
      </c>
      <c r="E2818" s="29">
        <v>36617</v>
      </c>
      <c r="F2818" s="27">
        <v>15</v>
      </c>
      <c r="G2818" s="18">
        <v>15000.42</v>
      </c>
      <c r="H2818" s="27">
        <f t="shared" si="86"/>
        <v>15000.42</v>
      </c>
      <c r="I2818" s="18">
        <v>14250.4</v>
      </c>
      <c r="J2818" s="27">
        <v>15000.42</v>
      </c>
      <c r="K2818" s="18">
        <f t="shared" si="87"/>
        <v>15000.42</v>
      </c>
      <c r="L2818" s="27">
        <v>14250.4</v>
      </c>
      <c r="M2818" s="36">
        <v>0</v>
      </c>
      <c r="T2818" s="41">
        <v>0</v>
      </c>
      <c r="U2818" s="41">
        <v>0</v>
      </c>
      <c r="V2818" s="42" t="s">
        <v>113</v>
      </c>
      <c r="W2818" s="42">
        <v>15000.42</v>
      </c>
      <c r="X2818" s="42">
        <v>15000.42</v>
      </c>
    </row>
    <row r="2819" spans="1:24">
      <c r="A2819" s="27" t="s">
        <v>5204</v>
      </c>
      <c r="B2819" s="28" t="s">
        <v>5102</v>
      </c>
      <c r="C2819" s="27" t="s">
        <v>5205</v>
      </c>
      <c r="D2819" s="27" t="s">
        <v>5104</v>
      </c>
      <c r="E2819" s="29">
        <v>38078</v>
      </c>
      <c r="F2819" s="27">
        <v>15</v>
      </c>
      <c r="G2819" s="18">
        <v>72989.17</v>
      </c>
      <c r="H2819" s="27">
        <f t="shared" si="86"/>
        <v>72989.17</v>
      </c>
      <c r="I2819" s="18">
        <v>69339.710000000006</v>
      </c>
      <c r="J2819" s="27">
        <v>72989.17</v>
      </c>
      <c r="K2819" s="18">
        <f t="shared" si="87"/>
        <v>72989.17</v>
      </c>
      <c r="L2819" s="27">
        <v>69339.710000000006</v>
      </c>
      <c r="M2819" s="36">
        <v>0</v>
      </c>
      <c r="T2819" s="41">
        <v>0</v>
      </c>
      <c r="U2819" s="41">
        <v>0</v>
      </c>
      <c r="V2819" s="42" t="s">
        <v>113</v>
      </c>
      <c r="W2819" s="42">
        <v>72989.17</v>
      </c>
      <c r="X2819" s="42">
        <v>72989.17</v>
      </c>
    </row>
    <row r="2820" spans="1:24">
      <c r="A2820" s="27" t="s">
        <v>5206</v>
      </c>
      <c r="B2820" s="28" t="s">
        <v>5102</v>
      </c>
      <c r="C2820" s="27" t="s">
        <v>5207</v>
      </c>
      <c r="D2820" s="27" t="s">
        <v>5104</v>
      </c>
      <c r="E2820" s="29">
        <v>38078</v>
      </c>
      <c r="F2820" s="27">
        <v>15</v>
      </c>
      <c r="G2820" s="18">
        <v>65805.84</v>
      </c>
      <c r="H2820" s="27">
        <f t="shared" si="86"/>
        <v>65805.84</v>
      </c>
      <c r="I2820" s="18">
        <v>62515.55</v>
      </c>
      <c r="J2820" s="27">
        <v>65805.84</v>
      </c>
      <c r="K2820" s="18">
        <f t="shared" si="87"/>
        <v>65805.84</v>
      </c>
      <c r="L2820" s="27">
        <v>62515.55</v>
      </c>
      <c r="M2820" s="36">
        <v>0</v>
      </c>
      <c r="T2820" s="41">
        <v>0</v>
      </c>
      <c r="U2820" s="41">
        <v>0</v>
      </c>
      <c r="V2820" s="42" t="s">
        <v>113</v>
      </c>
      <c r="W2820" s="42">
        <v>65805.84</v>
      </c>
      <c r="X2820" s="42">
        <v>65805.84</v>
      </c>
    </row>
    <row r="2821" spans="1:24">
      <c r="A2821" s="27" t="s">
        <v>5208</v>
      </c>
      <c r="B2821" s="28" t="s">
        <v>5102</v>
      </c>
      <c r="C2821" s="27" t="s">
        <v>5209</v>
      </c>
      <c r="D2821" s="27" t="s">
        <v>5104</v>
      </c>
      <c r="E2821" s="29">
        <v>38078</v>
      </c>
      <c r="F2821" s="27">
        <v>15</v>
      </c>
      <c r="G2821" s="18">
        <v>14548.3</v>
      </c>
      <c r="H2821" s="27">
        <f t="shared" si="86"/>
        <v>14548.3</v>
      </c>
      <c r="I2821" s="18">
        <v>13820.88</v>
      </c>
      <c r="J2821" s="27">
        <v>14548.3</v>
      </c>
      <c r="K2821" s="18">
        <f t="shared" si="87"/>
        <v>14548.3</v>
      </c>
      <c r="L2821" s="27">
        <v>13820.88</v>
      </c>
      <c r="M2821" s="36">
        <v>0</v>
      </c>
      <c r="T2821" s="41">
        <v>0</v>
      </c>
      <c r="U2821" s="41">
        <v>0</v>
      </c>
      <c r="V2821" s="42" t="s">
        <v>113</v>
      </c>
      <c r="W2821" s="42">
        <v>14548.3</v>
      </c>
      <c r="X2821" s="42">
        <v>14548.3</v>
      </c>
    </row>
    <row r="2822" spans="1:24">
      <c r="A2822" s="27" t="s">
        <v>5210</v>
      </c>
      <c r="B2822" s="28" t="s">
        <v>5102</v>
      </c>
      <c r="C2822" s="27" t="s">
        <v>5211</v>
      </c>
      <c r="D2822" s="27" t="s">
        <v>5104</v>
      </c>
      <c r="E2822" s="29">
        <v>39417</v>
      </c>
      <c r="F2822" s="27">
        <v>15</v>
      </c>
      <c r="G2822" s="18">
        <v>8131.63</v>
      </c>
      <c r="H2822" s="27">
        <f t="shared" ref="H2822:H2885" si="88">IFERROR(IF(ROUND((G2822-I2822)/G2822,2)&lt;=0.05,G2822,0),0)</f>
        <v>0</v>
      </c>
      <c r="I2822" s="18">
        <v>7253.54</v>
      </c>
      <c r="J2822" s="27">
        <v>8131.63</v>
      </c>
      <c r="K2822" s="18">
        <f t="shared" ref="K2822:K2885" si="89">IFERROR(IF(ROUND((J2822-L2822)/J2822,2)&lt;=0.05,J2822,0),0)</f>
        <v>0</v>
      </c>
      <c r="L2822" s="27">
        <v>7371.42</v>
      </c>
      <c r="M2822" s="36">
        <v>117.88</v>
      </c>
      <c r="T2822" s="41">
        <v>0</v>
      </c>
      <c r="U2822" s="41">
        <v>0</v>
      </c>
      <c r="V2822" s="42" t="s">
        <v>113</v>
      </c>
      <c r="W2822" s="42">
        <v>0</v>
      </c>
      <c r="X2822" s="42">
        <v>0</v>
      </c>
    </row>
    <row r="2823" spans="1:24">
      <c r="A2823" s="27" t="s">
        <v>5212</v>
      </c>
      <c r="B2823" s="28" t="s">
        <v>5102</v>
      </c>
      <c r="C2823" s="27" t="s">
        <v>5213</v>
      </c>
      <c r="D2823" s="27" t="s">
        <v>5104</v>
      </c>
      <c r="E2823" s="29">
        <v>39508</v>
      </c>
      <c r="F2823" s="27">
        <v>15</v>
      </c>
      <c r="G2823" s="18">
        <v>29085.23</v>
      </c>
      <c r="H2823" s="27">
        <f t="shared" si="88"/>
        <v>0</v>
      </c>
      <c r="I2823" s="18">
        <v>23957.81</v>
      </c>
      <c r="J2823" s="27">
        <v>29085.23</v>
      </c>
      <c r="K2823" s="18">
        <f t="shared" si="89"/>
        <v>0</v>
      </c>
      <c r="L2823" s="27">
        <v>24822.080000000002</v>
      </c>
      <c r="M2823" s="36">
        <v>864.27</v>
      </c>
      <c r="T2823" s="41">
        <v>0</v>
      </c>
      <c r="U2823" s="41">
        <v>0</v>
      </c>
      <c r="V2823" s="42" t="s">
        <v>113</v>
      </c>
      <c r="W2823" s="42">
        <v>0</v>
      </c>
      <c r="X2823" s="42">
        <v>0</v>
      </c>
    </row>
    <row r="2824" spans="1:24">
      <c r="A2824" s="27" t="s">
        <v>5214</v>
      </c>
      <c r="B2824" s="28" t="s">
        <v>5102</v>
      </c>
      <c r="C2824" s="27" t="s">
        <v>5215</v>
      </c>
      <c r="D2824" s="27" t="s">
        <v>5104</v>
      </c>
      <c r="E2824" s="29">
        <v>39448</v>
      </c>
      <c r="F2824" s="27">
        <v>15</v>
      </c>
      <c r="G2824" s="18">
        <v>35244.15</v>
      </c>
      <c r="H2824" s="27">
        <f t="shared" si="88"/>
        <v>0</v>
      </c>
      <c r="I2824" s="18">
        <v>29427.94</v>
      </c>
      <c r="J2824" s="27">
        <v>35244.15</v>
      </c>
      <c r="K2824" s="18">
        <f t="shared" si="89"/>
        <v>0</v>
      </c>
      <c r="L2824" s="27">
        <v>30420.76</v>
      </c>
      <c r="M2824" s="36">
        <v>992.82</v>
      </c>
      <c r="T2824" s="41">
        <v>0</v>
      </c>
      <c r="U2824" s="41">
        <v>0</v>
      </c>
      <c r="V2824" s="42" t="s">
        <v>113</v>
      </c>
      <c r="W2824" s="42">
        <v>0</v>
      </c>
      <c r="X2824" s="42">
        <v>0</v>
      </c>
    </row>
    <row r="2825" spans="1:24">
      <c r="A2825" s="27" t="s">
        <v>5216</v>
      </c>
      <c r="B2825" s="28" t="s">
        <v>5102</v>
      </c>
      <c r="C2825" s="27" t="s">
        <v>5215</v>
      </c>
      <c r="D2825" s="27" t="s">
        <v>5104</v>
      </c>
      <c r="E2825" s="29">
        <v>39448</v>
      </c>
      <c r="F2825" s="27">
        <v>15</v>
      </c>
      <c r="G2825" s="18">
        <v>26024.74</v>
      </c>
      <c r="H2825" s="27">
        <f t="shared" si="88"/>
        <v>0</v>
      </c>
      <c r="I2825" s="18">
        <v>21729.97</v>
      </c>
      <c r="J2825" s="27">
        <v>26024.74</v>
      </c>
      <c r="K2825" s="18">
        <f t="shared" si="89"/>
        <v>0</v>
      </c>
      <c r="L2825" s="27">
        <v>22463.08</v>
      </c>
      <c r="M2825" s="36">
        <v>733.11</v>
      </c>
      <c r="T2825" s="41">
        <v>0</v>
      </c>
      <c r="U2825" s="41">
        <v>0</v>
      </c>
      <c r="V2825" s="42" t="s">
        <v>113</v>
      </c>
      <c r="W2825" s="42">
        <v>0</v>
      </c>
      <c r="X2825" s="42">
        <v>0</v>
      </c>
    </row>
    <row r="2826" spans="1:24">
      <c r="A2826" s="27" t="s">
        <v>5217</v>
      </c>
      <c r="B2826" s="28" t="s">
        <v>5102</v>
      </c>
      <c r="C2826" s="27" t="s">
        <v>5218</v>
      </c>
      <c r="D2826" s="27" t="s">
        <v>5104</v>
      </c>
      <c r="E2826" s="29">
        <v>39448</v>
      </c>
      <c r="F2826" s="27">
        <v>15</v>
      </c>
      <c r="G2826" s="18">
        <v>24427.09</v>
      </c>
      <c r="H2826" s="27">
        <f t="shared" si="88"/>
        <v>0</v>
      </c>
      <c r="I2826" s="18">
        <v>20395.98</v>
      </c>
      <c r="J2826" s="27">
        <v>24427.09</v>
      </c>
      <c r="K2826" s="18">
        <f t="shared" si="89"/>
        <v>0</v>
      </c>
      <c r="L2826" s="27">
        <v>21084.080000000002</v>
      </c>
      <c r="M2826" s="36">
        <v>688.1</v>
      </c>
      <c r="T2826" s="41">
        <v>0</v>
      </c>
      <c r="U2826" s="41">
        <v>0</v>
      </c>
      <c r="V2826" s="42" t="s">
        <v>113</v>
      </c>
      <c r="W2826" s="42">
        <v>0</v>
      </c>
      <c r="X2826" s="42">
        <v>0</v>
      </c>
    </row>
    <row r="2827" spans="1:24">
      <c r="A2827" s="27" t="s">
        <v>5219</v>
      </c>
      <c r="B2827" s="28" t="s">
        <v>5102</v>
      </c>
      <c r="C2827" s="27" t="s">
        <v>5220</v>
      </c>
      <c r="D2827" s="27" t="s">
        <v>5104</v>
      </c>
      <c r="E2827" s="29">
        <v>37408</v>
      </c>
      <c r="F2827" s="27">
        <v>15</v>
      </c>
      <c r="G2827" s="18">
        <v>16375.94</v>
      </c>
      <c r="H2827" s="27">
        <f t="shared" si="88"/>
        <v>16375.94</v>
      </c>
      <c r="I2827" s="18">
        <v>15557.14</v>
      </c>
      <c r="J2827" s="27">
        <v>16375.94</v>
      </c>
      <c r="K2827" s="18">
        <f t="shared" si="89"/>
        <v>16375.94</v>
      </c>
      <c r="L2827" s="27">
        <v>15557.14</v>
      </c>
      <c r="M2827" s="36">
        <v>0</v>
      </c>
      <c r="T2827" s="41">
        <v>0</v>
      </c>
      <c r="U2827" s="41">
        <v>0</v>
      </c>
      <c r="V2827" s="42" t="s">
        <v>113</v>
      </c>
      <c r="W2827" s="42">
        <v>16375.94</v>
      </c>
      <c r="X2827" s="42">
        <v>16375.94</v>
      </c>
    </row>
    <row r="2828" spans="1:24">
      <c r="A2828" s="27" t="s">
        <v>5221</v>
      </c>
      <c r="B2828" s="28" t="s">
        <v>5102</v>
      </c>
      <c r="C2828" s="27" t="s">
        <v>5222</v>
      </c>
      <c r="D2828" s="27" t="s">
        <v>5104</v>
      </c>
      <c r="E2828" s="29">
        <v>38078</v>
      </c>
      <c r="F2828" s="27">
        <v>15</v>
      </c>
      <c r="G2828" s="18">
        <v>70875.45</v>
      </c>
      <c r="H2828" s="27">
        <f t="shared" si="88"/>
        <v>70875.45</v>
      </c>
      <c r="I2828" s="18">
        <v>67331.679999999993</v>
      </c>
      <c r="J2828" s="27">
        <v>70875.45</v>
      </c>
      <c r="K2828" s="18">
        <f t="shared" si="89"/>
        <v>70875.45</v>
      </c>
      <c r="L2828" s="27">
        <v>67331.679999999993</v>
      </c>
      <c r="M2828" s="36">
        <v>0</v>
      </c>
      <c r="T2828" s="41">
        <v>0</v>
      </c>
      <c r="U2828" s="41">
        <v>0</v>
      </c>
      <c r="V2828" s="42" t="s">
        <v>113</v>
      </c>
      <c r="W2828" s="42">
        <v>70875.45</v>
      </c>
      <c r="X2828" s="42">
        <v>70875.45</v>
      </c>
    </row>
    <row r="2829" spans="1:24">
      <c r="A2829" s="27" t="s">
        <v>5223</v>
      </c>
      <c r="B2829" s="28" t="s">
        <v>5102</v>
      </c>
      <c r="C2829" s="27" t="s">
        <v>5224</v>
      </c>
      <c r="D2829" s="27" t="s">
        <v>5104</v>
      </c>
      <c r="E2829" s="29">
        <v>38078</v>
      </c>
      <c r="F2829" s="27">
        <v>15</v>
      </c>
      <c r="G2829" s="18">
        <v>21962.799999999999</v>
      </c>
      <c r="H2829" s="27">
        <f t="shared" si="88"/>
        <v>21962.799999999999</v>
      </c>
      <c r="I2829" s="18">
        <v>20864.66</v>
      </c>
      <c r="J2829" s="27">
        <v>21962.799999999999</v>
      </c>
      <c r="K2829" s="18">
        <f t="shared" si="89"/>
        <v>21962.799999999999</v>
      </c>
      <c r="L2829" s="27">
        <v>20864.66</v>
      </c>
      <c r="M2829" s="36">
        <v>0</v>
      </c>
      <c r="T2829" s="41">
        <v>0</v>
      </c>
      <c r="U2829" s="41">
        <v>0</v>
      </c>
      <c r="V2829" s="42" t="s">
        <v>113</v>
      </c>
      <c r="W2829" s="42">
        <v>21962.799999999999</v>
      </c>
      <c r="X2829" s="42">
        <v>21962.799999999999</v>
      </c>
    </row>
    <row r="2830" spans="1:24">
      <c r="A2830" s="27" t="s">
        <v>5225</v>
      </c>
      <c r="B2830" s="28" t="s">
        <v>5102</v>
      </c>
      <c r="C2830" s="27" t="s">
        <v>5226</v>
      </c>
      <c r="D2830" s="27" t="s">
        <v>5104</v>
      </c>
      <c r="E2830" s="29">
        <v>38078</v>
      </c>
      <c r="F2830" s="27">
        <v>15</v>
      </c>
      <c r="G2830" s="18">
        <v>113711.17</v>
      </c>
      <c r="H2830" s="27">
        <f t="shared" si="88"/>
        <v>113711.17</v>
      </c>
      <c r="I2830" s="18">
        <v>108025.61</v>
      </c>
      <c r="J2830" s="27">
        <v>113711.17</v>
      </c>
      <c r="K2830" s="18">
        <f t="shared" si="89"/>
        <v>113711.17</v>
      </c>
      <c r="L2830" s="27">
        <v>108025.61</v>
      </c>
      <c r="M2830" s="36">
        <v>0</v>
      </c>
      <c r="T2830" s="41">
        <v>0</v>
      </c>
      <c r="U2830" s="41">
        <v>0</v>
      </c>
      <c r="V2830" s="42" t="s">
        <v>113</v>
      </c>
      <c r="W2830" s="42">
        <v>113711.17</v>
      </c>
      <c r="X2830" s="42">
        <v>113711.17</v>
      </c>
    </row>
    <row r="2831" spans="1:24">
      <c r="A2831" s="27" t="s">
        <v>5227</v>
      </c>
      <c r="B2831" s="28" t="s">
        <v>5102</v>
      </c>
      <c r="C2831" s="27" t="s">
        <v>5228</v>
      </c>
      <c r="D2831" s="27" t="s">
        <v>5104</v>
      </c>
      <c r="E2831" s="29">
        <v>38078</v>
      </c>
      <c r="F2831" s="27">
        <v>15</v>
      </c>
      <c r="G2831" s="18">
        <v>45709.06</v>
      </c>
      <c r="H2831" s="27">
        <f t="shared" si="88"/>
        <v>45709.06</v>
      </c>
      <c r="I2831" s="18">
        <v>43423.61</v>
      </c>
      <c r="J2831" s="27">
        <v>45709.06</v>
      </c>
      <c r="K2831" s="18">
        <f t="shared" si="89"/>
        <v>45709.06</v>
      </c>
      <c r="L2831" s="27">
        <v>43423.61</v>
      </c>
      <c r="M2831" s="36">
        <v>0</v>
      </c>
      <c r="T2831" s="41">
        <v>0</v>
      </c>
      <c r="U2831" s="41">
        <v>0</v>
      </c>
      <c r="V2831" s="42" t="s">
        <v>113</v>
      </c>
      <c r="W2831" s="42">
        <v>45709.06</v>
      </c>
      <c r="X2831" s="42">
        <v>45709.06</v>
      </c>
    </row>
    <row r="2832" spans="1:24">
      <c r="A2832" s="27" t="s">
        <v>5229</v>
      </c>
      <c r="B2832" s="28" t="s">
        <v>5102</v>
      </c>
      <c r="C2832" s="27" t="s">
        <v>5230</v>
      </c>
      <c r="D2832" s="27" t="s">
        <v>5104</v>
      </c>
      <c r="E2832" s="29">
        <v>38078</v>
      </c>
      <c r="F2832" s="27">
        <v>15</v>
      </c>
      <c r="G2832" s="18">
        <v>125765.95</v>
      </c>
      <c r="H2832" s="27">
        <f t="shared" si="88"/>
        <v>125765.95</v>
      </c>
      <c r="I2832" s="18">
        <v>119477.65</v>
      </c>
      <c r="J2832" s="27">
        <v>125765.95</v>
      </c>
      <c r="K2832" s="18">
        <f t="shared" si="89"/>
        <v>125765.95</v>
      </c>
      <c r="L2832" s="27">
        <v>119477.65</v>
      </c>
      <c r="M2832" s="36">
        <v>0</v>
      </c>
      <c r="T2832" s="41">
        <v>0</v>
      </c>
      <c r="U2832" s="41">
        <v>0</v>
      </c>
      <c r="V2832" s="42" t="s">
        <v>113</v>
      </c>
      <c r="W2832" s="42">
        <v>125765.95</v>
      </c>
      <c r="X2832" s="42">
        <v>125765.95</v>
      </c>
    </row>
    <row r="2833" spans="1:24">
      <c r="A2833" s="27" t="s">
        <v>5231</v>
      </c>
      <c r="B2833" s="28" t="s">
        <v>5102</v>
      </c>
      <c r="C2833" s="27" t="s">
        <v>5232</v>
      </c>
      <c r="D2833" s="27" t="s">
        <v>5104</v>
      </c>
      <c r="E2833" s="29">
        <v>36708</v>
      </c>
      <c r="F2833" s="27">
        <v>15</v>
      </c>
      <c r="G2833" s="18">
        <v>17490.830000000002</v>
      </c>
      <c r="H2833" s="27">
        <f t="shared" si="88"/>
        <v>17490.830000000002</v>
      </c>
      <c r="I2833" s="18">
        <v>16616.29</v>
      </c>
      <c r="J2833" s="27">
        <v>17490.830000000002</v>
      </c>
      <c r="K2833" s="18">
        <f t="shared" si="89"/>
        <v>17490.830000000002</v>
      </c>
      <c r="L2833" s="27">
        <v>16616.29</v>
      </c>
      <c r="M2833" s="36">
        <v>0</v>
      </c>
      <c r="T2833" s="41">
        <v>0</v>
      </c>
      <c r="U2833" s="41">
        <v>0</v>
      </c>
      <c r="V2833" s="42" t="s">
        <v>113</v>
      </c>
      <c r="W2833" s="42">
        <v>17490.830000000002</v>
      </c>
      <c r="X2833" s="42">
        <v>17490.830000000002</v>
      </c>
    </row>
    <row r="2834" spans="1:24">
      <c r="A2834" s="27" t="s">
        <v>5233</v>
      </c>
      <c r="B2834" s="28" t="s">
        <v>5102</v>
      </c>
      <c r="C2834" s="27" t="s">
        <v>5234</v>
      </c>
      <c r="D2834" s="27" t="s">
        <v>5104</v>
      </c>
      <c r="E2834" s="29">
        <v>37226</v>
      </c>
      <c r="F2834" s="27">
        <v>15</v>
      </c>
      <c r="G2834" s="18">
        <v>149127.65</v>
      </c>
      <c r="H2834" s="27">
        <f t="shared" si="88"/>
        <v>149127.65</v>
      </c>
      <c r="I2834" s="18">
        <v>141671.26999999999</v>
      </c>
      <c r="J2834" s="27">
        <v>149127.65</v>
      </c>
      <c r="K2834" s="18">
        <f t="shared" si="89"/>
        <v>149127.65</v>
      </c>
      <c r="L2834" s="27">
        <v>141671.26999999999</v>
      </c>
      <c r="M2834" s="36">
        <v>0</v>
      </c>
      <c r="T2834" s="41">
        <v>0</v>
      </c>
      <c r="U2834" s="41">
        <v>0</v>
      </c>
      <c r="V2834" s="42" t="s">
        <v>113</v>
      </c>
      <c r="W2834" s="42">
        <v>149127.65</v>
      </c>
      <c r="X2834" s="42">
        <v>149127.65</v>
      </c>
    </row>
    <row r="2835" spans="1:24">
      <c r="A2835" s="27" t="s">
        <v>5235</v>
      </c>
      <c r="B2835" s="28" t="s">
        <v>5102</v>
      </c>
      <c r="C2835" s="27" t="s">
        <v>5236</v>
      </c>
      <c r="D2835" s="27" t="s">
        <v>5104</v>
      </c>
      <c r="E2835" s="29">
        <v>37226</v>
      </c>
      <c r="F2835" s="27">
        <v>15</v>
      </c>
      <c r="G2835" s="18">
        <v>264222.78000000003</v>
      </c>
      <c r="H2835" s="27">
        <f t="shared" si="88"/>
        <v>264222.78000000003</v>
      </c>
      <c r="I2835" s="18">
        <v>251011.64</v>
      </c>
      <c r="J2835" s="27">
        <v>264222.78000000003</v>
      </c>
      <c r="K2835" s="18">
        <f t="shared" si="89"/>
        <v>264222.78000000003</v>
      </c>
      <c r="L2835" s="27">
        <v>251011.64</v>
      </c>
      <c r="M2835" s="36">
        <v>0</v>
      </c>
      <c r="T2835" s="41">
        <v>0</v>
      </c>
      <c r="U2835" s="41">
        <v>0</v>
      </c>
      <c r="V2835" s="42" t="s">
        <v>113</v>
      </c>
      <c r="W2835" s="42">
        <v>264222.78000000003</v>
      </c>
      <c r="X2835" s="42">
        <v>264222.78000000003</v>
      </c>
    </row>
    <row r="2836" spans="1:24">
      <c r="A2836" s="27" t="s">
        <v>5237</v>
      </c>
      <c r="B2836" s="28" t="s">
        <v>5102</v>
      </c>
      <c r="C2836" s="27" t="s">
        <v>5238</v>
      </c>
      <c r="D2836" s="27" t="s">
        <v>5104</v>
      </c>
      <c r="E2836" s="29">
        <v>37226</v>
      </c>
      <c r="F2836" s="27">
        <v>15</v>
      </c>
      <c r="G2836" s="18">
        <v>1145234.5900000001</v>
      </c>
      <c r="H2836" s="27">
        <f t="shared" si="88"/>
        <v>1145234.5900000001</v>
      </c>
      <c r="I2836" s="18">
        <v>1087972.8600000001</v>
      </c>
      <c r="J2836" s="27">
        <v>1145234.5900000001</v>
      </c>
      <c r="K2836" s="18">
        <f t="shared" si="89"/>
        <v>1145234.5900000001</v>
      </c>
      <c r="L2836" s="27">
        <v>1087972.8600000001</v>
      </c>
      <c r="M2836" s="36">
        <v>0</v>
      </c>
      <c r="T2836" s="41">
        <v>0</v>
      </c>
      <c r="U2836" s="41">
        <v>0</v>
      </c>
      <c r="V2836" s="42" t="s">
        <v>113</v>
      </c>
      <c r="W2836" s="42">
        <v>1145234.5900000001</v>
      </c>
      <c r="X2836" s="42">
        <v>1145234.5900000001</v>
      </c>
    </row>
    <row r="2837" spans="1:24">
      <c r="A2837" s="27" t="s">
        <v>5239</v>
      </c>
      <c r="B2837" s="28" t="s">
        <v>5102</v>
      </c>
      <c r="C2837" s="27" t="s">
        <v>5240</v>
      </c>
      <c r="D2837" s="27" t="s">
        <v>5104</v>
      </c>
      <c r="E2837" s="29">
        <v>38078</v>
      </c>
      <c r="F2837" s="27">
        <v>15</v>
      </c>
      <c r="G2837" s="18">
        <v>38925.019999999997</v>
      </c>
      <c r="H2837" s="27">
        <f t="shared" si="88"/>
        <v>38925.019999999997</v>
      </c>
      <c r="I2837" s="18">
        <v>36978.769999999997</v>
      </c>
      <c r="J2837" s="27">
        <v>38925.019999999997</v>
      </c>
      <c r="K2837" s="18">
        <f t="shared" si="89"/>
        <v>38925.019999999997</v>
      </c>
      <c r="L2837" s="27">
        <v>36978.769999999997</v>
      </c>
      <c r="M2837" s="36">
        <v>0</v>
      </c>
      <c r="T2837" s="41">
        <v>0</v>
      </c>
      <c r="U2837" s="41">
        <v>0</v>
      </c>
      <c r="V2837" s="42" t="s">
        <v>113</v>
      </c>
      <c r="W2837" s="42">
        <v>38925.019999999997</v>
      </c>
      <c r="X2837" s="42">
        <v>38925.019999999997</v>
      </c>
    </row>
    <row r="2838" spans="1:24">
      <c r="A2838" s="27" t="s">
        <v>5241</v>
      </c>
      <c r="B2838" s="28" t="s">
        <v>5102</v>
      </c>
      <c r="C2838" s="27" t="s">
        <v>5242</v>
      </c>
      <c r="D2838" s="27" t="s">
        <v>5104</v>
      </c>
      <c r="E2838" s="29">
        <v>38078</v>
      </c>
      <c r="F2838" s="27">
        <v>15</v>
      </c>
      <c r="G2838" s="18">
        <v>65768.399999999994</v>
      </c>
      <c r="H2838" s="27">
        <f t="shared" si="88"/>
        <v>65768.399999999994</v>
      </c>
      <c r="I2838" s="18">
        <v>62479.98</v>
      </c>
      <c r="J2838" s="27">
        <v>65768.399999999994</v>
      </c>
      <c r="K2838" s="18">
        <f t="shared" si="89"/>
        <v>65768.399999999994</v>
      </c>
      <c r="L2838" s="27">
        <v>62479.98</v>
      </c>
      <c r="M2838" s="36">
        <v>0</v>
      </c>
      <c r="T2838" s="41">
        <v>0</v>
      </c>
      <c r="U2838" s="41">
        <v>0</v>
      </c>
      <c r="V2838" s="42" t="s">
        <v>113</v>
      </c>
      <c r="W2838" s="42">
        <v>65768.399999999994</v>
      </c>
      <c r="X2838" s="42">
        <v>65768.399999999994</v>
      </c>
    </row>
    <row r="2839" spans="1:24">
      <c r="A2839" s="27" t="s">
        <v>5243</v>
      </c>
      <c r="B2839" s="28" t="s">
        <v>5102</v>
      </c>
      <c r="C2839" s="27" t="s">
        <v>5240</v>
      </c>
      <c r="D2839" s="27" t="s">
        <v>5104</v>
      </c>
      <c r="E2839" s="29">
        <v>38078</v>
      </c>
      <c r="F2839" s="27">
        <v>15</v>
      </c>
      <c r="G2839" s="18">
        <v>182926.36</v>
      </c>
      <c r="H2839" s="27">
        <f t="shared" si="88"/>
        <v>182926.36</v>
      </c>
      <c r="I2839" s="18">
        <v>173780.04</v>
      </c>
      <c r="J2839" s="27">
        <v>182926.36</v>
      </c>
      <c r="K2839" s="18">
        <f t="shared" si="89"/>
        <v>182926.36</v>
      </c>
      <c r="L2839" s="27">
        <v>173780.04</v>
      </c>
      <c r="M2839" s="36">
        <v>0</v>
      </c>
      <c r="T2839" s="41">
        <v>0</v>
      </c>
      <c r="U2839" s="41">
        <v>0</v>
      </c>
      <c r="V2839" s="42" t="s">
        <v>113</v>
      </c>
      <c r="W2839" s="42">
        <v>182926.36</v>
      </c>
      <c r="X2839" s="42">
        <v>182926.36</v>
      </c>
    </row>
    <row r="2840" spans="1:24">
      <c r="A2840" s="27" t="s">
        <v>5244</v>
      </c>
      <c r="B2840" s="28" t="s">
        <v>5102</v>
      </c>
      <c r="C2840" s="27" t="s">
        <v>5245</v>
      </c>
      <c r="D2840" s="27" t="s">
        <v>5104</v>
      </c>
      <c r="E2840" s="29">
        <v>35125</v>
      </c>
      <c r="F2840" s="27">
        <v>15</v>
      </c>
      <c r="G2840" s="18">
        <v>21501.56</v>
      </c>
      <c r="H2840" s="27">
        <f t="shared" si="88"/>
        <v>21501.56</v>
      </c>
      <c r="I2840" s="18">
        <v>20426.48</v>
      </c>
      <c r="J2840" s="27">
        <v>21501.56</v>
      </c>
      <c r="K2840" s="18">
        <f t="shared" si="89"/>
        <v>21501.56</v>
      </c>
      <c r="L2840" s="27">
        <v>20426.48</v>
      </c>
      <c r="M2840" s="36">
        <v>0</v>
      </c>
      <c r="T2840" s="41">
        <v>0</v>
      </c>
      <c r="U2840" s="41">
        <v>0</v>
      </c>
      <c r="V2840" s="42" t="s">
        <v>113</v>
      </c>
      <c r="W2840" s="42">
        <v>21501.56</v>
      </c>
      <c r="X2840" s="42">
        <v>21501.56</v>
      </c>
    </row>
    <row r="2841" spans="1:24">
      <c r="A2841" s="27" t="s">
        <v>5246</v>
      </c>
      <c r="B2841" s="28" t="s">
        <v>5102</v>
      </c>
      <c r="C2841" s="27" t="s">
        <v>5247</v>
      </c>
      <c r="D2841" s="27" t="s">
        <v>5104</v>
      </c>
      <c r="E2841" s="29">
        <v>35977</v>
      </c>
      <c r="F2841" s="27">
        <v>15</v>
      </c>
      <c r="G2841" s="18">
        <v>40759.06</v>
      </c>
      <c r="H2841" s="27">
        <f t="shared" si="88"/>
        <v>40759.06</v>
      </c>
      <c r="I2841" s="18">
        <v>38721.11</v>
      </c>
      <c r="J2841" s="27">
        <v>40759.06</v>
      </c>
      <c r="K2841" s="18">
        <f t="shared" si="89"/>
        <v>40759.06</v>
      </c>
      <c r="L2841" s="27">
        <v>38721.11</v>
      </c>
      <c r="M2841" s="36">
        <v>0</v>
      </c>
      <c r="T2841" s="41">
        <v>0</v>
      </c>
      <c r="U2841" s="41">
        <v>0</v>
      </c>
      <c r="V2841" s="42" t="s">
        <v>113</v>
      </c>
      <c r="W2841" s="42">
        <v>40759.06</v>
      </c>
      <c r="X2841" s="42">
        <v>40759.06</v>
      </c>
    </row>
    <row r="2842" spans="1:24">
      <c r="A2842" s="27" t="s">
        <v>5248</v>
      </c>
      <c r="B2842" s="28" t="s">
        <v>5102</v>
      </c>
      <c r="C2842" s="27" t="s">
        <v>5249</v>
      </c>
      <c r="D2842" s="27" t="s">
        <v>5104</v>
      </c>
      <c r="E2842" s="29">
        <v>38078</v>
      </c>
      <c r="F2842" s="27">
        <v>15</v>
      </c>
      <c r="G2842" s="18">
        <v>283203.23</v>
      </c>
      <c r="H2842" s="27">
        <f t="shared" si="88"/>
        <v>283203.23</v>
      </c>
      <c r="I2842" s="18">
        <v>269043.07</v>
      </c>
      <c r="J2842" s="27">
        <v>283203.23</v>
      </c>
      <c r="K2842" s="18">
        <f t="shared" si="89"/>
        <v>283203.23</v>
      </c>
      <c r="L2842" s="27">
        <v>269043.07</v>
      </c>
      <c r="M2842" s="36">
        <v>0</v>
      </c>
      <c r="T2842" s="41">
        <v>0</v>
      </c>
      <c r="U2842" s="41">
        <v>0</v>
      </c>
      <c r="V2842" s="42" t="s">
        <v>113</v>
      </c>
      <c r="W2842" s="42">
        <v>283203.23</v>
      </c>
      <c r="X2842" s="42">
        <v>283203.23</v>
      </c>
    </row>
    <row r="2843" spans="1:24">
      <c r="A2843" s="27" t="s">
        <v>5250</v>
      </c>
      <c r="B2843" s="28" t="s">
        <v>5102</v>
      </c>
      <c r="C2843" s="27" t="s">
        <v>5251</v>
      </c>
      <c r="D2843" s="27" t="s">
        <v>5104</v>
      </c>
      <c r="E2843" s="29">
        <v>38078</v>
      </c>
      <c r="F2843" s="27">
        <v>15</v>
      </c>
      <c r="G2843" s="18">
        <v>157944.03</v>
      </c>
      <c r="H2843" s="27">
        <f t="shared" si="88"/>
        <v>157944.03</v>
      </c>
      <c r="I2843" s="18">
        <v>150046.82999999999</v>
      </c>
      <c r="J2843" s="27">
        <v>157944.03</v>
      </c>
      <c r="K2843" s="18">
        <f t="shared" si="89"/>
        <v>157944.03</v>
      </c>
      <c r="L2843" s="27">
        <v>150046.82999999999</v>
      </c>
      <c r="M2843" s="36">
        <v>0</v>
      </c>
      <c r="T2843" s="41">
        <v>0</v>
      </c>
      <c r="U2843" s="41">
        <v>0</v>
      </c>
      <c r="V2843" s="42" t="s">
        <v>113</v>
      </c>
      <c r="W2843" s="42">
        <v>157944.03</v>
      </c>
      <c r="X2843" s="42">
        <v>157944.03</v>
      </c>
    </row>
    <row r="2844" spans="1:24">
      <c r="A2844" s="27" t="s">
        <v>5252</v>
      </c>
      <c r="B2844" s="28" t="s">
        <v>5102</v>
      </c>
      <c r="C2844" s="27" t="s">
        <v>5253</v>
      </c>
      <c r="D2844" s="27" t="s">
        <v>5104</v>
      </c>
      <c r="E2844" s="29">
        <v>38078</v>
      </c>
      <c r="F2844" s="27">
        <v>15</v>
      </c>
      <c r="G2844" s="18">
        <v>45797.9</v>
      </c>
      <c r="H2844" s="27">
        <f t="shared" si="88"/>
        <v>45797.9</v>
      </c>
      <c r="I2844" s="18">
        <v>43508</v>
      </c>
      <c r="J2844" s="27">
        <v>45797.9</v>
      </c>
      <c r="K2844" s="18">
        <f t="shared" si="89"/>
        <v>45797.9</v>
      </c>
      <c r="L2844" s="27">
        <v>43508</v>
      </c>
      <c r="M2844" s="36">
        <v>0</v>
      </c>
      <c r="T2844" s="41">
        <v>0</v>
      </c>
      <c r="U2844" s="41">
        <v>0</v>
      </c>
      <c r="V2844" s="42" t="s">
        <v>113</v>
      </c>
      <c r="W2844" s="42">
        <v>45797.9</v>
      </c>
      <c r="X2844" s="42">
        <v>45797.9</v>
      </c>
    </row>
    <row r="2845" spans="1:24">
      <c r="A2845" s="27" t="s">
        <v>5254</v>
      </c>
      <c r="B2845" s="28" t="s">
        <v>5102</v>
      </c>
      <c r="C2845" s="27" t="s">
        <v>5255</v>
      </c>
      <c r="D2845" s="27" t="s">
        <v>5104</v>
      </c>
      <c r="E2845" s="29">
        <v>38078</v>
      </c>
      <c r="F2845" s="27">
        <v>15</v>
      </c>
      <c r="G2845" s="18">
        <v>43797.23</v>
      </c>
      <c r="H2845" s="27">
        <f t="shared" si="88"/>
        <v>43797.23</v>
      </c>
      <c r="I2845" s="18">
        <v>41607.370000000003</v>
      </c>
      <c r="J2845" s="27">
        <v>43797.23</v>
      </c>
      <c r="K2845" s="18">
        <f t="shared" si="89"/>
        <v>43797.23</v>
      </c>
      <c r="L2845" s="27">
        <v>41607.370000000003</v>
      </c>
      <c r="M2845" s="36">
        <v>0</v>
      </c>
      <c r="T2845" s="41">
        <v>0</v>
      </c>
      <c r="U2845" s="41">
        <v>0</v>
      </c>
      <c r="V2845" s="42" t="s">
        <v>113</v>
      </c>
      <c r="W2845" s="42">
        <v>43797.23</v>
      </c>
      <c r="X2845" s="42">
        <v>43797.23</v>
      </c>
    </row>
    <row r="2846" spans="1:24">
      <c r="A2846" s="27" t="s">
        <v>5256</v>
      </c>
      <c r="B2846" s="28" t="s">
        <v>5102</v>
      </c>
      <c r="C2846" s="27" t="s">
        <v>5257</v>
      </c>
      <c r="D2846" s="27" t="s">
        <v>5104</v>
      </c>
      <c r="E2846" s="29">
        <v>38078</v>
      </c>
      <c r="F2846" s="27">
        <v>15</v>
      </c>
      <c r="G2846" s="18">
        <v>206155.77</v>
      </c>
      <c r="H2846" s="27">
        <f t="shared" si="88"/>
        <v>206155.77</v>
      </c>
      <c r="I2846" s="18">
        <v>195847.98</v>
      </c>
      <c r="J2846" s="27">
        <v>206155.77</v>
      </c>
      <c r="K2846" s="18">
        <f t="shared" si="89"/>
        <v>206155.77</v>
      </c>
      <c r="L2846" s="27">
        <v>195847.98</v>
      </c>
      <c r="M2846" s="36">
        <v>0</v>
      </c>
      <c r="T2846" s="41">
        <v>0</v>
      </c>
      <c r="U2846" s="41">
        <v>0</v>
      </c>
      <c r="V2846" s="42" t="s">
        <v>113</v>
      </c>
      <c r="W2846" s="42">
        <v>206155.77</v>
      </c>
      <c r="X2846" s="42">
        <v>206155.77</v>
      </c>
    </row>
    <row r="2847" spans="1:24">
      <c r="A2847" s="27" t="s">
        <v>5258</v>
      </c>
      <c r="B2847" s="28" t="s">
        <v>5102</v>
      </c>
      <c r="C2847" s="27" t="s">
        <v>5259</v>
      </c>
      <c r="D2847" s="27" t="s">
        <v>5104</v>
      </c>
      <c r="E2847" s="29">
        <v>38078</v>
      </c>
      <c r="F2847" s="27">
        <v>15</v>
      </c>
      <c r="G2847" s="18">
        <v>53017.7</v>
      </c>
      <c r="H2847" s="27">
        <f t="shared" si="88"/>
        <v>53017.7</v>
      </c>
      <c r="I2847" s="18">
        <v>50366.81</v>
      </c>
      <c r="J2847" s="27">
        <v>53017.7</v>
      </c>
      <c r="K2847" s="18">
        <f t="shared" si="89"/>
        <v>53017.7</v>
      </c>
      <c r="L2847" s="27">
        <v>50366.81</v>
      </c>
      <c r="M2847" s="36">
        <v>0</v>
      </c>
      <c r="T2847" s="41">
        <v>0</v>
      </c>
      <c r="U2847" s="41">
        <v>0</v>
      </c>
      <c r="V2847" s="42" t="s">
        <v>113</v>
      </c>
      <c r="W2847" s="42">
        <v>53017.7</v>
      </c>
      <c r="X2847" s="42">
        <v>53017.7</v>
      </c>
    </row>
    <row r="2848" spans="1:24">
      <c r="A2848" s="27" t="s">
        <v>5260</v>
      </c>
      <c r="B2848" s="28" t="s">
        <v>5102</v>
      </c>
      <c r="C2848" s="27" t="s">
        <v>5261</v>
      </c>
      <c r="D2848" s="27" t="s">
        <v>230</v>
      </c>
      <c r="E2848" s="29">
        <v>35796</v>
      </c>
      <c r="F2848" s="27">
        <v>15</v>
      </c>
      <c r="G2848" s="18">
        <v>5295062.67</v>
      </c>
      <c r="H2848" s="27">
        <f t="shared" si="88"/>
        <v>0</v>
      </c>
      <c r="I2848" s="18">
        <v>3520967.93</v>
      </c>
      <c r="J2848" s="27">
        <v>5295062.67</v>
      </c>
      <c r="K2848" s="18">
        <f t="shared" si="89"/>
        <v>0</v>
      </c>
      <c r="L2848" s="27">
        <v>3632085.1</v>
      </c>
      <c r="M2848" s="36">
        <v>111117.17</v>
      </c>
      <c r="T2848" s="41">
        <v>0</v>
      </c>
      <c r="U2848" s="41">
        <v>0</v>
      </c>
      <c r="V2848" s="42" t="s">
        <v>124</v>
      </c>
      <c r="W2848" s="42">
        <v>5295062.67</v>
      </c>
      <c r="X2848" s="42">
        <v>5295062.67</v>
      </c>
    </row>
    <row r="2849" spans="1:24">
      <c r="A2849" s="27" t="s">
        <v>5262</v>
      </c>
      <c r="B2849" s="28" t="s">
        <v>5102</v>
      </c>
      <c r="C2849" s="27" t="s">
        <v>5263</v>
      </c>
      <c r="D2849" s="27" t="s">
        <v>5104</v>
      </c>
      <c r="E2849" s="29">
        <v>35796</v>
      </c>
      <c r="F2849" s="27">
        <v>15</v>
      </c>
      <c r="G2849" s="18">
        <v>22600.53</v>
      </c>
      <c r="H2849" s="27">
        <f t="shared" si="88"/>
        <v>22600.53</v>
      </c>
      <c r="I2849" s="18">
        <v>21470.5</v>
      </c>
      <c r="J2849" s="27">
        <v>22600.53</v>
      </c>
      <c r="K2849" s="18">
        <f t="shared" si="89"/>
        <v>22600.53</v>
      </c>
      <c r="L2849" s="27">
        <v>21470.5</v>
      </c>
      <c r="M2849" s="36">
        <v>0</v>
      </c>
      <c r="T2849" s="41">
        <v>0</v>
      </c>
      <c r="U2849" s="41">
        <v>0</v>
      </c>
      <c r="V2849" s="42" t="s">
        <v>113</v>
      </c>
      <c r="W2849" s="42">
        <v>22600.53</v>
      </c>
      <c r="X2849" s="42">
        <v>22600.53</v>
      </c>
    </row>
    <row r="2850" spans="1:24">
      <c r="A2850" s="27" t="s">
        <v>5264</v>
      </c>
      <c r="B2850" s="28" t="s">
        <v>5102</v>
      </c>
      <c r="C2850" s="27" t="s">
        <v>5265</v>
      </c>
      <c r="D2850" s="27" t="s">
        <v>230</v>
      </c>
      <c r="E2850" s="29">
        <v>39417</v>
      </c>
      <c r="F2850" s="27">
        <v>15</v>
      </c>
      <c r="G2850" s="18">
        <v>3342141.9</v>
      </c>
      <c r="H2850" s="27">
        <f t="shared" si="88"/>
        <v>0</v>
      </c>
      <c r="I2850" s="18">
        <v>2553303.1800000002</v>
      </c>
      <c r="J2850" s="27">
        <v>3342141.9</v>
      </c>
      <c r="K2850" s="18">
        <f t="shared" si="89"/>
        <v>0</v>
      </c>
      <c r="L2850" s="27">
        <v>2708736.09</v>
      </c>
      <c r="M2850" s="36">
        <v>155432.91</v>
      </c>
      <c r="T2850" s="41">
        <v>0</v>
      </c>
      <c r="U2850" s="41">
        <v>0</v>
      </c>
      <c r="V2850" s="42" t="s">
        <v>113</v>
      </c>
      <c r="W2850" s="42">
        <v>0</v>
      </c>
      <c r="X2850" s="42">
        <v>0</v>
      </c>
    </row>
    <row r="2851" spans="1:24">
      <c r="A2851" s="27" t="s">
        <v>5266</v>
      </c>
      <c r="B2851" s="28" t="s">
        <v>5102</v>
      </c>
      <c r="C2851" s="27" t="s">
        <v>5267</v>
      </c>
      <c r="D2851" s="27" t="s">
        <v>5104</v>
      </c>
      <c r="E2851" s="29">
        <v>39417</v>
      </c>
      <c r="F2851" s="27">
        <v>15</v>
      </c>
      <c r="G2851" s="18">
        <v>167708.31</v>
      </c>
      <c r="H2851" s="27">
        <f t="shared" si="88"/>
        <v>167708.31</v>
      </c>
      <c r="I2851" s="18">
        <v>163803.54</v>
      </c>
      <c r="J2851" s="27">
        <v>167708.31</v>
      </c>
      <c r="K2851" s="18">
        <f t="shared" si="89"/>
        <v>167708.31</v>
      </c>
      <c r="L2851" s="27">
        <v>159322.89000000001</v>
      </c>
      <c r="M2851" s="36">
        <v>-4480.6499999999996</v>
      </c>
      <c r="T2851" s="41">
        <v>0</v>
      </c>
      <c r="U2851" s="41">
        <v>0</v>
      </c>
      <c r="V2851" s="42" t="s">
        <v>113</v>
      </c>
      <c r="W2851" s="42">
        <v>167708.31</v>
      </c>
      <c r="X2851" s="42">
        <v>167708.31</v>
      </c>
    </row>
    <row r="2852" spans="1:24">
      <c r="A2852" s="27" t="s">
        <v>5268</v>
      </c>
      <c r="B2852" s="28" t="s">
        <v>5102</v>
      </c>
      <c r="C2852" s="27" t="s">
        <v>5269</v>
      </c>
      <c r="D2852" s="27" t="s">
        <v>5104</v>
      </c>
      <c r="E2852" s="29">
        <v>39417</v>
      </c>
      <c r="F2852" s="27">
        <v>15</v>
      </c>
      <c r="G2852" s="18">
        <v>68112.42</v>
      </c>
      <c r="H2852" s="27">
        <f t="shared" si="88"/>
        <v>0</v>
      </c>
      <c r="I2852" s="18">
        <v>48714.62</v>
      </c>
      <c r="J2852" s="27">
        <v>68112.42</v>
      </c>
      <c r="K2852" s="18">
        <f t="shared" si="89"/>
        <v>0</v>
      </c>
      <c r="L2852" s="27">
        <v>52712.67</v>
      </c>
      <c r="M2852" s="36">
        <v>3998.05</v>
      </c>
      <c r="T2852" s="41">
        <v>0</v>
      </c>
      <c r="U2852" s="41">
        <v>0</v>
      </c>
      <c r="V2852" s="42" t="s">
        <v>113</v>
      </c>
      <c r="W2852" s="42">
        <v>0</v>
      </c>
      <c r="X2852" s="42">
        <v>0</v>
      </c>
    </row>
    <row r="2853" spans="1:24">
      <c r="A2853" s="27" t="s">
        <v>5270</v>
      </c>
      <c r="B2853" s="28" t="s">
        <v>5102</v>
      </c>
      <c r="C2853" s="27" t="s">
        <v>5271</v>
      </c>
      <c r="D2853" s="27" t="s">
        <v>5104</v>
      </c>
      <c r="E2853" s="29">
        <v>39417</v>
      </c>
      <c r="F2853" s="27">
        <v>15</v>
      </c>
      <c r="G2853" s="18">
        <v>63981.2</v>
      </c>
      <c r="H2853" s="27">
        <f t="shared" si="88"/>
        <v>0</v>
      </c>
      <c r="I2853" s="18">
        <v>53777.72</v>
      </c>
      <c r="J2853" s="27">
        <v>63981.2</v>
      </c>
      <c r="K2853" s="18">
        <f t="shared" si="89"/>
        <v>0</v>
      </c>
      <c r="L2853" s="27">
        <v>55528.83</v>
      </c>
      <c r="M2853" s="36">
        <v>1751.11</v>
      </c>
      <c r="T2853" s="41">
        <v>0</v>
      </c>
      <c r="U2853" s="41">
        <v>0</v>
      </c>
      <c r="V2853" s="42" t="s">
        <v>113</v>
      </c>
      <c r="W2853" s="42">
        <v>0</v>
      </c>
      <c r="X2853" s="42">
        <v>0</v>
      </c>
    </row>
    <row r="2854" spans="1:24">
      <c r="A2854" s="27" t="s">
        <v>5272</v>
      </c>
      <c r="B2854" s="28" t="s">
        <v>5102</v>
      </c>
      <c r="C2854" s="27" t="s">
        <v>5273</v>
      </c>
      <c r="D2854" s="27" t="s">
        <v>5104</v>
      </c>
      <c r="E2854" s="29">
        <v>35796</v>
      </c>
      <c r="F2854" s="27">
        <v>15</v>
      </c>
      <c r="G2854" s="18">
        <v>5080.74</v>
      </c>
      <c r="H2854" s="27">
        <f t="shared" si="88"/>
        <v>5080.74</v>
      </c>
      <c r="I2854" s="18">
        <v>4826.7</v>
      </c>
      <c r="J2854" s="27">
        <v>5080.74</v>
      </c>
      <c r="K2854" s="18">
        <f t="shared" si="89"/>
        <v>5080.74</v>
      </c>
      <c r="L2854" s="27">
        <v>4826.7</v>
      </c>
      <c r="M2854" s="36">
        <v>0</v>
      </c>
      <c r="T2854" s="41">
        <v>0</v>
      </c>
      <c r="U2854" s="41">
        <v>0</v>
      </c>
      <c r="V2854" s="42" t="s">
        <v>113</v>
      </c>
      <c r="W2854" s="42">
        <v>5080.74</v>
      </c>
      <c r="X2854" s="42">
        <v>5080.74</v>
      </c>
    </row>
    <row r="2855" spans="1:24">
      <c r="A2855" s="27" t="s">
        <v>5274</v>
      </c>
      <c r="B2855" s="28" t="s">
        <v>5102</v>
      </c>
      <c r="C2855" s="27" t="s">
        <v>5275</v>
      </c>
      <c r="D2855" s="27" t="s">
        <v>5104</v>
      </c>
      <c r="E2855" s="29">
        <v>35796</v>
      </c>
      <c r="F2855" s="27">
        <v>15</v>
      </c>
      <c r="G2855" s="18">
        <v>7358.31</v>
      </c>
      <c r="H2855" s="27">
        <f t="shared" si="88"/>
        <v>7358.31</v>
      </c>
      <c r="I2855" s="18">
        <v>6990.39</v>
      </c>
      <c r="J2855" s="27">
        <v>7358.31</v>
      </c>
      <c r="K2855" s="18">
        <f t="shared" si="89"/>
        <v>7358.31</v>
      </c>
      <c r="L2855" s="27">
        <v>6990.39</v>
      </c>
      <c r="M2855" s="36">
        <v>0</v>
      </c>
      <c r="T2855" s="41">
        <v>0</v>
      </c>
      <c r="U2855" s="41">
        <v>0</v>
      </c>
      <c r="V2855" s="42" t="s">
        <v>113</v>
      </c>
      <c r="W2855" s="42">
        <v>7358.31</v>
      </c>
      <c r="X2855" s="42">
        <v>7358.31</v>
      </c>
    </row>
    <row r="2856" spans="1:24">
      <c r="A2856" s="27" t="s">
        <v>5276</v>
      </c>
      <c r="B2856" s="28" t="s">
        <v>5102</v>
      </c>
      <c r="C2856" s="27" t="s">
        <v>5277</v>
      </c>
      <c r="D2856" s="27" t="s">
        <v>5104</v>
      </c>
      <c r="E2856" s="29">
        <v>35796</v>
      </c>
      <c r="F2856" s="27">
        <v>15</v>
      </c>
      <c r="G2856" s="18">
        <v>8584.7000000000007</v>
      </c>
      <c r="H2856" s="27">
        <f t="shared" si="88"/>
        <v>8584.7000000000007</v>
      </c>
      <c r="I2856" s="18">
        <v>8155.46</v>
      </c>
      <c r="J2856" s="27">
        <v>8584.7000000000007</v>
      </c>
      <c r="K2856" s="18">
        <f t="shared" si="89"/>
        <v>8584.7000000000007</v>
      </c>
      <c r="L2856" s="27">
        <v>8155.46</v>
      </c>
      <c r="M2856" s="36">
        <v>0</v>
      </c>
      <c r="T2856" s="41">
        <v>0</v>
      </c>
      <c r="U2856" s="41">
        <v>0</v>
      </c>
      <c r="V2856" s="42" t="s">
        <v>113</v>
      </c>
      <c r="W2856" s="42">
        <v>8584.7000000000007</v>
      </c>
      <c r="X2856" s="42">
        <v>8584.7000000000007</v>
      </c>
    </row>
    <row r="2857" spans="1:24">
      <c r="A2857" s="27" t="s">
        <v>5278</v>
      </c>
      <c r="B2857" s="28" t="s">
        <v>5102</v>
      </c>
      <c r="C2857" s="27" t="s">
        <v>5279</v>
      </c>
      <c r="D2857" s="27" t="s">
        <v>5104</v>
      </c>
      <c r="E2857" s="29">
        <v>35796</v>
      </c>
      <c r="F2857" s="27">
        <v>15</v>
      </c>
      <c r="G2857" s="18">
        <v>19972.560000000001</v>
      </c>
      <c r="H2857" s="27">
        <f t="shared" si="88"/>
        <v>19972.560000000001</v>
      </c>
      <c r="I2857" s="18">
        <v>18973.93</v>
      </c>
      <c r="J2857" s="27">
        <v>19972.560000000001</v>
      </c>
      <c r="K2857" s="18">
        <f t="shared" si="89"/>
        <v>19972.560000000001</v>
      </c>
      <c r="L2857" s="27">
        <v>18973.93</v>
      </c>
      <c r="M2857" s="36">
        <v>0</v>
      </c>
      <c r="T2857" s="41">
        <v>0</v>
      </c>
      <c r="U2857" s="41">
        <v>0</v>
      </c>
      <c r="V2857" s="42" t="s">
        <v>113</v>
      </c>
      <c r="W2857" s="42">
        <v>19972.560000000001</v>
      </c>
      <c r="X2857" s="42">
        <v>19972.560000000001</v>
      </c>
    </row>
    <row r="2858" spans="1:24">
      <c r="A2858" s="27" t="s">
        <v>5280</v>
      </c>
      <c r="B2858" s="28" t="s">
        <v>5102</v>
      </c>
      <c r="C2858" s="27" t="s">
        <v>5281</v>
      </c>
      <c r="D2858" s="27" t="s">
        <v>5104</v>
      </c>
      <c r="E2858" s="29">
        <v>35796</v>
      </c>
      <c r="F2858" s="27">
        <v>15</v>
      </c>
      <c r="G2858" s="18">
        <v>19763.330000000002</v>
      </c>
      <c r="H2858" s="27">
        <f t="shared" si="88"/>
        <v>19763.330000000002</v>
      </c>
      <c r="I2858" s="18">
        <v>18775.16</v>
      </c>
      <c r="J2858" s="27">
        <v>19763.330000000002</v>
      </c>
      <c r="K2858" s="18">
        <f t="shared" si="89"/>
        <v>19763.330000000002</v>
      </c>
      <c r="L2858" s="27">
        <v>18775.16</v>
      </c>
      <c r="M2858" s="36">
        <v>0</v>
      </c>
      <c r="T2858" s="41">
        <v>0</v>
      </c>
      <c r="U2858" s="41">
        <v>0</v>
      </c>
      <c r="V2858" s="42" t="s">
        <v>113</v>
      </c>
      <c r="W2858" s="42">
        <v>19763.330000000002</v>
      </c>
      <c r="X2858" s="42">
        <v>19763.330000000002</v>
      </c>
    </row>
    <row r="2859" spans="1:24">
      <c r="A2859" s="27" t="s">
        <v>5282</v>
      </c>
      <c r="B2859" s="28" t="s">
        <v>5102</v>
      </c>
      <c r="C2859" s="27" t="s">
        <v>5283</v>
      </c>
      <c r="D2859" s="27" t="s">
        <v>5104</v>
      </c>
      <c r="E2859" s="29">
        <v>36892</v>
      </c>
      <c r="F2859" s="27">
        <v>15</v>
      </c>
      <c r="G2859" s="18">
        <v>18656.02</v>
      </c>
      <c r="H2859" s="27">
        <f t="shared" si="88"/>
        <v>18656.02</v>
      </c>
      <c r="I2859" s="18">
        <v>17723.22</v>
      </c>
      <c r="J2859" s="27">
        <v>18656.02</v>
      </c>
      <c r="K2859" s="18">
        <f t="shared" si="89"/>
        <v>18656.02</v>
      </c>
      <c r="L2859" s="27">
        <v>17723.22</v>
      </c>
      <c r="M2859" s="36">
        <v>0</v>
      </c>
      <c r="T2859" s="41">
        <v>0</v>
      </c>
      <c r="U2859" s="41">
        <v>0</v>
      </c>
      <c r="V2859" s="42" t="s">
        <v>113</v>
      </c>
      <c r="W2859" s="42">
        <v>18656.02</v>
      </c>
      <c r="X2859" s="42">
        <v>18656.02</v>
      </c>
    </row>
    <row r="2860" spans="1:24">
      <c r="A2860" s="27" t="s">
        <v>5284</v>
      </c>
      <c r="B2860" s="28" t="s">
        <v>5102</v>
      </c>
      <c r="C2860" s="27" t="s">
        <v>5285</v>
      </c>
      <c r="D2860" s="27" t="s">
        <v>5104</v>
      </c>
      <c r="E2860" s="29">
        <v>35796</v>
      </c>
      <c r="F2860" s="27">
        <v>15</v>
      </c>
      <c r="G2860" s="18">
        <v>13068</v>
      </c>
      <c r="H2860" s="27">
        <f t="shared" si="88"/>
        <v>13068</v>
      </c>
      <c r="I2860" s="18">
        <v>12414.6</v>
      </c>
      <c r="J2860" s="27">
        <v>13068</v>
      </c>
      <c r="K2860" s="18">
        <f t="shared" si="89"/>
        <v>13068</v>
      </c>
      <c r="L2860" s="27">
        <v>12414.6</v>
      </c>
      <c r="M2860" s="36">
        <v>0</v>
      </c>
      <c r="T2860" s="41">
        <v>0</v>
      </c>
      <c r="U2860" s="41">
        <v>0</v>
      </c>
      <c r="V2860" s="42" t="s">
        <v>113</v>
      </c>
      <c r="W2860" s="42">
        <v>13068</v>
      </c>
      <c r="X2860" s="42">
        <v>13068</v>
      </c>
    </row>
    <row r="2861" spans="1:24">
      <c r="A2861" s="27" t="s">
        <v>5286</v>
      </c>
      <c r="B2861" s="28" t="s">
        <v>5102</v>
      </c>
      <c r="C2861" s="27" t="s">
        <v>5287</v>
      </c>
      <c r="D2861" s="27" t="s">
        <v>5104</v>
      </c>
      <c r="E2861" s="29">
        <v>35796</v>
      </c>
      <c r="F2861" s="27">
        <v>15</v>
      </c>
      <c r="G2861" s="18">
        <v>31535.62</v>
      </c>
      <c r="H2861" s="27">
        <f t="shared" si="88"/>
        <v>31535.62</v>
      </c>
      <c r="I2861" s="18">
        <v>29958.84</v>
      </c>
      <c r="J2861" s="27">
        <v>31535.62</v>
      </c>
      <c r="K2861" s="18">
        <f t="shared" si="89"/>
        <v>31535.62</v>
      </c>
      <c r="L2861" s="27">
        <v>29958.84</v>
      </c>
      <c r="M2861" s="36">
        <v>0</v>
      </c>
      <c r="T2861" s="41">
        <v>0</v>
      </c>
      <c r="U2861" s="41">
        <v>0</v>
      </c>
      <c r="V2861" s="42" t="s">
        <v>113</v>
      </c>
      <c r="W2861" s="42">
        <v>31535.62</v>
      </c>
      <c r="X2861" s="42">
        <v>31535.62</v>
      </c>
    </row>
    <row r="2862" spans="1:24">
      <c r="A2862" s="27" t="s">
        <v>5288</v>
      </c>
      <c r="B2862" s="28" t="s">
        <v>5102</v>
      </c>
      <c r="C2862" s="27" t="s">
        <v>5289</v>
      </c>
      <c r="D2862" s="27" t="s">
        <v>5104</v>
      </c>
      <c r="E2862" s="29">
        <v>35796</v>
      </c>
      <c r="F2862" s="27">
        <v>15</v>
      </c>
      <c r="G2862" s="18">
        <v>29958.84</v>
      </c>
      <c r="H2862" s="27">
        <f t="shared" si="88"/>
        <v>29958.84</v>
      </c>
      <c r="I2862" s="18">
        <v>28460.9</v>
      </c>
      <c r="J2862" s="27">
        <v>29958.84</v>
      </c>
      <c r="K2862" s="18">
        <f t="shared" si="89"/>
        <v>29958.84</v>
      </c>
      <c r="L2862" s="27">
        <v>28460.9</v>
      </c>
      <c r="M2862" s="36">
        <v>0</v>
      </c>
      <c r="T2862" s="41">
        <v>0</v>
      </c>
      <c r="U2862" s="41">
        <v>0</v>
      </c>
      <c r="V2862" s="42" t="s">
        <v>113</v>
      </c>
      <c r="W2862" s="42">
        <v>29958.84</v>
      </c>
      <c r="X2862" s="42">
        <v>29958.84</v>
      </c>
    </row>
    <row r="2863" spans="1:24">
      <c r="A2863" s="27" t="s">
        <v>5290</v>
      </c>
      <c r="B2863" s="28" t="s">
        <v>5102</v>
      </c>
      <c r="C2863" s="27" t="s">
        <v>5291</v>
      </c>
      <c r="D2863" s="27" t="s">
        <v>5104</v>
      </c>
      <c r="E2863" s="29">
        <v>35796</v>
      </c>
      <c r="F2863" s="27">
        <v>15</v>
      </c>
      <c r="G2863" s="18">
        <v>8234.2999999999993</v>
      </c>
      <c r="H2863" s="27">
        <f t="shared" si="88"/>
        <v>8234.2999999999993</v>
      </c>
      <c r="I2863" s="18">
        <v>7822.58</v>
      </c>
      <c r="J2863" s="27">
        <v>8234.2999999999993</v>
      </c>
      <c r="K2863" s="18">
        <f t="shared" si="89"/>
        <v>8234.2999999999993</v>
      </c>
      <c r="L2863" s="27">
        <v>7822.58</v>
      </c>
      <c r="M2863" s="36">
        <v>0</v>
      </c>
      <c r="T2863" s="41">
        <v>0</v>
      </c>
      <c r="U2863" s="41">
        <v>0</v>
      </c>
      <c r="V2863" s="42" t="s">
        <v>113</v>
      </c>
      <c r="W2863" s="42">
        <v>8234.2999999999993</v>
      </c>
      <c r="X2863" s="42">
        <v>8234.2999999999993</v>
      </c>
    </row>
    <row r="2864" spans="1:24">
      <c r="A2864" s="27" t="s">
        <v>5292</v>
      </c>
      <c r="B2864" s="28" t="s">
        <v>5102</v>
      </c>
      <c r="C2864" s="27" t="s">
        <v>5293</v>
      </c>
      <c r="D2864" s="27" t="s">
        <v>5104</v>
      </c>
      <c r="E2864" s="29">
        <v>35796</v>
      </c>
      <c r="F2864" s="27">
        <v>15</v>
      </c>
      <c r="G2864" s="18">
        <v>17948.330000000002</v>
      </c>
      <c r="H2864" s="27">
        <f t="shared" si="88"/>
        <v>17948.330000000002</v>
      </c>
      <c r="I2864" s="18">
        <v>17050.91</v>
      </c>
      <c r="J2864" s="27">
        <v>17948.330000000002</v>
      </c>
      <c r="K2864" s="18">
        <f t="shared" si="89"/>
        <v>17948.330000000002</v>
      </c>
      <c r="L2864" s="27">
        <v>17050.91</v>
      </c>
      <c r="M2864" s="36">
        <v>0</v>
      </c>
      <c r="T2864" s="41">
        <v>0</v>
      </c>
      <c r="U2864" s="41">
        <v>0</v>
      </c>
      <c r="V2864" s="42" t="s">
        <v>113</v>
      </c>
      <c r="W2864" s="42">
        <v>17948.330000000002</v>
      </c>
      <c r="X2864" s="42">
        <v>17948.330000000002</v>
      </c>
    </row>
    <row r="2865" spans="1:24">
      <c r="A2865" s="27" t="s">
        <v>5294</v>
      </c>
      <c r="B2865" s="28" t="s">
        <v>5102</v>
      </c>
      <c r="C2865" s="27" t="s">
        <v>5295</v>
      </c>
      <c r="D2865" s="27" t="s">
        <v>5104</v>
      </c>
      <c r="E2865" s="29">
        <v>33604</v>
      </c>
      <c r="F2865" s="27">
        <v>15</v>
      </c>
      <c r="G2865" s="18">
        <v>9313.57</v>
      </c>
      <c r="H2865" s="27">
        <f t="shared" si="88"/>
        <v>9313.57</v>
      </c>
      <c r="I2865" s="18">
        <v>8847.89</v>
      </c>
      <c r="J2865" s="27">
        <v>9313.57</v>
      </c>
      <c r="K2865" s="18">
        <f t="shared" si="89"/>
        <v>9313.57</v>
      </c>
      <c r="L2865" s="27">
        <v>8847.89</v>
      </c>
      <c r="M2865" s="36">
        <v>0</v>
      </c>
      <c r="T2865" s="41">
        <v>0</v>
      </c>
      <c r="U2865" s="41">
        <v>0</v>
      </c>
      <c r="V2865" s="42" t="s">
        <v>113</v>
      </c>
      <c r="W2865" s="42">
        <v>9313.57</v>
      </c>
      <c r="X2865" s="42">
        <v>9313.57</v>
      </c>
    </row>
    <row r="2866" spans="1:24">
      <c r="A2866" s="27" t="s">
        <v>5296</v>
      </c>
      <c r="B2866" s="28" t="s">
        <v>5102</v>
      </c>
      <c r="C2866" s="27" t="s">
        <v>5297</v>
      </c>
      <c r="D2866" s="27" t="s">
        <v>5104</v>
      </c>
      <c r="E2866" s="29">
        <v>37226</v>
      </c>
      <c r="F2866" s="27">
        <v>15</v>
      </c>
      <c r="G2866" s="18">
        <v>88109.58</v>
      </c>
      <c r="H2866" s="27">
        <f t="shared" si="88"/>
        <v>88109.58</v>
      </c>
      <c r="I2866" s="18">
        <v>83704.100000000006</v>
      </c>
      <c r="J2866" s="27">
        <v>88109.58</v>
      </c>
      <c r="K2866" s="18">
        <f t="shared" si="89"/>
        <v>88109.58</v>
      </c>
      <c r="L2866" s="27">
        <v>83704.100000000006</v>
      </c>
      <c r="M2866" s="36">
        <v>0</v>
      </c>
      <c r="T2866" s="41">
        <v>0</v>
      </c>
      <c r="U2866" s="41">
        <v>0</v>
      </c>
      <c r="V2866" s="42" t="s">
        <v>113</v>
      </c>
      <c r="W2866" s="42">
        <v>88109.58</v>
      </c>
      <c r="X2866" s="42">
        <v>88109.58</v>
      </c>
    </row>
    <row r="2867" spans="1:24">
      <c r="A2867" s="27" t="s">
        <v>5298</v>
      </c>
      <c r="B2867" s="28" t="s">
        <v>5102</v>
      </c>
      <c r="C2867" s="27" t="s">
        <v>5299</v>
      </c>
      <c r="D2867" s="27" t="s">
        <v>5104</v>
      </c>
      <c r="E2867" s="29">
        <v>37773</v>
      </c>
      <c r="F2867" s="27">
        <v>15</v>
      </c>
      <c r="G2867" s="18">
        <v>129862.39</v>
      </c>
      <c r="H2867" s="27">
        <f t="shared" si="88"/>
        <v>129862.39</v>
      </c>
      <c r="I2867" s="18">
        <v>123369.27</v>
      </c>
      <c r="J2867" s="27">
        <v>129862.39</v>
      </c>
      <c r="K2867" s="18">
        <f t="shared" si="89"/>
        <v>129862.39</v>
      </c>
      <c r="L2867" s="27">
        <v>123369.27</v>
      </c>
      <c r="M2867" s="36">
        <v>0</v>
      </c>
      <c r="T2867" s="41">
        <v>0</v>
      </c>
      <c r="U2867" s="41">
        <v>0</v>
      </c>
      <c r="V2867" s="42" t="s">
        <v>113</v>
      </c>
      <c r="W2867" s="42">
        <v>129862.39</v>
      </c>
      <c r="X2867" s="42">
        <v>129862.39</v>
      </c>
    </row>
    <row r="2868" spans="1:24">
      <c r="A2868" s="27" t="s">
        <v>5300</v>
      </c>
      <c r="B2868" s="28" t="s">
        <v>5102</v>
      </c>
      <c r="C2868" s="27" t="s">
        <v>5301</v>
      </c>
      <c r="D2868" s="27" t="s">
        <v>5104</v>
      </c>
      <c r="E2868" s="29">
        <v>34700</v>
      </c>
      <c r="F2868" s="27">
        <v>15</v>
      </c>
      <c r="G2868" s="18">
        <v>132051.94</v>
      </c>
      <c r="H2868" s="27">
        <f t="shared" si="88"/>
        <v>132051.94</v>
      </c>
      <c r="I2868" s="18">
        <v>125449.34</v>
      </c>
      <c r="J2868" s="27">
        <v>132051.94</v>
      </c>
      <c r="K2868" s="18">
        <f t="shared" si="89"/>
        <v>132051.94</v>
      </c>
      <c r="L2868" s="27">
        <v>125449.34</v>
      </c>
      <c r="M2868" s="36">
        <v>0</v>
      </c>
      <c r="T2868" s="41">
        <v>0</v>
      </c>
      <c r="U2868" s="41">
        <v>0</v>
      </c>
      <c r="V2868" s="42" t="s">
        <v>113</v>
      </c>
      <c r="W2868" s="42">
        <v>132051.94</v>
      </c>
      <c r="X2868" s="42">
        <v>132051.94</v>
      </c>
    </row>
    <row r="2869" spans="1:24">
      <c r="A2869" s="27" t="s">
        <v>5302</v>
      </c>
      <c r="B2869" s="28" t="s">
        <v>5102</v>
      </c>
      <c r="C2869" s="27" t="s">
        <v>5303</v>
      </c>
      <c r="D2869" s="27" t="s">
        <v>5104</v>
      </c>
      <c r="E2869" s="29">
        <v>39417</v>
      </c>
      <c r="F2869" s="27">
        <v>15</v>
      </c>
      <c r="G2869" s="18">
        <v>9249.7999999999993</v>
      </c>
      <c r="H2869" s="27">
        <f t="shared" si="88"/>
        <v>0</v>
      </c>
      <c r="I2869" s="18">
        <v>7856.53</v>
      </c>
      <c r="J2869" s="27">
        <v>9249.7999999999993</v>
      </c>
      <c r="K2869" s="18">
        <f t="shared" si="89"/>
        <v>0</v>
      </c>
      <c r="L2869" s="27">
        <v>8089.23</v>
      </c>
      <c r="M2869" s="36">
        <v>232.7</v>
      </c>
      <c r="T2869" s="41">
        <v>0</v>
      </c>
      <c r="U2869" s="41">
        <v>0</v>
      </c>
      <c r="V2869" s="42" t="s">
        <v>113</v>
      </c>
      <c r="W2869" s="42">
        <v>0</v>
      </c>
      <c r="X2869" s="42">
        <v>0</v>
      </c>
    </row>
    <row r="2870" spans="1:24">
      <c r="A2870" s="27" t="s">
        <v>5304</v>
      </c>
      <c r="B2870" s="28" t="s">
        <v>5102</v>
      </c>
      <c r="C2870" s="27" t="s">
        <v>5305</v>
      </c>
      <c r="D2870" s="27" t="s">
        <v>5104</v>
      </c>
      <c r="E2870" s="29">
        <v>36495</v>
      </c>
      <c r="F2870" s="27">
        <v>15</v>
      </c>
      <c r="G2870" s="18">
        <v>18883.23</v>
      </c>
      <c r="H2870" s="27">
        <f t="shared" si="88"/>
        <v>18883.23</v>
      </c>
      <c r="I2870" s="18">
        <v>17939.07</v>
      </c>
      <c r="J2870" s="27">
        <v>18883.23</v>
      </c>
      <c r="K2870" s="18">
        <f t="shared" si="89"/>
        <v>18883.23</v>
      </c>
      <c r="L2870" s="27">
        <v>17939.07</v>
      </c>
      <c r="M2870" s="36">
        <v>0</v>
      </c>
      <c r="T2870" s="41">
        <v>0</v>
      </c>
      <c r="U2870" s="41">
        <v>0</v>
      </c>
      <c r="V2870" s="42" t="s">
        <v>113</v>
      </c>
      <c r="W2870" s="42">
        <v>18883.23</v>
      </c>
      <c r="X2870" s="42">
        <v>18883.23</v>
      </c>
    </row>
    <row r="2871" spans="1:24">
      <c r="A2871" s="27" t="s">
        <v>5306</v>
      </c>
      <c r="B2871" s="28" t="s">
        <v>5102</v>
      </c>
      <c r="C2871" s="27" t="s">
        <v>5307</v>
      </c>
      <c r="D2871" s="27" t="s">
        <v>5104</v>
      </c>
      <c r="E2871" s="29">
        <v>39417</v>
      </c>
      <c r="F2871" s="27">
        <v>15</v>
      </c>
      <c r="G2871" s="18">
        <v>12267.33</v>
      </c>
      <c r="H2871" s="27">
        <f t="shared" si="88"/>
        <v>0</v>
      </c>
      <c r="I2871" s="18">
        <v>10462.799999999999</v>
      </c>
      <c r="J2871" s="27">
        <v>12267.33</v>
      </c>
      <c r="K2871" s="18">
        <f t="shared" si="89"/>
        <v>0</v>
      </c>
      <c r="L2871" s="27">
        <v>10760.59</v>
      </c>
      <c r="M2871" s="36">
        <v>297.79000000000002</v>
      </c>
      <c r="T2871" s="41">
        <v>0</v>
      </c>
      <c r="U2871" s="41">
        <v>0</v>
      </c>
      <c r="V2871" s="42" t="s">
        <v>113</v>
      </c>
      <c r="W2871" s="42">
        <v>0</v>
      </c>
      <c r="X2871" s="42">
        <v>0</v>
      </c>
    </row>
    <row r="2872" spans="1:24">
      <c r="A2872" s="27" t="s">
        <v>5308</v>
      </c>
      <c r="B2872" s="28" t="s">
        <v>5102</v>
      </c>
      <c r="C2872" s="27" t="s">
        <v>5309</v>
      </c>
      <c r="D2872" s="27" t="s">
        <v>5104</v>
      </c>
      <c r="E2872" s="29">
        <v>39417</v>
      </c>
      <c r="F2872" s="27">
        <v>15</v>
      </c>
      <c r="G2872" s="18">
        <v>9098.65</v>
      </c>
      <c r="H2872" s="27">
        <f t="shared" si="88"/>
        <v>0</v>
      </c>
      <c r="I2872" s="18">
        <v>7760.22</v>
      </c>
      <c r="J2872" s="27">
        <v>9098.65</v>
      </c>
      <c r="K2872" s="18">
        <f t="shared" si="89"/>
        <v>0</v>
      </c>
      <c r="L2872" s="27">
        <v>7981.1</v>
      </c>
      <c r="M2872" s="36">
        <v>220.88</v>
      </c>
      <c r="T2872" s="41">
        <v>0</v>
      </c>
      <c r="U2872" s="41">
        <v>0</v>
      </c>
      <c r="V2872" s="42" t="s">
        <v>113</v>
      </c>
      <c r="W2872" s="42">
        <v>0</v>
      </c>
      <c r="X2872" s="42">
        <v>0</v>
      </c>
    </row>
    <row r="2873" spans="1:24">
      <c r="A2873" s="27" t="s">
        <v>5310</v>
      </c>
      <c r="B2873" s="28" t="s">
        <v>5102</v>
      </c>
      <c r="C2873" s="27" t="s">
        <v>5311</v>
      </c>
      <c r="D2873" s="27" t="s">
        <v>5104</v>
      </c>
      <c r="E2873" s="29">
        <v>38078</v>
      </c>
      <c r="F2873" s="27">
        <v>15</v>
      </c>
      <c r="G2873" s="18">
        <v>16169.97</v>
      </c>
      <c r="H2873" s="27">
        <f t="shared" si="88"/>
        <v>16169.97</v>
      </c>
      <c r="I2873" s="18">
        <v>15361.47</v>
      </c>
      <c r="J2873" s="27">
        <v>16169.97</v>
      </c>
      <c r="K2873" s="18">
        <f t="shared" si="89"/>
        <v>16169.97</v>
      </c>
      <c r="L2873" s="27">
        <v>15361.47</v>
      </c>
      <c r="M2873" s="36">
        <v>0</v>
      </c>
      <c r="T2873" s="41">
        <v>0</v>
      </c>
      <c r="U2873" s="41">
        <v>0</v>
      </c>
      <c r="V2873" s="42" t="s">
        <v>113</v>
      </c>
      <c r="W2873" s="42">
        <v>16169.97</v>
      </c>
      <c r="X2873" s="42">
        <v>16169.97</v>
      </c>
    </row>
    <row r="2874" spans="1:24">
      <c r="A2874" s="27" t="s">
        <v>5312</v>
      </c>
      <c r="B2874" s="28" t="s">
        <v>5102</v>
      </c>
      <c r="C2874" s="27" t="s">
        <v>5313</v>
      </c>
      <c r="D2874" s="27" t="s">
        <v>5104</v>
      </c>
      <c r="E2874" s="29">
        <v>38078</v>
      </c>
      <c r="F2874" s="27">
        <v>15</v>
      </c>
      <c r="G2874" s="18">
        <v>18755.060000000001</v>
      </c>
      <c r="H2874" s="27">
        <f t="shared" si="88"/>
        <v>18755.060000000001</v>
      </c>
      <c r="I2874" s="18">
        <v>17817.310000000001</v>
      </c>
      <c r="J2874" s="27">
        <v>18755.060000000001</v>
      </c>
      <c r="K2874" s="18">
        <f t="shared" si="89"/>
        <v>18755.060000000001</v>
      </c>
      <c r="L2874" s="27">
        <v>17817.310000000001</v>
      </c>
      <c r="M2874" s="36">
        <v>0</v>
      </c>
      <c r="T2874" s="41">
        <v>0</v>
      </c>
      <c r="U2874" s="41">
        <v>0</v>
      </c>
      <c r="V2874" s="42" t="s">
        <v>113</v>
      </c>
      <c r="W2874" s="42">
        <v>18755.060000000001</v>
      </c>
      <c r="X2874" s="42">
        <v>18755.060000000001</v>
      </c>
    </row>
    <row r="2875" spans="1:24">
      <c r="A2875" s="27" t="s">
        <v>5314</v>
      </c>
      <c r="B2875" s="28" t="s">
        <v>5102</v>
      </c>
      <c r="C2875" s="27" t="s">
        <v>5315</v>
      </c>
      <c r="D2875" s="27" t="s">
        <v>5104</v>
      </c>
      <c r="E2875" s="29">
        <v>39417</v>
      </c>
      <c r="F2875" s="27">
        <v>15</v>
      </c>
      <c r="G2875" s="18">
        <v>5997.86</v>
      </c>
      <c r="H2875" s="27">
        <f t="shared" si="88"/>
        <v>0</v>
      </c>
      <c r="I2875" s="18">
        <v>5115.5600000000004</v>
      </c>
      <c r="J2875" s="27">
        <v>5997.86</v>
      </c>
      <c r="K2875" s="18">
        <f t="shared" si="89"/>
        <v>0</v>
      </c>
      <c r="L2875" s="27">
        <v>5261.16</v>
      </c>
      <c r="M2875" s="36">
        <v>145.6</v>
      </c>
      <c r="T2875" s="41">
        <v>0</v>
      </c>
      <c r="U2875" s="41">
        <v>0</v>
      </c>
      <c r="V2875" s="42" t="s">
        <v>113</v>
      </c>
      <c r="W2875" s="42">
        <v>0</v>
      </c>
      <c r="X2875" s="42">
        <v>0</v>
      </c>
    </row>
    <row r="2876" spans="1:24">
      <c r="A2876" s="27" t="s">
        <v>5316</v>
      </c>
      <c r="B2876" s="28" t="s">
        <v>5102</v>
      </c>
      <c r="C2876" s="27" t="s">
        <v>5317</v>
      </c>
      <c r="D2876" s="27" t="s">
        <v>5104</v>
      </c>
      <c r="E2876" s="29">
        <v>39417</v>
      </c>
      <c r="F2876" s="27">
        <v>15</v>
      </c>
      <c r="G2876" s="18">
        <v>26798</v>
      </c>
      <c r="H2876" s="27">
        <f t="shared" si="88"/>
        <v>0</v>
      </c>
      <c r="I2876" s="18">
        <v>22856</v>
      </c>
      <c r="J2876" s="27">
        <v>26798</v>
      </c>
      <c r="K2876" s="18">
        <f t="shared" si="89"/>
        <v>0</v>
      </c>
      <c r="L2876" s="27">
        <v>23506.53</v>
      </c>
      <c r="M2876" s="36">
        <v>650.53</v>
      </c>
      <c r="T2876" s="41">
        <v>0</v>
      </c>
      <c r="U2876" s="41">
        <v>0</v>
      </c>
      <c r="V2876" s="42" t="s">
        <v>113</v>
      </c>
      <c r="W2876" s="42">
        <v>0</v>
      </c>
      <c r="X2876" s="42">
        <v>0</v>
      </c>
    </row>
    <row r="2877" spans="1:24">
      <c r="A2877" s="27" t="s">
        <v>5318</v>
      </c>
      <c r="B2877" s="28" t="s">
        <v>5102</v>
      </c>
      <c r="C2877" s="27" t="s">
        <v>5319</v>
      </c>
      <c r="D2877" s="27" t="s">
        <v>5104</v>
      </c>
      <c r="E2877" s="29">
        <v>39417</v>
      </c>
      <c r="F2877" s="27">
        <v>15</v>
      </c>
      <c r="G2877" s="18">
        <v>12244.7</v>
      </c>
      <c r="H2877" s="27">
        <f t="shared" si="88"/>
        <v>0</v>
      </c>
      <c r="I2877" s="18">
        <v>10443.49</v>
      </c>
      <c r="J2877" s="27">
        <v>12244.7</v>
      </c>
      <c r="K2877" s="18">
        <f t="shared" si="89"/>
        <v>0</v>
      </c>
      <c r="L2877" s="27">
        <v>10740.73</v>
      </c>
      <c r="M2877" s="36">
        <v>297.24</v>
      </c>
      <c r="T2877" s="41">
        <v>0</v>
      </c>
      <c r="U2877" s="41">
        <v>0</v>
      </c>
      <c r="V2877" s="42" t="s">
        <v>113</v>
      </c>
      <c r="W2877" s="42">
        <v>0</v>
      </c>
      <c r="X2877" s="42">
        <v>0</v>
      </c>
    </row>
    <row r="2878" spans="1:24">
      <c r="A2878" s="27" t="s">
        <v>5320</v>
      </c>
      <c r="B2878" s="28" t="s">
        <v>5102</v>
      </c>
      <c r="C2878" s="27" t="s">
        <v>5321</v>
      </c>
      <c r="D2878" s="27" t="s">
        <v>5104</v>
      </c>
      <c r="E2878" s="29">
        <v>39417</v>
      </c>
      <c r="F2878" s="27">
        <v>15</v>
      </c>
      <c r="G2878" s="18">
        <v>25100.49</v>
      </c>
      <c r="H2878" s="27">
        <f t="shared" si="88"/>
        <v>0</v>
      </c>
      <c r="I2878" s="18">
        <v>21408.18</v>
      </c>
      <c r="J2878" s="27">
        <v>25100.49</v>
      </c>
      <c r="K2878" s="18">
        <f t="shared" si="89"/>
        <v>0</v>
      </c>
      <c r="L2878" s="27">
        <v>22017.5</v>
      </c>
      <c r="M2878" s="36">
        <v>609.32000000000005</v>
      </c>
      <c r="T2878" s="41">
        <v>0</v>
      </c>
      <c r="U2878" s="41">
        <v>0</v>
      </c>
      <c r="V2878" s="42" t="s">
        <v>113</v>
      </c>
      <c r="W2878" s="42">
        <v>0</v>
      </c>
      <c r="X2878" s="42">
        <v>0</v>
      </c>
    </row>
    <row r="2879" spans="1:24">
      <c r="A2879" s="27" t="s">
        <v>5322</v>
      </c>
      <c r="B2879" s="28" t="s">
        <v>5102</v>
      </c>
      <c r="C2879" s="27" t="s">
        <v>5323</v>
      </c>
      <c r="D2879" s="27" t="s">
        <v>5104</v>
      </c>
      <c r="E2879" s="29">
        <v>38078</v>
      </c>
      <c r="F2879" s="27">
        <v>15</v>
      </c>
      <c r="G2879" s="18">
        <v>29728.49</v>
      </c>
      <c r="H2879" s="27">
        <f t="shared" si="88"/>
        <v>29728.49</v>
      </c>
      <c r="I2879" s="18">
        <v>28242.07</v>
      </c>
      <c r="J2879" s="27">
        <v>29728.49</v>
      </c>
      <c r="K2879" s="18">
        <f t="shared" si="89"/>
        <v>29728.49</v>
      </c>
      <c r="L2879" s="27">
        <v>28242.07</v>
      </c>
      <c r="M2879" s="36">
        <v>0</v>
      </c>
      <c r="T2879" s="41">
        <v>0</v>
      </c>
      <c r="U2879" s="41">
        <v>0</v>
      </c>
      <c r="V2879" s="42" t="s">
        <v>113</v>
      </c>
      <c r="W2879" s="42">
        <v>29728.49</v>
      </c>
      <c r="X2879" s="42">
        <v>29728.49</v>
      </c>
    </row>
    <row r="2880" spans="1:24">
      <c r="A2880" s="27" t="s">
        <v>5324</v>
      </c>
      <c r="B2880" s="28" t="s">
        <v>5102</v>
      </c>
      <c r="C2880" s="27" t="s">
        <v>5325</v>
      </c>
      <c r="D2880" s="27" t="s">
        <v>5104</v>
      </c>
      <c r="E2880" s="29">
        <v>39417</v>
      </c>
      <c r="F2880" s="27">
        <v>15</v>
      </c>
      <c r="G2880" s="18">
        <v>7401.14</v>
      </c>
      <c r="H2880" s="27">
        <f t="shared" si="88"/>
        <v>0</v>
      </c>
      <c r="I2880" s="18">
        <v>6312.42</v>
      </c>
      <c r="J2880" s="27">
        <v>7401.14</v>
      </c>
      <c r="K2880" s="18">
        <f t="shared" si="89"/>
        <v>0</v>
      </c>
      <c r="L2880" s="27">
        <v>6492.09</v>
      </c>
      <c r="M2880" s="36">
        <v>179.67</v>
      </c>
      <c r="T2880" s="41">
        <v>0</v>
      </c>
      <c r="U2880" s="41">
        <v>0</v>
      </c>
      <c r="V2880" s="42" t="s">
        <v>113</v>
      </c>
      <c r="W2880" s="42">
        <v>0</v>
      </c>
      <c r="X2880" s="42">
        <v>0</v>
      </c>
    </row>
    <row r="2881" spans="1:24">
      <c r="A2881" s="27" t="s">
        <v>5326</v>
      </c>
      <c r="B2881" s="28" t="s">
        <v>5102</v>
      </c>
      <c r="C2881" s="27" t="s">
        <v>5327</v>
      </c>
      <c r="D2881" s="27" t="s">
        <v>5104</v>
      </c>
      <c r="E2881" s="29">
        <v>38078</v>
      </c>
      <c r="F2881" s="27">
        <v>15</v>
      </c>
      <c r="G2881" s="18">
        <v>8230.07</v>
      </c>
      <c r="H2881" s="27">
        <f t="shared" si="88"/>
        <v>8230.07</v>
      </c>
      <c r="I2881" s="18">
        <v>7818.57</v>
      </c>
      <c r="J2881" s="27">
        <v>8230.07</v>
      </c>
      <c r="K2881" s="18">
        <f t="shared" si="89"/>
        <v>8230.07</v>
      </c>
      <c r="L2881" s="27">
        <v>7818.57</v>
      </c>
      <c r="M2881" s="36">
        <v>0</v>
      </c>
      <c r="T2881" s="41">
        <v>0</v>
      </c>
      <c r="U2881" s="41">
        <v>0</v>
      </c>
      <c r="V2881" s="42" t="s">
        <v>113</v>
      </c>
      <c r="W2881" s="42">
        <v>8230.07</v>
      </c>
      <c r="X2881" s="42">
        <v>8230.07</v>
      </c>
    </row>
    <row r="2882" spans="1:24">
      <c r="A2882" s="27" t="s">
        <v>5328</v>
      </c>
      <c r="B2882" s="28" t="s">
        <v>5102</v>
      </c>
      <c r="C2882" s="27" t="s">
        <v>5327</v>
      </c>
      <c r="D2882" s="27" t="s">
        <v>5104</v>
      </c>
      <c r="E2882" s="29">
        <v>38078</v>
      </c>
      <c r="F2882" s="27">
        <v>15</v>
      </c>
      <c r="G2882" s="18">
        <v>42996.85</v>
      </c>
      <c r="H2882" s="27">
        <f t="shared" si="88"/>
        <v>42996.85</v>
      </c>
      <c r="I2882" s="18">
        <v>40847.01</v>
      </c>
      <c r="J2882" s="27">
        <v>42996.85</v>
      </c>
      <c r="K2882" s="18">
        <f t="shared" si="89"/>
        <v>42996.85</v>
      </c>
      <c r="L2882" s="27">
        <v>40847.01</v>
      </c>
      <c r="M2882" s="36">
        <v>0</v>
      </c>
      <c r="T2882" s="41">
        <v>0</v>
      </c>
      <c r="U2882" s="41">
        <v>0</v>
      </c>
      <c r="V2882" s="42" t="s">
        <v>113</v>
      </c>
      <c r="W2882" s="42">
        <v>42996.85</v>
      </c>
      <c r="X2882" s="42">
        <v>42996.85</v>
      </c>
    </row>
    <row r="2883" spans="1:24">
      <c r="A2883" s="27" t="s">
        <v>5329</v>
      </c>
      <c r="B2883" s="28" t="s">
        <v>5102</v>
      </c>
      <c r="C2883" s="27" t="s">
        <v>5330</v>
      </c>
      <c r="D2883" s="27" t="s">
        <v>5104</v>
      </c>
      <c r="E2883" s="29">
        <v>38078</v>
      </c>
      <c r="F2883" s="27">
        <v>15</v>
      </c>
      <c r="G2883" s="18">
        <v>236274.53</v>
      </c>
      <c r="H2883" s="27">
        <f t="shared" si="88"/>
        <v>236274.53</v>
      </c>
      <c r="I2883" s="18">
        <v>224460.79999999999</v>
      </c>
      <c r="J2883" s="27">
        <v>236274.53</v>
      </c>
      <c r="K2883" s="18">
        <f t="shared" si="89"/>
        <v>236274.53</v>
      </c>
      <c r="L2883" s="27">
        <v>224460.79999999999</v>
      </c>
      <c r="M2883" s="36">
        <v>0</v>
      </c>
      <c r="T2883" s="41">
        <v>0</v>
      </c>
      <c r="U2883" s="41">
        <v>0</v>
      </c>
      <c r="V2883" s="42" t="s">
        <v>113</v>
      </c>
      <c r="W2883" s="42">
        <v>236274.53</v>
      </c>
      <c r="X2883" s="42">
        <v>236274.53</v>
      </c>
    </row>
    <row r="2884" spans="1:24">
      <c r="A2884" s="27" t="s">
        <v>5331</v>
      </c>
      <c r="B2884" s="28" t="s">
        <v>5102</v>
      </c>
      <c r="C2884" s="27" t="s">
        <v>5332</v>
      </c>
      <c r="D2884" s="27" t="s">
        <v>5104</v>
      </c>
      <c r="E2884" s="29">
        <v>38078</v>
      </c>
      <c r="F2884" s="27">
        <v>15</v>
      </c>
      <c r="G2884" s="18">
        <v>46373.279999999999</v>
      </c>
      <c r="H2884" s="27">
        <f t="shared" si="88"/>
        <v>46373.279999999999</v>
      </c>
      <c r="I2884" s="18">
        <v>44054.62</v>
      </c>
      <c r="J2884" s="27">
        <v>46373.279999999999</v>
      </c>
      <c r="K2884" s="18">
        <f t="shared" si="89"/>
        <v>46373.279999999999</v>
      </c>
      <c r="L2884" s="27">
        <v>44054.62</v>
      </c>
      <c r="M2884" s="36">
        <v>0</v>
      </c>
      <c r="T2884" s="41">
        <v>0</v>
      </c>
      <c r="U2884" s="41">
        <v>0</v>
      </c>
      <c r="V2884" s="42" t="s">
        <v>113</v>
      </c>
      <c r="W2884" s="42">
        <v>46373.279999999999</v>
      </c>
      <c r="X2884" s="42">
        <v>46373.279999999999</v>
      </c>
    </row>
    <row r="2885" spans="1:24">
      <c r="A2885" s="27" t="s">
        <v>5333</v>
      </c>
      <c r="B2885" s="28" t="s">
        <v>5102</v>
      </c>
      <c r="C2885" s="27" t="s">
        <v>5334</v>
      </c>
      <c r="D2885" s="27" t="s">
        <v>5104</v>
      </c>
      <c r="E2885" s="29">
        <v>39417</v>
      </c>
      <c r="F2885" s="27">
        <v>15</v>
      </c>
      <c r="G2885" s="18">
        <v>25721.09</v>
      </c>
      <c r="H2885" s="27">
        <f t="shared" si="88"/>
        <v>0</v>
      </c>
      <c r="I2885" s="18">
        <v>21619.19</v>
      </c>
      <c r="J2885" s="27">
        <v>25721.09</v>
      </c>
      <c r="K2885" s="18">
        <f t="shared" si="89"/>
        <v>0</v>
      </c>
      <c r="L2885" s="27">
        <v>22323.15</v>
      </c>
      <c r="M2885" s="36">
        <v>703.96</v>
      </c>
      <c r="T2885" s="41">
        <v>0</v>
      </c>
      <c r="U2885" s="41">
        <v>0</v>
      </c>
      <c r="V2885" s="42" t="s">
        <v>113</v>
      </c>
      <c r="W2885" s="42">
        <v>0</v>
      </c>
      <c r="X2885" s="42">
        <v>0</v>
      </c>
    </row>
    <row r="2886" spans="1:24">
      <c r="A2886" s="27" t="s">
        <v>5335</v>
      </c>
      <c r="B2886" s="28" t="s">
        <v>5102</v>
      </c>
      <c r="C2886" s="27" t="s">
        <v>5336</v>
      </c>
      <c r="D2886" s="27" t="s">
        <v>5104</v>
      </c>
      <c r="E2886" s="29">
        <v>38078</v>
      </c>
      <c r="F2886" s="27">
        <v>15</v>
      </c>
      <c r="G2886" s="18">
        <v>37114.46</v>
      </c>
      <c r="H2886" s="27">
        <f t="shared" ref="H2886:H2949" si="90">IFERROR(IF(ROUND((G2886-I2886)/G2886,2)&lt;=0.05,G2886,0),0)</f>
        <v>37114.46</v>
      </c>
      <c r="I2886" s="18">
        <v>35258.74</v>
      </c>
      <c r="J2886" s="27">
        <v>37114.46</v>
      </c>
      <c r="K2886" s="18">
        <f t="shared" ref="K2886:K2949" si="91">IFERROR(IF(ROUND((J2886-L2886)/J2886,2)&lt;=0.05,J2886,0),0)</f>
        <v>37114.46</v>
      </c>
      <c r="L2886" s="27">
        <v>35258.74</v>
      </c>
      <c r="M2886" s="36">
        <v>0</v>
      </c>
      <c r="T2886" s="41">
        <v>0</v>
      </c>
      <c r="U2886" s="41">
        <v>0</v>
      </c>
      <c r="V2886" s="42" t="s">
        <v>113</v>
      </c>
      <c r="W2886" s="42">
        <v>37114.46</v>
      </c>
      <c r="X2886" s="42">
        <v>37114.46</v>
      </c>
    </row>
    <row r="2887" spans="1:24">
      <c r="A2887" s="27" t="s">
        <v>5337</v>
      </c>
      <c r="B2887" s="28" t="s">
        <v>5102</v>
      </c>
      <c r="C2887" s="27" t="s">
        <v>5338</v>
      </c>
      <c r="D2887" s="27" t="s">
        <v>5104</v>
      </c>
      <c r="E2887" s="29">
        <v>39417</v>
      </c>
      <c r="F2887" s="27">
        <v>15</v>
      </c>
      <c r="G2887" s="18">
        <v>17683.240000000002</v>
      </c>
      <c r="H2887" s="27">
        <f t="shared" si="90"/>
        <v>0</v>
      </c>
      <c r="I2887" s="18">
        <v>14863.18</v>
      </c>
      <c r="J2887" s="27">
        <v>17683.240000000002</v>
      </c>
      <c r="K2887" s="18">
        <f t="shared" si="91"/>
        <v>0</v>
      </c>
      <c r="L2887" s="27">
        <v>15347.16</v>
      </c>
      <c r="M2887" s="36">
        <v>483.98</v>
      </c>
      <c r="T2887" s="41">
        <v>0</v>
      </c>
      <c r="U2887" s="41">
        <v>0</v>
      </c>
      <c r="V2887" s="42" t="s">
        <v>113</v>
      </c>
      <c r="W2887" s="42">
        <v>0</v>
      </c>
      <c r="X2887" s="42">
        <v>0</v>
      </c>
    </row>
    <row r="2888" spans="1:24">
      <c r="A2888" s="27" t="s">
        <v>5339</v>
      </c>
      <c r="B2888" s="28" t="s">
        <v>5102</v>
      </c>
      <c r="C2888" s="27" t="s">
        <v>5340</v>
      </c>
      <c r="D2888" s="27" t="s">
        <v>5104</v>
      </c>
      <c r="E2888" s="29">
        <v>38078</v>
      </c>
      <c r="F2888" s="27">
        <v>15</v>
      </c>
      <c r="G2888" s="18">
        <v>11448.24</v>
      </c>
      <c r="H2888" s="27">
        <f t="shared" si="90"/>
        <v>11448.24</v>
      </c>
      <c r="I2888" s="18">
        <v>10875.83</v>
      </c>
      <c r="J2888" s="27">
        <v>11448.24</v>
      </c>
      <c r="K2888" s="18">
        <f t="shared" si="91"/>
        <v>11448.24</v>
      </c>
      <c r="L2888" s="27">
        <v>10875.83</v>
      </c>
      <c r="M2888" s="36">
        <v>0</v>
      </c>
      <c r="T2888" s="41">
        <v>0</v>
      </c>
      <c r="U2888" s="41">
        <v>0</v>
      </c>
      <c r="V2888" s="42" t="s">
        <v>113</v>
      </c>
      <c r="W2888" s="42">
        <v>11448.24</v>
      </c>
      <c r="X2888" s="42">
        <v>11448.24</v>
      </c>
    </row>
    <row r="2889" spans="1:24">
      <c r="A2889" s="27" t="s">
        <v>5341</v>
      </c>
      <c r="B2889" s="28" t="s">
        <v>5102</v>
      </c>
      <c r="C2889" s="27" t="s">
        <v>5342</v>
      </c>
      <c r="D2889" s="27" t="s">
        <v>5104</v>
      </c>
      <c r="E2889" s="29">
        <v>37226</v>
      </c>
      <c r="F2889" s="27">
        <v>15</v>
      </c>
      <c r="G2889" s="18">
        <v>171433.38</v>
      </c>
      <c r="H2889" s="27">
        <f t="shared" si="90"/>
        <v>171433.38</v>
      </c>
      <c r="I2889" s="18">
        <v>162861.71</v>
      </c>
      <c r="J2889" s="27">
        <v>171433.38</v>
      </c>
      <c r="K2889" s="18">
        <f t="shared" si="91"/>
        <v>171433.38</v>
      </c>
      <c r="L2889" s="27">
        <v>162861.71</v>
      </c>
      <c r="M2889" s="36">
        <v>0</v>
      </c>
      <c r="T2889" s="41">
        <v>0</v>
      </c>
      <c r="U2889" s="41">
        <v>0</v>
      </c>
      <c r="V2889" s="42" t="s">
        <v>113</v>
      </c>
      <c r="W2889" s="42">
        <v>171433.38</v>
      </c>
      <c r="X2889" s="42">
        <v>171433.38</v>
      </c>
    </row>
    <row r="2890" spans="1:24">
      <c r="A2890" s="27" t="s">
        <v>5343</v>
      </c>
      <c r="B2890" s="28" t="s">
        <v>5102</v>
      </c>
      <c r="C2890" s="27" t="s">
        <v>5344</v>
      </c>
      <c r="D2890" s="27" t="s">
        <v>5104</v>
      </c>
      <c r="E2890" s="29">
        <v>38078</v>
      </c>
      <c r="F2890" s="27">
        <v>15</v>
      </c>
      <c r="G2890" s="18">
        <v>5856.01</v>
      </c>
      <c r="H2890" s="27">
        <f t="shared" si="90"/>
        <v>5856.01</v>
      </c>
      <c r="I2890" s="18">
        <v>5563.21</v>
      </c>
      <c r="J2890" s="27">
        <v>5856.01</v>
      </c>
      <c r="K2890" s="18">
        <f t="shared" si="91"/>
        <v>5856.01</v>
      </c>
      <c r="L2890" s="27">
        <v>5563.21</v>
      </c>
      <c r="M2890" s="36">
        <v>0</v>
      </c>
      <c r="T2890" s="41">
        <v>0</v>
      </c>
      <c r="U2890" s="41">
        <v>0</v>
      </c>
      <c r="V2890" s="42" t="s">
        <v>113</v>
      </c>
      <c r="W2890" s="42">
        <v>5856.01</v>
      </c>
      <c r="X2890" s="42">
        <v>5856.01</v>
      </c>
    </row>
    <row r="2891" spans="1:24">
      <c r="A2891" s="27" t="s">
        <v>5345</v>
      </c>
      <c r="B2891" s="28" t="s">
        <v>5102</v>
      </c>
      <c r="C2891" s="27" t="s">
        <v>5346</v>
      </c>
      <c r="D2891" s="27" t="s">
        <v>5104</v>
      </c>
      <c r="E2891" s="29">
        <v>36495</v>
      </c>
      <c r="F2891" s="27">
        <v>15</v>
      </c>
      <c r="G2891" s="18">
        <v>18558.13</v>
      </c>
      <c r="H2891" s="27">
        <f t="shared" si="90"/>
        <v>18558.13</v>
      </c>
      <c r="I2891" s="18">
        <v>17630.22</v>
      </c>
      <c r="J2891" s="27">
        <v>18558.13</v>
      </c>
      <c r="K2891" s="18">
        <f t="shared" si="91"/>
        <v>18558.13</v>
      </c>
      <c r="L2891" s="27">
        <v>17630.22</v>
      </c>
      <c r="M2891" s="36">
        <v>0</v>
      </c>
      <c r="T2891" s="41">
        <v>0</v>
      </c>
      <c r="U2891" s="41">
        <v>0</v>
      </c>
      <c r="V2891" s="42" t="s">
        <v>113</v>
      </c>
      <c r="W2891" s="42">
        <v>18558.13</v>
      </c>
      <c r="X2891" s="42">
        <v>18558.13</v>
      </c>
    </row>
    <row r="2892" spans="1:24">
      <c r="A2892" s="27" t="s">
        <v>5347</v>
      </c>
      <c r="B2892" s="28" t="s">
        <v>5102</v>
      </c>
      <c r="C2892" s="27" t="s">
        <v>5348</v>
      </c>
      <c r="D2892" s="27" t="s">
        <v>5104</v>
      </c>
      <c r="E2892" s="29">
        <v>38078</v>
      </c>
      <c r="F2892" s="27">
        <v>15</v>
      </c>
      <c r="G2892" s="18">
        <v>13558.52</v>
      </c>
      <c r="H2892" s="27">
        <f t="shared" si="90"/>
        <v>13558.52</v>
      </c>
      <c r="I2892" s="18">
        <v>12880.59</v>
      </c>
      <c r="J2892" s="27">
        <v>13558.52</v>
      </c>
      <c r="K2892" s="18">
        <f t="shared" si="91"/>
        <v>13558.52</v>
      </c>
      <c r="L2892" s="27">
        <v>12880.59</v>
      </c>
      <c r="M2892" s="36">
        <v>0</v>
      </c>
      <c r="T2892" s="41">
        <v>0</v>
      </c>
      <c r="U2892" s="41">
        <v>0</v>
      </c>
      <c r="V2892" s="42" t="s">
        <v>113</v>
      </c>
      <c r="W2892" s="42">
        <v>13558.52</v>
      </c>
      <c r="X2892" s="42">
        <v>13558.52</v>
      </c>
    </row>
    <row r="2893" spans="1:24">
      <c r="A2893" s="27" t="s">
        <v>5349</v>
      </c>
      <c r="B2893" s="28" t="s">
        <v>5102</v>
      </c>
      <c r="C2893" s="27" t="s">
        <v>5350</v>
      </c>
      <c r="D2893" s="27" t="s">
        <v>5104</v>
      </c>
      <c r="E2893" s="29">
        <v>36495</v>
      </c>
      <c r="F2893" s="27">
        <v>15</v>
      </c>
      <c r="G2893" s="18">
        <v>18331.96</v>
      </c>
      <c r="H2893" s="27">
        <f t="shared" si="90"/>
        <v>18331.96</v>
      </c>
      <c r="I2893" s="18">
        <v>17415.36</v>
      </c>
      <c r="J2893" s="27">
        <v>18331.96</v>
      </c>
      <c r="K2893" s="18">
        <f t="shared" si="91"/>
        <v>18331.96</v>
      </c>
      <c r="L2893" s="27">
        <v>17415.36</v>
      </c>
      <c r="M2893" s="36">
        <v>0</v>
      </c>
      <c r="T2893" s="41">
        <v>0</v>
      </c>
      <c r="U2893" s="41">
        <v>0</v>
      </c>
      <c r="V2893" s="42" t="s">
        <v>113</v>
      </c>
      <c r="W2893" s="42">
        <v>18331.96</v>
      </c>
      <c r="X2893" s="42">
        <v>18331.96</v>
      </c>
    </row>
    <row r="2894" spans="1:24">
      <c r="A2894" s="27" t="s">
        <v>5351</v>
      </c>
      <c r="B2894" s="28" t="s">
        <v>5102</v>
      </c>
      <c r="C2894" s="27" t="s">
        <v>5352</v>
      </c>
      <c r="D2894" s="27" t="s">
        <v>5104</v>
      </c>
      <c r="E2894" s="29">
        <v>38078</v>
      </c>
      <c r="F2894" s="27">
        <v>15</v>
      </c>
      <c r="G2894" s="18">
        <v>16671.169999999998</v>
      </c>
      <c r="H2894" s="27">
        <f t="shared" si="90"/>
        <v>16671.169999999998</v>
      </c>
      <c r="I2894" s="18">
        <v>15837.61</v>
      </c>
      <c r="J2894" s="27">
        <v>16671.169999999998</v>
      </c>
      <c r="K2894" s="18">
        <f t="shared" si="91"/>
        <v>16671.169999999998</v>
      </c>
      <c r="L2894" s="27">
        <v>15837.61</v>
      </c>
      <c r="M2894" s="36">
        <v>0</v>
      </c>
      <c r="T2894" s="41">
        <v>0</v>
      </c>
      <c r="U2894" s="41">
        <v>0</v>
      </c>
      <c r="V2894" s="42" t="s">
        <v>113</v>
      </c>
      <c r="W2894" s="42">
        <v>16671.169999999998</v>
      </c>
      <c r="X2894" s="42">
        <v>16671.169999999998</v>
      </c>
    </row>
    <row r="2895" spans="1:24">
      <c r="A2895" s="27" t="s">
        <v>5353</v>
      </c>
      <c r="B2895" s="28" t="s">
        <v>5102</v>
      </c>
      <c r="C2895" s="27" t="s">
        <v>5354</v>
      </c>
      <c r="D2895" s="27" t="s">
        <v>5104</v>
      </c>
      <c r="E2895" s="29">
        <v>38078</v>
      </c>
      <c r="F2895" s="27">
        <v>15</v>
      </c>
      <c r="G2895" s="18">
        <v>8150.93</v>
      </c>
      <c r="H2895" s="27">
        <f t="shared" si="90"/>
        <v>8150.93</v>
      </c>
      <c r="I2895" s="18">
        <v>7743.38</v>
      </c>
      <c r="J2895" s="27">
        <v>8150.93</v>
      </c>
      <c r="K2895" s="18">
        <f t="shared" si="91"/>
        <v>8150.93</v>
      </c>
      <c r="L2895" s="27">
        <v>7743.38</v>
      </c>
      <c r="M2895" s="36">
        <v>0</v>
      </c>
      <c r="T2895" s="41">
        <v>0</v>
      </c>
      <c r="U2895" s="41">
        <v>0</v>
      </c>
      <c r="V2895" s="42" t="s">
        <v>113</v>
      </c>
      <c r="W2895" s="42">
        <v>8150.93</v>
      </c>
      <c r="X2895" s="42">
        <v>8150.93</v>
      </c>
    </row>
    <row r="2896" spans="1:24">
      <c r="A2896" s="27" t="s">
        <v>5355</v>
      </c>
      <c r="B2896" s="28" t="s">
        <v>5102</v>
      </c>
      <c r="C2896" s="27" t="s">
        <v>5356</v>
      </c>
      <c r="D2896" s="27" t="s">
        <v>5104</v>
      </c>
      <c r="E2896" s="29">
        <v>38078</v>
      </c>
      <c r="F2896" s="27">
        <v>15</v>
      </c>
      <c r="G2896" s="18">
        <v>38519.89</v>
      </c>
      <c r="H2896" s="27">
        <f t="shared" si="90"/>
        <v>38519.89</v>
      </c>
      <c r="I2896" s="18">
        <v>36593.9</v>
      </c>
      <c r="J2896" s="27">
        <v>38519.89</v>
      </c>
      <c r="K2896" s="18">
        <f t="shared" si="91"/>
        <v>38519.89</v>
      </c>
      <c r="L2896" s="27">
        <v>36593.9</v>
      </c>
      <c r="M2896" s="36">
        <v>0</v>
      </c>
      <c r="T2896" s="41">
        <v>0</v>
      </c>
      <c r="U2896" s="41">
        <v>0</v>
      </c>
      <c r="V2896" s="42" t="s">
        <v>113</v>
      </c>
      <c r="W2896" s="42">
        <v>38519.89</v>
      </c>
      <c r="X2896" s="42">
        <v>38519.89</v>
      </c>
    </row>
    <row r="2897" spans="1:24">
      <c r="A2897" s="27" t="s">
        <v>5357</v>
      </c>
      <c r="B2897" s="28" t="s">
        <v>5102</v>
      </c>
      <c r="C2897" s="27" t="s">
        <v>5358</v>
      </c>
      <c r="D2897" s="27" t="s">
        <v>5104</v>
      </c>
      <c r="E2897" s="29">
        <v>38078</v>
      </c>
      <c r="F2897" s="27">
        <v>15</v>
      </c>
      <c r="G2897" s="18">
        <v>87034.8</v>
      </c>
      <c r="H2897" s="27">
        <f t="shared" si="90"/>
        <v>87034.8</v>
      </c>
      <c r="I2897" s="18">
        <v>82683.06</v>
      </c>
      <c r="J2897" s="27">
        <v>87034.8</v>
      </c>
      <c r="K2897" s="18">
        <f t="shared" si="91"/>
        <v>87034.8</v>
      </c>
      <c r="L2897" s="27">
        <v>82683.06</v>
      </c>
      <c r="M2897" s="36">
        <v>0</v>
      </c>
      <c r="T2897" s="41">
        <v>0</v>
      </c>
      <c r="U2897" s="41">
        <v>0</v>
      </c>
      <c r="V2897" s="42" t="s">
        <v>113</v>
      </c>
      <c r="W2897" s="42">
        <v>87034.8</v>
      </c>
      <c r="X2897" s="42">
        <v>87034.8</v>
      </c>
    </row>
    <row r="2898" spans="1:24">
      <c r="A2898" s="27" t="s">
        <v>5359</v>
      </c>
      <c r="B2898" s="28" t="s">
        <v>5102</v>
      </c>
      <c r="C2898" s="27" t="s">
        <v>5360</v>
      </c>
      <c r="D2898" s="27" t="s">
        <v>5104</v>
      </c>
      <c r="E2898" s="29">
        <v>38078</v>
      </c>
      <c r="F2898" s="27">
        <v>15</v>
      </c>
      <c r="G2898" s="18">
        <v>16292.6</v>
      </c>
      <c r="H2898" s="27">
        <f t="shared" si="90"/>
        <v>16292.6</v>
      </c>
      <c r="I2898" s="18">
        <v>15477.97</v>
      </c>
      <c r="J2898" s="27">
        <v>16292.6</v>
      </c>
      <c r="K2898" s="18">
        <f t="shared" si="91"/>
        <v>16292.6</v>
      </c>
      <c r="L2898" s="27">
        <v>15477.97</v>
      </c>
      <c r="M2898" s="36">
        <v>0</v>
      </c>
      <c r="T2898" s="41">
        <v>0</v>
      </c>
      <c r="U2898" s="41">
        <v>0</v>
      </c>
      <c r="V2898" s="42" t="s">
        <v>113</v>
      </c>
      <c r="W2898" s="42">
        <v>16292.6</v>
      </c>
      <c r="X2898" s="42">
        <v>16292.6</v>
      </c>
    </row>
    <row r="2899" spans="1:24">
      <c r="A2899" s="27" t="s">
        <v>5361</v>
      </c>
      <c r="B2899" s="28" t="s">
        <v>5102</v>
      </c>
      <c r="C2899" s="27" t="s">
        <v>5360</v>
      </c>
      <c r="D2899" s="27" t="s">
        <v>5104</v>
      </c>
      <c r="E2899" s="29">
        <v>38078</v>
      </c>
      <c r="F2899" s="27">
        <v>15</v>
      </c>
      <c r="G2899" s="18">
        <v>55850.38</v>
      </c>
      <c r="H2899" s="27">
        <f t="shared" si="90"/>
        <v>55850.38</v>
      </c>
      <c r="I2899" s="18">
        <v>53057.86</v>
      </c>
      <c r="J2899" s="27">
        <v>55850.38</v>
      </c>
      <c r="K2899" s="18">
        <f t="shared" si="91"/>
        <v>55850.38</v>
      </c>
      <c r="L2899" s="27">
        <v>53057.86</v>
      </c>
      <c r="M2899" s="36">
        <v>0</v>
      </c>
      <c r="T2899" s="41">
        <v>0</v>
      </c>
      <c r="U2899" s="41">
        <v>0</v>
      </c>
      <c r="V2899" s="42" t="s">
        <v>113</v>
      </c>
      <c r="W2899" s="42">
        <v>55850.38</v>
      </c>
      <c r="X2899" s="42">
        <v>55850.38</v>
      </c>
    </row>
    <row r="2900" spans="1:24">
      <c r="A2900" s="27" t="s">
        <v>5362</v>
      </c>
      <c r="B2900" s="28" t="s">
        <v>5102</v>
      </c>
      <c r="C2900" s="27" t="s">
        <v>5363</v>
      </c>
      <c r="D2900" s="27" t="s">
        <v>5104</v>
      </c>
      <c r="E2900" s="29">
        <v>38078</v>
      </c>
      <c r="F2900" s="27">
        <v>15</v>
      </c>
      <c r="G2900" s="18">
        <v>10735.44</v>
      </c>
      <c r="H2900" s="27">
        <f t="shared" si="90"/>
        <v>10735.44</v>
      </c>
      <c r="I2900" s="18">
        <v>10198.67</v>
      </c>
      <c r="J2900" s="27">
        <v>10735.44</v>
      </c>
      <c r="K2900" s="18">
        <f t="shared" si="91"/>
        <v>10735.44</v>
      </c>
      <c r="L2900" s="27">
        <v>10198.67</v>
      </c>
      <c r="M2900" s="36">
        <v>0</v>
      </c>
      <c r="T2900" s="41">
        <v>0</v>
      </c>
      <c r="U2900" s="41">
        <v>0</v>
      </c>
      <c r="V2900" s="42" t="s">
        <v>113</v>
      </c>
      <c r="W2900" s="42">
        <v>10735.44</v>
      </c>
      <c r="X2900" s="42">
        <v>10735.44</v>
      </c>
    </row>
    <row r="2901" spans="1:24">
      <c r="A2901" s="27" t="s">
        <v>5364</v>
      </c>
      <c r="B2901" s="28" t="s">
        <v>5102</v>
      </c>
      <c r="C2901" s="27" t="s">
        <v>5365</v>
      </c>
      <c r="D2901" s="27" t="s">
        <v>5104</v>
      </c>
      <c r="E2901" s="29">
        <v>38078</v>
      </c>
      <c r="F2901" s="27">
        <v>15</v>
      </c>
      <c r="G2901" s="18">
        <v>59535.49</v>
      </c>
      <c r="H2901" s="27">
        <f t="shared" si="90"/>
        <v>59535.49</v>
      </c>
      <c r="I2901" s="18">
        <v>56558.720000000001</v>
      </c>
      <c r="J2901" s="27">
        <v>59535.49</v>
      </c>
      <c r="K2901" s="18">
        <f t="shared" si="91"/>
        <v>59535.49</v>
      </c>
      <c r="L2901" s="27">
        <v>56558.720000000001</v>
      </c>
      <c r="M2901" s="36">
        <v>0</v>
      </c>
      <c r="T2901" s="41">
        <v>0</v>
      </c>
      <c r="U2901" s="41">
        <v>0</v>
      </c>
      <c r="V2901" s="42" t="s">
        <v>113</v>
      </c>
      <c r="W2901" s="42">
        <v>59535.49</v>
      </c>
      <c r="X2901" s="42">
        <v>59535.49</v>
      </c>
    </row>
    <row r="2902" spans="1:24">
      <c r="A2902" s="27" t="s">
        <v>5366</v>
      </c>
      <c r="B2902" s="28" t="s">
        <v>5102</v>
      </c>
      <c r="C2902" s="27" t="s">
        <v>5365</v>
      </c>
      <c r="D2902" s="27" t="s">
        <v>5104</v>
      </c>
      <c r="E2902" s="29">
        <v>38078</v>
      </c>
      <c r="F2902" s="27">
        <v>15</v>
      </c>
      <c r="G2902" s="18">
        <v>5979.63</v>
      </c>
      <c r="H2902" s="27">
        <f t="shared" si="90"/>
        <v>5979.63</v>
      </c>
      <c r="I2902" s="18">
        <v>5680.65</v>
      </c>
      <c r="J2902" s="27">
        <v>5979.63</v>
      </c>
      <c r="K2902" s="18">
        <f t="shared" si="91"/>
        <v>5979.63</v>
      </c>
      <c r="L2902" s="27">
        <v>5680.65</v>
      </c>
      <c r="M2902" s="36">
        <v>0</v>
      </c>
      <c r="T2902" s="41">
        <v>0</v>
      </c>
      <c r="U2902" s="41">
        <v>0</v>
      </c>
      <c r="V2902" s="42" t="s">
        <v>113</v>
      </c>
      <c r="W2902" s="42">
        <v>5979.63</v>
      </c>
      <c r="X2902" s="42">
        <v>5979.63</v>
      </c>
    </row>
    <row r="2903" spans="1:24">
      <c r="A2903" s="27" t="s">
        <v>5367</v>
      </c>
      <c r="B2903" s="28" t="s">
        <v>5102</v>
      </c>
      <c r="C2903" s="27" t="s">
        <v>5368</v>
      </c>
      <c r="D2903" s="27" t="s">
        <v>5104</v>
      </c>
      <c r="E2903" s="29">
        <v>38078</v>
      </c>
      <c r="F2903" s="27">
        <v>15</v>
      </c>
      <c r="G2903" s="18">
        <v>38293.919999999998</v>
      </c>
      <c r="H2903" s="27">
        <f t="shared" si="90"/>
        <v>38293.919999999998</v>
      </c>
      <c r="I2903" s="18">
        <v>36379.22</v>
      </c>
      <c r="J2903" s="27">
        <v>38293.919999999998</v>
      </c>
      <c r="K2903" s="18">
        <f t="shared" si="91"/>
        <v>38293.919999999998</v>
      </c>
      <c r="L2903" s="27">
        <v>36379.22</v>
      </c>
      <c r="M2903" s="36">
        <v>0</v>
      </c>
      <c r="T2903" s="41">
        <v>0</v>
      </c>
      <c r="U2903" s="41">
        <v>0</v>
      </c>
      <c r="V2903" s="42" t="s">
        <v>113</v>
      </c>
      <c r="W2903" s="42">
        <v>38293.919999999998</v>
      </c>
      <c r="X2903" s="42">
        <v>38293.919999999998</v>
      </c>
    </row>
    <row r="2904" spans="1:24">
      <c r="A2904" s="27" t="s">
        <v>5369</v>
      </c>
      <c r="B2904" s="28" t="s">
        <v>5102</v>
      </c>
      <c r="C2904" s="27" t="s">
        <v>5370</v>
      </c>
      <c r="D2904" s="27" t="s">
        <v>5104</v>
      </c>
      <c r="E2904" s="29">
        <v>38078</v>
      </c>
      <c r="F2904" s="27">
        <v>15</v>
      </c>
      <c r="G2904" s="18">
        <v>75683.95</v>
      </c>
      <c r="H2904" s="27">
        <f t="shared" si="90"/>
        <v>75683.95</v>
      </c>
      <c r="I2904" s="18">
        <v>71899.75</v>
      </c>
      <c r="J2904" s="27">
        <v>75683.95</v>
      </c>
      <c r="K2904" s="18">
        <f t="shared" si="91"/>
        <v>75683.95</v>
      </c>
      <c r="L2904" s="27">
        <v>71899.75</v>
      </c>
      <c r="M2904" s="36">
        <v>0</v>
      </c>
      <c r="T2904" s="41">
        <v>0</v>
      </c>
      <c r="U2904" s="41">
        <v>0</v>
      </c>
      <c r="V2904" s="42" t="s">
        <v>113</v>
      </c>
      <c r="W2904" s="42">
        <v>75683.95</v>
      </c>
      <c r="X2904" s="42">
        <v>75683.95</v>
      </c>
    </row>
    <row r="2905" spans="1:24">
      <c r="A2905" s="27" t="s">
        <v>5371</v>
      </c>
      <c r="B2905" s="28" t="s">
        <v>5102</v>
      </c>
      <c r="C2905" s="27" t="s">
        <v>5370</v>
      </c>
      <c r="D2905" s="27" t="s">
        <v>5104</v>
      </c>
      <c r="E2905" s="29">
        <v>38078</v>
      </c>
      <c r="F2905" s="27">
        <v>15</v>
      </c>
      <c r="G2905" s="18">
        <v>6953.05</v>
      </c>
      <c r="H2905" s="27">
        <f t="shared" si="90"/>
        <v>6953.05</v>
      </c>
      <c r="I2905" s="18">
        <v>6605.4</v>
      </c>
      <c r="J2905" s="27">
        <v>6953.05</v>
      </c>
      <c r="K2905" s="18">
        <f t="shared" si="91"/>
        <v>6953.05</v>
      </c>
      <c r="L2905" s="27">
        <v>6605.4</v>
      </c>
      <c r="M2905" s="36">
        <v>0</v>
      </c>
      <c r="T2905" s="41">
        <v>0</v>
      </c>
      <c r="U2905" s="41">
        <v>0</v>
      </c>
      <c r="V2905" s="42" t="s">
        <v>113</v>
      </c>
      <c r="W2905" s="42">
        <v>6953.05</v>
      </c>
      <c r="X2905" s="42">
        <v>6953.05</v>
      </c>
    </row>
    <row r="2906" spans="1:24">
      <c r="A2906" s="27" t="s">
        <v>5372</v>
      </c>
      <c r="B2906" s="28" t="s">
        <v>5102</v>
      </c>
      <c r="C2906" s="27" t="s">
        <v>5373</v>
      </c>
      <c r="D2906" s="27" t="s">
        <v>5104</v>
      </c>
      <c r="E2906" s="29">
        <v>38078</v>
      </c>
      <c r="F2906" s="27">
        <v>15</v>
      </c>
      <c r="G2906" s="18">
        <v>27185.9</v>
      </c>
      <c r="H2906" s="27">
        <f t="shared" si="90"/>
        <v>27185.9</v>
      </c>
      <c r="I2906" s="18">
        <v>25826.6</v>
      </c>
      <c r="J2906" s="27">
        <v>27185.9</v>
      </c>
      <c r="K2906" s="18">
        <f t="shared" si="91"/>
        <v>27185.9</v>
      </c>
      <c r="L2906" s="27">
        <v>25826.6</v>
      </c>
      <c r="M2906" s="36">
        <v>0</v>
      </c>
      <c r="T2906" s="41">
        <v>0</v>
      </c>
      <c r="U2906" s="41">
        <v>0</v>
      </c>
      <c r="V2906" s="42" t="s">
        <v>113</v>
      </c>
      <c r="W2906" s="42">
        <v>27185.9</v>
      </c>
      <c r="X2906" s="42">
        <v>27185.9</v>
      </c>
    </row>
    <row r="2907" spans="1:24">
      <c r="A2907" s="27" t="s">
        <v>5374</v>
      </c>
      <c r="B2907" s="28" t="s">
        <v>5102</v>
      </c>
      <c r="C2907" s="27" t="s">
        <v>5375</v>
      </c>
      <c r="D2907" s="27" t="s">
        <v>5104</v>
      </c>
      <c r="E2907" s="29">
        <v>38078</v>
      </c>
      <c r="F2907" s="27">
        <v>15</v>
      </c>
      <c r="G2907" s="18">
        <v>43320.63</v>
      </c>
      <c r="H2907" s="27">
        <f t="shared" si="90"/>
        <v>43320.63</v>
      </c>
      <c r="I2907" s="18">
        <v>41154.6</v>
      </c>
      <c r="J2907" s="27">
        <v>43320.63</v>
      </c>
      <c r="K2907" s="18">
        <f t="shared" si="91"/>
        <v>43320.63</v>
      </c>
      <c r="L2907" s="27">
        <v>41154.6</v>
      </c>
      <c r="M2907" s="36">
        <v>0</v>
      </c>
      <c r="T2907" s="41">
        <v>0</v>
      </c>
      <c r="U2907" s="41">
        <v>0</v>
      </c>
      <c r="V2907" s="42" t="s">
        <v>113</v>
      </c>
      <c r="W2907" s="42">
        <v>43320.63</v>
      </c>
      <c r="X2907" s="42">
        <v>43320.63</v>
      </c>
    </row>
    <row r="2908" spans="1:24">
      <c r="A2908" s="27" t="s">
        <v>5376</v>
      </c>
      <c r="B2908" s="28" t="s">
        <v>5102</v>
      </c>
      <c r="C2908" s="27" t="s">
        <v>5375</v>
      </c>
      <c r="D2908" s="27" t="s">
        <v>5104</v>
      </c>
      <c r="E2908" s="29">
        <v>38078</v>
      </c>
      <c r="F2908" s="27">
        <v>15</v>
      </c>
      <c r="G2908" s="18">
        <v>111822.42</v>
      </c>
      <c r="H2908" s="27">
        <f t="shared" si="90"/>
        <v>111822.42</v>
      </c>
      <c r="I2908" s="18">
        <v>106231.3</v>
      </c>
      <c r="J2908" s="27">
        <v>111822.42</v>
      </c>
      <c r="K2908" s="18">
        <f t="shared" si="91"/>
        <v>111822.42</v>
      </c>
      <c r="L2908" s="27">
        <v>106231.3</v>
      </c>
      <c r="M2908" s="36">
        <v>0</v>
      </c>
      <c r="T2908" s="41">
        <v>0</v>
      </c>
      <c r="U2908" s="41">
        <v>0</v>
      </c>
      <c r="V2908" s="42" t="s">
        <v>113</v>
      </c>
      <c r="W2908" s="42">
        <v>111822.42</v>
      </c>
      <c r="X2908" s="42">
        <v>111822.42</v>
      </c>
    </row>
    <row r="2909" spans="1:24">
      <c r="A2909" s="27" t="s">
        <v>5377</v>
      </c>
      <c r="B2909" s="28" t="s">
        <v>5102</v>
      </c>
      <c r="C2909" s="27" t="s">
        <v>5375</v>
      </c>
      <c r="D2909" s="27" t="s">
        <v>5104</v>
      </c>
      <c r="E2909" s="29">
        <v>38078</v>
      </c>
      <c r="F2909" s="27">
        <v>15</v>
      </c>
      <c r="G2909" s="18">
        <v>5006.1899999999996</v>
      </c>
      <c r="H2909" s="27">
        <f t="shared" si="90"/>
        <v>5006.1899999999996</v>
      </c>
      <c r="I2909" s="18">
        <v>4755.88</v>
      </c>
      <c r="J2909" s="27">
        <v>5006.1899999999996</v>
      </c>
      <c r="K2909" s="18">
        <f t="shared" si="91"/>
        <v>5006.1899999999996</v>
      </c>
      <c r="L2909" s="27">
        <v>4755.88</v>
      </c>
      <c r="M2909" s="36">
        <v>0</v>
      </c>
      <c r="T2909" s="41">
        <v>0</v>
      </c>
      <c r="U2909" s="41">
        <v>0</v>
      </c>
      <c r="V2909" s="42" t="s">
        <v>113</v>
      </c>
      <c r="W2909" s="42">
        <v>5006.1899999999996</v>
      </c>
      <c r="X2909" s="42">
        <v>5006.1899999999996</v>
      </c>
    </row>
    <row r="2910" spans="1:24">
      <c r="A2910" s="27" t="s">
        <v>5378</v>
      </c>
      <c r="B2910" s="28" t="s">
        <v>5102</v>
      </c>
      <c r="C2910" s="27" t="s">
        <v>5379</v>
      </c>
      <c r="D2910" s="27" t="s">
        <v>5104</v>
      </c>
      <c r="E2910" s="29">
        <v>38078</v>
      </c>
      <c r="F2910" s="27">
        <v>15</v>
      </c>
      <c r="G2910" s="18">
        <v>42205.01</v>
      </c>
      <c r="H2910" s="27">
        <f t="shared" si="90"/>
        <v>42205.01</v>
      </c>
      <c r="I2910" s="18">
        <v>40094.76</v>
      </c>
      <c r="J2910" s="27">
        <v>42205.01</v>
      </c>
      <c r="K2910" s="18">
        <f t="shared" si="91"/>
        <v>42205.01</v>
      </c>
      <c r="L2910" s="27">
        <v>40094.76</v>
      </c>
      <c r="M2910" s="36">
        <v>0</v>
      </c>
      <c r="T2910" s="41">
        <v>0</v>
      </c>
      <c r="U2910" s="41">
        <v>0</v>
      </c>
      <c r="V2910" s="42" t="s">
        <v>113</v>
      </c>
      <c r="W2910" s="42">
        <v>42205.01</v>
      </c>
      <c r="X2910" s="42">
        <v>42205.01</v>
      </c>
    </row>
    <row r="2911" spans="1:24">
      <c r="A2911" s="27" t="s">
        <v>5380</v>
      </c>
      <c r="B2911" s="28" t="s">
        <v>5102</v>
      </c>
      <c r="C2911" s="27" t="s">
        <v>5381</v>
      </c>
      <c r="D2911" s="27" t="s">
        <v>5104</v>
      </c>
      <c r="E2911" s="29">
        <v>39569</v>
      </c>
      <c r="F2911" s="27">
        <v>15</v>
      </c>
      <c r="G2911" s="18">
        <v>31474.85</v>
      </c>
      <c r="H2911" s="27">
        <f t="shared" si="90"/>
        <v>0</v>
      </c>
      <c r="I2911" s="18">
        <v>25565.200000000001</v>
      </c>
      <c r="J2911" s="27">
        <v>31474.85</v>
      </c>
      <c r="K2911" s="18">
        <f t="shared" si="91"/>
        <v>0</v>
      </c>
      <c r="L2911" s="27">
        <v>26546.92</v>
      </c>
      <c r="M2911" s="36">
        <v>981.72</v>
      </c>
      <c r="T2911" s="41">
        <v>0</v>
      </c>
      <c r="U2911" s="41">
        <v>0</v>
      </c>
      <c r="V2911" s="42" t="s">
        <v>113</v>
      </c>
      <c r="W2911" s="42">
        <v>0</v>
      </c>
      <c r="X2911" s="42">
        <v>0</v>
      </c>
    </row>
    <row r="2912" spans="1:24">
      <c r="A2912" s="27" t="s">
        <v>5382</v>
      </c>
      <c r="B2912" s="28" t="s">
        <v>5102</v>
      </c>
      <c r="C2912" s="27" t="s">
        <v>5383</v>
      </c>
      <c r="D2912" s="27" t="s">
        <v>230</v>
      </c>
      <c r="E2912" s="29">
        <v>37226</v>
      </c>
      <c r="F2912" s="27">
        <v>15</v>
      </c>
      <c r="G2912" s="18">
        <v>6017212.8799999999</v>
      </c>
      <c r="H2912" s="27">
        <f t="shared" si="90"/>
        <v>0</v>
      </c>
      <c r="I2912" s="18">
        <v>4070121.08</v>
      </c>
      <c r="J2912" s="27">
        <v>6017212.8799999999</v>
      </c>
      <c r="K2912" s="18">
        <f t="shared" si="91"/>
        <v>0</v>
      </c>
      <c r="L2912" s="27">
        <v>4344492.9400000004</v>
      </c>
      <c r="M2912" s="36">
        <v>274371.86</v>
      </c>
      <c r="T2912" s="41">
        <v>0</v>
      </c>
      <c r="U2912" s="41">
        <v>0</v>
      </c>
      <c r="V2912" s="42" t="s">
        <v>124</v>
      </c>
      <c r="W2912" s="42">
        <v>6017212.8799999999</v>
      </c>
      <c r="X2912" s="42">
        <v>6017212.8799999999</v>
      </c>
    </row>
    <row r="2913" spans="1:24">
      <c r="A2913" s="27" t="s">
        <v>5384</v>
      </c>
      <c r="B2913" s="28" t="s">
        <v>5102</v>
      </c>
      <c r="C2913" s="27" t="s">
        <v>5385</v>
      </c>
      <c r="D2913" s="27" t="s">
        <v>5104</v>
      </c>
      <c r="E2913" s="29">
        <v>37226</v>
      </c>
      <c r="F2913" s="27">
        <v>15</v>
      </c>
      <c r="G2913" s="18">
        <v>314114.34999999998</v>
      </c>
      <c r="H2913" s="27">
        <f t="shared" si="90"/>
        <v>314114.34999999998</v>
      </c>
      <c r="I2913" s="18">
        <v>298408.63</v>
      </c>
      <c r="J2913" s="27">
        <v>314114.34999999998</v>
      </c>
      <c r="K2913" s="18">
        <f t="shared" si="91"/>
        <v>314114.34999999998</v>
      </c>
      <c r="L2913" s="27">
        <v>298408.63</v>
      </c>
      <c r="M2913" s="36">
        <v>0</v>
      </c>
      <c r="T2913" s="41">
        <v>0</v>
      </c>
      <c r="U2913" s="41">
        <v>0</v>
      </c>
      <c r="V2913" s="42" t="s">
        <v>113</v>
      </c>
      <c r="W2913" s="42">
        <v>314114.34999999998</v>
      </c>
      <c r="X2913" s="42">
        <v>314114.34999999998</v>
      </c>
    </row>
    <row r="2914" spans="1:24">
      <c r="A2914" s="27" t="s">
        <v>5386</v>
      </c>
      <c r="B2914" s="28" t="s">
        <v>5102</v>
      </c>
      <c r="C2914" s="27" t="s">
        <v>5387</v>
      </c>
      <c r="D2914" s="27" t="s">
        <v>5104</v>
      </c>
      <c r="E2914" s="29">
        <v>37226</v>
      </c>
      <c r="F2914" s="27">
        <v>15</v>
      </c>
      <c r="G2914" s="18">
        <v>121932.32</v>
      </c>
      <c r="H2914" s="27">
        <f t="shared" si="90"/>
        <v>121932.32</v>
      </c>
      <c r="I2914" s="18">
        <v>115835.7</v>
      </c>
      <c r="J2914" s="27">
        <v>121932.32</v>
      </c>
      <c r="K2914" s="18">
        <f t="shared" si="91"/>
        <v>121932.32</v>
      </c>
      <c r="L2914" s="27">
        <v>115835.7</v>
      </c>
      <c r="M2914" s="36">
        <v>0</v>
      </c>
      <c r="T2914" s="41">
        <v>0</v>
      </c>
      <c r="U2914" s="41">
        <v>0</v>
      </c>
      <c r="V2914" s="42" t="s">
        <v>113</v>
      </c>
      <c r="W2914" s="42">
        <v>121932.32</v>
      </c>
      <c r="X2914" s="42">
        <v>121932.32</v>
      </c>
    </row>
    <row r="2915" spans="1:24">
      <c r="A2915" s="27" t="s">
        <v>5388</v>
      </c>
      <c r="B2915" s="28" t="s">
        <v>5102</v>
      </c>
      <c r="C2915" s="27" t="s">
        <v>5389</v>
      </c>
      <c r="D2915" s="27" t="s">
        <v>5104</v>
      </c>
      <c r="E2915" s="29">
        <v>37226</v>
      </c>
      <c r="F2915" s="27">
        <v>15</v>
      </c>
      <c r="G2915" s="18">
        <v>168471.13</v>
      </c>
      <c r="H2915" s="27">
        <f t="shared" si="90"/>
        <v>168471.13</v>
      </c>
      <c r="I2915" s="18">
        <v>160047.57</v>
      </c>
      <c r="J2915" s="27">
        <v>168471.13</v>
      </c>
      <c r="K2915" s="18">
        <f t="shared" si="91"/>
        <v>168471.13</v>
      </c>
      <c r="L2915" s="27">
        <v>160047.57</v>
      </c>
      <c r="M2915" s="36">
        <v>0</v>
      </c>
      <c r="T2915" s="41">
        <v>0</v>
      </c>
      <c r="U2915" s="41">
        <v>0</v>
      </c>
      <c r="V2915" s="42" t="s">
        <v>113</v>
      </c>
      <c r="W2915" s="42">
        <v>168471.13</v>
      </c>
      <c r="X2915" s="42">
        <v>168471.13</v>
      </c>
    </row>
    <row r="2916" spans="1:24">
      <c r="A2916" s="27" t="s">
        <v>5390</v>
      </c>
      <c r="B2916" s="28" t="s">
        <v>5102</v>
      </c>
      <c r="C2916" s="27" t="s">
        <v>5391</v>
      </c>
      <c r="D2916" s="27" t="s">
        <v>5104</v>
      </c>
      <c r="E2916" s="29">
        <v>37226</v>
      </c>
      <c r="F2916" s="27">
        <v>15</v>
      </c>
      <c r="G2916" s="18">
        <v>253553.63</v>
      </c>
      <c r="H2916" s="27">
        <f t="shared" si="90"/>
        <v>253553.63</v>
      </c>
      <c r="I2916" s="18">
        <v>240875.95</v>
      </c>
      <c r="J2916" s="27">
        <v>253553.63</v>
      </c>
      <c r="K2916" s="18">
        <f t="shared" si="91"/>
        <v>253553.63</v>
      </c>
      <c r="L2916" s="27">
        <v>240875.95</v>
      </c>
      <c r="M2916" s="36">
        <v>0</v>
      </c>
      <c r="T2916" s="41">
        <v>0</v>
      </c>
      <c r="U2916" s="41">
        <v>0</v>
      </c>
      <c r="V2916" s="42" t="s">
        <v>113</v>
      </c>
      <c r="W2916" s="42">
        <v>253553.63</v>
      </c>
      <c r="X2916" s="42">
        <v>253553.63</v>
      </c>
    </row>
    <row r="2917" spans="1:24">
      <c r="A2917" s="27" t="s">
        <v>5392</v>
      </c>
      <c r="B2917" s="28" t="s">
        <v>5102</v>
      </c>
      <c r="C2917" s="27" t="s">
        <v>5393</v>
      </c>
      <c r="D2917" s="27" t="s">
        <v>5104</v>
      </c>
      <c r="E2917" s="29">
        <v>37226</v>
      </c>
      <c r="F2917" s="27">
        <v>15</v>
      </c>
      <c r="G2917" s="18">
        <v>80142.39</v>
      </c>
      <c r="H2917" s="27">
        <f t="shared" si="90"/>
        <v>80142.39</v>
      </c>
      <c r="I2917" s="18">
        <v>76135.27</v>
      </c>
      <c r="J2917" s="27">
        <v>80142.39</v>
      </c>
      <c r="K2917" s="18">
        <f t="shared" si="91"/>
        <v>80142.39</v>
      </c>
      <c r="L2917" s="27">
        <v>76135.27</v>
      </c>
      <c r="M2917" s="36">
        <v>0</v>
      </c>
      <c r="T2917" s="41">
        <v>0</v>
      </c>
      <c r="U2917" s="41">
        <v>0</v>
      </c>
      <c r="V2917" s="42" t="s">
        <v>113</v>
      </c>
      <c r="W2917" s="42">
        <v>80142.39</v>
      </c>
      <c r="X2917" s="42">
        <v>80142.39</v>
      </c>
    </row>
    <row r="2918" spans="1:24">
      <c r="A2918" s="27" t="s">
        <v>5394</v>
      </c>
      <c r="B2918" s="28" t="s">
        <v>5102</v>
      </c>
      <c r="C2918" s="27" t="s">
        <v>5395</v>
      </c>
      <c r="D2918" s="27" t="s">
        <v>5104</v>
      </c>
      <c r="E2918" s="29">
        <v>37226</v>
      </c>
      <c r="F2918" s="27">
        <v>15</v>
      </c>
      <c r="G2918" s="18">
        <v>212431.39</v>
      </c>
      <c r="H2918" s="27">
        <f t="shared" si="90"/>
        <v>212431.39</v>
      </c>
      <c r="I2918" s="18">
        <v>201809.82</v>
      </c>
      <c r="J2918" s="27">
        <v>212431.39</v>
      </c>
      <c r="K2918" s="18">
        <f t="shared" si="91"/>
        <v>212431.39</v>
      </c>
      <c r="L2918" s="27">
        <v>201809.82</v>
      </c>
      <c r="M2918" s="36">
        <v>0</v>
      </c>
      <c r="T2918" s="41">
        <v>0</v>
      </c>
      <c r="U2918" s="41">
        <v>0</v>
      </c>
      <c r="V2918" s="42" t="s">
        <v>113</v>
      </c>
      <c r="W2918" s="42">
        <v>212431.39</v>
      </c>
      <c r="X2918" s="42">
        <v>212431.39</v>
      </c>
    </row>
    <row r="2919" spans="1:24">
      <c r="A2919" s="27" t="s">
        <v>5396</v>
      </c>
      <c r="B2919" s="28" t="s">
        <v>5102</v>
      </c>
      <c r="C2919" s="27" t="s">
        <v>5397</v>
      </c>
      <c r="D2919" s="27" t="s">
        <v>5104</v>
      </c>
      <c r="E2919" s="29">
        <v>37226</v>
      </c>
      <c r="F2919" s="27">
        <v>15</v>
      </c>
      <c r="G2919" s="18">
        <v>249283.86</v>
      </c>
      <c r="H2919" s="27">
        <f t="shared" si="90"/>
        <v>249283.86</v>
      </c>
      <c r="I2919" s="18">
        <v>236819.67</v>
      </c>
      <c r="J2919" s="27">
        <v>249283.86</v>
      </c>
      <c r="K2919" s="18">
        <f t="shared" si="91"/>
        <v>249283.86</v>
      </c>
      <c r="L2919" s="27">
        <v>236819.67</v>
      </c>
      <c r="M2919" s="36">
        <v>0</v>
      </c>
      <c r="T2919" s="41">
        <v>0</v>
      </c>
      <c r="U2919" s="41">
        <v>0</v>
      </c>
      <c r="V2919" s="42" t="s">
        <v>113</v>
      </c>
      <c r="W2919" s="42">
        <v>249283.86</v>
      </c>
      <c r="X2919" s="42">
        <v>249283.86</v>
      </c>
    </row>
    <row r="2920" spans="1:24">
      <c r="A2920" s="27" t="s">
        <v>5398</v>
      </c>
      <c r="B2920" s="28" t="s">
        <v>5102</v>
      </c>
      <c r="C2920" s="27" t="s">
        <v>5399</v>
      </c>
      <c r="D2920" s="27" t="s">
        <v>5104</v>
      </c>
      <c r="E2920" s="29">
        <v>37226</v>
      </c>
      <c r="F2920" s="27">
        <v>15</v>
      </c>
      <c r="G2920" s="18">
        <v>187081.54</v>
      </c>
      <c r="H2920" s="27">
        <f t="shared" si="90"/>
        <v>187081.54</v>
      </c>
      <c r="I2920" s="18">
        <v>177727.46</v>
      </c>
      <c r="J2920" s="27">
        <v>187081.54</v>
      </c>
      <c r="K2920" s="18">
        <f t="shared" si="91"/>
        <v>187081.54</v>
      </c>
      <c r="L2920" s="27">
        <v>177727.46</v>
      </c>
      <c r="M2920" s="36">
        <v>0</v>
      </c>
      <c r="T2920" s="41">
        <v>0</v>
      </c>
      <c r="U2920" s="41">
        <v>0</v>
      </c>
      <c r="V2920" s="42" t="s">
        <v>113</v>
      </c>
      <c r="W2920" s="42">
        <v>187081.54</v>
      </c>
      <c r="X2920" s="42">
        <v>187081.54</v>
      </c>
    </row>
    <row r="2921" spans="1:24">
      <c r="A2921" s="27" t="s">
        <v>5400</v>
      </c>
      <c r="B2921" s="28" t="s">
        <v>5102</v>
      </c>
      <c r="C2921" s="27" t="s">
        <v>5401</v>
      </c>
      <c r="D2921" s="27" t="s">
        <v>5104</v>
      </c>
      <c r="E2921" s="29">
        <v>37226</v>
      </c>
      <c r="F2921" s="27">
        <v>15</v>
      </c>
      <c r="G2921" s="18">
        <v>119627</v>
      </c>
      <c r="H2921" s="27">
        <f t="shared" si="90"/>
        <v>119627</v>
      </c>
      <c r="I2921" s="18">
        <v>113645.65</v>
      </c>
      <c r="J2921" s="27">
        <v>119627</v>
      </c>
      <c r="K2921" s="18">
        <f t="shared" si="91"/>
        <v>119627</v>
      </c>
      <c r="L2921" s="27">
        <v>113645.65</v>
      </c>
      <c r="M2921" s="36">
        <v>0</v>
      </c>
      <c r="T2921" s="41">
        <v>0</v>
      </c>
      <c r="U2921" s="41">
        <v>0</v>
      </c>
      <c r="V2921" s="42" t="s">
        <v>113</v>
      </c>
      <c r="W2921" s="42">
        <v>119627</v>
      </c>
      <c r="X2921" s="42">
        <v>119627</v>
      </c>
    </row>
    <row r="2922" spans="1:24">
      <c r="A2922" s="27" t="s">
        <v>5402</v>
      </c>
      <c r="B2922" s="28" t="s">
        <v>5102</v>
      </c>
      <c r="C2922" s="27" t="s">
        <v>5403</v>
      </c>
      <c r="D2922" s="27" t="s">
        <v>5104</v>
      </c>
      <c r="E2922" s="29">
        <v>38078</v>
      </c>
      <c r="F2922" s="27">
        <v>15</v>
      </c>
      <c r="G2922" s="18">
        <v>293113.05</v>
      </c>
      <c r="H2922" s="27">
        <f t="shared" si="90"/>
        <v>293113.05</v>
      </c>
      <c r="I2922" s="18">
        <v>278457.40000000002</v>
      </c>
      <c r="J2922" s="27">
        <v>293113.05</v>
      </c>
      <c r="K2922" s="18">
        <f t="shared" si="91"/>
        <v>293113.05</v>
      </c>
      <c r="L2922" s="27">
        <v>278457.40000000002</v>
      </c>
      <c r="M2922" s="36">
        <v>0</v>
      </c>
      <c r="T2922" s="41">
        <v>0</v>
      </c>
      <c r="U2922" s="41">
        <v>0</v>
      </c>
      <c r="V2922" s="42" t="s">
        <v>113</v>
      </c>
      <c r="W2922" s="42">
        <v>293113.05</v>
      </c>
      <c r="X2922" s="42">
        <v>293113.05</v>
      </c>
    </row>
    <row r="2923" spans="1:24">
      <c r="A2923" s="27" t="s">
        <v>5404</v>
      </c>
      <c r="B2923" s="28" t="s">
        <v>5102</v>
      </c>
      <c r="C2923" s="27" t="s">
        <v>5405</v>
      </c>
      <c r="D2923" s="27" t="s">
        <v>5104</v>
      </c>
      <c r="E2923" s="29">
        <v>39417</v>
      </c>
      <c r="F2923" s="27">
        <v>15</v>
      </c>
      <c r="G2923" s="18">
        <v>14358.71</v>
      </c>
      <c r="H2923" s="27">
        <f t="shared" si="90"/>
        <v>0</v>
      </c>
      <c r="I2923" s="18">
        <v>11501.01</v>
      </c>
      <c r="J2923" s="27">
        <v>14358.71</v>
      </c>
      <c r="K2923" s="18">
        <f t="shared" si="91"/>
        <v>0</v>
      </c>
      <c r="L2923" s="27">
        <v>12035.95</v>
      </c>
      <c r="M2923" s="36">
        <v>534.94000000000005</v>
      </c>
      <c r="T2923" s="41">
        <v>0</v>
      </c>
      <c r="U2923" s="41">
        <v>0</v>
      </c>
      <c r="V2923" s="42" t="s">
        <v>113</v>
      </c>
      <c r="W2923" s="42">
        <v>0</v>
      </c>
      <c r="X2923" s="42">
        <v>0</v>
      </c>
    </row>
    <row r="2924" spans="1:24">
      <c r="A2924" s="27" t="s">
        <v>5406</v>
      </c>
      <c r="B2924" s="28" t="s">
        <v>5102</v>
      </c>
      <c r="C2924" s="27" t="s">
        <v>5405</v>
      </c>
      <c r="D2924" s="27" t="s">
        <v>5104</v>
      </c>
      <c r="E2924" s="29">
        <v>39417</v>
      </c>
      <c r="F2924" s="27">
        <v>15</v>
      </c>
      <c r="G2924" s="18">
        <v>9458.11</v>
      </c>
      <c r="H2924" s="27">
        <f t="shared" si="90"/>
        <v>0</v>
      </c>
      <c r="I2924" s="18">
        <v>8066.82</v>
      </c>
      <c r="J2924" s="27">
        <v>9458.11</v>
      </c>
      <c r="K2924" s="18">
        <f t="shared" si="91"/>
        <v>0</v>
      </c>
      <c r="L2924" s="27">
        <v>8296.42</v>
      </c>
      <c r="M2924" s="36">
        <v>229.6</v>
      </c>
      <c r="T2924" s="41">
        <v>0</v>
      </c>
      <c r="U2924" s="41">
        <v>0</v>
      </c>
      <c r="V2924" s="42" t="s">
        <v>113</v>
      </c>
      <c r="W2924" s="42">
        <v>0</v>
      </c>
      <c r="X2924" s="42">
        <v>0</v>
      </c>
    </row>
    <row r="2925" spans="1:24">
      <c r="A2925" s="27" t="s">
        <v>5407</v>
      </c>
      <c r="B2925" s="28" t="s">
        <v>5102</v>
      </c>
      <c r="C2925" s="27" t="s">
        <v>5408</v>
      </c>
      <c r="D2925" s="27" t="s">
        <v>5104</v>
      </c>
      <c r="E2925" s="29">
        <v>38078</v>
      </c>
      <c r="F2925" s="27">
        <v>15</v>
      </c>
      <c r="G2925" s="18">
        <v>7039.67</v>
      </c>
      <c r="H2925" s="27">
        <f t="shared" si="90"/>
        <v>7039.67</v>
      </c>
      <c r="I2925" s="18">
        <v>6687.69</v>
      </c>
      <c r="J2925" s="27">
        <v>7039.67</v>
      </c>
      <c r="K2925" s="18">
        <f t="shared" si="91"/>
        <v>7039.67</v>
      </c>
      <c r="L2925" s="27">
        <v>6687.69</v>
      </c>
      <c r="M2925" s="36">
        <v>0</v>
      </c>
      <c r="T2925" s="41">
        <v>0</v>
      </c>
      <c r="U2925" s="41">
        <v>0</v>
      </c>
      <c r="V2925" s="42" t="s">
        <v>113</v>
      </c>
      <c r="W2925" s="42">
        <v>7039.67</v>
      </c>
      <c r="X2925" s="42">
        <v>7039.67</v>
      </c>
    </row>
    <row r="2926" spans="1:24">
      <c r="A2926" s="27" t="s">
        <v>5409</v>
      </c>
      <c r="B2926" s="28" t="s">
        <v>5102</v>
      </c>
      <c r="C2926" s="27" t="s">
        <v>5408</v>
      </c>
      <c r="D2926" s="27" t="s">
        <v>5104</v>
      </c>
      <c r="E2926" s="29">
        <v>38078</v>
      </c>
      <c r="F2926" s="27">
        <v>15</v>
      </c>
      <c r="G2926" s="18">
        <v>51974.26</v>
      </c>
      <c r="H2926" s="27">
        <f t="shared" si="90"/>
        <v>51974.26</v>
      </c>
      <c r="I2926" s="18">
        <v>49375.55</v>
      </c>
      <c r="J2926" s="27">
        <v>51974.26</v>
      </c>
      <c r="K2926" s="18">
        <f t="shared" si="91"/>
        <v>51974.26</v>
      </c>
      <c r="L2926" s="27">
        <v>49375.55</v>
      </c>
      <c r="M2926" s="36">
        <v>0</v>
      </c>
      <c r="T2926" s="41">
        <v>0</v>
      </c>
      <c r="U2926" s="41">
        <v>0</v>
      </c>
      <c r="V2926" s="42" t="s">
        <v>113</v>
      </c>
      <c r="W2926" s="42">
        <v>51974.26</v>
      </c>
      <c r="X2926" s="42">
        <v>51974.26</v>
      </c>
    </row>
    <row r="2927" spans="1:24">
      <c r="A2927" s="27" t="s">
        <v>5410</v>
      </c>
      <c r="B2927" s="28" t="s">
        <v>5102</v>
      </c>
      <c r="C2927" s="27" t="s">
        <v>5408</v>
      </c>
      <c r="D2927" s="27" t="s">
        <v>5104</v>
      </c>
      <c r="E2927" s="29">
        <v>38078</v>
      </c>
      <c r="F2927" s="27">
        <v>15</v>
      </c>
      <c r="G2927" s="18">
        <v>10070.31</v>
      </c>
      <c r="H2927" s="27">
        <f t="shared" si="90"/>
        <v>10070.31</v>
      </c>
      <c r="I2927" s="18">
        <v>9566.7900000000009</v>
      </c>
      <c r="J2927" s="27">
        <v>10070.31</v>
      </c>
      <c r="K2927" s="18">
        <f t="shared" si="91"/>
        <v>10070.31</v>
      </c>
      <c r="L2927" s="27">
        <v>9566.7900000000009</v>
      </c>
      <c r="M2927" s="36">
        <v>0</v>
      </c>
      <c r="T2927" s="41">
        <v>0</v>
      </c>
      <c r="U2927" s="41">
        <v>0</v>
      </c>
      <c r="V2927" s="42" t="s">
        <v>113</v>
      </c>
      <c r="W2927" s="42">
        <v>10070.31</v>
      </c>
      <c r="X2927" s="42">
        <v>10070.31</v>
      </c>
    </row>
    <row r="2928" spans="1:24">
      <c r="A2928" s="27" t="s">
        <v>5411</v>
      </c>
      <c r="B2928" s="28" t="s">
        <v>5102</v>
      </c>
      <c r="C2928" s="27" t="s">
        <v>5412</v>
      </c>
      <c r="D2928" s="27" t="s">
        <v>5104</v>
      </c>
      <c r="E2928" s="29">
        <v>38078</v>
      </c>
      <c r="F2928" s="27">
        <v>15</v>
      </c>
      <c r="G2928" s="18">
        <v>20867.39</v>
      </c>
      <c r="H2928" s="27">
        <f t="shared" si="90"/>
        <v>20867.39</v>
      </c>
      <c r="I2928" s="18">
        <v>19824.02</v>
      </c>
      <c r="J2928" s="27">
        <v>20867.39</v>
      </c>
      <c r="K2928" s="18">
        <f t="shared" si="91"/>
        <v>20867.39</v>
      </c>
      <c r="L2928" s="27">
        <v>19824.02</v>
      </c>
      <c r="M2928" s="36">
        <v>0</v>
      </c>
      <c r="T2928" s="41">
        <v>0</v>
      </c>
      <c r="U2928" s="41">
        <v>0</v>
      </c>
      <c r="V2928" s="42" t="s">
        <v>113</v>
      </c>
      <c r="W2928" s="42">
        <v>20867.39</v>
      </c>
      <c r="X2928" s="42">
        <v>20867.39</v>
      </c>
    </row>
    <row r="2929" spans="1:24">
      <c r="A2929" s="27" t="s">
        <v>5413</v>
      </c>
      <c r="B2929" s="28" t="s">
        <v>5102</v>
      </c>
      <c r="C2929" s="27" t="s">
        <v>5414</v>
      </c>
      <c r="D2929" s="27" t="s">
        <v>5104</v>
      </c>
      <c r="E2929" s="29">
        <v>38078</v>
      </c>
      <c r="F2929" s="27">
        <v>15</v>
      </c>
      <c r="G2929" s="18">
        <v>25724.63</v>
      </c>
      <c r="H2929" s="27">
        <f t="shared" si="90"/>
        <v>25724.63</v>
      </c>
      <c r="I2929" s="18">
        <v>24438.400000000001</v>
      </c>
      <c r="J2929" s="27">
        <v>25724.63</v>
      </c>
      <c r="K2929" s="18">
        <f t="shared" si="91"/>
        <v>25724.63</v>
      </c>
      <c r="L2929" s="27">
        <v>24438.400000000001</v>
      </c>
      <c r="M2929" s="36">
        <v>0</v>
      </c>
      <c r="T2929" s="41">
        <v>0</v>
      </c>
      <c r="U2929" s="41">
        <v>0</v>
      </c>
      <c r="V2929" s="42" t="s">
        <v>113</v>
      </c>
      <c r="W2929" s="42">
        <v>25724.63</v>
      </c>
      <c r="X2929" s="42">
        <v>25724.63</v>
      </c>
    </row>
    <row r="2930" spans="1:24">
      <c r="A2930" s="27" t="s">
        <v>5415</v>
      </c>
      <c r="B2930" s="28" t="s">
        <v>5102</v>
      </c>
      <c r="C2930" s="27" t="s">
        <v>5414</v>
      </c>
      <c r="D2930" s="27" t="s">
        <v>5104</v>
      </c>
      <c r="E2930" s="29">
        <v>38078</v>
      </c>
      <c r="F2930" s="27">
        <v>15</v>
      </c>
      <c r="G2930" s="18">
        <v>5536.29</v>
      </c>
      <c r="H2930" s="27">
        <f t="shared" si="90"/>
        <v>5536.29</v>
      </c>
      <c r="I2930" s="18">
        <v>5259.48</v>
      </c>
      <c r="J2930" s="27">
        <v>5536.29</v>
      </c>
      <c r="K2930" s="18">
        <f t="shared" si="91"/>
        <v>5536.29</v>
      </c>
      <c r="L2930" s="27">
        <v>5259.48</v>
      </c>
      <c r="M2930" s="36">
        <v>0</v>
      </c>
      <c r="T2930" s="41">
        <v>0</v>
      </c>
      <c r="U2930" s="41">
        <v>0</v>
      </c>
      <c r="V2930" s="42" t="s">
        <v>113</v>
      </c>
      <c r="W2930" s="42">
        <v>5536.29</v>
      </c>
      <c r="X2930" s="42">
        <v>5536.29</v>
      </c>
    </row>
    <row r="2931" spans="1:24">
      <c r="A2931" s="27" t="s">
        <v>5416</v>
      </c>
      <c r="B2931" s="28" t="s">
        <v>5102</v>
      </c>
      <c r="C2931" s="27" t="s">
        <v>5417</v>
      </c>
      <c r="D2931" s="27" t="s">
        <v>5104</v>
      </c>
      <c r="E2931" s="29">
        <v>38078</v>
      </c>
      <c r="F2931" s="27">
        <v>15</v>
      </c>
      <c r="G2931" s="18">
        <v>97863.360000000001</v>
      </c>
      <c r="H2931" s="27">
        <f t="shared" si="90"/>
        <v>97863.360000000001</v>
      </c>
      <c r="I2931" s="18">
        <v>92970.19</v>
      </c>
      <c r="J2931" s="27">
        <v>97863.360000000001</v>
      </c>
      <c r="K2931" s="18">
        <f t="shared" si="91"/>
        <v>97863.360000000001</v>
      </c>
      <c r="L2931" s="27">
        <v>92970.19</v>
      </c>
      <c r="M2931" s="36">
        <v>0</v>
      </c>
      <c r="T2931" s="41">
        <v>0</v>
      </c>
      <c r="U2931" s="41">
        <v>0</v>
      </c>
      <c r="V2931" s="42" t="s">
        <v>113</v>
      </c>
      <c r="W2931" s="42">
        <v>97863.360000000001</v>
      </c>
      <c r="X2931" s="42">
        <v>97863.360000000001</v>
      </c>
    </row>
    <row r="2932" spans="1:24">
      <c r="A2932" s="27" t="s">
        <v>5418</v>
      </c>
      <c r="B2932" s="28" t="s">
        <v>5102</v>
      </c>
      <c r="C2932" s="27" t="s">
        <v>5419</v>
      </c>
      <c r="D2932" s="27" t="s">
        <v>5104</v>
      </c>
      <c r="E2932" s="29">
        <v>39417</v>
      </c>
      <c r="F2932" s="27">
        <v>15</v>
      </c>
      <c r="G2932" s="18">
        <v>22781.9</v>
      </c>
      <c r="H2932" s="27">
        <f t="shared" si="90"/>
        <v>0</v>
      </c>
      <c r="I2932" s="18">
        <v>19430.66</v>
      </c>
      <c r="J2932" s="27">
        <v>22781.9</v>
      </c>
      <c r="K2932" s="18">
        <f t="shared" si="91"/>
        <v>0</v>
      </c>
      <c r="L2932" s="27">
        <v>19983.7</v>
      </c>
      <c r="M2932" s="36">
        <v>553.04</v>
      </c>
      <c r="T2932" s="41">
        <v>0</v>
      </c>
      <c r="U2932" s="41">
        <v>0</v>
      </c>
      <c r="V2932" s="42" t="s">
        <v>113</v>
      </c>
      <c r="W2932" s="42">
        <v>0</v>
      </c>
      <c r="X2932" s="42">
        <v>0</v>
      </c>
    </row>
    <row r="2933" spans="1:24">
      <c r="A2933" s="27" t="s">
        <v>5420</v>
      </c>
      <c r="B2933" s="28" t="s">
        <v>5102</v>
      </c>
      <c r="C2933" s="27" t="s">
        <v>5421</v>
      </c>
      <c r="D2933" s="27" t="s">
        <v>5104</v>
      </c>
      <c r="E2933" s="29">
        <v>39417</v>
      </c>
      <c r="F2933" s="27">
        <v>15</v>
      </c>
      <c r="G2933" s="18">
        <v>14184.96</v>
      </c>
      <c r="H2933" s="27">
        <f t="shared" si="90"/>
        <v>0</v>
      </c>
      <c r="I2933" s="18">
        <v>12098.34</v>
      </c>
      <c r="J2933" s="27">
        <v>14184.96</v>
      </c>
      <c r="K2933" s="18">
        <f t="shared" si="91"/>
        <v>0</v>
      </c>
      <c r="L2933" s="27">
        <v>12442.68</v>
      </c>
      <c r="M2933" s="36">
        <v>344.34</v>
      </c>
      <c r="T2933" s="41">
        <v>0</v>
      </c>
      <c r="U2933" s="41">
        <v>0</v>
      </c>
      <c r="V2933" s="42" t="s">
        <v>113</v>
      </c>
      <c r="W2933" s="42">
        <v>0</v>
      </c>
      <c r="X2933" s="42">
        <v>0</v>
      </c>
    </row>
    <row r="2934" spans="1:24">
      <c r="A2934" s="27" t="s">
        <v>5422</v>
      </c>
      <c r="B2934" s="28" t="s">
        <v>5102</v>
      </c>
      <c r="C2934" s="27" t="s">
        <v>5423</v>
      </c>
      <c r="D2934" s="27" t="s">
        <v>5104</v>
      </c>
      <c r="E2934" s="29">
        <v>39417</v>
      </c>
      <c r="F2934" s="27">
        <v>15</v>
      </c>
      <c r="G2934" s="18">
        <v>33022.410000000003</v>
      </c>
      <c r="H2934" s="27">
        <f t="shared" si="90"/>
        <v>0</v>
      </c>
      <c r="I2934" s="18">
        <v>28345.23</v>
      </c>
      <c r="J2934" s="27">
        <v>33022.410000000003</v>
      </c>
      <c r="K2934" s="18">
        <f t="shared" si="91"/>
        <v>0</v>
      </c>
      <c r="L2934" s="27">
        <v>29101.75</v>
      </c>
      <c r="M2934" s="36">
        <v>756.52</v>
      </c>
      <c r="T2934" s="41">
        <v>0</v>
      </c>
      <c r="U2934" s="41">
        <v>0</v>
      </c>
      <c r="V2934" s="42" t="s">
        <v>113</v>
      </c>
      <c r="W2934" s="42">
        <v>0</v>
      </c>
      <c r="X2934" s="42">
        <v>0</v>
      </c>
    </row>
    <row r="2935" spans="1:24">
      <c r="A2935" s="27" t="s">
        <v>5424</v>
      </c>
      <c r="B2935" s="28" t="s">
        <v>5102</v>
      </c>
      <c r="C2935" s="27" t="s">
        <v>5425</v>
      </c>
      <c r="D2935" s="27" t="s">
        <v>5104</v>
      </c>
      <c r="E2935" s="29">
        <v>39417</v>
      </c>
      <c r="F2935" s="27">
        <v>15</v>
      </c>
      <c r="G2935" s="18">
        <v>17360.599999999999</v>
      </c>
      <c r="H2935" s="27">
        <f t="shared" si="90"/>
        <v>0</v>
      </c>
      <c r="I2935" s="18">
        <v>14806.84</v>
      </c>
      <c r="J2935" s="27">
        <v>17360.599999999999</v>
      </c>
      <c r="K2935" s="18">
        <f t="shared" si="91"/>
        <v>0</v>
      </c>
      <c r="L2935" s="27">
        <v>15228.27</v>
      </c>
      <c r="M2935" s="36">
        <v>421.43</v>
      </c>
      <c r="T2935" s="41">
        <v>0</v>
      </c>
      <c r="U2935" s="41">
        <v>0</v>
      </c>
      <c r="V2935" s="42" t="s">
        <v>113</v>
      </c>
      <c r="W2935" s="42">
        <v>0</v>
      </c>
      <c r="X2935" s="42">
        <v>0</v>
      </c>
    </row>
    <row r="2936" spans="1:24">
      <c r="A2936" s="27" t="s">
        <v>5426</v>
      </c>
      <c r="B2936" s="28" t="s">
        <v>5102</v>
      </c>
      <c r="C2936" s="27" t="s">
        <v>5427</v>
      </c>
      <c r="D2936" s="27" t="s">
        <v>5104</v>
      </c>
      <c r="E2936" s="29">
        <v>39417</v>
      </c>
      <c r="F2936" s="27">
        <v>15</v>
      </c>
      <c r="G2936" s="18">
        <v>10769.25</v>
      </c>
      <c r="H2936" s="27">
        <f t="shared" si="90"/>
        <v>0</v>
      </c>
      <c r="I2936" s="18">
        <v>9418.7199999999993</v>
      </c>
      <c r="J2936" s="27">
        <v>10769.25</v>
      </c>
      <c r="K2936" s="18">
        <f t="shared" si="91"/>
        <v>0</v>
      </c>
      <c r="L2936" s="27">
        <v>9621.74</v>
      </c>
      <c r="M2936" s="36">
        <v>203.02</v>
      </c>
      <c r="T2936" s="41">
        <v>0</v>
      </c>
      <c r="U2936" s="41">
        <v>0</v>
      </c>
      <c r="V2936" s="42" t="s">
        <v>113</v>
      </c>
      <c r="W2936" s="42">
        <v>0</v>
      </c>
      <c r="X2936" s="42">
        <v>0</v>
      </c>
    </row>
    <row r="2937" spans="1:24">
      <c r="A2937" s="27" t="s">
        <v>5428</v>
      </c>
      <c r="B2937" s="28" t="s">
        <v>5102</v>
      </c>
      <c r="C2937" s="27" t="s">
        <v>5429</v>
      </c>
      <c r="D2937" s="27" t="s">
        <v>5104</v>
      </c>
      <c r="E2937" s="29">
        <v>39417</v>
      </c>
      <c r="F2937" s="27">
        <v>15</v>
      </c>
      <c r="G2937" s="18">
        <v>19953.28</v>
      </c>
      <c r="H2937" s="27">
        <f t="shared" si="90"/>
        <v>0</v>
      </c>
      <c r="I2937" s="18">
        <v>17018.14</v>
      </c>
      <c r="J2937" s="27">
        <v>19953.28</v>
      </c>
      <c r="K2937" s="18">
        <f t="shared" si="91"/>
        <v>0</v>
      </c>
      <c r="L2937" s="27">
        <v>17502.509999999998</v>
      </c>
      <c r="M2937" s="36">
        <v>484.37</v>
      </c>
      <c r="T2937" s="41">
        <v>0</v>
      </c>
      <c r="U2937" s="41">
        <v>0</v>
      </c>
      <c r="V2937" s="42" t="s">
        <v>113</v>
      </c>
      <c r="W2937" s="42">
        <v>0</v>
      </c>
      <c r="X2937" s="42">
        <v>0</v>
      </c>
    </row>
    <row r="2938" spans="1:24">
      <c r="A2938" s="27" t="s">
        <v>5430</v>
      </c>
      <c r="B2938" s="28" t="s">
        <v>5102</v>
      </c>
      <c r="C2938" s="27" t="s">
        <v>5431</v>
      </c>
      <c r="D2938" s="27" t="s">
        <v>5104</v>
      </c>
      <c r="E2938" s="29">
        <v>39417</v>
      </c>
      <c r="F2938" s="27">
        <v>15</v>
      </c>
      <c r="G2938" s="18">
        <v>15618.32</v>
      </c>
      <c r="H2938" s="27">
        <f t="shared" si="90"/>
        <v>0</v>
      </c>
      <c r="I2938" s="18">
        <v>13320.86</v>
      </c>
      <c r="J2938" s="27">
        <v>15618.32</v>
      </c>
      <c r="K2938" s="18">
        <f t="shared" si="91"/>
        <v>0</v>
      </c>
      <c r="L2938" s="27">
        <v>13700</v>
      </c>
      <c r="M2938" s="36">
        <v>379.14</v>
      </c>
      <c r="T2938" s="41">
        <v>0</v>
      </c>
      <c r="U2938" s="41">
        <v>0</v>
      </c>
      <c r="V2938" s="42" t="s">
        <v>113</v>
      </c>
      <c r="W2938" s="42">
        <v>0</v>
      </c>
      <c r="X2938" s="42">
        <v>0</v>
      </c>
    </row>
    <row r="2939" spans="1:24">
      <c r="A2939" s="27" t="s">
        <v>5432</v>
      </c>
      <c r="B2939" s="28" t="s">
        <v>5102</v>
      </c>
      <c r="C2939" s="27" t="s">
        <v>5431</v>
      </c>
      <c r="D2939" s="27" t="s">
        <v>5104</v>
      </c>
      <c r="E2939" s="29">
        <v>39417</v>
      </c>
      <c r="F2939" s="27">
        <v>15</v>
      </c>
      <c r="G2939" s="18">
        <v>18542.86</v>
      </c>
      <c r="H2939" s="27">
        <f t="shared" si="90"/>
        <v>0</v>
      </c>
      <c r="I2939" s="18">
        <v>15815.2</v>
      </c>
      <c r="J2939" s="27">
        <v>18542.86</v>
      </c>
      <c r="K2939" s="18">
        <f t="shared" si="91"/>
        <v>0</v>
      </c>
      <c r="L2939" s="27">
        <v>16265.33</v>
      </c>
      <c r="M2939" s="36">
        <v>450.13</v>
      </c>
      <c r="T2939" s="41">
        <v>0</v>
      </c>
      <c r="U2939" s="41">
        <v>0</v>
      </c>
      <c r="V2939" s="42" t="s">
        <v>113</v>
      </c>
      <c r="W2939" s="42">
        <v>0</v>
      </c>
      <c r="X2939" s="42">
        <v>0</v>
      </c>
    </row>
    <row r="2940" spans="1:24">
      <c r="A2940" s="27" t="s">
        <v>5433</v>
      </c>
      <c r="B2940" s="28" t="s">
        <v>5102</v>
      </c>
      <c r="C2940" s="27" t="s">
        <v>5434</v>
      </c>
      <c r="D2940" s="27" t="s">
        <v>5104</v>
      </c>
      <c r="E2940" s="29">
        <v>38078</v>
      </c>
      <c r="F2940" s="27">
        <v>15</v>
      </c>
      <c r="G2940" s="18">
        <v>106931.42</v>
      </c>
      <c r="H2940" s="27">
        <f t="shared" si="90"/>
        <v>106931.42</v>
      </c>
      <c r="I2940" s="18">
        <v>101584.85</v>
      </c>
      <c r="J2940" s="27">
        <v>106931.42</v>
      </c>
      <c r="K2940" s="18">
        <f t="shared" si="91"/>
        <v>106931.42</v>
      </c>
      <c r="L2940" s="27">
        <v>101584.85</v>
      </c>
      <c r="M2940" s="36">
        <v>0</v>
      </c>
      <c r="T2940" s="41">
        <v>0</v>
      </c>
      <c r="U2940" s="41">
        <v>0</v>
      </c>
      <c r="V2940" s="42" t="s">
        <v>113</v>
      </c>
      <c r="W2940" s="42">
        <v>106931.42</v>
      </c>
      <c r="X2940" s="42">
        <v>106931.42</v>
      </c>
    </row>
    <row r="2941" spans="1:24">
      <c r="A2941" s="27" t="s">
        <v>5435</v>
      </c>
      <c r="B2941" s="28" t="s">
        <v>5102</v>
      </c>
      <c r="C2941" s="27" t="s">
        <v>5436</v>
      </c>
      <c r="D2941" s="27" t="s">
        <v>5104</v>
      </c>
      <c r="E2941" s="29">
        <v>38078</v>
      </c>
      <c r="F2941" s="27">
        <v>15</v>
      </c>
      <c r="G2941" s="18">
        <v>45299.72</v>
      </c>
      <c r="H2941" s="27">
        <f t="shared" si="90"/>
        <v>45299.72</v>
      </c>
      <c r="I2941" s="18">
        <v>43034.73</v>
      </c>
      <c r="J2941" s="27">
        <v>45299.72</v>
      </c>
      <c r="K2941" s="18">
        <f t="shared" si="91"/>
        <v>45299.72</v>
      </c>
      <c r="L2941" s="27">
        <v>43034.73</v>
      </c>
      <c r="M2941" s="36">
        <v>0</v>
      </c>
      <c r="T2941" s="41">
        <v>0</v>
      </c>
      <c r="U2941" s="41">
        <v>0</v>
      </c>
      <c r="V2941" s="42" t="s">
        <v>113</v>
      </c>
      <c r="W2941" s="42">
        <v>45299.72</v>
      </c>
      <c r="X2941" s="42">
        <v>45299.72</v>
      </c>
    </row>
    <row r="2942" spans="1:24">
      <c r="A2942" s="27" t="s">
        <v>5437</v>
      </c>
      <c r="B2942" s="28" t="s">
        <v>5102</v>
      </c>
      <c r="C2942" s="27" t="s">
        <v>5438</v>
      </c>
      <c r="D2942" s="27" t="s">
        <v>5104</v>
      </c>
      <c r="E2942" s="29">
        <v>38078</v>
      </c>
      <c r="F2942" s="27">
        <v>15</v>
      </c>
      <c r="G2942" s="18">
        <v>7437.27</v>
      </c>
      <c r="H2942" s="27">
        <f t="shared" si="90"/>
        <v>7437.27</v>
      </c>
      <c r="I2942" s="18">
        <v>7065.41</v>
      </c>
      <c r="J2942" s="27">
        <v>7437.27</v>
      </c>
      <c r="K2942" s="18">
        <f t="shared" si="91"/>
        <v>7437.27</v>
      </c>
      <c r="L2942" s="27">
        <v>7065.41</v>
      </c>
      <c r="M2942" s="36">
        <v>0</v>
      </c>
      <c r="T2942" s="41">
        <v>0</v>
      </c>
      <c r="U2942" s="41">
        <v>0</v>
      </c>
      <c r="V2942" s="42" t="s">
        <v>113</v>
      </c>
      <c r="W2942" s="42">
        <v>7437.27</v>
      </c>
      <c r="X2942" s="42">
        <v>7437.27</v>
      </c>
    </row>
    <row r="2943" spans="1:24">
      <c r="A2943" s="27" t="s">
        <v>5439</v>
      </c>
      <c r="B2943" s="28" t="s">
        <v>5102</v>
      </c>
      <c r="C2943" s="27" t="s">
        <v>5438</v>
      </c>
      <c r="D2943" s="27" t="s">
        <v>5104</v>
      </c>
      <c r="E2943" s="29">
        <v>38078</v>
      </c>
      <c r="F2943" s="27">
        <v>15</v>
      </c>
      <c r="G2943" s="18">
        <v>5408.92</v>
      </c>
      <c r="H2943" s="27">
        <f t="shared" si="90"/>
        <v>5408.92</v>
      </c>
      <c r="I2943" s="18">
        <v>5138.47</v>
      </c>
      <c r="J2943" s="27">
        <v>5408.92</v>
      </c>
      <c r="K2943" s="18">
        <f t="shared" si="91"/>
        <v>5408.92</v>
      </c>
      <c r="L2943" s="27">
        <v>5138.47</v>
      </c>
      <c r="M2943" s="36">
        <v>0</v>
      </c>
      <c r="T2943" s="41">
        <v>0</v>
      </c>
      <c r="U2943" s="41">
        <v>0</v>
      </c>
      <c r="V2943" s="42" t="s">
        <v>113</v>
      </c>
      <c r="W2943" s="42">
        <v>5408.92</v>
      </c>
      <c r="X2943" s="42">
        <v>5408.92</v>
      </c>
    </row>
    <row r="2944" spans="1:24">
      <c r="A2944" s="27" t="s">
        <v>5440</v>
      </c>
      <c r="B2944" s="28" t="s">
        <v>5102</v>
      </c>
      <c r="C2944" s="27" t="s">
        <v>5438</v>
      </c>
      <c r="D2944" s="27" t="s">
        <v>5104</v>
      </c>
      <c r="E2944" s="29">
        <v>38078</v>
      </c>
      <c r="F2944" s="27">
        <v>15</v>
      </c>
      <c r="G2944" s="18">
        <v>14413.55</v>
      </c>
      <c r="H2944" s="27">
        <f t="shared" si="90"/>
        <v>14413.55</v>
      </c>
      <c r="I2944" s="18">
        <v>13692.87</v>
      </c>
      <c r="J2944" s="27">
        <v>14413.55</v>
      </c>
      <c r="K2944" s="18">
        <f t="shared" si="91"/>
        <v>14413.55</v>
      </c>
      <c r="L2944" s="27">
        <v>13692.87</v>
      </c>
      <c r="M2944" s="36">
        <v>0</v>
      </c>
      <c r="T2944" s="41">
        <v>0</v>
      </c>
      <c r="U2944" s="41">
        <v>0</v>
      </c>
      <c r="V2944" s="42" t="s">
        <v>113</v>
      </c>
      <c r="W2944" s="42">
        <v>14413.55</v>
      </c>
      <c r="X2944" s="42">
        <v>14413.55</v>
      </c>
    </row>
    <row r="2945" spans="1:24">
      <c r="A2945" s="27" t="s">
        <v>5441</v>
      </c>
      <c r="B2945" s="28" t="s">
        <v>5102</v>
      </c>
      <c r="C2945" s="27" t="s">
        <v>5438</v>
      </c>
      <c r="D2945" s="27" t="s">
        <v>5104</v>
      </c>
      <c r="E2945" s="29">
        <v>38078</v>
      </c>
      <c r="F2945" s="27">
        <v>15</v>
      </c>
      <c r="G2945" s="18">
        <v>70563.759999999995</v>
      </c>
      <c r="H2945" s="27">
        <f t="shared" si="90"/>
        <v>70563.759999999995</v>
      </c>
      <c r="I2945" s="18">
        <v>67035.570000000007</v>
      </c>
      <c r="J2945" s="27">
        <v>70563.759999999995</v>
      </c>
      <c r="K2945" s="18">
        <f t="shared" si="91"/>
        <v>70563.759999999995</v>
      </c>
      <c r="L2945" s="27">
        <v>67035.570000000007</v>
      </c>
      <c r="M2945" s="36">
        <v>0</v>
      </c>
      <c r="T2945" s="41">
        <v>0</v>
      </c>
      <c r="U2945" s="41">
        <v>0</v>
      </c>
      <c r="V2945" s="42" t="s">
        <v>113</v>
      </c>
      <c r="W2945" s="42">
        <v>70563.759999999995</v>
      </c>
      <c r="X2945" s="42">
        <v>70563.759999999995</v>
      </c>
    </row>
    <row r="2946" spans="1:24">
      <c r="A2946" s="27" t="s">
        <v>5442</v>
      </c>
      <c r="B2946" s="28" t="s">
        <v>5102</v>
      </c>
      <c r="C2946" s="27" t="s">
        <v>5443</v>
      </c>
      <c r="D2946" s="27" t="s">
        <v>5104</v>
      </c>
      <c r="E2946" s="29">
        <v>39417</v>
      </c>
      <c r="F2946" s="27">
        <v>15</v>
      </c>
      <c r="G2946" s="18">
        <v>32238.53</v>
      </c>
      <c r="H2946" s="27">
        <f t="shared" si="90"/>
        <v>0</v>
      </c>
      <c r="I2946" s="18">
        <v>27496.21</v>
      </c>
      <c r="J2946" s="27">
        <v>32238.53</v>
      </c>
      <c r="K2946" s="18">
        <f t="shared" si="91"/>
        <v>0</v>
      </c>
      <c r="L2946" s="27">
        <v>28278.81</v>
      </c>
      <c r="M2946" s="36">
        <v>782.6</v>
      </c>
      <c r="T2946" s="41">
        <v>0</v>
      </c>
      <c r="U2946" s="41">
        <v>0</v>
      </c>
      <c r="V2946" s="42" t="s">
        <v>113</v>
      </c>
      <c r="W2946" s="42">
        <v>0</v>
      </c>
      <c r="X2946" s="42">
        <v>0</v>
      </c>
    </row>
    <row r="2947" spans="1:24">
      <c r="A2947" s="27" t="s">
        <v>5444</v>
      </c>
      <c r="B2947" s="28" t="s">
        <v>5102</v>
      </c>
      <c r="C2947" s="27" t="s">
        <v>5445</v>
      </c>
      <c r="D2947" s="27" t="s">
        <v>5104</v>
      </c>
      <c r="E2947" s="29">
        <v>39417</v>
      </c>
      <c r="F2947" s="27">
        <v>15</v>
      </c>
      <c r="G2947" s="18">
        <v>28369.91</v>
      </c>
      <c r="H2947" s="27">
        <f t="shared" si="90"/>
        <v>0</v>
      </c>
      <c r="I2947" s="18">
        <v>24196.67</v>
      </c>
      <c r="J2947" s="27">
        <v>28369.91</v>
      </c>
      <c r="K2947" s="18">
        <f t="shared" si="91"/>
        <v>0</v>
      </c>
      <c r="L2947" s="27">
        <v>24885.360000000001</v>
      </c>
      <c r="M2947" s="36">
        <v>688.69</v>
      </c>
      <c r="T2947" s="41">
        <v>0</v>
      </c>
      <c r="U2947" s="41">
        <v>0</v>
      </c>
      <c r="V2947" s="42" t="s">
        <v>113</v>
      </c>
      <c r="W2947" s="42">
        <v>0</v>
      </c>
      <c r="X2947" s="42">
        <v>0</v>
      </c>
    </row>
    <row r="2948" spans="1:24">
      <c r="A2948" s="27" t="s">
        <v>5446</v>
      </c>
      <c r="B2948" s="28" t="s">
        <v>5102</v>
      </c>
      <c r="C2948" s="27" t="s">
        <v>5447</v>
      </c>
      <c r="D2948" s="27" t="s">
        <v>5104</v>
      </c>
      <c r="E2948" s="29">
        <v>39417</v>
      </c>
      <c r="F2948" s="27">
        <v>15</v>
      </c>
      <c r="G2948" s="18">
        <v>21922.21</v>
      </c>
      <c r="H2948" s="27">
        <f t="shared" si="90"/>
        <v>0</v>
      </c>
      <c r="I2948" s="18">
        <v>18697.439999999999</v>
      </c>
      <c r="J2948" s="27">
        <v>21922.21</v>
      </c>
      <c r="K2948" s="18">
        <f t="shared" si="91"/>
        <v>0</v>
      </c>
      <c r="L2948" s="27">
        <v>19229.61</v>
      </c>
      <c r="M2948" s="36">
        <v>532.16999999999996</v>
      </c>
      <c r="T2948" s="41">
        <v>0</v>
      </c>
      <c r="U2948" s="41">
        <v>0</v>
      </c>
      <c r="V2948" s="42" t="s">
        <v>113</v>
      </c>
      <c r="W2948" s="42">
        <v>0</v>
      </c>
      <c r="X2948" s="42">
        <v>0</v>
      </c>
    </row>
    <row r="2949" spans="1:24">
      <c r="A2949" s="27" t="s">
        <v>5448</v>
      </c>
      <c r="B2949" s="28" t="s">
        <v>5102</v>
      </c>
      <c r="C2949" s="27" t="s">
        <v>5449</v>
      </c>
      <c r="D2949" s="27" t="s">
        <v>5104</v>
      </c>
      <c r="E2949" s="29">
        <v>38078</v>
      </c>
      <c r="F2949" s="27">
        <v>15</v>
      </c>
      <c r="G2949" s="18">
        <v>50160.65</v>
      </c>
      <c r="H2949" s="27">
        <f t="shared" si="90"/>
        <v>50160.65</v>
      </c>
      <c r="I2949" s="18">
        <v>47652.62</v>
      </c>
      <c r="J2949" s="27">
        <v>50160.65</v>
      </c>
      <c r="K2949" s="18">
        <f t="shared" si="91"/>
        <v>50160.65</v>
      </c>
      <c r="L2949" s="27">
        <v>47652.62</v>
      </c>
      <c r="M2949" s="36">
        <v>0</v>
      </c>
      <c r="T2949" s="41">
        <v>0</v>
      </c>
      <c r="U2949" s="41">
        <v>0</v>
      </c>
      <c r="V2949" s="42" t="s">
        <v>113</v>
      </c>
      <c r="W2949" s="42">
        <v>50160.65</v>
      </c>
      <c r="X2949" s="42">
        <v>50160.65</v>
      </c>
    </row>
    <row r="2950" spans="1:24">
      <c r="A2950" s="27" t="s">
        <v>5450</v>
      </c>
      <c r="B2950" s="28" t="s">
        <v>5102</v>
      </c>
      <c r="C2950" s="27" t="s">
        <v>5451</v>
      </c>
      <c r="D2950" s="27" t="s">
        <v>5104</v>
      </c>
      <c r="E2950" s="29">
        <v>38078</v>
      </c>
      <c r="F2950" s="27">
        <v>15</v>
      </c>
      <c r="G2950" s="18">
        <v>6822.61</v>
      </c>
      <c r="H2950" s="27">
        <f t="shared" ref="H2950:H3013" si="92">IFERROR(IF(ROUND((G2950-I2950)/G2950,2)&lt;=0.05,G2950,0),0)</f>
        <v>6822.61</v>
      </c>
      <c r="I2950" s="18">
        <v>6481.48</v>
      </c>
      <c r="J2950" s="27">
        <v>6822.61</v>
      </c>
      <c r="K2950" s="18">
        <f t="shared" ref="K2950:K3013" si="93">IFERROR(IF(ROUND((J2950-L2950)/J2950,2)&lt;=0.05,J2950,0),0)</f>
        <v>6822.61</v>
      </c>
      <c r="L2950" s="27">
        <v>6481.48</v>
      </c>
      <c r="M2950" s="36">
        <v>0</v>
      </c>
      <c r="T2950" s="41">
        <v>0</v>
      </c>
      <c r="U2950" s="41">
        <v>0</v>
      </c>
      <c r="V2950" s="42" t="s">
        <v>113</v>
      </c>
      <c r="W2950" s="42">
        <v>6822.61</v>
      </c>
      <c r="X2950" s="42">
        <v>6822.61</v>
      </c>
    </row>
    <row r="2951" spans="1:24">
      <c r="A2951" s="27" t="s">
        <v>5452</v>
      </c>
      <c r="B2951" s="28" t="s">
        <v>5102</v>
      </c>
      <c r="C2951" s="27" t="s">
        <v>5451</v>
      </c>
      <c r="D2951" s="27" t="s">
        <v>5104</v>
      </c>
      <c r="E2951" s="29">
        <v>38078</v>
      </c>
      <c r="F2951" s="27">
        <v>15</v>
      </c>
      <c r="G2951" s="18">
        <v>91133.92</v>
      </c>
      <c r="H2951" s="27">
        <f t="shared" si="92"/>
        <v>91133.92</v>
      </c>
      <c r="I2951" s="18">
        <v>86577.22</v>
      </c>
      <c r="J2951" s="27">
        <v>91133.92</v>
      </c>
      <c r="K2951" s="18">
        <f t="shared" si="93"/>
        <v>91133.92</v>
      </c>
      <c r="L2951" s="27">
        <v>86577.22</v>
      </c>
      <c r="M2951" s="36">
        <v>0</v>
      </c>
      <c r="T2951" s="41">
        <v>0</v>
      </c>
      <c r="U2951" s="41">
        <v>0</v>
      </c>
      <c r="V2951" s="42" t="s">
        <v>113</v>
      </c>
      <c r="W2951" s="42">
        <v>91133.92</v>
      </c>
      <c r="X2951" s="42">
        <v>91133.92</v>
      </c>
    </row>
    <row r="2952" spans="1:24">
      <c r="A2952" s="27" t="s">
        <v>5453</v>
      </c>
      <c r="B2952" s="28" t="s">
        <v>5102</v>
      </c>
      <c r="C2952" s="27" t="s">
        <v>5454</v>
      </c>
      <c r="D2952" s="27" t="s">
        <v>5104</v>
      </c>
      <c r="E2952" s="29">
        <v>38078</v>
      </c>
      <c r="F2952" s="27">
        <v>15</v>
      </c>
      <c r="G2952" s="18">
        <v>96574.720000000001</v>
      </c>
      <c r="H2952" s="27">
        <f t="shared" si="92"/>
        <v>96574.720000000001</v>
      </c>
      <c r="I2952" s="18">
        <v>91745.98</v>
      </c>
      <c r="J2952" s="27">
        <v>96574.720000000001</v>
      </c>
      <c r="K2952" s="18">
        <f t="shared" si="93"/>
        <v>96574.720000000001</v>
      </c>
      <c r="L2952" s="27">
        <v>91745.98</v>
      </c>
      <c r="M2952" s="36">
        <v>0</v>
      </c>
      <c r="T2952" s="41">
        <v>0</v>
      </c>
      <c r="U2952" s="41">
        <v>0</v>
      </c>
      <c r="V2952" s="42" t="s">
        <v>113</v>
      </c>
      <c r="W2952" s="42">
        <v>96574.720000000001</v>
      </c>
      <c r="X2952" s="42">
        <v>96574.720000000001</v>
      </c>
    </row>
    <row r="2953" spans="1:24">
      <c r="A2953" s="27" t="s">
        <v>5455</v>
      </c>
      <c r="B2953" s="28" t="s">
        <v>5102</v>
      </c>
      <c r="C2953" s="27" t="s">
        <v>5456</v>
      </c>
      <c r="D2953" s="27" t="s">
        <v>5104</v>
      </c>
      <c r="E2953" s="29">
        <v>38078</v>
      </c>
      <c r="F2953" s="27">
        <v>15</v>
      </c>
      <c r="G2953" s="18">
        <v>16633.46</v>
      </c>
      <c r="H2953" s="27">
        <f t="shared" si="92"/>
        <v>16633.46</v>
      </c>
      <c r="I2953" s="18">
        <v>15801.79</v>
      </c>
      <c r="J2953" s="27">
        <v>16633.46</v>
      </c>
      <c r="K2953" s="18">
        <f t="shared" si="93"/>
        <v>16633.46</v>
      </c>
      <c r="L2953" s="27">
        <v>15801.79</v>
      </c>
      <c r="M2953" s="36">
        <v>0</v>
      </c>
      <c r="T2953" s="41">
        <v>0</v>
      </c>
      <c r="U2953" s="41">
        <v>0</v>
      </c>
      <c r="V2953" s="42" t="s">
        <v>113</v>
      </c>
      <c r="W2953" s="42">
        <v>16633.46</v>
      </c>
      <c r="X2953" s="42">
        <v>16633.46</v>
      </c>
    </row>
    <row r="2954" spans="1:24">
      <c r="A2954" s="27" t="s">
        <v>5457</v>
      </c>
      <c r="B2954" s="28" t="s">
        <v>5102</v>
      </c>
      <c r="C2954" s="27" t="s">
        <v>5458</v>
      </c>
      <c r="D2954" s="27" t="s">
        <v>5104</v>
      </c>
      <c r="E2954" s="29">
        <v>38078</v>
      </c>
      <c r="F2954" s="27">
        <v>15</v>
      </c>
      <c r="G2954" s="18">
        <v>18257.7</v>
      </c>
      <c r="H2954" s="27">
        <f t="shared" si="92"/>
        <v>18257.7</v>
      </c>
      <c r="I2954" s="18">
        <v>17344.810000000001</v>
      </c>
      <c r="J2954" s="27">
        <v>18257.7</v>
      </c>
      <c r="K2954" s="18">
        <f t="shared" si="93"/>
        <v>18257.7</v>
      </c>
      <c r="L2954" s="27">
        <v>17344.810000000001</v>
      </c>
      <c r="M2954" s="36">
        <v>0</v>
      </c>
      <c r="T2954" s="41">
        <v>0</v>
      </c>
      <c r="U2954" s="41">
        <v>0</v>
      </c>
      <c r="V2954" s="42" t="s">
        <v>113</v>
      </c>
      <c r="W2954" s="42">
        <v>18257.7</v>
      </c>
      <c r="X2954" s="42">
        <v>18257.7</v>
      </c>
    </row>
    <row r="2955" spans="1:24">
      <c r="A2955" s="27" t="s">
        <v>5459</v>
      </c>
      <c r="B2955" s="28" t="s">
        <v>5102</v>
      </c>
      <c r="C2955" s="27" t="s">
        <v>5458</v>
      </c>
      <c r="D2955" s="27" t="s">
        <v>5104</v>
      </c>
      <c r="E2955" s="29">
        <v>38078</v>
      </c>
      <c r="F2955" s="27">
        <v>15</v>
      </c>
      <c r="G2955" s="18">
        <v>28725.040000000001</v>
      </c>
      <c r="H2955" s="27">
        <f t="shared" si="92"/>
        <v>28725.040000000001</v>
      </c>
      <c r="I2955" s="18">
        <v>27288.79</v>
      </c>
      <c r="J2955" s="27">
        <v>28725.040000000001</v>
      </c>
      <c r="K2955" s="18">
        <f t="shared" si="93"/>
        <v>28725.040000000001</v>
      </c>
      <c r="L2955" s="27">
        <v>27288.79</v>
      </c>
      <c r="M2955" s="36">
        <v>0</v>
      </c>
      <c r="T2955" s="41">
        <v>0</v>
      </c>
      <c r="U2955" s="41">
        <v>0</v>
      </c>
      <c r="V2955" s="42" t="s">
        <v>113</v>
      </c>
      <c r="W2955" s="42">
        <v>28725.040000000001</v>
      </c>
      <c r="X2955" s="42">
        <v>28725.040000000001</v>
      </c>
    </row>
    <row r="2956" spans="1:24">
      <c r="A2956" s="27" t="s">
        <v>5460</v>
      </c>
      <c r="B2956" s="28" t="s">
        <v>5102</v>
      </c>
      <c r="C2956" s="27" t="s">
        <v>5461</v>
      </c>
      <c r="D2956" s="27" t="s">
        <v>5104</v>
      </c>
      <c r="E2956" s="29">
        <v>38078</v>
      </c>
      <c r="F2956" s="27">
        <v>15</v>
      </c>
      <c r="G2956" s="18">
        <v>32313.88</v>
      </c>
      <c r="H2956" s="27">
        <f t="shared" si="92"/>
        <v>32313.88</v>
      </c>
      <c r="I2956" s="18">
        <v>30698.19</v>
      </c>
      <c r="J2956" s="27">
        <v>32313.88</v>
      </c>
      <c r="K2956" s="18">
        <f t="shared" si="93"/>
        <v>32313.88</v>
      </c>
      <c r="L2956" s="27">
        <v>30698.19</v>
      </c>
      <c r="M2956" s="36">
        <v>0</v>
      </c>
      <c r="T2956" s="41">
        <v>0</v>
      </c>
      <c r="U2956" s="41">
        <v>0</v>
      </c>
      <c r="V2956" s="42" t="s">
        <v>113</v>
      </c>
      <c r="W2956" s="42">
        <v>32313.88</v>
      </c>
      <c r="X2956" s="42">
        <v>32313.88</v>
      </c>
    </row>
    <row r="2957" spans="1:24">
      <c r="A2957" s="27" t="s">
        <v>5462</v>
      </c>
      <c r="B2957" s="28" t="s">
        <v>5102</v>
      </c>
      <c r="C2957" s="27" t="s">
        <v>5463</v>
      </c>
      <c r="D2957" s="27" t="s">
        <v>5104</v>
      </c>
      <c r="E2957" s="29">
        <v>38078</v>
      </c>
      <c r="F2957" s="27">
        <v>15</v>
      </c>
      <c r="G2957" s="18">
        <v>13854.45</v>
      </c>
      <c r="H2957" s="27">
        <f t="shared" si="92"/>
        <v>13854.45</v>
      </c>
      <c r="I2957" s="18">
        <v>13161.73</v>
      </c>
      <c r="J2957" s="27">
        <v>13854.45</v>
      </c>
      <c r="K2957" s="18">
        <f t="shared" si="93"/>
        <v>13854.45</v>
      </c>
      <c r="L2957" s="27">
        <v>13161.73</v>
      </c>
      <c r="M2957" s="36">
        <v>0</v>
      </c>
      <c r="T2957" s="41">
        <v>0</v>
      </c>
      <c r="U2957" s="41">
        <v>0</v>
      </c>
      <c r="V2957" s="42" t="s">
        <v>113</v>
      </c>
      <c r="W2957" s="42">
        <v>13854.45</v>
      </c>
      <c r="X2957" s="42">
        <v>13854.45</v>
      </c>
    </row>
    <row r="2958" spans="1:24">
      <c r="A2958" s="27" t="s">
        <v>5464</v>
      </c>
      <c r="B2958" s="28" t="s">
        <v>5102</v>
      </c>
      <c r="C2958" s="27" t="s">
        <v>5465</v>
      </c>
      <c r="D2958" s="27" t="s">
        <v>5104</v>
      </c>
      <c r="E2958" s="29">
        <v>38078</v>
      </c>
      <c r="F2958" s="27">
        <v>15</v>
      </c>
      <c r="G2958" s="18">
        <v>29961.98</v>
      </c>
      <c r="H2958" s="27">
        <f t="shared" si="92"/>
        <v>29961.98</v>
      </c>
      <c r="I2958" s="18">
        <v>28463.88</v>
      </c>
      <c r="J2958" s="27">
        <v>29961.98</v>
      </c>
      <c r="K2958" s="18">
        <f t="shared" si="93"/>
        <v>29961.98</v>
      </c>
      <c r="L2958" s="27">
        <v>28463.88</v>
      </c>
      <c r="M2958" s="36">
        <v>0</v>
      </c>
      <c r="T2958" s="41">
        <v>0</v>
      </c>
      <c r="U2958" s="41">
        <v>0</v>
      </c>
      <c r="V2958" s="42" t="s">
        <v>113</v>
      </c>
      <c r="W2958" s="42">
        <v>29961.98</v>
      </c>
      <c r="X2958" s="42">
        <v>29961.98</v>
      </c>
    </row>
    <row r="2959" spans="1:24">
      <c r="A2959" s="27" t="s">
        <v>5466</v>
      </c>
      <c r="B2959" s="28" t="s">
        <v>5102</v>
      </c>
      <c r="C2959" s="27" t="s">
        <v>5467</v>
      </c>
      <c r="D2959" s="27" t="s">
        <v>5104</v>
      </c>
      <c r="E2959" s="29">
        <v>38078</v>
      </c>
      <c r="F2959" s="27">
        <v>15</v>
      </c>
      <c r="G2959" s="18">
        <v>13354.88</v>
      </c>
      <c r="H2959" s="27">
        <f t="shared" si="92"/>
        <v>13354.88</v>
      </c>
      <c r="I2959" s="18">
        <v>12687.14</v>
      </c>
      <c r="J2959" s="27">
        <v>13354.88</v>
      </c>
      <c r="K2959" s="18">
        <f t="shared" si="93"/>
        <v>13354.88</v>
      </c>
      <c r="L2959" s="27">
        <v>12687.14</v>
      </c>
      <c r="M2959" s="36">
        <v>0</v>
      </c>
      <c r="T2959" s="41">
        <v>0</v>
      </c>
      <c r="U2959" s="41">
        <v>0</v>
      </c>
      <c r="V2959" s="42" t="s">
        <v>113</v>
      </c>
      <c r="W2959" s="42">
        <v>13354.88</v>
      </c>
      <c r="X2959" s="42">
        <v>13354.88</v>
      </c>
    </row>
    <row r="2960" spans="1:24">
      <c r="A2960" s="27" t="s">
        <v>5468</v>
      </c>
      <c r="B2960" s="28" t="s">
        <v>5102</v>
      </c>
      <c r="C2960" s="27" t="s">
        <v>5469</v>
      </c>
      <c r="D2960" s="27" t="s">
        <v>5104</v>
      </c>
      <c r="E2960" s="29">
        <v>38078</v>
      </c>
      <c r="F2960" s="27">
        <v>15</v>
      </c>
      <c r="G2960" s="18">
        <v>27590.32</v>
      </c>
      <c r="H2960" s="27">
        <f t="shared" si="92"/>
        <v>27590.32</v>
      </c>
      <c r="I2960" s="18">
        <v>26210.799999999999</v>
      </c>
      <c r="J2960" s="27">
        <v>27590.32</v>
      </c>
      <c r="K2960" s="18">
        <f t="shared" si="93"/>
        <v>27590.32</v>
      </c>
      <c r="L2960" s="27">
        <v>26210.799999999999</v>
      </c>
      <c r="M2960" s="36">
        <v>0</v>
      </c>
      <c r="T2960" s="41">
        <v>0</v>
      </c>
      <c r="U2960" s="41">
        <v>0</v>
      </c>
      <c r="V2960" s="42" t="s">
        <v>113</v>
      </c>
      <c r="W2960" s="42">
        <v>27590.32</v>
      </c>
      <c r="X2960" s="42">
        <v>27590.32</v>
      </c>
    </row>
    <row r="2961" spans="1:24">
      <c r="A2961" s="27" t="s">
        <v>5470</v>
      </c>
      <c r="B2961" s="28" t="s">
        <v>5102</v>
      </c>
      <c r="C2961" s="27" t="s">
        <v>5471</v>
      </c>
      <c r="D2961" s="27" t="s">
        <v>5104</v>
      </c>
      <c r="E2961" s="29">
        <v>38078</v>
      </c>
      <c r="F2961" s="27">
        <v>15</v>
      </c>
      <c r="G2961" s="18">
        <v>18708.88</v>
      </c>
      <c r="H2961" s="27">
        <f t="shared" si="92"/>
        <v>18708.88</v>
      </c>
      <c r="I2961" s="18">
        <v>17773.439999999999</v>
      </c>
      <c r="J2961" s="27">
        <v>18708.88</v>
      </c>
      <c r="K2961" s="18">
        <f t="shared" si="93"/>
        <v>18708.88</v>
      </c>
      <c r="L2961" s="27">
        <v>17773.439999999999</v>
      </c>
      <c r="M2961" s="36">
        <v>0</v>
      </c>
      <c r="T2961" s="41">
        <v>0</v>
      </c>
      <c r="U2961" s="41">
        <v>0</v>
      </c>
      <c r="V2961" s="42" t="s">
        <v>113</v>
      </c>
      <c r="W2961" s="42">
        <v>18708.88</v>
      </c>
      <c r="X2961" s="42">
        <v>18708.88</v>
      </c>
    </row>
    <row r="2962" spans="1:24">
      <c r="A2962" s="27" t="s">
        <v>5472</v>
      </c>
      <c r="B2962" s="28" t="s">
        <v>5102</v>
      </c>
      <c r="C2962" s="27" t="s">
        <v>5473</v>
      </c>
      <c r="D2962" s="27" t="s">
        <v>5104</v>
      </c>
      <c r="E2962" s="29">
        <v>38078</v>
      </c>
      <c r="F2962" s="27">
        <v>15</v>
      </c>
      <c r="G2962" s="18">
        <v>42709.66</v>
      </c>
      <c r="H2962" s="27">
        <f t="shared" si="92"/>
        <v>42709.66</v>
      </c>
      <c r="I2962" s="18">
        <v>40574.18</v>
      </c>
      <c r="J2962" s="27">
        <v>42709.66</v>
      </c>
      <c r="K2962" s="18">
        <f t="shared" si="93"/>
        <v>42709.66</v>
      </c>
      <c r="L2962" s="27">
        <v>40574.18</v>
      </c>
      <c r="M2962" s="36">
        <v>0</v>
      </c>
      <c r="T2962" s="41">
        <v>0</v>
      </c>
      <c r="U2962" s="41">
        <v>0</v>
      </c>
      <c r="V2962" s="42" t="s">
        <v>113</v>
      </c>
      <c r="W2962" s="42">
        <v>42709.66</v>
      </c>
      <c r="X2962" s="42">
        <v>42709.66</v>
      </c>
    </row>
    <row r="2963" spans="1:24">
      <c r="A2963" s="27" t="s">
        <v>5474</v>
      </c>
      <c r="B2963" s="28" t="s">
        <v>5102</v>
      </c>
      <c r="C2963" s="27" t="s">
        <v>5475</v>
      </c>
      <c r="D2963" s="27" t="s">
        <v>5104</v>
      </c>
      <c r="E2963" s="29">
        <v>38078</v>
      </c>
      <c r="F2963" s="27">
        <v>15</v>
      </c>
      <c r="G2963" s="18">
        <v>20543.669999999998</v>
      </c>
      <c r="H2963" s="27">
        <f t="shared" si="92"/>
        <v>20543.669999999998</v>
      </c>
      <c r="I2963" s="18">
        <v>19516.490000000002</v>
      </c>
      <c r="J2963" s="27">
        <v>20543.669999999998</v>
      </c>
      <c r="K2963" s="18">
        <f t="shared" si="93"/>
        <v>20543.669999999998</v>
      </c>
      <c r="L2963" s="27">
        <v>19516.490000000002</v>
      </c>
      <c r="M2963" s="36">
        <v>0</v>
      </c>
      <c r="T2963" s="41">
        <v>0</v>
      </c>
      <c r="U2963" s="41">
        <v>0</v>
      </c>
      <c r="V2963" s="42" t="s">
        <v>113</v>
      </c>
      <c r="W2963" s="42">
        <v>20543.669999999998</v>
      </c>
      <c r="X2963" s="42">
        <v>20543.669999999998</v>
      </c>
    </row>
    <row r="2964" spans="1:24">
      <c r="A2964" s="27" t="s">
        <v>5476</v>
      </c>
      <c r="B2964" s="28" t="s">
        <v>5102</v>
      </c>
      <c r="C2964" s="27" t="s">
        <v>5475</v>
      </c>
      <c r="D2964" s="27" t="s">
        <v>5104</v>
      </c>
      <c r="E2964" s="29">
        <v>38078</v>
      </c>
      <c r="F2964" s="27">
        <v>15</v>
      </c>
      <c r="G2964" s="18">
        <v>30289.13</v>
      </c>
      <c r="H2964" s="27">
        <f t="shared" si="92"/>
        <v>30289.13</v>
      </c>
      <c r="I2964" s="18">
        <v>28774.67</v>
      </c>
      <c r="J2964" s="27">
        <v>30289.13</v>
      </c>
      <c r="K2964" s="18">
        <f t="shared" si="93"/>
        <v>30289.13</v>
      </c>
      <c r="L2964" s="27">
        <v>28774.67</v>
      </c>
      <c r="M2964" s="36">
        <v>0</v>
      </c>
      <c r="T2964" s="41">
        <v>0</v>
      </c>
      <c r="U2964" s="41">
        <v>0</v>
      </c>
      <c r="V2964" s="42" t="s">
        <v>113</v>
      </c>
      <c r="W2964" s="42">
        <v>30289.13</v>
      </c>
      <c r="X2964" s="42">
        <v>30289.13</v>
      </c>
    </row>
    <row r="2965" spans="1:24">
      <c r="A2965" s="27" t="s">
        <v>5477</v>
      </c>
      <c r="B2965" s="28" t="s">
        <v>5102</v>
      </c>
      <c r="C2965" s="27" t="s">
        <v>5478</v>
      </c>
      <c r="D2965" s="27" t="s">
        <v>5104</v>
      </c>
      <c r="E2965" s="29">
        <v>38078</v>
      </c>
      <c r="F2965" s="27">
        <v>15</v>
      </c>
      <c r="G2965" s="18">
        <v>56544.34</v>
      </c>
      <c r="H2965" s="27">
        <f t="shared" si="92"/>
        <v>56544.34</v>
      </c>
      <c r="I2965" s="18">
        <v>53717.120000000003</v>
      </c>
      <c r="J2965" s="27">
        <v>56544.34</v>
      </c>
      <c r="K2965" s="18">
        <f t="shared" si="93"/>
        <v>56544.34</v>
      </c>
      <c r="L2965" s="27">
        <v>53717.120000000003</v>
      </c>
      <c r="M2965" s="36">
        <v>0</v>
      </c>
      <c r="T2965" s="41">
        <v>0</v>
      </c>
      <c r="U2965" s="41">
        <v>0</v>
      </c>
      <c r="V2965" s="42" t="s">
        <v>113</v>
      </c>
      <c r="W2965" s="42">
        <v>56544.34</v>
      </c>
      <c r="X2965" s="42">
        <v>56544.34</v>
      </c>
    </row>
    <row r="2966" spans="1:24">
      <c r="A2966" s="27" t="s">
        <v>5479</v>
      </c>
      <c r="B2966" s="28" t="s">
        <v>5102</v>
      </c>
      <c r="C2966" s="27" t="s">
        <v>5480</v>
      </c>
      <c r="D2966" s="27" t="s">
        <v>5104</v>
      </c>
      <c r="E2966" s="29">
        <v>38078</v>
      </c>
      <c r="F2966" s="27">
        <v>15</v>
      </c>
      <c r="G2966" s="18">
        <v>79106.66</v>
      </c>
      <c r="H2966" s="27">
        <f t="shared" si="92"/>
        <v>79106.66</v>
      </c>
      <c r="I2966" s="18">
        <v>75151.33</v>
      </c>
      <c r="J2966" s="27">
        <v>79106.66</v>
      </c>
      <c r="K2966" s="18">
        <f t="shared" si="93"/>
        <v>79106.66</v>
      </c>
      <c r="L2966" s="27">
        <v>75151.33</v>
      </c>
      <c r="M2966" s="36">
        <v>0</v>
      </c>
      <c r="T2966" s="41">
        <v>0</v>
      </c>
      <c r="U2966" s="41">
        <v>0</v>
      </c>
      <c r="V2966" s="42" t="s">
        <v>113</v>
      </c>
      <c r="W2966" s="42">
        <v>79106.66</v>
      </c>
      <c r="X2966" s="42">
        <v>79106.66</v>
      </c>
    </row>
    <row r="2967" spans="1:24">
      <c r="A2967" s="27" t="s">
        <v>5481</v>
      </c>
      <c r="B2967" s="28" t="s">
        <v>5102</v>
      </c>
      <c r="C2967" s="27" t="s">
        <v>5482</v>
      </c>
      <c r="D2967" s="27" t="s">
        <v>5104</v>
      </c>
      <c r="E2967" s="29">
        <v>38078</v>
      </c>
      <c r="F2967" s="27">
        <v>15</v>
      </c>
      <c r="G2967" s="18">
        <v>15490.47</v>
      </c>
      <c r="H2967" s="27">
        <f t="shared" si="92"/>
        <v>15490.47</v>
      </c>
      <c r="I2967" s="18">
        <v>14715.95</v>
      </c>
      <c r="J2967" s="27">
        <v>15490.47</v>
      </c>
      <c r="K2967" s="18">
        <f t="shared" si="93"/>
        <v>15490.47</v>
      </c>
      <c r="L2967" s="27">
        <v>14715.95</v>
      </c>
      <c r="M2967" s="36">
        <v>0</v>
      </c>
      <c r="T2967" s="41">
        <v>0</v>
      </c>
      <c r="U2967" s="41">
        <v>0</v>
      </c>
      <c r="V2967" s="42" t="s">
        <v>113</v>
      </c>
      <c r="W2967" s="42">
        <v>15490.47</v>
      </c>
      <c r="X2967" s="42">
        <v>15490.47</v>
      </c>
    </row>
    <row r="2968" spans="1:24">
      <c r="A2968" s="27" t="s">
        <v>5483</v>
      </c>
      <c r="B2968" s="28" t="s">
        <v>5102</v>
      </c>
      <c r="C2968" s="27" t="s">
        <v>5484</v>
      </c>
      <c r="D2968" s="27" t="s">
        <v>5104</v>
      </c>
      <c r="E2968" s="29">
        <v>38078</v>
      </c>
      <c r="F2968" s="27">
        <v>15</v>
      </c>
      <c r="G2968" s="18">
        <v>163960.79999999999</v>
      </c>
      <c r="H2968" s="27">
        <f t="shared" si="92"/>
        <v>163960.79999999999</v>
      </c>
      <c r="I2968" s="18">
        <v>155762.76</v>
      </c>
      <c r="J2968" s="27">
        <v>163960.79999999999</v>
      </c>
      <c r="K2968" s="18">
        <f t="shared" si="93"/>
        <v>163960.79999999999</v>
      </c>
      <c r="L2968" s="27">
        <v>155762.76</v>
      </c>
      <c r="M2968" s="36">
        <v>0</v>
      </c>
      <c r="T2968" s="41">
        <v>0</v>
      </c>
      <c r="U2968" s="41">
        <v>0</v>
      </c>
      <c r="V2968" s="42" t="s">
        <v>113</v>
      </c>
      <c r="W2968" s="42">
        <v>163960.79999999999</v>
      </c>
      <c r="X2968" s="42">
        <v>163960.79999999999</v>
      </c>
    </row>
    <row r="2969" spans="1:24">
      <c r="A2969" s="27" t="s">
        <v>5485</v>
      </c>
      <c r="B2969" s="28" t="s">
        <v>5102</v>
      </c>
      <c r="C2969" s="27" t="s">
        <v>5486</v>
      </c>
      <c r="D2969" s="27" t="s">
        <v>5104</v>
      </c>
      <c r="E2969" s="29">
        <v>38078</v>
      </c>
      <c r="F2969" s="27">
        <v>15</v>
      </c>
      <c r="G2969" s="18">
        <v>16302.59</v>
      </c>
      <c r="H2969" s="27">
        <f t="shared" si="92"/>
        <v>16302.59</v>
      </c>
      <c r="I2969" s="18">
        <v>15487.46</v>
      </c>
      <c r="J2969" s="27">
        <v>16302.59</v>
      </c>
      <c r="K2969" s="18">
        <f t="shared" si="93"/>
        <v>16302.59</v>
      </c>
      <c r="L2969" s="27">
        <v>15487.46</v>
      </c>
      <c r="M2969" s="36">
        <v>0</v>
      </c>
      <c r="T2969" s="41">
        <v>0</v>
      </c>
      <c r="U2969" s="41">
        <v>0</v>
      </c>
      <c r="V2969" s="42" t="s">
        <v>113</v>
      </c>
      <c r="W2969" s="42">
        <v>16302.59</v>
      </c>
      <c r="X2969" s="42">
        <v>16302.59</v>
      </c>
    </row>
    <row r="2970" spans="1:24">
      <c r="A2970" s="27" t="s">
        <v>5487</v>
      </c>
      <c r="B2970" s="28" t="s">
        <v>5102</v>
      </c>
      <c r="C2970" s="27" t="s">
        <v>5488</v>
      </c>
      <c r="D2970" s="27" t="s">
        <v>5104</v>
      </c>
      <c r="E2970" s="29">
        <v>38078</v>
      </c>
      <c r="F2970" s="27">
        <v>15</v>
      </c>
      <c r="G2970" s="18">
        <v>15821.33</v>
      </c>
      <c r="H2970" s="27">
        <f t="shared" si="92"/>
        <v>15821.33</v>
      </c>
      <c r="I2970" s="18">
        <v>15030.26</v>
      </c>
      <c r="J2970" s="27">
        <v>15821.33</v>
      </c>
      <c r="K2970" s="18">
        <f t="shared" si="93"/>
        <v>15821.33</v>
      </c>
      <c r="L2970" s="27">
        <v>15030.26</v>
      </c>
      <c r="M2970" s="36">
        <v>0</v>
      </c>
      <c r="T2970" s="41">
        <v>0</v>
      </c>
      <c r="U2970" s="41">
        <v>0</v>
      </c>
      <c r="V2970" s="42" t="s">
        <v>113</v>
      </c>
      <c r="W2970" s="42">
        <v>15821.33</v>
      </c>
      <c r="X2970" s="42">
        <v>15821.33</v>
      </c>
    </row>
    <row r="2971" spans="1:24">
      <c r="A2971" s="27" t="s">
        <v>5489</v>
      </c>
      <c r="B2971" s="28" t="s">
        <v>5102</v>
      </c>
      <c r="C2971" s="27" t="s">
        <v>5490</v>
      </c>
      <c r="D2971" s="27" t="s">
        <v>5104</v>
      </c>
      <c r="E2971" s="29">
        <v>38078</v>
      </c>
      <c r="F2971" s="27">
        <v>15</v>
      </c>
      <c r="G2971" s="18">
        <v>15701.02</v>
      </c>
      <c r="H2971" s="27">
        <f t="shared" si="92"/>
        <v>15701.02</v>
      </c>
      <c r="I2971" s="18">
        <v>14915.97</v>
      </c>
      <c r="J2971" s="27">
        <v>15701.02</v>
      </c>
      <c r="K2971" s="18">
        <f t="shared" si="93"/>
        <v>15701.02</v>
      </c>
      <c r="L2971" s="27">
        <v>14915.97</v>
      </c>
      <c r="M2971" s="36">
        <v>0</v>
      </c>
      <c r="T2971" s="41">
        <v>0</v>
      </c>
      <c r="U2971" s="41">
        <v>0</v>
      </c>
      <c r="V2971" s="42" t="s">
        <v>113</v>
      </c>
      <c r="W2971" s="42">
        <v>15701.02</v>
      </c>
      <c r="X2971" s="42">
        <v>15701.02</v>
      </c>
    </row>
    <row r="2972" spans="1:24">
      <c r="A2972" s="27" t="s">
        <v>5491</v>
      </c>
      <c r="B2972" s="28" t="s">
        <v>5102</v>
      </c>
      <c r="C2972" s="27" t="s">
        <v>5492</v>
      </c>
      <c r="D2972" s="27" t="s">
        <v>5104</v>
      </c>
      <c r="E2972" s="29">
        <v>38078</v>
      </c>
      <c r="F2972" s="27">
        <v>15</v>
      </c>
      <c r="G2972" s="18">
        <v>76150.070000000007</v>
      </c>
      <c r="H2972" s="27">
        <f t="shared" si="92"/>
        <v>76150.070000000007</v>
      </c>
      <c r="I2972" s="18">
        <v>72342.570000000007</v>
      </c>
      <c r="J2972" s="27">
        <v>76150.070000000007</v>
      </c>
      <c r="K2972" s="18">
        <f t="shared" si="93"/>
        <v>76150.070000000007</v>
      </c>
      <c r="L2972" s="27">
        <v>72342.570000000007</v>
      </c>
      <c r="M2972" s="36">
        <v>0</v>
      </c>
      <c r="T2972" s="41">
        <v>0</v>
      </c>
      <c r="U2972" s="41">
        <v>0</v>
      </c>
      <c r="V2972" s="42" t="s">
        <v>113</v>
      </c>
      <c r="W2972" s="42">
        <v>76150.070000000007</v>
      </c>
      <c r="X2972" s="42">
        <v>76150.070000000007</v>
      </c>
    </row>
    <row r="2973" spans="1:24">
      <c r="A2973" s="27" t="s">
        <v>5493</v>
      </c>
      <c r="B2973" s="28" t="s">
        <v>5102</v>
      </c>
      <c r="C2973" s="27" t="s">
        <v>5494</v>
      </c>
      <c r="D2973" s="27" t="s">
        <v>5104</v>
      </c>
      <c r="E2973" s="29">
        <v>38078</v>
      </c>
      <c r="F2973" s="27">
        <v>15</v>
      </c>
      <c r="G2973" s="18">
        <v>33327.06</v>
      </c>
      <c r="H2973" s="27">
        <f t="shared" si="92"/>
        <v>33327.06</v>
      </c>
      <c r="I2973" s="18">
        <v>31660.71</v>
      </c>
      <c r="J2973" s="27">
        <v>33327.06</v>
      </c>
      <c r="K2973" s="18">
        <f t="shared" si="93"/>
        <v>33327.06</v>
      </c>
      <c r="L2973" s="27">
        <v>31660.71</v>
      </c>
      <c r="M2973" s="36">
        <v>0</v>
      </c>
      <c r="T2973" s="41">
        <v>0</v>
      </c>
      <c r="U2973" s="41">
        <v>0</v>
      </c>
      <c r="V2973" s="42" t="s">
        <v>113</v>
      </c>
      <c r="W2973" s="42">
        <v>33327.06</v>
      </c>
      <c r="X2973" s="42">
        <v>33327.06</v>
      </c>
    </row>
    <row r="2974" spans="1:24">
      <c r="A2974" s="27" t="s">
        <v>5495</v>
      </c>
      <c r="B2974" s="28" t="s">
        <v>5102</v>
      </c>
      <c r="C2974" s="27" t="s">
        <v>5496</v>
      </c>
      <c r="D2974" s="27" t="s">
        <v>5104</v>
      </c>
      <c r="E2974" s="29">
        <v>38078</v>
      </c>
      <c r="F2974" s="27">
        <v>15</v>
      </c>
      <c r="G2974" s="18">
        <v>15580.7</v>
      </c>
      <c r="H2974" s="27">
        <f t="shared" si="92"/>
        <v>15580.7</v>
      </c>
      <c r="I2974" s="18">
        <v>14801.66</v>
      </c>
      <c r="J2974" s="27">
        <v>15580.7</v>
      </c>
      <c r="K2974" s="18">
        <f t="shared" si="93"/>
        <v>15580.7</v>
      </c>
      <c r="L2974" s="27">
        <v>14801.66</v>
      </c>
      <c r="M2974" s="36">
        <v>0</v>
      </c>
      <c r="T2974" s="41">
        <v>0</v>
      </c>
      <c r="U2974" s="41">
        <v>0</v>
      </c>
      <c r="V2974" s="42" t="s">
        <v>113</v>
      </c>
      <c r="W2974" s="42">
        <v>15580.7</v>
      </c>
      <c r="X2974" s="42">
        <v>15580.7</v>
      </c>
    </row>
    <row r="2975" spans="1:24">
      <c r="A2975" s="27" t="s">
        <v>5497</v>
      </c>
      <c r="B2975" s="28" t="s">
        <v>5102</v>
      </c>
      <c r="C2975" s="27" t="s">
        <v>5496</v>
      </c>
      <c r="D2975" s="27" t="s">
        <v>5104</v>
      </c>
      <c r="E2975" s="29">
        <v>38078</v>
      </c>
      <c r="F2975" s="27">
        <v>15</v>
      </c>
      <c r="G2975" s="18">
        <v>20724.14</v>
      </c>
      <c r="H2975" s="27">
        <f t="shared" si="92"/>
        <v>20724.14</v>
      </c>
      <c r="I2975" s="18">
        <v>19687.93</v>
      </c>
      <c r="J2975" s="27">
        <v>20724.14</v>
      </c>
      <c r="K2975" s="18">
        <f t="shared" si="93"/>
        <v>20724.14</v>
      </c>
      <c r="L2975" s="27">
        <v>19687.93</v>
      </c>
      <c r="M2975" s="36">
        <v>0</v>
      </c>
      <c r="T2975" s="41">
        <v>0</v>
      </c>
      <c r="U2975" s="41">
        <v>0</v>
      </c>
      <c r="V2975" s="42" t="s">
        <v>113</v>
      </c>
      <c r="W2975" s="42">
        <v>20724.14</v>
      </c>
      <c r="X2975" s="42">
        <v>20724.14</v>
      </c>
    </row>
    <row r="2976" spans="1:24">
      <c r="A2976" s="27" t="s">
        <v>5498</v>
      </c>
      <c r="B2976" s="28" t="s">
        <v>5102</v>
      </c>
      <c r="C2976" s="27" t="s">
        <v>5499</v>
      </c>
      <c r="D2976" s="27" t="s">
        <v>5104</v>
      </c>
      <c r="E2976" s="29">
        <v>38078</v>
      </c>
      <c r="F2976" s="27">
        <v>15</v>
      </c>
      <c r="G2976" s="18">
        <v>40576</v>
      </c>
      <c r="H2976" s="27">
        <f t="shared" si="92"/>
        <v>40576</v>
      </c>
      <c r="I2976" s="18">
        <v>38547.199999999997</v>
      </c>
      <c r="J2976" s="27">
        <v>40576</v>
      </c>
      <c r="K2976" s="18">
        <f t="shared" si="93"/>
        <v>40576</v>
      </c>
      <c r="L2976" s="27">
        <v>38547.199999999997</v>
      </c>
      <c r="M2976" s="36">
        <v>0</v>
      </c>
      <c r="T2976" s="41">
        <v>0</v>
      </c>
      <c r="U2976" s="41">
        <v>0</v>
      </c>
      <c r="V2976" s="42" t="s">
        <v>113</v>
      </c>
      <c r="W2976" s="42">
        <v>40576</v>
      </c>
      <c r="X2976" s="42">
        <v>40576</v>
      </c>
    </row>
    <row r="2977" spans="1:24">
      <c r="A2977" s="27" t="s">
        <v>5500</v>
      </c>
      <c r="B2977" s="28" t="s">
        <v>5102</v>
      </c>
      <c r="C2977" s="27" t="s">
        <v>5501</v>
      </c>
      <c r="D2977" s="27" t="s">
        <v>5104</v>
      </c>
      <c r="E2977" s="29">
        <v>38078</v>
      </c>
      <c r="F2977" s="27">
        <v>15</v>
      </c>
      <c r="G2977" s="18">
        <v>48678.33</v>
      </c>
      <c r="H2977" s="27">
        <f t="shared" si="92"/>
        <v>48678.33</v>
      </c>
      <c r="I2977" s="18">
        <v>46244.41</v>
      </c>
      <c r="J2977" s="27">
        <v>48678.33</v>
      </c>
      <c r="K2977" s="18">
        <f t="shared" si="93"/>
        <v>48678.33</v>
      </c>
      <c r="L2977" s="27">
        <v>46244.41</v>
      </c>
      <c r="M2977" s="36">
        <v>0</v>
      </c>
      <c r="T2977" s="41">
        <v>0</v>
      </c>
      <c r="U2977" s="41">
        <v>0</v>
      </c>
      <c r="V2977" s="42" t="s">
        <v>113</v>
      </c>
      <c r="W2977" s="42">
        <v>48678.33</v>
      </c>
      <c r="X2977" s="42">
        <v>48678.33</v>
      </c>
    </row>
    <row r="2978" spans="1:24">
      <c r="A2978" s="27" t="s">
        <v>5502</v>
      </c>
      <c r="B2978" s="28" t="s">
        <v>5102</v>
      </c>
      <c r="C2978" s="27" t="s">
        <v>5503</v>
      </c>
      <c r="D2978" s="27" t="s">
        <v>5104</v>
      </c>
      <c r="E2978" s="29">
        <v>38078</v>
      </c>
      <c r="F2978" s="27">
        <v>15</v>
      </c>
      <c r="G2978" s="18">
        <v>42621.279999999999</v>
      </c>
      <c r="H2978" s="27">
        <f t="shared" si="92"/>
        <v>42621.279999999999</v>
      </c>
      <c r="I2978" s="18">
        <v>40490.22</v>
      </c>
      <c r="J2978" s="27">
        <v>42621.279999999999</v>
      </c>
      <c r="K2978" s="18">
        <f t="shared" si="93"/>
        <v>42621.279999999999</v>
      </c>
      <c r="L2978" s="27">
        <v>40490.22</v>
      </c>
      <c r="M2978" s="36">
        <v>0</v>
      </c>
      <c r="T2978" s="41">
        <v>0</v>
      </c>
      <c r="U2978" s="41">
        <v>0</v>
      </c>
      <c r="V2978" s="42" t="s">
        <v>113</v>
      </c>
      <c r="W2978" s="42">
        <v>42621.279999999999</v>
      </c>
      <c r="X2978" s="42">
        <v>42621.279999999999</v>
      </c>
    </row>
    <row r="2979" spans="1:24">
      <c r="A2979" s="27" t="s">
        <v>5504</v>
      </c>
      <c r="B2979" s="28" t="s">
        <v>5102</v>
      </c>
      <c r="C2979" s="27" t="s">
        <v>5505</v>
      </c>
      <c r="D2979" s="27" t="s">
        <v>5104</v>
      </c>
      <c r="E2979" s="29">
        <v>38078</v>
      </c>
      <c r="F2979" s="27">
        <v>15</v>
      </c>
      <c r="G2979" s="18">
        <v>23222.51</v>
      </c>
      <c r="H2979" s="27">
        <f t="shared" si="92"/>
        <v>23222.51</v>
      </c>
      <c r="I2979" s="18">
        <v>22061.38</v>
      </c>
      <c r="J2979" s="27">
        <v>23222.51</v>
      </c>
      <c r="K2979" s="18">
        <f t="shared" si="93"/>
        <v>23222.51</v>
      </c>
      <c r="L2979" s="27">
        <v>22061.38</v>
      </c>
      <c r="M2979" s="36">
        <v>0</v>
      </c>
      <c r="T2979" s="41">
        <v>0</v>
      </c>
      <c r="U2979" s="41">
        <v>0</v>
      </c>
      <c r="V2979" s="42" t="s">
        <v>113</v>
      </c>
      <c r="W2979" s="42">
        <v>23222.51</v>
      </c>
      <c r="X2979" s="42">
        <v>23222.51</v>
      </c>
    </row>
    <row r="2980" spans="1:24">
      <c r="A2980" s="27" t="s">
        <v>5506</v>
      </c>
      <c r="B2980" s="28" t="s">
        <v>5102</v>
      </c>
      <c r="C2980" s="27" t="s">
        <v>5507</v>
      </c>
      <c r="D2980" s="27" t="s">
        <v>5104</v>
      </c>
      <c r="E2980" s="29">
        <v>38078</v>
      </c>
      <c r="F2980" s="27">
        <v>15</v>
      </c>
      <c r="G2980" s="18">
        <v>56267.64</v>
      </c>
      <c r="H2980" s="27">
        <f t="shared" si="92"/>
        <v>56267.64</v>
      </c>
      <c r="I2980" s="18">
        <v>53454.26</v>
      </c>
      <c r="J2980" s="27">
        <v>56267.64</v>
      </c>
      <c r="K2980" s="18">
        <f t="shared" si="93"/>
        <v>56267.64</v>
      </c>
      <c r="L2980" s="27">
        <v>53454.26</v>
      </c>
      <c r="M2980" s="36">
        <v>0</v>
      </c>
      <c r="T2980" s="41">
        <v>0</v>
      </c>
      <c r="U2980" s="41">
        <v>0</v>
      </c>
      <c r="V2980" s="42" t="s">
        <v>113</v>
      </c>
      <c r="W2980" s="42">
        <v>56267.64</v>
      </c>
      <c r="X2980" s="42">
        <v>56267.64</v>
      </c>
    </row>
    <row r="2981" spans="1:24">
      <c r="A2981" s="27" t="s">
        <v>5508</v>
      </c>
      <c r="B2981" s="28" t="s">
        <v>5102</v>
      </c>
      <c r="C2981" s="27" t="s">
        <v>5509</v>
      </c>
      <c r="D2981" s="27" t="s">
        <v>5104</v>
      </c>
      <c r="E2981" s="29">
        <v>38078</v>
      </c>
      <c r="F2981" s="27">
        <v>15</v>
      </c>
      <c r="G2981" s="18">
        <v>35342.32</v>
      </c>
      <c r="H2981" s="27">
        <f t="shared" si="92"/>
        <v>35342.32</v>
      </c>
      <c r="I2981" s="18">
        <v>33575.199999999997</v>
      </c>
      <c r="J2981" s="27">
        <v>35342.32</v>
      </c>
      <c r="K2981" s="18">
        <f t="shared" si="93"/>
        <v>35342.32</v>
      </c>
      <c r="L2981" s="27">
        <v>33575.199999999997</v>
      </c>
      <c r="M2981" s="36">
        <v>0</v>
      </c>
      <c r="T2981" s="41">
        <v>0</v>
      </c>
      <c r="U2981" s="41">
        <v>0</v>
      </c>
      <c r="V2981" s="42" t="s">
        <v>113</v>
      </c>
      <c r="W2981" s="42">
        <v>35342.32</v>
      </c>
      <c r="X2981" s="42">
        <v>35342.32</v>
      </c>
    </row>
    <row r="2982" spans="1:24">
      <c r="A2982" s="27" t="s">
        <v>5510</v>
      </c>
      <c r="B2982" s="28" t="s">
        <v>5102</v>
      </c>
      <c r="C2982" s="27" t="s">
        <v>5511</v>
      </c>
      <c r="D2982" s="27" t="s">
        <v>5104</v>
      </c>
      <c r="E2982" s="29">
        <v>38078</v>
      </c>
      <c r="F2982" s="27">
        <v>15</v>
      </c>
      <c r="G2982" s="18">
        <v>51069.760000000002</v>
      </c>
      <c r="H2982" s="27">
        <f t="shared" si="92"/>
        <v>51069.760000000002</v>
      </c>
      <c r="I2982" s="18">
        <v>48516.27</v>
      </c>
      <c r="J2982" s="27">
        <v>51069.760000000002</v>
      </c>
      <c r="K2982" s="18">
        <f t="shared" si="93"/>
        <v>51069.760000000002</v>
      </c>
      <c r="L2982" s="27">
        <v>48516.27</v>
      </c>
      <c r="M2982" s="36">
        <v>0</v>
      </c>
      <c r="T2982" s="41">
        <v>0</v>
      </c>
      <c r="U2982" s="41">
        <v>0</v>
      </c>
      <c r="V2982" s="42" t="s">
        <v>113</v>
      </c>
      <c r="W2982" s="42">
        <v>51069.760000000002</v>
      </c>
      <c r="X2982" s="42">
        <v>51069.760000000002</v>
      </c>
    </row>
    <row r="2983" spans="1:24">
      <c r="A2983" s="27" t="s">
        <v>5512</v>
      </c>
      <c r="B2983" s="28" t="s">
        <v>5102</v>
      </c>
      <c r="C2983" s="27" t="s">
        <v>5513</v>
      </c>
      <c r="D2983" s="27" t="s">
        <v>230</v>
      </c>
      <c r="E2983" s="29">
        <v>39417</v>
      </c>
      <c r="F2983" s="27">
        <v>15</v>
      </c>
      <c r="G2983" s="18">
        <v>3680797.68</v>
      </c>
      <c r="H2983" s="27">
        <f t="shared" si="92"/>
        <v>0</v>
      </c>
      <c r="I2983" s="18">
        <v>3038829.14</v>
      </c>
      <c r="J2983" s="27">
        <v>3680797.68</v>
      </c>
      <c r="K2983" s="18">
        <f t="shared" si="93"/>
        <v>0</v>
      </c>
      <c r="L2983" s="27">
        <v>3153311.31</v>
      </c>
      <c r="M2983" s="36">
        <v>114482.17</v>
      </c>
      <c r="T2983" s="41">
        <v>0</v>
      </c>
      <c r="U2983" s="41">
        <v>0</v>
      </c>
      <c r="V2983" s="42" t="s">
        <v>113</v>
      </c>
      <c r="W2983" s="42">
        <v>0</v>
      </c>
      <c r="X2983" s="42">
        <v>0</v>
      </c>
    </row>
    <row r="2984" spans="1:24">
      <c r="A2984" s="27" t="s">
        <v>5514</v>
      </c>
      <c r="B2984" s="28" t="s">
        <v>5102</v>
      </c>
      <c r="C2984" s="27" t="s">
        <v>5515</v>
      </c>
      <c r="D2984" s="27" t="s">
        <v>5104</v>
      </c>
      <c r="E2984" s="29">
        <v>39417</v>
      </c>
      <c r="F2984" s="27">
        <v>15</v>
      </c>
      <c r="G2984" s="18">
        <v>346640.71</v>
      </c>
      <c r="H2984" s="27">
        <f t="shared" si="92"/>
        <v>0</v>
      </c>
      <c r="I2984" s="18">
        <v>295649.57</v>
      </c>
      <c r="J2984" s="27">
        <v>346640.71</v>
      </c>
      <c r="K2984" s="18">
        <f t="shared" si="93"/>
        <v>0</v>
      </c>
      <c r="L2984" s="27">
        <v>304064.34999999998</v>
      </c>
      <c r="M2984" s="36">
        <v>8414.7800000000007</v>
      </c>
      <c r="T2984" s="41">
        <v>0</v>
      </c>
      <c r="U2984" s="41">
        <v>0</v>
      </c>
      <c r="V2984" s="42" t="s">
        <v>113</v>
      </c>
      <c r="W2984" s="42">
        <v>0</v>
      </c>
      <c r="X2984" s="42">
        <v>0</v>
      </c>
    </row>
    <row r="2985" spans="1:24">
      <c r="A2985" s="27" t="s">
        <v>5516</v>
      </c>
      <c r="B2985" s="28" t="s">
        <v>5102</v>
      </c>
      <c r="C2985" s="27" t="s">
        <v>5515</v>
      </c>
      <c r="D2985" s="27" t="s">
        <v>5104</v>
      </c>
      <c r="E2985" s="29">
        <v>39417</v>
      </c>
      <c r="F2985" s="27">
        <v>15</v>
      </c>
      <c r="G2985" s="18">
        <v>18282.73</v>
      </c>
      <c r="H2985" s="27">
        <f t="shared" si="92"/>
        <v>0</v>
      </c>
      <c r="I2985" s="18">
        <v>15593.33</v>
      </c>
      <c r="J2985" s="27">
        <v>18282.73</v>
      </c>
      <c r="K2985" s="18">
        <f t="shared" si="93"/>
        <v>0</v>
      </c>
      <c r="L2985" s="27">
        <v>16037.15</v>
      </c>
      <c r="M2985" s="36">
        <v>443.82</v>
      </c>
      <c r="T2985" s="41">
        <v>0</v>
      </c>
      <c r="U2985" s="41">
        <v>0</v>
      </c>
      <c r="V2985" s="42" t="s">
        <v>113</v>
      </c>
      <c r="W2985" s="42">
        <v>0</v>
      </c>
      <c r="X2985" s="42">
        <v>0</v>
      </c>
    </row>
    <row r="2986" spans="1:24">
      <c r="A2986" s="27" t="s">
        <v>5517</v>
      </c>
      <c r="B2986" s="28" t="s">
        <v>5102</v>
      </c>
      <c r="C2986" s="27" t="s">
        <v>5515</v>
      </c>
      <c r="D2986" s="27" t="s">
        <v>5104</v>
      </c>
      <c r="E2986" s="29">
        <v>39417</v>
      </c>
      <c r="F2986" s="27">
        <v>15</v>
      </c>
      <c r="G2986" s="18">
        <v>54848.21</v>
      </c>
      <c r="H2986" s="27">
        <f t="shared" si="92"/>
        <v>0</v>
      </c>
      <c r="I2986" s="18">
        <v>46780</v>
      </c>
      <c r="J2986" s="27">
        <v>54848.21</v>
      </c>
      <c r="K2986" s="18">
        <f t="shared" si="93"/>
        <v>0</v>
      </c>
      <c r="L2986" s="27">
        <v>48111.45</v>
      </c>
      <c r="M2986" s="36">
        <v>1331.45</v>
      </c>
      <c r="T2986" s="41">
        <v>0</v>
      </c>
      <c r="U2986" s="41">
        <v>0</v>
      </c>
      <c r="V2986" s="42" t="s">
        <v>113</v>
      </c>
      <c r="W2986" s="42">
        <v>0</v>
      </c>
      <c r="X2986" s="42">
        <v>0</v>
      </c>
    </row>
    <row r="2987" spans="1:24">
      <c r="A2987" s="27" t="s">
        <v>5518</v>
      </c>
      <c r="B2987" s="28" t="s">
        <v>5102</v>
      </c>
      <c r="C2987" s="27" t="s">
        <v>5515</v>
      </c>
      <c r="D2987" s="27" t="s">
        <v>5104</v>
      </c>
      <c r="E2987" s="29">
        <v>39417</v>
      </c>
      <c r="F2987" s="27">
        <v>15</v>
      </c>
      <c r="G2987" s="18">
        <v>27424.11</v>
      </c>
      <c r="H2987" s="27">
        <f t="shared" si="92"/>
        <v>0</v>
      </c>
      <c r="I2987" s="18">
        <v>23390</v>
      </c>
      <c r="J2987" s="27">
        <v>27424.11</v>
      </c>
      <c r="K2987" s="18">
        <f t="shared" si="93"/>
        <v>0</v>
      </c>
      <c r="L2987" s="27">
        <v>24055.73</v>
      </c>
      <c r="M2987" s="36">
        <v>665.73</v>
      </c>
      <c r="T2987" s="41">
        <v>0</v>
      </c>
      <c r="U2987" s="41">
        <v>0</v>
      </c>
      <c r="V2987" s="42" t="s">
        <v>113</v>
      </c>
      <c r="W2987" s="42">
        <v>0</v>
      </c>
      <c r="X2987" s="42">
        <v>0</v>
      </c>
    </row>
    <row r="2988" spans="1:24">
      <c r="A2988" s="27" t="s">
        <v>5519</v>
      </c>
      <c r="B2988" s="28" t="s">
        <v>5102</v>
      </c>
      <c r="C2988" s="27" t="s">
        <v>5520</v>
      </c>
      <c r="D2988" s="27" t="s">
        <v>5104</v>
      </c>
      <c r="E2988" s="29">
        <v>39417</v>
      </c>
      <c r="F2988" s="27">
        <v>15</v>
      </c>
      <c r="G2988" s="18">
        <v>625269.62</v>
      </c>
      <c r="H2988" s="27">
        <f t="shared" si="92"/>
        <v>0</v>
      </c>
      <c r="I2988" s="18">
        <v>533291.93999999994</v>
      </c>
      <c r="J2988" s="27">
        <v>625269.62</v>
      </c>
      <c r="K2988" s="18">
        <f t="shared" si="93"/>
        <v>0</v>
      </c>
      <c r="L2988" s="27">
        <v>548470.49</v>
      </c>
      <c r="M2988" s="36">
        <v>15178.55</v>
      </c>
      <c r="T2988" s="41">
        <v>0</v>
      </c>
      <c r="U2988" s="41">
        <v>0</v>
      </c>
      <c r="V2988" s="42" t="s">
        <v>113</v>
      </c>
      <c r="W2988" s="42">
        <v>0</v>
      </c>
      <c r="X2988" s="42">
        <v>0</v>
      </c>
    </row>
    <row r="2989" spans="1:24">
      <c r="A2989" s="27" t="s">
        <v>5521</v>
      </c>
      <c r="B2989" s="28" t="s">
        <v>5102</v>
      </c>
      <c r="C2989" s="27" t="s">
        <v>5522</v>
      </c>
      <c r="D2989" s="27" t="s">
        <v>5104</v>
      </c>
      <c r="E2989" s="29">
        <v>38078</v>
      </c>
      <c r="F2989" s="27">
        <v>15</v>
      </c>
      <c r="G2989" s="18">
        <v>27500</v>
      </c>
      <c r="H2989" s="27">
        <f t="shared" si="92"/>
        <v>27500</v>
      </c>
      <c r="I2989" s="18">
        <v>26125</v>
      </c>
      <c r="J2989" s="27">
        <v>27500</v>
      </c>
      <c r="K2989" s="18">
        <f t="shared" si="93"/>
        <v>27500</v>
      </c>
      <c r="L2989" s="27">
        <v>26125</v>
      </c>
      <c r="M2989" s="36">
        <v>0</v>
      </c>
      <c r="T2989" s="41">
        <v>0</v>
      </c>
      <c r="U2989" s="41">
        <v>0</v>
      </c>
      <c r="V2989" s="42" t="s">
        <v>113</v>
      </c>
      <c r="W2989" s="42">
        <v>27500</v>
      </c>
      <c r="X2989" s="42">
        <v>27500</v>
      </c>
    </row>
    <row r="2990" spans="1:24">
      <c r="A2990" s="27" t="s">
        <v>5523</v>
      </c>
      <c r="B2990" s="28" t="s">
        <v>5102</v>
      </c>
      <c r="C2990" s="27" t="s">
        <v>5524</v>
      </c>
      <c r="D2990" s="27" t="s">
        <v>230</v>
      </c>
      <c r="E2990" s="29">
        <v>36100</v>
      </c>
      <c r="F2990" s="27">
        <v>15</v>
      </c>
      <c r="G2990" s="18">
        <v>437812.73</v>
      </c>
      <c r="H2990" s="27">
        <f t="shared" si="92"/>
        <v>437812.73</v>
      </c>
      <c r="I2990" s="18">
        <v>415922.09</v>
      </c>
      <c r="J2990" s="27">
        <v>437812.73</v>
      </c>
      <c r="K2990" s="18">
        <f t="shared" si="93"/>
        <v>437812.73</v>
      </c>
      <c r="L2990" s="27">
        <v>415922.09</v>
      </c>
      <c r="M2990" s="36">
        <v>0</v>
      </c>
      <c r="T2990" s="41">
        <v>0</v>
      </c>
      <c r="U2990" s="41">
        <v>0</v>
      </c>
      <c r="V2990" s="42" t="s">
        <v>113</v>
      </c>
      <c r="W2990" s="42">
        <v>437812.73</v>
      </c>
      <c r="X2990" s="42">
        <v>437812.73</v>
      </c>
    </row>
    <row r="2991" spans="1:24">
      <c r="A2991" s="27" t="s">
        <v>5525</v>
      </c>
      <c r="B2991" s="28" t="s">
        <v>5102</v>
      </c>
      <c r="C2991" s="27" t="s">
        <v>5526</v>
      </c>
      <c r="D2991" s="27" t="s">
        <v>5104</v>
      </c>
      <c r="E2991" s="29">
        <v>36130</v>
      </c>
      <c r="F2991" s="27">
        <v>15</v>
      </c>
      <c r="G2991" s="18">
        <v>305402.40000000002</v>
      </c>
      <c r="H2991" s="27">
        <f t="shared" si="92"/>
        <v>305402.40000000002</v>
      </c>
      <c r="I2991" s="18">
        <v>290132.28000000003</v>
      </c>
      <c r="J2991" s="27">
        <v>305402.40000000002</v>
      </c>
      <c r="K2991" s="18">
        <f t="shared" si="93"/>
        <v>305402.40000000002</v>
      </c>
      <c r="L2991" s="27">
        <v>290132.28000000003</v>
      </c>
      <c r="M2991" s="36">
        <v>0</v>
      </c>
      <c r="T2991" s="41">
        <v>0</v>
      </c>
      <c r="U2991" s="41">
        <v>0</v>
      </c>
      <c r="V2991" s="42" t="s">
        <v>113</v>
      </c>
      <c r="W2991" s="42">
        <v>305402.40000000002</v>
      </c>
      <c r="X2991" s="42">
        <v>305402.40000000002</v>
      </c>
    </row>
    <row r="2992" spans="1:24">
      <c r="A2992" s="27" t="s">
        <v>5527</v>
      </c>
      <c r="B2992" s="28" t="s">
        <v>5102</v>
      </c>
      <c r="C2992" s="27" t="s">
        <v>5528</v>
      </c>
      <c r="D2992" s="27" t="s">
        <v>5104</v>
      </c>
      <c r="E2992" s="29">
        <v>39539</v>
      </c>
      <c r="F2992" s="27">
        <v>15</v>
      </c>
      <c r="G2992" s="18">
        <v>3559289.11</v>
      </c>
      <c r="H2992" s="27">
        <f t="shared" si="92"/>
        <v>0</v>
      </c>
      <c r="I2992" s="18">
        <v>2911502.32</v>
      </c>
      <c r="J2992" s="27">
        <v>3559289.11</v>
      </c>
      <c r="K2992" s="18">
        <f t="shared" si="93"/>
        <v>0</v>
      </c>
      <c r="L2992" s="27">
        <v>3019922.86</v>
      </c>
      <c r="M2992" s="36">
        <v>108420.54</v>
      </c>
      <c r="T2992" s="41">
        <v>0</v>
      </c>
      <c r="U2992" s="41">
        <v>0</v>
      </c>
      <c r="V2992" s="42" t="s">
        <v>113</v>
      </c>
      <c r="W2992" s="42">
        <v>0</v>
      </c>
      <c r="X2992" s="42">
        <v>0</v>
      </c>
    </row>
    <row r="2993" spans="1:24">
      <c r="A2993" s="27" t="s">
        <v>5529</v>
      </c>
      <c r="B2993" s="28" t="s">
        <v>5102</v>
      </c>
      <c r="C2993" s="27" t="s">
        <v>5530</v>
      </c>
      <c r="D2993" s="27" t="s">
        <v>5104</v>
      </c>
      <c r="E2993" s="29">
        <v>37226</v>
      </c>
      <c r="F2993" s="27">
        <v>15</v>
      </c>
      <c r="G2993" s="18">
        <v>154247.85</v>
      </c>
      <c r="H2993" s="27">
        <f t="shared" si="92"/>
        <v>154247.85</v>
      </c>
      <c r="I2993" s="18">
        <v>146535.46</v>
      </c>
      <c r="J2993" s="27">
        <v>154247.85</v>
      </c>
      <c r="K2993" s="18">
        <f t="shared" si="93"/>
        <v>154247.85</v>
      </c>
      <c r="L2993" s="27">
        <v>146535.46</v>
      </c>
      <c r="M2993" s="36">
        <v>0</v>
      </c>
      <c r="T2993" s="41">
        <v>0</v>
      </c>
      <c r="U2993" s="41">
        <v>0</v>
      </c>
      <c r="V2993" s="42" t="s">
        <v>113</v>
      </c>
      <c r="W2993" s="42">
        <v>154247.85</v>
      </c>
      <c r="X2993" s="42">
        <v>154247.85</v>
      </c>
    </row>
    <row r="2994" spans="1:24">
      <c r="A2994" s="27" t="s">
        <v>5531</v>
      </c>
      <c r="B2994" s="28" t="s">
        <v>5102</v>
      </c>
      <c r="C2994" s="27" t="s">
        <v>5532</v>
      </c>
      <c r="D2994" s="27" t="s">
        <v>5104</v>
      </c>
      <c r="E2994" s="29">
        <v>38078</v>
      </c>
      <c r="F2994" s="27">
        <v>15</v>
      </c>
      <c r="G2994" s="18">
        <v>8551.0300000000007</v>
      </c>
      <c r="H2994" s="27">
        <f t="shared" si="92"/>
        <v>8551.0300000000007</v>
      </c>
      <c r="I2994" s="18">
        <v>8123.48</v>
      </c>
      <c r="J2994" s="27">
        <v>8551.0300000000007</v>
      </c>
      <c r="K2994" s="18">
        <f t="shared" si="93"/>
        <v>8551.0300000000007</v>
      </c>
      <c r="L2994" s="27">
        <v>8123.48</v>
      </c>
      <c r="M2994" s="36">
        <v>0</v>
      </c>
      <c r="T2994" s="41">
        <v>0</v>
      </c>
      <c r="U2994" s="41">
        <v>0</v>
      </c>
      <c r="V2994" s="42" t="s">
        <v>113</v>
      </c>
      <c r="W2994" s="42">
        <v>8551.0300000000007</v>
      </c>
      <c r="X2994" s="42">
        <v>8551.0300000000007</v>
      </c>
    </row>
    <row r="2995" spans="1:24">
      <c r="A2995" s="27" t="s">
        <v>5533</v>
      </c>
      <c r="B2995" s="28" t="s">
        <v>5102</v>
      </c>
      <c r="C2995" s="27" t="s">
        <v>5534</v>
      </c>
      <c r="D2995" s="27" t="s">
        <v>5104</v>
      </c>
      <c r="E2995" s="29">
        <v>38078</v>
      </c>
      <c r="F2995" s="27">
        <v>15</v>
      </c>
      <c r="G2995" s="18">
        <v>23679.77</v>
      </c>
      <c r="H2995" s="27">
        <f t="shared" si="92"/>
        <v>23679.77</v>
      </c>
      <c r="I2995" s="18">
        <v>22495.78</v>
      </c>
      <c r="J2995" s="27">
        <v>23679.77</v>
      </c>
      <c r="K2995" s="18">
        <f t="shared" si="93"/>
        <v>23679.77</v>
      </c>
      <c r="L2995" s="27">
        <v>22495.78</v>
      </c>
      <c r="M2995" s="36">
        <v>0</v>
      </c>
      <c r="T2995" s="41">
        <v>0</v>
      </c>
      <c r="U2995" s="41">
        <v>0</v>
      </c>
      <c r="V2995" s="42" t="s">
        <v>113</v>
      </c>
      <c r="W2995" s="42">
        <v>23679.77</v>
      </c>
      <c r="X2995" s="42">
        <v>23679.77</v>
      </c>
    </row>
    <row r="2996" spans="1:24">
      <c r="A2996" s="27" t="s">
        <v>5535</v>
      </c>
      <c r="B2996" s="28" t="s">
        <v>5102</v>
      </c>
      <c r="C2996" s="27" t="s">
        <v>5536</v>
      </c>
      <c r="D2996" s="27" t="s">
        <v>5104</v>
      </c>
      <c r="E2996" s="29">
        <v>37773</v>
      </c>
      <c r="F2996" s="27">
        <v>15</v>
      </c>
      <c r="G2996" s="18">
        <v>12626</v>
      </c>
      <c r="H2996" s="27">
        <f t="shared" si="92"/>
        <v>12626</v>
      </c>
      <c r="I2996" s="18">
        <v>11994.7</v>
      </c>
      <c r="J2996" s="27">
        <v>12626</v>
      </c>
      <c r="K2996" s="18">
        <f t="shared" si="93"/>
        <v>12626</v>
      </c>
      <c r="L2996" s="27">
        <v>11994.7</v>
      </c>
      <c r="M2996" s="36">
        <v>0</v>
      </c>
      <c r="T2996" s="41">
        <v>0</v>
      </c>
      <c r="U2996" s="41">
        <v>0</v>
      </c>
      <c r="V2996" s="42" t="s">
        <v>113</v>
      </c>
      <c r="W2996" s="42">
        <v>12626</v>
      </c>
      <c r="X2996" s="42">
        <v>12626</v>
      </c>
    </row>
    <row r="2997" spans="1:24">
      <c r="A2997" s="27" t="s">
        <v>5537</v>
      </c>
      <c r="B2997" s="28" t="s">
        <v>5102</v>
      </c>
      <c r="C2997" s="27" t="s">
        <v>5538</v>
      </c>
      <c r="D2997" s="27" t="s">
        <v>5104</v>
      </c>
      <c r="E2997" s="29">
        <v>38078</v>
      </c>
      <c r="F2997" s="27">
        <v>15</v>
      </c>
      <c r="G2997" s="18">
        <v>47105.41</v>
      </c>
      <c r="H2997" s="27">
        <f t="shared" si="92"/>
        <v>47105.41</v>
      </c>
      <c r="I2997" s="18">
        <v>44750.14</v>
      </c>
      <c r="J2997" s="27">
        <v>47105.41</v>
      </c>
      <c r="K2997" s="18">
        <f t="shared" si="93"/>
        <v>47105.41</v>
      </c>
      <c r="L2997" s="27">
        <v>44750.14</v>
      </c>
      <c r="M2997" s="36">
        <v>0</v>
      </c>
      <c r="T2997" s="41">
        <v>0</v>
      </c>
      <c r="U2997" s="41">
        <v>0</v>
      </c>
      <c r="V2997" s="42" t="s">
        <v>113</v>
      </c>
      <c r="W2997" s="42">
        <v>47105.41</v>
      </c>
      <c r="X2997" s="42">
        <v>47105.41</v>
      </c>
    </row>
    <row r="2998" spans="1:24">
      <c r="A2998" s="27" t="s">
        <v>5539</v>
      </c>
      <c r="B2998" s="28" t="s">
        <v>5102</v>
      </c>
      <c r="C2998" s="27" t="s">
        <v>5540</v>
      </c>
      <c r="D2998" s="27" t="s">
        <v>5104</v>
      </c>
      <c r="E2998" s="29">
        <v>38078</v>
      </c>
      <c r="F2998" s="27">
        <v>15</v>
      </c>
      <c r="G2998" s="18">
        <v>29542.38</v>
      </c>
      <c r="H2998" s="27">
        <f t="shared" si="92"/>
        <v>29542.38</v>
      </c>
      <c r="I2998" s="18">
        <v>28065.26</v>
      </c>
      <c r="J2998" s="27">
        <v>29542.38</v>
      </c>
      <c r="K2998" s="18">
        <f t="shared" si="93"/>
        <v>29542.38</v>
      </c>
      <c r="L2998" s="27">
        <v>28065.26</v>
      </c>
      <c r="M2998" s="36">
        <v>0</v>
      </c>
      <c r="T2998" s="41">
        <v>0</v>
      </c>
      <c r="U2998" s="41">
        <v>0</v>
      </c>
      <c r="V2998" s="42" t="s">
        <v>113</v>
      </c>
      <c r="W2998" s="42">
        <v>29542.38</v>
      </c>
      <c r="X2998" s="42">
        <v>29542.38</v>
      </c>
    </row>
    <row r="2999" spans="1:24">
      <c r="A2999" s="27" t="s">
        <v>5541</v>
      </c>
      <c r="B2999" s="28" t="s">
        <v>5102</v>
      </c>
      <c r="C2999" s="27" t="s">
        <v>5542</v>
      </c>
      <c r="D2999" s="27" t="s">
        <v>5104</v>
      </c>
      <c r="E2999" s="29">
        <v>38078</v>
      </c>
      <c r="F2999" s="27">
        <v>15</v>
      </c>
      <c r="G2999" s="18">
        <v>79541.63</v>
      </c>
      <c r="H2999" s="27">
        <f t="shared" si="92"/>
        <v>79541.63</v>
      </c>
      <c r="I2999" s="18">
        <v>75564.55</v>
      </c>
      <c r="J2999" s="27">
        <v>79541.63</v>
      </c>
      <c r="K2999" s="18">
        <f t="shared" si="93"/>
        <v>79541.63</v>
      </c>
      <c r="L2999" s="27">
        <v>75564.55</v>
      </c>
      <c r="M2999" s="36">
        <v>0</v>
      </c>
      <c r="T2999" s="41">
        <v>0</v>
      </c>
      <c r="U2999" s="41">
        <v>0</v>
      </c>
      <c r="V2999" s="42" t="s">
        <v>113</v>
      </c>
      <c r="W2999" s="42">
        <v>79541.63</v>
      </c>
      <c r="X2999" s="42">
        <v>79541.63</v>
      </c>
    </row>
    <row r="3000" spans="1:24">
      <c r="A3000" s="27" t="s">
        <v>5543</v>
      </c>
      <c r="B3000" s="28" t="s">
        <v>5102</v>
      </c>
      <c r="C3000" s="27" t="s">
        <v>5544</v>
      </c>
      <c r="D3000" s="27" t="s">
        <v>5104</v>
      </c>
      <c r="E3000" s="29">
        <v>38078</v>
      </c>
      <c r="F3000" s="27">
        <v>15</v>
      </c>
      <c r="G3000" s="18">
        <v>48041.68</v>
      </c>
      <c r="H3000" s="27">
        <f t="shared" si="92"/>
        <v>48041.68</v>
      </c>
      <c r="I3000" s="18">
        <v>45639.6</v>
      </c>
      <c r="J3000" s="27">
        <v>48041.68</v>
      </c>
      <c r="K3000" s="18">
        <f t="shared" si="93"/>
        <v>48041.68</v>
      </c>
      <c r="L3000" s="27">
        <v>45639.6</v>
      </c>
      <c r="M3000" s="36">
        <v>0</v>
      </c>
      <c r="T3000" s="41">
        <v>0</v>
      </c>
      <c r="U3000" s="41">
        <v>0</v>
      </c>
      <c r="V3000" s="42" t="s">
        <v>113</v>
      </c>
      <c r="W3000" s="42">
        <v>48041.68</v>
      </c>
      <c r="X3000" s="42">
        <v>48041.68</v>
      </c>
    </row>
    <row r="3001" spans="1:24">
      <c r="A3001" s="27" t="s">
        <v>5545</v>
      </c>
      <c r="B3001" s="28" t="s">
        <v>5102</v>
      </c>
      <c r="C3001" s="27" t="s">
        <v>5546</v>
      </c>
      <c r="D3001" s="27" t="s">
        <v>5104</v>
      </c>
      <c r="E3001" s="29">
        <v>38078</v>
      </c>
      <c r="F3001" s="27">
        <v>15</v>
      </c>
      <c r="G3001" s="18">
        <v>28088.21</v>
      </c>
      <c r="H3001" s="27">
        <f t="shared" si="92"/>
        <v>28088.21</v>
      </c>
      <c r="I3001" s="18">
        <v>26683.8</v>
      </c>
      <c r="J3001" s="27">
        <v>28088.21</v>
      </c>
      <c r="K3001" s="18">
        <f t="shared" si="93"/>
        <v>28088.21</v>
      </c>
      <c r="L3001" s="27">
        <v>26683.8</v>
      </c>
      <c r="M3001" s="36">
        <v>0</v>
      </c>
      <c r="T3001" s="41">
        <v>0</v>
      </c>
      <c r="U3001" s="41">
        <v>0</v>
      </c>
      <c r="V3001" s="42" t="s">
        <v>113</v>
      </c>
      <c r="W3001" s="42">
        <v>28088.21</v>
      </c>
      <c r="X3001" s="42">
        <v>28088.21</v>
      </c>
    </row>
    <row r="3002" spans="1:24">
      <c r="A3002" s="27" t="s">
        <v>5547</v>
      </c>
      <c r="B3002" s="28" t="s">
        <v>5102</v>
      </c>
      <c r="C3002" s="27" t="s">
        <v>5546</v>
      </c>
      <c r="D3002" s="27" t="s">
        <v>5104</v>
      </c>
      <c r="E3002" s="29">
        <v>38078</v>
      </c>
      <c r="F3002" s="27">
        <v>15</v>
      </c>
      <c r="G3002" s="18">
        <v>10862.23</v>
      </c>
      <c r="H3002" s="27">
        <f t="shared" si="92"/>
        <v>10862.23</v>
      </c>
      <c r="I3002" s="18">
        <v>10319.120000000001</v>
      </c>
      <c r="J3002" s="27">
        <v>10862.23</v>
      </c>
      <c r="K3002" s="18">
        <f t="shared" si="93"/>
        <v>10862.23</v>
      </c>
      <c r="L3002" s="27">
        <v>10319.120000000001</v>
      </c>
      <c r="M3002" s="36">
        <v>0</v>
      </c>
      <c r="T3002" s="41">
        <v>0</v>
      </c>
      <c r="U3002" s="41">
        <v>0</v>
      </c>
      <c r="V3002" s="42" t="s">
        <v>113</v>
      </c>
      <c r="W3002" s="42">
        <v>10862.23</v>
      </c>
      <c r="X3002" s="42">
        <v>10862.23</v>
      </c>
    </row>
    <row r="3003" spans="1:24">
      <c r="A3003" s="27" t="s">
        <v>5548</v>
      </c>
      <c r="B3003" s="28" t="s">
        <v>5102</v>
      </c>
      <c r="C3003" s="27" t="s">
        <v>5546</v>
      </c>
      <c r="D3003" s="27" t="s">
        <v>5104</v>
      </c>
      <c r="E3003" s="29">
        <v>38078</v>
      </c>
      <c r="F3003" s="27">
        <v>15</v>
      </c>
      <c r="G3003" s="18">
        <v>18432.88</v>
      </c>
      <c r="H3003" s="27">
        <f t="shared" si="92"/>
        <v>18432.88</v>
      </c>
      <c r="I3003" s="18">
        <v>17511.240000000002</v>
      </c>
      <c r="J3003" s="27">
        <v>18432.88</v>
      </c>
      <c r="K3003" s="18">
        <f t="shared" si="93"/>
        <v>18432.88</v>
      </c>
      <c r="L3003" s="27">
        <v>17511.240000000002</v>
      </c>
      <c r="M3003" s="36">
        <v>0</v>
      </c>
      <c r="T3003" s="41">
        <v>0</v>
      </c>
      <c r="U3003" s="41">
        <v>0</v>
      </c>
      <c r="V3003" s="42" t="s">
        <v>113</v>
      </c>
      <c r="W3003" s="42">
        <v>18432.88</v>
      </c>
      <c r="X3003" s="42">
        <v>18432.88</v>
      </c>
    </row>
    <row r="3004" spans="1:24">
      <c r="A3004" s="27" t="s">
        <v>5549</v>
      </c>
      <c r="B3004" s="28" t="s">
        <v>5102</v>
      </c>
      <c r="C3004" s="27" t="s">
        <v>5550</v>
      </c>
      <c r="D3004" s="27" t="s">
        <v>5104</v>
      </c>
      <c r="E3004" s="29">
        <v>38899</v>
      </c>
      <c r="F3004" s="27">
        <v>15</v>
      </c>
      <c r="G3004" s="18">
        <v>135842.07</v>
      </c>
      <c r="H3004" s="27">
        <f t="shared" si="92"/>
        <v>0</v>
      </c>
      <c r="I3004" s="18">
        <v>126144.63</v>
      </c>
      <c r="J3004" s="27">
        <v>135842.07</v>
      </c>
      <c r="K3004" s="18">
        <f t="shared" si="93"/>
        <v>0</v>
      </c>
      <c r="L3004" s="27">
        <v>127269.28</v>
      </c>
      <c r="M3004" s="36">
        <v>1124.6500000000001</v>
      </c>
      <c r="T3004" s="41">
        <v>0</v>
      </c>
      <c r="U3004" s="41">
        <v>0</v>
      </c>
      <c r="V3004" s="42" t="s">
        <v>113</v>
      </c>
      <c r="W3004" s="42">
        <v>0</v>
      </c>
      <c r="X3004" s="42">
        <v>135842.07</v>
      </c>
    </row>
    <row r="3005" spans="1:24">
      <c r="A3005" s="27" t="s">
        <v>5551</v>
      </c>
      <c r="B3005" s="28" t="s">
        <v>5102</v>
      </c>
      <c r="C3005" s="27" t="s">
        <v>5550</v>
      </c>
      <c r="D3005" s="27" t="s">
        <v>5104</v>
      </c>
      <c r="E3005" s="29">
        <v>38899</v>
      </c>
      <c r="F3005" s="27">
        <v>15</v>
      </c>
      <c r="G3005" s="18">
        <v>212941.62</v>
      </c>
      <c r="H3005" s="27">
        <f t="shared" si="92"/>
        <v>0</v>
      </c>
      <c r="I3005" s="18">
        <v>197740.24</v>
      </c>
      <c r="J3005" s="27">
        <v>212941.62</v>
      </c>
      <c r="K3005" s="18">
        <f t="shared" si="93"/>
        <v>0</v>
      </c>
      <c r="L3005" s="27">
        <v>199503.19</v>
      </c>
      <c r="M3005" s="36">
        <v>1762.95</v>
      </c>
      <c r="T3005" s="41">
        <v>0</v>
      </c>
      <c r="U3005" s="41">
        <v>0</v>
      </c>
      <c r="V3005" s="42" t="s">
        <v>113</v>
      </c>
      <c r="W3005" s="42">
        <v>0</v>
      </c>
      <c r="X3005" s="42">
        <v>212941.62</v>
      </c>
    </row>
    <row r="3006" spans="1:24">
      <c r="A3006" s="27" t="s">
        <v>5552</v>
      </c>
      <c r="B3006" s="28" t="s">
        <v>5102</v>
      </c>
      <c r="C3006" s="27" t="s">
        <v>5553</v>
      </c>
      <c r="D3006" s="27" t="s">
        <v>5104</v>
      </c>
      <c r="E3006" s="29">
        <v>36039</v>
      </c>
      <c r="F3006" s="27">
        <v>15</v>
      </c>
      <c r="G3006" s="18">
        <v>72652.14</v>
      </c>
      <c r="H3006" s="27">
        <f t="shared" si="92"/>
        <v>72652.14</v>
      </c>
      <c r="I3006" s="18">
        <v>69019.53</v>
      </c>
      <c r="J3006" s="27">
        <v>72652.14</v>
      </c>
      <c r="K3006" s="18">
        <f t="shared" si="93"/>
        <v>72652.14</v>
      </c>
      <c r="L3006" s="27">
        <v>69019.53</v>
      </c>
      <c r="M3006" s="36">
        <v>0</v>
      </c>
      <c r="T3006" s="41">
        <v>0</v>
      </c>
      <c r="U3006" s="41">
        <v>0</v>
      </c>
      <c r="V3006" s="42" t="s">
        <v>113</v>
      </c>
      <c r="W3006" s="42">
        <v>72652.14</v>
      </c>
      <c r="X3006" s="42">
        <v>72652.14</v>
      </c>
    </row>
    <row r="3007" spans="1:24">
      <c r="A3007" s="27" t="s">
        <v>5554</v>
      </c>
      <c r="B3007" s="28" t="s">
        <v>5102</v>
      </c>
      <c r="C3007" s="27" t="s">
        <v>5555</v>
      </c>
      <c r="D3007" s="27" t="s">
        <v>5104</v>
      </c>
      <c r="E3007" s="29">
        <v>37012</v>
      </c>
      <c r="F3007" s="27">
        <v>15</v>
      </c>
      <c r="G3007" s="18">
        <v>119464.72</v>
      </c>
      <c r="H3007" s="27">
        <f t="shared" si="92"/>
        <v>119464.72</v>
      </c>
      <c r="I3007" s="18">
        <v>113491.48</v>
      </c>
      <c r="J3007" s="27">
        <v>119464.72</v>
      </c>
      <c r="K3007" s="18">
        <f t="shared" si="93"/>
        <v>119464.72</v>
      </c>
      <c r="L3007" s="27">
        <v>113491.48</v>
      </c>
      <c r="M3007" s="36">
        <v>0</v>
      </c>
      <c r="T3007" s="41">
        <v>0</v>
      </c>
      <c r="U3007" s="41">
        <v>0</v>
      </c>
      <c r="V3007" s="42" t="s">
        <v>113</v>
      </c>
      <c r="W3007" s="42">
        <v>119464.72</v>
      </c>
      <c r="X3007" s="42">
        <v>119464.72</v>
      </c>
    </row>
    <row r="3008" spans="1:24">
      <c r="A3008" s="27" t="s">
        <v>5556</v>
      </c>
      <c r="B3008" s="28" t="s">
        <v>5102</v>
      </c>
      <c r="C3008" s="27" t="s">
        <v>5557</v>
      </c>
      <c r="D3008" s="27" t="s">
        <v>5104</v>
      </c>
      <c r="E3008" s="29">
        <v>36923</v>
      </c>
      <c r="F3008" s="27">
        <v>15</v>
      </c>
      <c r="G3008" s="18">
        <v>22786.29</v>
      </c>
      <c r="H3008" s="27">
        <f t="shared" si="92"/>
        <v>22786.29</v>
      </c>
      <c r="I3008" s="18">
        <v>21646.98</v>
      </c>
      <c r="J3008" s="27">
        <v>22786.29</v>
      </c>
      <c r="K3008" s="18">
        <f t="shared" si="93"/>
        <v>22786.29</v>
      </c>
      <c r="L3008" s="27">
        <v>21646.98</v>
      </c>
      <c r="M3008" s="36">
        <v>0</v>
      </c>
      <c r="T3008" s="41">
        <v>0</v>
      </c>
      <c r="U3008" s="41">
        <v>0</v>
      </c>
      <c r="V3008" s="42" t="s">
        <v>113</v>
      </c>
      <c r="W3008" s="42">
        <v>22786.29</v>
      </c>
      <c r="X3008" s="42">
        <v>22786.29</v>
      </c>
    </row>
    <row r="3009" spans="1:24">
      <c r="A3009" s="27" t="s">
        <v>5558</v>
      </c>
      <c r="B3009" s="28" t="s">
        <v>5102</v>
      </c>
      <c r="C3009" s="27" t="s">
        <v>5559</v>
      </c>
      <c r="D3009" s="27" t="s">
        <v>5104</v>
      </c>
      <c r="E3009" s="29">
        <v>36312</v>
      </c>
      <c r="F3009" s="27">
        <v>15</v>
      </c>
      <c r="G3009" s="18">
        <v>214516.87</v>
      </c>
      <c r="H3009" s="27">
        <f t="shared" si="92"/>
        <v>214516.87</v>
      </c>
      <c r="I3009" s="18">
        <v>203791.03</v>
      </c>
      <c r="J3009" s="27">
        <v>214516.87</v>
      </c>
      <c r="K3009" s="18">
        <f t="shared" si="93"/>
        <v>214516.87</v>
      </c>
      <c r="L3009" s="27">
        <v>203791.03</v>
      </c>
      <c r="M3009" s="36">
        <v>0</v>
      </c>
      <c r="T3009" s="41">
        <v>0</v>
      </c>
      <c r="U3009" s="41">
        <v>0</v>
      </c>
      <c r="V3009" s="42" t="s">
        <v>113</v>
      </c>
      <c r="W3009" s="42">
        <v>214516.87</v>
      </c>
      <c r="X3009" s="42">
        <v>214516.87</v>
      </c>
    </row>
    <row r="3010" spans="1:24">
      <c r="A3010" s="27" t="s">
        <v>5560</v>
      </c>
      <c r="B3010" s="28" t="s">
        <v>5102</v>
      </c>
      <c r="C3010" s="27" t="s">
        <v>5561</v>
      </c>
      <c r="D3010" s="27" t="s">
        <v>5104</v>
      </c>
      <c r="E3010" s="29">
        <v>36251</v>
      </c>
      <c r="F3010" s="27">
        <v>15</v>
      </c>
      <c r="G3010" s="18">
        <v>53342.47</v>
      </c>
      <c r="H3010" s="27">
        <f t="shared" si="92"/>
        <v>53342.47</v>
      </c>
      <c r="I3010" s="18">
        <v>50675.35</v>
      </c>
      <c r="J3010" s="27">
        <v>53342.47</v>
      </c>
      <c r="K3010" s="18">
        <f t="shared" si="93"/>
        <v>53342.47</v>
      </c>
      <c r="L3010" s="27">
        <v>50675.35</v>
      </c>
      <c r="M3010" s="36">
        <v>0</v>
      </c>
      <c r="T3010" s="41">
        <v>0</v>
      </c>
      <c r="U3010" s="41">
        <v>0</v>
      </c>
      <c r="V3010" s="42" t="s">
        <v>113</v>
      </c>
      <c r="W3010" s="42">
        <v>53342.47</v>
      </c>
      <c r="X3010" s="42">
        <v>53342.47</v>
      </c>
    </row>
    <row r="3011" spans="1:24">
      <c r="A3011" s="27" t="s">
        <v>5562</v>
      </c>
      <c r="B3011" s="28" t="s">
        <v>5102</v>
      </c>
      <c r="C3011" s="27" t="s">
        <v>5563</v>
      </c>
      <c r="D3011" s="27" t="s">
        <v>5104</v>
      </c>
      <c r="E3011" s="29">
        <v>36220</v>
      </c>
      <c r="F3011" s="27">
        <v>15</v>
      </c>
      <c r="G3011" s="18">
        <v>223493.65</v>
      </c>
      <c r="H3011" s="27">
        <f t="shared" si="92"/>
        <v>223493.65</v>
      </c>
      <c r="I3011" s="18">
        <v>212318.97</v>
      </c>
      <c r="J3011" s="27">
        <v>223493.65</v>
      </c>
      <c r="K3011" s="18">
        <f t="shared" si="93"/>
        <v>223493.65</v>
      </c>
      <c r="L3011" s="27">
        <v>212318.97</v>
      </c>
      <c r="M3011" s="36">
        <v>0</v>
      </c>
      <c r="T3011" s="41">
        <v>0</v>
      </c>
      <c r="U3011" s="41">
        <v>0</v>
      </c>
      <c r="V3011" s="42" t="s">
        <v>113</v>
      </c>
      <c r="W3011" s="42">
        <v>223493.65</v>
      </c>
      <c r="X3011" s="42">
        <v>223493.65</v>
      </c>
    </row>
    <row r="3012" spans="1:24">
      <c r="A3012" s="27" t="s">
        <v>5564</v>
      </c>
      <c r="B3012" s="28" t="s">
        <v>5102</v>
      </c>
      <c r="C3012" s="27" t="s">
        <v>5565</v>
      </c>
      <c r="D3012" s="27" t="s">
        <v>5104</v>
      </c>
      <c r="E3012" s="29">
        <v>35765</v>
      </c>
      <c r="F3012" s="27">
        <v>15</v>
      </c>
      <c r="G3012" s="18">
        <v>151222.56</v>
      </c>
      <c r="H3012" s="27">
        <f t="shared" si="92"/>
        <v>151222.56</v>
      </c>
      <c r="I3012" s="18">
        <v>143661.43</v>
      </c>
      <c r="J3012" s="27">
        <v>151222.56</v>
      </c>
      <c r="K3012" s="18">
        <f t="shared" si="93"/>
        <v>151222.56</v>
      </c>
      <c r="L3012" s="27">
        <v>143661.43</v>
      </c>
      <c r="M3012" s="36">
        <v>0</v>
      </c>
      <c r="T3012" s="41">
        <v>0</v>
      </c>
      <c r="U3012" s="41">
        <v>0</v>
      </c>
      <c r="V3012" s="42" t="s">
        <v>113</v>
      </c>
      <c r="W3012" s="42">
        <v>151222.56</v>
      </c>
      <c r="X3012" s="42">
        <v>151222.56</v>
      </c>
    </row>
    <row r="3013" spans="1:24">
      <c r="A3013" s="27" t="s">
        <v>5566</v>
      </c>
      <c r="B3013" s="28" t="s">
        <v>5102</v>
      </c>
      <c r="C3013" s="27" t="s">
        <v>5567</v>
      </c>
      <c r="D3013" s="27" t="s">
        <v>5104</v>
      </c>
      <c r="E3013" s="29">
        <v>35674</v>
      </c>
      <c r="F3013" s="27">
        <v>15</v>
      </c>
      <c r="G3013" s="18">
        <v>33683.43</v>
      </c>
      <c r="H3013" s="27">
        <f t="shared" si="92"/>
        <v>33683.43</v>
      </c>
      <c r="I3013" s="18">
        <v>31999.26</v>
      </c>
      <c r="J3013" s="27">
        <v>33683.43</v>
      </c>
      <c r="K3013" s="18">
        <f t="shared" si="93"/>
        <v>33683.43</v>
      </c>
      <c r="L3013" s="27">
        <v>31999.26</v>
      </c>
      <c r="M3013" s="36">
        <v>0</v>
      </c>
      <c r="T3013" s="41">
        <v>0</v>
      </c>
      <c r="U3013" s="41">
        <v>0</v>
      </c>
      <c r="V3013" s="42" t="s">
        <v>113</v>
      </c>
      <c r="W3013" s="42">
        <v>33683.43</v>
      </c>
      <c r="X3013" s="42">
        <v>33683.43</v>
      </c>
    </row>
    <row r="3014" spans="1:24">
      <c r="A3014" s="27" t="s">
        <v>5568</v>
      </c>
      <c r="B3014" s="28" t="s">
        <v>5102</v>
      </c>
      <c r="C3014" s="27" t="s">
        <v>5569</v>
      </c>
      <c r="D3014" s="27" t="s">
        <v>5104</v>
      </c>
      <c r="E3014" s="29">
        <v>35886</v>
      </c>
      <c r="F3014" s="27">
        <v>15</v>
      </c>
      <c r="G3014" s="18">
        <v>47825.01</v>
      </c>
      <c r="H3014" s="27">
        <f t="shared" ref="H3014:H3077" si="94">IFERROR(IF(ROUND((G3014-I3014)/G3014,2)&lt;=0.05,G3014,0),0)</f>
        <v>47825.01</v>
      </c>
      <c r="I3014" s="18">
        <v>45433.760000000002</v>
      </c>
      <c r="J3014" s="27">
        <v>47825.01</v>
      </c>
      <c r="K3014" s="18">
        <f t="shared" ref="K3014:K3077" si="95">IFERROR(IF(ROUND((J3014-L3014)/J3014,2)&lt;=0.05,J3014,0),0)</f>
        <v>47825.01</v>
      </c>
      <c r="L3014" s="27">
        <v>45433.760000000002</v>
      </c>
      <c r="M3014" s="36">
        <v>0</v>
      </c>
      <c r="T3014" s="41">
        <v>0</v>
      </c>
      <c r="U3014" s="41">
        <v>0</v>
      </c>
      <c r="V3014" s="42" t="s">
        <v>113</v>
      </c>
      <c r="W3014" s="42">
        <v>47825.01</v>
      </c>
      <c r="X3014" s="42">
        <v>47825.01</v>
      </c>
    </row>
    <row r="3015" spans="1:24">
      <c r="A3015" s="27" t="s">
        <v>5570</v>
      </c>
      <c r="B3015" s="28" t="s">
        <v>5102</v>
      </c>
      <c r="C3015" s="27" t="s">
        <v>5571</v>
      </c>
      <c r="D3015" s="27" t="s">
        <v>5104</v>
      </c>
      <c r="E3015" s="29">
        <v>35827</v>
      </c>
      <c r="F3015" s="27">
        <v>15</v>
      </c>
      <c r="G3015" s="18">
        <v>44909.86</v>
      </c>
      <c r="H3015" s="27">
        <f t="shared" si="94"/>
        <v>44909.86</v>
      </c>
      <c r="I3015" s="18">
        <v>42664.37</v>
      </c>
      <c r="J3015" s="27">
        <v>44909.86</v>
      </c>
      <c r="K3015" s="18">
        <f t="shared" si="95"/>
        <v>44909.86</v>
      </c>
      <c r="L3015" s="27">
        <v>42664.37</v>
      </c>
      <c r="M3015" s="36">
        <v>0</v>
      </c>
      <c r="T3015" s="41">
        <v>0</v>
      </c>
      <c r="U3015" s="41">
        <v>0</v>
      </c>
      <c r="V3015" s="42" t="s">
        <v>113</v>
      </c>
      <c r="W3015" s="42">
        <v>44909.86</v>
      </c>
      <c r="X3015" s="42">
        <v>44909.86</v>
      </c>
    </row>
    <row r="3016" spans="1:24">
      <c r="A3016" s="27" t="s">
        <v>5572</v>
      </c>
      <c r="B3016" s="28" t="s">
        <v>5102</v>
      </c>
      <c r="C3016" s="27" t="s">
        <v>5573</v>
      </c>
      <c r="D3016" s="27" t="s">
        <v>5104</v>
      </c>
      <c r="E3016" s="29">
        <v>35886</v>
      </c>
      <c r="F3016" s="27">
        <v>15</v>
      </c>
      <c r="G3016" s="18">
        <v>43966.87</v>
      </c>
      <c r="H3016" s="27">
        <f t="shared" si="94"/>
        <v>43966.87</v>
      </c>
      <c r="I3016" s="18">
        <v>41768.53</v>
      </c>
      <c r="J3016" s="27">
        <v>43966.87</v>
      </c>
      <c r="K3016" s="18">
        <f t="shared" si="95"/>
        <v>43966.87</v>
      </c>
      <c r="L3016" s="27">
        <v>41768.53</v>
      </c>
      <c r="M3016" s="36">
        <v>0</v>
      </c>
      <c r="T3016" s="41">
        <v>0</v>
      </c>
      <c r="U3016" s="41">
        <v>0</v>
      </c>
      <c r="V3016" s="42" t="s">
        <v>113</v>
      </c>
      <c r="W3016" s="42">
        <v>43966.87</v>
      </c>
      <c r="X3016" s="42">
        <v>43966.87</v>
      </c>
    </row>
    <row r="3017" spans="1:24">
      <c r="A3017" s="27" t="s">
        <v>5574</v>
      </c>
      <c r="B3017" s="28" t="s">
        <v>5102</v>
      </c>
      <c r="C3017" s="27" t="s">
        <v>5575</v>
      </c>
      <c r="D3017" s="27" t="s">
        <v>5104</v>
      </c>
      <c r="E3017" s="29">
        <v>36892</v>
      </c>
      <c r="F3017" s="27">
        <v>15</v>
      </c>
      <c r="G3017" s="18">
        <v>45665.7</v>
      </c>
      <c r="H3017" s="27">
        <f t="shared" si="94"/>
        <v>45665.7</v>
      </c>
      <c r="I3017" s="18">
        <v>43382.41</v>
      </c>
      <c r="J3017" s="27">
        <v>45665.7</v>
      </c>
      <c r="K3017" s="18">
        <f t="shared" si="95"/>
        <v>45665.7</v>
      </c>
      <c r="L3017" s="27">
        <v>43382.41</v>
      </c>
      <c r="M3017" s="36">
        <v>0</v>
      </c>
      <c r="T3017" s="41">
        <v>0</v>
      </c>
      <c r="U3017" s="41">
        <v>0</v>
      </c>
      <c r="V3017" s="42" t="s">
        <v>113</v>
      </c>
      <c r="W3017" s="42">
        <v>45665.7</v>
      </c>
      <c r="X3017" s="42">
        <v>45665.7</v>
      </c>
    </row>
    <row r="3018" spans="1:24">
      <c r="A3018" s="27" t="s">
        <v>5576</v>
      </c>
      <c r="B3018" s="28" t="s">
        <v>5102</v>
      </c>
      <c r="C3018" s="27" t="s">
        <v>5577</v>
      </c>
      <c r="D3018" s="27" t="s">
        <v>5104</v>
      </c>
      <c r="E3018" s="29">
        <v>36130</v>
      </c>
      <c r="F3018" s="27">
        <v>15</v>
      </c>
      <c r="G3018" s="18">
        <v>498738.56</v>
      </c>
      <c r="H3018" s="27">
        <f t="shared" si="94"/>
        <v>498738.56</v>
      </c>
      <c r="I3018" s="18">
        <v>473801.63</v>
      </c>
      <c r="J3018" s="27">
        <v>498738.56</v>
      </c>
      <c r="K3018" s="18">
        <f t="shared" si="95"/>
        <v>498738.56</v>
      </c>
      <c r="L3018" s="27">
        <v>473801.63</v>
      </c>
      <c r="M3018" s="36">
        <v>0</v>
      </c>
      <c r="T3018" s="41">
        <v>0</v>
      </c>
      <c r="U3018" s="41">
        <v>0</v>
      </c>
      <c r="V3018" s="42" t="s">
        <v>113</v>
      </c>
      <c r="W3018" s="42">
        <v>498738.56</v>
      </c>
      <c r="X3018" s="42">
        <v>498738.56</v>
      </c>
    </row>
    <row r="3019" spans="1:24">
      <c r="A3019" s="27" t="s">
        <v>5578</v>
      </c>
      <c r="B3019" s="28" t="s">
        <v>5102</v>
      </c>
      <c r="C3019" s="27" t="s">
        <v>5579</v>
      </c>
      <c r="D3019" s="27" t="s">
        <v>5104</v>
      </c>
      <c r="E3019" s="29">
        <v>35796</v>
      </c>
      <c r="F3019" s="27">
        <v>15</v>
      </c>
      <c r="G3019" s="18">
        <v>364532.93</v>
      </c>
      <c r="H3019" s="27">
        <f t="shared" si="94"/>
        <v>364532.93</v>
      </c>
      <c r="I3019" s="18">
        <v>346306.28</v>
      </c>
      <c r="J3019" s="27">
        <v>364532.93</v>
      </c>
      <c r="K3019" s="18">
        <f t="shared" si="95"/>
        <v>364532.93</v>
      </c>
      <c r="L3019" s="27">
        <v>346306.28</v>
      </c>
      <c r="M3019" s="36">
        <v>0</v>
      </c>
      <c r="T3019" s="41">
        <v>0</v>
      </c>
      <c r="U3019" s="41">
        <v>0</v>
      </c>
      <c r="V3019" s="42" t="s">
        <v>113</v>
      </c>
      <c r="W3019" s="42">
        <v>364532.93</v>
      </c>
      <c r="X3019" s="42">
        <v>364532.93</v>
      </c>
    </row>
    <row r="3020" spans="1:24">
      <c r="A3020" s="27" t="s">
        <v>5580</v>
      </c>
      <c r="B3020" s="28" t="s">
        <v>5102</v>
      </c>
      <c r="C3020" s="27" t="s">
        <v>5581</v>
      </c>
      <c r="D3020" s="27" t="s">
        <v>5104</v>
      </c>
      <c r="E3020" s="29">
        <v>36495</v>
      </c>
      <c r="F3020" s="27">
        <v>15</v>
      </c>
      <c r="G3020" s="18">
        <v>141005.26</v>
      </c>
      <c r="H3020" s="27">
        <f t="shared" si="94"/>
        <v>141005.26</v>
      </c>
      <c r="I3020" s="18">
        <v>133955</v>
      </c>
      <c r="J3020" s="27">
        <v>141005.26</v>
      </c>
      <c r="K3020" s="18">
        <f t="shared" si="95"/>
        <v>141005.26</v>
      </c>
      <c r="L3020" s="27">
        <v>133955</v>
      </c>
      <c r="M3020" s="36">
        <v>0</v>
      </c>
      <c r="T3020" s="41">
        <v>0</v>
      </c>
      <c r="U3020" s="41">
        <v>0</v>
      </c>
      <c r="V3020" s="42" t="s">
        <v>113</v>
      </c>
      <c r="W3020" s="42">
        <v>141005.26</v>
      </c>
      <c r="X3020" s="42">
        <v>141005.26</v>
      </c>
    </row>
    <row r="3021" spans="1:24">
      <c r="A3021" s="27" t="s">
        <v>5582</v>
      </c>
      <c r="B3021" s="28" t="s">
        <v>5102</v>
      </c>
      <c r="C3021" s="27" t="s">
        <v>5583</v>
      </c>
      <c r="D3021" s="27" t="s">
        <v>5104</v>
      </c>
      <c r="E3021" s="29">
        <v>36495</v>
      </c>
      <c r="F3021" s="27">
        <v>15</v>
      </c>
      <c r="G3021" s="18">
        <v>212248.36</v>
      </c>
      <c r="H3021" s="27">
        <f t="shared" si="94"/>
        <v>212248.36</v>
      </c>
      <c r="I3021" s="18">
        <v>201635.94</v>
      </c>
      <c r="J3021" s="27">
        <v>212248.36</v>
      </c>
      <c r="K3021" s="18">
        <f t="shared" si="95"/>
        <v>212248.36</v>
      </c>
      <c r="L3021" s="27">
        <v>201635.94</v>
      </c>
      <c r="M3021" s="36">
        <v>0</v>
      </c>
      <c r="T3021" s="41">
        <v>0</v>
      </c>
      <c r="U3021" s="41">
        <v>0</v>
      </c>
      <c r="V3021" s="42" t="s">
        <v>113</v>
      </c>
      <c r="W3021" s="42">
        <v>212248.36</v>
      </c>
      <c r="X3021" s="42">
        <v>212248.36</v>
      </c>
    </row>
    <row r="3022" spans="1:24">
      <c r="A3022" s="27" t="s">
        <v>5584</v>
      </c>
      <c r="B3022" s="28" t="s">
        <v>5102</v>
      </c>
      <c r="C3022" s="27" t="s">
        <v>5585</v>
      </c>
      <c r="D3022" s="27" t="s">
        <v>5104</v>
      </c>
      <c r="E3022" s="29">
        <v>36161</v>
      </c>
      <c r="F3022" s="27">
        <v>15</v>
      </c>
      <c r="G3022" s="18">
        <v>39480.75</v>
      </c>
      <c r="H3022" s="27">
        <f t="shared" si="94"/>
        <v>39480.75</v>
      </c>
      <c r="I3022" s="18">
        <v>37506.71</v>
      </c>
      <c r="J3022" s="27">
        <v>39480.75</v>
      </c>
      <c r="K3022" s="18">
        <f t="shared" si="95"/>
        <v>39480.75</v>
      </c>
      <c r="L3022" s="27">
        <v>37506.71</v>
      </c>
      <c r="M3022" s="36">
        <v>0</v>
      </c>
      <c r="T3022" s="41">
        <v>0</v>
      </c>
      <c r="U3022" s="41">
        <v>0</v>
      </c>
      <c r="V3022" s="42" t="s">
        <v>113</v>
      </c>
      <c r="W3022" s="42">
        <v>39480.75</v>
      </c>
      <c r="X3022" s="42">
        <v>39480.75</v>
      </c>
    </row>
    <row r="3023" spans="1:24">
      <c r="A3023" s="27" t="s">
        <v>5586</v>
      </c>
      <c r="B3023" s="28" t="s">
        <v>5102</v>
      </c>
      <c r="C3023" s="27" t="s">
        <v>5587</v>
      </c>
      <c r="D3023" s="27" t="s">
        <v>5104</v>
      </c>
      <c r="E3023" s="29">
        <v>36982</v>
      </c>
      <c r="F3023" s="27">
        <v>15</v>
      </c>
      <c r="G3023" s="18">
        <v>118899.74</v>
      </c>
      <c r="H3023" s="27">
        <f t="shared" si="94"/>
        <v>118899.74</v>
      </c>
      <c r="I3023" s="18">
        <v>112954.75</v>
      </c>
      <c r="J3023" s="27">
        <v>118899.74</v>
      </c>
      <c r="K3023" s="18">
        <f t="shared" si="95"/>
        <v>118899.74</v>
      </c>
      <c r="L3023" s="27">
        <v>112954.75</v>
      </c>
      <c r="M3023" s="36">
        <v>0</v>
      </c>
      <c r="T3023" s="41">
        <v>0</v>
      </c>
      <c r="U3023" s="41">
        <v>0</v>
      </c>
      <c r="V3023" s="42" t="s">
        <v>113</v>
      </c>
      <c r="W3023" s="42">
        <v>118899.74</v>
      </c>
      <c r="X3023" s="42">
        <v>118899.74</v>
      </c>
    </row>
    <row r="3024" spans="1:24">
      <c r="A3024" s="27" t="s">
        <v>5588</v>
      </c>
      <c r="B3024" s="28" t="s">
        <v>5102</v>
      </c>
      <c r="C3024" s="27" t="s">
        <v>5589</v>
      </c>
      <c r="D3024" s="27" t="s">
        <v>5104</v>
      </c>
      <c r="E3024" s="29">
        <v>37012</v>
      </c>
      <c r="F3024" s="27">
        <v>15</v>
      </c>
      <c r="G3024" s="18">
        <v>249287.05</v>
      </c>
      <c r="H3024" s="27">
        <f t="shared" si="94"/>
        <v>249287.05</v>
      </c>
      <c r="I3024" s="18">
        <v>236822.7</v>
      </c>
      <c r="J3024" s="27">
        <v>249287.05</v>
      </c>
      <c r="K3024" s="18">
        <f t="shared" si="95"/>
        <v>249287.05</v>
      </c>
      <c r="L3024" s="27">
        <v>236822.7</v>
      </c>
      <c r="M3024" s="36">
        <v>0</v>
      </c>
      <c r="T3024" s="41">
        <v>0</v>
      </c>
      <c r="U3024" s="41">
        <v>0</v>
      </c>
      <c r="V3024" s="42" t="s">
        <v>113</v>
      </c>
      <c r="W3024" s="42">
        <v>249287.05</v>
      </c>
      <c r="X3024" s="42">
        <v>249287.05</v>
      </c>
    </row>
    <row r="3025" spans="1:24">
      <c r="A3025" s="27" t="s">
        <v>5590</v>
      </c>
      <c r="B3025" s="28" t="s">
        <v>5102</v>
      </c>
      <c r="C3025" s="27" t="s">
        <v>5591</v>
      </c>
      <c r="D3025" s="27" t="s">
        <v>5104</v>
      </c>
      <c r="E3025" s="29">
        <v>37012</v>
      </c>
      <c r="F3025" s="27">
        <v>15</v>
      </c>
      <c r="G3025" s="18">
        <v>42912.37</v>
      </c>
      <c r="H3025" s="27">
        <f t="shared" si="94"/>
        <v>42912.37</v>
      </c>
      <c r="I3025" s="18">
        <v>40766.75</v>
      </c>
      <c r="J3025" s="27">
        <v>42912.37</v>
      </c>
      <c r="K3025" s="18">
        <f t="shared" si="95"/>
        <v>42912.37</v>
      </c>
      <c r="L3025" s="27">
        <v>40766.75</v>
      </c>
      <c r="M3025" s="36">
        <v>0</v>
      </c>
      <c r="T3025" s="41">
        <v>0</v>
      </c>
      <c r="U3025" s="41">
        <v>0</v>
      </c>
      <c r="V3025" s="42" t="s">
        <v>113</v>
      </c>
      <c r="W3025" s="42">
        <v>42912.37</v>
      </c>
      <c r="X3025" s="42">
        <v>42912.37</v>
      </c>
    </row>
    <row r="3026" spans="1:24">
      <c r="A3026" s="27" t="s">
        <v>5592</v>
      </c>
      <c r="B3026" s="28" t="s">
        <v>5102</v>
      </c>
      <c r="C3026" s="27" t="s">
        <v>5593</v>
      </c>
      <c r="D3026" s="27" t="s">
        <v>5104</v>
      </c>
      <c r="E3026" s="29">
        <v>37012</v>
      </c>
      <c r="F3026" s="27">
        <v>15</v>
      </c>
      <c r="G3026" s="18">
        <v>48712.56</v>
      </c>
      <c r="H3026" s="27">
        <f t="shared" si="94"/>
        <v>48712.56</v>
      </c>
      <c r="I3026" s="18">
        <v>46276.93</v>
      </c>
      <c r="J3026" s="27">
        <v>48712.56</v>
      </c>
      <c r="K3026" s="18">
        <f t="shared" si="95"/>
        <v>48712.56</v>
      </c>
      <c r="L3026" s="27">
        <v>46276.93</v>
      </c>
      <c r="M3026" s="36">
        <v>0</v>
      </c>
      <c r="T3026" s="41">
        <v>0</v>
      </c>
      <c r="U3026" s="41">
        <v>0</v>
      </c>
      <c r="V3026" s="42" t="s">
        <v>113</v>
      </c>
      <c r="W3026" s="42">
        <v>48712.56</v>
      </c>
      <c r="X3026" s="42">
        <v>48712.56</v>
      </c>
    </row>
    <row r="3027" spans="1:24">
      <c r="A3027" s="27" t="s">
        <v>5594</v>
      </c>
      <c r="B3027" s="28" t="s">
        <v>5102</v>
      </c>
      <c r="C3027" s="27" t="s">
        <v>5595</v>
      </c>
      <c r="D3027" s="27" t="s">
        <v>5104</v>
      </c>
      <c r="E3027" s="29">
        <v>37012</v>
      </c>
      <c r="F3027" s="27">
        <v>15</v>
      </c>
      <c r="G3027" s="18">
        <v>72731.75</v>
      </c>
      <c r="H3027" s="27">
        <f t="shared" si="94"/>
        <v>72731.75</v>
      </c>
      <c r="I3027" s="18">
        <v>69095.16</v>
      </c>
      <c r="J3027" s="27">
        <v>72731.75</v>
      </c>
      <c r="K3027" s="18">
        <f t="shared" si="95"/>
        <v>72731.75</v>
      </c>
      <c r="L3027" s="27">
        <v>69095.16</v>
      </c>
      <c r="M3027" s="36">
        <v>0</v>
      </c>
      <c r="T3027" s="41">
        <v>0</v>
      </c>
      <c r="U3027" s="41">
        <v>0</v>
      </c>
      <c r="V3027" s="42" t="s">
        <v>113</v>
      </c>
      <c r="W3027" s="42">
        <v>72731.75</v>
      </c>
      <c r="X3027" s="42">
        <v>72731.75</v>
      </c>
    </row>
    <row r="3028" spans="1:24">
      <c r="A3028" s="27" t="s">
        <v>5596</v>
      </c>
      <c r="B3028" s="28" t="s">
        <v>5102</v>
      </c>
      <c r="C3028" s="27" t="s">
        <v>5597</v>
      </c>
      <c r="D3028" s="27" t="s">
        <v>5104</v>
      </c>
      <c r="E3028" s="29">
        <v>37012</v>
      </c>
      <c r="F3028" s="27">
        <v>15</v>
      </c>
      <c r="G3028" s="18">
        <v>356359.24</v>
      </c>
      <c r="H3028" s="27">
        <f t="shared" si="94"/>
        <v>356359.24</v>
      </c>
      <c r="I3028" s="18">
        <v>338541.28</v>
      </c>
      <c r="J3028" s="27">
        <v>356359.24</v>
      </c>
      <c r="K3028" s="18">
        <f t="shared" si="95"/>
        <v>356359.24</v>
      </c>
      <c r="L3028" s="27">
        <v>338541.28</v>
      </c>
      <c r="M3028" s="36">
        <v>0</v>
      </c>
      <c r="T3028" s="41">
        <v>0</v>
      </c>
      <c r="U3028" s="41">
        <v>0</v>
      </c>
      <c r="V3028" s="42" t="s">
        <v>113</v>
      </c>
      <c r="W3028" s="42">
        <v>356359.24</v>
      </c>
      <c r="X3028" s="42">
        <v>356359.24</v>
      </c>
    </row>
    <row r="3029" spans="1:24">
      <c r="A3029" s="27" t="s">
        <v>5598</v>
      </c>
      <c r="B3029" s="28" t="s">
        <v>5102</v>
      </c>
      <c r="C3029" s="27" t="s">
        <v>5599</v>
      </c>
      <c r="D3029" s="27" t="s">
        <v>5104</v>
      </c>
      <c r="E3029" s="29">
        <v>35551</v>
      </c>
      <c r="F3029" s="27">
        <v>15</v>
      </c>
      <c r="G3029" s="18">
        <v>43900.86</v>
      </c>
      <c r="H3029" s="27">
        <f t="shared" si="94"/>
        <v>43900.86</v>
      </c>
      <c r="I3029" s="18">
        <v>41705.82</v>
      </c>
      <c r="J3029" s="27">
        <v>43900.86</v>
      </c>
      <c r="K3029" s="18">
        <f t="shared" si="95"/>
        <v>43900.86</v>
      </c>
      <c r="L3029" s="27">
        <v>41705.82</v>
      </c>
      <c r="M3029" s="36">
        <v>0</v>
      </c>
      <c r="T3029" s="41">
        <v>0</v>
      </c>
      <c r="U3029" s="41">
        <v>0</v>
      </c>
      <c r="V3029" s="42" t="s">
        <v>113</v>
      </c>
      <c r="W3029" s="42">
        <v>43900.86</v>
      </c>
      <c r="X3029" s="42">
        <v>43900.86</v>
      </c>
    </row>
    <row r="3030" spans="1:24">
      <c r="A3030" s="27" t="s">
        <v>5600</v>
      </c>
      <c r="B3030" s="28" t="s">
        <v>5102</v>
      </c>
      <c r="C3030" s="27" t="s">
        <v>5601</v>
      </c>
      <c r="D3030" s="27" t="s">
        <v>5104</v>
      </c>
      <c r="E3030" s="29">
        <v>35886</v>
      </c>
      <c r="F3030" s="27">
        <v>15</v>
      </c>
      <c r="G3030" s="18">
        <v>31758.2</v>
      </c>
      <c r="H3030" s="27">
        <f t="shared" si="94"/>
        <v>31758.2</v>
      </c>
      <c r="I3030" s="18">
        <v>30170.29</v>
      </c>
      <c r="J3030" s="27">
        <v>31758.2</v>
      </c>
      <c r="K3030" s="18">
        <f t="shared" si="95"/>
        <v>31758.2</v>
      </c>
      <c r="L3030" s="27">
        <v>30170.29</v>
      </c>
      <c r="M3030" s="36">
        <v>0</v>
      </c>
      <c r="T3030" s="41">
        <v>0</v>
      </c>
      <c r="U3030" s="41">
        <v>0</v>
      </c>
      <c r="V3030" s="42" t="s">
        <v>113</v>
      </c>
      <c r="W3030" s="42">
        <v>31758.2</v>
      </c>
      <c r="X3030" s="42">
        <v>31758.2</v>
      </c>
    </row>
    <row r="3031" spans="1:24">
      <c r="A3031" s="27" t="s">
        <v>5602</v>
      </c>
      <c r="B3031" s="28" t="s">
        <v>5102</v>
      </c>
      <c r="C3031" s="27" t="s">
        <v>5603</v>
      </c>
      <c r="D3031" s="27" t="s">
        <v>5104</v>
      </c>
      <c r="E3031" s="29">
        <v>37347</v>
      </c>
      <c r="F3031" s="27">
        <v>15</v>
      </c>
      <c r="G3031" s="18">
        <v>22136.94</v>
      </c>
      <c r="H3031" s="27">
        <f t="shared" si="94"/>
        <v>22136.94</v>
      </c>
      <c r="I3031" s="18">
        <v>21030.09</v>
      </c>
      <c r="J3031" s="27">
        <v>22136.94</v>
      </c>
      <c r="K3031" s="18">
        <f t="shared" si="95"/>
        <v>22136.94</v>
      </c>
      <c r="L3031" s="27">
        <v>21030.09</v>
      </c>
      <c r="M3031" s="36">
        <v>0</v>
      </c>
      <c r="T3031" s="41">
        <v>0</v>
      </c>
      <c r="U3031" s="41">
        <v>0</v>
      </c>
      <c r="V3031" s="42" t="s">
        <v>113</v>
      </c>
      <c r="W3031" s="42">
        <v>22136.94</v>
      </c>
      <c r="X3031" s="42">
        <v>22136.94</v>
      </c>
    </row>
    <row r="3032" spans="1:24">
      <c r="A3032" s="27" t="s">
        <v>5604</v>
      </c>
      <c r="B3032" s="28" t="s">
        <v>5102</v>
      </c>
      <c r="C3032" s="27" t="s">
        <v>5605</v>
      </c>
      <c r="D3032" s="27" t="s">
        <v>5104</v>
      </c>
      <c r="E3032" s="29">
        <v>38078</v>
      </c>
      <c r="F3032" s="27">
        <v>15</v>
      </c>
      <c r="G3032" s="18">
        <v>11176.42</v>
      </c>
      <c r="H3032" s="27">
        <f t="shared" si="94"/>
        <v>11176.42</v>
      </c>
      <c r="I3032" s="18">
        <v>10617.6</v>
      </c>
      <c r="J3032" s="27">
        <v>11176.42</v>
      </c>
      <c r="K3032" s="18">
        <f t="shared" si="95"/>
        <v>11176.42</v>
      </c>
      <c r="L3032" s="27">
        <v>10617.6</v>
      </c>
      <c r="M3032" s="36">
        <v>0</v>
      </c>
      <c r="T3032" s="41">
        <v>0</v>
      </c>
      <c r="U3032" s="41">
        <v>0</v>
      </c>
      <c r="V3032" s="42" t="s">
        <v>113</v>
      </c>
      <c r="W3032" s="42">
        <v>11176.42</v>
      </c>
      <c r="X3032" s="42">
        <v>11176.42</v>
      </c>
    </row>
    <row r="3033" spans="1:24">
      <c r="A3033" s="27" t="s">
        <v>5606</v>
      </c>
      <c r="B3033" s="28" t="s">
        <v>5102</v>
      </c>
      <c r="C3033" s="27" t="s">
        <v>5607</v>
      </c>
      <c r="D3033" s="27" t="s">
        <v>5104</v>
      </c>
      <c r="E3033" s="29">
        <v>37347</v>
      </c>
      <c r="F3033" s="27">
        <v>15</v>
      </c>
      <c r="G3033" s="18">
        <v>40531.08</v>
      </c>
      <c r="H3033" s="27">
        <f t="shared" si="94"/>
        <v>40531.08</v>
      </c>
      <c r="I3033" s="18">
        <v>38504.53</v>
      </c>
      <c r="J3033" s="27">
        <v>40531.08</v>
      </c>
      <c r="K3033" s="18">
        <f t="shared" si="95"/>
        <v>40531.08</v>
      </c>
      <c r="L3033" s="27">
        <v>38504.53</v>
      </c>
      <c r="M3033" s="36">
        <v>0</v>
      </c>
      <c r="T3033" s="41">
        <v>0</v>
      </c>
      <c r="U3033" s="41">
        <v>0</v>
      </c>
      <c r="V3033" s="42" t="s">
        <v>113</v>
      </c>
      <c r="W3033" s="42">
        <v>40531.08</v>
      </c>
      <c r="X3033" s="42">
        <v>40531.08</v>
      </c>
    </row>
    <row r="3034" spans="1:24">
      <c r="A3034" s="27" t="s">
        <v>5608</v>
      </c>
      <c r="B3034" s="28" t="s">
        <v>5102</v>
      </c>
      <c r="C3034" s="27" t="s">
        <v>5609</v>
      </c>
      <c r="D3034" s="27" t="s">
        <v>5104</v>
      </c>
      <c r="E3034" s="29">
        <v>37347</v>
      </c>
      <c r="F3034" s="27">
        <v>15</v>
      </c>
      <c r="G3034" s="18">
        <v>23098.17</v>
      </c>
      <c r="H3034" s="27">
        <f t="shared" si="94"/>
        <v>23098.17</v>
      </c>
      <c r="I3034" s="18">
        <v>21943.26</v>
      </c>
      <c r="J3034" s="27">
        <v>23098.17</v>
      </c>
      <c r="K3034" s="18">
        <f t="shared" si="95"/>
        <v>23098.17</v>
      </c>
      <c r="L3034" s="27">
        <v>21943.26</v>
      </c>
      <c r="M3034" s="36">
        <v>0</v>
      </c>
      <c r="T3034" s="41">
        <v>0</v>
      </c>
      <c r="U3034" s="41">
        <v>0</v>
      </c>
      <c r="V3034" s="42" t="s">
        <v>113</v>
      </c>
      <c r="W3034" s="42">
        <v>23098.17</v>
      </c>
      <c r="X3034" s="42">
        <v>23098.17</v>
      </c>
    </row>
    <row r="3035" spans="1:24">
      <c r="A3035" s="27" t="s">
        <v>5610</v>
      </c>
      <c r="B3035" s="28" t="s">
        <v>5102</v>
      </c>
      <c r="C3035" s="27" t="s">
        <v>5611</v>
      </c>
      <c r="D3035" s="27" t="s">
        <v>5104</v>
      </c>
      <c r="E3035" s="29">
        <v>39417</v>
      </c>
      <c r="F3035" s="27">
        <v>15</v>
      </c>
      <c r="G3035" s="18">
        <v>27800</v>
      </c>
      <c r="H3035" s="27">
        <f t="shared" si="94"/>
        <v>0</v>
      </c>
      <c r="I3035" s="18">
        <v>25149.02</v>
      </c>
      <c r="J3035" s="27">
        <v>27800</v>
      </c>
      <c r="K3035" s="18">
        <f t="shared" si="95"/>
        <v>0</v>
      </c>
      <c r="L3035" s="27">
        <v>25464.27</v>
      </c>
      <c r="M3035" s="36">
        <v>315.25</v>
      </c>
      <c r="T3035" s="41">
        <v>0</v>
      </c>
      <c r="U3035" s="41">
        <v>0</v>
      </c>
      <c r="V3035" s="42" t="s">
        <v>113</v>
      </c>
      <c r="W3035" s="42">
        <v>0</v>
      </c>
      <c r="X3035" s="42">
        <v>0</v>
      </c>
    </row>
    <row r="3036" spans="1:24">
      <c r="A3036" s="27" t="s">
        <v>5612</v>
      </c>
      <c r="B3036" s="28" t="s">
        <v>5102</v>
      </c>
      <c r="C3036" s="27" t="s">
        <v>5613</v>
      </c>
      <c r="D3036" s="27" t="s">
        <v>5104</v>
      </c>
      <c r="E3036" s="29">
        <v>39417</v>
      </c>
      <c r="F3036" s="27">
        <v>15</v>
      </c>
      <c r="G3036" s="18">
        <v>116700</v>
      </c>
      <c r="H3036" s="27">
        <f t="shared" si="94"/>
        <v>0</v>
      </c>
      <c r="I3036" s="18">
        <v>99772.88</v>
      </c>
      <c r="J3036" s="27">
        <v>116700</v>
      </c>
      <c r="K3036" s="18">
        <f t="shared" si="95"/>
        <v>0</v>
      </c>
      <c r="L3036" s="27">
        <v>102545.91</v>
      </c>
      <c r="M3036" s="36">
        <v>2773.03</v>
      </c>
      <c r="T3036" s="41">
        <v>0</v>
      </c>
      <c r="U3036" s="41">
        <v>0</v>
      </c>
      <c r="V3036" s="42" t="s">
        <v>113</v>
      </c>
      <c r="W3036" s="42">
        <v>0</v>
      </c>
      <c r="X3036" s="42">
        <v>0</v>
      </c>
    </row>
    <row r="3037" spans="1:24">
      <c r="A3037" s="27" t="s">
        <v>5614</v>
      </c>
      <c r="B3037" s="28" t="s">
        <v>5102</v>
      </c>
      <c r="C3037" s="27" t="s">
        <v>5615</v>
      </c>
      <c r="D3037" s="27" t="s">
        <v>5104</v>
      </c>
      <c r="E3037" s="29">
        <v>39417</v>
      </c>
      <c r="F3037" s="27">
        <v>15</v>
      </c>
      <c r="G3037" s="18">
        <v>13500</v>
      </c>
      <c r="H3037" s="27">
        <f t="shared" si="94"/>
        <v>0</v>
      </c>
      <c r="I3037" s="18">
        <v>11937.46</v>
      </c>
      <c r="J3037" s="27">
        <v>13500</v>
      </c>
      <c r="K3037" s="18">
        <f t="shared" si="95"/>
        <v>0</v>
      </c>
      <c r="L3037" s="27">
        <v>12159.35</v>
      </c>
      <c r="M3037" s="36">
        <v>221.89</v>
      </c>
      <c r="T3037" s="41">
        <v>0</v>
      </c>
      <c r="U3037" s="41">
        <v>0</v>
      </c>
      <c r="V3037" s="42" t="s">
        <v>113</v>
      </c>
      <c r="W3037" s="42">
        <v>0</v>
      </c>
      <c r="X3037" s="42">
        <v>0</v>
      </c>
    </row>
    <row r="3038" spans="1:24">
      <c r="A3038" s="27" t="s">
        <v>5616</v>
      </c>
      <c r="B3038" s="28" t="s">
        <v>5102</v>
      </c>
      <c r="C3038" s="27" t="s">
        <v>5617</v>
      </c>
      <c r="D3038" s="27" t="s">
        <v>5104</v>
      </c>
      <c r="E3038" s="29">
        <v>39417</v>
      </c>
      <c r="F3038" s="27">
        <v>15</v>
      </c>
      <c r="G3038" s="18">
        <v>25552.15</v>
      </c>
      <c r="H3038" s="27">
        <f t="shared" si="94"/>
        <v>0</v>
      </c>
      <c r="I3038" s="18">
        <v>22732.95</v>
      </c>
      <c r="J3038" s="27">
        <v>25552.15</v>
      </c>
      <c r="K3038" s="18">
        <f t="shared" si="95"/>
        <v>0</v>
      </c>
      <c r="L3038" s="27">
        <v>23118.35</v>
      </c>
      <c r="M3038" s="36">
        <v>385.4</v>
      </c>
      <c r="T3038" s="41">
        <v>0</v>
      </c>
      <c r="U3038" s="41">
        <v>0</v>
      </c>
      <c r="V3038" s="42" t="s">
        <v>113</v>
      </c>
      <c r="W3038" s="42">
        <v>0</v>
      </c>
      <c r="X3038" s="42">
        <v>0</v>
      </c>
    </row>
    <row r="3039" spans="1:24">
      <c r="A3039" s="27" t="s">
        <v>5618</v>
      </c>
      <c r="B3039" s="28" t="s">
        <v>5102</v>
      </c>
      <c r="C3039" s="27" t="s">
        <v>5619</v>
      </c>
      <c r="D3039" s="27" t="s">
        <v>5104</v>
      </c>
      <c r="E3039" s="29">
        <v>39417</v>
      </c>
      <c r="F3039" s="27">
        <v>15</v>
      </c>
      <c r="G3039" s="18">
        <v>45795.91</v>
      </c>
      <c r="H3039" s="27">
        <f t="shared" si="94"/>
        <v>0</v>
      </c>
      <c r="I3039" s="18">
        <v>40072.129999999997</v>
      </c>
      <c r="J3039" s="27">
        <v>45795.91</v>
      </c>
      <c r="K3039" s="18">
        <f t="shared" si="95"/>
        <v>0</v>
      </c>
      <c r="L3039" s="27">
        <v>40930.629999999997</v>
      </c>
      <c r="M3039" s="36">
        <v>858.5</v>
      </c>
      <c r="T3039" s="41">
        <v>0</v>
      </c>
      <c r="U3039" s="41">
        <v>0</v>
      </c>
      <c r="V3039" s="42" t="s">
        <v>113</v>
      </c>
      <c r="W3039" s="42">
        <v>0</v>
      </c>
      <c r="X3039" s="42">
        <v>0</v>
      </c>
    </row>
    <row r="3040" spans="1:24">
      <c r="A3040" s="27" t="s">
        <v>5620</v>
      </c>
      <c r="B3040" s="28" t="s">
        <v>5102</v>
      </c>
      <c r="C3040" s="27" t="s">
        <v>5621</v>
      </c>
      <c r="D3040" s="27" t="s">
        <v>5104</v>
      </c>
      <c r="E3040" s="29">
        <v>39417</v>
      </c>
      <c r="F3040" s="27">
        <v>15</v>
      </c>
      <c r="G3040" s="18">
        <v>20898.91</v>
      </c>
      <c r="H3040" s="27">
        <f t="shared" si="94"/>
        <v>0</v>
      </c>
      <c r="I3040" s="18">
        <v>18436.419999999998</v>
      </c>
      <c r="J3040" s="27">
        <v>20898.91</v>
      </c>
      <c r="K3040" s="18">
        <f t="shared" si="95"/>
        <v>0</v>
      </c>
      <c r="L3040" s="27">
        <v>18790.810000000001</v>
      </c>
      <c r="M3040" s="36">
        <v>354.39</v>
      </c>
      <c r="T3040" s="41">
        <v>0</v>
      </c>
      <c r="U3040" s="41">
        <v>0</v>
      </c>
      <c r="V3040" s="42" t="s">
        <v>113</v>
      </c>
      <c r="W3040" s="42">
        <v>0</v>
      </c>
      <c r="X3040" s="42">
        <v>0</v>
      </c>
    </row>
    <row r="3041" spans="1:24">
      <c r="A3041" s="27" t="s">
        <v>5622</v>
      </c>
      <c r="B3041" s="28" t="s">
        <v>5102</v>
      </c>
      <c r="C3041" s="27" t="s">
        <v>5623</v>
      </c>
      <c r="D3041" s="27" t="s">
        <v>5104</v>
      </c>
      <c r="E3041" s="29">
        <v>39417</v>
      </c>
      <c r="F3041" s="27">
        <v>15</v>
      </c>
      <c r="G3041" s="18">
        <v>55500</v>
      </c>
      <c r="H3041" s="27">
        <f t="shared" si="94"/>
        <v>0</v>
      </c>
      <c r="I3041" s="18">
        <v>50702.559999999998</v>
      </c>
      <c r="J3041" s="27">
        <v>55500</v>
      </c>
      <c r="K3041" s="18">
        <f t="shared" si="95"/>
        <v>0</v>
      </c>
      <c r="L3041" s="27">
        <v>51208.17</v>
      </c>
      <c r="M3041" s="36">
        <v>505.61</v>
      </c>
      <c r="T3041" s="41">
        <v>0</v>
      </c>
      <c r="U3041" s="41">
        <v>0</v>
      </c>
      <c r="V3041" s="42" t="s">
        <v>113</v>
      </c>
      <c r="W3041" s="42">
        <v>0</v>
      </c>
      <c r="X3041" s="42">
        <v>0</v>
      </c>
    </row>
    <row r="3042" spans="1:24">
      <c r="A3042" s="27" t="s">
        <v>5624</v>
      </c>
      <c r="B3042" s="28" t="s">
        <v>5102</v>
      </c>
      <c r="C3042" s="27" t="s">
        <v>5625</v>
      </c>
      <c r="D3042" s="27" t="s">
        <v>5104</v>
      </c>
      <c r="E3042" s="29">
        <v>39417</v>
      </c>
      <c r="F3042" s="27">
        <v>15</v>
      </c>
      <c r="G3042" s="18">
        <v>9900</v>
      </c>
      <c r="H3042" s="27">
        <f t="shared" si="94"/>
        <v>0</v>
      </c>
      <c r="I3042" s="18">
        <v>8804.59</v>
      </c>
      <c r="J3042" s="27">
        <v>9900</v>
      </c>
      <c r="K3042" s="18">
        <f t="shared" si="95"/>
        <v>0</v>
      </c>
      <c r="L3042" s="27">
        <v>8954.69</v>
      </c>
      <c r="M3042" s="36">
        <v>150.1</v>
      </c>
      <c r="T3042" s="41">
        <v>0</v>
      </c>
      <c r="U3042" s="41">
        <v>0</v>
      </c>
      <c r="V3042" s="42" t="s">
        <v>113</v>
      </c>
      <c r="W3042" s="42">
        <v>0</v>
      </c>
      <c r="X3042" s="42">
        <v>0</v>
      </c>
    </row>
    <row r="3043" spans="1:24">
      <c r="A3043" s="27" t="s">
        <v>5626</v>
      </c>
      <c r="B3043" s="28" t="s">
        <v>5102</v>
      </c>
      <c r="C3043" s="27" t="s">
        <v>5627</v>
      </c>
      <c r="D3043" s="27" t="s">
        <v>5104</v>
      </c>
      <c r="E3043" s="29">
        <v>39417</v>
      </c>
      <c r="F3043" s="27">
        <v>15</v>
      </c>
      <c r="G3043" s="18">
        <v>9400</v>
      </c>
      <c r="H3043" s="27">
        <f t="shared" si="94"/>
        <v>0</v>
      </c>
      <c r="I3043" s="18">
        <v>8264.1</v>
      </c>
      <c r="J3043" s="27">
        <v>9400</v>
      </c>
      <c r="K3043" s="18">
        <f t="shared" si="95"/>
        <v>0</v>
      </c>
      <c r="L3043" s="27">
        <v>8430.58</v>
      </c>
      <c r="M3043" s="36">
        <v>166.48</v>
      </c>
      <c r="T3043" s="41">
        <v>0</v>
      </c>
      <c r="U3043" s="41">
        <v>0</v>
      </c>
      <c r="V3043" s="42" t="s">
        <v>113</v>
      </c>
      <c r="W3043" s="42">
        <v>0</v>
      </c>
      <c r="X3043" s="42">
        <v>0</v>
      </c>
    </row>
    <row r="3044" spans="1:24">
      <c r="A3044" s="27" t="s">
        <v>5628</v>
      </c>
      <c r="B3044" s="28" t="s">
        <v>5102</v>
      </c>
      <c r="C3044" s="27" t="s">
        <v>5629</v>
      </c>
      <c r="D3044" s="27" t="s">
        <v>5104</v>
      </c>
      <c r="E3044" s="29">
        <v>39417</v>
      </c>
      <c r="F3044" s="27">
        <v>15</v>
      </c>
      <c r="G3044" s="18">
        <v>54900</v>
      </c>
      <c r="H3044" s="27">
        <f t="shared" si="94"/>
        <v>0</v>
      </c>
      <c r="I3044" s="18">
        <v>48265.86</v>
      </c>
      <c r="J3044" s="27">
        <v>54900</v>
      </c>
      <c r="K3044" s="18">
        <f t="shared" si="95"/>
        <v>0</v>
      </c>
      <c r="L3044" s="27">
        <v>49238.14</v>
      </c>
      <c r="M3044" s="36">
        <v>972.28</v>
      </c>
      <c r="T3044" s="41">
        <v>0</v>
      </c>
      <c r="U3044" s="41">
        <v>0</v>
      </c>
      <c r="V3044" s="42" t="s">
        <v>113</v>
      </c>
      <c r="W3044" s="42">
        <v>0</v>
      </c>
      <c r="X3044" s="42">
        <v>0</v>
      </c>
    </row>
    <row r="3045" spans="1:24">
      <c r="A3045" s="27" t="s">
        <v>5630</v>
      </c>
      <c r="B3045" s="28" t="s">
        <v>5102</v>
      </c>
      <c r="C3045" s="27" t="s">
        <v>5631</v>
      </c>
      <c r="D3045" s="27" t="s">
        <v>5104</v>
      </c>
      <c r="E3045" s="29">
        <v>39417</v>
      </c>
      <c r="F3045" s="27">
        <v>15</v>
      </c>
      <c r="G3045" s="18">
        <v>15900</v>
      </c>
      <c r="H3045" s="27">
        <f t="shared" si="94"/>
        <v>0</v>
      </c>
      <c r="I3045" s="18">
        <v>14100.19</v>
      </c>
      <c r="J3045" s="27">
        <v>15900</v>
      </c>
      <c r="K3045" s="18">
        <f t="shared" si="95"/>
        <v>0</v>
      </c>
      <c r="L3045" s="27">
        <v>14351.39</v>
      </c>
      <c r="M3045" s="36">
        <v>251.2</v>
      </c>
      <c r="T3045" s="41">
        <v>0</v>
      </c>
      <c r="U3045" s="41">
        <v>0</v>
      </c>
      <c r="V3045" s="42" t="s">
        <v>113</v>
      </c>
      <c r="W3045" s="42">
        <v>0</v>
      </c>
      <c r="X3045" s="42">
        <v>0</v>
      </c>
    </row>
    <row r="3046" spans="1:24">
      <c r="A3046" s="27" t="s">
        <v>5632</v>
      </c>
      <c r="B3046" s="28" t="s">
        <v>5102</v>
      </c>
      <c r="C3046" s="27" t="s">
        <v>5633</v>
      </c>
      <c r="D3046" s="27" t="s">
        <v>5104</v>
      </c>
      <c r="E3046" s="29">
        <v>39417</v>
      </c>
      <c r="F3046" s="27">
        <v>15</v>
      </c>
      <c r="G3046" s="18">
        <v>10200</v>
      </c>
      <c r="H3046" s="27">
        <f t="shared" si="94"/>
        <v>0</v>
      </c>
      <c r="I3046" s="18">
        <v>9266.33</v>
      </c>
      <c r="J3046" s="27">
        <v>10200</v>
      </c>
      <c r="K3046" s="18">
        <f t="shared" si="95"/>
        <v>0</v>
      </c>
      <c r="L3046" s="27">
        <v>9372.25</v>
      </c>
      <c r="M3046" s="36">
        <v>105.92</v>
      </c>
      <c r="T3046" s="41">
        <v>0</v>
      </c>
      <c r="U3046" s="41">
        <v>0</v>
      </c>
      <c r="V3046" s="42" t="s">
        <v>113</v>
      </c>
      <c r="W3046" s="42">
        <v>0</v>
      </c>
      <c r="X3046" s="42">
        <v>0</v>
      </c>
    </row>
    <row r="3047" spans="1:24">
      <c r="A3047" s="27" t="s">
        <v>5634</v>
      </c>
      <c r="B3047" s="28" t="s">
        <v>5102</v>
      </c>
      <c r="C3047" s="27" t="s">
        <v>5635</v>
      </c>
      <c r="D3047" s="27" t="s">
        <v>5104</v>
      </c>
      <c r="E3047" s="29">
        <v>39417</v>
      </c>
      <c r="F3047" s="27">
        <v>15</v>
      </c>
      <c r="G3047" s="18">
        <v>20600</v>
      </c>
      <c r="H3047" s="27">
        <f t="shared" si="94"/>
        <v>0</v>
      </c>
      <c r="I3047" s="18">
        <v>18163.18</v>
      </c>
      <c r="J3047" s="27">
        <v>20600</v>
      </c>
      <c r="K3047" s="18">
        <f t="shared" si="95"/>
        <v>0</v>
      </c>
      <c r="L3047" s="27">
        <v>18514.89</v>
      </c>
      <c r="M3047" s="36">
        <v>351.71</v>
      </c>
      <c r="T3047" s="41">
        <v>0</v>
      </c>
      <c r="U3047" s="41">
        <v>0</v>
      </c>
      <c r="V3047" s="42" t="s">
        <v>113</v>
      </c>
      <c r="W3047" s="42">
        <v>0</v>
      </c>
      <c r="X3047" s="42">
        <v>0</v>
      </c>
    </row>
    <row r="3048" spans="1:24">
      <c r="A3048" s="27" t="s">
        <v>5636</v>
      </c>
      <c r="B3048" s="28" t="s">
        <v>5102</v>
      </c>
      <c r="C3048" s="27" t="s">
        <v>5637</v>
      </c>
      <c r="D3048" s="27" t="s">
        <v>5104</v>
      </c>
      <c r="E3048" s="29">
        <v>39417</v>
      </c>
      <c r="F3048" s="27">
        <v>15</v>
      </c>
      <c r="G3048" s="18">
        <v>8000</v>
      </c>
      <c r="H3048" s="27">
        <f t="shared" si="94"/>
        <v>0</v>
      </c>
      <c r="I3048" s="18">
        <v>7033.27</v>
      </c>
      <c r="J3048" s="27">
        <v>8000</v>
      </c>
      <c r="K3048" s="18">
        <f t="shared" si="95"/>
        <v>0</v>
      </c>
      <c r="L3048" s="27">
        <v>7174.95</v>
      </c>
      <c r="M3048" s="36">
        <v>141.68</v>
      </c>
      <c r="T3048" s="41">
        <v>0</v>
      </c>
      <c r="U3048" s="41">
        <v>0</v>
      </c>
      <c r="V3048" s="42" t="s">
        <v>113</v>
      </c>
      <c r="W3048" s="42">
        <v>0</v>
      </c>
      <c r="X3048" s="42">
        <v>0</v>
      </c>
    </row>
    <row r="3049" spans="1:24">
      <c r="A3049" s="27" t="s">
        <v>5638</v>
      </c>
      <c r="B3049" s="28" t="s">
        <v>5102</v>
      </c>
      <c r="C3049" s="27" t="s">
        <v>5639</v>
      </c>
      <c r="D3049" s="27" t="s">
        <v>5104</v>
      </c>
      <c r="E3049" s="29">
        <v>39417</v>
      </c>
      <c r="F3049" s="27">
        <v>15</v>
      </c>
      <c r="G3049" s="18">
        <v>8719.82</v>
      </c>
      <c r="H3049" s="27">
        <f t="shared" si="94"/>
        <v>0</v>
      </c>
      <c r="I3049" s="18">
        <v>8082.38</v>
      </c>
      <c r="J3049" s="27">
        <v>8719.82</v>
      </c>
      <c r="K3049" s="18">
        <f t="shared" si="95"/>
        <v>0</v>
      </c>
      <c r="L3049" s="27">
        <v>8132.74</v>
      </c>
      <c r="M3049" s="36">
        <v>50.36</v>
      </c>
      <c r="T3049" s="41">
        <v>0</v>
      </c>
      <c r="U3049" s="41">
        <v>0</v>
      </c>
      <c r="V3049" s="42" t="s">
        <v>113</v>
      </c>
      <c r="W3049" s="42">
        <v>0</v>
      </c>
      <c r="X3049" s="42">
        <v>0</v>
      </c>
    </row>
    <row r="3050" spans="1:24">
      <c r="A3050" s="27" t="s">
        <v>5640</v>
      </c>
      <c r="B3050" s="28" t="s">
        <v>5102</v>
      </c>
      <c r="C3050" s="27" t="s">
        <v>5641</v>
      </c>
      <c r="D3050" s="27" t="s">
        <v>5104</v>
      </c>
      <c r="E3050" s="29">
        <v>39417</v>
      </c>
      <c r="F3050" s="27">
        <v>15</v>
      </c>
      <c r="G3050" s="18">
        <v>72100</v>
      </c>
      <c r="H3050" s="27">
        <f t="shared" si="94"/>
        <v>0</v>
      </c>
      <c r="I3050" s="18">
        <v>64306</v>
      </c>
      <c r="J3050" s="27">
        <v>72100</v>
      </c>
      <c r="K3050" s="18">
        <f t="shared" si="95"/>
        <v>0</v>
      </c>
      <c r="L3050" s="27">
        <v>65353.25</v>
      </c>
      <c r="M3050" s="36">
        <v>1047.25</v>
      </c>
      <c r="T3050" s="41">
        <v>0</v>
      </c>
      <c r="U3050" s="41">
        <v>0</v>
      </c>
      <c r="V3050" s="42" t="s">
        <v>113</v>
      </c>
      <c r="W3050" s="42">
        <v>0</v>
      </c>
      <c r="X3050" s="42">
        <v>0</v>
      </c>
    </row>
    <row r="3051" spans="1:24">
      <c r="A3051" s="27" t="s">
        <v>5642</v>
      </c>
      <c r="B3051" s="28" t="s">
        <v>5102</v>
      </c>
      <c r="C3051" s="27" t="s">
        <v>5643</v>
      </c>
      <c r="D3051" s="27" t="s">
        <v>5104</v>
      </c>
      <c r="E3051" s="29">
        <v>39417</v>
      </c>
      <c r="F3051" s="27">
        <v>15</v>
      </c>
      <c r="G3051" s="18">
        <v>22700</v>
      </c>
      <c r="H3051" s="27">
        <f t="shared" si="94"/>
        <v>0</v>
      </c>
      <c r="I3051" s="18">
        <v>20737.810000000001</v>
      </c>
      <c r="J3051" s="27">
        <v>22700</v>
      </c>
      <c r="K3051" s="18">
        <f t="shared" si="95"/>
        <v>0</v>
      </c>
      <c r="L3051" s="27">
        <v>20944.61</v>
      </c>
      <c r="M3051" s="36">
        <v>206.8</v>
      </c>
      <c r="T3051" s="41">
        <v>0</v>
      </c>
      <c r="U3051" s="41">
        <v>0</v>
      </c>
      <c r="V3051" s="42" t="s">
        <v>113</v>
      </c>
      <c r="W3051" s="42">
        <v>0</v>
      </c>
      <c r="X3051" s="42">
        <v>0</v>
      </c>
    </row>
    <row r="3052" spans="1:24">
      <c r="A3052" s="27" t="s">
        <v>5644</v>
      </c>
      <c r="B3052" s="28" t="s">
        <v>5102</v>
      </c>
      <c r="C3052" s="27" t="s">
        <v>5645</v>
      </c>
      <c r="D3052" s="27" t="s">
        <v>5104</v>
      </c>
      <c r="E3052" s="29">
        <v>39417</v>
      </c>
      <c r="F3052" s="27">
        <v>15</v>
      </c>
      <c r="G3052" s="18">
        <v>30552.11</v>
      </c>
      <c r="H3052" s="27">
        <f t="shared" si="94"/>
        <v>0</v>
      </c>
      <c r="I3052" s="18">
        <v>27396.46</v>
      </c>
      <c r="J3052" s="27">
        <v>30552.11</v>
      </c>
      <c r="K3052" s="18">
        <f t="shared" si="95"/>
        <v>0</v>
      </c>
      <c r="L3052" s="27">
        <v>27803.47</v>
      </c>
      <c r="M3052" s="36">
        <v>407.01</v>
      </c>
      <c r="T3052" s="41">
        <v>0</v>
      </c>
      <c r="U3052" s="41">
        <v>0</v>
      </c>
      <c r="V3052" s="42" t="s">
        <v>113</v>
      </c>
      <c r="W3052" s="42">
        <v>0</v>
      </c>
      <c r="X3052" s="42">
        <v>0</v>
      </c>
    </row>
    <row r="3053" spans="1:24">
      <c r="A3053" s="27" t="s">
        <v>5646</v>
      </c>
      <c r="B3053" s="28" t="s">
        <v>5102</v>
      </c>
      <c r="C3053" s="27" t="s">
        <v>5647</v>
      </c>
      <c r="D3053" s="27" t="s">
        <v>5104</v>
      </c>
      <c r="E3053" s="29">
        <v>39417</v>
      </c>
      <c r="F3053" s="27">
        <v>15</v>
      </c>
      <c r="G3053" s="18">
        <v>16700</v>
      </c>
      <c r="H3053" s="27">
        <f t="shared" si="94"/>
        <v>0</v>
      </c>
      <c r="I3053" s="18">
        <v>14618.13</v>
      </c>
      <c r="J3053" s="27">
        <v>16700</v>
      </c>
      <c r="K3053" s="18">
        <f t="shared" si="95"/>
        <v>0</v>
      </c>
      <c r="L3053" s="27">
        <v>14929.85</v>
      </c>
      <c r="M3053" s="36">
        <v>311.72000000000003</v>
      </c>
      <c r="T3053" s="41">
        <v>0</v>
      </c>
      <c r="U3053" s="41">
        <v>0</v>
      </c>
      <c r="V3053" s="42" t="s">
        <v>113</v>
      </c>
      <c r="W3053" s="42">
        <v>0</v>
      </c>
      <c r="X3053" s="42">
        <v>0</v>
      </c>
    </row>
    <row r="3054" spans="1:24">
      <c r="A3054" s="27" t="s">
        <v>5648</v>
      </c>
      <c r="B3054" s="28" t="s">
        <v>5102</v>
      </c>
      <c r="C3054" s="27" t="s">
        <v>5649</v>
      </c>
      <c r="D3054" s="27" t="s">
        <v>5104</v>
      </c>
      <c r="E3054" s="29">
        <v>39417</v>
      </c>
      <c r="F3054" s="27">
        <v>15</v>
      </c>
      <c r="G3054" s="18">
        <v>10300</v>
      </c>
      <c r="H3054" s="27">
        <f t="shared" si="94"/>
        <v>0</v>
      </c>
      <c r="I3054" s="18">
        <v>8963.4699999999993</v>
      </c>
      <c r="J3054" s="27">
        <v>10300</v>
      </c>
      <c r="K3054" s="18">
        <f t="shared" si="95"/>
        <v>0</v>
      </c>
      <c r="L3054" s="27">
        <v>9168.85</v>
      </c>
      <c r="M3054" s="36">
        <v>205.38</v>
      </c>
      <c r="T3054" s="41">
        <v>0</v>
      </c>
      <c r="U3054" s="41">
        <v>0</v>
      </c>
      <c r="V3054" s="42" t="s">
        <v>113</v>
      </c>
      <c r="W3054" s="42">
        <v>0</v>
      </c>
      <c r="X3054" s="42">
        <v>0</v>
      </c>
    </row>
    <row r="3055" spans="1:24">
      <c r="A3055" s="27" t="s">
        <v>5650</v>
      </c>
      <c r="B3055" s="28" t="s">
        <v>5102</v>
      </c>
      <c r="C3055" s="27" t="s">
        <v>5651</v>
      </c>
      <c r="D3055" s="27" t="s">
        <v>5104</v>
      </c>
      <c r="E3055" s="29">
        <v>39417</v>
      </c>
      <c r="F3055" s="27">
        <v>15</v>
      </c>
      <c r="G3055" s="18">
        <v>31200</v>
      </c>
      <c r="H3055" s="27">
        <f t="shared" si="94"/>
        <v>0</v>
      </c>
      <c r="I3055" s="18">
        <v>27191.26</v>
      </c>
      <c r="J3055" s="27">
        <v>31200</v>
      </c>
      <c r="K3055" s="18">
        <f t="shared" si="95"/>
        <v>0</v>
      </c>
      <c r="L3055" s="27">
        <v>27803.45</v>
      </c>
      <c r="M3055" s="36">
        <v>612.19000000000005</v>
      </c>
      <c r="T3055" s="41">
        <v>0</v>
      </c>
      <c r="U3055" s="41">
        <v>0</v>
      </c>
      <c r="V3055" s="42" t="s">
        <v>113</v>
      </c>
      <c r="W3055" s="42">
        <v>0</v>
      </c>
      <c r="X3055" s="42">
        <v>0</v>
      </c>
    </row>
    <row r="3056" spans="1:24">
      <c r="A3056" s="27" t="s">
        <v>5652</v>
      </c>
      <c r="B3056" s="28" t="s">
        <v>5102</v>
      </c>
      <c r="C3056" s="27" t="s">
        <v>5653</v>
      </c>
      <c r="D3056" s="27" t="s">
        <v>5104</v>
      </c>
      <c r="E3056" s="29">
        <v>39417</v>
      </c>
      <c r="F3056" s="27">
        <v>15</v>
      </c>
      <c r="G3056" s="18">
        <v>37700</v>
      </c>
      <c r="H3056" s="27">
        <f t="shared" si="94"/>
        <v>0</v>
      </c>
      <c r="I3056" s="18">
        <v>34153</v>
      </c>
      <c r="J3056" s="27">
        <v>37700</v>
      </c>
      <c r="K3056" s="18">
        <f t="shared" si="95"/>
        <v>0</v>
      </c>
      <c r="L3056" s="27">
        <v>34568.5</v>
      </c>
      <c r="M3056" s="36">
        <v>415.5</v>
      </c>
      <c r="T3056" s="41">
        <v>0</v>
      </c>
      <c r="U3056" s="41">
        <v>0</v>
      </c>
      <c r="V3056" s="42" t="s">
        <v>113</v>
      </c>
      <c r="W3056" s="42">
        <v>0</v>
      </c>
      <c r="X3056" s="42">
        <v>0</v>
      </c>
    </row>
    <row r="3057" spans="1:24">
      <c r="A3057" s="27" t="s">
        <v>5654</v>
      </c>
      <c r="B3057" s="28" t="s">
        <v>5102</v>
      </c>
      <c r="C3057" s="27" t="s">
        <v>5655</v>
      </c>
      <c r="D3057" s="27" t="s">
        <v>5104</v>
      </c>
      <c r="E3057" s="29">
        <v>39417</v>
      </c>
      <c r="F3057" s="27">
        <v>15</v>
      </c>
      <c r="G3057" s="18">
        <v>13000</v>
      </c>
      <c r="H3057" s="27">
        <f t="shared" si="94"/>
        <v>0</v>
      </c>
      <c r="I3057" s="18">
        <v>11611.27</v>
      </c>
      <c r="J3057" s="27">
        <v>13000</v>
      </c>
      <c r="K3057" s="18">
        <f t="shared" si="95"/>
        <v>0</v>
      </c>
      <c r="L3057" s="27">
        <v>11795.95</v>
      </c>
      <c r="M3057" s="36">
        <v>184.68</v>
      </c>
      <c r="T3057" s="41">
        <v>0</v>
      </c>
      <c r="U3057" s="41">
        <v>0</v>
      </c>
      <c r="V3057" s="42" t="s">
        <v>113</v>
      </c>
      <c r="W3057" s="42">
        <v>0</v>
      </c>
      <c r="X3057" s="42">
        <v>0</v>
      </c>
    </row>
    <row r="3058" spans="1:24">
      <c r="A3058" s="27" t="s">
        <v>5656</v>
      </c>
      <c r="B3058" s="28" t="s">
        <v>5102</v>
      </c>
      <c r="C3058" s="27" t="s">
        <v>5657</v>
      </c>
      <c r="D3058" s="27" t="s">
        <v>5104</v>
      </c>
      <c r="E3058" s="29">
        <v>39417</v>
      </c>
      <c r="F3058" s="27">
        <v>15</v>
      </c>
      <c r="G3058" s="18">
        <v>28600</v>
      </c>
      <c r="H3058" s="27">
        <f t="shared" si="94"/>
        <v>0</v>
      </c>
      <c r="I3058" s="18">
        <v>25289.72</v>
      </c>
      <c r="J3058" s="27">
        <v>28600</v>
      </c>
      <c r="K3058" s="18">
        <f t="shared" si="95"/>
        <v>0</v>
      </c>
      <c r="L3058" s="27">
        <v>25759.79</v>
      </c>
      <c r="M3058" s="36">
        <v>470.07</v>
      </c>
      <c r="T3058" s="41">
        <v>0</v>
      </c>
      <c r="U3058" s="41">
        <v>0</v>
      </c>
      <c r="V3058" s="42" t="s">
        <v>113</v>
      </c>
      <c r="W3058" s="42">
        <v>0</v>
      </c>
      <c r="X3058" s="42">
        <v>0</v>
      </c>
    </row>
    <row r="3059" spans="1:24">
      <c r="A3059" s="27" t="s">
        <v>5658</v>
      </c>
      <c r="B3059" s="28" t="s">
        <v>5102</v>
      </c>
      <c r="C3059" s="27" t="s">
        <v>5659</v>
      </c>
      <c r="D3059" s="27" t="s">
        <v>5104</v>
      </c>
      <c r="E3059" s="29">
        <v>39417</v>
      </c>
      <c r="F3059" s="27">
        <v>15</v>
      </c>
      <c r="G3059" s="18">
        <v>15900</v>
      </c>
      <c r="H3059" s="27">
        <f t="shared" si="94"/>
        <v>0</v>
      </c>
      <c r="I3059" s="18">
        <v>14120.45</v>
      </c>
      <c r="J3059" s="27">
        <v>15900</v>
      </c>
      <c r="K3059" s="18">
        <f t="shared" si="95"/>
        <v>0</v>
      </c>
      <c r="L3059" s="27">
        <v>14366.59</v>
      </c>
      <c r="M3059" s="36">
        <v>246.14</v>
      </c>
      <c r="T3059" s="41">
        <v>0</v>
      </c>
      <c r="U3059" s="41">
        <v>0</v>
      </c>
      <c r="V3059" s="42" t="s">
        <v>113</v>
      </c>
      <c r="W3059" s="42">
        <v>0</v>
      </c>
      <c r="X3059" s="42">
        <v>0</v>
      </c>
    </row>
    <row r="3060" spans="1:24">
      <c r="A3060" s="27" t="s">
        <v>5660</v>
      </c>
      <c r="B3060" s="28" t="s">
        <v>5102</v>
      </c>
      <c r="C3060" s="27" t="s">
        <v>5661</v>
      </c>
      <c r="D3060" s="27" t="s">
        <v>5104</v>
      </c>
      <c r="E3060" s="29">
        <v>39417</v>
      </c>
      <c r="F3060" s="27">
        <v>15</v>
      </c>
      <c r="G3060" s="18">
        <v>5900</v>
      </c>
      <c r="H3060" s="27">
        <f t="shared" si="94"/>
        <v>0</v>
      </c>
      <c r="I3060" s="18">
        <v>5390</v>
      </c>
      <c r="J3060" s="27">
        <v>5900</v>
      </c>
      <c r="K3060" s="18">
        <f t="shared" si="95"/>
        <v>0</v>
      </c>
      <c r="L3060" s="27">
        <v>5443.75</v>
      </c>
      <c r="M3060" s="36">
        <v>53.75</v>
      </c>
      <c r="T3060" s="41">
        <v>0</v>
      </c>
      <c r="U3060" s="41">
        <v>0</v>
      </c>
      <c r="V3060" s="42" t="s">
        <v>113</v>
      </c>
      <c r="W3060" s="42">
        <v>0</v>
      </c>
      <c r="X3060" s="42">
        <v>0</v>
      </c>
    </row>
    <row r="3061" spans="1:24">
      <c r="A3061" s="27" t="s">
        <v>5662</v>
      </c>
      <c r="B3061" s="28" t="s">
        <v>5102</v>
      </c>
      <c r="C3061" s="27" t="s">
        <v>5663</v>
      </c>
      <c r="D3061" s="27" t="s">
        <v>5104</v>
      </c>
      <c r="E3061" s="29">
        <v>39417</v>
      </c>
      <c r="F3061" s="27">
        <v>15</v>
      </c>
      <c r="G3061" s="18">
        <v>7700</v>
      </c>
      <c r="H3061" s="27">
        <f t="shared" si="94"/>
        <v>0</v>
      </c>
      <c r="I3061" s="18">
        <v>6867.63</v>
      </c>
      <c r="J3061" s="27">
        <v>7700</v>
      </c>
      <c r="K3061" s="18">
        <f t="shared" si="95"/>
        <v>0</v>
      </c>
      <c r="L3061" s="27">
        <v>6979.47</v>
      </c>
      <c r="M3061" s="36">
        <v>111.84</v>
      </c>
      <c r="T3061" s="41">
        <v>0</v>
      </c>
      <c r="U3061" s="41">
        <v>0</v>
      </c>
      <c r="V3061" s="42" t="s">
        <v>113</v>
      </c>
      <c r="W3061" s="42">
        <v>0</v>
      </c>
      <c r="X3061" s="42">
        <v>0</v>
      </c>
    </row>
    <row r="3062" spans="1:24">
      <c r="A3062" s="27" t="s">
        <v>5664</v>
      </c>
      <c r="B3062" s="28" t="s">
        <v>5102</v>
      </c>
      <c r="C3062" s="27" t="s">
        <v>5653</v>
      </c>
      <c r="D3062" s="27" t="s">
        <v>5104</v>
      </c>
      <c r="E3062" s="29">
        <v>39417</v>
      </c>
      <c r="F3062" s="27">
        <v>15</v>
      </c>
      <c r="G3062" s="18">
        <v>5300</v>
      </c>
      <c r="H3062" s="27">
        <f t="shared" si="94"/>
        <v>0</v>
      </c>
      <c r="I3062" s="18">
        <v>4801.34</v>
      </c>
      <c r="J3062" s="27">
        <v>5300</v>
      </c>
      <c r="K3062" s="18">
        <f t="shared" si="95"/>
        <v>0</v>
      </c>
      <c r="L3062" s="27">
        <v>4859.76</v>
      </c>
      <c r="M3062" s="36">
        <v>58.42</v>
      </c>
      <c r="T3062" s="41">
        <v>0</v>
      </c>
      <c r="U3062" s="41">
        <v>0</v>
      </c>
      <c r="V3062" s="42" t="s">
        <v>113</v>
      </c>
      <c r="W3062" s="42">
        <v>0</v>
      </c>
      <c r="X3062" s="42">
        <v>0</v>
      </c>
    </row>
    <row r="3063" spans="1:24">
      <c r="A3063" s="27" t="s">
        <v>5665</v>
      </c>
      <c r="B3063" s="28" t="s">
        <v>5102</v>
      </c>
      <c r="C3063" s="27" t="s">
        <v>5666</v>
      </c>
      <c r="D3063" s="27" t="s">
        <v>5104</v>
      </c>
      <c r="E3063" s="29">
        <v>39142</v>
      </c>
      <c r="F3063" s="27">
        <v>15</v>
      </c>
      <c r="G3063" s="18">
        <v>320805.12</v>
      </c>
      <c r="H3063" s="27">
        <f t="shared" si="94"/>
        <v>0</v>
      </c>
      <c r="I3063" s="18">
        <v>283585.8</v>
      </c>
      <c r="J3063" s="27">
        <v>320805.12</v>
      </c>
      <c r="K3063" s="18">
        <f t="shared" si="95"/>
        <v>0</v>
      </c>
      <c r="L3063" s="27">
        <v>290102.43</v>
      </c>
      <c r="M3063" s="36">
        <v>6516.63</v>
      </c>
      <c r="T3063" s="41">
        <v>0</v>
      </c>
      <c r="U3063" s="41">
        <v>0</v>
      </c>
      <c r="V3063" s="42" t="s">
        <v>113</v>
      </c>
      <c r="W3063" s="42">
        <v>0</v>
      </c>
      <c r="X3063" s="42">
        <v>0</v>
      </c>
    </row>
    <row r="3064" spans="1:24">
      <c r="A3064" s="27" t="s">
        <v>5667</v>
      </c>
      <c r="B3064" s="28" t="s">
        <v>5102</v>
      </c>
      <c r="C3064" s="27" t="s">
        <v>5668</v>
      </c>
      <c r="D3064" s="27" t="s">
        <v>5104</v>
      </c>
      <c r="E3064" s="29">
        <v>39114</v>
      </c>
      <c r="F3064" s="27">
        <v>15</v>
      </c>
      <c r="G3064" s="18">
        <v>447802.12</v>
      </c>
      <c r="H3064" s="27">
        <f t="shared" si="94"/>
        <v>0</v>
      </c>
      <c r="I3064" s="18">
        <v>398044.11</v>
      </c>
      <c r="J3064" s="27">
        <v>447802.12</v>
      </c>
      <c r="K3064" s="18">
        <f t="shared" si="95"/>
        <v>0</v>
      </c>
      <c r="L3064" s="27">
        <v>406686.6</v>
      </c>
      <c r="M3064" s="36">
        <v>8642.49</v>
      </c>
      <c r="T3064" s="41">
        <v>0</v>
      </c>
      <c r="U3064" s="41">
        <v>0</v>
      </c>
      <c r="V3064" s="42" t="s">
        <v>113</v>
      </c>
      <c r="W3064" s="42">
        <v>0</v>
      </c>
      <c r="X3064" s="42">
        <v>0</v>
      </c>
    </row>
    <row r="3065" spans="1:24">
      <c r="A3065" s="27" t="s">
        <v>5669</v>
      </c>
      <c r="B3065" s="28" t="s">
        <v>5102</v>
      </c>
      <c r="C3065" s="27" t="s">
        <v>5670</v>
      </c>
      <c r="D3065" s="27" t="s">
        <v>5104</v>
      </c>
      <c r="E3065" s="29">
        <v>39114</v>
      </c>
      <c r="F3065" s="27">
        <v>15</v>
      </c>
      <c r="G3065" s="18">
        <v>6072.73</v>
      </c>
      <c r="H3065" s="27">
        <f t="shared" si="94"/>
        <v>0</v>
      </c>
      <c r="I3065" s="18">
        <v>5397.95</v>
      </c>
      <c r="J3065" s="27">
        <v>6072.73</v>
      </c>
      <c r="K3065" s="18">
        <f t="shared" si="95"/>
        <v>0</v>
      </c>
      <c r="L3065" s="27">
        <v>5515.15</v>
      </c>
      <c r="M3065" s="36">
        <v>117.2</v>
      </c>
      <c r="T3065" s="41">
        <v>0</v>
      </c>
      <c r="U3065" s="41">
        <v>0</v>
      </c>
      <c r="V3065" s="42" t="s">
        <v>113</v>
      </c>
      <c r="W3065" s="42">
        <v>0</v>
      </c>
      <c r="X3065" s="42">
        <v>0</v>
      </c>
    </row>
    <row r="3066" spans="1:24">
      <c r="A3066" s="27" t="s">
        <v>5671</v>
      </c>
      <c r="B3066" s="28" t="s">
        <v>5102</v>
      </c>
      <c r="C3066" s="27" t="s">
        <v>5672</v>
      </c>
      <c r="D3066" s="27" t="s">
        <v>5104</v>
      </c>
      <c r="E3066" s="29">
        <v>37347</v>
      </c>
      <c r="F3066" s="27">
        <v>15</v>
      </c>
      <c r="G3066" s="18">
        <v>12650.96</v>
      </c>
      <c r="H3066" s="27">
        <f t="shared" si="94"/>
        <v>12650.96</v>
      </c>
      <c r="I3066" s="18">
        <v>12018.41</v>
      </c>
      <c r="J3066" s="27">
        <v>12650.96</v>
      </c>
      <c r="K3066" s="18">
        <f t="shared" si="95"/>
        <v>12650.96</v>
      </c>
      <c r="L3066" s="27">
        <v>12018.41</v>
      </c>
      <c r="M3066" s="36">
        <v>0</v>
      </c>
      <c r="T3066" s="41">
        <v>0</v>
      </c>
      <c r="U3066" s="41">
        <v>0</v>
      </c>
      <c r="V3066" s="42" t="s">
        <v>113</v>
      </c>
      <c r="W3066" s="42">
        <v>12650.96</v>
      </c>
      <c r="X3066" s="42">
        <v>12650.96</v>
      </c>
    </row>
    <row r="3067" spans="1:24">
      <c r="A3067" s="27" t="s">
        <v>5673</v>
      </c>
      <c r="B3067" s="28" t="s">
        <v>5102</v>
      </c>
      <c r="C3067" s="27" t="s">
        <v>5674</v>
      </c>
      <c r="D3067" s="27" t="s">
        <v>5104</v>
      </c>
      <c r="E3067" s="29">
        <v>37773</v>
      </c>
      <c r="F3067" s="27">
        <v>15</v>
      </c>
      <c r="G3067" s="18">
        <v>79450</v>
      </c>
      <c r="H3067" s="27">
        <f t="shared" si="94"/>
        <v>79450</v>
      </c>
      <c r="I3067" s="18">
        <v>75477.5</v>
      </c>
      <c r="J3067" s="27">
        <v>79450</v>
      </c>
      <c r="K3067" s="18">
        <f t="shared" si="95"/>
        <v>79450</v>
      </c>
      <c r="L3067" s="27">
        <v>75477.5</v>
      </c>
      <c r="M3067" s="36">
        <v>0</v>
      </c>
      <c r="T3067" s="41">
        <v>0</v>
      </c>
      <c r="U3067" s="41">
        <v>0</v>
      </c>
      <c r="V3067" s="42" t="s">
        <v>113</v>
      </c>
      <c r="W3067" s="42">
        <v>79450</v>
      </c>
      <c r="X3067" s="42">
        <v>79450</v>
      </c>
    </row>
    <row r="3068" spans="1:24">
      <c r="A3068" s="27" t="s">
        <v>5675</v>
      </c>
      <c r="B3068" s="28" t="s">
        <v>5102</v>
      </c>
      <c r="C3068" s="27" t="s">
        <v>5676</v>
      </c>
      <c r="D3068" s="27" t="s">
        <v>5104</v>
      </c>
      <c r="E3068" s="29">
        <v>39417</v>
      </c>
      <c r="F3068" s="27">
        <v>15</v>
      </c>
      <c r="G3068" s="18">
        <v>16772.849999999999</v>
      </c>
      <c r="H3068" s="27">
        <f t="shared" si="94"/>
        <v>0</v>
      </c>
      <c r="I3068" s="18">
        <v>14305.56</v>
      </c>
      <c r="J3068" s="27">
        <v>16772.849999999999</v>
      </c>
      <c r="K3068" s="18">
        <f t="shared" si="95"/>
        <v>0</v>
      </c>
      <c r="L3068" s="27">
        <v>14712.72</v>
      </c>
      <c r="M3068" s="36">
        <v>407.16</v>
      </c>
      <c r="T3068" s="41">
        <v>0</v>
      </c>
      <c r="U3068" s="41">
        <v>0</v>
      </c>
      <c r="V3068" s="42" t="s">
        <v>113</v>
      </c>
      <c r="W3068" s="42">
        <v>0</v>
      </c>
      <c r="X3068" s="42">
        <v>0</v>
      </c>
    </row>
    <row r="3069" spans="1:24">
      <c r="A3069" s="27" t="s">
        <v>5677</v>
      </c>
      <c r="B3069" s="28" t="s">
        <v>5102</v>
      </c>
      <c r="C3069" s="27" t="s">
        <v>5678</v>
      </c>
      <c r="D3069" s="27" t="s">
        <v>5104</v>
      </c>
      <c r="E3069" s="29">
        <v>39417</v>
      </c>
      <c r="F3069" s="27">
        <v>15</v>
      </c>
      <c r="G3069" s="18">
        <v>6577.59</v>
      </c>
      <c r="H3069" s="27">
        <f t="shared" si="94"/>
        <v>0</v>
      </c>
      <c r="I3069" s="18">
        <v>5610.01</v>
      </c>
      <c r="J3069" s="27">
        <v>6577.59</v>
      </c>
      <c r="K3069" s="18">
        <f t="shared" si="95"/>
        <v>0</v>
      </c>
      <c r="L3069" s="27">
        <v>5769.69</v>
      </c>
      <c r="M3069" s="36">
        <v>159.68</v>
      </c>
      <c r="T3069" s="41">
        <v>0</v>
      </c>
      <c r="U3069" s="41">
        <v>0</v>
      </c>
      <c r="V3069" s="42" t="s">
        <v>113</v>
      </c>
      <c r="W3069" s="42">
        <v>0</v>
      </c>
      <c r="X3069" s="42">
        <v>0</v>
      </c>
    </row>
    <row r="3070" spans="1:24">
      <c r="A3070" s="27" t="s">
        <v>5679</v>
      </c>
      <c r="B3070" s="28" t="s">
        <v>5102</v>
      </c>
      <c r="C3070" s="27" t="s">
        <v>5678</v>
      </c>
      <c r="D3070" s="27" t="s">
        <v>5104</v>
      </c>
      <c r="E3070" s="29">
        <v>39417</v>
      </c>
      <c r="F3070" s="27">
        <v>15</v>
      </c>
      <c r="G3070" s="18">
        <v>18916.73</v>
      </c>
      <c r="H3070" s="27">
        <f t="shared" si="94"/>
        <v>0</v>
      </c>
      <c r="I3070" s="18">
        <v>16010.46</v>
      </c>
      <c r="J3070" s="27">
        <v>18916.73</v>
      </c>
      <c r="K3070" s="18">
        <f t="shared" si="95"/>
        <v>0</v>
      </c>
      <c r="L3070" s="27">
        <v>16500.57</v>
      </c>
      <c r="M3070" s="36">
        <v>490.11</v>
      </c>
      <c r="T3070" s="41">
        <v>0</v>
      </c>
      <c r="U3070" s="41">
        <v>0</v>
      </c>
      <c r="V3070" s="42" t="s">
        <v>113</v>
      </c>
      <c r="W3070" s="42">
        <v>0</v>
      </c>
      <c r="X3070" s="42">
        <v>0</v>
      </c>
    </row>
    <row r="3071" spans="1:24">
      <c r="A3071" s="27" t="s">
        <v>5680</v>
      </c>
      <c r="B3071" s="28" t="s">
        <v>5102</v>
      </c>
      <c r="C3071" s="27" t="s">
        <v>5681</v>
      </c>
      <c r="D3071" s="27" t="s">
        <v>5104</v>
      </c>
      <c r="E3071" s="29">
        <v>36495</v>
      </c>
      <c r="F3071" s="27">
        <v>15</v>
      </c>
      <c r="G3071" s="18">
        <v>17404.349999999999</v>
      </c>
      <c r="H3071" s="27">
        <f t="shared" si="94"/>
        <v>17404.349999999999</v>
      </c>
      <c r="I3071" s="18">
        <v>16534.13</v>
      </c>
      <c r="J3071" s="27">
        <v>17404.349999999999</v>
      </c>
      <c r="K3071" s="18">
        <f t="shared" si="95"/>
        <v>17404.349999999999</v>
      </c>
      <c r="L3071" s="27">
        <v>16534.13</v>
      </c>
      <c r="M3071" s="36">
        <v>0</v>
      </c>
      <c r="T3071" s="41">
        <v>0</v>
      </c>
      <c r="U3071" s="41">
        <v>0</v>
      </c>
      <c r="V3071" s="42" t="s">
        <v>113</v>
      </c>
      <c r="W3071" s="42">
        <v>17404.349999999999</v>
      </c>
      <c r="X3071" s="42">
        <v>17404.349999999999</v>
      </c>
    </row>
    <row r="3072" spans="1:24">
      <c r="A3072" s="27" t="s">
        <v>5682</v>
      </c>
      <c r="B3072" s="28" t="s">
        <v>5102</v>
      </c>
      <c r="C3072" s="27" t="s">
        <v>5683</v>
      </c>
      <c r="D3072" s="27" t="s">
        <v>5104</v>
      </c>
      <c r="E3072" s="29">
        <v>39417</v>
      </c>
      <c r="F3072" s="27">
        <v>15</v>
      </c>
      <c r="G3072" s="18">
        <v>6314.48</v>
      </c>
      <c r="H3072" s="27">
        <f t="shared" si="94"/>
        <v>0</v>
      </c>
      <c r="I3072" s="18">
        <v>5385.62</v>
      </c>
      <c r="J3072" s="27">
        <v>6314.48</v>
      </c>
      <c r="K3072" s="18">
        <f t="shared" si="95"/>
        <v>0</v>
      </c>
      <c r="L3072" s="27">
        <v>5538.91</v>
      </c>
      <c r="M3072" s="36">
        <v>153.29</v>
      </c>
      <c r="T3072" s="41">
        <v>0</v>
      </c>
      <c r="U3072" s="41">
        <v>0</v>
      </c>
      <c r="V3072" s="42" t="s">
        <v>113</v>
      </c>
      <c r="W3072" s="42">
        <v>0</v>
      </c>
      <c r="X3072" s="42">
        <v>0</v>
      </c>
    </row>
    <row r="3073" spans="1:24">
      <c r="A3073" s="27" t="s">
        <v>5684</v>
      </c>
      <c r="B3073" s="28" t="s">
        <v>5102</v>
      </c>
      <c r="C3073" s="27" t="s">
        <v>5685</v>
      </c>
      <c r="D3073" s="27" t="s">
        <v>5104</v>
      </c>
      <c r="E3073" s="29">
        <v>39417</v>
      </c>
      <c r="F3073" s="27">
        <v>15</v>
      </c>
      <c r="G3073" s="18">
        <v>6577.59</v>
      </c>
      <c r="H3073" s="27">
        <f t="shared" si="94"/>
        <v>0</v>
      </c>
      <c r="I3073" s="18">
        <v>5610.01</v>
      </c>
      <c r="J3073" s="27">
        <v>6577.59</v>
      </c>
      <c r="K3073" s="18">
        <f t="shared" si="95"/>
        <v>0</v>
      </c>
      <c r="L3073" s="27">
        <v>5769.69</v>
      </c>
      <c r="M3073" s="36">
        <v>159.68</v>
      </c>
      <c r="T3073" s="41">
        <v>0</v>
      </c>
      <c r="U3073" s="41">
        <v>0</v>
      </c>
      <c r="V3073" s="42" t="s">
        <v>113</v>
      </c>
      <c r="W3073" s="42">
        <v>0</v>
      </c>
      <c r="X3073" s="42">
        <v>0</v>
      </c>
    </row>
    <row r="3074" spans="1:24">
      <c r="A3074" s="27" t="s">
        <v>5686</v>
      </c>
      <c r="B3074" s="28" t="s">
        <v>5102</v>
      </c>
      <c r="C3074" s="27" t="s">
        <v>5687</v>
      </c>
      <c r="D3074" s="27" t="s">
        <v>5104</v>
      </c>
      <c r="E3074" s="29">
        <v>38078</v>
      </c>
      <c r="F3074" s="27">
        <v>15</v>
      </c>
      <c r="G3074" s="18">
        <v>8141.97</v>
      </c>
      <c r="H3074" s="27">
        <f t="shared" si="94"/>
        <v>8141.97</v>
      </c>
      <c r="I3074" s="18">
        <v>7734.87</v>
      </c>
      <c r="J3074" s="27">
        <v>8141.97</v>
      </c>
      <c r="K3074" s="18">
        <f t="shared" si="95"/>
        <v>8141.97</v>
      </c>
      <c r="L3074" s="27">
        <v>7734.87</v>
      </c>
      <c r="M3074" s="36">
        <v>0</v>
      </c>
      <c r="T3074" s="41">
        <v>0</v>
      </c>
      <c r="U3074" s="41">
        <v>0</v>
      </c>
      <c r="V3074" s="42" t="s">
        <v>113</v>
      </c>
      <c r="W3074" s="42">
        <v>8141.97</v>
      </c>
      <c r="X3074" s="42">
        <v>8141.97</v>
      </c>
    </row>
    <row r="3075" spans="1:24">
      <c r="A3075" s="27" t="s">
        <v>5688</v>
      </c>
      <c r="B3075" s="28" t="s">
        <v>5102</v>
      </c>
      <c r="C3075" s="27" t="s">
        <v>5689</v>
      </c>
      <c r="D3075" s="27" t="s">
        <v>5104</v>
      </c>
      <c r="E3075" s="29">
        <v>38078</v>
      </c>
      <c r="F3075" s="27">
        <v>15</v>
      </c>
      <c r="G3075" s="18">
        <v>5287.77</v>
      </c>
      <c r="H3075" s="27">
        <f t="shared" si="94"/>
        <v>5287.77</v>
      </c>
      <c r="I3075" s="18">
        <v>5023.38</v>
      </c>
      <c r="J3075" s="27">
        <v>5287.77</v>
      </c>
      <c r="K3075" s="18">
        <f t="shared" si="95"/>
        <v>5287.77</v>
      </c>
      <c r="L3075" s="27">
        <v>5023.38</v>
      </c>
      <c r="M3075" s="36">
        <v>0</v>
      </c>
      <c r="T3075" s="41">
        <v>0</v>
      </c>
      <c r="U3075" s="41">
        <v>0</v>
      </c>
      <c r="V3075" s="42" t="s">
        <v>113</v>
      </c>
      <c r="W3075" s="42">
        <v>5287.77</v>
      </c>
      <c r="X3075" s="42">
        <v>5287.77</v>
      </c>
    </row>
    <row r="3076" spans="1:24">
      <c r="A3076" s="27" t="s">
        <v>5690</v>
      </c>
      <c r="B3076" s="28" t="s">
        <v>5102</v>
      </c>
      <c r="C3076" s="27" t="s">
        <v>5691</v>
      </c>
      <c r="D3076" s="27" t="s">
        <v>5104</v>
      </c>
      <c r="E3076" s="29">
        <v>38078</v>
      </c>
      <c r="F3076" s="27">
        <v>15</v>
      </c>
      <c r="G3076" s="18">
        <v>36323.370000000003</v>
      </c>
      <c r="H3076" s="27">
        <f t="shared" si="94"/>
        <v>36323.370000000003</v>
      </c>
      <c r="I3076" s="18">
        <v>34507.199999999997</v>
      </c>
      <c r="J3076" s="27">
        <v>36323.370000000003</v>
      </c>
      <c r="K3076" s="18">
        <f t="shared" si="95"/>
        <v>36323.370000000003</v>
      </c>
      <c r="L3076" s="27">
        <v>34507.199999999997</v>
      </c>
      <c r="M3076" s="36">
        <v>0</v>
      </c>
      <c r="T3076" s="41">
        <v>0</v>
      </c>
      <c r="U3076" s="41">
        <v>0</v>
      </c>
      <c r="V3076" s="42" t="s">
        <v>113</v>
      </c>
      <c r="W3076" s="42">
        <v>36323.370000000003</v>
      </c>
      <c r="X3076" s="42">
        <v>36323.370000000003</v>
      </c>
    </row>
    <row r="3077" spans="1:24">
      <c r="A3077" s="27" t="s">
        <v>5692</v>
      </c>
      <c r="B3077" s="28" t="s">
        <v>5102</v>
      </c>
      <c r="C3077" s="27" t="s">
        <v>5693</v>
      </c>
      <c r="D3077" s="27" t="s">
        <v>5104</v>
      </c>
      <c r="E3077" s="29">
        <v>38078</v>
      </c>
      <c r="F3077" s="27">
        <v>15</v>
      </c>
      <c r="G3077" s="18">
        <v>6204.11</v>
      </c>
      <c r="H3077" s="27">
        <f t="shared" si="94"/>
        <v>6204.11</v>
      </c>
      <c r="I3077" s="18">
        <v>5893.9</v>
      </c>
      <c r="J3077" s="27">
        <v>6204.11</v>
      </c>
      <c r="K3077" s="18">
        <f t="shared" si="95"/>
        <v>6204.11</v>
      </c>
      <c r="L3077" s="27">
        <v>5893.9</v>
      </c>
      <c r="M3077" s="36">
        <v>0</v>
      </c>
      <c r="T3077" s="41">
        <v>0</v>
      </c>
      <c r="U3077" s="41">
        <v>0</v>
      </c>
      <c r="V3077" s="42" t="s">
        <v>113</v>
      </c>
      <c r="W3077" s="42">
        <v>6204.11</v>
      </c>
      <c r="X3077" s="42">
        <v>6204.11</v>
      </c>
    </row>
    <row r="3078" spans="1:24">
      <c r="A3078" s="27" t="s">
        <v>5694</v>
      </c>
      <c r="B3078" s="28" t="s">
        <v>5102</v>
      </c>
      <c r="C3078" s="27" t="s">
        <v>5695</v>
      </c>
      <c r="D3078" s="27" t="s">
        <v>5104</v>
      </c>
      <c r="E3078" s="29">
        <v>38078</v>
      </c>
      <c r="F3078" s="27">
        <v>15</v>
      </c>
      <c r="G3078" s="18">
        <v>9358.75</v>
      </c>
      <c r="H3078" s="27">
        <f t="shared" ref="H3078:H3141" si="96">IFERROR(IF(ROUND((G3078-I3078)/G3078,2)&lt;=0.05,G3078,0),0)</f>
        <v>9358.75</v>
      </c>
      <c r="I3078" s="18">
        <v>8890.81</v>
      </c>
      <c r="J3078" s="27">
        <v>9358.75</v>
      </c>
      <c r="K3078" s="18">
        <f t="shared" ref="K3078:K3141" si="97">IFERROR(IF(ROUND((J3078-L3078)/J3078,2)&lt;=0.05,J3078,0),0)</f>
        <v>9358.75</v>
      </c>
      <c r="L3078" s="27">
        <v>8890.81</v>
      </c>
      <c r="M3078" s="36">
        <v>0</v>
      </c>
      <c r="T3078" s="41">
        <v>0</v>
      </c>
      <c r="U3078" s="41">
        <v>0</v>
      </c>
      <c r="V3078" s="42" t="s">
        <v>113</v>
      </c>
      <c r="W3078" s="42">
        <v>9358.75</v>
      </c>
      <c r="X3078" s="42">
        <v>9358.75</v>
      </c>
    </row>
    <row r="3079" spans="1:24">
      <c r="A3079" s="27" t="s">
        <v>5696</v>
      </c>
      <c r="B3079" s="28" t="s">
        <v>5102</v>
      </c>
      <c r="C3079" s="27" t="s">
        <v>5695</v>
      </c>
      <c r="D3079" s="27" t="s">
        <v>5104</v>
      </c>
      <c r="E3079" s="29">
        <v>38078</v>
      </c>
      <c r="F3079" s="27">
        <v>15</v>
      </c>
      <c r="G3079" s="18">
        <v>5978.79</v>
      </c>
      <c r="H3079" s="27">
        <f t="shared" si="96"/>
        <v>5978.79</v>
      </c>
      <c r="I3079" s="18">
        <v>5679.85</v>
      </c>
      <c r="J3079" s="27">
        <v>5978.79</v>
      </c>
      <c r="K3079" s="18">
        <f t="shared" si="97"/>
        <v>5978.79</v>
      </c>
      <c r="L3079" s="27">
        <v>5679.85</v>
      </c>
      <c r="M3079" s="36">
        <v>0</v>
      </c>
      <c r="T3079" s="41">
        <v>0</v>
      </c>
      <c r="U3079" s="41">
        <v>0</v>
      </c>
      <c r="V3079" s="42" t="s">
        <v>113</v>
      </c>
      <c r="W3079" s="42">
        <v>5978.79</v>
      </c>
      <c r="X3079" s="42">
        <v>5978.79</v>
      </c>
    </row>
    <row r="3080" spans="1:24">
      <c r="A3080" s="27" t="s">
        <v>5697</v>
      </c>
      <c r="B3080" s="28" t="s">
        <v>5102</v>
      </c>
      <c r="C3080" s="27" t="s">
        <v>5698</v>
      </c>
      <c r="D3080" s="27" t="s">
        <v>5104</v>
      </c>
      <c r="E3080" s="29">
        <v>38078</v>
      </c>
      <c r="F3080" s="27">
        <v>15</v>
      </c>
      <c r="G3080" s="18">
        <v>11268.23</v>
      </c>
      <c r="H3080" s="27">
        <f t="shared" si="96"/>
        <v>11268.23</v>
      </c>
      <c r="I3080" s="18">
        <v>10704.82</v>
      </c>
      <c r="J3080" s="27">
        <v>11268.23</v>
      </c>
      <c r="K3080" s="18">
        <f t="shared" si="97"/>
        <v>11268.23</v>
      </c>
      <c r="L3080" s="27">
        <v>10704.82</v>
      </c>
      <c r="M3080" s="36">
        <v>0</v>
      </c>
      <c r="T3080" s="41">
        <v>0</v>
      </c>
      <c r="U3080" s="41">
        <v>0</v>
      </c>
      <c r="V3080" s="42" t="s">
        <v>113</v>
      </c>
      <c r="W3080" s="42">
        <v>11268.23</v>
      </c>
      <c r="X3080" s="42">
        <v>11268.23</v>
      </c>
    </row>
    <row r="3081" spans="1:24">
      <c r="A3081" s="27" t="s">
        <v>5699</v>
      </c>
      <c r="B3081" s="28" t="s">
        <v>5102</v>
      </c>
      <c r="C3081" s="27" t="s">
        <v>5700</v>
      </c>
      <c r="D3081" s="27" t="s">
        <v>5104</v>
      </c>
      <c r="E3081" s="29">
        <v>36495</v>
      </c>
      <c r="F3081" s="27">
        <v>15</v>
      </c>
      <c r="G3081" s="18">
        <v>11645.6</v>
      </c>
      <c r="H3081" s="27">
        <f t="shared" si="96"/>
        <v>11645.6</v>
      </c>
      <c r="I3081" s="18">
        <v>11063.32</v>
      </c>
      <c r="J3081" s="27">
        <v>11645.6</v>
      </c>
      <c r="K3081" s="18">
        <f t="shared" si="97"/>
        <v>11645.6</v>
      </c>
      <c r="L3081" s="27">
        <v>11063.32</v>
      </c>
      <c r="M3081" s="36">
        <v>0</v>
      </c>
      <c r="T3081" s="41">
        <v>0</v>
      </c>
      <c r="U3081" s="41">
        <v>0</v>
      </c>
      <c r="V3081" s="42" t="s">
        <v>113</v>
      </c>
      <c r="W3081" s="42">
        <v>11645.6</v>
      </c>
      <c r="X3081" s="42">
        <v>11645.6</v>
      </c>
    </row>
    <row r="3082" spans="1:24">
      <c r="A3082" s="27" t="s">
        <v>5701</v>
      </c>
      <c r="B3082" s="28" t="s">
        <v>5102</v>
      </c>
      <c r="C3082" s="27" t="s">
        <v>5702</v>
      </c>
      <c r="D3082" s="27" t="s">
        <v>5104</v>
      </c>
      <c r="E3082" s="29">
        <v>36495</v>
      </c>
      <c r="F3082" s="27">
        <v>15</v>
      </c>
      <c r="G3082" s="18">
        <v>22457.5</v>
      </c>
      <c r="H3082" s="27">
        <f t="shared" si="96"/>
        <v>22457.5</v>
      </c>
      <c r="I3082" s="18">
        <v>21334.62</v>
      </c>
      <c r="J3082" s="27">
        <v>22457.5</v>
      </c>
      <c r="K3082" s="18">
        <f t="shared" si="97"/>
        <v>22457.5</v>
      </c>
      <c r="L3082" s="27">
        <v>21334.62</v>
      </c>
      <c r="M3082" s="36">
        <v>0</v>
      </c>
      <c r="T3082" s="41">
        <v>0</v>
      </c>
      <c r="U3082" s="41">
        <v>0</v>
      </c>
      <c r="V3082" s="42" t="s">
        <v>113</v>
      </c>
      <c r="W3082" s="42">
        <v>22457.5</v>
      </c>
      <c r="X3082" s="42">
        <v>22457.5</v>
      </c>
    </row>
    <row r="3083" spans="1:24">
      <c r="A3083" s="27" t="s">
        <v>5703</v>
      </c>
      <c r="B3083" s="28" t="s">
        <v>5102</v>
      </c>
      <c r="C3083" s="27" t="s">
        <v>5704</v>
      </c>
      <c r="D3083" s="27" t="s">
        <v>5104</v>
      </c>
      <c r="E3083" s="29">
        <v>38078</v>
      </c>
      <c r="F3083" s="27">
        <v>15</v>
      </c>
      <c r="G3083" s="18">
        <v>17395.55</v>
      </c>
      <c r="H3083" s="27">
        <f t="shared" si="96"/>
        <v>17395.55</v>
      </c>
      <c r="I3083" s="18">
        <v>16525.77</v>
      </c>
      <c r="J3083" s="27">
        <v>17395.55</v>
      </c>
      <c r="K3083" s="18">
        <f t="shared" si="97"/>
        <v>17395.55</v>
      </c>
      <c r="L3083" s="27">
        <v>16525.77</v>
      </c>
      <c r="M3083" s="36">
        <v>0</v>
      </c>
      <c r="T3083" s="41">
        <v>0</v>
      </c>
      <c r="U3083" s="41">
        <v>0</v>
      </c>
      <c r="V3083" s="42" t="s">
        <v>113</v>
      </c>
      <c r="W3083" s="42">
        <v>17395.55</v>
      </c>
      <c r="X3083" s="42">
        <v>17395.55</v>
      </c>
    </row>
    <row r="3084" spans="1:24">
      <c r="A3084" s="27" t="s">
        <v>5705</v>
      </c>
      <c r="B3084" s="28" t="s">
        <v>5102</v>
      </c>
      <c r="C3084" s="27" t="s">
        <v>5706</v>
      </c>
      <c r="D3084" s="27" t="s">
        <v>5104</v>
      </c>
      <c r="E3084" s="29">
        <v>38078</v>
      </c>
      <c r="F3084" s="27">
        <v>15</v>
      </c>
      <c r="G3084" s="18">
        <v>14506.22</v>
      </c>
      <c r="H3084" s="27">
        <f t="shared" si="96"/>
        <v>14506.22</v>
      </c>
      <c r="I3084" s="18">
        <v>13780.91</v>
      </c>
      <c r="J3084" s="27">
        <v>14506.22</v>
      </c>
      <c r="K3084" s="18">
        <f t="shared" si="97"/>
        <v>14506.22</v>
      </c>
      <c r="L3084" s="27">
        <v>13780.91</v>
      </c>
      <c r="M3084" s="36">
        <v>0</v>
      </c>
      <c r="T3084" s="41">
        <v>0</v>
      </c>
      <c r="U3084" s="41">
        <v>0</v>
      </c>
      <c r="V3084" s="42" t="s">
        <v>113</v>
      </c>
      <c r="W3084" s="42">
        <v>14506.22</v>
      </c>
      <c r="X3084" s="42">
        <v>14506.22</v>
      </c>
    </row>
    <row r="3085" spans="1:24">
      <c r="A3085" s="27" t="s">
        <v>5707</v>
      </c>
      <c r="B3085" s="28" t="s">
        <v>5102</v>
      </c>
      <c r="C3085" s="27" t="s">
        <v>5706</v>
      </c>
      <c r="D3085" s="27" t="s">
        <v>5104</v>
      </c>
      <c r="E3085" s="29">
        <v>38078</v>
      </c>
      <c r="F3085" s="27">
        <v>15</v>
      </c>
      <c r="G3085" s="18">
        <v>5843.59</v>
      </c>
      <c r="H3085" s="27">
        <f t="shared" si="96"/>
        <v>5843.59</v>
      </c>
      <c r="I3085" s="18">
        <v>5551.41</v>
      </c>
      <c r="J3085" s="27">
        <v>5843.59</v>
      </c>
      <c r="K3085" s="18">
        <f t="shared" si="97"/>
        <v>5843.59</v>
      </c>
      <c r="L3085" s="27">
        <v>5551.41</v>
      </c>
      <c r="M3085" s="36">
        <v>0</v>
      </c>
      <c r="T3085" s="41">
        <v>0</v>
      </c>
      <c r="U3085" s="41">
        <v>0</v>
      </c>
      <c r="V3085" s="42" t="s">
        <v>113</v>
      </c>
      <c r="W3085" s="42">
        <v>5843.59</v>
      </c>
      <c r="X3085" s="42">
        <v>5843.59</v>
      </c>
    </row>
    <row r="3086" spans="1:24">
      <c r="A3086" s="27" t="s">
        <v>5708</v>
      </c>
      <c r="B3086" s="28" t="s">
        <v>5102</v>
      </c>
      <c r="C3086" s="27" t="s">
        <v>5709</v>
      </c>
      <c r="D3086" s="27" t="s">
        <v>5104</v>
      </c>
      <c r="E3086" s="29">
        <v>39417</v>
      </c>
      <c r="F3086" s="27">
        <v>15</v>
      </c>
      <c r="G3086" s="18">
        <v>8676.7199999999993</v>
      </c>
      <c r="H3086" s="27">
        <f t="shared" si="96"/>
        <v>0</v>
      </c>
      <c r="I3086" s="18">
        <v>7400.36</v>
      </c>
      <c r="J3086" s="27">
        <v>8676.7199999999993</v>
      </c>
      <c r="K3086" s="18">
        <f t="shared" si="97"/>
        <v>0</v>
      </c>
      <c r="L3086" s="27">
        <v>7610.99</v>
      </c>
      <c r="M3086" s="36">
        <v>210.63</v>
      </c>
      <c r="T3086" s="41">
        <v>0</v>
      </c>
      <c r="U3086" s="41">
        <v>0</v>
      </c>
      <c r="V3086" s="42" t="s">
        <v>113</v>
      </c>
      <c r="W3086" s="42">
        <v>0</v>
      </c>
      <c r="X3086" s="42">
        <v>0</v>
      </c>
    </row>
    <row r="3087" spans="1:24">
      <c r="A3087" s="27" t="s">
        <v>5710</v>
      </c>
      <c r="B3087" s="28" t="s">
        <v>5102</v>
      </c>
      <c r="C3087" s="27" t="s">
        <v>5711</v>
      </c>
      <c r="D3087" s="27" t="s">
        <v>5104</v>
      </c>
      <c r="E3087" s="29">
        <v>39417</v>
      </c>
      <c r="F3087" s="27">
        <v>15</v>
      </c>
      <c r="G3087" s="18">
        <v>23389.41</v>
      </c>
      <c r="H3087" s="27">
        <f t="shared" si="96"/>
        <v>0</v>
      </c>
      <c r="I3087" s="18">
        <v>19948.810000000001</v>
      </c>
      <c r="J3087" s="27">
        <v>23389.41</v>
      </c>
      <c r="K3087" s="18">
        <f t="shared" si="97"/>
        <v>0</v>
      </c>
      <c r="L3087" s="27">
        <v>20516.59</v>
      </c>
      <c r="M3087" s="36">
        <v>567.78</v>
      </c>
      <c r="T3087" s="41">
        <v>0</v>
      </c>
      <c r="U3087" s="41">
        <v>0</v>
      </c>
      <c r="V3087" s="42" t="s">
        <v>113</v>
      </c>
      <c r="W3087" s="42">
        <v>0</v>
      </c>
      <c r="X3087" s="42">
        <v>0</v>
      </c>
    </row>
    <row r="3088" spans="1:24">
      <c r="A3088" s="27" t="s">
        <v>5712</v>
      </c>
      <c r="B3088" s="28" t="s">
        <v>5102</v>
      </c>
      <c r="C3088" s="27" t="s">
        <v>5713</v>
      </c>
      <c r="D3088" s="27" t="s">
        <v>5104</v>
      </c>
      <c r="E3088" s="29">
        <v>36495</v>
      </c>
      <c r="F3088" s="27">
        <v>15</v>
      </c>
      <c r="G3088" s="18">
        <v>68421.64</v>
      </c>
      <c r="H3088" s="27">
        <f t="shared" si="96"/>
        <v>68421.64</v>
      </c>
      <c r="I3088" s="18">
        <v>65000.56</v>
      </c>
      <c r="J3088" s="27">
        <v>68421.64</v>
      </c>
      <c r="K3088" s="18">
        <f t="shared" si="97"/>
        <v>68421.64</v>
      </c>
      <c r="L3088" s="27">
        <v>65000.56</v>
      </c>
      <c r="M3088" s="36">
        <v>0</v>
      </c>
      <c r="T3088" s="41">
        <v>0</v>
      </c>
      <c r="U3088" s="41">
        <v>0</v>
      </c>
      <c r="V3088" s="42" t="s">
        <v>113</v>
      </c>
      <c r="W3088" s="42">
        <v>68421.64</v>
      </c>
      <c r="X3088" s="42">
        <v>68421.64</v>
      </c>
    </row>
    <row r="3089" spans="1:24">
      <c r="A3089" s="27" t="s">
        <v>5714</v>
      </c>
      <c r="B3089" s="28" t="s">
        <v>5102</v>
      </c>
      <c r="C3089" s="27" t="s">
        <v>5715</v>
      </c>
      <c r="D3089" s="27" t="s">
        <v>5104</v>
      </c>
      <c r="E3089" s="29">
        <v>36495</v>
      </c>
      <c r="F3089" s="27">
        <v>15</v>
      </c>
      <c r="G3089" s="18">
        <v>9011.6299999999992</v>
      </c>
      <c r="H3089" s="27">
        <f t="shared" si="96"/>
        <v>9011.6299999999992</v>
      </c>
      <c r="I3089" s="18">
        <v>8561.0400000000009</v>
      </c>
      <c r="J3089" s="27">
        <v>9011.6299999999992</v>
      </c>
      <c r="K3089" s="18">
        <f t="shared" si="97"/>
        <v>9011.6299999999992</v>
      </c>
      <c r="L3089" s="27">
        <v>8561.0400000000009</v>
      </c>
      <c r="M3089" s="36">
        <v>0</v>
      </c>
      <c r="T3089" s="41">
        <v>0</v>
      </c>
      <c r="U3089" s="41">
        <v>0</v>
      </c>
      <c r="V3089" s="42" t="s">
        <v>113</v>
      </c>
      <c r="W3089" s="42">
        <v>9011.6299999999992</v>
      </c>
      <c r="X3089" s="42">
        <v>9011.6299999999992</v>
      </c>
    </row>
    <row r="3090" spans="1:24">
      <c r="A3090" s="27" t="s">
        <v>5716</v>
      </c>
      <c r="B3090" s="28" t="s">
        <v>5102</v>
      </c>
      <c r="C3090" s="27" t="s">
        <v>5717</v>
      </c>
      <c r="D3090" s="27" t="s">
        <v>5104</v>
      </c>
      <c r="E3090" s="29">
        <v>39417</v>
      </c>
      <c r="F3090" s="27">
        <v>15</v>
      </c>
      <c r="G3090" s="18">
        <v>13203.7</v>
      </c>
      <c r="H3090" s="27">
        <f t="shared" si="96"/>
        <v>0</v>
      </c>
      <c r="I3090" s="18">
        <v>11261.42</v>
      </c>
      <c r="J3090" s="27">
        <v>13203.7</v>
      </c>
      <c r="K3090" s="18">
        <f t="shared" si="97"/>
        <v>0</v>
      </c>
      <c r="L3090" s="27">
        <v>11581.94</v>
      </c>
      <c r="M3090" s="36">
        <v>320.52</v>
      </c>
      <c r="T3090" s="41">
        <v>0</v>
      </c>
      <c r="U3090" s="41">
        <v>0</v>
      </c>
      <c r="V3090" s="42" t="s">
        <v>113</v>
      </c>
      <c r="W3090" s="42">
        <v>0</v>
      </c>
      <c r="X3090" s="42">
        <v>0</v>
      </c>
    </row>
    <row r="3091" spans="1:24">
      <c r="A3091" s="27" t="s">
        <v>5718</v>
      </c>
      <c r="B3091" s="28" t="s">
        <v>5102</v>
      </c>
      <c r="C3091" s="27" t="s">
        <v>5719</v>
      </c>
      <c r="D3091" s="27" t="s">
        <v>5104</v>
      </c>
      <c r="E3091" s="29">
        <v>37226</v>
      </c>
      <c r="F3091" s="27">
        <v>15</v>
      </c>
      <c r="G3091" s="18">
        <v>69269.19</v>
      </c>
      <c r="H3091" s="27">
        <f t="shared" si="96"/>
        <v>69269.19</v>
      </c>
      <c r="I3091" s="18">
        <v>65805.73</v>
      </c>
      <c r="J3091" s="27">
        <v>69269.19</v>
      </c>
      <c r="K3091" s="18">
        <f t="shared" si="97"/>
        <v>69269.19</v>
      </c>
      <c r="L3091" s="27">
        <v>65805.73</v>
      </c>
      <c r="M3091" s="36">
        <v>0</v>
      </c>
      <c r="T3091" s="41">
        <v>0</v>
      </c>
      <c r="U3091" s="41">
        <v>0</v>
      </c>
      <c r="V3091" s="42" t="s">
        <v>113</v>
      </c>
      <c r="W3091" s="42">
        <v>69269.19</v>
      </c>
      <c r="X3091" s="42">
        <v>69269.19</v>
      </c>
    </row>
    <row r="3092" spans="1:24">
      <c r="A3092" s="27" t="s">
        <v>5720</v>
      </c>
      <c r="B3092" s="28" t="s">
        <v>5102</v>
      </c>
      <c r="C3092" s="27" t="s">
        <v>5721</v>
      </c>
      <c r="D3092" s="27" t="s">
        <v>5104</v>
      </c>
      <c r="E3092" s="29">
        <v>38078</v>
      </c>
      <c r="F3092" s="27">
        <v>15</v>
      </c>
      <c r="G3092" s="18">
        <v>5407.94</v>
      </c>
      <c r="H3092" s="27">
        <f t="shared" si="96"/>
        <v>5407.94</v>
      </c>
      <c r="I3092" s="18">
        <v>5137.54</v>
      </c>
      <c r="J3092" s="27">
        <v>5407.94</v>
      </c>
      <c r="K3092" s="18">
        <f t="shared" si="97"/>
        <v>5407.94</v>
      </c>
      <c r="L3092" s="27">
        <v>5137.54</v>
      </c>
      <c r="M3092" s="36">
        <v>0</v>
      </c>
      <c r="T3092" s="41">
        <v>0</v>
      </c>
      <c r="U3092" s="41">
        <v>0</v>
      </c>
      <c r="V3092" s="42" t="s">
        <v>113</v>
      </c>
      <c r="W3092" s="42">
        <v>5407.94</v>
      </c>
      <c r="X3092" s="42">
        <v>5407.94</v>
      </c>
    </row>
    <row r="3093" spans="1:24">
      <c r="A3093" s="27" t="s">
        <v>5722</v>
      </c>
      <c r="B3093" s="28" t="s">
        <v>5102</v>
      </c>
      <c r="C3093" s="27" t="s">
        <v>5723</v>
      </c>
      <c r="D3093" s="27" t="s">
        <v>5104</v>
      </c>
      <c r="E3093" s="29">
        <v>38078</v>
      </c>
      <c r="F3093" s="27">
        <v>15</v>
      </c>
      <c r="G3093" s="18">
        <v>9614.1299999999992</v>
      </c>
      <c r="H3093" s="27">
        <f t="shared" si="96"/>
        <v>9614.1299999999992</v>
      </c>
      <c r="I3093" s="18">
        <v>9133.42</v>
      </c>
      <c r="J3093" s="27">
        <v>9614.1299999999992</v>
      </c>
      <c r="K3093" s="18">
        <f t="shared" si="97"/>
        <v>9614.1299999999992</v>
      </c>
      <c r="L3093" s="27">
        <v>9133.42</v>
      </c>
      <c r="M3093" s="36">
        <v>0</v>
      </c>
      <c r="T3093" s="41">
        <v>0</v>
      </c>
      <c r="U3093" s="41">
        <v>0</v>
      </c>
      <c r="V3093" s="42" t="s">
        <v>113</v>
      </c>
      <c r="W3093" s="42">
        <v>9614.1299999999992</v>
      </c>
      <c r="X3093" s="42">
        <v>9614.1299999999992</v>
      </c>
    </row>
    <row r="3094" spans="1:24">
      <c r="A3094" s="27" t="s">
        <v>5724</v>
      </c>
      <c r="B3094" s="28" t="s">
        <v>5102</v>
      </c>
      <c r="C3094" s="27" t="s">
        <v>5723</v>
      </c>
      <c r="D3094" s="27" t="s">
        <v>5104</v>
      </c>
      <c r="E3094" s="29">
        <v>38078</v>
      </c>
      <c r="F3094" s="27">
        <v>15</v>
      </c>
      <c r="G3094" s="18">
        <v>9163.4599999999991</v>
      </c>
      <c r="H3094" s="27">
        <f t="shared" si="96"/>
        <v>9163.4599999999991</v>
      </c>
      <c r="I3094" s="18">
        <v>8705.2900000000009</v>
      </c>
      <c r="J3094" s="27">
        <v>9163.4599999999991</v>
      </c>
      <c r="K3094" s="18">
        <f t="shared" si="97"/>
        <v>9163.4599999999991</v>
      </c>
      <c r="L3094" s="27">
        <v>8705.2900000000009</v>
      </c>
      <c r="M3094" s="36">
        <v>0</v>
      </c>
      <c r="T3094" s="41">
        <v>0</v>
      </c>
      <c r="U3094" s="41">
        <v>0</v>
      </c>
      <c r="V3094" s="42" t="s">
        <v>113</v>
      </c>
      <c r="W3094" s="42">
        <v>9163.4599999999991</v>
      </c>
      <c r="X3094" s="42">
        <v>9163.4599999999991</v>
      </c>
    </row>
    <row r="3095" spans="1:24">
      <c r="A3095" s="27" t="s">
        <v>5725</v>
      </c>
      <c r="B3095" s="28" t="s">
        <v>5102</v>
      </c>
      <c r="C3095" s="27" t="s">
        <v>5726</v>
      </c>
      <c r="D3095" s="27" t="s">
        <v>5104</v>
      </c>
      <c r="E3095" s="29">
        <v>38078</v>
      </c>
      <c r="F3095" s="27">
        <v>15</v>
      </c>
      <c r="G3095" s="18">
        <v>48431.16</v>
      </c>
      <c r="H3095" s="27">
        <f t="shared" si="96"/>
        <v>48431.16</v>
      </c>
      <c r="I3095" s="18">
        <v>46009.599999999999</v>
      </c>
      <c r="J3095" s="27">
        <v>48431.16</v>
      </c>
      <c r="K3095" s="18">
        <f t="shared" si="97"/>
        <v>48431.16</v>
      </c>
      <c r="L3095" s="27">
        <v>46009.599999999999</v>
      </c>
      <c r="M3095" s="36">
        <v>0</v>
      </c>
      <c r="T3095" s="41">
        <v>0</v>
      </c>
      <c r="U3095" s="41">
        <v>0</v>
      </c>
      <c r="V3095" s="42" t="s">
        <v>113</v>
      </c>
      <c r="W3095" s="42">
        <v>48431.16</v>
      </c>
      <c r="X3095" s="42">
        <v>48431.16</v>
      </c>
    </row>
    <row r="3096" spans="1:24">
      <c r="A3096" s="27" t="s">
        <v>5727</v>
      </c>
      <c r="B3096" s="28" t="s">
        <v>5102</v>
      </c>
      <c r="C3096" s="27" t="s">
        <v>5728</v>
      </c>
      <c r="D3096" s="27" t="s">
        <v>5104</v>
      </c>
      <c r="E3096" s="29">
        <v>39417</v>
      </c>
      <c r="F3096" s="27">
        <v>15</v>
      </c>
      <c r="G3096" s="18">
        <v>37048.49</v>
      </c>
      <c r="H3096" s="27">
        <f t="shared" si="96"/>
        <v>0</v>
      </c>
      <c r="I3096" s="18">
        <v>31676.85</v>
      </c>
      <c r="J3096" s="27">
        <v>37048.49</v>
      </c>
      <c r="K3096" s="18">
        <f t="shared" si="97"/>
        <v>0</v>
      </c>
      <c r="L3096" s="27">
        <v>32556.66</v>
      </c>
      <c r="M3096" s="36">
        <v>879.81</v>
      </c>
      <c r="T3096" s="41">
        <v>0</v>
      </c>
      <c r="U3096" s="41">
        <v>0</v>
      </c>
      <c r="V3096" s="42" t="s">
        <v>113</v>
      </c>
      <c r="W3096" s="42">
        <v>0</v>
      </c>
      <c r="X3096" s="42">
        <v>0</v>
      </c>
    </row>
    <row r="3097" spans="1:24">
      <c r="A3097" s="27" t="s">
        <v>5729</v>
      </c>
      <c r="B3097" s="28" t="s">
        <v>5102</v>
      </c>
      <c r="C3097" s="27" t="s">
        <v>5730</v>
      </c>
      <c r="D3097" s="27" t="s">
        <v>5104</v>
      </c>
      <c r="E3097" s="29">
        <v>39417</v>
      </c>
      <c r="F3097" s="27">
        <v>15</v>
      </c>
      <c r="G3097" s="18">
        <v>70442.990000000005</v>
      </c>
      <c r="H3097" s="27">
        <f t="shared" si="96"/>
        <v>0</v>
      </c>
      <c r="I3097" s="18">
        <v>60094.38</v>
      </c>
      <c r="J3097" s="27">
        <v>70442.990000000005</v>
      </c>
      <c r="K3097" s="18">
        <f t="shared" si="97"/>
        <v>0</v>
      </c>
      <c r="L3097" s="27">
        <v>61801</v>
      </c>
      <c r="M3097" s="36">
        <v>1706.62</v>
      </c>
      <c r="T3097" s="41">
        <v>0</v>
      </c>
      <c r="U3097" s="41">
        <v>0</v>
      </c>
      <c r="V3097" s="42" t="s">
        <v>113</v>
      </c>
      <c r="W3097" s="42">
        <v>0</v>
      </c>
      <c r="X3097" s="42">
        <v>0</v>
      </c>
    </row>
    <row r="3098" spans="1:24">
      <c r="A3098" s="27" t="s">
        <v>5731</v>
      </c>
      <c r="B3098" s="28" t="s">
        <v>5102</v>
      </c>
      <c r="C3098" s="27" t="s">
        <v>5732</v>
      </c>
      <c r="D3098" s="27" t="s">
        <v>5104</v>
      </c>
      <c r="E3098" s="29">
        <v>37226</v>
      </c>
      <c r="F3098" s="27">
        <v>15</v>
      </c>
      <c r="G3098" s="18">
        <v>17737.95</v>
      </c>
      <c r="H3098" s="27">
        <f t="shared" si="96"/>
        <v>17737.95</v>
      </c>
      <c r="I3098" s="18">
        <v>16851.05</v>
      </c>
      <c r="J3098" s="27">
        <v>17737.95</v>
      </c>
      <c r="K3098" s="18">
        <f t="shared" si="97"/>
        <v>17737.95</v>
      </c>
      <c r="L3098" s="27">
        <v>16851.05</v>
      </c>
      <c r="M3098" s="36">
        <v>0</v>
      </c>
      <c r="T3098" s="41">
        <v>0</v>
      </c>
      <c r="U3098" s="41">
        <v>0</v>
      </c>
      <c r="V3098" s="42" t="s">
        <v>113</v>
      </c>
      <c r="W3098" s="42">
        <v>17737.95</v>
      </c>
      <c r="X3098" s="42">
        <v>17737.95</v>
      </c>
    </row>
    <row r="3099" spans="1:24">
      <c r="A3099" s="27" t="s">
        <v>5733</v>
      </c>
      <c r="B3099" s="28" t="s">
        <v>5102</v>
      </c>
      <c r="C3099" s="27" t="s">
        <v>5734</v>
      </c>
      <c r="D3099" s="27" t="s">
        <v>5104</v>
      </c>
      <c r="E3099" s="29">
        <v>36495</v>
      </c>
      <c r="F3099" s="27">
        <v>15</v>
      </c>
      <c r="G3099" s="18">
        <v>36504.53</v>
      </c>
      <c r="H3099" s="27">
        <f t="shared" si="96"/>
        <v>36504.53</v>
      </c>
      <c r="I3099" s="18">
        <v>34679.300000000003</v>
      </c>
      <c r="J3099" s="27">
        <v>36504.53</v>
      </c>
      <c r="K3099" s="18">
        <f t="shared" si="97"/>
        <v>36504.53</v>
      </c>
      <c r="L3099" s="27">
        <v>34679.300000000003</v>
      </c>
      <c r="M3099" s="36">
        <v>0</v>
      </c>
      <c r="T3099" s="41">
        <v>0</v>
      </c>
      <c r="U3099" s="41">
        <v>0</v>
      </c>
      <c r="V3099" s="42" t="s">
        <v>113</v>
      </c>
      <c r="W3099" s="42">
        <v>36504.53</v>
      </c>
      <c r="X3099" s="42">
        <v>36504.53</v>
      </c>
    </row>
    <row r="3100" spans="1:24">
      <c r="A3100" s="27" t="s">
        <v>5735</v>
      </c>
      <c r="B3100" s="28" t="s">
        <v>5102</v>
      </c>
      <c r="C3100" s="27" t="s">
        <v>5736</v>
      </c>
      <c r="D3100" s="27" t="s">
        <v>5104</v>
      </c>
      <c r="E3100" s="29">
        <v>38078</v>
      </c>
      <c r="F3100" s="27">
        <v>15</v>
      </c>
      <c r="G3100" s="18">
        <v>25263.3</v>
      </c>
      <c r="H3100" s="27">
        <f t="shared" si="96"/>
        <v>25263.3</v>
      </c>
      <c r="I3100" s="18">
        <v>24000.13</v>
      </c>
      <c r="J3100" s="27">
        <v>25263.3</v>
      </c>
      <c r="K3100" s="18">
        <f t="shared" si="97"/>
        <v>25263.3</v>
      </c>
      <c r="L3100" s="27">
        <v>24000.13</v>
      </c>
      <c r="M3100" s="36">
        <v>0</v>
      </c>
      <c r="T3100" s="41">
        <v>0</v>
      </c>
      <c r="U3100" s="41">
        <v>0</v>
      </c>
      <c r="V3100" s="42" t="s">
        <v>113</v>
      </c>
      <c r="W3100" s="42">
        <v>25263.3</v>
      </c>
      <c r="X3100" s="42">
        <v>25263.3</v>
      </c>
    </row>
    <row r="3101" spans="1:24">
      <c r="A3101" s="27" t="s">
        <v>5737</v>
      </c>
      <c r="B3101" s="28" t="s">
        <v>5102</v>
      </c>
      <c r="C3101" s="27" t="s">
        <v>5738</v>
      </c>
      <c r="D3101" s="27" t="s">
        <v>5104</v>
      </c>
      <c r="E3101" s="29">
        <v>35796</v>
      </c>
      <c r="F3101" s="27">
        <v>15</v>
      </c>
      <c r="G3101" s="18">
        <v>80173.84</v>
      </c>
      <c r="H3101" s="27">
        <f t="shared" si="96"/>
        <v>80173.84</v>
      </c>
      <c r="I3101" s="18">
        <v>76165.149999999994</v>
      </c>
      <c r="J3101" s="27">
        <v>80173.84</v>
      </c>
      <c r="K3101" s="18">
        <f t="shared" si="97"/>
        <v>80173.84</v>
      </c>
      <c r="L3101" s="27">
        <v>76165.149999999994</v>
      </c>
      <c r="M3101" s="36">
        <v>0</v>
      </c>
      <c r="T3101" s="41">
        <v>0</v>
      </c>
      <c r="U3101" s="41">
        <v>0</v>
      </c>
      <c r="V3101" s="42" t="s">
        <v>113</v>
      </c>
      <c r="W3101" s="42">
        <v>80173.84</v>
      </c>
      <c r="X3101" s="42">
        <v>80173.84</v>
      </c>
    </row>
    <row r="3102" spans="1:24">
      <c r="A3102" s="27" t="s">
        <v>5739</v>
      </c>
      <c r="B3102" s="28" t="s">
        <v>5102</v>
      </c>
      <c r="C3102" s="27" t="s">
        <v>5740</v>
      </c>
      <c r="D3102" s="27" t="s">
        <v>230</v>
      </c>
      <c r="E3102" s="29">
        <v>35796</v>
      </c>
      <c r="F3102" s="27">
        <v>15</v>
      </c>
      <c r="G3102" s="18">
        <v>2104180.67</v>
      </c>
      <c r="H3102" s="27">
        <f t="shared" si="96"/>
        <v>0</v>
      </c>
      <c r="I3102" s="18">
        <v>1576686.19</v>
      </c>
      <c r="J3102" s="27">
        <v>2104180.67</v>
      </c>
      <c r="K3102" s="18">
        <f t="shared" si="97"/>
        <v>0</v>
      </c>
      <c r="L3102" s="27">
        <v>1659758.74</v>
      </c>
      <c r="M3102" s="36">
        <v>83072.55</v>
      </c>
      <c r="T3102" s="41">
        <v>0</v>
      </c>
      <c r="U3102" s="41">
        <v>0</v>
      </c>
      <c r="V3102" s="42" t="s">
        <v>124</v>
      </c>
      <c r="W3102" s="42">
        <v>2104180.67</v>
      </c>
      <c r="X3102" s="42">
        <v>2104180.67</v>
      </c>
    </row>
    <row r="3103" spans="1:24">
      <c r="A3103" s="27" t="s">
        <v>5741</v>
      </c>
      <c r="B3103" s="28" t="s">
        <v>5102</v>
      </c>
      <c r="C3103" s="27" t="s">
        <v>5742</v>
      </c>
      <c r="D3103" s="27" t="s">
        <v>5104</v>
      </c>
      <c r="E3103" s="29">
        <v>35796</v>
      </c>
      <c r="F3103" s="27">
        <v>15</v>
      </c>
      <c r="G3103" s="18">
        <v>100430</v>
      </c>
      <c r="H3103" s="27">
        <f t="shared" si="96"/>
        <v>100430</v>
      </c>
      <c r="I3103" s="18">
        <v>95408.5</v>
      </c>
      <c r="J3103" s="27">
        <v>100430</v>
      </c>
      <c r="K3103" s="18">
        <f t="shared" si="97"/>
        <v>100430</v>
      </c>
      <c r="L3103" s="27">
        <v>95408.5</v>
      </c>
      <c r="M3103" s="36">
        <v>0</v>
      </c>
      <c r="T3103" s="41">
        <v>0</v>
      </c>
      <c r="U3103" s="41">
        <v>0</v>
      </c>
      <c r="V3103" s="42" t="s">
        <v>113</v>
      </c>
      <c r="W3103" s="42">
        <v>100430</v>
      </c>
      <c r="X3103" s="42">
        <v>100430</v>
      </c>
    </row>
    <row r="3104" spans="1:24">
      <c r="A3104" s="27" t="s">
        <v>5743</v>
      </c>
      <c r="B3104" s="28" t="s">
        <v>5102</v>
      </c>
      <c r="C3104" s="27" t="s">
        <v>5744</v>
      </c>
      <c r="D3104" s="27" t="s">
        <v>5104</v>
      </c>
      <c r="E3104" s="29">
        <v>35796</v>
      </c>
      <c r="F3104" s="27">
        <v>15</v>
      </c>
      <c r="G3104" s="18">
        <v>96800</v>
      </c>
      <c r="H3104" s="27">
        <f t="shared" si="96"/>
        <v>96800</v>
      </c>
      <c r="I3104" s="18">
        <v>91960</v>
      </c>
      <c r="J3104" s="27">
        <v>96800</v>
      </c>
      <c r="K3104" s="18">
        <f t="shared" si="97"/>
        <v>96800</v>
      </c>
      <c r="L3104" s="27">
        <v>91960</v>
      </c>
      <c r="M3104" s="36">
        <v>0</v>
      </c>
      <c r="T3104" s="41">
        <v>0</v>
      </c>
      <c r="U3104" s="41">
        <v>0</v>
      </c>
      <c r="V3104" s="42" t="s">
        <v>113</v>
      </c>
      <c r="W3104" s="42">
        <v>96800</v>
      </c>
      <c r="X3104" s="42">
        <v>96800</v>
      </c>
    </row>
    <row r="3105" spans="1:24">
      <c r="A3105" s="27" t="s">
        <v>5745</v>
      </c>
      <c r="B3105" s="28" t="s">
        <v>5102</v>
      </c>
      <c r="C3105" s="27" t="s">
        <v>5746</v>
      </c>
      <c r="D3105" s="27" t="s">
        <v>5104</v>
      </c>
      <c r="E3105" s="29">
        <v>35796</v>
      </c>
      <c r="F3105" s="27">
        <v>15</v>
      </c>
      <c r="G3105" s="18">
        <v>51231.4</v>
      </c>
      <c r="H3105" s="27">
        <f t="shared" si="96"/>
        <v>51231.4</v>
      </c>
      <c r="I3105" s="18">
        <v>48669.83</v>
      </c>
      <c r="J3105" s="27">
        <v>51231.4</v>
      </c>
      <c r="K3105" s="18">
        <f t="shared" si="97"/>
        <v>51231.4</v>
      </c>
      <c r="L3105" s="27">
        <v>48669.83</v>
      </c>
      <c r="M3105" s="36">
        <v>0</v>
      </c>
      <c r="T3105" s="41">
        <v>0</v>
      </c>
      <c r="U3105" s="41">
        <v>0</v>
      </c>
      <c r="V3105" s="42" t="s">
        <v>113</v>
      </c>
      <c r="W3105" s="42">
        <v>51231.4</v>
      </c>
      <c r="X3105" s="42">
        <v>51231.4</v>
      </c>
    </row>
    <row r="3106" spans="1:24">
      <c r="A3106" s="27" t="s">
        <v>5747</v>
      </c>
      <c r="B3106" s="28" t="s">
        <v>5102</v>
      </c>
      <c r="C3106" s="27" t="s">
        <v>5748</v>
      </c>
      <c r="D3106" s="27" t="s">
        <v>5104</v>
      </c>
      <c r="E3106" s="29">
        <v>35796</v>
      </c>
      <c r="F3106" s="27">
        <v>15</v>
      </c>
      <c r="G3106" s="18">
        <v>46027.27</v>
      </c>
      <c r="H3106" s="27">
        <f t="shared" si="96"/>
        <v>46027.27</v>
      </c>
      <c r="I3106" s="18">
        <v>43725.91</v>
      </c>
      <c r="J3106" s="27">
        <v>46027.27</v>
      </c>
      <c r="K3106" s="18">
        <f t="shared" si="97"/>
        <v>46027.27</v>
      </c>
      <c r="L3106" s="27">
        <v>43725.91</v>
      </c>
      <c r="M3106" s="36">
        <v>0</v>
      </c>
      <c r="T3106" s="41">
        <v>0</v>
      </c>
      <c r="U3106" s="41">
        <v>0</v>
      </c>
      <c r="V3106" s="42" t="s">
        <v>113</v>
      </c>
      <c r="W3106" s="42">
        <v>46027.27</v>
      </c>
      <c r="X3106" s="42">
        <v>46027.27</v>
      </c>
    </row>
    <row r="3107" spans="1:24">
      <c r="A3107" s="27" t="s">
        <v>5749</v>
      </c>
      <c r="B3107" s="28" t="s">
        <v>5102</v>
      </c>
      <c r="C3107" s="27" t="s">
        <v>5750</v>
      </c>
      <c r="D3107" s="27" t="s">
        <v>5104</v>
      </c>
      <c r="E3107" s="29">
        <v>35796</v>
      </c>
      <c r="F3107" s="27">
        <v>15</v>
      </c>
      <c r="G3107" s="18">
        <v>36531.410000000003</v>
      </c>
      <c r="H3107" s="27">
        <f t="shared" si="96"/>
        <v>36531.410000000003</v>
      </c>
      <c r="I3107" s="18">
        <v>34704.839999999997</v>
      </c>
      <c r="J3107" s="27">
        <v>36531.410000000003</v>
      </c>
      <c r="K3107" s="18">
        <f t="shared" si="97"/>
        <v>36531.410000000003</v>
      </c>
      <c r="L3107" s="27">
        <v>34704.839999999997</v>
      </c>
      <c r="M3107" s="36">
        <v>0</v>
      </c>
      <c r="T3107" s="41">
        <v>0</v>
      </c>
      <c r="U3107" s="41">
        <v>0</v>
      </c>
      <c r="V3107" s="42" t="s">
        <v>113</v>
      </c>
      <c r="W3107" s="42">
        <v>36531.410000000003</v>
      </c>
      <c r="X3107" s="42">
        <v>36531.410000000003</v>
      </c>
    </row>
    <row r="3108" spans="1:24">
      <c r="A3108" s="27" t="s">
        <v>5751</v>
      </c>
      <c r="B3108" s="28" t="s">
        <v>5102</v>
      </c>
      <c r="C3108" s="27" t="s">
        <v>5752</v>
      </c>
      <c r="D3108" s="27" t="s">
        <v>5104</v>
      </c>
      <c r="E3108" s="29">
        <v>35796</v>
      </c>
      <c r="F3108" s="27">
        <v>15</v>
      </c>
      <c r="G3108" s="18">
        <v>12251.25</v>
      </c>
      <c r="H3108" s="27">
        <f t="shared" si="96"/>
        <v>12251.25</v>
      </c>
      <c r="I3108" s="18">
        <v>11638.69</v>
      </c>
      <c r="J3108" s="27">
        <v>12251.25</v>
      </c>
      <c r="K3108" s="18">
        <f t="shared" si="97"/>
        <v>12251.25</v>
      </c>
      <c r="L3108" s="27">
        <v>11638.69</v>
      </c>
      <c r="M3108" s="36">
        <v>0</v>
      </c>
      <c r="T3108" s="41">
        <v>0</v>
      </c>
      <c r="U3108" s="41">
        <v>0</v>
      </c>
      <c r="V3108" s="42" t="s">
        <v>113</v>
      </c>
      <c r="W3108" s="42">
        <v>12251.25</v>
      </c>
      <c r="X3108" s="42">
        <v>12251.25</v>
      </c>
    </row>
    <row r="3109" spans="1:24">
      <c r="A3109" s="27" t="s">
        <v>5753</v>
      </c>
      <c r="B3109" s="28" t="s">
        <v>5102</v>
      </c>
      <c r="C3109" s="27" t="s">
        <v>5754</v>
      </c>
      <c r="D3109" s="27" t="s">
        <v>5104</v>
      </c>
      <c r="E3109" s="29">
        <v>35796</v>
      </c>
      <c r="F3109" s="27">
        <v>15</v>
      </c>
      <c r="G3109" s="18">
        <v>9937.1200000000008</v>
      </c>
      <c r="H3109" s="27">
        <f t="shared" si="96"/>
        <v>9937.1200000000008</v>
      </c>
      <c r="I3109" s="18">
        <v>9440.26</v>
      </c>
      <c r="J3109" s="27">
        <v>9937.1200000000008</v>
      </c>
      <c r="K3109" s="18">
        <f t="shared" si="97"/>
        <v>9937.1200000000008</v>
      </c>
      <c r="L3109" s="27">
        <v>9440.26</v>
      </c>
      <c r="M3109" s="36">
        <v>0</v>
      </c>
      <c r="T3109" s="41">
        <v>0</v>
      </c>
      <c r="U3109" s="41">
        <v>0</v>
      </c>
      <c r="V3109" s="42" t="s">
        <v>113</v>
      </c>
      <c r="W3109" s="42">
        <v>9937.1200000000008</v>
      </c>
      <c r="X3109" s="42">
        <v>9937.1200000000008</v>
      </c>
    </row>
    <row r="3110" spans="1:24">
      <c r="A3110" s="27" t="s">
        <v>5755</v>
      </c>
      <c r="B3110" s="28" t="s">
        <v>5102</v>
      </c>
      <c r="C3110" s="27" t="s">
        <v>5756</v>
      </c>
      <c r="D3110" s="27" t="s">
        <v>5104</v>
      </c>
      <c r="E3110" s="29">
        <v>35796</v>
      </c>
      <c r="F3110" s="27">
        <v>15</v>
      </c>
      <c r="G3110" s="18">
        <v>19851.560000000001</v>
      </c>
      <c r="H3110" s="27">
        <f t="shared" si="96"/>
        <v>19851.560000000001</v>
      </c>
      <c r="I3110" s="18">
        <v>18858.98</v>
      </c>
      <c r="J3110" s="27">
        <v>19851.560000000001</v>
      </c>
      <c r="K3110" s="18">
        <f t="shared" si="97"/>
        <v>19851.560000000001</v>
      </c>
      <c r="L3110" s="27">
        <v>18858.98</v>
      </c>
      <c r="M3110" s="36">
        <v>0</v>
      </c>
      <c r="T3110" s="41">
        <v>0</v>
      </c>
      <c r="U3110" s="41">
        <v>0</v>
      </c>
      <c r="V3110" s="42" t="s">
        <v>113</v>
      </c>
      <c r="W3110" s="42">
        <v>19851.560000000001</v>
      </c>
      <c r="X3110" s="42">
        <v>19851.560000000001</v>
      </c>
    </row>
    <row r="3111" spans="1:24">
      <c r="A3111" s="27" t="s">
        <v>5757</v>
      </c>
      <c r="B3111" s="28" t="s">
        <v>5102</v>
      </c>
      <c r="C3111" s="27" t="s">
        <v>5758</v>
      </c>
      <c r="D3111" s="27" t="s">
        <v>5104</v>
      </c>
      <c r="E3111" s="29">
        <v>35796</v>
      </c>
      <c r="F3111" s="27">
        <v>15</v>
      </c>
      <c r="G3111" s="18">
        <v>18744.29</v>
      </c>
      <c r="H3111" s="27">
        <f t="shared" si="96"/>
        <v>18744.29</v>
      </c>
      <c r="I3111" s="18">
        <v>17807.080000000002</v>
      </c>
      <c r="J3111" s="27">
        <v>18744.29</v>
      </c>
      <c r="K3111" s="18">
        <f t="shared" si="97"/>
        <v>18744.29</v>
      </c>
      <c r="L3111" s="27">
        <v>17807.080000000002</v>
      </c>
      <c r="M3111" s="36">
        <v>0</v>
      </c>
      <c r="T3111" s="41">
        <v>0</v>
      </c>
      <c r="U3111" s="41">
        <v>0</v>
      </c>
      <c r="V3111" s="42" t="s">
        <v>113</v>
      </c>
      <c r="W3111" s="42">
        <v>18744.29</v>
      </c>
      <c r="X3111" s="42">
        <v>18744.29</v>
      </c>
    </row>
    <row r="3112" spans="1:24">
      <c r="A3112" s="27" t="s">
        <v>5759</v>
      </c>
      <c r="B3112" s="28" t="s">
        <v>5102</v>
      </c>
      <c r="C3112" s="27" t="s">
        <v>5760</v>
      </c>
      <c r="D3112" s="27" t="s">
        <v>5104</v>
      </c>
      <c r="E3112" s="29">
        <v>35796</v>
      </c>
      <c r="F3112" s="27">
        <v>15</v>
      </c>
      <c r="G3112" s="18">
        <v>33329.199999999997</v>
      </c>
      <c r="H3112" s="27">
        <f t="shared" si="96"/>
        <v>33329.199999999997</v>
      </c>
      <c r="I3112" s="18">
        <v>31662.74</v>
      </c>
      <c r="J3112" s="27">
        <v>33329.199999999997</v>
      </c>
      <c r="K3112" s="18">
        <f t="shared" si="97"/>
        <v>33329.199999999997</v>
      </c>
      <c r="L3112" s="27">
        <v>31662.74</v>
      </c>
      <c r="M3112" s="36">
        <v>0</v>
      </c>
      <c r="T3112" s="41">
        <v>0</v>
      </c>
      <c r="U3112" s="41">
        <v>0</v>
      </c>
      <c r="V3112" s="42" t="s">
        <v>113</v>
      </c>
      <c r="W3112" s="42">
        <v>33329.199999999997</v>
      </c>
      <c r="X3112" s="42">
        <v>33329.199999999997</v>
      </c>
    </row>
    <row r="3113" spans="1:24">
      <c r="A3113" s="27" t="s">
        <v>5761</v>
      </c>
      <c r="B3113" s="28" t="s">
        <v>5102</v>
      </c>
      <c r="C3113" s="27" t="s">
        <v>5762</v>
      </c>
      <c r="D3113" s="27" t="s">
        <v>5104</v>
      </c>
      <c r="E3113" s="29">
        <v>35796</v>
      </c>
      <c r="F3113" s="27">
        <v>15</v>
      </c>
      <c r="G3113" s="18">
        <v>230093.89</v>
      </c>
      <c r="H3113" s="27">
        <f t="shared" si="96"/>
        <v>230093.89</v>
      </c>
      <c r="I3113" s="18">
        <v>218589.2</v>
      </c>
      <c r="J3113" s="27">
        <v>230093.89</v>
      </c>
      <c r="K3113" s="18">
        <f t="shared" si="97"/>
        <v>230093.89</v>
      </c>
      <c r="L3113" s="27">
        <v>218589.2</v>
      </c>
      <c r="M3113" s="36">
        <v>0</v>
      </c>
      <c r="T3113" s="41">
        <v>0</v>
      </c>
      <c r="U3113" s="41">
        <v>0</v>
      </c>
      <c r="V3113" s="42" t="s">
        <v>113</v>
      </c>
      <c r="W3113" s="42">
        <v>230093.89</v>
      </c>
      <c r="X3113" s="42">
        <v>230093.89</v>
      </c>
    </row>
    <row r="3114" spans="1:24">
      <c r="A3114" s="27" t="s">
        <v>5763</v>
      </c>
      <c r="B3114" s="28" t="s">
        <v>5102</v>
      </c>
      <c r="C3114" s="27" t="s">
        <v>5764</v>
      </c>
      <c r="D3114" s="27" t="s">
        <v>5104</v>
      </c>
      <c r="E3114" s="29">
        <v>35796</v>
      </c>
      <c r="F3114" s="27">
        <v>15</v>
      </c>
      <c r="G3114" s="18">
        <v>126419.79</v>
      </c>
      <c r="H3114" s="27">
        <f t="shared" si="96"/>
        <v>126419.79</v>
      </c>
      <c r="I3114" s="18">
        <v>120098.8</v>
      </c>
      <c r="J3114" s="27">
        <v>126419.79</v>
      </c>
      <c r="K3114" s="18">
        <f t="shared" si="97"/>
        <v>126419.79</v>
      </c>
      <c r="L3114" s="27">
        <v>120098.8</v>
      </c>
      <c r="M3114" s="36">
        <v>0</v>
      </c>
      <c r="T3114" s="41">
        <v>0</v>
      </c>
      <c r="U3114" s="41">
        <v>0</v>
      </c>
      <c r="V3114" s="42" t="s">
        <v>113</v>
      </c>
      <c r="W3114" s="42">
        <v>126419.79</v>
      </c>
      <c r="X3114" s="42">
        <v>126419.79</v>
      </c>
    </row>
    <row r="3115" spans="1:24">
      <c r="A3115" s="27" t="s">
        <v>5765</v>
      </c>
      <c r="B3115" s="28" t="s">
        <v>5102</v>
      </c>
      <c r="C3115" s="27" t="s">
        <v>5766</v>
      </c>
      <c r="D3115" s="27" t="s">
        <v>5104</v>
      </c>
      <c r="E3115" s="29">
        <v>35796</v>
      </c>
      <c r="F3115" s="27">
        <v>15</v>
      </c>
      <c r="G3115" s="18">
        <v>101863.09</v>
      </c>
      <c r="H3115" s="27">
        <f t="shared" si="96"/>
        <v>101863.09</v>
      </c>
      <c r="I3115" s="18">
        <v>96769.94</v>
      </c>
      <c r="J3115" s="27">
        <v>101863.09</v>
      </c>
      <c r="K3115" s="18">
        <f t="shared" si="97"/>
        <v>101863.09</v>
      </c>
      <c r="L3115" s="27">
        <v>96769.94</v>
      </c>
      <c r="M3115" s="36">
        <v>0</v>
      </c>
      <c r="T3115" s="41">
        <v>0</v>
      </c>
      <c r="U3115" s="41">
        <v>0</v>
      </c>
      <c r="V3115" s="42" t="s">
        <v>113</v>
      </c>
      <c r="W3115" s="42">
        <v>101863.09</v>
      </c>
      <c r="X3115" s="42">
        <v>101863.09</v>
      </c>
    </row>
    <row r="3116" spans="1:24">
      <c r="A3116" s="27" t="s">
        <v>5767</v>
      </c>
      <c r="B3116" s="28" t="s">
        <v>5102</v>
      </c>
      <c r="C3116" s="27" t="s">
        <v>5768</v>
      </c>
      <c r="D3116" s="27" t="s">
        <v>5104</v>
      </c>
      <c r="E3116" s="29">
        <v>35796</v>
      </c>
      <c r="F3116" s="27">
        <v>15</v>
      </c>
      <c r="G3116" s="18">
        <v>70020.87</v>
      </c>
      <c r="H3116" s="27">
        <f t="shared" si="96"/>
        <v>70020.87</v>
      </c>
      <c r="I3116" s="18">
        <v>66519.83</v>
      </c>
      <c r="J3116" s="27">
        <v>70020.87</v>
      </c>
      <c r="K3116" s="18">
        <f t="shared" si="97"/>
        <v>70020.87</v>
      </c>
      <c r="L3116" s="27">
        <v>66519.83</v>
      </c>
      <c r="M3116" s="36">
        <v>0</v>
      </c>
      <c r="T3116" s="41">
        <v>0</v>
      </c>
      <c r="U3116" s="41">
        <v>0</v>
      </c>
      <c r="V3116" s="42" t="s">
        <v>113</v>
      </c>
      <c r="W3116" s="42">
        <v>70020.87</v>
      </c>
      <c r="X3116" s="42">
        <v>70020.87</v>
      </c>
    </row>
    <row r="3117" spans="1:24">
      <c r="A3117" s="27" t="s">
        <v>5769</v>
      </c>
      <c r="B3117" s="28" t="s">
        <v>5102</v>
      </c>
      <c r="C3117" s="27" t="s">
        <v>5770</v>
      </c>
      <c r="D3117" s="27" t="s">
        <v>5104</v>
      </c>
      <c r="E3117" s="29">
        <v>35796</v>
      </c>
      <c r="F3117" s="27">
        <v>15</v>
      </c>
      <c r="G3117" s="18">
        <v>64685.84</v>
      </c>
      <c r="H3117" s="27">
        <f t="shared" si="96"/>
        <v>64685.84</v>
      </c>
      <c r="I3117" s="18">
        <v>61451.55</v>
      </c>
      <c r="J3117" s="27">
        <v>64685.84</v>
      </c>
      <c r="K3117" s="18">
        <f t="shared" si="97"/>
        <v>64685.84</v>
      </c>
      <c r="L3117" s="27">
        <v>61451.55</v>
      </c>
      <c r="M3117" s="36">
        <v>0</v>
      </c>
      <c r="T3117" s="41">
        <v>0</v>
      </c>
      <c r="U3117" s="41">
        <v>0</v>
      </c>
      <c r="V3117" s="42" t="s">
        <v>113</v>
      </c>
      <c r="W3117" s="42">
        <v>64685.84</v>
      </c>
      <c r="X3117" s="42">
        <v>64685.84</v>
      </c>
    </row>
    <row r="3118" spans="1:24">
      <c r="A3118" s="27" t="s">
        <v>5771</v>
      </c>
      <c r="B3118" s="28" t="s">
        <v>5102</v>
      </c>
      <c r="C3118" s="27" t="s">
        <v>5772</v>
      </c>
      <c r="D3118" s="27" t="s">
        <v>5104</v>
      </c>
      <c r="E3118" s="29">
        <v>35796</v>
      </c>
      <c r="F3118" s="27">
        <v>15</v>
      </c>
      <c r="G3118" s="18">
        <v>94855.43</v>
      </c>
      <c r="H3118" s="27">
        <f t="shared" si="96"/>
        <v>94855.43</v>
      </c>
      <c r="I3118" s="18">
        <v>90112.66</v>
      </c>
      <c r="J3118" s="27">
        <v>94855.43</v>
      </c>
      <c r="K3118" s="18">
        <f t="shared" si="97"/>
        <v>94855.43</v>
      </c>
      <c r="L3118" s="27">
        <v>90112.66</v>
      </c>
      <c r="M3118" s="36">
        <v>0</v>
      </c>
      <c r="T3118" s="41">
        <v>0</v>
      </c>
      <c r="U3118" s="41">
        <v>0</v>
      </c>
      <c r="V3118" s="42" t="s">
        <v>113</v>
      </c>
      <c r="W3118" s="42">
        <v>94855.43</v>
      </c>
      <c r="X3118" s="42">
        <v>94855.43</v>
      </c>
    </row>
    <row r="3119" spans="1:24">
      <c r="A3119" s="27" t="s">
        <v>5773</v>
      </c>
      <c r="B3119" s="28" t="s">
        <v>5102</v>
      </c>
      <c r="C3119" s="27" t="s">
        <v>5774</v>
      </c>
      <c r="D3119" s="27" t="s">
        <v>5104</v>
      </c>
      <c r="E3119" s="29">
        <v>35796</v>
      </c>
      <c r="F3119" s="27">
        <v>15</v>
      </c>
      <c r="G3119" s="18">
        <v>18739.5</v>
      </c>
      <c r="H3119" s="27">
        <f t="shared" si="96"/>
        <v>18739.5</v>
      </c>
      <c r="I3119" s="18">
        <v>17802.52</v>
      </c>
      <c r="J3119" s="27">
        <v>18739.5</v>
      </c>
      <c r="K3119" s="18">
        <f t="shared" si="97"/>
        <v>18739.5</v>
      </c>
      <c r="L3119" s="27">
        <v>17802.52</v>
      </c>
      <c r="M3119" s="36">
        <v>0</v>
      </c>
      <c r="T3119" s="41">
        <v>0</v>
      </c>
      <c r="U3119" s="41">
        <v>0</v>
      </c>
      <c r="V3119" s="42" t="s">
        <v>113</v>
      </c>
      <c r="W3119" s="42">
        <v>18739.5</v>
      </c>
      <c r="X3119" s="42">
        <v>18739.5</v>
      </c>
    </row>
    <row r="3120" spans="1:24">
      <c r="A3120" s="27" t="s">
        <v>5775</v>
      </c>
      <c r="B3120" s="28" t="s">
        <v>5102</v>
      </c>
      <c r="C3120" s="27" t="s">
        <v>5776</v>
      </c>
      <c r="D3120" s="27" t="s">
        <v>5104</v>
      </c>
      <c r="E3120" s="29">
        <v>35796</v>
      </c>
      <c r="F3120" s="27">
        <v>15</v>
      </c>
      <c r="G3120" s="18">
        <v>57565.75</v>
      </c>
      <c r="H3120" s="27">
        <f t="shared" si="96"/>
        <v>57565.75</v>
      </c>
      <c r="I3120" s="18">
        <v>54687.46</v>
      </c>
      <c r="J3120" s="27">
        <v>57565.75</v>
      </c>
      <c r="K3120" s="18">
        <f t="shared" si="97"/>
        <v>57565.75</v>
      </c>
      <c r="L3120" s="27">
        <v>54687.46</v>
      </c>
      <c r="M3120" s="36">
        <v>0</v>
      </c>
      <c r="T3120" s="41">
        <v>0</v>
      </c>
      <c r="U3120" s="41">
        <v>0</v>
      </c>
      <c r="V3120" s="42" t="s">
        <v>113</v>
      </c>
      <c r="W3120" s="42">
        <v>57565.75</v>
      </c>
      <c r="X3120" s="42">
        <v>57565.75</v>
      </c>
    </row>
    <row r="3121" spans="1:24">
      <c r="A3121" s="27" t="s">
        <v>5777</v>
      </c>
      <c r="B3121" s="28" t="s">
        <v>5102</v>
      </c>
      <c r="C3121" s="27" t="s">
        <v>5778</v>
      </c>
      <c r="D3121" s="27" t="s">
        <v>5104</v>
      </c>
      <c r="E3121" s="29">
        <v>35796</v>
      </c>
      <c r="F3121" s="27">
        <v>15</v>
      </c>
      <c r="G3121" s="18">
        <v>96565.94</v>
      </c>
      <c r="H3121" s="27">
        <f t="shared" si="96"/>
        <v>96565.94</v>
      </c>
      <c r="I3121" s="18">
        <v>91737.64</v>
      </c>
      <c r="J3121" s="27">
        <v>96565.94</v>
      </c>
      <c r="K3121" s="18">
        <f t="shared" si="97"/>
        <v>96565.94</v>
      </c>
      <c r="L3121" s="27">
        <v>91737.64</v>
      </c>
      <c r="M3121" s="36">
        <v>0</v>
      </c>
      <c r="T3121" s="41">
        <v>0</v>
      </c>
      <c r="U3121" s="41">
        <v>0</v>
      </c>
      <c r="V3121" s="42" t="s">
        <v>113</v>
      </c>
      <c r="W3121" s="42">
        <v>96565.94</v>
      </c>
      <c r="X3121" s="42">
        <v>96565.94</v>
      </c>
    </row>
    <row r="3122" spans="1:24">
      <c r="A3122" s="27" t="s">
        <v>5779</v>
      </c>
      <c r="B3122" s="28" t="s">
        <v>5102</v>
      </c>
      <c r="C3122" s="27" t="s">
        <v>5780</v>
      </c>
      <c r="D3122" s="27" t="s">
        <v>5104</v>
      </c>
      <c r="E3122" s="29">
        <v>35796</v>
      </c>
      <c r="F3122" s="27">
        <v>15</v>
      </c>
      <c r="G3122" s="18">
        <v>21932.01</v>
      </c>
      <c r="H3122" s="27">
        <f t="shared" si="96"/>
        <v>21932.01</v>
      </c>
      <c r="I3122" s="18">
        <v>20835.41</v>
      </c>
      <c r="J3122" s="27">
        <v>21932.01</v>
      </c>
      <c r="K3122" s="18">
        <f t="shared" si="97"/>
        <v>21932.01</v>
      </c>
      <c r="L3122" s="27">
        <v>20835.41</v>
      </c>
      <c r="M3122" s="36">
        <v>0</v>
      </c>
      <c r="T3122" s="41">
        <v>0</v>
      </c>
      <c r="U3122" s="41">
        <v>0</v>
      </c>
      <c r="V3122" s="42" t="s">
        <v>113</v>
      </c>
      <c r="W3122" s="42">
        <v>21932.01</v>
      </c>
      <c r="X3122" s="42">
        <v>21932.01</v>
      </c>
    </row>
    <row r="3123" spans="1:24">
      <c r="A3123" s="27" t="s">
        <v>5781</v>
      </c>
      <c r="B3123" s="28" t="s">
        <v>5102</v>
      </c>
      <c r="C3123" s="27" t="s">
        <v>5782</v>
      </c>
      <c r="D3123" s="27" t="s">
        <v>5104</v>
      </c>
      <c r="E3123" s="29">
        <v>39417</v>
      </c>
      <c r="F3123" s="27">
        <v>15</v>
      </c>
      <c r="G3123" s="18">
        <v>19933.900000000001</v>
      </c>
      <c r="H3123" s="27">
        <f t="shared" si="96"/>
        <v>0</v>
      </c>
      <c r="I3123" s="18">
        <v>17024.46</v>
      </c>
      <c r="J3123" s="27">
        <v>19933.900000000001</v>
      </c>
      <c r="K3123" s="18">
        <f t="shared" si="97"/>
        <v>0</v>
      </c>
      <c r="L3123" s="27">
        <v>17502.650000000001</v>
      </c>
      <c r="M3123" s="36">
        <v>478.19</v>
      </c>
      <c r="T3123" s="41">
        <v>0</v>
      </c>
      <c r="U3123" s="41">
        <v>0</v>
      </c>
      <c r="V3123" s="42" t="s">
        <v>113</v>
      </c>
      <c r="W3123" s="42">
        <v>0</v>
      </c>
      <c r="X3123" s="42">
        <v>0</v>
      </c>
    </row>
    <row r="3124" spans="1:24">
      <c r="A3124" s="27" t="s">
        <v>5783</v>
      </c>
      <c r="B3124" s="28" t="s">
        <v>5102</v>
      </c>
      <c r="C3124" s="27" t="s">
        <v>5782</v>
      </c>
      <c r="D3124" s="27" t="s">
        <v>5104</v>
      </c>
      <c r="E3124" s="29">
        <v>39417</v>
      </c>
      <c r="F3124" s="27">
        <v>15</v>
      </c>
      <c r="G3124" s="18">
        <v>7261.57</v>
      </c>
      <c r="H3124" s="27">
        <f t="shared" si="96"/>
        <v>0</v>
      </c>
      <c r="I3124" s="18">
        <v>6114.05</v>
      </c>
      <c r="J3124" s="27">
        <v>7261.57</v>
      </c>
      <c r="K3124" s="18">
        <f t="shared" si="97"/>
        <v>0</v>
      </c>
      <c r="L3124" s="27">
        <v>6310.16</v>
      </c>
      <c r="M3124" s="36">
        <v>196.11</v>
      </c>
      <c r="T3124" s="41">
        <v>0</v>
      </c>
      <c r="U3124" s="41">
        <v>0</v>
      </c>
      <c r="V3124" s="42" t="s">
        <v>113</v>
      </c>
      <c r="W3124" s="42">
        <v>0</v>
      </c>
      <c r="X3124" s="42">
        <v>0</v>
      </c>
    </row>
    <row r="3125" spans="1:24">
      <c r="A3125" s="27" t="s">
        <v>5784</v>
      </c>
      <c r="B3125" s="28" t="s">
        <v>5102</v>
      </c>
      <c r="C3125" s="27" t="s">
        <v>5785</v>
      </c>
      <c r="D3125" s="27" t="s">
        <v>5104</v>
      </c>
      <c r="E3125" s="29">
        <v>38078</v>
      </c>
      <c r="F3125" s="27">
        <v>15</v>
      </c>
      <c r="G3125" s="18">
        <v>56066.61</v>
      </c>
      <c r="H3125" s="27">
        <f t="shared" si="96"/>
        <v>56066.61</v>
      </c>
      <c r="I3125" s="18">
        <v>53263.28</v>
      </c>
      <c r="J3125" s="27">
        <v>56066.61</v>
      </c>
      <c r="K3125" s="18">
        <f t="shared" si="97"/>
        <v>56066.61</v>
      </c>
      <c r="L3125" s="27">
        <v>53263.28</v>
      </c>
      <c r="M3125" s="36">
        <v>0</v>
      </c>
      <c r="T3125" s="41">
        <v>0</v>
      </c>
      <c r="U3125" s="41">
        <v>0</v>
      </c>
      <c r="V3125" s="42" t="s">
        <v>113</v>
      </c>
      <c r="W3125" s="42">
        <v>56066.61</v>
      </c>
      <c r="X3125" s="42">
        <v>56066.61</v>
      </c>
    </row>
    <row r="3126" spans="1:24">
      <c r="A3126" s="27" t="s">
        <v>5786</v>
      </c>
      <c r="B3126" s="28" t="s">
        <v>5102</v>
      </c>
      <c r="C3126" s="27" t="s">
        <v>5785</v>
      </c>
      <c r="D3126" s="27" t="s">
        <v>5104</v>
      </c>
      <c r="E3126" s="29">
        <v>38078</v>
      </c>
      <c r="F3126" s="27">
        <v>15</v>
      </c>
      <c r="G3126" s="18">
        <v>106059.61</v>
      </c>
      <c r="H3126" s="27">
        <f t="shared" si="96"/>
        <v>106059.61</v>
      </c>
      <c r="I3126" s="18">
        <v>100756.63</v>
      </c>
      <c r="J3126" s="27">
        <v>106059.61</v>
      </c>
      <c r="K3126" s="18">
        <f t="shared" si="97"/>
        <v>106059.61</v>
      </c>
      <c r="L3126" s="27">
        <v>100756.63</v>
      </c>
      <c r="M3126" s="36">
        <v>0</v>
      </c>
      <c r="T3126" s="41">
        <v>0</v>
      </c>
      <c r="U3126" s="41">
        <v>0</v>
      </c>
      <c r="V3126" s="42" t="s">
        <v>113</v>
      </c>
      <c r="W3126" s="42">
        <v>106059.61</v>
      </c>
      <c r="X3126" s="42">
        <v>106059.61</v>
      </c>
    </row>
    <row r="3127" spans="1:24">
      <c r="A3127" s="27" t="s">
        <v>5787</v>
      </c>
      <c r="B3127" s="28" t="s">
        <v>5102</v>
      </c>
      <c r="C3127" s="27" t="s">
        <v>5785</v>
      </c>
      <c r="D3127" s="27" t="s">
        <v>5104</v>
      </c>
      <c r="E3127" s="29">
        <v>38078</v>
      </c>
      <c r="F3127" s="27">
        <v>15</v>
      </c>
      <c r="G3127" s="18">
        <v>9764.91</v>
      </c>
      <c r="H3127" s="27">
        <f t="shared" si="96"/>
        <v>9764.91</v>
      </c>
      <c r="I3127" s="18">
        <v>9276.66</v>
      </c>
      <c r="J3127" s="27">
        <v>9764.91</v>
      </c>
      <c r="K3127" s="18">
        <f t="shared" si="97"/>
        <v>9764.91</v>
      </c>
      <c r="L3127" s="27">
        <v>9276.66</v>
      </c>
      <c r="M3127" s="36">
        <v>0</v>
      </c>
      <c r="T3127" s="41">
        <v>0</v>
      </c>
      <c r="U3127" s="41">
        <v>0</v>
      </c>
      <c r="V3127" s="42" t="s">
        <v>113</v>
      </c>
      <c r="W3127" s="42">
        <v>9764.91</v>
      </c>
      <c r="X3127" s="42">
        <v>9764.91</v>
      </c>
    </row>
    <row r="3128" spans="1:24">
      <c r="A3128" s="27" t="s">
        <v>5788</v>
      </c>
      <c r="B3128" s="28" t="s">
        <v>5102</v>
      </c>
      <c r="C3128" s="27" t="s">
        <v>5789</v>
      </c>
      <c r="D3128" s="27" t="s">
        <v>5104</v>
      </c>
      <c r="E3128" s="29">
        <v>38078</v>
      </c>
      <c r="F3128" s="27">
        <v>15</v>
      </c>
      <c r="G3128" s="18">
        <v>78712.89</v>
      </c>
      <c r="H3128" s="27">
        <f t="shared" si="96"/>
        <v>78712.89</v>
      </c>
      <c r="I3128" s="18">
        <v>74777.25</v>
      </c>
      <c r="J3128" s="27">
        <v>78712.89</v>
      </c>
      <c r="K3128" s="18">
        <f t="shared" si="97"/>
        <v>78712.89</v>
      </c>
      <c r="L3128" s="27">
        <v>74777.25</v>
      </c>
      <c r="M3128" s="36">
        <v>0</v>
      </c>
      <c r="T3128" s="41">
        <v>0</v>
      </c>
      <c r="U3128" s="41">
        <v>0</v>
      </c>
      <c r="V3128" s="42" t="s">
        <v>113</v>
      </c>
      <c r="W3128" s="42">
        <v>78712.89</v>
      </c>
      <c r="X3128" s="42">
        <v>78712.89</v>
      </c>
    </row>
    <row r="3129" spans="1:24">
      <c r="A3129" s="27" t="s">
        <v>5790</v>
      </c>
      <c r="B3129" s="28" t="s">
        <v>5102</v>
      </c>
      <c r="C3129" s="27" t="s">
        <v>5789</v>
      </c>
      <c r="D3129" s="27" t="s">
        <v>5104</v>
      </c>
      <c r="E3129" s="29">
        <v>38078</v>
      </c>
      <c r="F3129" s="27">
        <v>15</v>
      </c>
      <c r="G3129" s="18">
        <v>159782.25</v>
      </c>
      <c r="H3129" s="27">
        <f t="shared" si="96"/>
        <v>159782.25</v>
      </c>
      <c r="I3129" s="18">
        <v>151793.14000000001</v>
      </c>
      <c r="J3129" s="27">
        <v>159782.25</v>
      </c>
      <c r="K3129" s="18">
        <f t="shared" si="97"/>
        <v>159782.25</v>
      </c>
      <c r="L3129" s="27">
        <v>151793.14000000001</v>
      </c>
      <c r="M3129" s="36">
        <v>0</v>
      </c>
      <c r="T3129" s="41">
        <v>0</v>
      </c>
      <c r="U3129" s="41">
        <v>0</v>
      </c>
      <c r="V3129" s="42" t="s">
        <v>113</v>
      </c>
      <c r="W3129" s="42">
        <v>159782.25</v>
      </c>
      <c r="X3129" s="42">
        <v>159782.25</v>
      </c>
    </row>
    <row r="3130" spans="1:24">
      <c r="A3130" s="27" t="s">
        <v>5791</v>
      </c>
      <c r="B3130" s="28" t="s">
        <v>5102</v>
      </c>
      <c r="C3130" s="27" t="s">
        <v>5792</v>
      </c>
      <c r="D3130" s="27" t="s">
        <v>5104</v>
      </c>
      <c r="E3130" s="29">
        <v>37226</v>
      </c>
      <c r="F3130" s="27">
        <v>15</v>
      </c>
      <c r="G3130" s="18">
        <v>155908.42000000001</v>
      </c>
      <c r="H3130" s="27">
        <f t="shared" si="96"/>
        <v>155908.42000000001</v>
      </c>
      <c r="I3130" s="18">
        <v>148113</v>
      </c>
      <c r="J3130" s="27">
        <v>155908.42000000001</v>
      </c>
      <c r="K3130" s="18">
        <f t="shared" si="97"/>
        <v>155908.42000000001</v>
      </c>
      <c r="L3130" s="27">
        <v>148113</v>
      </c>
      <c r="M3130" s="36">
        <v>0</v>
      </c>
      <c r="T3130" s="41">
        <v>0</v>
      </c>
      <c r="U3130" s="41">
        <v>0</v>
      </c>
      <c r="V3130" s="42" t="s">
        <v>113</v>
      </c>
      <c r="W3130" s="42">
        <v>155908.42000000001</v>
      </c>
      <c r="X3130" s="42">
        <v>155908.42000000001</v>
      </c>
    </row>
    <row r="3131" spans="1:24">
      <c r="A3131" s="27" t="s">
        <v>5793</v>
      </c>
      <c r="B3131" s="28" t="s">
        <v>5102</v>
      </c>
      <c r="C3131" s="27" t="s">
        <v>5794</v>
      </c>
      <c r="D3131" s="27" t="s">
        <v>5104</v>
      </c>
      <c r="E3131" s="29">
        <v>38078</v>
      </c>
      <c r="F3131" s="27">
        <v>15</v>
      </c>
      <c r="G3131" s="18">
        <v>16235.28</v>
      </c>
      <c r="H3131" s="27">
        <f t="shared" si="96"/>
        <v>16235.28</v>
      </c>
      <c r="I3131" s="18">
        <v>15423.52</v>
      </c>
      <c r="J3131" s="27">
        <v>16235.28</v>
      </c>
      <c r="K3131" s="18">
        <f t="shared" si="97"/>
        <v>16235.28</v>
      </c>
      <c r="L3131" s="27">
        <v>15423.52</v>
      </c>
      <c r="M3131" s="36">
        <v>0</v>
      </c>
      <c r="T3131" s="41">
        <v>0</v>
      </c>
      <c r="U3131" s="41">
        <v>0</v>
      </c>
      <c r="V3131" s="42" t="s">
        <v>113</v>
      </c>
      <c r="W3131" s="42">
        <v>16235.28</v>
      </c>
      <c r="X3131" s="42">
        <v>16235.28</v>
      </c>
    </row>
    <row r="3132" spans="1:24">
      <c r="A3132" s="27" t="s">
        <v>5795</v>
      </c>
      <c r="B3132" s="28" t="s">
        <v>5102</v>
      </c>
      <c r="C3132" s="27" t="s">
        <v>5796</v>
      </c>
      <c r="D3132" s="27" t="s">
        <v>5104</v>
      </c>
      <c r="E3132" s="29">
        <v>38078</v>
      </c>
      <c r="F3132" s="27">
        <v>15</v>
      </c>
      <c r="G3132" s="18">
        <v>56482.14</v>
      </c>
      <c r="H3132" s="27">
        <f t="shared" si="96"/>
        <v>56482.14</v>
      </c>
      <c r="I3132" s="18">
        <v>53658.03</v>
      </c>
      <c r="J3132" s="27">
        <v>56482.14</v>
      </c>
      <c r="K3132" s="18">
        <f t="shared" si="97"/>
        <v>56482.14</v>
      </c>
      <c r="L3132" s="27">
        <v>53658.03</v>
      </c>
      <c r="M3132" s="36">
        <v>0</v>
      </c>
      <c r="T3132" s="41">
        <v>0</v>
      </c>
      <c r="U3132" s="41">
        <v>0</v>
      </c>
      <c r="V3132" s="42" t="s">
        <v>113</v>
      </c>
      <c r="W3132" s="42">
        <v>56482.14</v>
      </c>
      <c r="X3132" s="42">
        <v>56482.14</v>
      </c>
    </row>
    <row r="3133" spans="1:24">
      <c r="A3133" s="27" t="s">
        <v>5797</v>
      </c>
      <c r="B3133" s="28" t="s">
        <v>5102</v>
      </c>
      <c r="C3133" s="27" t="s">
        <v>5796</v>
      </c>
      <c r="D3133" s="27" t="s">
        <v>5104</v>
      </c>
      <c r="E3133" s="29">
        <v>38078</v>
      </c>
      <c r="F3133" s="27">
        <v>15</v>
      </c>
      <c r="G3133" s="18">
        <v>57523.69</v>
      </c>
      <c r="H3133" s="27">
        <f t="shared" si="96"/>
        <v>57523.69</v>
      </c>
      <c r="I3133" s="18">
        <v>54647.51</v>
      </c>
      <c r="J3133" s="27">
        <v>57523.69</v>
      </c>
      <c r="K3133" s="18">
        <f t="shared" si="97"/>
        <v>57523.69</v>
      </c>
      <c r="L3133" s="27">
        <v>54647.51</v>
      </c>
      <c r="M3133" s="36">
        <v>0</v>
      </c>
      <c r="T3133" s="41">
        <v>0</v>
      </c>
      <c r="U3133" s="41">
        <v>0</v>
      </c>
      <c r="V3133" s="42" t="s">
        <v>113</v>
      </c>
      <c r="W3133" s="42">
        <v>57523.69</v>
      </c>
      <c r="X3133" s="42">
        <v>57523.69</v>
      </c>
    </row>
    <row r="3134" spans="1:24">
      <c r="A3134" s="27" t="s">
        <v>5798</v>
      </c>
      <c r="B3134" s="28" t="s">
        <v>5102</v>
      </c>
      <c r="C3134" s="27" t="s">
        <v>5796</v>
      </c>
      <c r="D3134" s="27" t="s">
        <v>5104</v>
      </c>
      <c r="E3134" s="29">
        <v>38078</v>
      </c>
      <c r="F3134" s="27">
        <v>15</v>
      </c>
      <c r="G3134" s="18">
        <v>38053.550000000003</v>
      </c>
      <c r="H3134" s="27">
        <f t="shared" si="96"/>
        <v>38053.550000000003</v>
      </c>
      <c r="I3134" s="18">
        <v>36150.870000000003</v>
      </c>
      <c r="J3134" s="27">
        <v>38053.550000000003</v>
      </c>
      <c r="K3134" s="18">
        <f t="shared" si="97"/>
        <v>38053.550000000003</v>
      </c>
      <c r="L3134" s="27">
        <v>36150.870000000003</v>
      </c>
      <c r="M3134" s="36">
        <v>0</v>
      </c>
      <c r="T3134" s="41">
        <v>0</v>
      </c>
      <c r="U3134" s="41">
        <v>0</v>
      </c>
      <c r="V3134" s="42" t="s">
        <v>113</v>
      </c>
      <c r="W3134" s="42">
        <v>38053.550000000003</v>
      </c>
      <c r="X3134" s="42">
        <v>38053.550000000003</v>
      </c>
    </row>
    <row r="3135" spans="1:24">
      <c r="A3135" s="27" t="s">
        <v>5799</v>
      </c>
      <c r="B3135" s="28" t="s">
        <v>5102</v>
      </c>
      <c r="C3135" s="27" t="s">
        <v>5800</v>
      </c>
      <c r="D3135" s="27" t="s">
        <v>5104</v>
      </c>
      <c r="E3135" s="29">
        <v>39417</v>
      </c>
      <c r="F3135" s="27">
        <v>15</v>
      </c>
      <c r="G3135" s="18">
        <v>42322.75</v>
      </c>
      <c r="H3135" s="27">
        <f t="shared" si="96"/>
        <v>0</v>
      </c>
      <c r="I3135" s="18">
        <v>36097.040000000001</v>
      </c>
      <c r="J3135" s="27">
        <v>42322.75</v>
      </c>
      <c r="K3135" s="18">
        <f t="shared" si="97"/>
        <v>0</v>
      </c>
      <c r="L3135" s="27">
        <v>37124.43</v>
      </c>
      <c r="M3135" s="36">
        <v>1027.3900000000001</v>
      </c>
      <c r="T3135" s="41">
        <v>0</v>
      </c>
      <c r="U3135" s="41">
        <v>0</v>
      </c>
      <c r="V3135" s="42" t="s">
        <v>113</v>
      </c>
      <c r="W3135" s="42">
        <v>0</v>
      </c>
      <c r="X3135" s="42">
        <v>0</v>
      </c>
    </row>
    <row r="3136" spans="1:24">
      <c r="A3136" s="27" t="s">
        <v>5801</v>
      </c>
      <c r="B3136" s="28" t="s">
        <v>5102</v>
      </c>
      <c r="C3136" s="27" t="s">
        <v>5802</v>
      </c>
      <c r="D3136" s="27" t="s">
        <v>5104</v>
      </c>
      <c r="E3136" s="29">
        <v>39417</v>
      </c>
      <c r="F3136" s="27">
        <v>15</v>
      </c>
      <c r="G3136" s="18">
        <v>188050.25</v>
      </c>
      <c r="H3136" s="27">
        <f t="shared" si="96"/>
        <v>0</v>
      </c>
      <c r="I3136" s="18">
        <v>160387.91</v>
      </c>
      <c r="J3136" s="27">
        <v>188050.25</v>
      </c>
      <c r="K3136" s="18">
        <f t="shared" si="97"/>
        <v>0</v>
      </c>
      <c r="L3136" s="27">
        <v>164952.87</v>
      </c>
      <c r="M3136" s="36">
        <v>4564.96</v>
      </c>
      <c r="T3136" s="41">
        <v>0</v>
      </c>
      <c r="U3136" s="41">
        <v>0</v>
      </c>
      <c r="V3136" s="42" t="s">
        <v>113</v>
      </c>
      <c r="W3136" s="42">
        <v>0</v>
      </c>
      <c r="X3136" s="42">
        <v>0</v>
      </c>
    </row>
    <row r="3137" spans="1:24">
      <c r="A3137" s="27" t="s">
        <v>5803</v>
      </c>
      <c r="B3137" s="28" t="s">
        <v>5102</v>
      </c>
      <c r="C3137" s="27" t="s">
        <v>5804</v>
      </c>
      <c r="D3137" s="27" t="s">
        <v>5104</v>
      </c>
      <c r="E3137" s="29">
        <v>39417</v>
      </c>
      <c r="F3137" s="27">
        <v>15</v>
      </c>
      <c r="G3137" s="18">
        <v>96999.19</v>
      </c>
      <c r="H3137" s="27">
        <f t="shared" si="96"/>
        <v>0</v>
      </c>
      <c r="I3137" s="18">
        <v>82730.53</v>
      </c>
      <c r="J3137" s="27">
        <v>96999.19</v>
      </c>
      <c r="K3137" s="18">
        <f t="shared" si="97"/>
        <v>0</v>
      </c>
      <c r="L3137" s="27">
        <v>85085.21</v>
      </c>
      <c r="M3137" s="36">
        <v>2354.6799999999998</v>
      </c>
      <c r="T3137" s="41">
        <v>0</v>
      </c>
      <c r="U3137" s="41">
        <v>0</v>
      </c>
      <c r="V3137" s="42" t="s">
        <v>113</v>
      </c>
      <c r="W3137" s="42">
        <v>0</v>
      </c>
      <c r="X3137" s="42">
        <v>0</v>
      </c>
    </row>
    <row r="3138" spans="1:24">
      <c r="A3138" s="27" t="s">
        <v>5805</v>
      </c>
      <c r="B3138" s="28" t="s">
        <v>5102</v>
      </c>
      <c r="C3138" s="27" t="s">
        <v>5806</v>
      </c>
      <c r="D3138" s="27" t="s">
        <v>5104</v>
      </c>
      <c r="E3138" s="29">
        <v>38078</v>
      </c>
      <c r="F3138" s="27">
        <v>15</v>
      </c>
      <c r="G3138" s="18">
        <v>77822.47</v>
      </c>
      <c r="H3138" s="27">
        <f t="shared" si="96"/>
        <v>77822.47</v>
      </c>
      <c r="I3138" s="18">
        <v>73931.350000000006</v>
      </c>
      <c r="J3138" s="27">
        <v>77822.47</v>
      </c>
      <c r="K3138" s="18">
        <f t="shared" si="97"/>
        <v>77822.47</v>
      </c>
      <c r="L3138" s="27">
        <v>73931.350000000006</v>
      </c>
      <c r="M3138" s="36">
        <v>0</v>
      </c>
      <c r="T3138" s="41">
        <v>0</v>
      </c>
      <c r="U3138" s="41">
        <v>0</v>
      </c>
      <c r="V3138" s="42" t="s">
        <v>113</v>
      </c>
      <c r="W3138" s="42">
        <v>77822.47</v>
      </c>
      <c r="X3138" s="42">
        <v>77822.47</v>
      </c>
    </row>
    <row r="3139" spans="1:24">
      <c r="A3139" s="27" t="s">
        <v>5807</v>
      </c>
      <c r="B3139" s="28" t="s">
        <v>5102</v>
      </c>
      <c r="C3139" s="27" t="s">
        <v>5806</v>
      </c>
      <c r="D3139" s="27" t="s">
        <v>5104</v>
      </c>
      <c r="E3139" s="29">
        <v>38078</v>
      </c>
      <c r="F3139" s="27">
        <v>15</v>
      </c>
      <c r="G3139" s="18">
        <v>7449.82</v>
      </c>
      <c r="H3139" s="27">
        <f t="shared" si="96"/>
        <v>7449.82</v>
      </c>
      <c r="I3139" s="18">
        <v>7077.33</v>
      </c>
      <c r="J3139" s="27">
        <v>7449.82</v>
      </c>
      <c r="K3139" s="18">
        <f t="shared" si="97"/>
        <v>7449.82</v>
      </c>
      <c r="L3139" s="27">
        <v>7077.33</v>
      </c>
      <c r="M3139" s="36">
        <v>0</v>
      </c>
      <c r="T3139" s="41">
        <v>0</v>
      </c>
      <c r="U3139" s="41">
        <v>0</v>
      </c>
      <c r="V3139" s="42" t="s">
        <v>113</v>
      </c>
      <c r="W3139" s="42">
        <v>7449.82</v>
      </c>
      <c r="X3139" s="42">
        <v>7449.82</v>
      </c>
    </row>
    <row r="3140" spans="1:24">
      <c r="A3140" s="27" t="s">
        <v>5808</v>
      </c>
      <c r="B3140" s="28" t="s">
        <v>5102</v>
      </c>
      <c r="C3140" s="27" t="s">
        <v>5809</v>
      </c>
      <c r="D3140" s="27" t="s">
        <v>5104</v>
      </c>
      <c r="E3140" s="29">
        <v>39417</v>
      </c>
      <c r="F3140" s="27">
        <v>15</v>
      </c>
      <c r="G3140" s="18">
        <v>54447.64</v>
      </c>
      <c r="H3140" s="27">
        <f t="shared" si="96"/>
        <v>0</v>
      </c>
      <c r="I3140" s="18">
        <v>46438.34</v>
      </c>
      <c r="J3140" s="27">
        <v>54447.64</v>
      </c>
      <c r="K3140" s="18">
        <f t="shared" si="97"/>
        <v>0</v>
      </c>
      <c r="L3140" s="27">
        <v>47760.07</v>
      </c>
      <c r="M3140" s="36">
        <v>1321.73</v>
      </c>
      <c r="T3140" s="41">
        <v>0</v>
      </c>
      <c r="U3140" s="41">
        <v>0</v>
      </c>
      <c r="V3140" s="42" t="s">
        <v>113</v>
      </c>
      <c r="W3140" s="42">
        <v>0</v>
      </c>
      <c r="X3140" s="42">
        <v>0</v>
      </c>
    </row>
    <row r="3141" spans="1:24">
      <c r="A3141" s="27" t="s">
        <v>5810</v>
      </c>
      <c r="B3141" s="28" t="s">
        <v>5102</v>
      </c>
      <c r="C3141" s="27" t="s">
        <v>5811</v>
      </c>
      <c r="D3141" s="27" t="s">
        <v>5104</v>
      </c>
      <c r="E3141" s="29">
        <v>39417</v>
      </c>
      <c r="F3141" s="27">
        <v>15</v>
      </c>
      <c r="G3141" s="18">
        <v>88534.61</v>
      </c>
      <c r="H3141" s="27">
        <f t="shared" si="96"/>
        <v>0</v>
      </c>
      <c r="I3141" s="18">
        <v>75511.100000000006</v>
      </c>
      <c r="J3141" s="27">
        <v>88534.61</v>
      </c>
      <c r="K3141" s="18">
        <f t="shared" si="97"/>
        <v>0</v>
      </c>
      <c r="L3141" s="27">
        <v>77660.3</v>
      </c>
      <c r="M3141" s="36">
        <v>2149.1999999999998</v>
      </c>
      <c r="T3141" s="41">
        <v>0</v>
      </c>
      <c r="U3141" s="41">
        <v>0</v>
      </c>
      <c r="V3141" s="42" t="s">
        <v>113</v>
      </c>
      <c r="W3141" s="42">
        <v>0</v>
      </c>
      <c r="X3141" s="42">
        <v>0</v>
      </c>
    </row>
    <row r="3142" spans="1:24">
      <c r="A3142" s="27" t="s">
        <v>5812</v>
      </c>
      <c r="B3142" s="28" t="s">
        <v>5102</v>
      </c>
      <c r="C3142" s="27" t="s">
        <v>5813</v>
      </c>
      <c r="D3142" s="27" t="s">
        <v>5104</v>
      </c>
      <c r="E3142" s="29">
        <v>39417</v>
      </c>
      <c r="F3142" s="27">
        <v>15</v>
      </c>
      <c r="G3142" s="18">
        <v>55634.82</v>
      </c>
      <c r="H3142" s="27">
        <f t="shared" ref="H3142:H3205" si="98">IFERROR(IF(ROUND((G3142-I3142)/G3142,2)&lt;=0.05,G3142,0),0)</f>
        <v>0</v>
      </c>
      <c r="I3142" s="18">
        <v>47450.9</v>
      </c>
      <c r="J3142" s="27">
        <v>55634.82</v>
      </c>
      <c r="K3142" s="18">
        <f t="shared" ref="K3142:K3205" si="99">IFERROR(IF(ROUND((J3142-L3142)/J3142,2)&lt;=0.05,J3142,0),0)</f>
        <v>0</v>
      </c>
      <c r="L3142" s="27">
        <v>48801.45</v>
      </c>
      <c r="M3142" s="36">
        <v>1350.55</v>
      </c>
      <c r="T3142" s="41">
        <v>0</v>
      </c>
      <c r="U3142" s="41">
        <v>0</v>
      </c>
      <c r="V3142" s="42" t="s">
        <v>113</v>
      </c>
      <c r="W3142" s="42">
        <v>0</v>
      </c>
      <c r="X3142" s="42">
        <v>0</v>
      </c>
    </row>
    <row r="3143" spans="1:24">
      <c r="A3143" s="27" t="s">
        <v>5814</v>
      </c>
      <c r="B3143" s="28" t="s">
        <v>5102</v>
      </c>
      <c r="C3143" s="27" t="s">
        <v>5815</v>
      </c>
      <c r="D3143" s="27" t="s">
        <v>5104</v>
      </c>
      <c r="E3143" s="29">
        <v>39417</v>
      </c>
      <c r="F3143" s="27">
        <v>15</v>
      </c>
      <c r="G3143" s="18">
        <v>70096.63</v>
      </c>
      <c r="H3143" s="27">
        <f t="shared" si="98"/>
        <v>0</v>
      </c>
      <c r="I3143" s="18">
        <v>59864.91</v>
      </c>
      <c r="J3143" s="27">
        <v>70096.63</v>
      </c>
      <c r="K3143" s="18">
        <f t="shared" si="99"/>
        <v>0</v>
      </c>
      <c r="L3143" s="27">
        <v>61546.63</v>
      </c>
      <c r="M3143" s="36">
        <v>1681.72</v>
      </c>
      <c r="T3143" s="41">
        <v>0</v>
      </c>
      <c r="U3143" s="41">
        <v>0</v>
      </c>
      <c r="V3143" s="42" t="s">
        <v>113</v>
      </c>
      <c r="W3143" s="42">
        <v>0</v>
      </c>
      <c r="X3143" s="42">
        <v>0</v>
      </c>
    </row>
    <row r="3144" spans="1:24">
      <c r="A3144" s="27" t="s">
        <v>5816</v>
      </c>
      <c r="B3144" s="28" t="s">
        <v>5102</v>
      </c>
      <c r="C3144" s="27" t="s">
        <v>5817</v>
      </c>
      <c r="D3144" s="27" t="s">
        <v>5104</v>
      </c>
      <c r="E3144" s="29">
        <v>37226</v>
      </c>
      <c r="F3144" s="27">
        <v>15</v>
      </c>
      <c r="G3144" s="18">
        <v>181306.6</v>
      </c>
      <c r="H3144" s="27">
        <f t="shared" si="98"/>
        <v>181306.6</v>
      </c>
      <c r="I3144" s="18">
        <v>172241.27</v>
      </c>
      <c r="J3144" s="27">
        <v>181306.6</v>
      </c>
      <c r="K3144" s="18">
        <f t="shared" si="99"/>
        <v>181306.6</v>
      </c>
      <c r="L3144" s="27">
        <v>172241.27</v>
      </c>
      <c r="M3144" s="36">
        <v>0</v>
      </c>
      <c r="T3144" s="41">
        <v>0</v>
      </c>
      <c r="U3144" s="41">
        <v>0</v>
      </c>
      <c r="V3144" s="42" t="s">
        <v>113</v>
      </c>
      <c r="W3144" s="42">
        <v>181306.6</v>
      </c>
      <c r="X3144" s="42">
        <v>181306.6</v>
      </c>
    </row>
    <row r="3145" spans="1:24">
      <c r="A3145" s="27" t="s">
        <v>5818</v>
      </c>
      <c r="B3145" s="28" t="s">
        <v>5102</v>
      </c>
      <c r="C3145" s="27" t="s">
        <v>5819</v>
      </c>
      <c r="D3145" s="27" t="s">
        <v>5104</v>
      </c>
      <c r="E3145" s="29">
        <v>38078</v>
      </c>
      <c r="F3145" s="27">
        <v>15</v>
      </c>
      <c r="G3145" s="18">
        <v>66158</v>
      </c>
      <c r="H3145" s="27">
        <f t="shared" si="98"/>
        <v>66158</v>
      </c>
      <c r="I3145" s="18">
        <v>62850.1</v>
      </c>
      <c r="J3145" s="27">
        <v>66158</v>
      </c>
      <c r="K3145" s="18">
        <f t="shared" si="99"/>
        <v>66158</v>
      </c>
      <c r="L3145" s="27">
        <v>62850.1</v>
      </c>
      <c r="M3145" s="36">
        <v>0</v>
      </c>
      <c r="T3145" s="41">
        <v>0</v>
      </c>
      <c r="U3145" s="41">
        <v>0</v>
      </c>
      <c r="V3145" s="42" t="s">
        <v>113</v>
      </c>
      <c r="W3145" s="42">
        <v>66158</v>
      </c>
      <c r="X3145" s="42">
        <v>66158</v>
      </c>
    </row>
    <row r="3146" spans="1:24">
      <c r="A3146" s="27" t="s">
        <v>5820</v>
      </c>
      <c r="B3146" s="28" t="s">
        <v>5102</v>
      </c>
      <c r="C3146" s="27" t="s">
        <v>5819</v>
      </c>
      <c r="D3146" s="27" t="s">
        <v>5104</v>
      </c>
      <c r="E3146" s="29">
        <v>38078</v>
      </c>
      <c r="F3146" s="27">
        <v>15</v>
      </c>
      <c r="G3146" s="18">
        <v>9319.7000000000007</v>
      </c>
      <c r="H3146" s="27">
        <f t="shared" si="98"/>
        <v>9319.7000000000007</v>
      </c>
      <c r="I3146" s="18">
        <v>8853.7099999999991</v>
      </c>
      <c r="J3146" s="27">
        <v>9319.7000000000007</v>
      </c>
      <c r="K3146" s="18">
        <f t="shared" si="99"/>
        <v>9319.7000000000007</v>
      </c>
      <c r="L3146" s="27">
        <v>8853.7099999999991</v>
      </c>
      <c r="M3146" s="36">
        <v>0</v>
      </c>
      <c r="T3146" s="41">
        <v>0</v>
      </c>
      <c r="U3146" s="41">
        <v>0</v>
      </c>
      <c r="V3146" s="42" t="s">
        <v>113</v>
      </c>
      <c r="W3146" s="42">
        <v>9319.7000000000007</v>
      </c>
      <c r="X3146" s="42">
        <v>9319.7000000000007</v>
      </c>
    </row>
    <row r="3147" spans="1:24">
      <c r="A3147" s="27" t="s">
        <v>5821</v>
      </c>
      <c r="B3147" s="28" t="s">
        <v>5102</v>
      </c>
      <c r="C3147" s="27" t="s">
        <v>5819</v>
      </c>
      <c r="D3147" s="27" t="s">
        <v>5104</v>
      </c>
      <c r="E3147" s="29">
        <v>38078</v>
      </c>
      <c r="F3147" s="27">
        <v>15</v>
      </c>
      <c r="G3147" s="18">
        <v>110216.71</v>
      </c>
      <c r="H3147" s="27">
        <f t="shared" si="98"/>
        <v>110216.71</v>
      </c>
      <c r="I3147" s="18">
        <v>104705.87</v>
      </c>
      <c r="J3147" s="27">
        <v>110216.71</v>
      </c>
      <c r="K3147" s="18">
        <f t="shared" si="99"/>
        <v>110216.71</v>
      </c>
      <c r="L3147" s="27">
        <v>104705.87</v>
      </c>
      <c r="M3147" s="36">
        <v>0</v>
      </c>
      <c r="T3147" s="41">
        <v>0</v>
      </c>
      <c r="U3147" s="41">
        <v>0</v>
      </c>
      <c r="V3147" s="42" t="s">
        <v>113</v>
      </c>
      <c r="W3147" s="42">
        <v>110216.71</v>
      </c>
      <c r="X3147" s="42">
        <v>110216.71</v>
      </c>
    </row>
    <row r="3148" spans="1:24">
      <c r="A3148" s="27" t="s">
        <v>5822</v>
      </c>
      <c r="B3148" s="28" t="s">
        <v>5102</v>
      </c>
      <c r="C3148" s="27" t="s">
        <v>5823</v>
      </c>
      <c r="D3148" s="27" t="s">
        <v>5104</v>
      </c>
      <c r="E3148" s="29">
        <v>38078</v>
      </c>
      <c r="F3148" s="27">
        <v>15</v>
      </c>
      <c r="G3148" s="18">
        <v>20420.240000000002</v>
      </c>
      <c r="H3148" s="27">
        <f t="shared" si="98"/>
        <v>20420.240000000002</v>
      </c>
      <c r="I3148" s="18">
        <v>19399.23</v>
      </c>
      <c r="J3148" s="27">
        <v>20420.240000000002</v>
      </c>
      <c r="K3148" s="18">
        <f t="shared" si="99"/>
        <v>20420.240000000002</v>
      </c>
      <c r="L3148" s="27">
        <v>19399.23</v>
      </c>
      <c r="M3148" s="36">
        <v>0</v>
      </c>
      <c r="T3148" s="41">
        <v>0</v>
      </c>
      <c r="U3148" s="41">
        <v>0</v>
      </c>
      <c r="V3148" s="42" t="s">
        <v>113</v>
      </c>
      <c r="W3148" s="42">
        <v>20420.240000000002</v>
      </c>
      <c r="X3148" s="42">
        <v>20420.240000000002</v>
      </c>
    </row>
    <row r="3149" spans="1:24">
      <c r="A3149" s="27" t="s">
        <v>5824</v>
      </c>
      <c r="B3149" s="28" t="s">
        <v>5102</v>
      </c>
      <c r="C3149" s="27" t="s">
        <v>5823</v>
      </c>
      <c r="D3149" s="27" t="s">
        <v>5104</v>
      </c>
      <c r="E3149" s="29">
        <v>38078</v>
      </c>
      <c r="F3149" s="27">
        <v>15</v>
      </c>
      <c r="G3149" s="18">
        <v>31045.88</v>
      </c>
      <c r="H3149" s="27">
        <f t="shared" si="98"/>
        <v>31045.88</v>
      </c>
      <c r="I3149" s="18">
        <v>29493.59</v>
      </c>
      <c r="J3149" s="27">
        <v>31045.88</v>
      </c>
      <c r="K3149" s="18">
        <f t="shared" si="99"/>
        <v>31045.88</v>
      </c>
      <c r="L3149" s="27">
        <v>29493.59</v>
      </c>
      <c r="M3149" s="36">
        <v>0</v>
      </c>
      <c r="T3149" s="41">
        <v>0</v>
      </c>
      <c r="U3149" s="41">
        <v>0</v>
      </c>
      <c r="V3149" s="42" t="s">
        <v>113</v>
      </c>
      <c r="W3149" s="42">
        <v>31045.88</v>
      </c>
      <c r="X3149" s="42">
        <v>31045.88</v>
      </c>
    </row>
    <row r="3150" spans="1:24">
      <c r="A3150" s="27" t="s">
        <v>5825</v>
      </c>
      <c r="B3150" s="28" t="s">
        <v>5102</v>
      </c>
      <c r="C3150" s="27" t="s">
        <v>5823</v>
      </c>
      <c r="D3150" s="27" t="s">
        <v>5104</v>
      </c>
      <c r="E3150" s="29">
        <v>38078</v>
      </c>
      <c r="F3150" s="27">
        <v>15</v>
      </c>
      <c r="G3150" s="18">
        <v>65465.61</v>
      </c>
      <c r="H3150" s="27">
        <f t="shared" si="98"/>
        <v>65465.61</v>
      </c>
      <c r="I3150" s="18">
        <v>62192.33</v>
      </c>
      <c r="J3150" s="27">
        <v>65465.61</v>
      </c>
      <c r="K3150" s="18">
        <f t="shared" si="99"/>
        <v>65465.61</v>
      </c>
      <c r="L3150" s="27">
        <v>62192.33</v>
      </c>
      <c r="M3150" s="36">
        <v>0</v>
      </c>
      <c r="T3150" s="41">
        <v>0</v>
      </c>
      <c r="U3150" s="41">
        <v>0</v>
      </c>
      <c r="V3150" s="42" t="s">
        <v>113</v>
      </c>
      <c r="W3150" s="42">
        <v>65465.61</v>
      </c>
      <c r="X3150" s="42">
        <v>65465.61</v>
      </c>
    </row>
    <row r="3151" spans="1:24">
      <c r="A3151" s="27" t="s">
        <v>5826</v>
      </c>
      <c r="B3151" s="28" t="s">
        <v>5102</v>
      </c>
      <c r="C3151" s="27" t="s">
        <v>5827</v>
      </c>
      <c r="D3151" s="27" t="s">
        <v>5104</v>
      </c>
      <c r="E3151" s="29">
        <v>39417</v>
      </c>
      <c r="F3151" s="27">
        <v>15</v>
      </c>
      <c r="G3151" s="18">
        <v>50329.75</v>
      </c>
      <c r="H3151" s="27">
        <f t="shared" si="98"/>
        <v>0</v>
      </c>
      <c r="I3151" s="18">
        <v>42926.2</v>
      </c>
      <c r="J3151" s="27">
        <v>50329.75</v>
      </c>
      <c r="K3151" s="18">
        <f t="shared" si="99"/>
        <v>0</v>
      </c>
      <c r="L3151" s="27">
        <v>44147.97</v>
      </c>
      <c r="M3151" s="36">
        <v>1221.77</v>
      </c>
      <c r="T3151" s="41">
        <v>0</v>
      </c>
      <c r="U3151" s="41">
        <v>0</v>
      </c>
      <c r="V3151" s="42" t="s">
        <v>113</v>
      </c>
      <c r="W3151" s="42">
        <v>0</v>
      </c>
      <c r="X3151" s="42">
        <v>0</v>
      </c>
    </row>
    <row r="3152" spans="1:24">
      <c r="A3152" s="27" t="s">
        <v>5828</v>
      </c>
      <c r="B3152" s="28" t="s">
        <v>5102</v>
      </c>
      <c r="C3152" s="27" t="s">
        <v>5829</v>
      </c>
      <c r="D3152" s="27" t="s">
        <v>5104</v>
      </c>
      <c r="E3152" s="29">
        <v>39417</v>
      </c>
      <c r="F3152" s="27">
        <v>15</v>
      </c>
      <c r="G3152" s="18">
        <v>215274.08</v>
      </c>
      <c r="H3152" s="27">
        <f t="shared" si="98"/>
        <v>0</v>
      </c>
      <c r="I3152" s="18">
        <v>183607.08</v>
      </c>
      <c r="J3152" s="27">
        <v>215274.08</v>
      </c>
      <c r="K3152" s="18">
        <f t="shared" si="99"/>
        <v>0</v>
      </c>
      <c r="L3152" s="27">
        <v>188832.9</v>
      </c>
      <c r="M3152" s="36">
        <v>5225.82</v>
      </c>
      <c r="T3152" s="41">
        <v>0</v>
      </c>
      <c r="U3152" s="41">
        <v>0</v>
      </c>
      <c r="V3152" s="42" t="s">
        <v>113</v>
      </c>
      <c r="W3152" s="42">
        <v>0</v>
      </c>
      <c r="X3152" s="42">
        <v>0</v>
      </c>
    </row>
    <row r="3153" spans="1:24">
      <c r="A3153" s="27" t="s">
        <v>5830</v>
      </c>
      <c r="B3153" s="28" t="s">
        <v>5102</v>
      </c>
      <c r="C3153" s="27" t="s">
        <v>5831</v>
      </c>
      <c r="D3153" s="27" t="s">
        <v>5104</v>
      </c>
      <c r="E3153" s="29">
        <v>37226</v>
      </c>
      <c r="F3153" s="27">
        <v>15</v>
      </c>
      <c r="G3153" s="18">
        <v>156892.85</v>
      </c>
      <c r="H3153" s="27">
        <f t="shared" si="98"/>
        <v>156892.85</v>
      </c>
      <c r="I3153" s="18">
        <v>149048.21</v>
      </c>
      <c r="J3153" s="27">
        <v>156892.85</v>
      </c>
      <c r="K3153" s="18">
        <f t="shared" si="99"/>
        <v>156892.85</v>
      </c>
      <c r="L3153" s="27">
        <v>149048.21</v>
      </c>
      <c r="M3153" s="36">
        <v>0</v>
      </c>
      <c r="T3153" s="41">
        <v>0</v>
      </c>
      <c r="U3153" s="41">
        <v>0</v>
      </c>
      <c r="V3153" s="42" t="s">
        <v>113</v>
      </c>
      <c r="W3153" s="42">
        <v>156892.85</v>
      </c>
      <c r="X3153" s="42">
        <v>156892.85</v>
      </c>
    </row>
    <row r="3154" spans="1:24">
      <c r="A3154" s="27" t="s">
        <v>5832</v>
      </c>
      <c r="B3154" s="28" t="s">
        <v>5102</v>
      </c>
      <c r="C3154" s="27" t="s">
        <v>5833</v>
      </c>
      <c r="D3154" s="27" t="s">
        <v>5104</v>
      </c>
      <c r="E3154" s="29">
        <v>38078</v>
      </c>
      <c r="F3154" s="27">
        <v>15</v>
      </c>
      <c r="G3154" s="18">
        <v>29721.56</v>
      </c>
      <c r="H3154" s="27">
        <f t="shared" si="98"/>
        <v>29721.56</v>
      </c>
      <c r="I3154" s="18">
        <v>28235.48</v>
      </c>
      <c r="J3154" s="27">
        <v>29721.56</v>
      </c>
      <c r="K3154" s="18">
        <f t="shared" si="99"/>
        <v>29721.56</v>
      </c>
      <c r="L3154" s="27">
        <v>28235.48</v>
      </c>
      <c r="M3154" s="36">
        <v>0</v>
      </c>
      <c r="T3154" s="41">
        <v>0</v>
      </c>
      <c r="U3154" s="41">
        <v>0</v>
      </c>
      <c r="V3154" s="42" t="s">
        <v>113</v>
      </c>
      <c r="W3154" s="42">
        <v>29721.56</v>
      </c>
      <c r="X3154" s="42">
        <v>29721.56</v>
      </c>
    </row>
    <row r="3155" spans="1:24">
      <c r="A3155" s="27" t="s">
        <v>5834</v>
      </c>
      <c r="B3155" s="28" t="s">
        <v>5102</v>
      </c>
      <c r="C3155" s="27" t="s">
        <v>5835</v>
      </c>
      <c r="D3155" s="27" t="s">
        <v>5104</v>
      </c>
      <c r="E3155" s="29">
        <v>37226</v>
      </c>
      <c r="F3155" s="27">
        <v>15</v>
      </c>
      <c r="G3155" s="18">
        <v>174489.44</v>
      </c>
      <c r="H3155" s="27">
        <f t="shared" si="98"/>
        <v>174489.44</v>
      </c>
      <c r="I3155" s="18">
        <v>165764.97</v>
      </c>
      <c r="J3155" s="27">
        <v>174489.44</v>
      </c>
      <c r="K3155" s="18">
        <f t="shared" si="99"/>
        <v>174489.44</v>
      </c>
      <c r="L3155" s="27">
        <v>165764.97</v>
      </c>
      <c r="M3155" s="36">
        <v>0</v>
      </c>
      <c r="T3155" s="41">
        <v>0</v>
      </c>
      <c r="U3155" s="41">
        <v>0</v>
      </c>
      <c r="V3155" s="42" t="s">
        <v>113</v>
      </c>
      <c r="W3155" s="42">
        <v>174489.44</v>
      </c>
      <c r="X3155" s="42">
        <v>174489.44</v>
      </c>
    </row>
    <row r="3156" spans="1:24">
      <c r="A3156" s="27" t="s">
        <v>5836</v>
      </c>
      <c r="B3156" s="28" t="s">
        <v>5102</v>
      </c>
      <c r="C3156" s="27" t="s">
        <v>5837</v>
      </c>
      <c r="D3156" s="27" t="s">
        <v>5104</v>
      </c>
      <c r="E3156" s="29">
        <v>39417</v>
      </c>
      <c r="F3156" s="27">
        <v>15</v>
      </c>
      <c r="G3156" s="18">
        <v>28596.45</v>
      </c>
      <c r="H3156" s="27">
        <f t="shared" si="98"/>
        <v>0</v>
      </c>
      <c r="I3156" s="18">
        <v>24389.89</v>
      </c>
      <c r="J3156" s="27">
        <v>28596.45</v>
      </c>
      <c r="K3156" s="18">
        <f t="shared" si="99"/>
        <v>0</v>
      </c>
      <c r="L3156" s="27">
        <v>25084.080000000002</v>
      </c>
      <c r="M3156" s="36">
        <v>694.19</v>
      </c>
      <c r="T3156" s="41">
        <v>0</v>
      </c>
      <c r="U3156" s="41">
        <v>0</v>
      </c>
      <c r="V3156" s="42" t="s">
        <v>113</v>
      </c>
      <c r="W3156" s="42">
        <v>0</v>
      </c>
      <c r="X3156" s="42">
        <v>0</v>
      </c>
    </row>
    <row r="3157" spans="1:24">
      <c r="A3157" s="27" t="s">
        <v>5838</v>
      </c>
      <c r="B3157" s="28" t="s">
        <v>5102</v>
      </c>
      <c r="C3157" s="27" t="s">
        <v>5839</v>
      </c>
      <c r="D3157" s="27" t="s">
        <v>5104</v>
      </c>
      <c r="E3157" s="29">
        <v>39417</v>
      </c>
      <c r="F3157" s="27">
        <v>15</v>
      </c>
      <c r="G3157" s="18">
        <v>62225.88</v>
      </c>
      <c r="H3157" s="27">
        <f t="shared" si="98"/>
        <v>0</v>
      </c>
      <c r="I3157" s="18">
        <v>53072.41</v>
      </c>
      <c r="J3157" s="27">
        <v>62225.88</v>
      </c>
      <c r="K3157" s="18">
        <f t="shared" si="99"/>
        <v>0</v>
      </c>
      <c r="L3157" s="27">
        <v>54582.96</v>
      </c>
      <c r="M3157" s="36">
        <v>1510.55</v>
      </c>
      <c r="T3157" s="41">
        <v>0</v>
      </c>
      <c r="U3157" s="41">
        <v>0</v>
      </c>
      <c r="V3157" s="42" t="s">
        <v>113</v>
      </c>
      <c r="W3157" s="42">
        <v>0</v>
      </c>
      <c r="X3157" s="42">
        <v>0</v>
      </c>
    </row>
    <row r="3158" spans="1:24">
      <c r="A3158" s="27" t="s">
        <v>5840</v>
      </c>
      <c r="B3158" s="28" t="s">
        <v>5102</v>
      </c>
      <c r="C3158" s="27" t="s">
        <v>5841</v>
      </c>
      <c r="D3158" s="27" t="s">
        <v>5104</v>
      </c>
      <c r="E3158" s="29">
        <v>38078</v>
      </c>
      <c r="F3158" s="27">
        <v>15</v>
      </c>
      <c r="G3158" s="18">
        <v>55087.15</v>
      </c>
      <c r="H3158" s="27">
        <f t="shared" si="98"/>
        <v>55087.15</v>
      </c>
      <c r="I3158" s="18">
        <v>52332.79</v>
      </c>
      <c r="J3158" s="27">
        <v>55087.15</v>
      </c>
      <c r="K3158" s="18">
        <f t="shared" si="99"/>
        <v>55087.15</v>
      </c>
      <c r="L3158" s="27">
        <v>52332.79</v>
      </c>
      <c r="M3158" s="36">
        <v>0</v>
      </c>
      <c r="T3158" s="41">
        <v>0</v>
      </c>
      <c r="U3158" s="41">
        <v>0</v>
      </c>
      <c r="V3158" s="42" t="s">
        <v>113</v>
      </c>
      <c r="W3158" s="42">
        <v>55087.15</v>
      </c>
      <c r="X3158" s="42">
        <v>55087.15</v>
      </c>
    </row>
    <row r="3159" spans="1:24">
      <c r="A3159" s="27" t="s">
        <v>5842</v>
      </c>
      <c r="B3159" s="28" t="s">
        <v>5102</v>
      </c>
      <c r="C3159" s="27" t="s">
        <v>5841</v>
      </c>
      <c r="D3159" s="27" t="s">
        <v>5104</v>
      </c>
      <c r="E3159" s="29">
        <v>38078</v>
      </c>
      <c r="F3159" s="27">
        <v>15</v>
      </c>
      <c r="G3159" s="18">
        <v>10570.43</v>
      </c>
      <c r="H3159" s="27">
        <f t="shared" si="98"/>
        <v>10570.43</v>
      </c>
      <c r="I3159" s="18">
        <v>10041.91</v>
      </c>
      <c r="J3159" s="27">
        <v>10570.43</v>
      </c>
      <c r="K3159" s="18">
        <f t="shared" si="99"/>
        <v>10570.43</v>
      </c>
      <c r="L3159" s="27">
        <v>10041.91</v>
      </c>
      <c r="M3159" s="36">
        <v>0</v>
      </c>
      <c r="T3159" s="41">
        <v>0</v>
      </c>
      <c r="U3159" s="41">
        <v>0</v>
      </c>
      <c r="V3159" s="42" t="s">
        <v>113</v>
      </c>
      <c r="W3159" s="42">
        <v>10570.43</v>
      </c>
      <c r="X3159" s="42">
        <v>10570.43</v>
      </c>
    </row>
    <row r="3160" spans="1:24">
      <c r="A3160" s="27" t="s">
        <v>5843</v>
      </c>
      <c r="B3160" s="28" t="s">
        <v>5102</v>
      </c>
      <c r="C3160" s="27" t="s">
        <v>5841</v>
      </c>
      <c r="D3160" s="27" t="s">
        <v>5104</v>
      </c>
      <c r="E3160" s="29">
        <v>38078</v>
      </c>
      <c r="F3160" s="27">
        <v>15</v>
      </c>
      <c r="G3160" s="18">
        <v>54788.59</v>
      </c>
      <c r="H3160" s="27">
        <f t="shared" si="98"/>
        <v>54788.59</v>
      </c>
      <c r="I3160" s="18">
        <v>52049.16</v>
      </c>
      <c r="J3160" s="27">
        <v>54788.59</v>
      </c>
      <c r="K3160" s="18">
        <f t="shared" si="99"/>
        <v>54788.59</v>
      </c>
      <c r="L3160" s="27">
        <v>52049.16</v>
      </c>
      <c r="M3160" s="36">
        <v>0</v>
      </c>
      <c r="T3160" s="41">
        <v>0</v>
      </c>
      <c r="U3160" s="41">
        <v>0</v>
      </c>
      <c r="V3160" s="42" t="s">
        <v>113</v>
      </c>
      <c r="W3160" s="42">
        <v>54788.59</v>
      </c>
      <c r="X3160" s="42">
        <v>54788.59</v>
      </c>
    </row>
    <row r="3161" spans="1:24">
      <c r="A3161" s="27" t="s">
        <v>5844</v>
      </c>
      <c r="B3161" s="28" t="s">
        <v>5102</v>
      </c>
      <c r="C3161" s="27" t="s">
        <v>5845</v>
      </c>
      <c r="D3161" s="27" t="s">
        <v>5104</v>
      </c>
      <c r="E3161" s="29">
        <v>37226</v>
      </c>
      <c r="F3161" s="27">
        <v>15</v>
      </c>
      <c r="G3161" s="18">
        <v>138607.14000000001</v>
      </c>
      <c r="H3161" s="27">
        <f t="shared" si="98"/>
        <v>138607.14000000001</v>
      </c>
      <c r="I3161" s="18">
        <v>131676.78</v>
      </c>
      <c r="J3161" s="27">
        <v>138607.14000000001</v>
      </c>
      <c r="K3161" s="18">
        <f t="shared" si="99"/>
        <v>138607.14000000001</v>
      </c>
      <c r="L3161" s="27">
        <v>131676.78</v>
      </c>
      <c r="M3161" s="36">
        <v>0</v>
      </c>
      <c r="T3161" s="41">
        <v>0</v>
      </c>
      <c r="U3161" s="41">
        <v>0</v>
      </c>
      <c r="V3161" s="42" t="s">
        <v>113</v>
      </c>
      <c r="W3161" s="42">
        <v>138607.14000000001</v>
      </c>
      <c r="X3161" s="42">
        <v>138607.14000000001</v>
      </c>
    </row>
    <row r="3162" spans="1:24">
      <c r="A3162" s="27" t="s">
        <v>5846</v>
      </c>
      <c r="B3162" s="28" t="s">
        <v>5102</v>
      </c>
      <c r="C3162" s="27" t="s">
        <v>5847</v>
      </c>
      <c r="D3162" s="27" t="s">
        <v>5104</v>
      </c>
      <c r="E3162" s="29">
        <v>39417</v>
      </c>
      <c r="F3162" s="27">
        <v>15</v>
      </c>
      <c r="G3162" s="18">
        <v>59023.07</v>
      </c>
      <c r="H3162" s="27">
        <f t="shared" si="98"/>
        <v>0</v>
      </c>
      <c r="I3162" s="18">
        <v>50340.74</v>
      </c>
      <c r="J3162" s="27">
        <v>59023.07</v>
      </c>
      <c r="K3162" s="18">
        <f t="shared" si="99"/>
        <v>0</v>
      </c>
      <c r="L3162" s="27">
        <v>51773.54</v>
      </c>
      <c r="M3162" s="36">
        <v>1432.8</v>
      </c>
      <c r="T3162" s="41">
        <v>0</v>
      </c>
      <c r="U3162" s="41">
        <v>0</v>
      </c>
      <c r="V3162" s="42" t="s">
        <v>113</v>
      </c>
      <c r="W3162" s="42">
        <v>0</v>
      </c>
      <c r="X3162" s="42">
        <v>0</v>
      </c>
    </row>
    <row r="3163" spans="1:24">
      <c r="A3163" s="27" t="s">
        <v>5848</v>
      </c>
      <c r="B3163" s="28" t="s">
        <v>5102</v>
      </c>
      <c r="C3163" s="27" t="s">
        <v>5849</v>
      </c>
      <c r="D3163" s="27" t="s">
        <v>5104</v>
      </c>
      <c r="E3163" s="29">
        <v>38078</v>
      </c>
      <c r="F3163" s="27">
        <v>15</v>
      </c>
      <c r="G3163" s="18">
        <v>127389.04</v>
      </c>
      <c r="H3163" s="27">
        <f t="shared" si="98"/>
        <v>127389.04</v>
      </c>
      <c r="I3163" s="18">
        <v>121019.59</v>
      </c>
      <c r="J3163" s="27">
        <v>127389.04</v>
      </c>
      <c r="K3163" s="18">
        <f t="shared" si="99"/>
        <v>127389.04</v>
      </c>
      <c r="L3163" s="27">
        <v>121019.59</v>
      </c>
      <c r="M3163" s="36">
        <v>0</v>
      </c>
      <c r="T3163" s="41">
        <v>0</v>
      </c>
      <c r="U3163" s="41">
        <v>0</v>
      </c>
      <c r="V3163" s="42" t="s">
        <v>113</v>
      </c>
      <c r="W3163" s="42">
        <v>127389.04</v>
      </c>
      <c r="X3163" s="42">
        <v>127389.04</v>
      </c>
    </row>
    <row r="3164" spans="1:24">
      <c r="A3164" s="27" t="s">
        <v>5850</v>
      </c>
      <c r="B3164" s="28" t="s">
        <v>5102</v>
      </c>
      <c r="C3164" s="27" t="s">
        <v>5849</v>
      </c>
      <c r="D3164" s="27" t="s">
        <v>5104</v>
      </c>
      <c r="E3164" s="29">
        <v>38078</v>
      </c>
      <c r="F3164" s="27">
        <v>15</v>
      </c>
      <c r="G3164" s="18">
        <v>9764.91</v>
      </c>
      <c r="H3164" s="27">
        <f t="shared" si="98"/>
        <v>9764.91</v>
      </c>
      <c r="I3164" s="18">
        <v>9276.66</v>
      </c>
      <c r="J3164" s="27">
        <v>9764.91</v>
      </c>
      <c r="K3164" s="18">
        <f t="shared" si="99"/>
        <v>9764.91</v>
      </c>
      <c r="L3164" s="27">
        <v>9276.66</v>
      </c>
      <c r="M3164" s="36">
        <v>0</v>
      </c>
      <c r="T3164" s="41">
        <v>0</v>
      </c>
      <c r="U3164" s="41">
        <v>0</v>
      </c>
      <c r="V3164" s="42" t="s">
        <v>113</v>
      </c>
      <c r="W3164" s="42">
        <v>9764.91</v>
      </c>
      <c r="X3164" s="42">
        <v>9764.91</v>
      </c>
    </row>
    <row r="3165" spans="1:24">
      <c r="A3165" s="27" t="s">
        <v>5851</v>
      </c>
      <c r="B3165" s="28" t="s">
        <v>5102</v>
      </c>
      <c r="C3165" s="27" t="s">
        <v>5849</v>
      </c>
      <c r="D3165" s="27" t="s">
        <v>5104</v>
      </c>
      <c r="E3165" s="29">
        <v>38078</v>
      </c>
      <c r="F3165" s="27">
        <v>15</v>
      </c>
      <c r="G3165" s="18">
        <v>14602.85</v>
      </c>
      <c r="H3165" s="27">
        <f t="shared" si="98"/>
        <v>14602.85</v>
      </c>
      <c r="I3165" s="18">
        <v>13872.71</v>
      </c>
      <c r="J3165" s="27">
        <v>14602.85</v>
      </c>
      <c r="K3165" s="18">
        <f t="shared" si="99"/>
        <v>14602.85</v>
      </c>
      <c r="L3165" s="27">
        <v>13872.71</v>
      </c>
      <c r="M3165" s="36">
        <v>0</v>
      </c>
      <c r="T3165" s="41">
        <v>0</v>
      </c>
      <c r="U3165" s="41">
        <v>0</v>
      </c>
      <c r="V3165" s="42" t="s">
        <v>113</v>
      </c>
      <c r="W3165" s="42">
        <v>14602.85</v>
      </c>
      <c r="X3165" s="42">
        <v>14602.85</v>
      </c>
    </row>
    <row r="3166" spans="1:24">
      <c r="A3166" s="27" t="s">
        <v>5852</v>
      </c>
      <c r="B3166" s="28" t="s">
        <v>5102</v>
      </c>
      <c r="C3166" s="27" t="s">
        <v>5849</v>
      </c>
      <c r="D3166" s="27" t="s">
        <v>5104</v>
      </c>
      <c r="E3166" s="29">
        <v>38078</v>
      </c>
      <c r="F3166" s="27">
        <v>15</v>
      </c>
      <c r="G3166" s="18">
        <v>22419.97</v>
      </c>
      <c r="H3166" s="27">
        <f t="shared" si="98"/>
        <v>22419.97</v>
      </c>
      <c r="I3166" s="18">
        <v>21298.97</v>
      </c>
      <c r="J3166" s="27">
        <v>22419.97</v>
      </c>
      <c r="K3166" s="18">
        <f t="shared" si="99"/>
        <v>22419.97</v>
      </c>
      <c r="L3166" s="27">
        <v>21298.97</v>
      </c>
      <c r="M3166" s="36">
        <v>0</v>
      </c>
      <c r="T3166" s="41">
        <v>0</v>
      </c>
      <c r="U3166" s="41">
        <v>0</v>
      </c>
      <c r="V3166" s="42" t="s">
        <v>113</v>
      </c>
      <c r="W3166" s="42">
        <v>22419.97</v>
      </c>
      <c r="X3166" s="42">
        <v>22419.97</v>
      </c>
    </row>
    <row r="3167" spans="1:24">
      <c r="A3167" s="27" t="s">
        <v>5853</v>
      </c>
      <c r="B3167" s="28" t="s">
        <v>5102</v>
      </c>
      <c r="C3167" s="27" t="s">
        <v>5849</v>
      </c>
      <c r="D3167" s="27" t="s">
        <v>5104</v>
      </c>
      <c r="E3167" s="29">
        <v>38078</v>
      </c>
      <c r="F3167" s="27">
        <v>15</v>
      </c>
      <c r="G3167" s="18">
        <v>137557.71</v>
      </c>
      <c r="H3167" s="27">
        <f t="shared" si="98"/>
        <v>137557.71</v>
      </c>
      <c r="I3167" s="18">
        <v>130679.82</v>
      </c>
      <c r="J3167" s="27">
        <v>137557.71</v>
      </c>
      <c r="K3167" s="18">
        <f t="shared" si="99"/>
        <v>137557.71</v>
      </c>
      <c r="L3167" s="27">
        <v>130679.82</v>
      </c>
      <c r="M3167" s="36">
        <v>0</v>
      </c>
      <c r="T3167" s="41">
        <v>0</v>
      </c>
      <c r="U3167" s="41">
        <v>0</v>
      </c>
      <c r="V3167" s="42" t="s">
        <v>113</v>
      </c>
      <c r="W3167" s="42">
        <v>137557.71</v>
      </c>
      <c r="X3167" s="42">
        <v>137557.71</v>
      </c>
    </row>
    <row r="3168" spans="1:24">
      <c r="A3168" s="27" t="s">
        <v>5854</v>
      </c>
      <c r="B3168" s="28" t="s">
        <v>5102</v>
      </c>
      <c r="C3168" s="27" t="s">
        <v>5855</v>
      </c>
      <c r="D3168" s="27" t="s">
        <v>5104</v>
      </c>
      <c r="E3168" s="29">
        <v>39417</v>
      </c>
      <c r="F3168" s="27">
        <v>15</v>
      </c>
      <c r="G3168" s="18">
        <v>28825.22</v>
      </c>
      <c r="H3168" s="27">
        <f t="shared" si="98"/>
        <v>0</v>
      </c>
      <c r="I3168" s="18">
        <v>24585.01</v>
      </c>
      <c r="J3168" s="27">
        <v>28825.22</v>
      </c>
      <c r="K3168" s="18">
        <f t="shared" si="99"/>
        <v>0</v>
      </c>
      <c r="L3168" s="27">
        <v>25284.75</v>
      </c>
      <c r="M3168" s="36">
        <v>699.74</v>
      </c>
      <c r="T3168" s="41">
        <v>0</v>
      </c>
      <c r="U3168" s="41">
        <v>0</v>
      </c>
      <c r="V3168" s="42" t="s">
        <v>113</v>
      </c>
      <c r="W3168" s="42">
        <v>0</v>
      </c>
      <c r="X3168" s="42">
        <v>0</v>
      </c>
    </row>
    <row r="3169" spans="1:24">
      <c r="A3169" s="27" t="s">
        <v>5856</v>
      </c>
      <c r="B3169" s="28" t="s">
        <v>5102</v>
      </c>
      <c r="C3169" s="27" t="s">
        <v>5857</v>
      </c>
      <c r="D3169" s="27" t="s">
        <v>5104</v>
      </c>
      <c r="E3169" s="29">
        <v>39417</v>
      </c>
      <c r="F3169" s="27">
        <v>15</v>
      </c>
      <c r="G3169" s="18">
        <v>137949.26999999999</v>
      </c>
      <c r="H3169" s="27">
        <f t="shared" si="98"/>
        <v>0</v>
      </c>
      <c r="I3169" s="18">
        <v>117656.83</v>
      </c>
      <c r="J3169" s="27">
        <v>137949.26999999999</v>
      </c>
      <c r="K3169" s="18">
        <f t="shared" si="99"/>
        <v>0</v>
      </c>
      <c r="L3169" s="27">
        <v>121005.58</v>
      </c>
      <c r="M3169" s="36">
        <v>3348.75</v>
      </c>
      <c r="T3169" s="41">
        <v>0</v>
      </c>
      <c r="U3169" s="41">
        <v>0</v>
      </c>
      <c r="V3169" s="42" t="s">
        <v>113</v>
      </c>
      <c r="W3169" s="42">
        <v>0</v>
      </c>
      <c r="X3169" s="42">
        <v>0</v>
      </c>
    </row>
    <row r="3170" spans="1:24">
      <c r="A3170" s="27" t="s">
        <v>5858</v>
      </c>
      <c r="B3170" s="28" t="s">
        <v>5102</v>
      </c>
      <c r="C3170" s="27" t="s">
        <v>5859</v>
      </c>
      <c r="D3170" s="27" t="s">
        <v>5104</v>
      </c>
      <c r="E3170" s="29">
        <v>39417</v>
      </c>
      <c r="F3170" s="27">
        <v>15</v>
      </c>
      <c r="G3170" s="18">
        <v>39119.94</v>
      </c>
      <c r="H3170" s="27">
        <f t="shared" si="98"/>
        <v>0</v>
      </c>
      <c r="I3170" s="18">
        <v>33365.360000000001</v>
      </c>
      <c r="J3170" s="27">
        <v>39119.94</v>
      </c>
      <c r="K3170" s="18">
        <f t="shared" si="99"/>
        <v>0</v>
      </c>
      <c r="L3170" s="27">
        <v>34315.01</v>
      </c>
      <c r="M3170" s="36">
        <v>949.65</v>
      </c>
      <c r="T3170" s="41">
        <v>0</v>
      </c>
      <c r="U3170" s="41">
        <v>0</v>
      </c>
      <c r="V3170" s="42" t="s">
        <v>113</v>
      </c>
      <c r="W3170" s="42">
        <v>0</v>
      </c>
      <c r="X3170" s="42">
        <v>0</v>
      </c>
    </row>
    <row r="3171" spans="1:24">
      <c r="A3171" s="27" t="s">
        <v>5860</v>
      </c>
      <c r="B3171" s="28" t="s">
        <v>5102</v>
      </c>
      <c r="C3171" s="27" t="s">
        <v>5861</v>
      </c>
      <c r="D3171" s="27" t="s">
        <v>5104</v>
      </c>
      <c r="E3171" s="29">
        <v>39417</v>
      </c>
      <c r="F3171" s="27">
        <v>15</v>
      </c>
      <c r="G3171" s="18">
        <v>268577.86</v>
      </c>
      <c r="H3171" s="27">
        <f t="shared" si="98"/>
        <v>0</v>
      </c>
      <c r="I3171" s="18">
        <v>229069.84</v>
      </c>
      <c r="J3171" s="27">
        <v>268577.86</v>
      </c>
      <c r="K3171" s="18">
        <f t="shared" si="99"/>
        <v>0</v>
      </c>
      <c r="L3171" s="27">
        <v>235589.62</v>
      </c>
      <c r="M3171" s="36">
        <v>6519.78</v>
      </c>
      <c r="T3171" s="41">
        <v>0</v>
      </c>
      <c r="U3171" s="41">
        <v>0</v>
      </c>
      <c r="V3171" s="42" t="s">
        <v>113</v>
      </c>
      <c r="W3171" s="42">
        <v>0</v>
      </c>
      <c r="X3171" s="42">
        <v>0</v>
      </c>
    </row>
    <row r="3172" spans="1:24">
      <c r="A3172" s="27" t="s">
        <v>5862</v>
      </c>
      <c r="B3172" s="28" t="s">
        <v>5102</v>
      </c>
      <c r="C3172" s="27" t="s">
        <v>5863</v>
      </c>
      <c r="D3172" s="27" t="s">
        <v>5104</v>
      </c>
      <c r="E3172" s="29">
        <v>39417</v>
      </c>
      <c r="F3172" s="27">
        <v>15</v>
      </c>
      <c r="G3172" s="18">
        <v>93110.04</v>
      </c>
      <c r="H3172" s="27">
        <f t="shared" si="98"/>
        <v>0</v>
      </c>
      <c r="I3172" s="18">
        <v>79413.48</v>
      </c>
      <c r="J3172" s="27">
        <v>93110.04</v>
      </c>
      <c r="K3172" s="18">
        <f t="shared" si="99"/>
        <v>0</v>
      </c>
      <c r="L3172" s="27">
        <v>81673.75</v>
      </c>
      <c r="M3172" s="36">
        <v>2260.27</v>
      </c>
      <c r="T3172" s="41">
        <v>0</v>
      </c>
      <c r="U3172" s="41">
        <v>0</v>
      </c>
      <c r="V3172" s="42" t="s">
        <v>113</v>
      </c>
      <c r="W3172" s="42">
        <v>0</v>
      </c>
      <c r="X3172" s="42">
        <v>0</v>
      </c>
    </row>
    <row r="3173" spans="1:24">
      <c r="A3173" s="27" t="s">
        <v>5864</v>
      </c>
      <c r="B3173" s="28" t="s">
        <v>5102</v>
      </c>
      <c r="C3173" s="27" t="s">
        <v>5865</v>
      </c>
      <c r="D3173" s="27" t="s">
        <v>5104</v>
      </c>
      <c r="E3173" s="29">
        <v>39417</v>
      </c>
      <c r="F3173" s="27">
        <v>15</v>
      </c>
      <c r="G3173" s="18">
        <v>275162.09000000003</v>
      </c>
      <c r="H3173" s="27">
        <f t="shared" si="98"/>
        <v>0</v>
      </c>
      <c r="I3173" s="18">
        <v>237266.01</v>
      </c>
      <c r="J3173" s="27">
        <v>275162.09000000003</v>
      </c>
      <c r="K3173" s="18">
        <f t="shared" si="99"/>
        <v>0</v>
      </c>
      <c r="L3173" s="27">
        <v>243300.51</v>
      </c>
      <c r="M3173" s="36">
        <v>6034.5</v>
      </c>
      <c r="T3173" s="41">
        <v>0</v>
      </c>
      <c r="U3173" s="41">
        <v>0</v>
      </c>
      <c r="V3173" s="42" t="s">
        <v>113</v>
      </c>
      <c r="W3173" s="42">
        <v>0</v>
      </c>
      <c r="X3173" s="42">
        <v>0</v>
      </c>
    </row>
    <row r="3174" spans="1:24">
      <c r="A3174" s="27" t="s">
        <v>5866</v>
      </c>
      <c r="B3174" s="28" t="s">
        <v>5102</v>
      </c>
      <c r="C3174" s="27" t="s">
        <v>5867</v>
      </c>
      <c r="D3174" s="27" t="s">
        <v>5104</v>
      </c>
      <c r="E3174" s="29">
        <v>38078</v>
      </c>
      <c r="F3174" s="27">
        <v>15</v>
      </c>
      <c r="G3174" s="18">
        <v>15421.09</v>
      </c>
      <c r="H3174" s="27">
        <f t="shared" si="98"/>
        <v>15421.09</v>
      </c>
      <c r="I3174" s="18">
        <v>14650.04</v>
      </c>
      <c r="J3174" s="27">
        <v>15421.09</v>
      </c>
      <c r="K3174" s="18">
        <f t="shared" si="99"/>
        <v>15421.09</v>
      </c>
      <c r="L3174" s="27">
        <v>14650.04</v>
      </c>
      <c r="M3174" s="36">
        <v>0</v>
      </c>
      <c r="T3174" s="41">
        <v>0</v>
      </c>
      <c r="U3174" s="41">
        <v>0</v>
      </c>
      <c r="V3174" s="42" t="s">
        <v>113</v>
      </c>
      <c r="W3174" s="42">
        <v>15421.09</v>
      </c>
      <c r="X3174" s="42">
        <v>15421.09</v>
      </c>
    </row>
    <row r="3175" spans="1:24">
      <c r="A3175" s="27" t="s">
        <v>5868</v>
      </c>
      <c r="B3175" s="28" t="s">
        <v>5102</v>
      </c>
      <c r="C3175" s="27" t="s">
        <v>5867</v>
      </c>
      <c r="D3175" s="27" t="s">
        <v>5104</v>
      </c>
      <c r="E3175" s="29">
        <v>38078</v>
      </c>
      <c r="F3175" s="27">
        <v>15</v>
      </c>
      <c r="G3175" s="18">
        <v>11766.81</v>
      </c>
      <c r="H3175" s="27">
        <f t="shared" si="98"/>
        <v>11766.81</v>
      </c>
      <c r="I3175" s="18">
        <v>11178.47</v>
      </c>
      <c r="J3175" s="27">
        <v>11766.81</v>
      </c>
      <c r="K3175" s="18">
        <f t="shared" si="99"/>
        <v>11766.81</v>
      </c>
      <c r="L3175" s="27">
        <v>11178.47</v>
      </c>
      <c r="M3175" s="36">
        <v>0</v>
      </c>
      <c r="T3175" s="41">
        <v>0</v>
      </c>
      <c r="U3175" s="41">
        <v>0</v>
      </c>
      <c r="V3175" s="42" t="s">
        <v>113</v>
      </c>
      <c r="W3175" s="42">
        <v>11766.81</v>
      </c>
      <c r="X3175" s="42">
        <v>11766.81</v>
      </c>
    </row>
    <row r="3176" spans="1:24">
      <c r="A3176" s="27" t="s">
        <v>5869</v>
      </c>
      <c r="B3176" s="28" t="s">
        <v>5102</v>
      </c>
      <c r="C3176" s="27" t="s">
        <v>5870</v>
      </c>
      <c r="D3176" s="27" t="s">
        <v>5104</v>
      </c>
      <c r="E3176" s="29">
        <v>38078</v>
      </c>
      <c r="F3176" s="27">
        <v>15</v>
      </c>
      <c r="G3176" s="18">
        <v>15859.61</v>
      </c>
      <c r="H3176" s="27">
        <f t="shared" si="98"/>
        <v>15859.61</v>
      </c>
      <c r="I3176" s="18">
        <v>15066.63</v>
      </c>
      <c r="J3176" s="27">
        <v>15859.61</v>
      </c>
      <c r="K3176" s="18">
        <f t="shared" si="99"/>
        <v>15859.61</v>
      </c>
      <c r="L3176" s="27">
        <v>15066.63</v>
      </c>
      <c r="M3176" s="36">
        <v>0</v>
      </c>
      <c r="T3176" s="41">
        <v>0</v>
      </c>
      <c r="U3176" s="41">
        <v>0</v>
      </c>
      <c r="V3176" s="42" t="s">
        <v>113</v>
      </c>
      <c r="W3176" s="42">
        <v>15859.61</v>
      </c>
      <c r="X3176" s="42">
        <v>15859.61</v>
      </c>
    </row>
    <row r="3177" spans="1:24">
      <c r="A3177" s="27" t="s">
        <v>5871</v>
      </c>
      <c r="B3177" s="28" t="s">
        <v>5102</v>
      </c>
      <c r="C3177" s="27" t="s">
        <v>5872</v>
      </c>
      <c r="D3177" s="27" t="s">
        <v>5104</v>
      </c>
      <c r="E3177" s="29">
        <v>38078</v>
      </c>
      <c r="F3177" s="27">
        <v>15</v>
      </c>
      <c r="G3177" s="18">
        <v>7674</v>
      </c>
      <c r="H3177" s="27">
        <f t="shared" si="98"/>
        <v>7674</v>
      </c>
      <c r="I3177" s="18">
        <v>7290.3</v>
      </c>
      <c r="J3177" s="27">
        <v>7674</v>
      </c>
      <c r="K3177" s="18">
        <f t="shared" si="99"/>
        <v>7674</v>
      </c>
      <c r="L3177" s="27">
        <v>7290.3</v>
      </c>
      <c r="M3177" s="36">
        <v>0</v>
      </c>
      <c r="T3177" s="41">
        <v>0</v>
      </c>
      <c r="U3177" s="41">
        <v>0</v>
      </c>
      <c r="V3177" s="42" t="s">
        <v>113</v>
      </c>
      <c r="W3177" s="42">
        <v>7674</v>
      </c>
      <c r="X3177" s="42">
        <v>7674</v>
      </c>
    </row>
    <row r="3178" spans="1:24">
      <c r="A3178" s="27" t="s">
        <v>5873</v>
      </c>
      <c r="B3178" s="28" t="s">
        <v>5102</v>
      </c>
      <c r="C3178" s="27" t="s">
        <v>5874</v>
      </c>
      <c r="D3178" s="27" t="s">
        <v>5104</v>
      </c>
      <c r="E3178" s="29">
        <v>38078</v>
      </c>
      <c r="F3178" s="27">
        <v>15</v>
      </c>
      <c r="G3178" s="18">
        <v>20488.36</v>
      </c>
      <c r="H3178" s="27">
        <f t="shared" si="98"/>
        <v>20488.36</v>
      </c>
      <c r="I3178" s="18">
        <v>19463.939999999999</v>
      </c>
      <c r="J3178" s="27">
        <v>20488.36</v>
      </c>
      <c r="K3178" s="18">
        <f t="shared" si="99"/>
        <v>20488.36</v>
      </c>
      <c r="L3178" s="27">
        <v>19463.939999999999</v>
      </c>
      <c r="M3178" s="36">
        <v>0</v>
      </c>
      <c r="T3178" s="41">
        <v>0</v>
      </c>
      <c r="U3178" s="41">
        <v>0</v>
      </c>
      <c r="V3178" s="42" t="s">
        <v>113</v>
      </c>
      <c r="W3178" s="42">
        <v>20488.36</v>
      </c>
      <c r="X3178" s="42">
        <v>20488.36</v>
      </c>
    </row>
    <row r="3179" spans="1:24">
      <c r="A3179" s="27" t="s">
        <v>5875</v>
      </c>
      <c r="B3179" s="28" t="s">
        <v>5102</v>
      </c>
      <c r="C3179" s="27" t="s">
        <v>5876</v>
      </c>
      <c r="D3179" s="27" t="s">
        <v>5104</v>
      </c>
      <c r="E3179" s="29">
        <v>37226</v>
      </c>
      <c r="F3179" s="27">
        <v>15</v>
      </c>
      <c r="G3179" s="18">
        <v>6282.88</v>
      </c>
      <c r="H3179" s="27">
        <f t="shared" si="98"/>
        <v>6282.88</v>
      </c>
      <c r="I3179" s="18">
        <v>5968.74</v>
      </c>
      <c r="J3179" s="27">
        <v>6282.88</v>
      </c>
      <c r="K3179" s="18">
        <f t="shared" si="99"/>
        <v>6282.88</v>
      </c>
      <c r="L3179" s="27">
        <v>5968.74</v>
      </c>
      <c r="M3179" s="36">
        <v>0</v>
      </c>
      <c r="T3179" s="41">
        <v>0</v>
      </c>
      <c r="U3179" s="41">
        <v>0</v>
      </c>
      <c r="V3179" s="42" t="s">
        <v>113</v>
      </c>
      <c r="W3179" s="42">
        <v>6282.88</v>
      </c>
      <c r="X3179" s="42">
        <v>6282.88</v>
      </c>
    </row>
    <row r="3180" spans="1:24">
      <c r="A3180" s="27" t="s">
        <v>5877</v>
      </c>
      <c r="B3180" s="28" t="s">
        <v>5102</v>
      </c>
      <c r="C3180" s="27" t="s">
        <v>5876</v>
      </c>
      <c r="D3180" s="27" t="s">
        <v>5104</v>
      </c>
      <c r="E3180" s="29">
        <v>37226</v>
      </c>
      <c r="F3180" s="27">
        <v>15</v>
      </c>
      <c r="G3180" s="18">
        <v>71750.44</v>
      </c>
      <c r="H3180" s="27">
        <f t="shared" si="98"/>
        <v>71750.44</v>
      </c>
      <c r="I3180" s="18">
        <v>68162.92</v>
      </c>
      <c r="J3180" s="27">
        <v>71750.44</v>
      </c>
      <c r="K3180" s="18">
        <f t="shared" si="99"/>
        <v>71750.44</v>
      </c>
      <c r="L3180" s="27">
        <v>68162.92</v>
      </c>
      <c r="M3180" s="36">
        <v>0</v>
      </c>
      <c r="T3180" s="41">
        <v>0</v>
      </c>
      <c r="U3180" s="41">
        <v>0</v>
      </c>
      <c r="V3180" s="42" t="s">
        <v>113</v>
      </c>
      <c r="W3180" s="42">
        <v>71750.44</v>
      </c>
      <c r="X3180" s="42">
        <v>71750.44</v>
      </c>
    </row>
    <row r="3181" spans="1:24">
      <c r="A3181" s="27" t="s">
        <v>5878</v>
      </c>
      <c r="B3181" s="28" t="s">
        <v>5102</v>
      </c>
      <c r="C3181" s="27" t="s">
        <v>5879</v>
      </c>
      <c r="D3181" s="27" t="s">
        <v>5104</v>
      </c>
      <c r="E3181" s="29">
        <v>37226</v>
      </c>
      <c r="F3181" s="27">
        <v>15</v>
      </c>
      <c r="G3181" s="18">
        <v>509301.84</v>
      </c>
      <c r="H3181" s="27">
        <f t="shared" si="98"/>
        <v>509301.84</v>
      </c>
      <c r="I3181" s="18">
        <v>483836.75</v>
      </c>
      <c r="J3181" s="27">
        <v>509301.84</v>
      </c>
      <c r="K3181" s="18">
        <f t="shared" si="99"/>
        <v>509301.84</v>
      </c>
      <c r="L3181" s="27">
        <v>483836.75</v>
      </c>
      <c r="M3181" s="36">
        <v>0</v>
      </c>
      <c r="T3181" s="41">
        <v>0</v>
      </c>
      <c r="U3181" s="41">
        <v>0</v>
      </c>
      <c r="V3181" s="42" t="s">
        <v>113</v>
      </c>
      <c r="W3181" s="42">
        <v>509301.84</v>
      </c>
      <c r="X3181" s="42">
        <v>509301.84</v>
      </c>
    </row>
    <row r="3182" spans="1:24">
      <c r="A3182" s="27" t="s">
        <v>5880</v>
      </c>
      <c r="B3182" s="28" t="s">
        <v>5102</v>
      </c>
      <c r="C3182" s="27" t="s">
        <v>5881</v>
      </c>
      <c r="D3182" s="27" t="s">
        <v>5104</v>
      </c>
      <c r="E3182" s="29">
        <v>37773</v>
      </c>
      <c r="F3182" s="27">
        <v>15</v>
      </c>
      <c r="G3182" s="18">
        <v>65420</v>
      </c>
      <c r="H3182" s="27">
        <f t="shared" si="98"/>
        <v>65420</v>
      </c>
      <c r="I3182" s="18">
        <v>62149</v>
      </c>
      <c r="J3182" s="27">
        <v>65420</v>
      </c>
      <c r="K3182" s="18">
        <f t="shared" si="99"/>
        <v>65420</v>
      </c>
      <c r="L3182" s="27">
        <v>62149</v>
      </c>
      <c r="M3182" s="36">
        <v>0</v>
      </c>
      <c r="T3182" s="41">
        <v>0</v>
      </c>
      <c r="U3182" s="41">
        <v>0</v>
      </c>
      <c r="V3182" s="42" t="s">
        <v>113</v>
      </c>
      <c r="W3182" s="42">
        <v>65420</v>
      </c>
      <c r="X3182" s="42">
        <v>65420</v>
      </c>
    </row>
    <row r="3183" spans="1:24">
      <c r="A3183" s="27" t="s">
        <v>5882</v>
      </c>
      <c r="B3183" s="28" t="s">
        <v>5102</v>
      </c>
      <c r="C3183" s="27" t="s">
        <v>5883</v>
      </c>
      <c r="D3183" s="27" t="s">
        <v>5104</v>
      </c>
      <c r="E3183" s="29">
        <v>39417</v>
      </c>
      <c r="F3183" s="27">
        <v>15</v>
      </c>
      <c r="G3183" s="18">
        <v>192915.31</v>
      </c>
      <c r="H3183" s="27">
        <f t="shared" si="98"/>
        <v>0</v>
      </c>
      <c r="I3183" s="18">
        <v>164158.09</v>
      </c>
      <c r="J3183" s="27">
        <v>192915.31</v>
      </c>
      <c r="K3183" s="18">
        <f t="shared" si="99"/>
        <v>0</v>
      </c>
      <c r="L3183" s="27">
        <v>168935.95</v>
      </c>
      <c r="M3183" s="36">
        <v>4777.8599999999997</v>
      </c>
      <c r="T3183" s="41">
        <v>0</v>
      </c>
      <c r="U3183" s="41">
        <v>0</v>
      </c>
      <c r="V3183" s="42" t="s">
        <v>113</v>
      </c>
      <c r="W3183" s="42">
        <v>0</v>
      </c>
      <c r="X3183" s="42">
        <v>0</v>
      </c>
    </row>
    <row r="3184" spans="1:24">
      <c r="A3184" s="27" t="s">
        <v>5884</v>
      </c>
      <c r="B3184" s="28" t="s">
        <v>5102</v>
      </c>
      <c r="C3184" s="27" t="s">
        <v>5885</v>
      </c>
      <c r="D3184" s="27" t="s">
        <v>5104</v>
      </c>
      <c r="E3184" s="29">
        <v>38078</v>
      </c>
      <c r="F3184" s="27">
        <v>15</v>
      </c>
      <c r="G3184" s="18">
        <v>15089.21</v>
      </c>
      <c r="H3184" s="27">
        <f t="shared" si="98"/>
        <v>15089.21</v>
      </c>
      <c r="I3184" s="18">
        <v>14334.75</v>
      </c>
      <c r="J3184" s="27">
        <v>15089.21</v>
      </c>
      <c r="K3184" s="18">
        <f t="shared" si="99"/>
        <v>15089.21</v>
      </c>
      <c r="L3184" s="27">
        <v>14334.75</v>
      </c>
      <c r="M3184" s="36">
        <v>0</v>
      </c>
      <c r="T3184" s="41">
        <v>0</v>
      </c>
      <c r="U3184" s="41">
        <v>0</v>
      </c>
      <c r="V3184" s="42" t="s">
        <v>113</v>
      </c>
      <c r="W3184" s="42">
        <v>15089.21</v>
      </c>
      <c r="X3184" s="42">
        <v>15089.21</v>
      </c>
    </row>
    <row r="3185" spans="1:24">
      <c r="A3185" s="27" t="s">
        <v>5886</v>
      </c>
      <c r="B3185" s="28" t="s">
        <v>5102</v>
      </c>
      <c r="C3185" s="27" t="s">
        <v>5887</v>
      </c>
      <c r="D3185" s="27" t="s">
        <v>5104</v>
      </c>
      <c r="E3185" s="29">
        <v>38078</v>
      </c>
      <c r="F3185" s="27">
        <v>15</v>
      </c>
      <c r="G3185" s="18">
        <v>48238.57</v>
      </c>
      <c r="H3185" s="27">
        <f t="shared" si="98"/>
        <v>48238.57</v>
      </c>
      <c r="I3185" s="18">
        <v>45826.64</v>
      </c>
      <c r="J3185" s="27">
        <v>48238.57</v>
      </c>
      <c r="K3185" s="18">
        <f t="shared" si="99"/>
        <v>48238.57</v>
      </c>
      <c r="L3185" s="27">
        <v>45826.64</v>
      </c>
      <c r="M3185" s="36">
        <v>0</v>
      </c>
      <c r="T3185" s="41">
        <v>0</v>
      </c>
      <c r="U3185" s="41">
        <v>0</v>
      </c>
      <c r="V3185" s="42" t="s">
        <v>113</v>
      </c>
      <c r="W3185" s="42">
        <v>48238.57</v>
      </c>
      <c r="X3185" s="42">
        <v>48238.57</v>
      </c>
    </row>
    <row r="3186" spans="1:24">
      <c r="A3186" s="27" t="s">
        <v>5888</v>
      </c>
      <c r="B3186" s="28" t="s">
        <v>5102</v>
      </c>
      <c r="C3186" s="27" t="s">
        <v>5889</v>
      </c>
      <c r="D3186" s="27" t="s">
        <v>5104</v>
      </c>
      <c r="E3186" s="29">
        <v>38078</v>
      </c>
      <c r="F3186" s="27">
        <v>15</v>
      </c>
      <c r="G3186" s="18">
        <v>36679.26</v>
      </c>
      <c r="H3186" s="27">
        <f t="shared" si="98"/>
        <v>36679.26</v>
      </c>
      <c r="I3186" s="18">
        <v>34845.300000000003</v>
      </c>
      <c r="J3186" s="27">
        <v>36679.26</v>
      </c>
      <c r="K3186" s="18">
        <f t="shared" si="99"/>
        <v>36679.26</v>
      </c>
      <c r="L3186" s="27">
        <v>34845.300000000003</v>
      </c>
      <c r="M3186" s="36">
        <v>0</v>
      </c>
      <c r="T3186" s="41">
        <v>0</v>
      </c>
      <c r="U3186" s="41">
        <v>0</v>
      </c>
      <c r="V3186" s="42" t="s">
        <v>113</v>
      </c>
      <c r="W3186" s="42">
        <v>36679.26</v>
      </c>
      <c r="X3186" s="42">
        <v>36679.26</v>
      </c>
    </row>
    <row r="3187" spans="1:24">
      <c r="A3187" s="27" t="s">
        <v>5890</v>
      </c>
      <c r="B3187" s="28" t="s">
        <v>5102</v>
      </c>
      <c r="C3187" s="27" t="s">
        <v>5891</v>
      </c>
      <c r="D3187" s="27" t="s">
        <v>5104</v>
      </c>
      <c r="E3187" s="29">
        <v>38078</v>
      </c>
      <c r="F3187" s="27">
        <v>15</v>
      </c>
      <c r="G3187" s="18">
        <v>31768.13</v>
      </c>
      <c r="H3187" s="27">
        <f t="shared" si="98"/>
        <v>31768.13</v>
      </c>
      <c r="I3187" s="18">
        <v>30179.72</v>
      </c>
      <c r="J3187" s="27">
        <v>31768.13</v>
      </c>
      <c r="K3187" s="18">
        <f t="shared" si="99"/>
        <v>31768.13</v>
      </c>
      <c r="L3187" s="27">
        <v>30179.72</v>
      </c>
      <c r="M3187" s="36">
        <v>0</v>
      </c>
      <c r="T3187" s="41">
        <v>0</v>
      </c>
      <c r="U3187" s="41">
        <v>0</v>
      </c>
      <c r="V3187" s="42" t="s">
        <v>113</v>
      </c>
      <c r="W3187" s="42">
        <v>31768.13</v>
      </c>
      <c r="X3187" s="42">
        <v>31768.13</v>
      </c>
    </row>
    <row r="3188" spans="1:24">
      <c r="A3188" s="27" t="s">
        <v>5892</v>
      </c>
      <c r="B3188" s="28" t="s">
        <v>5102</v>
      </c>
      <c r="C3188" s="27" t="s">
        <v>5893</v>
      </c>
      <c r="D3188" s="27" t="s">
        <v>5104</v>
      </c>
      <c r="E3188" s="29">
        <v>38078</v>
      </c>
      <c r="F3188" s="27">
        <v>15</v>
      </c>
      <c r="G3188" s="18">
        <v>5577.02</v>
      </c>
      <c r="H3188" s="27">
        <f t="shared" si="98"/>
        <v>5577.02</v>
      </c>
      <c r="I3188" s="18">
        <v>5298.17</v>
      </c>
      <c r="J3188" s="27">
        <v>5577.02</v>
      </c>
      <c r="K3188" s="18">
        <f t="shared" si="99"/>
        <v>5577.02</v>
      </c>
      <c r="L3188" s="27">
        <v>5298.17</v>
      </c>
      <c r="M3188" s="36">
        <v>0</v>
      </c>
      <c r="T3188" s="41">
        <v>0</v>
      </c>
      <c r="U3188" s="41">
        <v>0</v>
      </c>
      <c r="V3188" s="42" t="s">
        <v>113</v>
      </c>
      <c r="W3188" s="42">
        <v>5577.02</v>
      </c>
      <c r="X3188" s="42">
        <v>5577.02</v>
      </c>
    </row>
    <row r="3189" spans="1:24">
      <c r="A3189" s="27" t="s">
        <v>5894</v>
      </c>
      <c r="B3189" s="28" t="s">
        <v>5102</v>
      </c>
      <c r="C3189" s="27" t="s">
        <v>5895</v>
      </c>
      <c r="D3189" s="27" t="s">
        <v>5104</v>
      </c>
      <c r="E3189" s="29">
        <v>38078</v>
      </c>
      <c r="F3189" s="27">
        <v>15</v>
      </c>
      <c r="G3189" s="18">
        <v>74143.02</v>
      </c>
      <c r="H3189" s="27">
        <f t="shared" si="98"/>
        <v>74143.02</v>
      </c>
      <c r="I3189" s="18">
        <v>70435.87</v>
      </c>
      <c r="J3189" s="27">
        <v>74143.02</v>
      </c>
      <c r="K3189" s="18">
        <f t="shared" si="99"/>
        <v>74143.02</v>
      </c>
      <c r="L3189" s="27">
        <v>70435.87</v>
      </c>
      <c r="M3189" s="36">
        <v>0</v>
      </c>
      <c r="T3189" s="41">
        <v>0</v>
      </c>
      <c r="U3189" s="41">
        <v>0</v>
      </c>
      <c r="V3189" s="42" t="s">
        <v>113</v>
      </c>
      <c r="W3189" s="42">
        <v>74143.02</v>
      </c>
      <c r="X3189" s="42">
        <v>74143.02</v>
      </c>
    </row>
    <row r="3190" spans="1:24">
      <c r="A3190" s="27" t="s">
        <v>5896</v>
      </c>
      <c r="B3190" s="28" t="s">
        <v>5102</v>
      </c>
      <c r="C3190" s="27" t="s">
        <v>5897</v>
      </c>
      <c r="D3190" s="27" t="s">
        <v>5104</v>
      </c>
      <c r="E3190" s="29">
        <v>38078</v>
      </c>
      <c r="F3190" s="27">
        <v>15</v>
      </c>
      <c r="G3190" s="18">
        <v>24210.5</v>
      </c>
      <c r="H3190" s="27">
        <f t="shared" si="98"/>
        <v>24210.5</v>
      </c>
      <c r="I3190" s="18">
        <v>22999.97</v>
      </c>
      <c r="J3190" s="27">
        <v>24210.5</v>
      </c>
      <c r="K3190" s="18">
        <f t="shared" si="99"/>
        <v>24210.5</v>
      </c>
      <c r="L3190" s="27">
        <v>22999.97</v>
      </c>
      <c r="M3190" s="36">
        <v>0</v>
      </c>
      <c r="T3190" s="41">
        <v>0</v>
      </c>
      <c r="U3190" s="41">
        <v>0</v>
      </c>
      <c r="V3190" s="42" t="s">
        <v>113</v>
      </c>
      <c r="W3190" s="42">
        <v>24210.5</v>
      </c>
      <c r="X3190" s="42">
        <v>24210.5</v>
      </c>
    </row>
    <row r="3191" spans="1:24">
      <c r="A3191" s="27" t="s">
        <v>5898</v>
      </c>
      <c r="B3191" s="28" t="s">
        <v>5102</v>
      </c>
      <c r="C3191" s="27" t="s">
        <v>5899</v>
      </c>
      <c r="D3191" s="27" t="s">
        <v>5104</v>
      </c>
      <c r="E3191" s="29">
        <v>38078</v>
      </c>
      <c r="F3191" s="27">
        <v>15</v>
      </c>
      <c r="G3191" s="18">
        <v>93428.02</v>
      </c>
      <c r="H3191" s="27">
        <f t="shared" si="98"/>
        <v>93428.02</v>
      </c>
      <c r="I3191" s="18">
        <v>88756.62</v>
      </c>
      <c r="J3191" s="27">
        <v>93428.02</v>
      </c>
      <c r="K3191" s="18">
        <f t="shared" si="99"/>
        <v>93428.02</v>
      </c>
      <c r="L3191" s="27">
        <v>88756.62</v>
      </c>
      <c r="M3191" s="36">
        <v>0</v>
      </c>
      <c r="T3191" s="41">
        <v>0</v>
      </c>
      <c r="U3191" s="41">
        <v>0</v>
      </c>
      <c r="V3191" s="42" t="s">
        <v>113</v>
      </c>
      <c r="W3191" s="42">
        <v>93428.02</v>
      </c>
      <c r="X3191" s="42">
        <v>93428.02</v>
      </c>
    </row>
    <row r="3192" spans="1:24">
      <c r="A3192" s="27" t="s">
        <v>5900</v>
      </c>
      <c r="B3192" s="28" t="s">
        <v>5102</v>
      </c>
      <c r="C3192" s="27" t="s">
        <v>5901</v>
      </c>
      <c r="D3192" s="27" t="s">
        <v>5104</v>
      </c>
      <c r="E3192" s="29">
        <v>38078</v>
      </c>
      <c r="F3192" s="27">
        <v>15</v>
      </c>
      <c r="G3192" s="18">
        <v>32862.69</v>
      </c>
      <c r="H3192" s="27">
        <f t="shared" si="98"/>
        <v>32862.69</v>
      </c>
      <c r="I3192" s="18">
        <v>31219.56</v>
      </c>
      <c r="J3192" s="27">
        <v>32862.69</v>
      </c>
      <c r="K3192" s="18">
        <f t="shared" si="99"/>
        <v>32862.69</v>
      </c>
      <c r="L3192" s="27">
        <v>31219.56</v>
      </c>
      <c r="M3192" s="36">
        <v>0</v>
      </c>
      <c r="T3192" s="41">
        <v>0</v>
      </c>
      <c r="U3192" s="41">
        <v>0</v>
      </c>
      <c r="V3192" s="42" t="s">
        <v>113</v>
      </c>
      <c r="W3192" s="42">
        <v>32862.69</v>
      </c>
      <c r="X3192" s="42">
        <v>32862.69</v>
      </c>
    </row>
    <row r="3193" spans="1:24">
      <c r="A3193" s="27" t="s">
        <v>5902</v>
      </c>
      <c r="B3193" s="28" t="s">
        <v>5102</v>
      </c>
      <c r="C3193" s="27" t="s">
        <v>5903</v>
      </c>
      <c r="D3193" s="27" t="s">
        <v>5104</v>
      </c>
      <c r="E3193" s="29">
        <v>38078</v>
      </c>
      <c r="F3193" s="27">
        <v>15</v>
      </c>
      <c r="G3193" s="18">
        <v>21838.959999999999</v>
      </c>
      <c r="H3193" s="27">
        <f t="shared" si="98"/>
        <v>21838.959999999999</v>
      </c>
      <c r="I3193" s="18">
        <v>20747.009999999998</v>
      </c>
      <c r="J3193" s="27">
        <v>21838.959999999999</v>
      </c>
      <c r="K3193" s="18">
        <f t="shared" si="99"/>
        <v>21838.959999999999</v>
      </c>
      <c r="L3193" s="27">
        <v>20747.009999999998</v>
      </c>
      <c r="M3193" s="36">
        <v>0</v>
      </c>
      <c r="T3193" s="41">
        <v>0</v>
      </c>
      <c r="U3193" s="41">
        <v>0</v>
      </c>
      <c r="V3193" s="42" t="s">
        <v>113</v>
      </c>
      <c r="W3193" s="42">
        <v>21838.959999999999</v>
      </c>
      <c r="X3193" s="42">
        <v>21838.959999999999</v>
      </c>
    </row>
    <row r="3194" spans="1:24">
      <c r="A3194" s="27" t="s">
        <v>5904</v>
      </c>
      <c r="B3194" s="28" t="s">
        <v>5102</v>
      </c>
      <c r="C3194" s="27" t="s">
        <v>5905</v>
      </c>
      <c r="D3194" s="27" t="s">
        <v>5104</v>
      </c>
      <c r="E3194" s="29">
        <v>38078</v>
      </c>
      <c r="F3194" s="27">
        <v>15</v>
      </c>
      <c r="G3194" s="18">
        <v>50584.06</v>
      </c>
      <c r="H3194" s="27">
        <f t="shared" si="98"/>
        <v>50584.06</v>
      </c>
      <c r="I3194" s="18">
        <v>48054.86</v>
      </c>
      <c r="J3194" s="27">
        <v>50584.06</v>
      </c>
      <c r="K3194" s="18">
        <f t="shared" si="99"/>
        <v>50584.06</v>
      </c>
      <c r="L3194" s="27">
        <v>48054.86</v>
      </c>
      <c r="M3194" s="36">
        <v>0</v>
      </c>
      <c r="T3194" s="41">
        <v>0</v>
      </c>
      <c r="U3194" s="41">
        <v>0</v>
      </c>
      <c r="V3194" s="42" t="s">
        <v>113</v>
      </c>
      <c r="W3194" s="42">
        <v>50584.06</v>
      </c>
      <c r="X3194" s="42">
        <v>50584.06</v>
      </c>
    </row>
    <row r="3195" spans="1:24">
      <c r="A3195" s="27" t="s">
        <v>5906</v>
      </c>
      <c r="B3195" s="28" t="s">
        <v>5102</v>
      </c>
      <c r="C3195" s="27" t="s">
        <v>5907</v>
      </c>
      <c r="D3195" s="27" t="s">
        <v>5104</v>
      </c>
      <c r="E3195" s="29">
        <v>38078</v>
      </c>
      <c r="F3195" s="27">
        <v>15</v>
      </c>
      <c r="G3195" s="18">
        <v>5107.8999999999996</v>
      </c>
      <c r="H3195" s="27">
        <f t="shared" si="98"/>
        <v>5107.8999999999996</v>
      </c>
      <c r="I3195" s="18">
        <v>4852.5</v>
      </c>
      <c r="J3195" s="27">
        <v>5107.8999999999996</v>
      </c>
      <c r="K3195" s="18">
        <f t="shared" si="99"/>
        <v>5107.8999999999996</v>
      </c>
      <c r="L3195" s="27">
        <v>4852.5</v>
      </c>
      <c r="M3195" s="36">
        <v>0</v>
      </c>
      <c r="T3195" s="41">
        <v>0</v>
      </c>
      <c r="U3195" s="41">
        <v>0</v>
      </c>
      <c r="V3195" s="42" t="s">
        <v>113</v>
      </c>
      <c r="W3195" s="42">
        <v>5107.8999999999996</v>
      </c>
      <c r="X3195" s="42">
        <v>5107.8999999999996</v>
      </c>
    </row>
    <row r="3196" spans="1:24">
      <c r="A3196" s="27" t="s">
        <v>5908</v>
      </c>
      <c r="B3196" s="28" t="s">
        <v>5102</v>
      </c>
      <c r="C3196" s="27" t="s">
        <v>5909</v>
      </c>
      <c r="D3196" s="27" t="s">
        <v>5104</v>
      </c>
      <c r="E3196" s="29">
        <v>38078</v>
      </c>
      <c r="F3196" s="27">
        <v>15</v>
      </c>
      <c r="G3196" s="18">
        <v>60408.97</v>
      </c>
      <c r="H3196" s="27">
        <f t="shared" si="98"/>
        <v>60408.97</v>
      </c>
      <c r="I3196" s="18">
        <v>57388.52</v>
      </c>
      <c r="J3196" s="27">
        <v>60408.97</v>
      </c>
      <c r="K3196" s="18">
        <f t="shared" si="99"/>
        <v>60408.97</v>
      </c>
      <c r="L3196" s="27">
        <v>57388.52</v>
      </c>
      <c r="M3196" s="36">
        <v>0</v>
      </c>
      <c r="T3196" s="41">
        <v>0</v>
      </c>
      <c r="U3196" s="41">
        <v>0</v>
      </c>
      <c r="V3196" s="42" t="s">
        <v>113</v>
      </c>
      <c r="W3196" s="42">
        <v>60408.97</v>
      </c>
      <c r="X3196" s="42">
        <v>60408.97</v>
      </c>
    </row>
    <row r="3197" spans="1:24">
      <c r="A3197" s="27" t="s">
        <v>5910</v>
      </c>
      <c r="B3197" s="28" t="s">
        <v>5102</v>
      </c>
      <c r="C3197" s="27" t="s">
        <v>5911</v>
      </c>
      <c r="D3197" s="27" t="s">
        <v>5104</v>
      </c>
      <c r="E3197" s="29">
        <v>38078</v>
      </c>
      <c r="F3197" s="27">
        <v>15</v>
      </c>
      <c r="G3197" s="18">
        <v>7583.69</v>
      </c>
      <c r="H3197" s="27">
        <f t="shared" si="98"/>
        <v>7583.69</v>
      </c>
      <c r="I3197" s="18">
        <v>7204.51</v>
      </c>
      <c r="J3197" s="27">
        <v>7583.69</v>
      </c>
      <c r="K3197" s="18">
        <f t="shared" si="99"/>
        <v>7583.69</v>
      </c>
      <c r="L3197" s="27">
        <v>7204.51</v>
      </c>
      <c r="M3197" s="36">
        <v>0</v>
      </c>
      <c r="T3197" s="41">
        <v>0</v>
      </c>
      <c r="U3197" s="41">
        <v>0</v>
      </c>
      <c r="V3197" s="42" t="s">
        <v>113</v>
      </c>
      <c r="W3197" s="42">
        <v>7583.69</v>
      </c>
      <c r="X3197" s="42">
        <v>7583.69</v>
      </c>
    </row>
    <row r="3198" spans="1:24">
      <c r="A3198" s="27" t="s">
        <v>5912</v>
      </c>
      <c r="B3198" s="28" t="s">
        <v>5102</v>
      </c>
      <c r="C3198" s="27" t="s">
        <v>5913</v>
      </c>
      <c r="D3198" s="27" t="s">
        <v>5104</v>
      </c>
      <c r="E3198" s="29">
        <v>38078</v>
      </c>
      <c r="F3198" s="27">
        <v>15</v>
      </c>
      <c r="G3198" s="18">
        <v>32474.42</v>
      </c>
      <c r="H3198" s="27">
        <f t="shared" si="98"/>
        <v>32474.42</v>
      </c>
      <c r="I3198" s="18">
        <v>30850.7</v>
      </c>
      <c r="J3198" s="27">
        <v>32474.42</v>
      </c>
      <c r="K3198" s="18">
        <f t="shared" si="99"/>
        <v>32474.42</v>
      </c>
      <c r="L3198" s="27">
        <v>30850.7</v>
      </c>
      <c r="M3198" s="36">
        <v>0</v>
      </c>
      <c r="T3198" s="41">
        <v>0</v>
      </c>
      <c r="U3198" s="41">
        <v>0</v>
      </c>
      <c r="V3198" s="42" t="s">
        <v>113</v>
      </c>
      <c r="W3198" s="42">
        <v>32474.42</v>
      </c>
      <c r="X3198" s="42">
        <v>32474.42</v>
      </c>
    </row>
    <row r="3199" spans="1:24">
      <c r="A3199" s="27" t="s">
        <v>5914</v>
      </c>
      <c r="B3199" s="28" t="s">
        <v>5102</v>
      </c>
      <c r="C3199" s="27" t="s">
        <v>5915</v>
      </c>
      <c r="D3199" s="27" t="s">
        <v>5104</v>
      </c>
      <c r="E3199" s="29">
        <v>38078</v>
      </c>
      <c r="F3199" s="27">
        <v>15</v>
      </c>
      <c r="G3199" s="18">
        <v>19245.900000000001</v>
      </c>
      <c r="H3199" s="27">
        <f t="shared" si="98"/>
        <v>19245.900000000001</v>
      </c>
      <c r="I3199" s="18">
        <v>18283.599999999999</v>
      </c>
      <c r="J3199" s="27">
        <v>19245.900000000001</v>
      </c>
      <c r="K3199" s="18">
        <f t="shared" si="99"/>
        <v>19245.900000000001</v>
      </c>
      <c r="L3199" s="27">
        <v>18283.599999999999</v>
      </c>
      <c r="M3199" s="36">
        <v>0</v>
      </c>
      <c r="T3199" s="41">
        <v>0</v>
      </c>
      <c r="U3199" s="41">
        <v>0</v>
      </c>
      <c r="V3199" s="42" t="s">
        <v>113</v>
      </c>
      <c r="W3199" s="42">
        <v>19245.900000000001</v>
      </c>
      <c r="X3199" s="42">
        <v>19245.900000000001</v>
      </c>
    </row>
    <row r="3200" spans="1:24">
      <c r="A3200" s="27" t="s">
        <v>5916</v>
      </c>
      <c r="B3200" s="28" t="s">
        <v>5102</v>
      </c>
      <c r="C3200" s="27" t="s">
        <v>5917</v>
      </c>
      <c r="D3200" s="27" t="s">
        <v>5104</v>
      </c>
      <c r="E3200" s="29">
        <v>38078</v>
      </c>
      <c r="F3200" s="27">
        <v>15</v>
      </c>
      <c r="G3200" s="18">
        <v>22414.639999999999</v>
      </c>
      <c r="H3200" s="27">
        <f t="shared" si="98"/>
        <v>22414.639999999999</v>
      </c>
      <c r="I3200" s="18">
        <v>21293.91</v>
      </c>
      <c r="J3200" s="27">
        <v>22414.639999999999</v>
      </c>
      <c r="K3200" s="18">
        <f t="shared" si="99"/>
        <v>22414.639999999999</v>
      </c>
      <c r="L3200" s="27">
        <v>21293.91</v>
      </c>
      <c r="M3200" s="36">
        <v>0</v>
      </c>
      <c r="T3200" s="41">
        <v>0</v>
      </c>
      <c r="U3200" s="41">
        <v>0</v>
      </c>
      <c r="V3200" s="42" t="s">
        <v>113</v>
      </c>
      <c r="W3200" s="42">
        <v>22414.639999999999</v>
      </c>
      <c r="X3200" s="42">
        <v>22414.639999999999</v>
      </c>
    </row>
    <row r="3201" spans="1:24">
      <c r="A3201" s="27" t="s">
        <v>5918</v>
      </c>
      <c r="B3201" s="28" t="s">
        <v>5102</v>
      </c>
      <c r="C3201" s="27" t="s">
        <v>5919</v>
      </c>
      <c r="D3201" s="27" t="s">
        <v>5104</v>
      </c>
      <c r="E3201" s="29">
        <v>38078</v>
      </c>
      <c r="F3201" s="27">
        <v>15</v>
      </c>
      <c r="G3201" s="18">
        <v>255743.77</v>
      </c>
      <c r="H3201" s="27">
        <f t="shared" si="98"/>
        <v>255743.77</v>
      </c>
      <c r="I3201" s="18">
        <v>242956.58</v>
      </c>
      <c r="J3201" s="27">
        <v>255743.77</v>
      </c>
      <c r="K3201" s="18">
        <f t="shared" si="99"/>
        <v>255743.77</v>
      </c>
      <c r="L3201" s="27">
        <v>242956.58</v>
      </c>
      <c r="M3201" s="36">
        <v>0</v>
      </c>
      <c r="T3201" s="41">
        <v>0</v>
      </c>
      <c r="U3201" s="41">
        <v>0</v>
      </c>
      <c r="V3201" s="42" t="s">
        <v>113</v>
      </c>
      <c r="W3201" s="42">
        <v>255743.77</v>
      </c>
      <c r="X3201" s="42">
        <v>255743.77</v>
      </c>
    </row>
    <row r="3202" spans="1:24">
      <c r="A3202" s="27" t="s">
        <v>5920</v>
      </c>
      <c r="B3202" s="28" t="s">
        <v>5102</v>
      </c>
      <c r="C3202" s="27" t="s">
        <v>5919</v>
      </c>
      <c r="D3202" s="27" t="s">
        <v>5104</v>
      </c>
      <c r="E3202" s="29">
        <v>38078</v>
      </c>
      <c r="F3202" s="27">
        <v>15</v>
      </c>
      <c r="G3202" s="18">
        <v>8078.56</v>
      </c>
      <c r="H3202" s="27">
        <f t="shared" si="98"/>
        <v>8078.56</v>
      </c>
      <c r="I3202" s="18">
        <v>7674.63</v>
      </c>
      <c r="J3202" s="27">
        <v>8078.56</v>
      </c>
      <c r="K3202" s="18">
        <f t="shared" si="99"/>
        <v>8078.56</v>
      </c>
      <c r="L3202" s="27">
        <v>7674.63</v>
      </c>
      <c r="M3202" s="36">
        <v>0</v>
      </c>
      <c r="T3202" s="41">
        <v>0</v>
      </c>
      <c r="U3202" s="41">
        <v>0</v>
      </c>
      <c r="V3202" s="42" t="s">
        <v>113</v>
      </c>
      <c r="W3202" s="42">
        <v>8078.56</v>
      </c>
      <c r="X3202" s="42">
        <v>8078.56</v>
      </c>
    </row>
    <row r="3203" spans="1:24">
      <c r="A3203" s="27" t="s">
        <v>5921</v>
      </c>
      <c r="B3203" s="28" t="s">
        <v>5102</v>
      </c>
      <c r="C3203" s="27" t="s">
        <v>5922</v>
      </c>
      <c r="D3203" s="27" t="s">
        <v>5104</v>
      </c>
      <c r="E3203" s="29">
        <v>38078</v>
      </c>
      <c r="F3203" s="27">
        <v>15</v>
      </c>
      <c r="G3203" s="18">
        <v>145859.76999999999</v>
      </c>
      <c r="H3203" s="27">
        <f t="shared" si="98"/>
        <v>145859.76999999999</v>
      </c>
      <c r="I3203" s="18">
        <v>138566.78</v>
      </c>
      <c r="J3203" s="27">
        <v>145859.76999999999</v>
      </c>
      <c r="K3203" s="18">
        <f t="shared" si="99"/>
        <v>145859.76999999999</v>
      </c>
      <c r="L3203" s="27">
        <v>138566.78</v>
      </c>
      <c r="M3203" s="36">
        <v>0</v>
      </c>
      <c r="T3203" s="41">
        <v>0</v>
      </c>
      <c r="U3203" s="41">
        <v>0</v>
      </c>
      <c r="V3203" s="42" t="s">
        <v>113</v>
      </c>
      <c r="W3203" s="42">
        <v>145859.76999999999</v>
      </c>
      <c r="X3203" s="42">
        <v>145859.76999999999</v>
      </c>
    </row>
    <row r="3204" spans="1:24">
      <c r="A3204" s="27" t="s">
        <v>5923</v>
      </c>
      <c r="B3204" s="28" t="s">
        <v>5102</v>
      </c>
      <c r="C3204" s="27" t="s">
        <v>5924</v>
      </c>
      <c r="D3204" s="27" t="s">
        <v>5104</v>
      </c>
      <c r="E3204" s="29">
        <v>38078</v>
      </c>
      <c r="F3204" s="27">
        <v>15</v>
      </c>
      <c r="G3204" s="18">
        <v>182959.19</v>
      </c>
      <c r="H3204" s="27">
        <f t="shared" si="98"/>
        <v>182959.19</v>
      </c>
      <c r="I3204" s="18">
        <v>173811.23</v>
      </c>
      <c r="J3204" s="27">
        <v>182959.19</v>
      </c>
      <c r="K3204" s="18">
        <f t="shared" si="99"/>
        <v>182959.19</v>
      </c>
      <c r="L3204" s="27">
        <v>173811.23</v>
      </c>
      <c r="M3204" s="36">
        <v>0</v>
      </c>
      <c r="T3204" s="41">
        <v>0</v>
      </c>
      <c r="U3204" s="41">
        <v>0</v>
      </c>
      <c r="V3204" s="42" t="s">
        <v>113</v>
      </c>
      <c r="W3204" s="42">
        <v>182959.19</v>
      </c>
      <c r="X3204" s="42">
        <v>182959.19</v>
      </c>
    </row>
    <row r="3205" spans="1:24">
      <c r="A3205" s="27" t="s">
        <v>5925</v>
      </c>
      <c r="B3205" s="28" t="s">
        <v>5102</v>
      </c>
      <c r="C3205" s="27" t="s">
        <v>5926</v>
      </c>
      <c r="D3205" s="27" t="s">
        <v>5104</v>
      </c>
      <c r="E3205" s="29">
        <v>38078</v>
      </c>
      <c r="F3205" s="27">
        <v>15</v>
      </c>
      <c r="G3205" s="18">
        <v>174415.66</v>
      </c>
      <c r="H3205" s="27">
        <f t="shared" si="98"/>
        <v>174415.66</v>
      </c>
      <c r="I3205" s="18">
        <v>165694.88</v>
      </c>
      <c r="J3205" s="27">
        <v>174415.66</v>
      </c>
      <c r="K3205" s="18">
        <f t="shared" si="99"/>
        <v>174415.66</v>
      </c>
      <c r="L3205" s="27">
        <v>165694.88</v>
      </c>
      <c r="M3205" s="36">
        <v>0</v>
      </c>
      <c r="T3205" s="41">
        <v>0</v>
      </c>
      <c r="U3205" s="41">
        <v>0</v>
      </c>
      <c r="V3205" s="42" t="s">
        <v>113</v>
      </c>
      <c r="W3205" s="42">
        <v>174415.66</v>
      </c>
      <c r="X3205" s="42">
        <v>174415.66</v>
      </c>
    </row>
    <row r="3206" spans="1:24">
      <c r="A3206" s="27" t="s">
        <v>5927</v>
      </c>
      <c r="B3206" s="28" t="s">
        <v>5102</v>
      </c>
      <c r="C3206" s="27" t="s">
        <v>5928</v>
      </c>
      <c r="D3206" s="27" t="s">
        <v>5104</v>
      </c>
      <c r="E3206" s="29">
        <v>37226</v>
      </c>
      <c r="F3206" s="27">
        <v>15</v>
      </c>
      <c r="G3206" s="18">
        <v>438542.86</v>
      </c>
      <c r="H3206" s="27">
        <f t="shared" ref="H3206:H3269" si="100">IFERROR(IF(ROUND((G3206-I3206)/G3206,2)&lt;=0.05,G3206,0),0)</f>
        <v>438542.86</v>
      </c>
      <c r="I3206" s="18">
        <v>416615.72</v>
      </c>
      <c r="J3206" s="27">
        <v>438542.86</v>
      </c>
      <c r="K3206" s="18">
        <f t="shared" ref="K3206:K3269" si="101">IFERROR(IF(ROUND((J3206-L3206)/J3206,2)&lt;=0.05,J3206,0),0)</f>
        <v>438542.86</v>
      </c>
      <c r="L3206" s="27">
        <v>416615.72</v>
      </c>
      <c r="M3206" s="36">
        <v>0</v>
      </c>
      <c r="T3206" s="41">
        <v>0</v>
      </c>
      <c r="U3206" s="41">
        <v>0</v>
      </c>
      <c r="V3206" s="42" t="s">
        <v>113</v>
      </c>
      <c r="W3206" s="42">
        <v>438542.86</v>
      </c>
      <c r="X3206" s="42">
        <v>438542.86</v>
      </c>
    </row>
    <row r="3207" spans="1:24">
      <c r="A3207" s="27" t="s">
        <v>5929</v>
      </c>
      <c r="B3207" s="28" t="s">
        <v>5102</v>
      </c>
      <c r="C3207" s="27" t="s">
        <v>5930</v>
      </c>
      <c r="D3207" s="27" t="s">
        <v>5104</v>
      </c>
      <c r="E3207" s="29">
        <v>38078</v>
      </c>
      <c r="F3207" s="27">
        <v>15</v>
      </c>
      <c r="G3207" s="18">
        <v>26642.59</v>
      </c>
      <c r="H3207" s="27">
        <f t="shared" si="100"/>
        <v>26642.59</v>
      </c>
      <c r="I3207" s="18">
        <v>25310.46</v>
      </c>
      <c r="J3207" s="27">
        <v>26642.59</v>
      </c>
      <c r="K3207" s="18">
        <f t="shared" si="101"/>
        <v>26642.59</v>
      </c>
      <c r="L3207" s="27">
        <v>25310.46</v>
      </c>
      <c r="M3207" s="36">
        <v>0</v>
      </c>
      <c r="T3207" s="41">
        <v>0</v>
      </c>
      <c r="U3207" s="41">
        <v>0</v>
      </c>
      <c r="V3207" s="42" t="s">
        <v>113</v>
      </c>
      <c r="W3207" s="42">
        <v>26642.59</v>
      </c>
      <c r="X3207" s="42">
        <v>26642.59</v>
      </c>
    </row>
    <row r="3208" spans="1:24">
      <c r="A3208" s="27" t="s">
        <v>5931</v>
      </c>
      <c r="B3208" s="28" t="s">
        <v>5102</v>
      </c>
      <c r="C3208" s="27" t="s">
        <v>5928</v>
      </c>
      <c r="D3208" s="27" t="s">
        <v>5104</v>
      </c>
      <c r="E3208" s="29">
        <v>37226</v>
      </c>
      <c r="F3208" s="27">
        <v>15</v>
      </c>
      <c r="G3208" s="18">
        <v>171831.69</v>
      </c>
      <c r="H3208" s="27">
        <f t="shared" si="100"/>
        <v>171831.69</v>
      </c>
      <c r="I3208" s="18">
        <v>163240.10999999999</v>
      </c>
      <c r="J3208" s="27">
        <v>171831.69</v>
      </c>
      <c r="K3208" s="18">
        <f t="shared" si="101"/>
        <v>171831.69</v>
      </c>
      <c r="L3208" s="27">
        <v>163240.10999999999</v>
      </c>
      <c r="M3208" s="36">
        <v>0</v>
      </c>
      <c r="T3208" s="41">
        <v>0</v>
      </c>
      <c r="U3208" s="41">
        <v>0</v>
      </c>
      <c r="V3208" s="42" t="s">
        <v>113</v>
      </c>
      <c r="W3208" s="42">
        <v>171831.69</v>
      </c>
      <c r="X3208" s="42">
        <v>171831.69</v>
      </c>
    </row>
    <row r="3209" spans="1:24">
      <c r="A3209" s="27" t="s">
        <v>5932</v>
      </c>
      <c r="B3209" s="28" t="s">
        <v>5102</v>
      </c>
      <c r="C3209" s="27" t="s">
        <v>5933</v>
      </c>
      <c r="D3209" s="27" t="s">
        <v>5104</v>
      </c>
      <c r="E3209" s="29">
        <v>38078</v>
      </c>
      <c r="F3209" s="27">
        <v>15</v>
      </c>
      <c r="G3209" s="18">
        <v>34427.040000000001</v>
      </c>
      <c r="H3209" s="27">
        <f t="shared" si="100"/>
        <v>34427.040000000001</v>
      </c>
      <c r="I3209" s="18">
        <v>32705.69</v>
      </c>
      <c r="J3209" s="27">
        <v>34427.040000000001</v>
      </c>
      <c r="K3209" s="18">
        <f t="shared" si="101"/>
        <v>34427.040000000001</v>
      </c>
      <c r="L3209" s="27">
        <v>32705.69</v>
      </c>
      <c r="M3209" s="36">
        <v>0</v>
      </c>
      <c r="T3209" s="41">
        <v>0</v>
      </c>
      <c r="U3209" s="41">
        <v>0</v>
      </c>
      <c r="V3209" s="42" t="s">
        <v>113</v>
      </c>
      <c r="W3209" s="42">
        <v>34427.040000000001</v>
      </c>
      <c r="X3209" s="42">
        <v>34427.040000000001</v>
      </c>
    </row>
    <row r="3210" spans="1:24">
      <c r="A3210" s="27" t="s">
        <v>5934</v>
      </c>
      <c r="B3210" s="28" t="s">
        <v>5102</v>
      </c>
      <c r="C3210" s="27" t="s">
        <v>5935</v>
      </c>
      <c r="D3210" s="27" t="s">
        <v>5104</v>
      </c>
      <c r="E3210" s="29">
        <v>38078</v>
      </c>
      <c r="F3210" s="27">
        <v>15</v>
      </c>
      <c r="G3210" s="18">
        <v>39443.1</v>
      </c>
      <c r="H3210" s="27">
        <f t="shared" si="100"/>
        <v>39443.1</v>
      </c>
      <c r="I3210" s="18">
        <v>37470.94</v>
      </c>
      <c r="J3210" s="27">
        <v>39443.1</v>
      </c>
      <c r="K3210" s="18">
        <f t="shared" si="101"/>
        <v>39443.1</v>
      </c>
      <c r="L3210" s="27">
        <v>37470.94</v>
      </c>
      <c r="M3210" s="36">
        <v>0</v>
      </c>
      <c r="T3210" s="41">
        <v>0</v>
      </c>
      <c r="U3210" s="41">
        <v>0</v>
      </c>
      <c r="V3210" s="42" t="s">
        <v>113</v>
      </c>
      <c r="W3210" s="42">
        <v>39443.1</v>
      </c>
      <c r="X3210" s="42">
        <v>39443.1</v>
      </c>
    </row>
    <row r="3211" spans="1:24">
      <c r="A3211" s="27" t="s">
        <v>5936</v>
      </c>
      <c r="B3211" s="28" t="s">
        <v>5102</v>
      </c>
      <c r="C3211" s="27" t="s">
        <v>5937</v>
      </c>
      <c r="D3211" s="27" t="s">
        <v>5104</v>
      </c>
      <c r="E3211" s="29">
        <v>37226</v>
      </c>
      <c r="F3211" s="27">
        <v>15</v>
      </c>
      <c r="G3211" s="18">
        <v>254450.71</v>
      </c>
      <c r="H3211" s="27">
        <f t="shared" si="100"/>
        <v>254450.71</v>
      </c>
      <c r="I3211" s="18">
        <v>241728.17</v>
      </c>
      <c r="J3211" s="27">
        <v>254450.71</v>
      </c>
      <c r="K3211" s="18">
        <f t="shared" si="101"/>
        <v>254450.71</v>
      </c>
      <c r="L3211" s="27">
        <v>241728.17</v>
      </c>
      <c r="M3211" s="36">
        <v>0</v>
      </c>
      <c r="T3211" s="41">
        <v>0</v>
      </c>
      <c r="U3211" s="41">
        <v>0</v>
      </c>
      <c r="V3211" s="42" t="s">
        <v>113</v>
      </c>
      <c r="W3211" s="42">
        <v>254450.71</v>
      </c>
      <c r="X3211" s="42">
        <v>254450.71</v>
      </c>
    </row>
    <row r="3212" spans="1:24">
      <c r="A3212" s="27" t="s">
        <v>5938</v>
      </c>
      <c r="B3212" s="28" t="s">
        <v>5102</v>
      </c>
      <c r="C3212" s="27" t="s">
        <v>5939</v>
      </c>
      <c r="D3212" s="27" t="s">
        <v>5104</v>
      </c>
      <c r="E3212" s="29">
        <v>38078</v>
      </c>
      <c r="F3212" s="27">
        <v>15</v>
      </c>
      <c r="G3212" s="18">
        <v>95003.33</v>
      </c>
      <c r="H3212" s="27">
        <f t="shared" si="100"/>
        <v>95003.33</v>
      </c>
      <c r="I3212" s="18">
        <v>90253.16</v>
      </c>
      <c r="J3212" s="27">
        <v>95003.33</v>
      </c>
      <c r="K3212" s="18">
        <f t="shared" si="101"/>
        <v>95003.33</v>
      </c>
      <c r="L3212" s="27">
        <v>90253.16</v>
      </c>
      <c r="M3212" s="36">
        <v>0</v>
      </c>
      <c r="T3212" s="41">
        <v>0</v>
      </c>
      <c r="U3212" s="41">
        <v>0</v>
      </c>
      <c r="V3212" s="42" t="s">
        <v>113</v>
      </c>
      <c r="W3212" s="42">
        <v>95003.33</v>
      </c>
      <c r="X3212" s="42">
        <v>95003.33</v>
      </c>
    </row>
    <row r="3213" spans="1:24">
      <c r="A3213" s="27" t="s">
        <v>5940</v>
      </c>
      <c r="B3213" s="28" t="s">
        <v>5102</v>
      </c>
      <c r="C3213" s="27" t="s">
        <v>5941</v>
      </c>
      <c r="D3213" s="27" t="s">
        <v>5104</v>
      </c>
      <c r="E3213" s="29">
        <v>37226</v>
      </c>
      <c r="F3213" s="27">
        <v>15</v>
      </c>
      <c r="G3213" s="18">
        <v>48220.91</v>
      </c>
      <c r="H3213" s="27">
        <f t="shared" si="100"/>
        <v>48220.91</v>
      </c>
      <c r="I3213" s="18">
        <v>45809.86</v>
      </c>
      <c r="J3213" s="27">
        <v>48220.91</v>
      </c>
      <c r="K3213" s="18">
        <f t="shared" si="101"/>
        <v>48220.91</v>
      </c>
      <c r="L3213" s="27">
        <v>45809.86</v>
      </c>
      <c r="M3213" s="36">
        <v>0</v>
      </c>
      <c r="T3213" s="41">
        <v>0</v>
      </c>
      <c r="U3213" s="41">
        <v>0</v>
      </c>
      <c r="V3213" s="42" t="s">
        <v>113</v>
      </c>
      <c r="W3213" s="42">
        <v>48220.91</v>
      </c>
      <c r="X3213" s="42">
        <v>48220.91</v>
      </c>
    </row>
    <row r="3214" spans="1:24">
      <c r="A3214" s="27" t="s">
        <v>5942</v>
      </c>
      <c r="B3214" s="28" t="s">
        <v>5102</v>
      </c>
      <c r="C3214" s="27" t="s">
        <v>5943</v>
      </c>
      <c r="D3214" s="27" t="s">
        <v>5104</v>
      </c>
      <c r="E3214" s="29">
        <v>38078</v>
      </c>
      <c r="F3214" s="27">
        <v>15</v>
      </c>
      <c r="G3214" s="18">
        <v>41279.58</v>
      </c>
      <c r="H3214" s="27">
        <f t="shared" si="100"/>
        <v>41279.58</v>
      </c>
      <c r="I3214" s="18">
        <v>39215.599999999999</v>
      </c>
      <c r="J3214" s="27">
        <v>41279.58</v>
      </c>
      <c r="K3214" s="18">
        <f t="shared" si="101"/>
        <v>41279.58</v>
      </c>
      <c r="L3214" s="27">
        <v>39215.599999999999</v>
      </c>
      <c r="M3214" s="36">
        <v>0</v>
      </c>
      <c r="T3214" s="41">
        <v>0</v>
      </c>
      <c r="U3214" s="41">
        <v>0</v>
      </c>
      <c r="V3214" s="42" t="s">
        <v>113</v>
      </c>
      <c r="W3214" s="42">
        <v>41279.58</v>
      </c>
      <c r="X3214" s="42">
        <v>41279.58</v>
      </c>
    </row>
    <row r="3215" spans="1:24">
      <c r="A3215" s="27" t="s">
        <v>5944</v>
      </c>
      <c r="B3215" s="28" t="s">
        <v>5102</v>
      </c>
      <c r="C3215" s="27" t="s">
        <v>5945</v>
      </c>
      <c r="D3215" s="27" t="s">
        <v>5104</v>
      </c>
      <c r="E3215" s="29">
        <v>37226</v>
      </c>
      <c r="F3215" s="27">
        <v>15</v>
      </c>
      <c r="G3215" s="18">
        <v>204349.68</v>
      </c>
      <c r="H3215" s="27">
        <f t="shared" si="100"/>
        <v>204349.68</v>
      </c>
      <c r="I3215" s="18">
        <v>194132.2</v>
      </c>
      <c r="J3215" s="27">
        <v>204349.68</v>
      </c>
      <c r="K3215" s="18">
        <f t="shared" si="101"/>
        <v>204349.68</v>
      </c>
      <c r="L3215" s="27">
        <v>194132.2</v>
      </c>
      <c r="M3215" s="36">
        <v>0</v>
      </c>
      <c r="T3215" s="41">
        <v>0</v>
      </c>
      <c r="U3215" s="41">
        <v>0</v>
      </c>
      <c r="V3215" s="42" t="s">
        <v>113</v>
      </c>
      <c r="W3215" s="42">
        <v>204349.68</v>
      </c>
      <c r="X3215" s="42">
        <v>204349.68</v>
      </c>
    </row>
    <row r="3216" spans="1:24">
      <c r="A3216" s="27" t="s">
        <v>5946</v>
      </c>
      <c r="B3216" s="28" t="s">
        <v>5102</v>
      </c>
      <c r="C3216" s="27" t="s">
        <v>5947</v>
      </c>
      <c r="D3216" s="27" t="s">
        <v>5104</v>
      </c>
      <c r="E3216" s="29">
        <v>38078</v>
      </c>
      <c r="F3216" s="27">
        <v>15</v>
      </c>
      <c r="G3216" s="18">
        <v>208047.3</v>
      </c>
      <c r="H3216" s="27">
        <f t="shared" si="100"/>
        <v>208047.3</v>
      </c>
      <c r="I3216" s="18">
        <v>197644.93</v>
      </c>
      <c r="J3216" s="27">
        <v>208047.3</v>
      </c>
      <c r="K3216" s="18">
        <f t="shared" si="101"/>
        <v>208047.3</v>
      </c>
      <c r="L3216" s="27">
        <v>197644.93</v>
      </c>
      <c r="M3216" s="36">
        <v>0</v>
      </c>
      <c r="T3216" s="41">
        <v>0</v>
      </c>
      <c r="U3216" s="41">
        <v>0</v>
      </c>
      <c r="V3216" s="42" t="s">
        <v>113</v>
      </c>
      <c r="W3216" s="42">
        <v>208047.3</v>
      </c>
      <c r="X3216" s="42">
        <v>208047.3</v>
      </c>
    </row>
    <row r="3217" spans="1:24">
      <c r="A3217" s="27" t="s">
        <v>5948</v>
      </c>
      <c r="B3217" s="28" t="s">
        <v>5102</v>
      </c>
      <c r="C3217" s="27" t="s">
        <v>5949</v>
      </c>
      <c r="D3217" s="27" t="s">
        <v>5104</v>
      </c>
      <c r="E3217" s="29">
        <v>35612</v>
      </c>
      <c r="F3217" s="27">
        <v>15</v>
      </c>
      <c r="G3217" s="18">
        <v>119791.67</v>
      </c>
      <c r="H3217" s="27">
        <f t="shared" si="100"/>
        <v>119791.67</v>
      </c>
      <c r="I3217" s="18">
        <v>113802.09</v>
      </c>
      <c r="J3217" s="27">
        <v>119791.67</v>
      </c>
      <c r="K3217" s="18">
        <f t="shared" si="101"/>
        <v>119791.67</v>
      </c>
      <c r="L3217" s="27">
        <v>113802.09</v>
      </c>
      <c r="M3217" s="36">
        <v>0</v>
      </c>
      <c r="T3217" s="41">
        <v>0</v>
      </c>
      <c r="U3217" s="41">
        <v>0</v>
      </c>
      <c r="V3217" s="42" t="s">
        <v>113</v>
      </c>
      <c r="W3217" s="42">
        <v>119791.67</v>
      </c>
      <c r="X3217" s="42">
        <v>119791.67</v>
      </c>
    </row>
    <row r="3218" spans="1:24">
      <c r="A3218" s="27" t="s">
        <v>5950</v>
      </c>
      <c r="B3218" s="28" t="s">
        <v>5102</v>
      </c>
      <c r="C3218" s="27" t="s">
        <v>5951</v>
      </c>
      <c r="D3218" s="27" t="s">
        <v>5104</v>
      </c>
      <c r="E3218" s="29">
        <v>36008</v>
      </c>
      <c r="F3218" s="27">
        <v>15</v>
      </c>
      <c r="G3218" s="18">
        <v>133333.32999999999</v>
      </c>
      <c r="H3218" s="27">
        <f t="shared" si="100"/>
        <v>133333.32999999999</v>
      </c>
      <c r="I3218" s="18">
        <v>126666.66</v>
      </c>
      <c r="J3218" s="27">
        <v>133333.32999999999</v>
      </c>
      <c r="K3218" s="18">
        <f t="shared" si="101"/>
        <v>133333.32999999999</v>
      </c>
      <c r="L3218" s="27">
        <v>126666.66</v>
      </c>
      <c r="M3218" s="36">
        <v>0</v>
      </c>
      <c r="T3218" s="41">
        <v>0</v>
      </c>
      <c r="U3218" s="41">
        <v>0</v>
      </c>
      <c r="V3218" s="42" t="s">
        <v>113</v>
      </c>
      <c r="W3218" s="42">
        <v>133333.32999999999</v>
      </c>
      <c r="X3218" s="42">
        <v>133333.32999999999</v>
      </c>
    </row>
    <row r="3219" spans="1:24">
      <c r="A3219" s="27" t="s">
        <v>5952</v>
      </c>
      <c r="B3219" s="28" t="s">
        <v>5102</v>
      </c>
      <c r="C3219" s="27" t="s">
        <v>5953</v>
      </c>
      <c r="D3219" s="27" t="s">
        <v>5104</v>
      </c>
      <c r="E3219" s="29">
        <v>35612</v>
      </c>
      <c r="F3219" s="27">
        <v>15</v>
      </c>
      <c r="G3219" s="18">
        <v>131770.82999999999</v>
      </c>
      <c r="H3219" s="27">
        <f t="shared" si="100"/>
        <v>131770.82999999999</v>
      </c>
      <c r="I3219" s="18">
        <v>125182.29</v>
      </c>
      <c r="J3219" s="27">
        <v>131770.82999999999</v>
      </c>
      <c r="K3219" s="18">
        <f t="shared" si="101"/>
        <v>131770.82999999999</v>
      </c>
      <c r="L3219" s="27">
        <v>125182.29</v>
      </c>
      <c r="M3219" s="36">
        <v>0</v>
      </c>
      <c r="T3219" s="41">
        <v>0</v>
      </c>
      <c r="U3219" s="41">
        <v>0</v>
      </c>
      <c r="V3219" s="42" t="s">
        <v>113</v>
      </c>
      <c r="W3219" s="42">
        <v>131770.82999999999</v>
      </c>
      <c r="X3219" s="42">
        <v>131770.82999999999</v>
      </c>
    </row>
    <row r="3220" spans="1:24">
      <c r="A3220" s="27" t="s">
        <v>5954</v>
      </c>
      <c r="B3220" s="28" t="s">
        <v>5102</v>
      </c>
      <c r="C3220" s="27" t="s">
        <v>5955</v>
      </c>
      <c r="D3220" s="27" t="s">
        <v>5104</v>
      </c>
      <c r="E3220" s="29">
        <v>37773</v>
      </c>
      <c r="F3220" s="27">
        <v>15</v>
      </c>
      <c r="G3220" s="18">
        <v>94267</v>
      </c>
      <c r="H3220" s="27">
        <f t="shared" si="100"/>
        <v>94267</v>
      </c>
      <c r="I3220" s="18">
        <v>89553.65</v>
      </c>
      <c r="J3220" s="27">
        <v>94267</v>
      </c>
      <c r="K3220" s="18">
        <f t="shared" si="101"/>
        <v>94267</v>
      </c>
      <c r="L3220" s="27">
        <v>89553.65</v>
      </c>
      <c r="M3220" s="36">
        <v>0</v>
      </c>
      <c r="T3220" s="41">
        <v>0</v>
      </c>
      <c r="U3220" s="41">
        <v>0</v>
      </c>
      <c r="V3220" s="42" t="s">
        <v>113</v>
      </c>
      <c r="W3220" s="42">
        <v>94267</v>
      </c>
      <c r="X3220" s="42">
        <v>94267</v>
      </c>
    </row>
    <row r="3221" spans="1:24">
      <c r="A3221" s="27" t="s">
        <v>5956</v>
      </c>
      <c r="B3221" s="28" t="s">
        <v>5102</v>
      </c>
      <c r="C3221" s="27" t="s">
        <v>5957</v>
      </c>
      <c r="D3221" s="27" t="s">
        <v>5104</v>
      </c>
      <c r="E3221" s="29">
        <v>37226</v>
      </c>
      <c r="F3221" s="27">
        <v>15</v>
      </c>
      <c r="G3221" s="18">
        <v>37693.72</v>
      </c>
      <c r="H3221" s="27">
        <f t="shared" si="100"/>
        <v>37693.72</v>
      </c>
      <c r="I3221" s="18">
        <v>35809.03</v>
      </c>
      <c r="J3221" s="27">
        <v>37693.72</v>
      </c>
      <c r="K3221" s="18">
        <f t="shared" si="101"/>
        <v>37693.72</v>
      </c>
      <c r="L3221" s="27">
        <v>35809.03</v>
      </c>
      <c r="M3221" s="36">
        <v>0</v>
      </c>
      <c r="T3221" s="41">
        <v>0</v>
      </c>
      <c r="U3221" s="41">
        <v>0</v>
      </c>
      <c r="V3221" s="42" t="s">
        <v>113</v>
      </c>
      <c r="W3221" s="42">
        <v>37693.72</v>
      </c>
      <c r="X3221" s="42">
        <v>37693.72</v>
      </c>
    </row>
    <row r="3222" spans="1:24">
      <c r="A3222" s="27" t="s">
        <v>5958</v>
      </c>
      <c r="B3222" s="28" t="s">
        <v>5102</v>
      </c>
      <c r="C3222" s="27" t="s">
        <v>5959</v>
      </c>
      <c r="D3222" s="27" t="s">
        <v>5104</v>
      </c>
      <c r="E3222" s="29">
        <v>38078</v>
      </c>
      <c r="F3222" s="27">
        <v>15</v>
      </c>
      <c r="G3222" s="18">
        <v>25416.13</v>
      </c>
      <c r="H3222" s="27">
        <f t="shared" si="100"/>
        <v>25416.13</v>
      </c>
      <c r="I3222" s="18">
        <v>24145.32</v>
      </c>
      <c r="J3222" s="27">
        <v>25416.13</v>
      </c>
      <c r="K3222" s="18">
        <f t="shared" si="101"/>
        <v>25416.13</v>
      </c>
      <c r="L3222" s="27">
        <v>24145.32</v>
      </c>
      <c r="M3222" s="36">
        <v>0</v>
      </c>
      <c r="T3222" s="41">
        <v>0</v>
      </c>
      <c r="U3222" s="41">
        <v>0</v>
      </c>
      <c r="V3222" s="42" t="s">
        <v>113</v>
      </c>
      <c r="W3222" s="42">
        <v>25416.13</v>
      </c>
      <c r="X3222" s="42">
        <v>25416.13</v>
      </c>
    </row>
    <row r="3223" spans="1:24">
      <c r="A3223" s="27" t="s">
        <v>5960</v>
      </c>
      <c r="B3223" s="28" t="s">
        <v>5102</v>
      </c>
      <c r="C3223" s="27" t="s">
        <v>5959</v>
      </c>
      <c r="D3223" s="27" t="s">
        <v>5104</v>
      </c>
      <c r="E3223" s="29">
        <v>38078</v>
      </c>
      <c r="F3223" s="27">
        <v>15</v>
      </c>
      <c r="G3223" s="18">
        <v>34637.32</v>
      </c>
      <c r="H3223" s="27">
        <f t="shared" si="100"/>
        <v>34637.32</v>
      </c>
      <c r="I3223" s="18">
        <v>32905.449999999997</v>
      </c>
      <c r="J3223" s="27">
        <v>34637.32</v>
      </c>
      <c r="K3223" s="18">
        <f t="shared" si="101"/>
        <v>34637.32</v>
      </c>
      <c r="L3223" s="27">
        <v>32905.449999999997</v>
      </c>
      <c r="M3223" s="36">
        <v>0</v>
      </c>
      <c r="T3223" s="41">
        <v>0</v>
      </c>
      <c r="U3223" s="41">
        <v>0</v>
      </c>
      <c r="V3223" s="42" t="s">
        <v>113</v>
      </c>
      <c r="W3223" s="42">
        <v>34637.32</v>
      </c>
      <c r="X3223" s="42">
        <v>34637.32</v>
      </c>
    </row>
    <row r="3224" spans="1:24">
      <c r="A3224" s="27" t="s">
        <v>5961</v>
      </c>
      <c r="B3224" s="28" t="s">
        <v>5102</v>
      </c>
      <c r="C3224" s="27" t="s">
        <v>5959</v>
      </c>
      <c r="D3224" s="27" t="s">
        <v>5104</v>
      </c>
      <c r="E3224" s="29">
        <v>38078</v>
      </c>
      <c r="F3224" s="27">
        <v>15</v>
      </c>
      <c r="G3224" s="18">
        <v>23333.93</v>
      </c>
      <c r="H3224" s="27">
        <f t="shared" si="100"/>
        <v>23333.93</v>
      </c>
      <c r="I3224" s="18">
        <v>22167.23</v>
      </c>
      <c r="J3224" s="27">
        <v>23333.93</v>
      </c>
      <c r="K3224" s="18">
        <f t="shared" si="101"/>
        <v>23333.93</v>
      </c>
      <c r="L3224" s="27">
        <v>22167.23</v>
      </c>
      <c r="M3224" s="36">
        <v>0</v>
      </c>
      <c r="T3224" s="41">
        <v>0</v>
      </c>
      <c r="U3224" s="41">
        <v>0</v>
      </c>
      <c r="V3224" s="42" t="s">
        <v>113</v>
      </c>
      <c r="W3224" s="42">
        <v>23333.93</v>
      </c>
      <c r="X3224" s="42">
        <v>23333.93</v>
      </c>
    </row>
    <row r="3225" spans="1:24">
      <c r="A3225" s="27" t="s">
        <v>5962</v>
      </c>
      <c r="B3225" s="28" t="s">
        <v>5102</v>
      </c>
      <c r="C3225" s="27" t="s">
        <v>5963</v>
      </c>
      <c r="D3225" s="27" t="s">
        <v>5104</v>
      </c>
      <c r="E3225" s="29">
        <v>37226</v>
      </c>
      <c r="F3225" s="27">
        <v>15</v>
      </c>
      <c r="G3225" s="18">
        <v>72467.12</v>
      </c>
      <c r="H3225" s="27">
        <f t="shared" si="100"/>
        <v>72467.12</v>
      </c>
      <c r="I3225" s="18">
        <v>68843.759999999995</v>
      </c>
      <c r="J3225" s="27">
        <v>72467.12</v>
      </c>
      <c r="K3225" s="18">
        <f t="shared" si="101"/>
        <v>72467.12</v>
      </c>
      <c r="L3225" s="27">
        <v>68843.759999999995</v>
      </c>
      <c r="M3225" s="36">
        <v>0</v>
      </c>
      <c r="T3225" s="41">
        <v>0</v>
      </c>
      <c r="U3225" s="41">
        <v>0</v>
      </c>
      <c r="V3225" s="42" t="s">
        <v>113</v>
      </c>
      <c r="W3225" s="42">
        <v>72467.12</v>
      </c>
      <c r="X3225" s="42">
        <v>72467.12</v>
      </c>
    </row>
    <row r="3226" spans="1:24">
      <c r="A3226" s="27" t="s">
        <v>5964</v>
      </c>
      <c r="B3226" s="28" t="s">
        <v>5102</v>
      </c>
      <c r="C3226" s="27" t="s">
        <v>5965</v>
      </c>
      <c r="D3226" s="27" t="s">
        <v>5104</v>
      </c>
      <c r="E3226" s="29">
        <v>37226</v>
      </c>
      <c r="F3226" s="27">
        <v>15</v>
      </c>
      <c r="G3226" s="18">
        <v>42615</v>
      </c>
      <c r="H3226" s="27">
        <f t="shared" si="100"/>
        <v>42615</v>
      </c>
      <c r="I3226" s="18">
        <v>40484.25</v>
      </c>
      <c r="J3226" s="27">
        <v>42615</v>
      </c>
      <c r="K3226" s="18">
        <f t="shared" si="101"/>
        <v>42615</v>
      </c>
      <c r="L3226" s="27">
        <v>40484.25</v>
      </c>
      <c r="M3226" s="36">
        <v>0</v>
      </c>
      <c r="T3226" s="41">
        <v>0</v>
      </c>
      <c r="U3226" s="41">
        <v>0</v>
      </c>
      <c r="V3226" s="42" t="s">
        <v>113</v>
      </c>
      <c r="W3226" s="42">
        <v>42615</v>
      </c>
      <c r="X3226" s="42">
        <v>42615</v>
      </c>
    </row>
    <row r="3227" spans="1:24">
      <c r="A3227" s="27" t="s">
        <v>5966</v>
      </c>
      <c r="B3227" s="28" t="s">
        <v>5102</v>
      </c>
      <c r="C3227" s="27" t="s">
        <v>5967</v>
      </c>
      <c r="D3227" s="27" t="s">
        <v>5104</v>
      </c>
      <c r="E3227" s="29">
        <v>37226</v>
      </c>
      <c r="F3227" s="27">
        <v>15</v>
      </c>
      <c r="G3227" s="18">
        <v>66031.600000000006</v>
      </c>
      <c r="H3227" s="27">
        <f t="shared" si="100"/>
        <v>66031.600000000006</v>
      </c>
      <c r="I3227" s="18">
        <v>62730.02</v>
      </c>
      <c r="J3227" s="27">
        <v>66031.600000000006</v>
      </c>
      <c r="K3227" s="18">
        <f t="shared" si="101"/>
        <v>66031.600000000006</v>
      </c>
      <c r="L3227" s="27">
        <v>62730.02</v>
      </c>
      <c r="M3227" s="36">
        <v>0</v>
      </c>
      <c r="T3227" s="41">
        <v>0</v>
      </c>
      <c r="U3227" s="41">
        <v>0</v>
      </c>
      <c r="V3227" s="42" t="s">
        <v>113</v>
      </c>
      <c r="W3227" s="42">
        <v>66031.600000000006</v>
      </c>
      <c r="X3227" s="42">
        <v>66031.600000000006</v>
      </c>
    </row>
    <row r="3228" spans="1:24">
      <c r="A3228" s="27" t="s">
        <v>5968</v>
      </c>
      <c r="B3228" s="28" t="s">
        <v>5102</v>
      </c>
      <c r="C3228" s="27" t="s">
        <v>5969</v>
      </c>
      <c r="D3228" s="27" t="s">
        <v>5104</v>
      </c>
      <c r="E3228" s="29">
        <v>38078</v>
      </c>
      <c r="F3228" s="27">
        <v>15</v>
      </c>
      <c r="G3228" s="18">
        <v>53509.38</v>
      </c>
      <c r="H3228" s="27">
        <f t="shared" si="100"/>
        <v>53509.38</v>
      </c>
      <c r="I3228" s="18">
        <v>50833.91</v>
      </c>
      <c r="J3228" s="27">
        <v>53509.38</v>
      </c>
      <c r="K3228" s="18">
        <f t="shared" si="101"/>
        <v>53509.38</v>
      </c>
      <c r="L3228" s="27">
        <v>50833.91</v>
      </c>
      <c r="M3228" s="36">
        <v>0</v>
      </c>
      <c r="T3228" s="41">
        <v>0</v>
      </c>
      <c r="U3228" s="41">
        <v>0</v>
      </c>
      <c r="V3228" s="42" t="s">
        <v>113</v>
      </c>
      <c r="W3228" s="42">
        <v>53509.38</v>
      </c>
      <c r="X3228" s="42">
        <v>53509.38</v>
      </c>
    </row>
    <row r="3229" spans="1:24">
      <c r="A3229" s="27" t="s">
        <v>5970</v>
      </c>
      <c r="B3229" s="28" t="s">
        <v>5102</v>
      </c>
      <c r="C3229" s="27" t="s">
        <v>5969</v>
      </c>
      <c r="D3229" s="27" t="s">
        <v>5104</v>
      </c>
      <c r="E3229" s="29">
        <v>38078</v>
      </c>
      <c r="F3229" s="27">
        <v>15</v>
      </c>
      <c r="G3229" s="18">
        <v>23154.77</v>
      </c>
      <c r="H3229" s="27">
        <f t="shared" si="100"/>
        <v>23154.77</v>
      </c>
      <c r="I3229" s="18">
        <v>21997.03</v>
      </c>
      <c r="J3229" s="27">
        <v>23154.77</v>
      </c>
      <c r="K3229" s="18">
        <f t="shared" si="101"/>
        <v>23154.77</v>
      </c>
      <c r="L3229" s="27">
        <v>21997.03</v>
      </c>
      <c r="M3229" s="36">
        <v>0</v>
      </c>
      <c r="T3229" s="41">
        <v>0</v>
      </c>
      <c r="U3229" s="41">
        <v>0</v>
      </c>
      <c r="V3229" s="42" t="s">
        <v>113</v>
      </c>
      <c r="W3229" s="42">
        <v>23154.77</v>
      </c>
      <c r="X3229" s="42">
        <v>23154.77</v>
      </c>
    </row>
    <row r="3230" spans="1:24">
      <c r="A3230" s="27" t="s">
        <v>5971</v>
      </c>
      <c r="B3230" s="28" t="s">
        <v>5102</v>
      </c>
      <c r="C3230" s="27" t="s">
        <v>5972</v>
      </c>
      <c r="D3230" s="27" t="s">
        <v>5104</v>
      </c>
      <c r="E3230" s="29">
        <v>37226</v>
      </c>
      <c r="F3230" s="27">
        <v>15</v>
      </c>
      <c r="G3230" s="18">
        <v>169567.65</v>
      </c>
      <c r="H3230" s="27">
        <f t="shared" si="100"/>
        <v>169567.65</v>
      </c>
      <c r="I3230" s="18">
        <v>161089.26999999999</v>
      </c>
      <c r="J3230" s="27">
        <v>169567.65</v>
      </c>
      <c r="K3230" s="18">
        <f t="shared" si="101"/>
        <v>169567.65</v>
      </c>
      <c r="L3230" s="27">
        <v>161089.26999999999</v>
      </c>
      <c r="M3230" s="36">
        <v>0</v>
      </c>
      <c r="T3230" s="41">
        <v>0</v>
      </c>
      <c r="U3230" s="41">
        <v>0</v>
      </c>
      <c r="V3230" s="42" t="s">
        <v>113</v>
      </c>
      <c r="W3230" s="42">
        <v>169567.65</v>
      </c>
      <c r="X3230" s="42">
        <v>169567.65</v>
      </c>
    </row>
    <row r="3231" spans="1:24">
      <c r="A3231" s="27" t="s">
        <v>5973</v>
      </c>
      <c r="B3231" s="28" t="s">
        <v>5102</v>
      </c>
      <c r="C3231" s="27" t="s">
        <v>5974</v>
      </c>
      <c r="D3231" s="27" t="s">
        <v>5104</v>
      </c>
      <c r="E3231" s="29">
        <v>38078</v>
      </c>
      <c r="F3231" s="27">
        <v>15</v>
      </c>
      <c r="G3231" s="18">
        <v>6874.59</v>
      </c>
      <c r="H3231" s="27">
        <f t="shared" si="100"/>
        <v>6874.59</v>
      </c>
      <c r="I3231" s="18">
        <v>6530.86</v>
      </c>
      <c r="J3231" s="27">
        <v>6874.59</v>
      </c>
      <c r="K3231" s="18">
        <f t="shared" si="101"/>
        <v>6874.59</v>
      </c>
      <c r="L3231" s="27">
        <v>6530.86</v>
      </c>
      <c r="M3231" s="36">
        <v>0</v>
      </c>
      <c r="T3231" s="41">
        <v>0</v>
      </c>
      <c r="U3231" s="41">
        <v>0</v>
      </c>
      <c r="V3231" s="42" t="s">
        <v>113</v>
      </c>
      <c r="W3231" s="42">
        <v>6874.59</v>
      </c>
      <c r="X3231" s="42">
        <v>6874.59</v>
      </c>
    </row>
    <row r="3232" spans="1:24">
      <c r="A3232" s="27" t="s">
        <v>5975</v>
      </c>
      <c r="B3232" s="28" t="s">
        <v>5102</v>
      </c>
      <c r="C3232" s="27" t="s">
        <v>5976</v>
      </c>
      <c r="D3232" s="27" t="s">
        <v>5104</v>
      </c>
      <c r="E3232" s="29">
        <v>38078</v>
      </c>
      <c r="F3232" s="27">
        <v>15</v>
      </c>
      <c r="G3232" s="18">
        <v>13418.66</v>
      </c>
      <c r="H3232" s="27">
        <f t="shared" si="100"/>
        <v>13418.66</v>
      </c>
      <c r="I3232" s="18">
        <v>12747.73</v>
      </c>
      <c r="J3232" s="27">
        <v>13418.66</v>
      </c>
      <c r="K3232" s="18">
        <f t="shared" si="101"/>
        <v>13418.66</v>
      </c>
      <c r="L3232" s="27">
        <v>12747.73</v>
      </c>
      <c r="M3232" s="36">
        <v>0</v>
      </c>
      <c r="T3232" s="41">
        <v>0</v>
      </c>
      <c r="U3232" s="41">
        <v>0</v>
      </c>
      <c r="V3232" s="42" t="s">
        <v>113</v>
      </c>
      <c r="W3232" s="42">
        <v>13418.66</v>
      </c>
      <c r="X3232" s="42">
        <v>13418.66</v>
      </c>
    </row>
    <row r="3233" spans="1:24">
      <c r="A3233" s="27" t="s">
        <v>5977</v>
      </c>
      <c r="B3233" s="28" t="s">
        <v>5102</v>
      </c>
      <c r="C3233" s="27" t="s">
        <v>5976</v>
      </c>
      <c r="D3233" s="27" t="s">
        <v>5104</v>
      </c>
      <c r="E3233" s="29">
        <v>38078</v>
      </c>
      <c r="F3233" s="27">
        <v>15</v>
      </c>
      <c r="G3233" s="18">
        <v>22210.19</v>
      </c>
      <c r="H3233" s="27">
        <f t="shared" si="100"/>
        <v>22210.19</v>
      </c>
      <c r="I3233" s="18">
        <v>21099.68</v>
      </c>
      <c r="J3233" s="27">
        <v>22210.19</v>
      </c>
      <c r="K3233" s="18">
        <f t="shared" si="101"/>
        <v>22210.19</v>
      </c>
      <c r="L3233" s="27">
        <v>21099.68</v>
      </c>
      <c r="M3233" s="36">
        <v>0</v>
      </c>
      <c r="T3233" s="41">
        <v>0</v>
      </c>
      <c r="U3233" s="41">
        <v>0</v>
      </c>
      <c r="V3233" s="42" t="s">
        <v>113</v>
      </c>
      <c r="W3233" s="42">
        <v>22210.19</v>
      </c>
      <c r="X3233" s="42">
        <v>22210.19</v>
      </c>
    </row>
    <row r="3234" spans="1:24">
      <c r="A3234" s="27" t="s">
        <v>5978</v>
      </c>
      <c r="B3234" s="28" t="s">
        <v>5102</v>
      </c>
      <c r="C3234" s="27" t="s">
        <v>5979</v>
      </c>
      <c r="D3234" s="27" t="s">
        <v>5104</v>
      </c>
      <c r="E3234" s="29">
        <v>36495</v>
      </c>
      <c r="F3234" s="27">
        <v>15</v>
      </c>
      <c r="G3234" s="18">
        <v>24986.12</v>
      </c>
      <c r="H3234" s="27">
        <f t="shared" si="100"/>
        <v>24986.12</v>
      </c>
      <c r="I3234" s="18">
        <v>23736.81</v>
      </c>
      <c r="J3234" s="27">
        <v>24986.12</v>
      </c>
      <c r="K3234" s="18">
        <f t="shared" si="101"/>
        <v>24986.12</v>
      </c>
      <c r="L3234" s="27">
        <v>23736.81</v>
      </c>
      <c r="M3234" s="36">
        <v>0</v>
      </c>
      <c r="T3234" s="41">
        <v>0</v>
      </c>
      <c r="U3234" s="41">
        <v>0</v>
      </c>
      <c r="V3234" s="42" t="s">
        <v>113</v>
      </c>
      <c r="W3234" s="42">
        <v>24986.12</v>
      </c>
      <c r="X3234" s="42">
        <v>24986.12</v>
      </c>
    </row>
    <row r="3235" spans="1:24">
      <c r="A3235" s="27" t="s">
        <v>5980</v>
      </c>
      <c r="B3235" s="28" t="s">
        <v>5102</v>
      </c>
      <c r="C3235" s="27" t="s">
        <v>5981</v>
      </c>
      <c r="D3235" s="27" t="s">
        <v>5104</v>
      </c>
      <c r="E3235" s="29">
        <v>38078</v>
      </c>
      <c r="F3235" s="27">
        <v>15</v>
      </c>
      <c r="G3235" s="18">
        <v>12804.48</v>
      </c>
      <c r="H3235" s="27">
        <f t="shared" si="100"/>
        <v>12804.48</v>
      </c>
      <c r="I3235" s="18">
        <v>12164.26</v>
      </c>
      <c r="J3235" s="27">
        <v>12804.48</v>
      </c>
      <c r="K3235" s="18">
        <f t="shared" si="101"/>
        <v>12804.48</v>
      </c>
      <c r="L3235" s="27">
        <v>12164.26</v>
      </c>
      <c r="M3235" s="36">
        <v>0</v>
      </c>
      <c r="T3235" s="41">
        <v>0</v>
      </c>
      <c r="U3235" s="41">
        <v>0</v>
      </c>
      <c r="V3235" s="42" t="s">
        <v>113</v>
      </c>
      <c r="W3235" s="42">
        <v>12804.48</v>
      </c>
      <c r="X3235" s="42">
        <v>12804.48</v>
      </c>
    </row>
    <row r="3236" spans="1:24">
      <c r="A3236" s="27" t="s">
        <v>5982</v>
      </c>
      <c r="B3236" s="28" t="s">
        <v>5102</v>
      </c>
      <c r="C3236" s="27" t="s">
        <v>5983</v>
      </c>
      <c r="D3236" s="27" t="s">
        <v>5104</v>
      </c>
      <c r="E3236" s="29">
        <v>36495</v>
      </c>
      <c r="F3236" s="27">
        <v>15</v>
      </c>
      <c r="G3236" s="18">
        <v>36080.07</v>
      </c>
      <c r="H3236" s="27">
        <f t="shared" si="100"/>
        <v>36080.07</v>
      </c>
      <c r="I3236" s="18">
        <v>34276.07</v>
      </c>
      <c r="J3236" s="27">
        <v>36080.07</v>
      </c>
      <c r="K3236" s="18">
        <f t="shared" si="101"/>
        <v>36080.07</v>
      </c>
      <c r="L3236" s="27">
        <v>34276.07</v>
      </c>
      <c r="M3236" s="36">
        <v>0</v>
      </c>
      <c r="T3236" s="41">
        <v>0</v>
      </c>
      <c r="U3236" s="41">
        <v>0</v>
      </c>
      <c r="V3236" s="42" t="s">
        <v>113</v>
      </c>
      <c r="W3236" s="42">
        <v>36080.07</v>
      </c>
      <c r="X3236" s="42">
        <v>36080.07</v>
      </c>
    </row>
    <row r="3237" spans="1:24">
      <c r="A3237" s="27" t="s">
        <v>5984</v>
      </c>
      <c r="B3237" s="28" t="s">
        <v>5102</v>
      </c>
      <c r="C3237" s="27" t="s">
        <v>5985</v>
      </c>
      <c r="D3237" s="27" t="s">
        <v>5104</v>
      </c>
      <c r="E3237" s="29">
        <v>36647</v>
      </c>
      <c r="F3237" s="27">
        <v>15</v>
      </c>
      <c r="G3237" s="18">
        <v>11803.59</v>
      </c>
      <c r="H3237" s="27">
        <f t="shared" si="100"/>
        <v>11803.59</v>
      </c>
      <c r="I3237" s="18">
        <v>11213.41</v>
      </c>
      <c r="J3237" s="27">
        <v>11803.59</v>
      </c>
      <c r="K3237" s="18">
        <f t="shared" si="101"/>
        <v>11803.59</v>
      </c>
      <c r="L3237" s="27">
        <v>11213.41</v>
      </c>
      <c r="M3237" s="36">
        <v>0</v>
      </c>
      <c r="T3237" s="41">
        <v>0</v>
      </c>
      <c r="U3237" s="41">
        <v>0</v>
      </c>
      <c r="V3237" s="42" t="s">
        <v>113</v>
      </c>
      <c r="W3237" s="42">
        <v>11803.59</v>
      </c>
      <c r="X3237" s="42">
        <v>11803.59</v>
      </c>
    </row>
    <row r="3238" spans="1:24">
      <c r="A3238" s="27" t="s">
        <v>5986</v>
      </c>
      <c r="B3238" s="28" t="s">
        <v>5102</v>
      </c>
      <c r="C3238" s="27" t="s">
        <v>5987</v>
      </c>
      <c r="D3238" s="27" t="s">
        <v>5104</v>
      </c>
      <c r="E3238" s="29">
        <v>34943</v>
      </c>
      <c r="F3238" s="27">
        <v>15</v>
      </c>
      <c r="G3238" s="18">
        <v>7696.62</v>
      </c>
      <c r="H3238" s="27">
        <f t="shared" si="100"/>
        <v>7696.62</v>
      </c>
      <c r="I3238" s="18">
        <v>7311.79</v>
      </c>
      <c r="J3238" s="27">
        <v>7696.62</v>
      </c>
      <c r="K3238" s="18">
        <f t="shared" si="101"/>
        <v>7696.62</v>
      </c>
      <c r="L3238" s="27">
        <v>7311.79</v>
      </c>
      <c r="M3238" s="36">
        <v>0</v>
      </c>
      <c r="T3238" s="41">
        <v>0</v>
      </c>
      <c r="U3238" s="41">
        <v>0</v>
      </c>
      <c r="V3238" s="42" t="s">
        <v>113</v>
      </c>
      <c r="W3238" s="42">
        <v>7696.62</v>
      </c>
      <c r="X3238" s="42">
        <v>7696.62</v>
      </c>
    </row>
    <row r="3239" spans="1:24">
      <c r="A3239" s="27" t="s">
        <v>5988</v>
      </c>
      <c r="B3239" s="28" t="s">
        <v>5102</v>
      </c>
      <c r="C3239" s="27" t="s">
        <v>5989</v>
      </c>
      <c r="D3239" s="27" t="s">
        <v>5104</v>
      </c>
      <c r="E3239" s="29">
        <v>34943</v>
      </c>
      <c r="F3239" s="27">
        <v>15</v>
      </c>
      <c r="G3239" s="18">
        <v>8587.44</v>
      </c>
      <c r="H3239" s="27">
        <f t="shared" si="100"/>
        <v>8587.44</v>
      </c>
      <c r="I3239" s="18">
        <v>8158.07</v>
      </c>
      <c r="J3239" s="27">
        <v>8587.44</v>
      </c>
      <c r="K3239" s="18">
        <f t="shared" si="101"/>
        <v>8587.44</v>
      </c>
      <c r="L3239" s="27">
        <v>8158.07</v>
      </c>
      <c r="M3239" s="36">
        <v>0</v>
      </c>
      <c r="T3239" s="41">
        <v>0</v>
      </c>
      <c r="U3239" s="41">
        <v>0</v>
      </c>
      <c r="V3239" s="42" t="s">
        <v>113</v>
      </c>
      <c r="W3239" s="42">
        <v>8587.44</v>
      </c>
      <c r="X3239" s="42">
        <v>8587.44</v>
      </c>
    </row>
    <row r="3240" spans="1:24">
      <c r="A3240" s="27" t="s">
        <v>5990</v>
      </c>
      <c r="B3240" s="28" t="s">
        <v>5102</v>
      </c>
      <c r="C3240" s="27" t="s">
        <v>5991</v>
      </c>
      <c r="D3240" s="27" t="s">
        <v>5104</v>
      </c>
      <c r="E3240" s="29">
        <v>34943</v>
      </c>
      <c r="F3240" s="27">
        <v>15</v>
      </c>
      <c r="G3240" s="18">
        <v>5833.57</v>
      </c>
      <c r="H3240" s="27">
        <f t="shared" si="100"/>
        <v>5833.57</v>
      </c>
      <c r="I3240" s="18">
        <v>5541.89</v>
      </c>
      <c r="J3240" s="27">
        <v>5833.57</v>
      </c>
      <c r="K3240" s="18">
        <f t="shared" si="101"/>
        <v>5833.57</v>
      </c>
      <c r="L3240" s="27">
        <v>5541.89</v>
      </c>
      <c r="M3240" s="36">
        <v>0</v>
      </c>
      <c r="T3240" s="41">
        <v>0</v>
      </c>
      <c r="U3240" s="41">
        <v>0</v>
      </c>
      <c r="V3240" s="42" t="s">
        <v>113</v>
      </c>
      <c r="W3240" s="42">
        <v>5833.57</v>
      </c>
      <c r="X3240" s="42">
        <v>5833.57</v>
      </c>
    </row>
    <row r="3241" spans="1:24">
      <c r="A3241" s="27" t="s">
        <v>5992</v>
      </c>
      <c r="B3241" s="28" t="s">
        <v>5102</v>
      </c>
      <c r="C3241" s="27" t="s">
        <v>5985</v>
      </c>
      <c r="D3241" s="27" t="s">
        <v>5104</v>
      </c>
      <c r="E3241" s="29">
        <v>34943</v>
      </c>
      <c r="F3241" s="27">
        <v>15</v>
      </c>
      <c r="G3241" s="18">
        <v>8202.5300000000007</v>
      </c>
      <c r="H3241" s="27">
        <f t="shared" si="100"/>
        <v>8202.5300000000007</v>
      </c>
      <c r="I3241" s="18">
        <v>7792.4</v>
      </c>
      <c r="J3241" s="27">
        <v>8202.5300000000007</v>
      </c>
      <c r="K3241" s="18">
        <f t="shared" si="101"/>
        <v>8202.5300000000007</v>
      </c>
      <c r="L3241" s="27">
        <v>7792.4</v>
      </c>
      <c r="M3241" s="36">
        <v>0</v>
      </c>
      <c r="T3241" s="41">
        <v>0</v>
      </c>
      <c r="U3241" s="41">
        <v>0</v>
      </c>
      <c r="V3241" s="42" t="s">
        <v>113</v>
      </c>
      <c r="W3241" s="42">
        <v>8202.5300000000007</v>
      </c>
      <c r="X3241" s="42">
        <v>8202.5300000000007</v>
      </c>
    </row>
    <row r="3242" spans="1:24">
      <c r="A3242" s="27" t="s">
        <v>5993</v>
      </c>
      <c r="B3242" s="28" t="s">
        <v>5102</v>
      </c>
      <c r="C3242" s="27" t="s">
        <v>5994</v>
      </c>
      <c r="D3242" s="27" t="s">
        <v>5104</v>
      </c>
      <c r="E3242" s="29">
        <v>34943</v>
      </c>
      <c r="F3242" s="27">
        <v>15</v>
      </c>
      <c r="G3242" s="18">
        <v>7825.84</v>
      </c>
      <c r="H3242" s="27">
        <f t="shared" si="100"/>
        <v>7825.84</v>
      </c>
      <c r="I3242" s="18">
        <v>7434.55</v>
      </c>
      <c r="J3242" s="27">
        <v>7825.84</v>
      </c>
      <c r="K3242" s="18">
        <f t="shared" si="101"/>
        <v>7825.84</v>
      </c>
      <c r="L3242" s="27">
        <v>7434.55</v>
      </c>
      <c r="M3242" s="36">
        <v>0</v>
      </c>
      <c r="T3242" s="41">
        <v>0</v>
      </c>
      <c r="U3242" s="41">
        <v>0</v>
      </c>
      <c r="V3242" s="42" t="s">
        <v>113</v>
      </c>
      <c r="W3242" s="42">
        <v>7825.84</v>
      </c>
      <c r="X3242" s="42">
        <v>7825.84</v>
      </c>
    </row>
    <row r="3243" spans="1:24">
      <c r="A3243" s="27" t="s">
        <v>5995</v>
      </c>
      <c r="B3243" s="28" t="s">
        <v>5102</v>
      </c>
      <c r="C3243" s="27" t="s">
        <v>5996</v>
      </c>
      <c r="D3243" s="27" t="s">
        <v>5104</v>
      </c>
      <c r="E3243" s="29">
        <v>34943</v>
      </c>
      <c r="F3243" s="27">
        <v>15</v>
      </c>
      <c r="G3243" s="18">
        <v>7321.62</v>
      </c>
      <c r="H3243" s="27">
        <f t="shared" si="100"/>
        <v>7321.62</v>
      </c>
      <c r="I3243" s="18">
        <v>6955.54</v>
      </c>
      <c r="J3243" s="27">
        <v>7321.62</v>
      </c>
      <c r="K3243" s="18">
        <f t="shared" si="101"/>
        <v>7321.62</v>
      </c>
      <c r="L3243" s="27">
        <v>6955.54</v>
      </c>
      <c r="M3243" s="36">
        <v>0</v>
      </c>
      <c r="T3243" s="41">
        <v>0</v>
      </c>
      <c r="U3243" s="41">
        <v>0</v>
      </c>
      <c r="V3243" s="42" t="s">
        <v>113</v>
      </c>
      <c r="W3243" s="42">
        <v>7321.62</v>
      </c>
      <c r="X3243" s="42">
        <v>7321.62</v>
      </c>
    </row>
    <row r="3244" spans="1:24">
      <c r="A3244" s="27" t="s">
        <v>5997</v>
      </c>
      <c r="B3244" s="28" t="s">
        <v>5102</v>
      </c>
      <c r="C3244" s="27" t="s">
        <v>5991</v>
      </c>
      <c r="D3244" s="27" t="s">
        <v>5104</v>
      </c>
      <c r="E3244" s="29">
        <v>34943</v>
      </c>
      <c r="F3244" s="27">
        <v>15</v>
      </c>
      <c r="G3244" s="18">
        <v>12113.13</v>
      </c>
      <c r="H3244" s="27">
        <f t="shared" si="100"/>
        <v>12113.13</v>
      </c>
      <c r="I3244" s="18">
        <v>11507.47</v>
      </c>
      <c r="J3244" s="27">
        <v>12113.13</v>
      </c>
      <c r="K3244" s="18">
        <f t="shared" si="101"/>
        <v>12113.13</v>
      </c>
      <c r="L3244" s="27">
        <v>11507.47</v>
      </c>
      <c r="M3244" s="36">
        <v>0</v>
      </c>
      <c r="T3244" s="41">
        <v>0</v>
      </c>
      <c r="U3244" s="41">
        <v>0</v>
      </c>
      <c r="V3244" s="42" t="s">
        <v>113</v>
      </c>
      <c r="W3244" s="42">
        <v>12113.13</v>
      </c>
      <c r="X3244" s="42">
        <v>12113.13</v>
      </c>
    </row>
    <row r="3245" spans="1:24">
      <c r="A3245" s="27" t="s">
        <v>5998</v>
      </c>
      <c r="B3245" s="28" t="s">
        <v>5102</v>
      </c>
      <c r="C3245" s="27" t="s">
        <v>5999</v>
      </c>
      <c r="D3245" s="27" t="s">
        <v>5104</v>
      </c>
      <c r="E3245" s="29">
        <v>34943</v>
      </c>
      <c r="F3245" s="27">
        <v>15</v>
      </c>
      <c r="G3245" s="18">
        <v>14244.6</v>
      </c>
      <c r="H3245" s="27">
        <f t="shared" si="100"/>
        <v>14244.6</v>
      </c>
      <c r="I3245" s="18">
        <v>13532.37</v>
      </c>
      <c r="J3245" s="27">
        <v>14244.6</v>
      </c>
      <c r="K3245" s="18">
        <f t="shared" si="101"/>
        <v>14244.6</v>
      </c>
      <c r="L3245" s="27">
        <v>13532.37</v>
      </c>
      <c r="M3245" s="36">
        <v>0</v>
      </c>
      <c r="T3245" s="41">
        <v>0</v>
      </c>
      <c r="U3245" s="41">
        <v>0</v>
      </c>
      <c r="V3245" s="42" t="s">
        <v>113</v>
      </c>
      <c r="W3245" s="42">
        <v>14244.6</v>
      </c>
      <c r="X3245" s="42">
        <v>14244.6</v>
      </c>
    </row>
    <row r="3246" spans="1:24">
      <c r="A3246" s="27" t="s">
        <v>6000</v>
      </c>
      <c r="B3246" s="28" t="s">
        <v>5102</v>
      </c>
      <c r="C3246" s="27" t="s">
        <v>5985</v>
      </c>
      <c r="D3246" s="27" t="s">
        <v>5104</v>
      </c>
      <c r="E3246" s="29">
        <v>37288</v>
      </c>
      <c r="F3246" s="27">
        <v>15</v>
      </c>
      <c r="G3246" s="18">
        <v>6560.94</v>
      </c>
      <c r="H3246" s="27">
        <f t="shared" si="100"/>
        <v>6560.94</v>
      </c>
      <c r="I3246" s="18">
        <v>6232.89</v>
      </c>
      <c r="J3246" s="27">
        <v>6560.94</v>
      </c>
      <c r="K3246" s="18">
        <f t="shared" si="101"/>
        <v>6560.94</v>
      </c>
      <c r="L3246" s="27">
        <v>6232.89</v>
      </c>
      <c r="M3246" s="36">
        <v>0</v>
      </c>
      <c r="T3246" s="41">
        <v>0</v>
      </c>
      <c r="U3246" s="41">
        <v>0</v>
      </c>
      <c r="V3246" s="42" t="s">
        <v>113</v>
      </c>
      <c r="W3246" s="42">
        <v>6560.94</v>
      </c>
      <c r="X3246" s="42">
        <v>6560.94</v>
      </c>
    </row>
    <row r="3247" spans="1:24">
      <c r="A3247" s="27" t="s">
        <v>6001</v>
      </c>
      <c r="B3247" s="28" t="s">
        <v>5102</v>
      </c>
      <c r="C3247" s="27" t="s">
        <v>6002</v>
      </c>
      <c r="D3247" s="27" t="s">
        <v>5104</v>
      </c>
      <c r="E3247" s="29">
        <v>37288</v>
      </c>
      <c r="F3247" s="27">
        <v>15</v>
      </c>
      <c r="G3247" s="18">
        <v>5708.1</v>
      </c>
      <c r="H3247" s="27">
        <f t="shared" si="100"/>
        <v>5708.1</v>
      </c>
      <c r="I3247" s="18">
        <v>5422.69</v>
      </c>
      <c r="J3247" s="27">
        <v>5708.1</v>
      </c>
      <c r="K3247" s="18">
        <f t="shared" si="101"/>
        <v>5708.1</v>
      </c>
      <c r="L3247" s="27">
        <v>5422.69</v>
      </c>
      <c r="M3247" s="36">
        <v>0</v>
      </c>
      <c r="T3247" s="41">
        <v>0</v>
      </c>
      <c r="U3247" s="41">
        <v>0</v>
      </c>
      <c r="V3247" s="42" t="s">
        <v>113</v>
      </c>
      <c r="W3247" s="42">
        <v>5708.1</v>
      </c>
      <c r="X3247" s="42">
        <v>5708.1</v>
      </c>
    </row>
    <row r="3248" spans="1:24">
      <c r="A3248" s="27" t="s">
        <v>6003</v>
      </c>
      <c r="B3248" s="28" t="s">
        <v>5102</v>
      </c>
      <c r="C3248" s="27" t="s">
        <v>6004</v>
      </c>
      <c r="D3248" s="27" t="s">
        <v>5104</v>
      </c>
      <c r="E3248" s="29">
        <v>36982</v>
      </c>
      <c r="F3248" s="27">
        <v>15</v>
      </c>
      <c r="G3248" s="18">
        <v>5481</v>
      </c>
      <c r="H3248" s="27">
        <f t="shared" si="100"/>
        <v>5481</v>
      </c>
      <c r="I3248" s="18">
        <v>5206.95</v>
      </c>
      <c r="J3248" s="27">
        <v>5481</v>
      </c>
      <c r="K3248" s="18">
        <f t="shared" si="101"/>
        <v>5481</v>
      </c>
      <c r="L3248" s="27">
        <v>5206.95</v>
      </c>
      <c r="M3248" s="36">
        <v>0</v>
      </c>
      <c r="T3248" s="41">
        <v>0</v>
      </c>
      <c r="U3248" s="41">
        <v>0</v>
      </c>
      <c r="V3248" s="42" t="s">
        <v>113</v>
      </c>
      <c r="W3248" s="42">
        <v>5481</v>
      </c>
      <c r="X3248" s="42">
        <v>5481</v>
      </c>
    </row>
    <row r="3249" spans="1:24">
      <c r="A3249" s="27" t="s">
        <v>6005</v>
      </c>
      <c r="B3249" s="28" t="s">
        <v>5102</v>
      </c>
      <c r="C3249" s="27" t="s">
        <v>6006</v>
      </c>
      <c r="D3249" s="27" t="s">
        <v>5104</v>
      </c>
      <c r="E3249" s="29">
        <v>37377</v>
      </c>
      <c r="F3249" s="27">
        <v>15</v>
      </c>
      <c r="G3249" s="18">
        <v>8785.16</v>
      </c>
      <c r="H3249" s="27">
        <f t="shared" si="100"/>
        <v>8785.16</v>
      </c>
      <c r="I3249" s="18">
        <v>8345.9</v>
      </c>
      <c r="J3249" s="27">
        <v>8785.16</v>
      </c>
      <c r="K3249" s="18">
        <f t="shared" si="101"/>
        <v>8785.16</v>
      </c>
      <c r="L3249" s="27">
        <v>8345.9</v>
      </c>
      <c r="M3249" s="36">
        <v>0</v>
      </c>
      <c r="T3249" s="41">
        <v>0</v>
      </c>
      <c r="U3249" s="41">
        <v>0</v>
      </c>
      <c r="V3249" s="42" t="s">
        <v>113</v>
      </c>
      <c r="W3249" s="42">
        <v>8785.16</v>
      </c>
      <c r="X3249" s="42">
        <v>8785.16</v>
      </c>
    </row>
    <row r="3250" spans="1:24">
      <c r="A3250" s="27" t="s">
        <v>6007</v>
      </c>
      <c r="B3250" s="28" t="s">
        <v>5102</v>
      </c>
      <c r="C3250" s="27" t="s">
        <v>6008</v>
      </c>
      <c r="D3250" s="27" t="s">
        <v>5104</v>
      </c>
      <c r="E3250" s="29">
        <v>37469</v>
      </c>
      <c r="F3250" s="27">
        <v>15</v>
      </c>
      <c r="G3250" s="18">
        <v>11895.22</v>
      </c>
      <c r="H3250" s="27">
        <f t="shared" si="100"/>
        <v>11895.22</v>
      </c>
      <c r="I3250" s="18">
        <v>11300.46</v>
      </c>
      <c r="J3250" s="27">
        <v>11895.22</v>
      </c>
      <c r="K3250" s="18">
        <f t="shared" si="101"/>
        <v>11895.22</v>
      </c>
      <c r="L3250" s="27">
        <v>11300.46</v>
      </c>
      <c r="M3250" s="36">
        <v>0</v>
      </c>
      <c r="T3250" s="41">
        <v>0</v>
      </c>
      <c r="U3250" s="41">
        <v>0</v>
      </c>
      <c r="V3250" s="42" t="s">
        <v>113</v>
      </c>
      <c r="W3250" s="42">
        <v>11895.22</v>
      </c>
      <c r="X3250" s="42">
        <v>11895.22</v>
      </c>
    </row>
    <row r="3251" spans="1:24">
      <c r="A3251" s="27" t="s">
        <v>6009</v>
      </c>
      <c r="B3251" s="28" t="s">
        <v>5102</v>
      </c>
      <c r="C3251" s="27" t="s">
        <v>6010</v>
      </c>
      <c r="D3251" s="27" t="s">
        <v>5104</v>
      </c>
      <c r="E3251" s="29">
        <v>37530</v>
      </c>
      <c r="F3251" s="27">
        <v>15</v>
      </c>
      <c r="G3251" s="18">
        <v>6960.73</v>
      </c>
      <c r="H3251" s="27">
        <f t="shared" si="100"/>
        <v>6960.73</v>
      </c>
      <c r="I3251" s="18">
        <v>6612.69</v>
      </c>
      <c r="J3251" s="27">
        <v>6960.73</v>
      </c>
      <c r="K3251" s="18">
        <f t="shared" si="101"/>
        <v>6960.73</v>
      </c>
      <c r="L3251" s="27">
        <v>6612.69</v>
      </c>
      <c r="M3251" s="36">
        <v>0</v>
      </c>
      <c r="T3251" s="41">
        <v>0</v>
      </c>
      <c r="U3251" s="41">
        <v>0</v>
      </c>
      <c r="V3251" s="42" t="s">
        <v>113</v>
      </c>
      <c r="W3251" s="42">
        <v>6960.73</v>
      </c>
      <c r="X3251" s="42">
        <v>6960.73</v>
      </c>
    </row>
    <row r="3252" spans="1:24">
      <c r="A3252" s="27" t="s">
        <v>6011</v>
      </c>
      <c r="B3252" s="28" t="s">
        <v>5102</v>
      </c>
      <c r="C3252" s="27" t="s">
        <v>6012</v>
      </c>
      <c r="D3252" s="27" t="s">
        <v>5104</v>
      </c>
      <c r="E3252" s="29">
        <v>37530</v>
      </c>
      <c r="F3252" s="27">
        <v>15</v>
      </c>
      <c r="G3252" s="18">
        <v>9052.9699999999993</v>
      </c>
      <c r="H3252" s="27">
        <f t="shared" si="100"/>
        <v>9052.9699999999993</v>
      </c>
      <c r="I3252" s="18">
        <v>8600.32</v>
      </c>
      <c r="J3252" s="27">
        <v>9052.9699999999993</v>
      </c>
      <c r="K3252" s="18">
        <f t="shared" si="101"/>
        <v>9052.9699999999993</v>
      </c>
      <c r="L3252" s="27">
        <v>8600.32</v>
      </c>
      <c r="M3252" s="36">
        <v>0</v>
      </c>
      <c r="T3252" s="41">
        <v>0</v>
      </c>
      <c r="U3252" s="41">
        <v>0</v>
      </c>
      <c r="V3252" s="42" t="s">
        <v>113</v>
      </c>
      <c r="W3252" s="42">
        <v>9052.9699999999993</v>
      </c>
      <c r="X3252" s="42">
        <v>9052.9699999999993</v>
      </c>
    </row>
    <row r="3253" spans="1:24">
      <c r="A3253" s="27" t="s">
        <v>6013</v>
      </c>
      <c r="B3253" s="28" t="s">
        <v>5102</v>
      </c>
      <c r="C3253" s="27" t="s">
        <v>6014</v>
      </c>
      <c r="D3253" s="27" t="s">
        <v>5104</v>
      </c>
      <c r="E3253" s="29">
        <v>37530</v>
      </c>
      <c r="F3253" s="27">
        <v>15</v>
      </c>
      <c r="G3253" s="18">
        <v>14627.98</v>
      </c>
      <c r="H3253" s="27">
        <f t="shared" si="100"/>
        <v>14627.98</v>
      </c>
      <c r="I3253" s="18">
        <v>13896.58</v>
      </c>
      <c r="J3253" s="27">
        <v>14627.98</v>
      </c>
      <c r="K3253" s="18">
        <f t="shared" si="101"/>
        <v>14627.98</v>
      </c>
      <c r="L3253" s="27">
        <v>13896.58</v>
      </c>
      <c r="M3253" s="36">
        <v>0</v>
      </c>
      <c r="T3253" s="41">
        <v>0</v>
      </c>
      <c r="U3253" s="41">
        <v>0</v>
      </c>
      <c r="V3253" s="42" t="s">
        <v>113</v>
      </c>
      <c r="W3253" s="42">
        <v>14627.98</v>
      </c>
      <c r="X3253" s="42">
        <v>14627.98</v>
      </c>
    </row>
    <row r="3254" spans="1:24">
      <c r="A3254" s="27" t="s">
        <v>6015</v>
      </c>
      <c r="B3254" s="28" t="s">
        <v>5102</v>
      </c>
      <c r="C3254" s="27" t="s">
        <v>6016</v>
      </c>
      <c r="D3254" s="27" t="s">
        <v>5104</v>
      </c>
      <c r="E3254" s="29">
        <v>37773</v>
      </c>
      <c r="F3254" s="27">
        <v>15</v>
      </c>
      <c r="G3254" s="18">
        <v>77014</v>
      </c>
      <c r="H3254" s="27">
        <f t="shared" si="100"/>
        <v>77014</v>
      </c>
      <c r="I3254" s="18">
        <v>73163.3</v>
      </c>
      <c r="J3254" s="27">
        <v>77014</v>
      </c>
      <c r="K3254" s="18">
        <f t="shared" si="101"/>
        <v>77014</v>
      </c>
      <c r="L3254" s="27">
        <v>73163.3</v>
      </c>
      <c r="M3254" s="36">
        <v>0</v>
      </c>
      <c r="T3254" s="41">
        <v>0</v>
      </c>
      <c r="U3254" s="41">
        <v>0</v>
      </c>
      <c r="V3254" s="42" t="s">
        <v>113</v>
      </c>
      <c r="W3254" s="42">
        <v>77014</v>
      </c>
      <c r="X3254" s="42">
        <v>77014</v>
      </c>
    </row>
    <row r="3255" spans="1:24">
      <c r="A3255" s="27" t="s">
        <v>6017</v>
      </c>
      <c r="B3255" s="28" t="s">
        <v>5102</v>
      </c>
      <c r="C3255" s="27" t="s">
        <v>6018</v>
      </c>
      <c r="D3255" s="27" t="s">
        <v>5104</v>
      </c>
      <c r="E3255" s="29">
        <v>32964</v>
      </c>
      <c r="F3255" s="27">
        <v>15</v>
      </c>
      <c r="G3255" s="18">
        <v>12934.25</v>
      </c>
      <c r="H3255" s="27">
        <f t="shared" si="100"/>
        <v>12934.25</v>
      </c>
      <c r="I3255" s="18">
        <v>12287.54</v>
      </c>
      <c r="J3255" s="27">
        <v>12934.25</v>
      </c>
      <c r="K3255" s="18">
        <f t="shared" si="101"/>
        <v>12934.25</v>
      </c>
      <c r="L3255" s="27">
        <v>12287.54</v>
      </c>
      <c r="M3255" s="36">
        <v>0</v>
      </c>
      <c r="T3255" s="41">
        <v>0</v>
      </c>
      <c r="U3255" s="41">
        <v>0</v>
      </c>
      <c r="V3255" s="42" t="s">
        <v>113</v>
      </c>
      <c r="W3255" s="42">
        <v>12934.25</v>
      </c>
      <c r="X3255" s="42">
        <v>12934.25</v>
      </c>
    </row>
    <row r="3256" spans="1:24">
      <c r="A3256" s="27" t="s">
        <v>6019</v>
      </c>
      <c r="B3256" s="28" t="s">
        <v>5102</v>
      </c>
      <c r="C3256" s="27" t="s">
        <v>6020</v>
      </c>
      <c r="D3256" s="27" t="s">
        <v>5104</v>
      </c>
      <c r="E3256" s="29">
        <v>35156</v>
      </c>
      <c r="F3256" s="27">
        <v>15</v>
      </c>
      <c r="G3256" s="18">
        <v>39594.79</v>
      </c>
      <c r="H3256" s="27">
        <f t="shared" si="100"/>
        <v>39594.79</v>
      </c>
      <c r="I3256" s="18">
        <v>37615.050000000003</v>
      </c>
      <c r="J3256" s="27">
        <v>39594.79</v>
      </c>
      <c r="K3256" s="18">
        <f t="shared" si="101"/>
        <v>39594.79</v>
      </c>
      <c r="L3256" s="27">
        <v>37615.050000000003</v>
      </c>
      <c r="M3256" s="36">
        <v>0</v>
      </c>
      <c r="T3256" s="41">
        <v>0</v>
      </c>
      <c r="U3256" s="41">
        <v>0</v>
      </c>
      <c r="V3256" s="42" t="s">
        <v>113</v>
      </c>
      <c r="W3256" s="42">
        <v>39594.79</v>
      </c>
      <c r="X3256" s="42">
        <v>39594.79</v>
      </c>
    </row>
    <row r="3257" spans="1:24">
      <c r="A3257" s="27" t="s">
        <v>6021</v>
      </c>
      <c r="B3257" s="28" t="s">
        <v>5102</v>
      </c>
      <c r="C3257" s="27" t="s">
        <v>5515</v>
      </c>
      <c r="D3257" s="27" t="s">
        <v>5104</v>
      </c>
      <c r="E3257" s="29">
        <v>34486</v>
      </c>
      <c r="F3257" s="27">
        <v>15</v>
      </c>
      <c r="G3257" s="18">
        <v>8531.25</v>
      </c>
      <c r="H3257" s="27">
        <f t="shared" si="100"/>
        <v>8531.25</v>
      </c>
      <c r="I3257" s="18">
        <v>8104.69</v>
      </c>
      <c r="J3257" s="27">
        <v>8531.25</v>
      </c>
      <c r="K3257" s="18">
        <f t="shared" si="101"/>
        <v>8531.25</v>
      </c>
      <c r="L3257" s="27">
        <v>8104.69</v>
      </c>
      <c r="M3257" s="36">
        <v>0</v>
      </c>
      <c r="T3257" s="41">
        <v>0</v>
      </c>
      <c r="U3257" s="41">
        <v>0</v>
      </c>
      <c r="V3257" s="42" t="s">
        <v>113</v>
      </c>
      <c r="W3257" s="42">
        <v>8531.25</v>
      </c>
      <c r="X3257" s="42">
        <v>8531.25</v>
      </c>
    </row>
    <row r="3258" spans="1:24">
      <c r="A3258" s="27" t="s">
        <v>6022</v>
      </c>
      <c r="B3258" s="28" t="s">
        <v>5102</v>
      </c>
      <c r="C3258" s="27" t="s">
        <v>6023</v>
      </c>
      <c r="D3258" s="27" t="s">
        <v>5104</v>
      </c>
      <c r="E3258" s="29">
        <v>34700</v>
      </c>
      <c r="F3258" s="27">
        <v>15</v>
      </c>
      <c r="G3258" s="18">
        <v>8854.17</v>
      </c>
      <c r="H3258" s="27">
        <f t="shared" si="100"/>
        <v>8854.17</v>
      </c>
      <c r="I3258" s="18">
        <v>8411.4599999999991</v>
      </c>
      <c r="J3258" s="27">
        <v>8854.17</v>
      </c>
      <c r="K3258" s="18">
        <f t="shared" si="101"/>
        <v>8854.17</v>
      </c>
      <c r="L3258" s="27">
        <v>8411.4599999999991</v>
      </c>
      <c r="M3258" s="36">
        <v>0</v>
      </c>
      <c r="T3258" s="41">
        <v>0</v>
      </c>
      <c r="U3258" s="41">
        <v>0</v>
      </c>
      <c r="V3258" s="42" t="s">
        <v>113</v>
      </c>
      <c r="W3258" s="42">
        <v>8854.17</v>
      </c>
      <c r="X3258" s="42">
        <v>8854.17</v>
      </c>
    </row>
    <row r="3259" spans="1:24">
      <c r="A3259" s="27" t="s">
        <v>6024</v>
      </c>
      <c r="B3259" s="28" t="s">
        <v>5102</v>
      </c>
      <c r="C3259" s="27" t="s">
        <v>6025</v>
      </c>
      <c r="D3259" s="27" t="s">
        <v>5104</v>
      </c>
      <c r="E3259" s="29">
        <v>38078</v>
      </c>
      <c r="F3259" s="27">
        <v>15</v>
      </c>
      <c r="G3259" s="18">
        <v>647127.91</v>
      </c>
      <c r="H3259" s="27">
        <f t="shared" si="100"/>
        <v>647127.91</v>
      </c>
      <c r="I3259" s="18">
        <v>614771.51</v>
      </c>
      <c r="J3259" s="27">
        <v>647127.91</v>
      </c>
      <c r="K3259" s="18">
        <f t="shared" si="101"/>
        <v>647127.91</v>
      </c>
      <c r="L3259" s="27">
        <v>614771.51</v>
      </c>
      <c r="M3259" s="36">
        <v>0</v>
      </c>
      <c r="T3259" s="41">
        <v>0</v>
      </c>
      <c r="U3259" s="41">
        <v>0</v>
      </c>
      <c r="V3259" s="42" t="s">
        <v>113</v>
      </c>
      <c r="W3259" s="42">
        <v>647127.91</v>
      </c>
      <c r="X3259" s="42">
        <v>647127.91</v>
      </c>
    </row>
    <row r="3260" spans="1:24">
      <c r="A3260" s="27" t="s">
        <v>6026</v>
      </c>
      <c r="B3260" s="28" t="s">
        <v>5102</v>
      </c>
      <c r="C3260" s="27" t="s">
        <v>6027</v>
      </c>
      <c r="D3260" s="27" t="s">
        <v>5104</v>
      </c>
      <c r="E3260" s="29">
        <v>36495</v>
      </c>
      <c r="F3260" s="27">
        <v>15</v>
      </c>
      <c r="G3260" s="18">
        <v>36929</v>
      </c>
      <c r="H3260" s="27">
        <f t="shared" si="100"/>
        <v>36929</v>
      </c>
      <c r="I3260" s="18">
        <v>35082.550000000003</v>
      </c>
      <c r="J3260" s="27">
        <v>36929</v>
      </c>
      <c r="K3260" s="18">
        <f t="shared" si="101"/>
        <v>36929</v>
      </c>
      <c r="L3260" s="27">
        <v>35082.550000000003</v>
      </c>
      <c r="M3260" s="36">
        <v>0</v>
      </c>
      <c r="T3260" s="41">
        <v>0</v>
      </c>
      <c r="U3260" s="41">
        <v>0</v>
      </c>
      <c r="V3260" s="42" t="s">
        <v>113</v>
      </c>
      <c r="W3260" s="42">
        <v>36929</v>
      </c>
      <c r="X3260" s="42">
        <v>36929</v>
      </c>
    </row>
    <row r="3261" spans="1:24">
      <c r="A3261" s="27" t="s">
        <v>6028</v>
      </c>
      <c r="B3261" s="28" t="s">
        <v>5102</v>
      </c>
      <c r="C3261" s="27" t="s">
        <v>6029</v>
      </c>
      <c r="D3261" s="27" t="s">
        <v>5104</v>
      </c>
      <c r="E3261" s="29">
        <v>36495</v>
      </c>
      <c r="F3261" s="27">
        <v>15</v>
      </c>
      <c r="G3261" s="18">
        <v>33957.72</v>
      </c>
      <c r="H3261" s="27">
        <f t="shared" si="100"/>
        <v>33957.72</v>
      </c>
      <c r="I3261" s="18">
        <v>32259.83</v>
      </c>
      <c r="J3261" s="27">
        <v>33957.72</v>
      </c>
      <c r="K3261" s="18">
        <f t="shared" si="101"/>
        <v>33957.72</v>
      </c>
      <c r="L3261" s="27">
        <v>32259.83</v>
      </c>
      <c r="M3261" s="36">
        <v>0</v>
      </c>
      <c r="T3261" s="41">
        <v>0</v>
      </c>
      <c r="U3261" s="41">
        <v>0</v>
      </c>
      <c r="V3261" s="42" t="s">
        <v>113</v>
      </c>
      <c r="W3261" s="42">
        <v>33957.72</v>
      </c>
      <c r="X3261" s="42">
        <v>33957.72</v>
      </c>
    </row>
    <row r="3262" spans="1:24">
      <c r="A3262" s="27" t="s">
        <v>6030</v>
      </c>
      <c r="B3262" s="28" t="s">
        <v>5102</v>
      </c>
      <c r="C3262" s="27" t="s">
        <v>6031</v>
      </c>
      <c r="D3262" s="27" t="s">
        <v>5104</v>
      </c>
      <c r="E3262" s="29">
        <v>36495</v>
      </c>
      <c r="F3262" s="27">
        <v>15</v>
      </c>
      <c r="G3262" s="18">
        <v>36929</v>
      </c>
      <c r="H3262" s="27">
        <f t="shared" si="100"/>
        <v>36929</v>
      </c>
      <c r="I3262" s="18">
        <v>35082.550000000003</v>
      </c>
      <c r="J3262" s="27">
        <v>36929</v>
      </c>
      <c r="K3262" s="18">
        <f t="shared" si="101"/>
        <v>36929</v>
      </c>
      <c r="L3262" s="27">
        <v>35082.550000000003</v>
      </c>
      <c r="M3262" s="36">
        <v>0</v>
      </c>
      <c r="T3262" s="41">
        <v>0</v>
      </c>
      <c r="U3262" s="41">
        <v>0</v>
      </c>
      <c r="V3262" s="42" t="s">
        <v>113</v>
      </c>
      <c r="W3262" s="42">
        <v>36929</v>
      </c>
      <c r="X3262" s="42">
        <v>36929</v>
      </c>
    </row>
    <row r="3263" spans="1:24">
      <c r="A3263" s="27" t="s">
        <v>6032</v>
      </c>
      <c r="B3263" s="28" t="s">
        <v>5102</v>
      </c>
      <c r="C3263" s="27" t="s">
        <v>6033</v>
      </c>
      <c r="D3263" s="27" t="s">
        <v>5104</v>
      </c>
      <c r="E3263" s="29">
        <v>36495</v>
      </c>
      <c r="F3263" s="27">
        <v>15</v>
      </c>
      <c r="G3263" s="18">
        <v>36929</v>
      </c>
      <c r="H3263" s="27">
        <f t="shared" si="100"/>
        <v>36929</v>
      </c>
      <c r="I3263" s="18">
        <v>35082.550000000003</v>
      </c>
      <c r="J3263" s="27">
        <v>36929</v>
      </c>
      <c r="K3263" s="18">
        <f t="shared" si="101"/>
        <v>36929</v>
      </c>
      <c r="L3263" s="27">
        <v>35082.550000000003</v>
      </c>
      <c r="M3263" s="36">
        <v>0</v>
      </c>
      <c r="T3263" s="41">
        <v>0</v>
      </c>
      <c r="U3263" s="41">
        <v>0</v>
      </c>
      <c r="V3263" s="42" t="s">
        <v>113</v>
      </c>
      <c r="W3263" s="42">
        <v>36929</v>
      </c>
      <c r="X3263" s="42">
        <v>36929</v>
      </c>
    </row>
    <row r="3264" spans="1:24">
      <c r="A3264" s="27" t="s">
        <v>6034</v>
      </c>
      <c r="B3264" s="28" t="s">
        <v>5102</v>
      </c>
      <c r="C3264" s="27" t="s">
        <v>6035</v>
      </c>
      <c r="D3264" s="27" t="s">
        <v>5104</v>
      </c>
      <c r="E3264" s="29">
        <v>38078</v>
      </c>
      <c r="F3264" s="27">
        <v>15</v>
      </c>
      <c r="G3264" s="18">
        <v>12888.57</v>
      </c>
      <c r="H3264" s="27">
        <f t="shared" si="100"/>
        <v>12888.57</v>
      </c>
      <c r="I3264" s="18">
        <v>12244.14</v>
      </c>
      <c r="J3264" s="27">
        <v>12888.57</v>
      </c>
      <c r="K3264" s="18">
        <f t="shared" si="101"/>
        <v>12888.57</v>
      </c>
      <c r="L3264" s="27">
        <v>12244.14</v>
      </c>
      <c r="M3264" s="36">
        <v>0</v>
      </c>
      <c r="T3264" s="41">
        <v>0</v>
      </c>
      <c r="U3264" s="41">
        <v>0</v>
      </c>
      <c r="V3264" s="42" t="s">
        <v>113</v>
      </c>
      <c r="W3264" s="42">
        <v>12888.57</v>
      </c>
      <c r="X3264" s="42">
        <v>12888.57</v>
      </c>
    </row>
    <row r="3265" spans="1:24">
      <c r="A3265" s="27" t="s">
        <v>6036</v>
      </c>
      <c r="B3265" s="28" t="s">
        <v>5102</v>
      </c>
      <c r="C3265" s="27" t="s">
        <v>6037</v>
      </c>
      <c r="D3265" s="27" t="s">
        <v>5104</v>
      </c>
      <c r="E3265" s="29">
        <v>36495</v>
      </c>
      <c r="F3265" s="27">
        <v>15</v>
      </c>
      <c r="G3265" s="18">
        <v>31835.34</v>
      </c>
      <c r="H3265" s="27">
        <f t="shared" si="100"/>
        <v>31835.34</v>
      </c>
      <c r="I3265" s="18">
        <v>30243.57</v>
      </c>
      <c r="J3265" s="27">
        <v>31835.34</v>
      </c>
      <c r="K3265" s="18">
        <f t="shared" si="101"/>
        <v>31835.34</v>
      </c>
      <c r="L3265" s="27">
        <v>30243.57</v>
      </c>
      <c r="M3265" s="36">
        <v>0</v>
      </c>
      <c r="T3265" s="41">
        <v>0</v>
      </c>
      <c r="U3265" s="41">
        <v>0</v>
      </c>
      <c r="V3265" s="42" t="s">
        <v>113</v>
      </c>
      <c r="W3265" s="42">
        <v>31835.34</v>
      </c>
      <c r="X3265" s="42">
        <v>31835.34</v>
      </c>
    </row>
    <row r="3266" spans="1:24">
      <c r="A3266" s="27" t="s">
        <v>6038</v>
      </c>
      <c r="B3266" s="28" t="s">
        <v>5102</v>
      </c>
      <c r="C3266" s="27" t="s">
        <v>6039</v>
      </c>
      <c r="D3266" s="27" t="s">
        <v>5104</v>
      </c>
      <c r="E3266" s="29">
        <v>36495</v>
      </c>
      <c r="F3266" s="27">
        <v>15</v>
      </c>
      <c r="G3266" s="18">
        <v>36504.53</v>
      </c>
      <c r="H3266" s="27">
        <f t="shared" si="100"/>
        <v>36504.53</v>
      </c>
      <c r="I3266" s="18">
        <v>34679.300000000003</v>
      </c>
      <c r="J3266" s="27">
        <v>36504.53</v>
      </c>
      <c r="K3266" s="18">
        <f t="shared" si="101"/>
        <v>36504.53</v>
      </c>
      <c r="L3266" s="27">
        <v>34679.300000000003</v>
      </c>
      <c r="M3266" s="36">
        <v>0</v>
      </c>
      <c r="T3266" s="41">
        <v>0</v>
      </c>
      <c r="U3266" s="41">
        <v>0</v>
      </c>
      <c r="V3266" s="42" t="s">
        <v>113</v>
      </c>
      <c r="W3266" s="42">
        <v>36504.53</v>
      </c>
      <c r="X3266" s="42">
        <v>36504.53</v>
      </c>
    </row>
    <row r="3267" spans="1:24">
      <c r="A3267" s="27" t="s">
        <v>6040</v>
      </c>
      <c r="B3267" s="28" t="s">
        <v>5102</v>
      </c>
      <c r="C3267" s="27" t="s">
        <v>6041</v>
      </c>
      <c r="D3267" s="27" t="s">
        <v>5104</v>
      </c>
      <c r="E3267" s="29">
        <v>36495</v>
      </c>
      <c r="F3267" s="27">
        <v>15</v>
      </c>
      <c r="G3267" s="18">
        <v>36929</v>
      </c>
      <c r="H3267" s="27">
        <f t="shared" si="100"/>
        <v>36929</v>
      </c>
      <c r="I3267" s="18">
        <v>35082.550000000003</v>
      </c>
      <c r="J3267" s="27">
        <v>36929</v>
      </c>
      <c r="K3267" s="18">
        <f t="shared" si="101"/>
        <v>36929</v>
      </c>
      <c r="L3267" s="27">
        <v>35082.550000000003</v>
      </c>
      <c r="M3267" s="36">
        <v>0</v>
      </c>
      <c r="T3267" s="41">
        <v>0</v>
      </c>
      <c r="U3267" s="41">
        <v>0</v>
      </c>
      <c r="V3267" s="42" t="s">
        <v>113</v>
      </c>
      <c r="W3267" s="42">
        <v>36929</v>
      </c>
      <c r="X3267" s="42">
        <v>36929</v>
      </c>
    </row>
    <row r="3268" spans="1:24">
      <c r="A3268" s="27" t="s">
        <v>6042</v>
      </c>
      <c r="B3268" s="28" t="s">
        <v>5102</v>
      </c>
      <c r="C3268" s="27" t="s">
        <v>6043</v>
      </c>
      <c r="D3268" s="27" t="s">
        <v>5104</v>
      </c>
      <c r="E3268" s="29">
        <v>38078</v>
      </c>
      <c r="F3268" s="27">
        <v>15</v>
      </c>
      <c r="G3268" s="18">
        <v>6395.58</v>
      </c>
      <c r="H3268" s="27">
        <f t="shared" si="100"/>
        <v>6395.58</v>
      </c>
      <c r="I3268" s="18">
        <v>6075.8</v>
      </c>
      <c r="J3268" s="27">
        <v>6395.58</v>
      </c>
      <c r="K3268" s="18">
        <f t="shared" si="101"/>
        <v>6395.58</v>
      </c>
      <c r="L3268" s="27">
        <v>6075.8</v>
      </c>
      <c r="M3268" s="36">
        <v>0</v>
      </c>
      <c r="T3268" s="41">
        <v>0</v>
      </c>
      <c r="U3268" s="41">
        <v>0</v>
      </c>
      <c r="V3268" s="42" t="s">
        <v>113</v>
      </c>
      <c r="W3268" s="42">
        <v>6395.58</v>
      </c>
      <c r="X3268" s="42">
        <v>6395.58</v>
      </c>
    </row>
    <row r="3269" spans="1:24">
      <c r="A3269" s="27" t="s">
        <v>6044</v>
      </c>
      <c r="B3269" s="28" t="s">
        <v>5102</v>
      </c>
      <c r="C3269" s="27" t="s">
        <v>6045</v>
      </c>
      <c r="D3269" s="27" t="s">
        <v>5104</v>
      </c>
      <c r="E3269" s="29">
        <v>36495</v>
      </c>
      <c r="F3269" s="27">
        <v>15</v>
      </c>
      <c r="G3269" s="18">
        <v>36080.07</v>
      </c>
      <c r="H3269" s="27">
        <f t="shared" si="100"/>
        <v>36080.07</v>
      </c>
      <c r="I3269" s="18">
        <v>34276.07</v>
      </c>
      <c r="J3269" s="27">
        <v>36080.07</v>
      </c>
      <c r="K3269" s="18">
        <f t="shared" si="101"/>
        <v>36080.07</v>
      </c>
      <c r="L3269" s="27">
        <v>34276.07</v>
      </c>
      <c r="M3269" s="36">
        <v>0</v>
      </c>
      <c r="T3269" s="41">
        <v>0</v>
      </c>
      <c r="U3269" s="41">
        <v>0</v>
      </c>
      <c r="V3269" s="42" t="s">
        <v>113</v>
      </c>
      <c r="W3269" s="42">
        <v>36080.07</v>
      </c>
      <c r="X3269" s="42">
        <v>36080.07</v>
      </c>
    </row>
    <row r="3270" spans="1:24">
      <c r="A3270" s="27" t="s">
        <v>6046</v>
      </c>
      <c r="B3270" s="28" t="s">
        <v>5102</v>
      </c>
      <c r="C3270" s="27" t="s">
        <v>6047</v>
      </c>
      <c r="D3270" s="27" t="s">
        <v>5104</v>
      </c>
      <c r="E3270" s="29">
        <v>36495</v>
      </c>
      <c r="F3270" s="27">
        <v>15</v>
      </c>
      <c r="G3270" s="18">
        <v>36504.53</v>
      </c>
      <c r="H3270" s="27">
        <f t="shared" ref="H3270:H3333" si="102">IFERROR(IF(ROUND((G3270-I3270)/G3270,2)&lt;=0.05,G3270,0),0)</f>
        <v>36504.53</v>
      </c>
      <c r="I3270" s="18">
        <v>34679.300000000003</v>
      </c>
      <c r="J3270" s="27">
        <v>36504.53</v>
      </c>
      <c r="K3270" s="18">
        <f t="shared" ref="K3270:K3333" si="103">IFERROR(IF(ROUND((J3270-L3270)/J3270,2)&lt;=0.05,J3270,0),0)</f>
        <v>36504.53</v>
      </c>
      <c r="L3270" s="27">
        <v>34679.300000000003</v>
      </c>
      <c r="M3270" s="36">
        <v>0</v>
      </c>
      <c r="T3270" s="41">
        <v>0</v>
      </c>
      <c r="U3270" s="41">
        <v>0</v>
      </c>
      <c r="V3270" s="42" t="s">
        <v>113</v>
      </c>
      <c r="W3270" s="42">
        <v>36504.53</v>
      </c>
      <c r="X3270" s="42">
        <v>36504.53</v>
      </c>
    </row>
    <row r="3271" spans="1:24">
      <c r="A3271" s="27" t="s">
        <v>6048</v>
      </c>
      <c r="B3271" s="28" t="s">
        <v>5102</v>
      </c>
      <c r="C3271" s="27" t="s">
        <v>6049</v>
      </c>
      <c r="D3271" s="27" t="s">
        <v>5104</v>
      </c>
      <c r="E3271" s="29">
        <v>36495</v>
      </c>
      <c r="F3271" s="27">
        <v>15</v>
      </c>
      <c r="G3271" s="18">
        <v>34382.18</v>
      </c>
      <c r="H3271" s="27">
        <f t="shared" si="102"/>
        <v>34382.18</v>
      </c>
      <c r="I3271" s="18">
        <v>32663.07</v>
      </c>
      <c r="J3271" s="27">
        <v>34382.18</v>
      </c>
      <c r="K3271" s="18">
        <f t="shared" si="103"/>
        <v>34382.18</v>
      </c>
      <c r="L3271" s="27">
        <v>32663.07</v>
      </c>
      <c r="M3271" s="36">
        <v>0</v>
      </c>
      <c r="T3271" s="41">
        <v>0</v>
      </c>
      <c r="U3271" s="41">
        <v>0</v>
      </c>
      <c r="V3271" s="42" t="s">
        <v>113</v>
      </c>
      <c r="W3271" s="42">
        <v>34382.18</v>
      </c>
      <c r="X3271" s="42">
        <v>34382.18</v>
      </c>
    </row>
    <row r="3272" spans="1:24">
      <c r="A3272" s="27" t="s">
        <v>6050</v>
      </c>
      <c r="B3272" s="28" t="s">
        <v>5102</v>
      </c>
      <c r="C3272" s="27" t="s">
        <v>6051</v>
      </c>
      <c r="D3272" s="27" t="s">
        <v>5104</v>
      </c>
      <c r="E3272" s="29">
        <v>36495</v>
      </c>
      <c r="F3272" s="27">
        <v>15</v>
      </c>
      <c r="G3272" s="18">
        <v>36929</v>
      </c>
      <c r="H3272" s="27">
        <f t="shared" si="102"/>
        <v>36929</v>
      </c>
      <c r="I3272" s="18">
        <v>35082.550000000003</v>
      </c>
      <c r="J3272" s="27">
        <v>36929</v>
      </c>
      <c r="K3272" s="18">
        <f t="shared" si="103"/>
        <v>36929</v>
      </c>
      <c r="L3272" s="27">
        <v>35082.550000000003</v>
      </c>
      <c r="M3272" s="36">
        <v>0</v>
      </c>
      <c r="T3272" s="41">
        <v>0</v>
      </c>
      <c r="U3272" s="41">
        <v>0</v>
      </c>
      <c r="V3272" s="42" t="s">
        <v>113</v>
      </c>
      <c r="W3272" s="42">
        <v>36929</v>
      </c>
      <c r="X3272" s="42">
        <v>36929</v>
      </c>
    </row>
    <row r="3273" spans="1:24">
      <c r="A3273" s="27" t="s">
        <v>6052</v>
      </c>
      <c r="B3273" s="28" t="s">
        <v>5102</v>
      </c>
      <c r="C3273" s="27" t="s">
        <v>6053</v>
      </c>
      <c r="D3273" s="27" t="s">
        <v>5104</v>
      </c>
      <c r="E3273" s="29">
        <v>36495</v>
      </c>
      <c r="F3273" s="27">
        <v>15</v>
      </c>
      <c r="G3273" s="18">
        <v>36929</v>
      </c>
      <c r="H3273" s="27">
        <f t="shared" si="102"/>
        <v>36929</v>
      </c>
      <c r="I3273" s="18">
        <v>35082.550000000003</v>
      </c>
      <c r="J3273" s="27">
        <v>36929</v>
      </c>
      <c r="K3273" s="18">
        <f t="shared" si="103"/>
        <v>36929</v>
      </c>
      <c r="L3273" s="27">
        <v>35082.550000000003</v>
      </c>
      <c r="M3273" s="36">
        <v>0</v>
      </c>
      <c r="T3273" s="41">
        <v>0</v>
      </c>
      <c r="U3273" s="41">
        <v>0</v>
      </c>
      <c r="V3273" s="42" t="s">
        <v>113</v>
      </c>
      <c r="W3273" s="42">
        <v>36929</v>
      </c>
      <c r="X3273" s="42">
        <v>36929</v>
      </c>
    </row>
    <row r="3274" spans="1:24">
      <c r="A3274" s="27" t="s">
        <v>6054</v>
      </c>
      <c r="B3274" s="28" t="s">
        <v>5102</v>
      </c>
      <c r="C3274" s="27" t="s">
        <v>6055</v>
      </c>
      <c r="D3274" s="27" t="s">
        <v>5104</v>
      </c>
      <c r="E3274" s="29">
        <v>36495</v>
      </c>
      <c r="F3274" s="27">
        <v>15</v>
      </c>
      <c r="G3274" s="18">
        <v>36504.53</v>
      </c>
      <c r="H3274" s="27">
        <f t="shared" si="102"/>
        <v>36504.53</v>
      </c>
      <c r="I3274" s="18">
        <v>34679.300000000003</v>
      </c>
      <c r="J3274" s="27">
        <v>36504.53</v>
      </c>
      <c r="K3274" s="18">
        <f t="shared" si="103"/>
        <v>36504.53</v>
      </c>
      <c r="L3274" s="27">
        <v>34679.300000000003</v>
      </c>
      <c r="M3274" s="36">
        <v>0</v>
      </c>
      <c r="T3274" s="41">
        <v>0</v>
      </c>
      <c r="U3274" s="41">
        <v>0</v>
      </c>
      <c r="V3274" s="42" t="s">
        <v>113</v>
      </c>
      <c r="W3274" s="42">
        <v>36504.53</v>
      </c>
      <c r="X3274" s="42">
        <v>36504.53</v>
      </c>
    </row>
    <row r="3275" spans="1:24">
      <c r="A3275" s="27" t="s">
        <v>6056</v>
      </c>
      <c r="B3275" s="28" t="s">
        <v>5102</v>
      </c>
      <c r="C3275" s="27" t="s">
        <v>6057</v>
      </c>
      <c r="D3275" s="27" t="s">
        <v>5104</v>
      </c>
      <c r="E3275" s="29">
        <v>36495</v>
      </c>
      <c r="F3275" s="27">
        <v>15</v>
      </c>
      <c r="G3275" s="18">
        <v>36504.53</v>
      </c>
      <c r="H3275" s="27">
        <f t="shared" si="102"/>
        <v>36504.53</v>
      </c>
      <c r="I3275" s="18">
        <v>34679.300000000003</v>
      </c>
      <c r="J3275" s="27">
        <v>36504.53</v>
      </c>
      <c r="K3275" s="18">
        <f t="shared" si="103"/>
        <v>36504.53</v>
      </c>
      <c r="L3275" s="27">
        <v>34679.300000000003</v>
      </c>
      <c r="M3275" s="36">
        <v>0</v>
      </c>
      <c r="T3275" s="41">
        <v>0</v>
      </c>
      <c r="U3275" s="41">
        <v>0</v>
      </c>
      <c r="V3275" s="42" t="s">
        <v>113</v>
      </c>
      <c r="W3275" s="42">
        <v>36504.53</v>
      </c>
      <c r="X3275" s="42">
        <v>36504.53</v>
      </c>
    </row>
    <row r="3276" spans="1:24">
      <c r="A3276" s="27" t="s">
        <v>6058</v>
      </c>
      <c r="B3276" s="28" t="s">
        <v>5102</v>
      </c>
      <c r="C3276" s="27" t="s">
        <v>6059</v>
      </c>
      <c r="D3276" s="27" t="s">
        <v>5104</v>
      </c>
      <c r="E3276" s="29">
        <v>36495</v>
      </c>
      <c r="F3276" s="27">
        <v>15</v>
      </c>
      <c r="G3276" s="18">
        <v>8882.81</v>
      </c>
      <c r="H3276" s="27">
        <f t="shared" si="102"/>
        <v>8882.81</v>
      </c>
      <c r="I3276" s="18">
        <v>8438.67</v>
      </c>
      <c r="J3276" s="27">
        <v>8882.81</v>
      </c>
      <c r="K3276" s="18">
        <f t="shared" si="103"/>
        <v>8882.81</v>
      </c>
      <c r="L3276" s="27">
        <v>8438.67</v>
      </c>
      <c r="M3276" s="36">
        <v>0</v>
      </c>
      <c r="T3276" s="41">
        <v>0</v>
      </c>
      <c r="U3276" s="41">
        <v>0</v>
      </c>
      <c r="V3276" s="42" t="s">
        <v>113</v>
      </c>
      <c r="W3276" s="42">
        <v>8882.81</v>
      </c>
      <c r="X3276" s="42">
        <v>8882.81</v>
      </c>
    </row>
    <row r="3277" spans="1:24">
      <c r="A3277" s="27" t="s">
        <v>6060</v>
      </c>
      <c r="B3277" s="28" t="s">
        <v>5102</v>
      </c>
      <c r="C3277" s="27" t="s">
        <v>5991</v>
      </c>
      <c r="D3277" s="27" t="s">
        <v>5104</v>
      </c>
      <c r="E3277" s="29">
        <v>36495</v>
      </c>
      <c r="F3277" s="27">
        <v>15</v>
      </c>
      <c r="G3277" s="18">
        <v>11103.75</v>
      </c>
      <c r="H3277" s="27">
        <f t="shared" si="102"/>
        <v>11103.75</v>
      </c>
      <c r="I3277" s="18">
        <v>10548.56</v>
      </c>
      <c r="J3277" s="27">
        <v>11103.75</v>
      </c>
      <c r="K3277" s="18">
        <f t="shared" si="103"/>
        <v>11103.75</v>
      </c>
      <c r="L3277" s="27">
        <v>10548.56</v>
      </c>
      <c r="M3277" s="36">
        <v>0</v>
      </c>
      <c r="T3277" s="41">
        <v>0</v>
      </c>
      <c r="U3277" s="41">
        <v>0</v>
      </c>
      <c r="V3277" s="42" t="s">
        <v>113</v>
      </c>
      <c r="W3277" s="42">
        <v>11103.75</v>
      </c>
      <c r="X3277" s="42">
        <v>11103.75</v>
      </c>
    </row>
    <row r="3278" spans="1:24">
      <c r="A3278" s="27" t="s">
        <v>6061</v>
      </c>
      <c r="B3278" s="28" t="s">
        <v>5102</v>
      </c>
      <c r="C3278" s="27" t="s">
        <v>5985</v>
      </c>
      <c r="D3278" s="27" t="s">
        <v>5104</v>
      </c>
      <c r="E3278" s="29">
        <v>36495</v>
      </c>
      <c r="F3278" s="27">
        <v>15</v>
      </c>
      <c r="G3278" s="18">
        <v>8614.1200000000008</v>
      </c>
      <c r="H3278" s="27">
        <f t="shared" si="102"/>
        <v>8614.1200000000008</v>
      </c>
      <c r="I3278" s="18">
        <v>8183.41</v>
      </c>
      <c r="J3278" s="27">
        <v>8614.1200000000008</v>
      </c>
      <c r="K3278" s="18">
        <f t="shared" si="103"/>
        <v>8614.1200000000008</v>
      </c>
      <c r="L3278" s="27">
        <v>8183.41</v>
      </c>
      <c r="M3278" s="36">
        <v>0</v>
      </c>
      <c r="T3278" s="41">
        <v>0</v>
      </c>
      <c r="U3278" s="41">
        <v>0</v>
      </c>
      <c r="V3278" s="42" t="s">
        <v>113</v>
      </c>
      <c r="W3278" s="42">
        <v>8614.1200000000008</v>
      </c>
      <c r="X3278" s="42">
        <v>8614.1200000000008</v>
      </c>
    </row>
    <row r="3279" spans="1:24">
      <c r="A3279" s="27" t="s">
        <v>6062</v>
      </c>
      <c r="B3279" s="28" t="s">
        <v>5102</v>
      </c>
      <c r="C3279" s="27" t="s">
        <v>5987</v>
      </c>
      <c r="D3279" s="27" t="s">
        <v>5104</v>
      </c>
      <c r="E3279" s="29">
        <v>33512</v>
      </c>
      <c r="F3279" s="27">
        <v>15</v>
      </c>
      <c r="G3279" s="18">
        <v>6314.27</v>
      </c>
      <c r="H3279" s="27">
        <f t="shared" si="102"/>
        <v>6314.27</v>
      </c>
      <c r="I3279" s="18">
        <v>5998.56</v>
      </c>
      <c r="J3279" s="27">
        <v>6314.27</v>
      </c>
      <c r="K3279" s="18">
        <f t="shared" si="103"/>
        <v>6314.27</v>
      </c>
      <c r="L3279" s="27">
        <v>5998.56</v>
      </c>
      <c r="M3279" s="36">
        <v>0</v>
      </c>
      <c r="T3279" s="41">
        <v>0</v>
      </c>
      <c r="U3279" s="41">
        <v>0</v>
      </c>
      <c r="V3279" s="42" t="s">
        <v>113</v>
      </c>
      <c r="W3279" s="42">
        <v>6314.27</v>
      </c>
      <c r="X3279" s="42">
        <v>6314.27</v>
      </c>
    </row>
    <row r="3280" spans="1:24">
      <c r="A3280" s="27" t="s">
        <v>6063</v>
      </c>
      <c r="B3280" s="28" t="s">
        <v>5102</v>
      </c>
      <c r="C3280" s="27" t="s">
        <v>5991</v>
      </c>
      <c r="D3280" s="27" t="s">
        <v>5104</v>
      </c>
      <c r="E3280" s="29">
        <v>36495</v>
      </c>
      <c r="F3280" s="27">
        <v>15</v>
      </c>
      <c r="G3280" s="18">
        <v>6478.87</v>
      </c>
      <c r="H3280" s="27">
        <f t="shared" si="102"/>
        <v>6478.87</v>
      </c>
      <c r="I3280" s="18">
        <v>6154.93</v>
      </c>
      <c r="J3280" s="27">
        <v>6478.87</v>
      </c>
      <c r="K3280" s="18">
        <f t="shared" si="103"/>
        <v>6478.87</v>
      </c>
      <c r="L3280" s="27">
        <v>6154.93</v>
      </c>
      <c r="M3280" s="36">
        <v>0</v>
      </c>
      <c r="T3280" s="41">
        <v>0</v>
      </c>
      <c r="U3280" s="41">
        <v>0</v>
      </c>
      <c r="V3280" s="42" t="s">
        <v>113</v>
      </c>
      <c r="W3280" s="42">
        <v>6478.87</v>
      </c>
      <c r="X3280" s="42">
        <v>6478.87</v>
      </c>
    </row>
    <row r="3281" spans="1:24">
      <c r="A3281" s="27" t="s">
        <v>6064</v>
      </c>
      <c r="B3281" s="28" t="s">
        <v>5102</v>
      </c>
      <c r="C3281" s="27" t="s">
        <v>5985</v>
      </c>
      <c r="D3281" s="27" t="s">
        <v>5104</v>
      </c>
      <c r="E3281" s="29">
        <v>34029</v>
      </c>
      <c r="F3281" s="27">
        <v>15</v>
      </c>
      <c r="G3281" s="18">
        <v>6597.67</v>
      </c>
      <c r="H3281" s="27">
        <f t="shared" si="102"/>
        <v>6597.67</v>
      </c>
      <c r="I3281" s="18">
        <v>6267.79</v>
      </c>
      <c r="J3281" s="27">
        <v>6597.67</v>
      </c>
      <c r="K3281" s="18">
        <f t="shared" si="103"/>
        <v>6597.67</v>
      </c>
      <c r="L3281" s="27">
        <v>6267.79</v>
      </c>
      <c r="M3281" s="36">
        <v>0</v>
      </c>
      <c r="T3281" s="41">
        <v>0</v>
      </c>
      <c r="U3281" s="41">
        <v>0</v>
      </c>
      <c r="V3281" s="42" t="s">
        <v>113</v>
      </c>
      <c r="W3281" s="42">
        <v>6597.67</v>
      </c>
      <c r="X3281" s="42">
        <v>6597.67</v>
      </c>
    </row>
    <row r="3282" spans="1:24">
      <c r="A3282" s="27" t="s">
        <v>6065</v>
      </c>
      <c r="B3282" s="28" t="s">
        <v>5102</v>
      </c>
      <c r="C3282" s="27" t="s">
        <v>5987</v>
      </c>
      <c r="D3282" s="27" t="s">
        <v>5104</v>
      </c>
      <c r="E3282" s="29">
        <v>34029</v>
      </c>
      <c r="F3282" s="27">
        <v>15</v>
      </c>
      <c r="G3282" s="18">
        <v>6809.32</v>
      </c>
      <c r="H3282" s="27">
        <f t="shared" si="102"/>
        <v>6809.32</v>
      </c>
      <c r="I3282" s="18">
        <v>6468.85</v>
      </c>
      <c r="J3282" s="27">
        <v>6809.32</v>
      </c>
      <c r="K3282" s="18">
        <f t="shared" si="103"/>
        <v>6809.32</v>
      </c>
      <c r="L3282" s="27">
        <v>6468.85</v>
      </c>
      <c r="M3282" s="36">
        <v>0</v>
      </c>
      <c r="T3282" s="41">
        <v>0</v>
      </c>
      <c r="U3282" s="41">
        <v>0</v>
      </c>
      <c r="V3282" s="42" t="s">
        <v>113</v>
      </c>
      <c r="W3282" s="42">
        <v>6809.32</v>
      </c>
      <c r="X3282" s="42">
        <v>6809.32</v>
      </c>
    </row>
    <row r="3283" spans="1:24">
      <c r="A3283" s="27" t="s">
        <v>6066</v>
      </c>
      <c r="B3283" s="28" t="s">
        <v>5102</v>
      </c>
      <c r="C3283" s="27" t="s">
        <v>6067</v>
      </c>
      <c r="D3283" s="27" t="s">
        <v>5104</v>
      </c>
      <c r="E3283" s="29">
        <v>36647</v>
      </c>
      <c r="F3283" s="27">
        <v>15</v>
      </c>
      <c r="G3283" s="18">
        <v>5315.89</v>
      </c>
      <c r="H3283" s="27">
        <f t="shared" si="102"/>
        <v>5315.89</v>
      </c>
      <c r="I3283" s="18">
        <v>5050.1000000000004</v>
      </c>
      <c r="J3283" s="27">
        <v>5315.89</v>
      </c>
      <c r="K3283" s="18">
        <f t="shared" si="103"/>
        <v>5315.89</v>
      </c>
      <c r="L3283" s="27">
        <v>5050.1000000000004</v>
      </c>
      <c r="M3283" s="36">
        <v>0</v>
      </c>
      <c r="T3283" s="41">
        <v>0</v>
      </c>
      <c r="U3283" s="41">
        <v>0</v>
      </c>
      <c r="V3283" s="42" t="s">
        <v>113</v>
      </c>
      <c r="W3283" s="42">
        <v>5315.89</v>
      </c>
      <c r="X3283" s="42">
        <v>5315.89</v>
      </c>
    </row>
    <row r="3284" spans="1:24">
      <c r="A3284" s="27" t="s">
        <v>6068</v>
      </c>
      <c r="B3284" s="28" t="s">
        <v>5102</v>
      </c>
      <c r="C3284" s="27" t="s">
        <v>6067</v>
      </c>
      <c r="D3284" s="27" t="s">
        <v>5104</v>
      </c>
      <c r="E3284" s="29">
        <v>38139</v>
      </c>
      <c r="F3284" s="27">
        <v>15</v>
      </c>
      <c r="G3284" s="18">
        <v>8996.01</v>
      </c>
      <c r="H3284" s="27">
        <f t="shared" si="102"/>
        <v>8996.01</v>
      </c>
      <c r="I3284" s="18">
        <v>8546.2099999999991</v>
      </c>
      <c r="J3284" s="27">
        <v>8996.01</v>
      </c>
      <c r="K3284" s="18">
        <f t="shared" si="103"/>
        <v>8996.01</v>
      </c>
      <c r="L3284" s="27">
        <v>8546.2099999999991</v>
      </c>
      <c r="M3284" s="36">
        <v>0</v>
      </c>
      <c r="T3284" s="41">
        <v>0</v>
      </c>
      <c r="U3284" s="41">
        <v>0</v>
      </c>
      <c r="V3284" s="42" t="s">
        <v>113</v>
      </c>
      <c r="W3284" s="42">
        <v>8996.01</v>
      </c>
      <c r="X3284" s="42">
        <v>8996.01</v>
      </c>
    </row>
    <row r="3285" spans="1:24">
      <c r="A3285" s="27" t="s">
        <v>6069</v>
      </c>
      <c r="B3285" s="28" t="s">
        <v>5102</v>
      </c>
      <c r="C3285" s="27" t="s">
        <v>6070</v>
      </c>
      <c r="D3285" s="27" t="s">
        <v>5104</v>
      </c>
      <c r="E3285" s="29">
        <v>36281</v>
      </c>
      <c r="F3285" s="27">
        <v>15</v>
      </c>
      <c r="G3285" s="18">
        <v>7432.25</v>
      </c>
      <c r="H3285" s="27">
        <f t="shared" si="102"/>
        <v>7432.25</v>
      </c>
      <c r="I3285" s="18">
        <v>7060.64</v>
      </c>
      <c r="J3285" s="27">
        <v>7432.25</v>
      </c>
      <c r="K3285" s="18">
        <f t="shared" si="103"/>
        <v>7432.25</v>
      </c>
      <c r="L3285" s="27">
        <v>7060.64</v>
      </c>
      <c r="M3285" s="36">
        <v>0</v>
      </c>
      <c r="T3285" s="41">
        <v>0</v>
      </c>
      <c r="U3285" s="41">
        <v>0</v>
      </c>
      <c r="V3285" s="42" t="s">
        <v>113</v>
      </c>
      <c r="W3285" s="42">
        <v>7432.25</v>
      </c>
      <c r="X3285" s="42">
        <v>7432.25</v>
      </c>
    </row>
    <row r="3286" spans="1:24">
      <c r="A3286" s="27" t="s">
        <v>6071</v>
      </c>
      <c r="B3286" s="28" t="s">
        <v>5102</v>
      </c>
      <c r="C3286" s="27" t="s">
        <v>5991</v>
      </c>
      <c r="D3286" s="27" t="s">
        <v>5104</v>
      </c>
      <c r="E3286" s="29">
        <v>36647</v>
      </c>
      <c r="F3286" s="27">
        <v>15</v>
      </c>
      <c r="G3286" s="18">
        <v>9080.31</v>
      </c>
      <c r="H3286" s="27">
        <f t="shared" si="102"/>
        <v>9080.31</v>
      </c>
      <c r="I3286" s="18">
        <v>8626.2900000000009</v>
      </c>
      <c r="J3286" s="27">
        <v>9080.31</v>
      </c>
      <c r="K3286" s="18">
        <f t="shared" si="103"/>
        <v>9080.31</v>
      </c>
      <c r="L3286" s="27">
        <v>8626.2900000000009</v>
      </c>
      <c r="M3286" s="36">
        <v>0</v>
      </c>
      <c r="T3286" s="41">
        <v>0</v>
      </c>
      <c r="U3286" s="41">
        <v>0</v>
      </c>
      <c r="V3286" s="42" t="s">
        <v>113</v>
      </c>
      <c r="W3286" s="42">
        <v>9080.31</v>
      </c>
      <c r="X3286" s="42">
        <v>9080.31</v>
      </c>
    </row>
    <row r="3287" spans="1:24">
      <c r="A3287" s="27" t="s">
        <v>6072</v>
      </c>
      <c r="B3287" s="28" t="s">
        <v>5102</v>
      </c>
      <c r="C3287" s="27" t="s">
        <v>6073</v>
      </c>
      <c r="D3287" s="27" t="s">
        <v>5104</v>
      </c>
      <c r="E3287" s="29">
        <v>38078</v>
      </c>
      <c r="F3287" s="27">
        <v>15</v>
      </c>
      <c r="G3287" s="18">
        <v>29818.98</v>
      </c>
      <c r="H3287" s="27">
        <f t="shared" si="102"/>
        <v>29818.98</v>
      </c>
      <c r="I3287" s="18">
        <v>28328.03</v>
      </c>
      <c r="J3287" s="27">
        <v>29818.98</v>
      </c>
      <c r="K3287" s="18">
        <f t="shared" si="103"/>
        <v>29818.98</v>
      </c>
      <c r="L3287" s="27">
        <v>28328.03</v>
      </c>
      <c r="M3287" s="36">
        <v>0</v>
      </c>
      <c r="T3287" s="41">
        <v>0</v>
      </c>
      <c r="U3287" s="41">
        <v>0</v>
      </c>
      <c r="V3287" s="42" t="s">
        <v>113</v>
      </c>
      <c r="W3287" s="42">
        <v>29818.98</v>
      </c>
      <c r="X3287" s="42">
        <v>29818.98</v>
      </c>
    </row>
    <row r="3288" spans="1:24">
      <c r="A3288" s="27" t="s">
        <v>6074</v>
      </c>
      <c r="B3288" s="28" t="s">
        <v>5102</v>
      </c>
      <c r="C3288" s="27" t="s">
        <v>6075</v>
      </c>
      <c r="D3288" s="27" t="s">
        <v>5104</v>
      </c>
      <c r="E3288" s="29">
        <v>37226</v>
      </c>
      <c r="F3288" s="27">
        <v>15</v>
      </c>
      <c r="G3288" s="18">
        <v>114181.88</v>
      </c>
      <c r="H3288" s="27">
        <f t="shared" si="102"/>
        <v>114181.88</v>
      </c>
      <c r="I3288" s="18">
        <v>108472.79</v>
      </c>
      <c r="J3288" s="27">
        <v>114181.88</v>
      </c>
      <c r="K3288" s="18">
        <f t="shared" si="103"/>
        <v>114181.88</v>
      </c>
      <c r="L3288" s="27">
        <v>108472.79</v>
      </c>
      <c r="M3288" s="36">
        <v>0</v>
      </c>
      <c r="T3288" s="41">
        <v>0</v>
      </c>
      <c r="U3288" s="41">
        <v>0</v>
      </c>
      <c r="V3288" s="42" t="s">
        <v>113</v>
      </c>
      <c r="W3288" s="42">
        <v>114181.88</v>
      </c>
      <c r="X3288" s="42">
        <v>114181.88</v>
      </c>
    </row>
    <row r="3289" spans="1:24">
      <c r="A3289" s="27" t="s">
        <v>6076</v>
      </c>
      <c r="B3289" s="28" t="s">
        <v>5102</v>
      </c>
      <c r="C3289" s="27" t="s">
        <v>6077</v>
      </c>
      <c r="D3289" s="27" t="s">
        <v>5104</v>
      </c>
      <c r="E3289" s="29">
        <v>37226</v>
      </c>
      <c r="F3289" s="27">
        <v>15</v>
      </c>
      <c r="G3289" s="18">
        <v>103465.57</v>
      </c>
      <c r="H3289" s="27">
        <f t="shared" si="102"/>
        <v>103465.57</v>
      </c>
      <c r="I3289" s="18">
        <v>98292.29</v>
      </c>
      <c r="J3289" s="27">
        <v>103465.57</v>
      </c>
      <c r="K3289" s="18">
        <f t="shared" si="103"/>
        <v>103465.57</v>
      </c>
      <c r="L3289" s="27">
        <v>98292.29</v>
      </c>
      <c r="M3289" s="36">
        <v>0</v>
      </c>
      <c r="T3289" s="41">
        <v>0</v>
      </c>
      <c r="U3289" s="41">
        <v>0</v>
      </c>
      <c r="V3289" s="42" t="s">
        <v>113</v>
      </c>
      <c r="W3289" s="42">
        <v>103465.57</v>
      </c>
      <c r="X3289" s="42">
        <v>103465.57</v>
      </c>
    </row>
    <row r="3290" spans="1:24">
      <c r="A3290" s="27" t="s">
        <v>6078</v>
      </c>
      <c r="B3290" s="28" t="s">
        <v>5102</v>
      </c>
      <c r="C3290" s="27" t="s">
        <v>6079</v>
      </c>
      <c r="D3290" s="27" t="s">
        <v>5104</v>
      </c>
      <c r="E3290" s="29">
        <v>37226</v>
      </c>
      <c r="F3290" s="27">
        <v>15</v>
      </c>
      <c r="G3290" s="18">
        <v>44348.71</v>
      </c>
      <c r="H3290" s="27">
        <f t="shared" si="102"/>
        <v>44348.71</v>
      </c>
      <c r="I3290" s="18">
        <v>42131.27</v>
      </c>
      <c r="J3290" s="27">
        <v>44348.71</v>
      </c>
      <c r="K3290" s="18">
        <f t="shared" si="103"/>
        <v>44348.71</v>
      </c>
      <c r="L3290" s="27">
        <v>42131.27</v>
      </c>
      <c r="M3290" s="36">
        <v>0</v>
      </c>
      <c r="T3290" s="41">
        <v>0</v>
      </c>
      <c r="U3290" s="41">
        <v>0</v>
      </c>
      <c r="V3290" s="42" t="s">
        <v>113</v>
      </c>
      <c r="W3290" s="42">
        <v>44348.71</v>
      </c>
      <c r="X3290" s="42">
        <v>44348.71</v>
      </c>
    </row>
    <row r="3291" spans="1:24">
      <c r="A3291" s="27" t="s">
        <v>6080</v>
      </c>
      <c r="B3291" s="28" t="s">
        <v>5102</v>
      </c>
      <c r="C3291" s="27" t="s">
        <v>6081</v>
      </c>
      <c r="D3291" s="27" t="s">
        <v>5104</v>
      </c>
      <c r="E3291" s="29">
        <v>37226</v>
      </c>
      <c r="F3291" s="27">
        <v>15</v>
      </c>
      <c r="G3291" s="18">
        <v>59360.41</v>
      </c>
      <c r="H3291" s="27">
        <f t="shared" si="102"/>
        <v>59360.41</v>
      </c>
      <c r="I3291" s="18">
        <v>56392.39</v>
      </c>
      <c r="J3291" s="27">
        <v>59360.41</v>
      </c>
      <c r="K3291" s="18">
        <f t="shared" si="103"/>
        <v>59360.41</v>
      </c>
      <c r="L3291" s="27">
        <v>56392.39</v>
      </c>
      <c r="M3291" s="36">
        <v>0</v>
      </c>
      <c r="T3291" s="41">
        <v>0</v>
      </c>
      <c r="U3291" s="41">
        <v>0</v>
      </c>
      <c r="V3291" s="42" t="s">
        <v>113</v>
      </c>
      <c r="W3291" s="42">
        <v>59360.41</v>
      </c>
      <c r="X3291" s="42">
        <v>59360.41</v>
      </c>
    </row>
    <row r="3292" spans="1:24">
      <c r="A3292" s="27" t="s">
        <v>6082</v>
      </c>
      <c r="B3292" s="28" t="s">
        <v>5102</v>
      </c>
      <c r="C3292" s="27" t="s">
        <v>6083</v>
      </c>
      <c r="D3292" s="27" t="s">
        <v>5104</v>
      </c>
      <c r="E3292" s="29">
        <v>37226</v>
      </c>
      <c r="F3292" s="27">
        <v>15</v>
      </c>
      <c r="G3292" s="18">
        <v>30085.56</v>
      </c>
      <c r="H3292" s="27">
        <f t="shared" si="102"/>
        <v>30085.56</v>
      </c>
      <c r="I3292" s="18">
        <v>28581.279999999999</v>
      </c>
      <c r="J3292" s="27">
        <v>30085.56</v>
      </c>
      <c r="K3292" s="18">
        <f t="shared" si="103"/>
        <v>30085.56</v>
      </c>
      <c r="L3292" s="27">
        <v>28581.279999999999</v>
      </c>
      <c r="M3292" s="36">
        <v>0</v>
      </c>
      <c r="T3292" s="41">
        <v>0</v>
      </c>
      <c r="U3292" s="41">
        <v>0</v>
      </c>
      <c r="V3292" s="42" t="s">
        <v>113</v>
      </c>
      <c r="W3292" s="42">
        <v>30085.56</v>
      </c>
      <c r="X3292" s="42">
        <v>30085.56</v>
      </c>
    </row>
    <row r="3293" spans="1:24">
      <c r="A3293" s="27" t="s">
        <v>6084</v>
      </c>
      <c r="B3293" s="28" t="s">
        <v>5102</v>
      </c>
      <c r="C3293" s="27" t="s">
        <v>6085</v>
      </c>
      <c r="D3293" s="27" t="s">
        <v>5104</v>
      </c>
      <c r="E3293" s="29">
        <v>37165</v>
      </c>
      <c r="F3293" s="27">
        <v>15</v>
      </c>
      <c r="G3293" s="18">
        <v>5528.15</v>
      </c>
      <c r="H3293" s="27">
        <f t="shared" si="102"/>
        <v>5528.15</v>
      </c>
      <c r="I3293" s="18">
        <v>5251.74</v>
      </c>
      <c r="J3293" s="27">
        <v>5528.15</v>
      </c>
      <c r="K3293" s="18">
        <f t="shared" si="103"/>
        <v>5528.15</v>
      </c>
      <c r="L3293" s="27">
        <v>5251.74</v>
      </c>
      <c r="M3293" s="36">
        <v>0</v>
      </c>
      <c r="T3293" s="41">
        <v>0</v>
      </c>
      <c r="U3293" s="41">
        <v>0</v>
      </c>
      <c r="V3293" s="42" t="s">
        <v>113</v>
      </c>
      <c r="W3293" s="42">
        <v>5528.15</v>
      </c>
      <c r="X3293" s="42">
        <v>5528.15</v>
      </c>
    </row>
    <row r="3294" spans="1:24">
      <c r="A3294" s="27" t="s">
        <v>6086</v>
      </c>
      <c r="B3294" s="28" t="s">
        <v>5102</v>
      </c>
      <c r="C3294" s="27" t="s">
        <v>6087</v>
      </c>
      <c r="D3294" s="27" t="s">
        <v>5104</v>
      </c>
      <c r="E3294" s="29">
        <v>36069</v>
      </c>
      <c r="F3294" s="27">
        <v>15</v>
      </c>
      <c r="G3294" s="18">
        <v>33113.46</v>
      </c>
      <c r="H3294" s="27">
        <f t="shared" si="102"/>
        <v>33113.46</v>
      </c>
      <c r="I3294" s="18">
        <v>31457.79</v>
      </c>
      <c r="J3294" s="27">
        <v>33113.46</v>
      </c>
      <c r="K3294" s="18">
        <f t="shared" si="103"/>
        <v>33113.46</v>
      </c>
      <c r="L3294" s="27">
        <v>31457.79</v>
      </c>
      <c r="M3294" s="36">
        <v>0</v>
      </c>
      <c r="T3294" s="41">
        <v>0</v>
      </c>
      <c r="U3294" s="41">
        <v>0</v>
      </c>
      <c r="V3294" s="42" t="s">
        <v>113</v>
      </c>
      <c r="W3294" s="42">
        <v>33113.46</v>
      </c>
      <c r="X3294" s="42">
        <v>33113.46</v>
      </c>
    </row>
    <row r="3295" spans="1:24">
      <c r="A3295" s="27" t="s">
        <v>6088</v>
      </c>
      <c r="B3295" s="28" t="s">
        <v>5102</v>
      </c>
      <c r="C3295" s="27" t="s">
        <v>6089</v>
      </c>
      <c r="D3295" s="27" t="s">
        <v>5104</v>
      </c>
      <c r="E3295" s="29">
        <v>36281</v>
      </c>
      <c r="F3295" s="27">
        <v>15</v>
      </c>
      <c r="G3295" s="18">
        <v>31997.05</v>
      </c>
      <c r="H3295" s="27">
        <f t="shared" si="102"/>
        <v>31997.05</v>
      </c>
      <c r="I3295" s="18">
        <v>30397.200000000001</v>
      </c>
      <c r="J3295" s="27">
        <v>31997.05</v>
      </c>
      <c r="K3295" s="18">
        <f t="shared" si="103"/>
        <v>31997.05</v>
      </c>
      <c r="L3295" s="27">
        <v>30397.200000000001</v>
      </c>
      <c r="M3295" s="36">
        <v>0</v>
      </c>
      <c r="T3295" s="41">
        <v>0</v>
      </c>
      <c r="U3295" s="41">
        <v>0</v>
      </c>
      <c r="V3295" s="42" t="s">
        <v>113</v>
      </c>
      <c r="W3295" s="42">
        <v>31997.05</v>
      </c>
      <c r="X3295" s="42">
        <v>31997.05</v>
      </c>
    </row>
    <row r="3296" spans="1:24">
      <c r="A3296" s="27" t="s">
        <v>6090</v>
      </c>
      <c r="B3296" s="28" t="s">
        <v>5102</v>
      </c>
      <c r="C3296" s="27" t="s">
        <v>6091</v>
      </c>
      <c r="D3296" s="27" t="s">
        <v>5104</v>
      </c>
      <c r="E3296" s="29">
        <v>38078</v>
      </c>
      <c r="F3296" s="27">
        <v>15</v>
      </c>
      <c r="G3296" s="18">
        <v>28215.32</v>
      </c>
      <c r="H3296" s="27">
        <f t="shared" si="102"/>
        <v>28215.32</v>
      </c>
      <c r="I3296" s="18">
        <v>26804.55</v>
      </c>
      <c r="J3296" s="27">
        <v>28215.32</v>
      </c>
      <c r="K3296" s="18">
        <f t="shared" si="103"/>
        <v>28215.32</v>
      </c>
      <c r="L3296" s="27">
        <v>26804.55</v>
      </c>
      <c r="M3296" s="36">
        <v>0</v>
      </c>
      <c r="T3296" s="41">
        <v>0</v>
      </c>
      <c r="U3296" s="41">
        <v>0</v>
      </c>
      <c r="V3296" s="42" t="s">
        <v>113</v>
      </c>
      <c r="W3296" s="42">
        <v>28215.32</v>
      </c>
      <c r="X3296" s="42">
        <v>28215.32</v>
      </c>
    </row>
    <row r="3297" spans="1:24">
      <c r="A3297" s="27" t="s">
        <v>6092</v>
      </c>
      <c r="B3297" s="28" t="s">
        <v>5102</v>
      </c>
      <c r="C3297" s="27" t="s">
        <v>6091</v>
      </c>
      <c r="D3297" s="27" t="s">
        <v>5104</v>
      </c>
      <c r="E3297" s="29">
        <v>38078</v>
      </c>
      <c r="F3297" s="27">
        <v>15</v>
      </c>
      <c r="G3297" s="18">
        <v>12553.42</v>
      </c>
      <c r="H3297" s="27">
        <f t="shared" si="102"/>
        <v>12553.42</v>
      </c>
      <c r="I3297" s="18">
        <v>11925.75</v>
      </c>
      <c r="J3297" s="27">
        <v>12553.42</v>
      </c>
      <c r="K3297" s="18">
        <f t="shared" si="103"/>
        <v>12553.42</v>
      </c>
      <c r="L3297" s="27">
        <v>11925.75</v>
      </c>
      <c r="M3297" s="36">
        <v>0</v>
      </c>
      <c r="T3297" s="41">
        <v>0</v>
      </c>
      <c r="U3297" s="41">
        <v>0</v>
      </c>
      <c r="V3297" s="42" t="s">
        <v>113</v>
      </c>
      <c r="W3297" s="42">
        <v>12553.42</v>
      </c>
      <c r="X3297" s="42">
        <v>12553.42</v>
      </c>
    </row>
    <row r="3298" spans="1:24">
      <c r="A3298" s="27" t="s">
        <v>6093</v>
      </c>
      <c r="B3298" s="28" t="s">
        <v>5102</v>
      </c>
      <c r="C3298" s="27" t="s">
        <v>6091</v>
      </c>
      <c r="D3298" s="27" t="s">
        <v>5104</v>
      </c>
      <c r="E3298" s="29">
        <v>38078</v>
      </c>
      <c r="F3298" s="27">
        <v>15</v>
      </c>
      <c r="G3298" s="18">
        <v>34038.6</v>
      </c>
      <c r="H3298" s="27">
        <f t="shared" si="102"/>
        <v>34038.6</v>
      </c>
      <c r="I3298" s="18">
        <v>32336.67</v>
      </c>
      <c r="J3298" s="27">
        <v>34038.6</v>
      </c>
      <c r="K3298" s="18">
        <f t="shared" si="103"/>
        <v>34038.6</v>
      </c>
      <c r="L3298" s="27">
        <v>32336.67</v>
      </c>
      <c r="M3298" s="36">
        <v>0</v>
      </c>
      <c r="T3298" s="41">
        <v>0</v>
      </c>
      <c r="U3298" s="41">
        <v>0</v>
      </c>
      <c r="V3298" s="42" t="s">
        <v>113</v>
      </c>
      <c r="W3298" s="42">
        <v>34038.6</v>
      </c>
      <c r="X3298" s="42">
        <v>34038.6</v>
      </c>
    </row>
    <row r="3299" spans="1:24">
      <c r="A3299" s="27" t="s">
        <v>6094</v>
      </c>
      <c r="B3299" s="28" t="s">
        <v>5102</v>
      </c>
      <c r="C3299" s="27" t="s">
        <v>6095</v>
      </c>
      <c r="D3299" s="27" t="s">
        <v>5104</v>
      </c>
      <c r="E3299" s="29">
        <v>38078</v>
      </c>
      <c r="F3299" s="27">
        <v>15</v>
      </c>
      <c r="G3299" s="18">
        <v>7914.64</v>
      </c>
      <c r="H3299" s="27">
        <f t="shared" si="102"/>
        <v>7914.64</v>
      </c>
      <c r="I3299" s="18">
        <v>7518.91</v>
      </c>
      <c r="J3299" s="27">
        <v>7914.64</v>
      </c>
      <c r="K3299" s="18">
        <f t="shared" si="103"/>
        <v>7914.64</v>
      </c>
      <c r="L3299" s="27">
        <v>7518.91</v>
      </c>
      <c r="M3299" s="36">
        <v>0</v>
      </c>
      <c r="T3299" s="41">
        <v>0</v>
      </c>
      <c r="U3299" s="41">
        <v>0</v>
      </c>
      <c r="V3299" s="42" t="s">
        <v>113</v>
      </c>
      <c r="W3299" s="42">
        <v>7914.64</v>
      </c>
      <c r="X3299" s="42">
        <v>7914.64</v>
      </c>
    </row>
    <row r="3300" spans="1:24">
      <c r="A3300" s="27" t="s">
        <v>6096</v>
      </c>
      <c r="B3300" s="28" t="s">
        <v>5102</v>
      </c>
      <c r="C3300" s="27" t="s">
        <v>6097</v>
      </c>
      <c r="D3300" s="27" t="s">
        <v>5104</v>
      </c>
      <c r="E3300" s="29">
        <v>38078</v>
      </c>
      <c r="F3300" s="27">
        <v>15</v>
      </c>
      <c r="G3300" s="18">
        <v>20833.82</v>
      </c>
      <c r="H3300" s="27">
        <f t="shared" si="102"/>
        <v>20833.82</v>
      </c>
      <c r="I3300" s="18">
        <v>19792.13</v>
      </c>
      <c r="J3300" s="27">
        <v>20833.82</v>
      </c>
      <c r="K3300" s="18">
        <f t="shared" si="103"/>
        <v>20833.82</v>
      </c>
      <c r="L3300" s="27">
        <v>19792.13</v>
      </c>
      <c r="M3300" s="36">
        <v>0</v>
      </c>
      <c r="T3300" s="41">
        <v>0</v>
      </c>
      <c r="U3300" s="41">
        <v>0</v>
      </c>
      <c r="V3300" s="42" t="s">
        <v>113</v>
      </c>
      <c r="W3300" s="42">
        <v>20833.82</v>
      </c>
      <c r="X3300" s="42">
        <v>20833.82</v>
      </c>
    </row>
    <row r="3301" spans="1:24">
      <c r="A3301" s="27" t="s">
        <v>6098</v>
      </c>
      <c r="B3301" s="28" t="s">
        <v>5102</v>
      </c>
      <c r="C3301" s="27" t="s">
        <v>6097</v>
      </c>
      <c r="D3301" s="27" t="s">
        <v>5104</v>
      </c>
      <c r="E3301" s="29">
        <v>38078</v>
      </c>
      <c r="F3301" s="27">
        <v>15</v>
      </c>
      <c r="G3301" s="18">
        <v>7006.01</v>
      </c>
      <c r="H3301" s="27">
        <f t="shared" si="102"/>
        <v>7006.01</v>
      </c>
      <c r="I3301" s="18">
        <v>6655.71</v>
      </c>
      <c r="J3301" s="27">
        <v>7006.01</v>
      </c>
      <c r="K3301" s="18">
        <f t="shared" si="103"/>
        <v>7006.01</v>
      </c>
      <c r="L3301" s="27">
        <v>6655.71</v>
      </c>
      <c r="M3301" s="36">
        <v>0</v>
      </c>
      <c r="T3301" s="41">
        <v>0</v>
      </c>
      <c r="U3301" s="41">
        <v>0</v>
      </c>
      <c r="V3301" s="42" t="s">
        <v>113</v>
      </c>
      <c r="W3301" s="42">
        <v>7006.01</v>
      </c>
      <c r="X3301" s="42">
        <v>7006.01</v>
      </c>
    </row>
    <row r="3302" spans="1:24">
      <c r="A3302" s="27" t="s">
        <v>6099</v>
      </c>
      <c r="B3302" s="28" t="s">
        <v>5102</v>
      </c>
      <c r="C3302" s="27" t="s">
        <v>6100</v>
      </c>
      <c r="D3302" s="27" t="s">
        <v>5104</v>
      </c>
      <c r="E3302" s="29">
        <v>38078</v>
      </c>
      <c r="F3302" s="27">
        <v>15</v>
      </c>
      <c r="G3302" s="18">
        <v>25202.5</v>
      </c>
      <c r="H3302" s="27">
        <f t="shared" si="102"/>
        <v>25202.5</v>
      </c>
      <c r="I3302" s="18">
        <v>23942.37</v>
      </c>
      <c r="J3302" s="27">
        <v>25202.5</v>
      </c>
      <c r="K3302" s="18">
        <f t="shared" si="103"/>
        <v>25202.5</v>
      </c>
      <c r="L3302" s="27">
        <v>23942.37</v>
      </c>
      <c r="M3302" s="36">
        <v>0</v>
      </c>
      <c r="T3302" s="41">
        <v>0</v>
      </c>
      <c r="U3302" s="41">
        <v>0</v>
      </c>
      <c r="V3302" s="42" t="s">
        <v>113</v>
      </c>
      <c r="W3302" s="42">
        <v>25202.5</v>
      </c>
      <c r="X3302" s="42">
        <v>25202.5</v>
      </c>
    </row>
    <row r="3303" spans="1:24">
      <c r="A3303" s="27" t="s">
        <v>6101</v>
      </c>
      <c r="B3303" s="28" t="s">
        <v>5102</v>
      </c>
      <c r="C3303" s="27" t="s">
        <v>6100</v>
      </c>
      <c r="D3303" s="27" t="s">
        <v>5104</v>
      </c>
      <c r="E3303" s="29">
        <v>38078</v>
      </c>
      <c r="F3303" s="27">
        <v>15</v>
      </c>
      <c r="G3303" s="18">
        <v>18316.04</v>
      </c>
      <c r="H3303" s="27">
        <f t="shared" si="102"/>
        <v>18316.04</v>
      </c>
      <c r="I3303" s="18">
        <v>17400.240000000002</v>
      </c>
      <c r="J3303" s="27">
        <v>18316.04</v>
      </c>
      <c r="K3303" s="18">
        <f t="shared" si="103"/>
        <v>18316.04</v>
      </c>
      <c r="L3303" s="27">
        <v>17400.240000000002</v>
      </c>
      <c r="M3303" s="36">
        <v>0</v>
      </c>
      <c r="T3303" s="41">
        <v>0</v>
      </c>
      <c r="U3303" s="41">
        <v>0</v>
      </c>
      <c r="V3303" s="42" t="s">
        <v>113</v>
      </c>
      <c r="W3303" s="42">
        <v>18316.04</v>
      </c>
      <c r="X3303" s="42">
        <v>18316.04</v>
      </c>
    </row>
    <row r="3304" spans="1:24">
      <c r="A3304" s="27" t="s">
        <v>6102</v>
      </c>
      <c r="B3304" s="28" t="s">
        <v>5102</v>
      </c>
      <c r="C3304" s="27" t="s">
        <v>6100</v>
      </c>
      <c r="D3304" s="27" t="s">
        <v>5104</v>
      </c>
      <c r="E3304" s="29">
        <v>38078</v>
      </c>
      <c r="F3304" s="27">
        <v>15</v>
      </c>
      <c r="G3304" s="18">
        <v>5540.34</v>
      </c>
      <c r="H3304" s="27">
        <f t="shared" si="102"/>
        <v>5540.34</v>
      </c>
      <c r="I3304" s="18">
        <v>5263.32</v>
      </c>
      <c r="J3304" s="27">
        <v>5540.34</v>
      </c>
      <c r="K3304" s="18">
        <f t="shared" si="103"/>
        <v>5540.34</v>
      </c>
      <c r="L3304" s="27">
        <v>5263.32</v>
      </c>
      <c r="M3304" s="36">
        <v>0</v>
      </c>
      <c r="T3304" s="41">
        <v>0</v>
      </c>
      <c r="U3304" s="41">
        <v>0</v>
      </c>
      <c r="V3304" s="42" t="s">
        <v>113</v>
      </c>
      <c r="W3304" s="42">
        <v>5540.34</v>
      </c>
      <c r="X3304" s="42">
        <v>5540.34</v>
      </c>
    </row>
    <row r="3305" spans="1:24">
      <c r="A3305" s="27" t="s">
        <v>6103</v>
      </c>
      <c r="B3305" s="28" t="s">
        <v>5102</v>
      </c>
      <c r="C3305" s="27" t="s">
        <v>5515</v>
      </c>
      <c r="D3305" s="27" t="s">
        <v>5104</v>
      </c>
      <c r="E3305" s="29">
        <v>39417</v>
      </c>
      <c r="F3305" s="27">
        <v>15</v>
      </c>
      <c r="G3305" s="18">
        <v>186084.56</v>
      </c>
      <c r="H3305" s="27">
        <f t="shared" si="102"/>
        <v>0</v>
      </c>
      <c r="I3305" s="18">
        <v>158711.75</v>
      </c>
      <c r="J3305" s="27">
        <v>186084.56</v>
      </c>
      <c r="K3305" s="18">
        <f t="shared" si="103"/>
        <v>0</v>
      </c>
      <c r="L3305" s="27">
        <v>163228.9</v>
      </c>
      <c r="M3305" s="36">
        <v>4517.1499999999996</v>
      </c>
      <c r="T3305" s="41">
        <v>0</v>
      </c>
      <c r="U3305" s="41">
        <v>0</v>
      </c>
      <c r="V3305" s="42" t="s">
        <v>113</v>
      </c>
      <c r="W3305" s="42">
        <v>0</v>
      </c>
      <c r="X3305" s="42">
        <v>0</v>
      </c>
    </row>
    <row r="3306" spans="1:24">
      <c r="A3306" s="27" t="s">
        <v>6104</v>
      </c>
      <c r="B3306" s="28" t="s">
        <v>5102</v>
      </c>
      <c r="C3306" s="27" t="s">
        <v>6105</v>
      </c>
      <c r="D3306" s="27" t="s">
        <v>5104</v>
      </c>
      <c r="E3306" s="29">
        <v>37226</v>
      </c>
      <c r="F3306" s="27">
        <v>15</v>
      </c>
      <c r="G3306" s="18">
        <v>196384.82</v>
      </c>
      <c r="H3306" s="27">
        <f t="shared" si="102"/>
        <v>196384.82</v>
      </c>
      <c r="I3306" s="18">
        <v>186565.58</v>
      </c>
      <c r="J3306" s="27">
        <v>196384.82</v>
      </c>
      <c r="K3306" s="18">
        <f t="shared" si="103"/>
        <v>196384.82</v>
      </c>
      <c r="L3306" s="27">
        <v>186565.58</v>
      </c>
      <c r="M3306" s="36">
        <v>0</v>
      </c>
      <c r="T3306" s="41">
        <v>0</v>
      </c>
      <c r="U3306" s="41">
        <v>0</v>
      </c>
      <c r="V3306" s="42" t="s">
        <v>113</v>
      </c>
      <c r="W3306" s="42">
        <v>196384.82</v>
      </c>
      <c r="X3306" s="42">
        <v>196384.82</v>
      </c>
    </row>
    <row r="3307" spans="1:24">
      <c r="A3307" s="27" t="s">
        <v>6106</v>
      </c>
      <c r="B3307" s="28" t="s">
        <v>5102</v>
      </c>
      <c r="C3307" s="27" t="s">
        <v>6107</v>
      </c>
      <c r="D3307" s="27" t="s">
        <v>5104</v>
      </c>
      <c r="E3307" s="29">
        <v>37226</v>
      </c>
      <c r="F3307" s="27">
        <v>15</v>
      </c>
      <c r="G3307" s="18">
        <v>147960.84</v>
      </c>
      <c r="H3307" s="27">
        <f t="shared" si="102"/>
        <v>147960.84</v>
      </c>
      <c r="I3307" s="18">
        <v>140562.79999999999</v>
      </c>
      <c r="J3307" s="27">
        <v>147960.84</v>
      </c>
      <c r="K3307" s="18">
        <f t="shared" si="103"/>
        <v>147960.84</v>
      </c>
      <c r="L3307" s="27">
        <v>140562.79999999999</v>
      </c>
      <c r="M3307" s="36">
        <v>0</v>
      </c>
      <c r="T3307" s="41">
        <v>0</v>
      </c>
      <c r="U3307" s="41">
        <v>0</v>
      </c>
      <c r="V3307" s="42" t="s">
        <v>113</v>
      </c>
      <c r="W3307" s="42">
        <v>147960.84</v>
      </c>
      <c r="X3307" s="42">
        <v>147960.84</v>
      </c>
    </row>
    <row r="3308" spans="1:24">
      <c r="A3308" s="27" t="s">
        <v>6108</v>
      </c>
      <c r="B3308" s="28" t="s">
        <v>5102</v>
      </c>
      <c r="C3308" s="27" t="s">
        <v>6109</v>
      </c>
      <c r="D3308" s="27" t="s">
        <v>5104</v>
      </c>
      <c r="E3308" s="29">
        <v>37226</v>
      </c>
      <c r="F3308" s="27">
        <v>15</v>
      </c>
      <c r="G3308" s="18">
        <v>79215.45</v>
      </c>
      <c r="H3308" s="27">
        <f t="shared" si="102"/>
        <v>79215.45</v>
      </c>
      <c r="I3308" s="18">
        <v>75254.679999999993</v>
      </c>
      <c r="J3308" s="27">
        <v>79215.45</v>
      </c>
      <c r="K3308" s="18">
        <f t="shared" si="103"/>
        <v>79215.45</v>
      </c>
      <c r="L3308" s="27">
        <v>75254.679999999993</v>
      </c>
      <c r="M3308" s="36">
        <v>0</v>
      </c>
      <c r="T3308" s="41">
        <v>0</v>
      </c>
      <c r="U3308" s="41">
        <v>0</v>
      </c>
      <c r="V3308" s="42" t="s">
        <v>113</v>
      </c>
      <c r="W3308" s="42">
        <v>79215.45</v>
      </c>
      <c r="X3308" s="42">
        <v>79215.45</v>
      </c>
    </row>
    <row r="3309" spans="1:24">
      <c r="A3309" s="27" t="s">
        <v>6110</v>
      </c>
      <c r="B3309" s="28" t="s">
        <v>5102</v>
      </c>
      <c r="C3309" s="27" t="s">
        <v>6111</v>
      </c>
      <c r="D3309" s="27" t="s">
        <v>5104</v>
      </c>
      <c r="E3309" s="29">
        <v>37226</v>
      </c>
      <c r="F3309" s="27">
        <v>15</v>
      </c>
      <c r="G3309" s="18">
        <v>169210.26</v>
      </c>
      <c r="H3309" s="27">
        <f t="shared" si="102"/>
        <v>169210.26</v>
      </c>
      <c r="I3309" s="18">
        <v>160749.75</v>
      </c>
      <c r="J3309" s="27">
        <v>169210.26</v>
      </c>
      <c r="K3309" s="18">
        <f t="shared" si="103"/>
        <v>169210.26</v>
      </c>
      <c r="L3309" s="27">
        <v>160749.75</v>
      </c>
      <c r="M3309" s="36">
        <v>0</v>
      </c>
      <c r="T3309" s="41">
        <v>0</v>
      </c>
      <c r="U3309" s="41">
        <v>0</v>
      </c>
      <c r="V3309" s="42" t="s">
        <v>113</v>
      </c>
      <c r="W3309" s="42">
        <v>169210.26</v>
      </c>
      <c r="X3309" s="42">
        <v>169210.26</v>
      </c>
    </row>
    <row r="3310" spans="1:24">
      <c r="A3310" s="27" t="s">
        <v>6112</v>
      </c>
      <c r="B3310" s="28" t="s">
        <v>5102</v>
      </c>
      <c r="C3310" s="27" t="s">
        <v>6113</v>
      </c>
      <c r="D3310" s="27" t="s">
        <v>5104</v>
      </c>
      <c r="E3310" s="29">
        <v>37226</v>
      </c>
      <c r="F3310" s="27">
        <v>15</v>
      </c>
      <c r="G3310" s="18">
        <v>41309.1</v>
      </c>
      <c r="H3310" s="27">
        <f t="shared" si="102"/>
        <v>41309.1</v>
      </c>
      <c r="I3310" s="18">
        <v>39243.64</v>
      </c>
      <c r="J3310" s="27">
        <v>41309.1</v>
      </c>
      <c r="K3310" s="18">
        <f t="shared" si="103"/>
        <v>41309.1</v>
      </c>
      <c r="L3310" s="27">
        <v>39243.64</v>
      </c>
      <c r="M3310" s="36">
        <v>0</v>
      </c>
      <c r="T3310" s="41">
        <v>0</v>
      </c>
      <c r="U3310" s="41">
        <v>0</v>
      </c>
      <c r="V3310" s="42" t="s">
        <v>113</v>
      </c>
      <c r="W3310" s="42">
        <v>41309.1</v>
      </c>
      <c r="X3310" s="42">
        <v>41309.1</v>
      </c>
    </row>
    <row r="3311" spans="1:24">
      <c r="A3311" s="27" t="s">
        <v>6114</v>
      </c>
      <c r="B3311" s="28" t="s">
        <v>5102</v>
      </c>
      <c r="C3311" s="27" t="s">
        <v>6115</v>
      </c>
      <c r="D3311" s="27" t="s">
        <v>5104</v>
      </c>
      <c r="E3311" s="29">
        <v>37226</v>
      </c>
      <c r="F3311" s="27">
        <v>15</v>
      </c>
      <c r="G3311" s="18">
        <v>121024.25</v>
      </c>
      <c r="H3311" s="27">
        <f t="shared" si="102"/>
        <v>121024.25</v>
      </c>
      <c r="I3311" s="18">
        <v>114973.04</v>
      </c>
      <c r="J3311" s="27">
        <v>121024.25</v>
      </c>
      <c r="K3311" s="18">
        <f t="shared" si="103"/>
        <v>121024.25</v>
      </c>
      <c r="L3311" s="27">
        <v>114973.04</v>
      </c>
      <c r="M3311" s="36">
        <v>0</v>
      </c>
      <c r="T3311" s="41">
        <v>0</v>
      </c>
      <c r="U3311" s="41">
        <v>0</v>
      </c>
      <c r="V3311" s="42" t="s">
        <v>113</v>
      </c>
      <c r="W3311" s="42">
        <v>121024.25</v>
      </c>
      <c r="X3311" s="42">
        <v>121024.25</v>
      </c>
    </row>
    <row r="3312" spans="1:24">
      <c r="A3312" s="27" t="s">
        <v>6116</v>
      </c>
      <c r="B3312" s="28" t="s">
        <v>5102</v>
      </c>
      <c r="C3312" s="27" t="s">
        <v>6117</v>
      </c>
      <c r="D3312" s="27" t="s">
        <v>5104</v>
      </c>
      <c r="E3312" s="29">
        <v>37226</v>
      </c>
      <c r="F3312" s="27">
        <v>15</v>
      </c>
      <c r="G3312" s="18">
        <v>200668.01</v>
      </c>
      <c r="H3312" s="27">
        <f t="shared" si="102"/>
        <v>200668.01</v>
      </c>
      <c r="I3312" s="18">
        <v>190634.61</v>
      </c>
      <c r="J3312" s="27">
        <v>200668.01</v>
      </c>
      <c r="K3312" s="18">
        <f t="shared" si="103"/>
        <v>200668.01</v>
      </c>
      <c r="L3312" s="27">
        <v>190634.61</v>
      </c>
      <c r="M3312" s="36">
        <v>0</v>
      </c>
      <c r="T3312" s="41">
        <v>0</v>
      </c>
      <c r="U3312" s="41">
        <v>0</v>
      </c>
      <c r="V3312" s="42" t="s">
        <v>113</v>
      </c>
      <c r="W3312" s="42">
        <v>200668.01</v>
      </c>
      <c r="X3312" s="42">
        <v>200668.01</v>
      </c>
    </row>
    <row r="3313" spans="1:24">
      <c r="A3313" s="27" t="s">
        <v>6118</v>
      </c>
      <c r="B3313" s="28" t="s">
        <v>5102</v>
      </c>
      <c r="C3313" s="27" t="s">
        <v>6119</v>
      </c>
      <c r="D3313" s="27" t="s">
        <v>5104</v>
      </c>
      <c r="E3313" s="29">
        <v>37226</v>
      </c>
      <c r="F3313" s="27">
        <v>15</v>
      </c>
      <c r="G3313" s="18">
        <v>550415.21</v>
      </c>
      <c r="H3313" s="27">
        <f t="shared" si="102"/>
        <v>550415.21</v>
      </c>
      <c r="I3313" s="18">
        <v>522894.45</v>
      </c>
      <c r="J3313" s="27">
        <v>550415.21</v>
      </c>
      <c r="K3313" s="18">
        <f t="shared" si="103"/>
        <v>550415.21</v>
      </c>
      <c r="L3313" s="27">
        <v>522894.45</v>
      </c>
      <c r="M3313" s="36">
        <v>0</v>
      </c>
      <c r="T3313" s="41">
        <v>0</v>
      </c>
      <c r="U3313" s="41">
        <v>0</v>
      </c>
      <c r="V3313" s="42" t="s">
        <v>113</v>
      </c>
      <c r="W3313" s="42">
        <v>550415.21</v>
      </c>
      <c r="X3313" s="42">
        <v>550415.21</v>
      </c>
    </row>
    <row r="3314" spans="1:24">
      <c r="A3314" s="27" t="s">
        <v>6120</v>
      </c>
      <c r="B3314" s="28" t="s">
        <v>5102</v>
      </c>
      <c r="C3314" s="27" t="s">
        <v>6121</v>
      </c>
      <c r="D3314" s="27" t="s">
        <v>5104</v>
      </c>
      <c r="E3314" s="29">
        <v>37773</v>
      </c>
      <c r="F3314" s="27">
        <v>15</v>
      </c>
      <c r="G3314" s="18">
        <v>210935.44</v>
      </c>
      <c r="H3314" s="27">
        <f t="shared" si="102"/>
        <v>210935.44</v>
      </c>
      <c r="I3314" s="18">
        <v>200388.67</v>
      </c>
      <c r="J3314" s="27">
        <v>210935.44</v>
      </c>
      <c r="K3314" s="18">
        <f t="shared" si="103"/>
        <v>210935.44</v>
      </c>
      <c r="L3314" s="27">
        <v>200388.67</v>
      </c>
      <c r="M3314" s="36">
        <v>0</v>
      </c>
      <c r="T3314" s="41">
        <v>0</v>
      </c>
      <c r="U3314" s="41">
        <v>0</v>
      </c>
      <c r="V3314" s="42" t="s">
        <v>113</v>
      </c>
      <c r="W3314" s="42">
        <v>210935.44</v>
      </c>
      <c r="X3314" s="42">
        <v>210935.44</v>
      </c>
    </row>
    <row r="3315" spans="1:24">
      <c r="A3315" s="27" t="s">
        <v>6122</v>
      </c>
      <c r="B3315" s="28" t="s">
        <v>5102</v>
      </c>
      <c r="C3315" s="27" t="s">
        <v>6123</v>
      </c>
      <c r="D3315" s="27" t="s">
        <v>5104</v>
      </c>
      <c r="E3315" s="29">
        <v>38078</v>
      </c>
      <c r="F3315" s="27">
        <v>15</v>
      </c>
      <c r="G3315" s="18">
        <v>61044.93</v>
      </c>
      <c r="H3315" s="27">
        <f t="shared" si="102"/>
        <v>61044.93</v>
      </c>
      <c r="I3315" s="18">
        <v>57992.68</v>
      </c>
      <c r="J3315" s="27">
        <v>61044.93</v>
      </c>
      <c r="K3315" s="18">
        <f t="shared" si="103"/>
        <v>61044.93</v>
      </c>
      <c r="L3315" s="27">
        <v>57992.68</v>
      </c>
      <c r="M3315" s="36">
        <v>0</v>
      </c>
      <c r="T3315" s="41">
        <v>0</v>
      </c>
      <c r="U3315" s="41">
        <v>0</v>
      </c>
      <c r="V3315" s="42" t="s">
        <v>113</v>
      </c>
      <c r="W3315" s="42">
        <v>61044.93</v>
      </c>
      <c r="X3315" s="42">
        <v>61044.93</v>
      </c>
    </row>
    <row r="3316" spans="1:24">
      <c r="A3316" s="27" t="s">
        <v>6124</v>
      </c>
      <c r="B3316" s="28" t="s">
        <v>5102</v>
      </c>
      <c r="C3316" s="27" t="s">
        <v>6125</v>
      </c>
      <c r="D3316" s="27" t="s">
        <v>5104</v>
      </c>
      <c r="E3316" s="29">
        <v>38078</v>
      </c>
      <c r="F3316" s="27">
        <v>15</v>
      </c>
      <c r="G3316" s="18">
        <v>5510.63</v>
      </c>
      <c r="H3316" s="27">
        <f t="shared" si="102"/>
        <v>5510.63</v>
      </c>
      <c r="I3316" s="18">
        <v>5235.1000000000004</v>
      </c>
      <c r="J3316" s="27">
        <v>5510.63</v>
      </c>
      <c r="K3316" s="18">
        <f t="shared" si="103"/>
        <v>5510.63</v>
      </c>
      <c r="L3316" s="27">
        <v>5235.1000000000004</v>
      </c>
      <c r="M3316" s="36">
        <v>0</v>
      </c>
      <c r="T3316" s="41">
        <v>0</v>
      </c>
      <c r="U3316" s="41">
        <v>0</v>
      </c>
      <c r="V3316" s="42" t="s">
        <v>113</v>
      </c>
      <c r="W3316" s="42">
        <v>5510.63</v>
      </c>
      <c r="X3316" s="42">
        <v>5510.63</v>
      </c>
    </row>
    <row r="3317" spans="1:24">
      <c r="A3317" s="27" t="s">
        <v>6126</v>
      </c>
      <c r="B3317" s="28" t="s">
        <v>5102</v>
      </c>
      <c r="C3317" s="27" t="s">
        <v>6127</v>
      </c>
      <c r="D3317" s="27" t="s">
        <v>5104</v>
      </c>
      <c r="E3317" s="29">
        <v>38078</v>
      </c>
      <c r="F3317" s="27">
        <v>15</v>
      </c>
      <c r="G3317" s="18">
        <v>10061.83</v>
      </c>
      <c r="H3317" s="27">
        <f t="shared" si="102"/>
        <v>10061.83</v>
      </c>
      <c r="I3317" s="18">
        <v>9558.74</v>
      </c>
      <c r="J3317" s="27">
        <v>10061.83</v>
      </c>
      <c r="K3317" s="18">
        <f t="shared" si="103"/>
        <v>10061.83</v>
      </c>
      <c r="L3317" s="27">
        <v>9558.74</v>
      </c>
      <c r="M3317" s="36">
        <v>0</v>
      </c>
      <c r="T3317" s="41">
        <v>0</v>
      </c>
      <c r="U3317" s="41">
        <v>0</v>
      </c>
      <c r="V3317" s="42" t="s">
        <v>113</v>
      </c>
      <c r="W3317" s="42">
        <v>10061.83</v>
      </c>
      <c r="X3317" s="42">
        <v>10061.83</v>
      </c>
    </row>
    <row r="3318" spans="1:24">
      <c r="A3318" s="27" t="s">
        <v>6128</v>
      </c>
      <c r="B3318" s="28" t="s">
        <v>5102</v>
      </c>
      <c r="C3318" s="27" t="s">
        <v>6127</v>
      </c>
      <c r="D3318" s="27" t="s">
        <v>5104</v>
      </c>
      <c r="E3318" s="29">
        <v>38078</v>
      </c>
      <c r="F3318" s="27">
        <v>15</v>
      </c>
      <c r="G3318" s="18">
        <v>39025.82</v>
      </c>
      <c r="H3318" s="27">
        <f t="shared" si="102"/>
        <v>39025.82</v>
      </c>
      <c r="I3318" s="18">
        <v>37074.53</v>
      </c>
      <c r="J3318" s="27">
        <v>39025.82</v>
      </c>
      <c r="K3318" s="18">
        <f t="shared" si="103"/>
        <v>39025.82</v>
      </c>
      <c r="L3318" s="27">
        <v>37074.53</v>
      </c>
      <c r="M3318" s="36">
        <v>0</v>
      </c>
      <c r="T3318" s="41">
        <v>0</v>
      </c>
      <c r="U3318" s="41">
        <v>0</v>
      </c>
      <c r="V3318" s="42" t="s">
        <v>113</v>
      </c>
      <c r="W3318" s="42">
        <v>39025.82</v>
      </c>
      <c r="X3318" s="42">
        <v>39025.82</v>
      </c>
    </row>
    <row r="3319" spans="1:24">
      <c r="A3319" s="27" t="s">
        <v>6129</v>
      </c>
      <c r="B3319" s="28" t="s">
        <v>5102</v>
      </c>
      <c r="C3319" s="27" t="s">
        <v>6130</v>
      </c>
      <c r="D3319" s="27" t="s">
        <v>5104</v>
      </c>
      <c r="E3319" s="29">
        <v>38078</v>
      </c>
      <c r="F3319" s="27">
        <v>15</v>
      </c>
      <c r="G3319" s="18">
        <v>81232.73</v>
      </c>
      <c r="H3319" s="27">
        <f t="shared" si="102"/>
        <v>81232.73</v>
      </c>
      <c r="I3319" s="18">
        <v>77171.09</v>
      </c>
      <c r="J3319" s="27">
        <v>81232.73</v>
      </c>
      <c r="K3319" s="18">
        <f t="shared" si="103"/>
        <v>81232.73</v>
      </c>
      <c r="L3319" s="27">
        <v>77171.09</v>
      </c>
      <c r="M3319" s="36">
        <v>0</v>
      </c>
      <c r="T3319" s="41">
        <v>0</v>
      </c>
      <c r="U3319" s="41">
        <v>0</v>
      </c>
      <c r="V3319" s="42" t="s">
        <v>113</v>
      </c>
      <c r="W3319" s="42">
        <v>81232.73</v>
      </c>
      <c r="X3319" s="42">
        <v>81232.73</v>
      </c>
    </row>
    <row r="3320" spans="1:24">
      <c r="A3320" s="27" t="s">
        <v>6131</v>
      </c>
      <c r="B3320" s="28" t="s">
        <v>5102</v>
      </c>
      <c r="C3320" s="27" t="s">
        <v>6132</v>
      </c>
      <c r="D3320" s="27" t="s">
        <v>5104</v>
      </c>
      <c r="E3320" s="29">
        <v>37226</v>
      </c>
      <c r="F3320" s="27">
        <v>15</v>
      </c>
      <c r="G3320" s="18">
        <v>112529.24</v>
      </c>
      <c r="H3320" s="27">
        <f t="shared" si="102"/>
        <v>112529.24</v>
      </c>
      <c r="I3320" s="18">
        <v>106902.78</v>
      </c>
      <c r="J3320" s="27">
        <v>112529.24</v>
      </c>
      <c r="K3320" s="18">
        <f t="shared" si="103"/>
        <v>112529.24</v>
      </c>
      <c r="L3320" s="27">
        <v>106902.78</v>
      </c>
      <c r="M3320" s="36">
        <v>0</v>
      </c>
      <c r="T3320" s="41">
        <v>0</v>
      </c>
      <c r="U3320" s="41">
        <v>0</v>
      </c>
      <c r="V3320" s="42" t="s">
        <v>113</v>
      </c>
      <c r="W3320" s="42">
        <v>112529.24</v>
      </c>
      <c r="X3320" s="42">
        <v>112529.24</v>
      </c>
    </row>
    <row r="3321" spans="1:24">
      <c r="A3321" s="27" t="s">
        <v>6133</v>
      </c>
      <c r="B3321" s="28" t="s">
        <v>5102</v>
      </c>
      <c r="C3321" s="27" t="s">
        <v>6134</v>
      </c>
      <c r="D3321" s="27" t="s">
        <v>5104</v>
      </c>
      <c r="E3321" s="29">
        <v>38078</v>
      </c>
      <c r="F3321" s="27">
        <v>15</v>
      </c>
      <c r="G3321" s="18">
        <v>128242.5</v>
      </c>
      <c r="H3321" s="27">
        <f t="shared" si="102"/>
        <v>128242.5</v>
      </c>
      <c r="I3321" s="18">
        <v>121830.37</v>
      </c>
      <c r="J3321" s="27">
        <v>128242.5</v>
      </c>
      <c r="K3321" s="18">
        <f t="shared" si="103"/>
        <v>128242.5</v>
      </c>
      <c r="L3321" s="27">
        <v>121830.37</v>
      </c>
      <c r="M3321" s="36">
        <v>0</v>
      </c>
      <c r="T3321" s="41">
        <v>0</v>
      </c>
      <c r="U3321" s="41">
        <v>0</v>
      </c>
      <c r="V3321" s="42" t="s">
        <v>113</v>
      </c>
      <c r="W3321" s="42">
        <v>128242.5</v>
      </c>
      <c r="X3321" s="42">
        <v>128242.5</v>
      </c>
    </row>
    <row r="3322" spans="1:24">
      <c r="A3322" s="27" t="s">
        <v>6135</v>
      </c>
      <c r="B3322" s="28" t="s">
        <v>5102</v>
      </c>
      <c r="C3322" s="27" t="s">
        <v>6136</v>
      </c>
      <c r="D3322" s="27" t="s">
        <v>5104</v>
      </c>
      <c r="E3322" s="29">
        <v>38078</v>
      </c>
      <c r="F3322" s="27">
        <v>15</v>
      </c>
      <c r="G3322" s="18">
        <v>7454.51</v>
      </c>
      <c r="H3322" s="27">
        <f t="shared" si="102"/>
        <v>7454.51</v>
      </c>
      <c r="I3322" s="18">
        <v>7081.78</v>
      </c>
      <c r="J3322" s="27">
        <v>7454.51</v>
      </c>
      <c r="K3322" s="18">
        <f t="shared" si="103"/>
        <v>7454.51</v>
      </c>
      <c r="L3322" s="27">
        <v>7081.78</v>
      </c>
      <c r="M3322" s="36">
        <v>0</v>
      </c>
      <c r="T3322" s="41">
        <v>0</v>
      </c>
      <c r="U3322" s="41">
        <v>0</v>
      </c>
      <c r="V3322" s="42" t="s">
        <v>113</v>
      </c>
      <c r="W3322" s="42">
        <v>7454.51</v>
      </c>
      <c r="X3322" s="42">
        <v>7454.51</v>
      </c>
    </row>
    <row r="3323" spans="1:24">
      <c r="A3323" s="27" t="s">
        <v>6137</v>
      </c>
      <c r="B3323" s="28" t="s">
        <v>5102</v>
      </c>
      <c r="C3323" s="27" t="s">
        <v>6138</v>
      </c>
      <c r="D3323" s="27" t="s">
        <v>5104</v>
      </c>
      <c r="E3323" s="29">
        <v>38078</v>
      </c>
      <c r="F3323" s="27">
        <v>15</v>
      </c>
      <c r="G3323" s="18">
        <v>94126.54</v>
      </c>
      <c r="H3323" s="27">
        <f t="shared" si="102"/>
        <v>94126.54</v>
      </c>
      <c r="I3323" s="18">
        <v>89420.21</v>
      </c>
      <c r="J3323" s="27">
        <v>94126.54</v>
      </c>
      <c r="K3323" s="18">
        <f t="shared" si="103"/>
        <v>94126.54</v>
      </c>
      <c r="L3323" s="27">
        <v>89420.21</v>
      </c>
      <c r="M3323" s="36">
        <v>0</v>
      </c>
      <c r="T3323" s="41">
        <v>0</v>
      </c>
      <c r="U3323" s="41">
        <v>0</v>
      </c>
      <c r="V3323" s="42" t="s">
        <v>113</v>
      </c>
      <c r="W3323" s="42">
        <v>94126.54</v>
      </c>
      <c r="X3323" s="42">
        <v>94126.54</v>
      </c>
    </row>
    <row r="3324" spans="1:24">
      <c r="A3324" s="27" t="s">
        <v>6139</v>
      </c>
      <c r="B3324" s="28" t="s">
        <v>5102</v>
      </c>
      <c r="C3324" s="27" t="s">
        <v>6140</v>
      </c>
      <c r="D3324" s="27" t="s">
        <v>5104</v>
      </c>
      <c r="E3324" s="29">
        <v>39417</v>
      </c>
      <c r="F3324" s="27">
        <v>15</v>
      </c>
      <c r="G3324" s="18">
        <v>32287.42</v>
      </c>
      <c r="H3324" s="27">
        <f t="shared" si="102"/>
        <v>0</v>
      </c>
      <c r="I3324" s="18">
        <v>27537.919999999998</v>
      </c>
      <c r="J3324" s="27">
        <v>32287.42</v>
      </c>
      <c r="K3324" s="18">
        <f t="shared" si="103"/>
        <v>0</v>
      </c>
      <c r="L3324" s="27">
        <v>28321.7</v>
      </c>
      <c r="M3324" s="36">
        <v>783.78</v>
      </c>
      <c r="T3324" s="41">
        <v>0</v>
      </c>
      <c r="U3324" s="41">
        <v>0</v>
      </c>
      <c r="V3324" s="42" t="s">
        <v>113</v>
      </c>
      <c r="W3324" s="42">
        <v>0</v>
      </c>
      <c r="X3324" s="42">
        <v>0</v>
      </c>
    </row>
    <row r="3325" spans="1:24">
      <c r="A3325" s="27" t="s">
        <v>6141</v>
      </c>
      <c r="B3325" s="28" t="s">
        <v>5102</v>
      </c>
      <c r="C3325" s="27" t="s">
        <v>6142</v>
      </c>
      <c r="D3325" s="27" t="s">
        <v>5104</v>
      </c>
      <c r="E3325" s="29">
        <v>39417</v>
      </c>
      <c r="F3325" s="27">
        <v>15</v>
      </c>
      <c r="G3325" s="18">
        <v>17758.080000000002</v>
      </c>
      <c r="H3325" s="27">
        <f t="shared" si="102"/>
        <v>0</v>
      </c>
      <c r="I3325" s="18">
        <v>15145.85</v>
      </c>
      <c r="J3325" s="27">
        <v>17758.080000000002</v>
      </c>
      <c r="K3325" s="18">
        <f t="shared" si="103"/>
        <v>0</v>
      </c>
      <c r="L3325" s="27">
        <v>15576.93</v>
      </c>
      <c r="M3325" s="36">
        <v>431.08</v>
      </c>
      <c r="T3325" s="41">
        <v>0</v>
      </c>
      <c r="U3325" s="41">
        <v>0</v>
      </c>
      <c r="V3325" s="42" t="s">
        <v>113</v>
      </c>
      <c r="W3325" s="42">
        <v>0</v>
      </c>
      <c r="X3325" s="42">
        <v>0</v>
      </c>
    </row>
    <row r="3326" spans="1:24">
      <c r="A3326" s="27" t="s">
        <v>6143</v>
      </c>
      <c r="B3326" s="28" t="s">
        <v>5102</v>
      </c>
      <c r="C3326" s="27" t="s">
        <v>6142</v>
      </c>
      <c r="D3326" s="27" t="s">
        <v>5104</v>
      </c>
      <c r="E3326" s="29">
        <v>39417</v>
      </c>
      <c r="F3326" s="27">
        <v>15</v>
      </c>
      <c r="G3326" s="18">
        <v>29058.68</v>
      </c>
      <c r="H3326" s="27">
        <f t="shared" si="102"/>
        <v>0</v>
      </c>
      <c r="I3326" s="18">
        <v>24784.13</v>
      </c>
      <c r="J3326" s="27">
        <v>29058.68</v>
      </c>
      <c r="K3326" s="18">
        <f t="shared" si="103"/>
        <v>0</v>
      </c>
      <c r="L3326" s="27">
        <v>25489.53</v>
      </c>
      <c r="M3326" s="36">
        <v>705.4</v>
      </c>
      <c r="T3326" s="41">
        <v>0</v>
      </c>
      <c r="U3326" s="41">
        <v>0</v>
      </c>
      <c r="V3326" s="42" t="s">
        <v>113</v>
      </c>
      <c r="W3326" s="42">
        <v>0</v>
      </c>
      <c r="X3326" s="42">
        <v>0</v>
      </c>
    </row>
    <row r="3327" spans="1:24">
      <c r="A3327" s="27" t="s">
        <v>6144</v>
      </c>
      <c r="B3327" s="28" t="s">
        <v>5102</v>
      </c>
      <c r="C3327" s="27" t="s">
        <v>6142</v>
      </c>
      <c r="D3327" s="27" t="s">
        <v>5104</v>
      </c>
      <c r="E3327" s="29">
        <v>39417</v>
      </c>
      <c r="F3327" s="27">
        <v>15</v>
      </c>
      <c r="G3327" s="18">
        <v>157612.38</v>
      </c>
      <c r="H3327" s="27">
        <f t="shared" si="102"/>
        <v>0</v>
      </c>
      <c r="I3327" s="18">
        <v>134500.59</v>
      </c>
      <c r="J3327" s="27">
        <v>157612.38</v>
      </c>
      <c r="K3327" s="18">
        <f t="shared" si="103"/>
        <v>0</v>
      </c>
      <c r="L3327" s="27">
        <v>138308.38</v>
      </c>
      <c r="M3327" s="36">
        <v>3807.79</v>
      </c>
      <c r="T3327" s="41">
        <v>0</v>
      </c>
      <c r="U3327" s="41">
        <v>0</v>
      </c>
      <c r="V3327" s="42" t="s">
        <v>113</v>
      </c>
      <c r="W3327" s="42">
        <v>0</v>
      </c>
      <c r="X3327" s="42">
        <v>0</v>
      </c>
    </row>
    <row r="3328" spans="1:24">
      <c r="A3328" s="27" t="s">
        <v>6145</v>
      </c>
      <c r="B3328" s="28" t="s">
        <v>5102</v>
      </c>
      <c r="C3328" s="27" t="s">
        <v>6142</v>
      </c>
      <c r="D3328" s="27" t="s">
        <v>5104</v>
      </c>
      <c r="E3328" s="29">
        <v>39417</v>
      </c>
      <c r="F3328" s="27">
        <v>15</v>
      </c>
      <c r="G3328" s="18">
        <v>14529.34</v>
      </c>
      <c r="H3328" s="27">
        <f t="shared" si="102"/>
        <v>0</v>
      </c>
      <c r="I3328" s="18">
        <v>12392.05</v>
      </c>
      <c r="J3328" s="27">
        <v>14529.34</v>
      </c>
      <c r="K3328" s="18">
        <f t="shared" si="103"/>
        <v>0</v>
      </c>
      <c r="L3328" s="27">
        <v>12744.75</v>
      </c>
      <c r="M3328" s="36">
        <v>352.7</v>
      </c>
      <c r="T3328" s="41">
        <v>0</v>
      </c>
      <c r="U3328" s="41">
        <v>0</v>
      </c>
      <c r="V3328" s="42" t="s">
        <v>113</v>
      </c>
      <c r="W3328" s="42">
        <v>0</v>
      </c>
      <c r="X3328" s="42">
        <v>0</v>
      </c>
    </row>
    <row r="3329" spans="1:24">
      <c r="A3329" s="27" t="s">
        <v>6146</v>
      </c>
      <c r="B3329" s="28" t="s">
        <v>5102</v>
      </c>
      <c r="C3329" s="27" t="s">
        <v>6142</v>
      </c>
      <c r="D3329" s="27" t="s">
        <v>5104</v>
      </c>
      <c r="E3329" s="29">
        <v>39417</v>
      </c>
      <c r="F3329" s="27">
        <v>15</v>
      </c>
      <c r="G3329" s="18">
        <v>14529.34</v>
      </c>
      <c r="H3329" s="27">
        <f t="shared" si="102"/>
        <v>0</v>
      </c>
      <c r="I3329" s="18">
        <v>12392.05</v>
      </c>
      <c r="J3329" s="27">
        <v>14529.34</v>
      </c>
      <c r="K3329" s="18">
        <f t="shared" si="103"/>
        <v>0</v>
      </c>
      <c r="L3329" s="27">
        <v>12744.75</v>
      </c>
      <c r="M3329" s="36">
        <v>352.7</v>
      </c>
      <c r="T3329" s="41">
        <v>0</v>
      </c>
      <c r="U3329" s="41">
        <v>0</v>
      </c>
      <c r="V3329" s="42" t="s">
        <v>113</v>
      </c>
      <c r="W3329" s="42">
        <v>0</v>
      </c>
      <c r="X3329" s="42">
        <v>0</v>
      </c>
    </row>
    <row r="3330" spans="1:24">
      <c r="A3330" s="27" t="s">
        <v>6147</v>
      </c>
      <c r="B3330" s="28" t="s">
        <v>5102</v>
      </c>
      <c r="C3330" s="27" t="s">
        <v>6142</v>
      </c>
      <c r="D3330" s="27" t="s">
        <v>5104</v>
      </c>
      <c r="E3330" s="29">
        <v>39417</v>
      </c>
      <c r="F3330" s="27">
        <v>15</v>
      </c>
      <c r="G3330" s="18">
        <v>29058.65</v>
      </c>
      <c r="H3330" s="27">
        <f t="shared" si="102"/>
        <v>0</v>
      </c>
      <c r="I3330" s="18">
        <v>24784.1</v>
      </c>
      <c r="J3330" s="27">
        <v>29058.65</v>
      </c>
      <c r="K3330" s="18">
        <f t="shared" si="103"/>
        <v>0</v>
      </c>
      <c r="L3330" s="27">
        <v>25489.51</v>
      </c>
      <c r="M3330" s="36">
        <v>705.41</v>
      </c>
      <c r="T3330" s="41">
        <v>0</v>
      </c>
      <c r="U3330" s="41">
        <v>0</v>
      </c>
      <c r="V3330" s="42" t="s">
        <v>113</v>
      </c>
      <c r="W3330" s="42">
        <v>0</v>
      </c>
      <c r="X3330" s="42">
        <v>0</v>
      </c>
    </row>
    <row r="3331" spans="1:24">
      <c r="A3331" s="27" t="s">
        <v>6148</v>
      </c>
      <c r="B3331" s="28" t="s">
        <v>5102</v>
      </c>
      <c r="C3331" s="27" t="s">
        <v>6149</v>
      </c>
      <c r="D3331" s="27" t="s">
        <v>5104</v>
      </c>
      <c r="E3331" s="29">
        <v>37347</v>
      </c>
      <c r="F3331" s="27">
        <v>15</v>
      </c>
      <c r="G3331" s="18">
        <v>5160</v>
      </c>
      <c r="H3331" s="27">
        <f t="shared" si="102"/>
        <v>5160</v>
      </c>
      <c r="I3331" s="18">
        <v>4902</v>
      </c>
      <c r="J3331" s="27">
        <v>5160</v>
      </c>
      <c r="K3331" s="18">
        <f t="shared" si="103"/>
        <v>5160</v>
      </c>
      <c r="L3331" s="27">
        <v>4902</v>
      </c>
      <c r="M3331" s="36">
        <v>0</v>
      </c>
      <c r="T3331" s="41">
        <v>0</v>
      </c>
      <c r="U3331" s="41">
        <v>0</v>
      </c>
      <c r="V3331" s="42" t="s">
        <v>113</v>
      </c>
      <c r="W3331" s="42">
        <v>5160</v>
      </c>
      <c r="X3331" s="42">
        <v>5160</v>
      </c>
    </row>
    <row r="3332" spans="1:24">
      <c r="A3332" s="27" t="s">
        <v>6150</v>
      </c>
      <c r="B3332" s="28" t="s">
        <v>5102</v>
      </c>
      <c r="C3332" s="27" t="s">
        <v>6151</v>
      </c>
      <c r="D3332" s="27" t="s">
        <v>5104</v>
      </c>
      <c r="E3332" s="29">
        <v>37773</v>
      </c>
      <c r="F3332" s="27">
        <v>15</v>
      </c>
      <c r="G3332" s="18">
        <v>52605</v>
      </c>
      <c r="H3332" s="27">
        <f t="shared" si="102"/>
        <v>52605</v>
      </c>
      <c r="I3332" s="18">
        <v>49974.75</v>
      </c>
      <c r="J3332" s="27">
        <v>52605</v>
      </c>
      <c r="K3332" s="18">
        <f t="shared" si="103"/>
        <v>52605</v>
      </c>
      <c r="L3332" s="27">
        <v>49974.75</v>
      </c>
      <c r="M3332" s="36">
        <v>0</v>
      </c>
      <c r="T3332" s="41">
        <v>0</v>
      </c>
      <c r="U3332" s="41">
        <v>0</v>
      </c>
      <c r="V3332" s="42" t="s">
        <v>113</v>
      </c>
      <c r="W3332" s="42">
        <v>52605</v>
      </c>
      <c r="X3332" s="42">
        <v>52605</v>
      </c>
    </row>
    <row r="3333" spans="1:24">
      <c r="A3333" s="27" t="s">
        <v>6152</v>
      </c>
      <c r="B3333" s="28" t="s">
        <v>5102</v>
      </c>
      <c r="C3333" s="27" t="s">
        <v>6153</v>
      </c>
      <c r="D3333" s="27" t="s">
        <v>5104</v>
      </c>
      <c r="E3333" s="29">
        <v>38078</v>
      </c>
      <c r="F3333" s="27">
        <v>15</v>
      </c>
      <c r="G3333" s="18">
        <v>46473.760000000002</v>
      </c>
      <c r="H3333" s="27">
        <f t="shared" si="102"/>
        <v>46473.760000000002</v>
      </c>
      <c r="I3333" s="18">
        <v>44150.07</v>
      </c>
      <c r="J3333" s="27">
        <v>46473.760000000002</v>
      </c>
      <c r="K3333" s="18">
        <f t="shared" si="103"/>
        <v>46473.760000000002</v>
      </c>
      <c r="L3333" s="27">
        <v>44150.07</v>
      </c>
      <c r="M3333" s="36">
        <v>0</v>
      </c>
      <c r="T3333" s="41">
        <v>0</v>
      </c>
      <c r="U3333" s="41">
        <v>0</v>
      </c>
      <c r="V3333" s="42" t="s">
        <v>113</v>
      </c>
      <c r="W3333" s="42">
        <v>46473.760000000002</v>
      </c>
      <c r="X3333" s="42">
        <v>46473.760000000002</v>
      </c>
    </row>
    <row r="3334" spans="1:24">
      <c r="A3334" s="27" t="s">
        <v>6154</v>
      </c>
      <c r="B3334" s="28" t="s">
        <v>5102</v>
      </c>
      <c r="C3334" s="27" t="s">
        <v>6155</v>
      </c>
      <c r="D3334" s="27" t="s">
        <v>5104</v>
      </c>
      <c r="E3334" s="29">
        <v>38626</v>
      </c>
      <c r="F3334" s="27">
        <v>15</v>
      </c>
      <c r="G3334" s="18">
        <v>60275.73</v>
      </c>
      <c r="H3334" s="27">
        <f t="shared" ref="H3334:H3397" si="104">IFERROR(IF(ROUND((G3334-I3334)/G3334,2)&lt;=0.05,G3334,0),0)</f>
        <v>60275.73</v>
      </c>
      <c r="I3334" s="18">
        <v>57457.1</v>
      </c>
      <c r="J3334" s="27">
        <v>60275.73</v>
      </c>
      <c r="K3334" s="18">
        <f t="shared" ref="K3334:K3397" si="105">IFERROR(IF(ROUND((J3334-L3334)/J3334,2)&lt;=0.05,J3334,0),0)</f>
        <v>60275.73</v>
      </c>
      <c r="L3334" s="27">
        <v>57261.94</v>
      </c>
      <c r="M3334" s="36">
        <v>-195.16</v>
      </c>
      <c r="T3334" s="41">
        <v>0</v>
      </c>
      <c r="U3334" s="41">
        <v>0</v>
      </c>
      <c r="V3334" s="42" t="s">
        <v>113</v>
      </c>
      <c r="W3334" s="42">
        <v>60275.73</v>
      </c>
      <c r="X3334" s="42">
        <v>60275.73</v>
      </c>
    </row>
    <row r="3335" spans="1:24">
      <c r="A3335" s="27" t="s">
        <v>6156</v>
      </c>
      <c r="B3335" s="28" t="s">
        <v>5102</v>
      </c>
      <c r="C3335" s="27" t="s">
        <v>6157</v>
      </c>
      <c r="D3335" s="27" t="s">
        <v>5104</v>
      </c>
      <c r="E3335" s="29">
        <v>37742</v>
      </c>
      <c r="F3335" s="27">
        <v>15</v>
      </c>
      <c r="G3335" s="18">
        <v>1064256.95</v>
      </c>
      <c r="H3335" s="27">
        <f t="shared" si="104"/>
        <v>1064256.95</v>
      </c>
      <c r="I3335" s="18">
        <v>1011044.1</v>
      </c>
      <c r="J3335" s="27">
        <v>1064256.95</v>
      </c>
      <c r="K3335" s="18">
        <f t="shared" si="105"/>
        <v>1064256.95</v>
      </c>
      <c r="L3335" s="27">
        <v>1011044.1</v>
      </c>
      <c r="M3335" s="36">
        <v>0</v>
      </c>
      <c r="T3335" s="41">
        <v>0</v>
      </c>
      <c r="U3335" s="41">
        <v>0</v>
      </c>
      <c r="V3335" s="42" t="s">
        <v>113</v>
      </c>
      <c r="W3335" s="42">
        <v>1064256.95</v>
      </c>
      <c r="X3335" s="42">
        <v>1064256.95</v>
      </c>
    </row>
    <row r="3336" spans="1:24">
      <c r="A3336" s="27" t="s">
        <v>6158</v>
      </c>
      <c r="B3336" s="28" t="s">
        <v>5102</v>
      </c>
      <c r="C3336" s="27" t="s">
        <v>6159</v>
      </c>
      <c r="D3336" s="27" t="s">
        <v>5104</v>
      </c>
      <c r="E3336" s="29">
        <v>38078</v>
      </c>
      <c r="F3336" s="27">
        <v>15</v>
      </c>
      <c r="G3336" s="18">
        <v>523274.36</v>
      </c>
      <c r="H3336" s="27">
        <f t="shared" si="104"/>
        <v>523274.36</v>
      </c>
      <c r="I3336" s="18">
        <v>497110.64</v>
      </c>
      <c r="J3336" s="27">
        <v>523274.36</v>
      </c>
      <c r="K3336" s="18">
        <f t="shared" si="105"/>
        <v>523274.36</v>
      </c>
      <c r="L3336" s="27">
        <v>497110.64</v>
      </c>
      <c r="M3336" s="36">
        <v>0</v>
      </c>
      <c r="T3336" s="41">
        <v>0</v>
      </c>
      <c r="U3336" s="41">
        <v>0</v>
      </c>
      <c r="V3336" s="42" t="s">
        <v>113</v>
      </c>
      <c r="W3336" s="42">
        <v>523274.36</v>
      </c>
      <c r="X3336" s="42">
        <v>523274.36</v>
      </c>
    </row>
    <row r="3337" spans="1:24">
      <c r="A3337" s="27" t="s">
        <v>6160</v>
      </c>
      <c r="B3337" s="28" t="s">
        <v>5102</v>
      </c>
      <c r="C3337" s="27" t="s">
        <v>6161</v>
      </c>
      <c r="D3337" s="27" t="s">
        <v>5104</v>
      </c>
      <c r="E3337" s="29">
        <v>39417</v>
      </c>
      <c r="F3337" s="27">
        <v>15</v>
      </c>
      <c r="G3337" s="18">
        <v>15369.93</v>
      </c>
      <c r="H3337" s="27">
        <f t="shared" si="104"/>
        <v>0</v>
      </c>
      <c r="I3337" s="18">
        <v>13109.01</v>
      </c>
      <c r="J3337" s="27">
        <v>15369.93</v>
      </c>
      <c r="K3337" s="18">
        <f t="shared" si="105"/>
        <v>0</v>
      </c>
      <c r="L3337" s="27">
        <v>13482.12</v>
      </c>
      <c r="M3337" s="36">
        <v>373.11</v>
      </c>
      <c r="T3337" s="41">
        <v>0</v>
      </c>
      <c r="U3337" s="41">
        <v>0</v>
      </c>
      <c r="V3337" s="42" t="s">
        <v>113</v>
      </c>
      <c r="W3337" s="42">
        <v>0</v>
      </c>
      <c r="X3337" s="42">
        <v>0</v>
      </c>
    </row>
    <row r="3338" spans="1:24">
      <c r="A3338" s="27" t="s">
        <v>6162</v>
      </c>
      <c r="B3338" s="28" t="s">
        <v>5102</v>
      </c>
      <c r="C3338" s="27" t="s">
        <v>6163</v>
      </c>
      <c r="D3338" s="27" t="s">
        <v>5104</v>
      </c>
      <c r="E3338" s="29">
        <v>38078</v>
      </c>
      <c r="F3338" s="27">
        <v>15</v>
      </c>
      <c r="G3338" s="18">
        <v>21971.51</v>
      </c>
      <c r="H3338" s="27">
        <f t="shared" si="104"/>
        <v>21971.51</v>
      </c>
      <c r="I3338" s="18">
        <v>20872.93</v>
      </c>
      <c r="J3338" s="27">
        <v>21971.51</v>
      </c>
      <c r="K3338" s="18">
        <f t="shared" si="105"/>
        <v>21971.51</v>
      </c>
      <c r="L3338" s="27">
        <v>20872.93</v>
      </c>
      <c r="M3338" s="36">
        <v>0</v>
      </c>
      <c r="T3338" s="41">
        <v>0</v>
      </c>
      <c r="U3338" s="41">
        <v>0</v>
      </c>
      <c r="V3338" s="42" t="s">
        <v>113</v>
      </c>
      <c r="W3338" s="42">
        <v>21971.51</v>
      </c>
      <c r="X3338" s="42">
        <v>21971.51</v>
      </c>
    </row>
    <row r="3339" spans="1:24">
      <c r="A3339" s="27" t="s">
        <v>6164</v>
      </c>
      <c r="B3339" s="28" t="s">
        <v>5102</v>
      </c>
      <c r="C3339" s="27" t="s">
        <v>6165</v>
      </c>
      <c r="D3339" s="27" t="s">
        <v>5104</v>
      </c>
      <c r="E3339" s="29">
        <v>38078</v>
      </c>
      <c r="F3339" s="27">
        <v>15</v>
      </c>
      <c r="G3339" s="18">
        <v>8842.0499999999993</v>
      </c>
      <c r="H3339" s="27">
        <f t="shared" si="104"/>
        <v>8842.0499999999993</v>
      </c>
      <c r="I3339" s="18">
        <v>8399.9500000000007</v>
      </c>
      <c r="J3339" s="27">
        <v>8842.0499999999993</v>
      </c>
      <c r="K3339" s="18">
        <f t="shared" si="105"/>
        <v>8842.0499999999993</v>
      </c>
      <c r="L3339" s="27">
        <v>8399.9500000000007</v>
      </c>
      <c r="M3339" s="36">
        <v>0</v>
      </c>
      <c r="T3339" s="41">
        <v>0</v>
      </c>
      <c r="U3339" s="41">
        <v>0</v>
      </c>
      <c r="V3339" s="42" t="s">
        <v>113</v>
      </c>
      <c r="W3339" s="42">
        <v>8842.0499999999993</v>
      </c>
      <c r="X3339" s="42">
        <v>8842.0499999999993</v>
      </c>
    </row>
    <row r="3340" spans="1:24">
      <c r="A3340" s="27" t="s">
        <v>6166</v>
      </c>
      <c r="B3340" s="28" t="s">
        <v>5102</v>
      </c>
      <c r="C3340" s="27" t="s">
        <v>6167</v>
      </c>
      <c r="D3340" s="27" t="s">
        <v>5104</v>
      </c>
      <c r="E3340" s="29">
        <v>38078</v>
      </c>
      <c r="F3340" s="27">
        <v>15</v>
      </c>
      <c r="G3340" s="18">
        <v>69050.75</v>
      </c>
      <c r="H3340" s="27">
        <f t="shared" si="104"/>
        <v>69050.75</v>
      </c>
      <c r="I3340" s="18">
        <v>65598.210000000006</v>
      </c>
      <c r="J3340" s="27">
        <v>69050.75</v>
      </c>
      <c r="K3340" s="18">
        <f t="shared" si="105"/>
        <v>69050.75</v>
      </c>
      <c r="L3340" s="27">
        <v>65598.210000000006</v>
      </c>
      <c r="M3340" s="36">
        <v>0</v>
      </c>
      <c r="T3340" s="41">
        <v>0</v>
      </c>
      <c r="U3340" s="41">
        <v>0</v>
      </c>
      <c r="V3340" s="42" t="s">
        <v>113</v>
      </c>
      <c r="W3340" s="42">
        <v>69050.75</v>
      </c>
      <c r="X3340" s="42">
        <v>69050.75</v>
      </c>
    </row>
    <row r="3341" spans="1:24">
      <c r="A3341" s="27" t="s">
        <v>6168</v>
      </c>
      <c r="B3341" s="28" t="s">
        <v>5102</v>
      </c>
      <c r="C3341" s="27" t="s">
        <v>6167</v>
      </c>
      <c r="D3341" s="27" t="s">
        <v>5104</v>
      </c>
      <c r="E3341" s="29">
        <v>38078</v>
      </c>
      <c r="F3341" s="27">
        <v>15</v>
      </c>
      <c r="G3341" s="18">
        <v>22434.81</v>
      </c>
      <c r="H3341" s="27">
        <f t="shared" si="104"/>
        <v>22434.81</v>
      </c>
      <c r="I3341" s="18">
        <v>21313.07</v>
      </c>
      <c r="J3341" s="27">
        <v>22434.81</v>
      </c>
      <c r="K3341" s="18">
        <f t="shared" si="105"/>
        <v>22434.81</v>
      </c>
      <c r="L3341" s="27">
        <v>21313.07</v>
      </c>
      <c r="M3341" s="36">
        <v>0</v>
      </c>
      <c r="T3341" s="41">
        <v>0</v>
      </c>
      <c r="U3341" s="41">
        <v>0</v>
      </c>
      <c r="V3341" s="42" t="s">
        <v>113</v>
      </c>
      <c r="W3341" s="42">
        <v>22434.81</v>
      </c>
      <c r="X3341" s="42">
        <v>22434.81</v>
      </c>
    </row>
    <row r="3342" spans="1:24">
      <c r="A3342" s="27" t="s">
        <v>6169</v>
      </c>
      <c r="B3342" s="28" t="s">
        <v>5102</v>
      </c>
      <c r="C3342" s="27" t="s">
        <v>6170</v>
      </c>
      <c r="D3342" s="27" t="s">
        <v>5104</v>
      </c>
      <c r="E3342" s="29">
        <v>38078</v>
      </c>
      <c r="F3342" s="27">
        <v>15</v>
      </c>
      <c r="G3342" s="18">
        <v>28289.52</v>
      </c>
      <c r="H3342" s="27">
        <f t="shared" si="104"/>
        <v>28289.52</v>
      </c>
      <c r="I3342" s="18">
        <v>26875.040000000001</v>
      </c>
      <c r="J3342" s="27">
        <v>28289.52</v>
      </c>
      <c r="K3342" s="18">
        <f t="shared" si="105"/>
        <v>28289.52</v>
      </c>
      <c r="L3342" s="27">
        <v>26875.040000000001</v>
      </c>
      <c r="M3342" s="36">
        <v>0</v>
      </c>
      <c r="T3342" s="41">
        <v>0</v>
      </c>
      <c r="U3342" s="41">
        <v>0</v>
      </c>
      <c r="V3342" s="42" t="s">
        <v>113</v>
      </c>
      <c r="W3342" s="42">
        <v>28289.52</v>
      </c>
      <c r="X3342" s="42">
        <v>28289.52</v>
      </c>
    </row>
    <row r="3343" spans="1:24">
      <c r="A3343" s="27" t="s">
        <v>6171</v>
      </c>
      <c r="B3343" s="28" t="s">
        <v>5102</v>
      </c>
      <c r="C3343" s="27" t="s">
        <v>6172</v>
      </c>
      <c r="D3343" s="27" t="s">
        <v>5104</v>
      </c>
      <c r="E3343" s="29">
        <v>38078</v>
      </c>
      <c r="F3343" s="27">
        <v>15</v>
      </c>
      <c r="G3343" s="18">
        <v>28591.82</v>
      </c>
      <c r="H3343" s="27">
        <f t="shared" si="104"/>
        <v>28591.82</v>
      </c>
      <c r="I3343" s="18">
        <v>27162.23</v>
      </c>
      <c r="J3343" s="27">
        <v>28591.82</v>
      </c>
      <c r="K3343" s="18">
        <f t="shared" si="105"/>
        <v>28591.82</v>
      </c>
      <c r="L3343" s="27">
        <v>27162.23</v>
      </c>
      <c r="M3343" s="36">
        <v>0</v>
      </c>
      <c r="T3343" s="41">
        <v>0</v>
      </c>
      <c r="U3343" s="41">
        <v>0</v>
      </c>
      <c r="V3343" s="42" t="s">
        <v>113</v>
      </c>
      <c r="W3343" s="42">
        <v>28591.82</v>
      </c>
      <c r="X3343" s="42">
        <v>28591.82</v>
      </c>
    </row>
    <row r="3344" spans="1:24">
      <c r="A3344" s="27" t="s">
        <v>6173</v>
      </c>
      <c r="B3344" s="28" t="s">
        <v>5102</v>
      </c>
      <c r="C3344" s="27" t="s">
        <v>6174</v>
      </c>
      <c r="D3344" s="27" t="s">
        <v>5104</v>
      </c>
      <c r="E3344" s="29">
        <v>38078</v>
      </c>
      <c r="F3344" s="27">
        <v>15</v>
      </c>
      <c r="G3344" s="18">
        <v>8303.91</v>
      </c>
      <c r="H3344" s="27">
        <f t="shared" si="104"/>
        <v>8303.91</v>
      </c>
      <c r="I3344" s="18">
        <v>7888.71</v>
      </c>
      <c r="J3344" s="27">
        <v>8303.91</v>
      </c>
      <c r="K3344" s="18">
        <f t="shared" si="105"/>
        <v>8303.91</v>
      </c>
      <c r="L3344" s="27">
        <v>7888.71</v>
      </c>
      <c r="M3344" s="36">
        <v>0</v>
      </c>
      <c r="T3344" s="41">
        <v>0</v>
      </c>
      <c r="U3344" s="41">
        <v>0</v>
      </c>
      <c r="V3344" s="42" t="s">
        <v>113</v>
      </c>
      <c r="W3344" s="42">
        <v>8303.91</v>
      </c>
      <c r="X3344" s="42">
        <v>8303.91</v>
      </c>
    </row>
    <row r="3345" spans="1:24">
      <c r="A3345" s="27" t="s">
        <v>6175</v>
      </c>
      <c r="B3345" s="28" t="s">
        <v>5102</v>
      </c>
      <c r="C3345" s="27" t="s">
        <v>6176</v>
      </c>
      <c r="D3345" s="27" t="s">
        <v>5104</v>
      </c>
      <c r="E3345" s="29">
        <v>38078</v>
      </c>
      <c r="F3345" s="27">
        <v>15</v>
      </c>
      <c r="G3345" s="18">
        <v>18691.75</v>
      </c>
      <c r="H3345" s="27">
        <f t="shared" si="104"/>
        <v>18691.75</v>
      </c>
      <c r="I3345" s="18">
        <v>17757.16</v>
      </c>
      <c r="J3345" s="27">
        <v>18691.75</v>
      </c>
      <c r="K3345" s="18">
        <f t="shared" si="105"/>
        <v>18691.75</v>
      </c>
      <c r="L3345" s="27">
        <v>17757.16</v>
      </c>
      <c r="M3345" s="36">
        <v>0</v>
      </c>
      <c r="T3345" s="41">
        <v>0</v>
      </c>
      <c r="U3345" s="41">
        <v>0</v>
      </c>
      <c r="V3345" s="42" t="s">
        <v>113</v>
      </c>
      <c r="W3345" s="42">
        <v>18691.75</v>
      </c>
      <c r="X3345" s="42">
        <v>18691.75</v>
      </c>
    </row>
    <row r="3346" spans="1:24">
      <c r="A3346" s="27" t="s">
        <v>6177</v>
      </c>
      <c r="B3346" s="28" t="s">
        <v>5102</v>
      </c>
      <c r="C3346" s="27" t="s">
        <v>6178</v>
      </c>
      <c r="D3346" s="27" t="s">
        <v>5104</v>
      </c>
      <c r="E3346" s="29">
        <v>39417</v>
      </c>
      <c r="F3346" s="27">
        <v>15</v>
      </c>
      <c r="G3346" s="18">
        <v>133316.28</v>
      </c>
      <c r="H3346" s="27">
        <f t="shared" si="104"/>
        <v>0</v>
      </c>
      <c r="I3346" s="18">
        <v>114015.94</v>
      </c>
      <c r="J3346" s="27">
        <v>133316.28</v>
      </c>
      <c r="K3346" s="18">
        <f t="shared" si="105"/>
        <v>0</v>
      </c>
      <c r="L3346" s="27">
        <v>117174.57</v>
      </c>
      <c r="M3346" s="36">
        <v>3158.63</v>
      </c>
      <c r="T3346" s="41">
        <v>0</v>
      </c>
      <c r="U3346" s="41">
        <v>0</v>
      </c>
      <c r="V3346" s="42" t="s">
        <v>113</v>
      </c>
      <c r="W3346" s="42">
        <v>0</v>
      </c>
      <c r="X3346" s="42">
        <v>0</v>
      </c>
    </row>
    <row r="3347" spans="1:24">
      <c r="A3347" s="27" t="s">
        <v>6179</v>
      </c>
      <c r="B3347" s="28" t="s">
        <v>5102</v>
      </c>
      <c r="C3347" s="27" t="s">
        <v>6178</v>
      </c>
      <c r="D3347" s="27" t="s">
        <v>5104</v>
      </c>
      <c r="E3347" s="29">
        <v>39417</v>
      </c>
      <c r="F3347" s="27">
        <v>15</v>
      </c>
      <c r="G3347" s="18">
        <v>34148.65</v>
      </c>
      <c r="H3347" s="27">
        <f t="shared" si="104"/>
        <v>0</v>
      </c>
      <c r="I3347" s="18">
        <v>29125.360000000001</v>
      </c>
      <c r="J3347" s="27">
        <v>34148.65</v>
      </c>
      <c r="K3347" s="18">
        <f t="shared" si="105"/>
        <v>0</v>
      </c>
      <c r="L3347" s="27">
        <v>29954.33</v>
      </c>
      <c r="M3347" s="36">
        <v>828.97</v>
      </c>
      <c r="T3347" s="41">
        <v>0</v>
      </c>
      <c r="U3347" s="41">
        <v>0</v>
      </c>
      <c r="V3347" s="42" t="s">
        <v>113</v>
      </c>
      <c r="W3347" s="42">
        <v>0</v>
      </c>
      <c r="X3347" s="42">
        <v>0</v>
      </c>
    </row>
    <row r="3348" spans="1:24">
      <c r="A3348" s="27" t="s">
        <v>6180</v>
      </c>
      <c r="B3348" s="28" t="s">
        <v>5102</v>
      </c>
      <c r="C3348" s="27" t="s">
        <v>6181</v>
      </c>
      <c r="D3348" s="27" t="s">
        <v>5104</v>
      </c>
      <c r="E3348" s="29">
        <v>38078</v>
      </c>
      <c r="F3348" s="27">
        <v>15</v>
      </c>
      <c r="G3348" s="18">
        <v>10504.66</v>
      </c>
      <c r="H3348" s="27">
        <f t="shared" si="104"/>
        <v>10504.66</v>
      </c>
      <c r="I3348" s="18">
        <v>9979.43</v>
      </c>
      <c r="J3348" s="27">
        <v>10504.66</v>
      </c>
      <c r="K3348" s="18">
        <f t="shared" si="105"/>
        <v>10504.66</v>
      </c>
      <c r="L3348" s="27">
        <v>9979.43</v>
      </c>
      <c r="M3348" s="36">
        <v>0</v>
      </c>
      <c r="T3348" s="41">
        <v>0</v>
      </c>
      <c r="U3348" s="41">
        <v>0</v>
      </c>
      <c r="V3348" s="42" t="s">
        <v>113</v>
      </c>
      <c r="W3348" s="42">
        <v>10504.66</v>
      </c>
      <c r="X3348" s="42">
        <v>10504.66</v>
      </c>
    </row>
    <row r="3349" spans="1:24">
      <c r="A3349" s="27" t="s">
        <v>6182</v>
      </c>
      <c r="B3349" s="28" t="s">
        <v>5102</v>
      </c>
      <c r="C3349" s="27" t="s">
        <v>6183</v>
      </c>
      <c r="D3349" s="27" t="s">
        <v>5104</v>
      </c>
      <c r="E3349" s="29">
        <v>38078</v>
      </c>
      <c r="F3349" s="27">
        <v>15</v>
      </c>
      <c r="G3349" s="18">
        <v>6717.97</v>
      </c>
      <c r="H3349" s="27">
        <f t="shared" si="104"/>
        <v>6717.97</v>
      </c>
      <c r="I3349" s="18">
        <v>6382.07</v>
      </c>
      <c r="J3349" s="27">
        <v>6717.97</v>
      </c>
      <c r="K3349" s="18">
        <f t="shared" si="105"/>
        <v>6717.97</v>
      </c>
      <c r="L3349" s="27">
        <v>6382.07</v>
      </c>
      <c r="M3349" s="36">
        <v>0</v>
      </c>
      <c r="T3349" s="41">
        <v>0</v>
      </c>
      <c r="U3349" s="41">
        <v>0</v>
      </c>
      <c r="V3349" s="42" t="s">
        <v>113</v>
      </c>
      <c r="W3349" s="42">
        <v>6717.97</v>
      </c>
      <c r="X3349" s="42">
        <v>6717.97</v>
      </c>
    </row>
    <row r="3350" spans="1:24">
      <c r="A3350" s="27" t="s">
        <v>6184</v>
      </c>
      <c r="B3350" s="28" t="s">
        <v>5102</v>
      </c>
      <c r="C3350" s="27" t="s">
        <v>6185</v>
      </c>
      <c r="D3350" s="27" t="s">
        <v>5104</v>
      </c>
      <c r="E3350" s="29">
        <v>38078</v>
      </c>
      <c r="F3350" s="27">
        <v>15</v>
      </c>
      <c r="G3350" s="18">
        <v>17835.240000000002</v>
      </c>
      <c r="H3350" s="27">
        <f t="shared" si="104"/>
        <v>17835.240000000002</v>
      </c>
      <c r="I3350" s="18">
        <v>16943.48</v>
      </c>
      <c r="J3350" s="27">
        <v>17835.240000000002</v>
      </c>
      <c r="K3350" s="18">
        <f t="shared" si="105"/>
        <v>17835.240000000002</v>
      </c>
      <c r="L3350" s="27">
        <v>16943.48</v>
      </c>
      <c r="M3350" s="36">
        <v>0</v>
      </c>
      <c r="T3350" s="41">
        <v>0</v>
      </c>
      <c r="U3350" s="41">
        <v>0</v>
      </c>
      <c r="V3350" s="42" t="s">
        <v>113</v>
      </c>
      <c r="W3350" s="42">
        <v>17835.240000000002</v>
      </c>
      <c r="X3350" s="42">
        <v>17835.240000000002</v>
      </c>
    </row>
    <row r="3351" spans="1:24">
      <c r="A3351" s="27" t="s">
        <v>6186</v>
      </c>
      <c r="B3351" s="28" t="s">
        <v>5102</v>
      </c>
      <c r="C3351" s="27" t="s">
        <v>6187</v>
      </c>
      <c r="D3351" s="27" t="s">
        <v>5104</v>
      </c>
      <c r="E3351" s="29">
        <v>39417</v>
      </c>
      <c r="F3351" s="27">
        <v>15</v>
      </c>
      <c r="G3351" s="18">
        <v>169229.41</v>
      </c>
      <c r="H3351" s="27">
        <f t="shared" si="104"/>
        <v>0</v>
      </c>
      <c r="I3351" s="18">
        <v>144532.73000000001</v>
      </c>
      <c r="J3351" s="27">
        <v>169229.41</v>
      </c>
      <c r="K3351" s="18">
        <f t="shared" si="105"/>
        <v>0</v>
      </c>
      <c r="L3351" s="27">
        <v>148591.53</v>
      </c>
      <c r="M3351" s="36">
        <v>4058.8</v>
      </c>
      <c r="T3351" s="41">
        <v>0</v>
      </c>
      <c r="U3351" s="41">
        <v>0</v>
      </c>
      <c r="V3351" s="42" t="s">
        <v>113</v>
      </c>
      <c r="W3351" s="42">
        <v>0</v>
      </c>
      <c r="X3351" s="42">
        <v>0</v>
      </c>
    </row>
    <row r="3352" spans="1:24">
      <c r="A3352" s="27" t="s">
        <v>6188</v>
      </c>
      <c r="B3352" s="28" t="s">
        <v>5102</v>
      </c>
      <c r="C3352" s="27" t="s">
        <v>6187</v>
      </c>
      <c r="D3352" s="27" t="s">
        <v>5104</v>
      </c>
      <c r="E3352" s="29">
        <v>39417</v>
      </c>
      <c r="F3352" s="27">
        <v>15</v>
      </c>
      <c r="G3352" s="18">
        <v>127648.6</v>
      </c>
      <c r="H3352" s="27">
        <f t="shared" si="104"/>
        <v>0</v>
      </c>
      <c r="I3352" s="18">
        <v>108871.39</v>
      </c>
      <c r="J3352" s="27">
        <v>127648.6</v>
      </c>
      <c r="K3352" s="18">
        <f t="shared" si="105"/>
        <v>0</v>
      </c>
      <c r="L3352" s="27">
        <v>111970.09</v>
      </c>
      <c r="M3352" s="36">
        <v>3098.7</v>
      </c>
      <c r="T3352" s="41">
        <v>0</v>
      </c>
      <c r="U3352" s="41">
        <v>0</v>
      </c>
      <c r="V3352" s="42" t="s">
        <v>113</v>
      </c>
      <c r="W3352" s="42">
        <v>0</v>
      </c>
      <c r="X3352" s="42">
        <v>0</v>
      </c>
    </row>
    <row r="3353" spans="1:24">
      <c r="A3353" s="27" t="s">
        <v>6189</v>
      </c>
      <c r="B3353" s="28" t="s">
        <v>5102</v>
      </c>
      <c r="C3353" s="27" t="s">
        <v>6161</v>
      </c>
      <c r="D3353" s="27" t="s">
        <v>5104</v>
      </c>
      <c r="E3353" s="29">
        <v>39417</v>
      </c>
      <c r="F3353" s="27">
        <v>15</v>
      </c>
      <c r="G3353" s="18">
        <v>48714.879999999997</v>
      </c>
      <c r="H3353" s="27">
        <f t="shared" si="104"/>
        <v>0</v>
      </c>
      <c r="I3353" s="18">
        <v>41548.879999999997</v>
      </c>
      <c r="J3353" s="27">
        <v>48714.879999999997</v>
      </c>
      <c r="K3353" s="18">
        <f t="shared" si="105"/>
        <v>0</v>
      </c>
      <c r="L3353" s="27">
        <v>42731.45</v>
      </c>
      <c r="M3353" s="36">
        <v>1182.57</v>
      </c>
      <c r="T3353" s="41">
        <v>0</v>
      </c>
      <c r="U3353" s="41">
        <v>0</v>
      </c>
      <c r="V3353" s="42" t="s">
        <v>113</v>
      </c>
      <c r="W3353" s="42">
        <v>0</v>
      </c>
      <c r="X3353" s="42">
        <v>0</v>
      </c>
    </row>
    <row r="3354" spans="1:24">
      <c r="A3354" s="27" t="s">
        <v>6190</v>
      </c>
      <c r="B3354" s="28" t="s">
        <v>5102</v>
      </c>
      <c r="C3354" s="27" t="s">
        <v>6191</v>
      </c>
      <c r="D3354" s="27" t="s">
        <v>5104</v>
      </c>
      <c r="E3354" s="29">
        <v>38078</v>
      </c>
      <c r="F3354" s="27">
        <v>15</v>
      </c>
      <c r="G3354" s="18">
        <v>124523.02</v>
      </c>
      <c r="H3354" s="27">
        <f t="shared" si="104"/>
        <v>124523.02</v>
      </c>
      <c r="I3354" s="18">
        <v>118296.87</v>
      </c>
      <c r="J3354" s="27">
        <v>124523.02</v>
      </c>
      <c r="K3354" s="18">
        <f t="shared" si="105"/>
        <v>124523.02</v>
      </c>
      <c r="L3354" s="27">
        <v>118296.87</v>
      </c>
      <c r="M3354" s="36">
        <v>0</v>
      </c>
      <c r="T3354" s="41">
        <v>0</v>
      </c>
      <c r="U3354" s="41">
        <v>0</v>
      </c>
      <c r="V3354" s="42" t="s">
        <v>113</v>
      </c>
      <c r="W3354" s="42">
        <v>124523.02</v>
      </c>
      <c r="X3354" s="42">
        <v>124523.02</v>
      </c>
    </row>
    <row r="3355" spans="1:24">
      <c r="A3355" s="27" t="s">
        <v>6192</v>
      </c>
      <c r="B3355" s="28" t="s">
        <v>5102</v>
      </c>
      <c r="C3355" s="27" t="s">
        <v>6193</v>
      </c>
      <c r="D3355" s="27" t="s">
        <v>5104</v>
      </c>
      <c r="E3355" s="29">
        <v>38078</v>
      </c>
      <c r="F3355" s="27">
        <v>15</v>
      </c>
      <c r="G3355" s="18">
        <v>80473.09</v>
      </c>
      <c r="H3355" s="27">
        <f t="shared" si="104"/>
        <v>80473.09</v>
      </c>
      <c r="I3355" s="18">
        <v>76449.440000000002</v>
      </c>
      <c r="J3355" s="27">
        <v>80473.09</v>
      </c>
      <c r="K3355" s="18">
        <f t="shared" si="105"/>
        <v>80473.09</v>
      </c>
      <c r="L3355" s="27">
        <v>76449.440000000002</v>
      </c>
      <c r="M3355" s="36">
        <v>0</v>
      </c>
      <c r="T3355" s="41">
        <v>0</v>
      </c>
      <c r="U3355" s="41">
        <v>0</v>
      </c>
      <c r="V3355" s="42" t="s">
        <v>113</v>
      </c>
      <c r="W3355" s="42">
        <v>80473.09</v>
      </c>
      <c r="X3355" s="42">
        <v>80473.09</v>
      </c>
    </row>
    <row r="3356" spans="1:24">
      <c r="A3356" s="27" t="s">
        <v>6194</v>
      </c>
      <c r="B3356" s="28" t="s">
        <v>5102</v>
      </c>
      <c r="C3356" s="27" t="s">
        <v>6195</v>
      </c>
      <c r="D3356" s="27" t="s">
        <v>5104</v>
      </c>
      <c r="E3356" s="29">
        <v>38078</v>
      </c>
      <c r="F3356" s="27">
        <v>15</v>
      </c>
      <c r="G3356" s="18">
        <v>7708.45</v>
      </c>
      <c r="H3356" s="27">
        <f t="shared" si="104"/>
        <v>7708.45</v>
      </c>
      <c r="I3356" s="18">
        <v>7323.03</v>
      </c>
      <c r="J3356" s="27">
        <v>7708.45</v>
      </c>
      <c r="K3356" s="18">
        <f t="shared" si="105"/>
        <v>7708.45</v>
      </c>
      <c r="L3356" s="27">
        <v>7323.03</v>
      </c>
      <c r="M3356" s="36">
        <v>0</v>
      </c>
      <c r="T3356" s="41">
        <v>0</v>
      </c>
      <c r="U3356" s="41">
        <v>0</v>
      </c>
      <c r="V3356" s="42" t="s">
        <v>113</v>
      </c>
      <c r="W3356" s="42">
        <v>7708.45</v>
      </c>
      <c r="X3356" s="42">
        <v>7708.45</v>
      </c>
    </row>
    <row r="3357" spans="1:24">
      <c r="A3357" s="27" t="s">
        <v>6196</v>
      </c>
      <c r="B3357" s="28" t="s">
        <v>5102</v>
      </c>
      <c r="C3357" s="27" t="s">
        <v>6197</v>
      </c>
      <c r="D3357" s="27" t="s">
        <v>5104</v>
      </c>
      <c r="E3357" s="29">
        <v>38078</v>
      </c>
      <c r="F3357" s="27">
        <v>15</v>
      </c>
      <c r="G3357" s="18">
        <v>41762.79</v>
      </c>
      <c r="H3357" s="27">
        <f t="shared" si="104"/>
        <v>41762.79</v>
      </c>
      <c r="I3357" s="18">
        <v>39674.65</v>
      </c>
      <c r="J3357" s="27">
        <v>41762.79</v>
      </c>
      <c r="K3357" s="18">
        <f t="shared" si="105"/>
        <v>41762.79</v>
      </c>
      <c r="L3357" s="27">
        <v>39674.65</v>
      </c>
      <c r="M3357" s="36">
        <v>0</v>
      </c>
      <c r="T3357" s="41">
        <v>0</v>
      </c>
      <c r="U3357" s="41">
        <v>0</v>
      </c>
      <c r="V3357" s="42" t="s">
        <v>113</v>
      </c>
      <c r="W3357" s="42">
        <v>41762.79</v>
      </c>
      <c r="X3357" s="42">
        <v>41762.79</v>
      </c>
    </row>
    <row r="3358" spans="1:24">
      <c r="A3358" s="27" t="s">
        <v>6198</v>
      </c>
      <c r="B3358" s="28" t="s">
        <v>5102</v>
      </c>
      <c r="C3358" s="27" t="s">
        <v>6199</v>
      </c>
      <c r="D3358" s="27" t="s">
        <v>5104</v>
      </c>
      <c r="E3358" s="29">
        <v>38078</v>
      </c>
      <c r="F3358" s="27">
        <v>15</v>
      </c>
      <c r="G3358" s="18">
        <v>10706.19</v>
      </c>
      <c r="H3358" s="27">
        <f t="shared" si="104"/>
        <v>10706.19</v>
      </c>
      <c r="I3358" s="18">
        <v>10170.879999999999</v>
      </c>
      <c r="J3358" s="27">
        <v>10706.19</v>
      </c>
      <c r="K3358" s="18">
        <f t="shared" si="105"/>
        <v>10706.19</v>
      </c>
      <c r="L3358" s="27">
        <v>10170.879999999999</v>
      </c>
      <c r="M3358" s="36">
        <v>0</v>
      </c>
      <c r="T3358" s="41">
        <v>0</v>
      </c>
      <c r="U3358" s="41">
        <v>0</v>
      </c>
      <c r="V3358" s="42" t="s">
        <v>113</v>
      </c>
      <c r="W3358" s="42">
        <v>10706.19</v>
      </c>
      <c r="X3358" s="42">
        <v>10706.19</v>
      </c>
    </row>
    <row r="3359" spans="1:24">
      <c r="A3359" s="27" t="s">
        <v>6200</v>
      </c>
      <c r="B3359" s="28" t="s">
        <v>5102</v>
      </c>
      <c r="C3359" s="27" t="s">
        <v>6201</v>
      </c>
      <c r="D3359" s="27" t="s">
        <v>230</v>
      </c>
      <c r="E3359" s="29">
        <v>37742</v>
      </c>
      <c r="F3359" s="27">
        <v>15</v>
      </c>
      <c r="G3359" s="18">
        <v>1689397.64</v>
      </c>
      <c r="H3359" s="27">
        <f t="shared" si="104"/>
        <v>0</v>
      </c>
      <c r="I3359" s="18">
        <v>1391514.1</v>
      </c>
      <c r="J3359" s="27">
        <v>1689397.64</v>
      </c>
      <c r="K3359" s="18">
        <f t="shared" si="105"/>
        <v>0</v>
      </c>
      <c r="L3359" s="27">
        <v>1439834.17</v>
      </c>
      <c r="M3359" s="36">
        <v>48320.07</v>
      </c>
      <c r="T3359" s="41">
        <v>0</v>
      </c>
      <c r="U3359" s="41">
        <v>0</v>
      </c>
      <c r="V3359" s="42" t="s">
        <v>124</v>
      </c>
      <c r="W3359" s="42">
        <v>1689397.64</v>
      </c>
      <c r="X3359" s="42">
        <v>1689397.64</v>
      </c>
    </row>
    <row r="3360" spans="1:24">
      <c r="A3360" s="27" t="s">
        <v>6202</v>
      </c>
      <c r="B3360" s="28" t="s">
        <v>5102</v>
      </c>
      <c r="C3360" s="27" t="s">
        <v>6203</v>
      </c>
      <c r="D3360" s="27" t="s">
        <v>5104</v>
      </c>
      <c r="E3360" s="29">
        <v>37742</v>
      </c>
      <c r="F3360" s="27">
        <v>15</v>
      </c>
      <c r="G3360" s="18">
        <v>68835.89</v>
      </c>
      <c r="H3360" s="27">
        <f t="shared" si="104"/>
        <v>68835.89</v>
      </c>
      <c r="I3360" s="18">
        <v>65394.1</v>
      </c>
      <c r="J3360" s="27">
        <v>68835.89</v>
      </c>
      <c r="K3360" s="18">
        <f t="shared" si="105"/>
        <v>68835.89</v>
      </c>
      <c r="L3360" s="27">
        <v>65394.1</v>
      </c>
      <c r="M3360" s="36">
        <v>0</v>
      </c>
      <c r="T3360" s="41">
        <v>0</v>
      </c>
      <c r="U3360" s="41">
        <v>0</v>
      </c>
      <c r="V3360" s="42" t="s">
        <v>113</v>
      </c>
      <c r="W3360" s="42">
        <v>68835.89</v>
      </c>
      <c r="X3360" s="42">
        <v>68835.89</v>
      </c>
    </row>
    <row r="3361" spans="1:24">
      <c r="A3361" s="27" t="s">
        <v>6204</v>
      </c>
      <c r="B3361" s="28" t="s">
        <v>5102</v>
      </c>
      <c r="C3361" s="27" t="s">
        <v>6205</v>
      </c>
      <c r="D3361" s="27" t="s">
        <v>5104</v>
      </c>
      <c r="E3361" s="29">
        <v>38078</v>
      </c>
      <c r="F3361" s="27">
        <v>15</v>
      </c>
      <c r="G3361" s="18">
        <v>158397.98000000001</v>
      </c>
      <c r="H3361" s="27">
        <f t="shared" si="104"/>
        <v>158397.98000000001</v>
      </c>
      <c r="I3361" s="18">
        <v>150478.07999999999</v>
      </c>
      <c r="J3361" s="27">
        <v>158397.98000000001</v>
      </c>
      <c r="K3361" s="18">
        <f t="shared" si="105"/>
        <v>158397.98000000001</v>
      </c>
      <c r="L3361" s="27">
        <v>150478.07999999999</v>
      </c>
      <c r="M3361" s="36">
        <v>0</v>
      </c>
      <c r="T3361" s="41">
        <v>0</v>
      </c>
      <c r="U3361" s="41">
        <v>0</v>
      </c>
      <c r="V3361" s="42" t="s">
        <v>113</v>
      </c>
      <c r="W3361" s="42">
        <v>158397.98000000001</v>
      </c>
      <c r="X3361" s="42">
        <v>158397.98000000001</v>
      </c>
    </row>
    <row r="3362" spans="1:24">
      <c r="A3362" s="27" t="s">
        <v>6206</v>
      </c>
      <c r="B3362" s="28" t="s">
        <v>5102</v>
      </c>
      <c r="C3362" s="27" t="s">
        <v>6207</v>
      </c>
      <c r="D3362" s="27" t="s">
        <v>5104</v>
      </c>
      <c r="E3362" s="29">
        <v>38078</v>
      </c>
      <c r="F3362" s="27">
        <v>15</v>
      </c>
      <c r="G3362" s="18">
        <v>11562.68</v>
      </c>
      <c r="H3362" s="27">
        <f t="shared" si="104"/>
        <v>11562.68</v>
      </c>
      <c r="I3362" s="18">
        <v>10984.55</v>
      </c>
      <c r="J3362" s="27">
        <v>11562.68</v>
      </c>
      <c r="K3362" s="18">
        <f t="shared" si="105"/>
        <v>11562.68</v>
      </c>
      <c r="L3362" s="27">
        <v>10984.55</v>
      </c>
      <c r="M3362" s="36">
        <v>0</v>
      </c>
      <c r="T3362" s="41">
        <v>0</v>
      </c>
      <c r="U3362" s="41">
        <v>0</v>
      </c>
      <c r="V3362" s="42" t="s">
        <v>113</v>
      </c>
      <c r="W3362" s="42">
        <v>11562.68</v>
      </c>
      <c r="X3362" s="42">
        <v>11562.68</v>
      </c>
    </row>
    <row r="3363" spans="1:24">
      <c r="A3363" s="27" t="s">
        <v>6208</v>
      </c>
      <c r="B3363" s="28" t="s">
        <v>5102</v>
      </c>
      <c r="C3363" s="27" t="s">
        <v>6209</v>
      </c>
      <c r="D3363" s="27" t="s">
        <v>5104</v>
      </c>
      <c r="E3363" s="29">
        <v>38078</v>
      </c>
      <c r="F3363" s="27">
        <v>15</v>
      </c>
      <c r="G3363" s="18">
        <v>66538.210000000006</v>
      </c>
      <c r="H3363" s="27">
        <f t="shared" si="104"/>
        <v>66538.210000000006</v>
      </c>
      <c r="I3363" s="18">
        <v>63211.3</v>
      </c>
      <c r="J3363" s="27">
        <v>66538.210000000006</v>
      </c>
      <c r="K3363" s="18">
        <f t="shared" si="105"/>
        <v>66538.210000000006</v>
      </c>
      <c r="L3363" s="27">
        <v>63211.3</v>
      </c>
      <c r="M3363" s="36">
        <v>0</v>
      </c>
      <c r="T3363" s="41">
        <v>0</v>
      </c>
      <c r="U3363" s="41">
        <v>0</v>
      </c>
      <c r="V3363" s="42" t="s">
        <v>113</v>
      </c>
      <c r="W3363" s="42">
        <v>66538.210000000006</v>
      </c>
      <c r="X3363" s="42">
        <v>66538.210000000006</v>
      </c>
    </row>
    <row r="3364" spans="1:24">
      <c r="A3364" s="27" t="s">
        <v>6210</v>
      </c>
      <c r="B3364" s="28" t="s">
        <v>5102</v>
      </c>
      <c r="C3364" s="27" t="s">
        <v>6211</v>
      </c>
      <c r="D3364" s="27" t="s">
        <v>5104</v>
      </c>
      <c r="E3364" s="29">
        <v>38078</v>
      </c>
      <c r="F3364" s="27">
        <v>15</v>
      </c>
      <c r="G3364" s="18">
        <v>12494.75</v>
      </c>
      <c r="H3364" s="27">
        <f t="shared" si="104"/>
        <v>12494.75</v>
      </c>
      <c r="I3364" s="18">
        <v>11870.01</v>
      </c>
      <c r="J3364" s="27">
        <v>12494.75</v>
      </c>
      <c r="K3364" s="18">
        <f t="shared" si="105"/>
        <v>12494.75</v>
      </c>
      <c r="L3364" s="27">
        <v>11870.01</v>
      </c>
      <c r="M3364" s="36">
        <v>0</v>
      </c>
      <c r="T3364" s="41">
        <v>0</v>
      </c>
      <c r="U3364" s="41">
        <v>0</v>
      </c>
      <c r="V3364" s="42" t="s">
        <v>113</v>
      </c>
      <c r="W3364" s="42">
        <v>12494.75</v>
      </c>
      <c r="X3364" s="42">
        <v>12494.75</v>
      </c>
    </row>
    <row r="3365" spans="1:24">
      <c r="A3365" s="27" t="s">
        <v>6212</v>
      </c>
      <c r="B3365" s="28" t="s">
        <v>5102</v>
      </c>
      <c r="C3365" s="27" t="s">
        <v>6213</v>
      </c>
      <c r="D3365" s="27" t="s">
        <v>5104</v>
      </c>
      <c r="E3365" s="29">
        <v>38078</v>
      </c>
      <c r="F3365" s="27">
        <v>15</v>
      </c>
      <c r="G3365" s="18">
        <v>15645.57</v>
      </c>
      <c r="H3365" s="27">
        <f t="shared" si="104"/>
        <v>15645.57</v>
      </c>
      <c r="I3365" s="18">
        <v>14863.29</v>
      </c>
      <c r="J3365" s="27">
        <v>15645.57</v>
      </c>
      <c r="K3365" s="18">
        <f t="shared" si="105"/>
        <v>15645.57</v>
      </c>
      <c r="L3365" s="27">
        <v>14863.29</v>
      </c>
      <c r="M3365" s="36">
        <v>0</v>
      </c>
      <c r="T3365" s="41">
        <v>0</v>
      </c>
      <c r="U3365" s="41">
        <v>0</v>
      </c>
      <c r="V3365" s="42" t="s">
        <v>113</v>
      </c>
      <c r="W3365" s="42">
        <v>15645.57</v>
      </c>
      <c r="X3365" s="42">
        <v>15645.57</v>
      </c>
    </row>
    <row r="3366" spans="1:24">
      <c r="A3366" s="27" t="s">
        <v>6214</v>
      </c>
      <c r="B3366" s="28" t="s">
        <v>5102</v>
      </c>
      <c r="C3366" s="27" t="s">
        <v>6215</v>
      </c>
      <c r="D3366" s="27" t="s">
        <v>5104</v>
      </c>
      <c r="E3366" s="29">
        <v>38078</v>
      </c>
      <c r="F3366" s="27">
        <v>15</v>
      </c>
      <c r="G3366" s="18">
        <v>41145.339999999997</v>
      </c>
      <c r="H3366" s="27">
        <f t="shared" si="104"/>
        <v>41145.339999999997</v>
      </c>
      <c r="I3366" s="18">
        <v>39088.07</v>
      </c>
      <c r="J3366" s="27">
        <v>41145.339999999997</v>
      </c>
      <c r="K3366" s="18">
        <f t="shared" si="105"/>
        <v>41145.339999999997</v>
      </c>
      <c r="L3366" s="27">
        <v>39088.07</v>
      </c>
      <c r="M3366" s="36">
        <v>0</v>
      </c>
      <c r="T3366" s="41">
        <v>0</v>
      </c>
      <c r="U3366" s="41">
        <v>0</v>
      </c>
      <c r="V3366" s="42" t="s">
        <v>113</v>
      </c>
      <c r="W3366" s="42">
        <v>41145.339999999997</v>
      </c>
      <c r="X3366" s="42">
        <v>41145.339999999997</v>
      </c>
    </row>
    <row r="3367" spans="1:24">
      <c r="A3367" s="27" t="s">
        <v>6216</v>
      </c>
      <c r="B3367" s="28" t="s">
        <v>5102</v>
      </c>
      <c r="C3367" s="27" t="s">
        <v>6217</v>
      </c>
      <c r="D3367" s="27" t="s">
        <v>5104</v>
      </c>
      <c r="E3367" s="29">
        <v>38078</v>
      </c>
      <c r="F3367" s="27">
        <v>15</v>
      </c>
      <c r="G3367" s="18">
        <v>21991.77</v>
      </c>
      <c r="H3367" s="27">
        <f t="shared" si="104"/>
        <v>21991.77</v>
      </c>
      <c r="I3367" s="18">
        <v>20892.18</v>
      </c>
      <c r="J3367" s="27">
        <v>21991.77</v>
      </c>
      <c r="K3367" s="18">
        <f t="shared" si="105"/>
        <v>21991.77</v>
      </c>
      <c r="L3367" s="27">
        <v>20892.18</v>
      </c>
      <c r="M3367" s="36">
        <v>0</v>
      </c>
      <c r="T3367" s="41">
        <v>0</v>
      </c>
      <c r="U3367" s="41">
        <v>0</v>
      </c>
      <c r="V3367" s="42" t="s">
        <v>113</v>
      </c>
      <c r="W3367" s="42">
        <v>21991.77</v>
      </c>
      <c r="X3367" s="42">
        <v>21991.77</v>
      </c>
    </row>
    <row r="3368" spans="1:24">
      <c r="A3368" s="27" t="s">
        <v>6218</v>
      </c>
      <c r="B3368" s="28" t="s">
        <v>5102</v>
      </c>
      <c r="C3368" s="27" t="s">
        <v>6219</v>
      </c>
      <c r="D3368" s="27" t="s">
        <v>5104</v>
      </c>
      <c r="E3368" s="29">
        <v>38078</v>
      </c>
      <c r="F3368" s="27">
        <v>15</v>
      </c>
      <c r="G3368" s="18">
        <v>21513.14</v>
      </c>
      <c r="H3368" s="27">
        <f t="shared" si="104"/>
        <v>21513.14</v>
      </c>
      <c r="I3368" s="18">
        <v>20437.48</v>
      </c>
      <c r="J3368" s="27">
        <v>21513.14</v>
      </c>
      <c r="K3368" s="18">
        <f t="shared" si="105"/>
        <v>21513.14</v>
      </c>
      <c r="L3368" s="27">
        <v>20437.48</v>
      </c>
      <c r="M3368" s="36">
        <v>0</v>
      </c>
      <c r="T3368" s="41">
        <v>0</v>
      </c>
      <c r="U3368" s="41">
        <v>0</v>
      </c>
      <c r="V3368" s="42" t="s">
        <v>113</v>
      </c>
      <c r="W3368" s="42">
        <v>21513.14</v>
      </c>
      <c r="X3368" s="42">
        <v>21513.14</v>
      </c>
    </row>
    <row r="3369" spans="1:24">
      <c r="A3369" s="27" t="s">
        <v>6220</v>
      </c>
      <c r="B3369" s="28" t="s">
        <v>5102</v>
      </c>
      <c r="C3369" s="27" t="s">
        <v>6221</v>
      </c>
      <c r="D3369" s="27" t="s">
        <v>5104</v>
      </c>
      <c r="E3369" s="29">
        <v>37226</v>
      </c>
      <c r="F3369" s="27">
        <v>15</v>
      </c>
      <c r="G3369" s="18">
        <v>209496.42</v>
      </c>
      <c r="H3369" s="27">
        <f t="shared" si="104"/>
        <v>209496.42</v>
      </c>
      <c r="I3369" s="18">
        <v>199021.6</v>
      </c>
      <c r="J3369" s="27">
        <v>209496.42</v>
      </c>
      <c r="K3369" s="18">
        <f t="shared" si="105"/>
        <v>209496.42</v>
      </c>
      <c r="L3369" s="27">
        <v>199021.6</v>
      </c>
      <c r="M3369" s="36">
        <v>0</v>
      </c>
      <c r="T3369" s="41">
        <v>0</v>
      </c>
      <c r="U3369" s="41">
        <v>0</v>
      </c>
      <c r="V3369" s="42" t="s">
        <v>113</v>
      </c>
      <c r="W3369" s="42">
        <v>209496.42</v>
      </c>
      <c r="X3369" s="42">
        <v>209496.42</v>
      </c>
    </row>
    <row r="3370" spans="1:24">
      <c r="A3370" s="27" t="s">
        <v>6222</v>
      </c>
      <c r="B3370" s="28" t="s">
        <v>5102</v>
      </c>
      <c r="C3370" s="27" t="s">
        <v>6223</v>
      </c>
      <c r="D3370" s="27" t="s">
        <v>5104</v>
      </c>
      <c r="E3370" s="29">
        <v>36739</v>
      </c>
      <c r="F3370" s="27">
        <v>15</v>
      </c>
      <c r="G3370" s="18">
        <v>71576.42</v>
      </c>
      <c r="H3370" s="27">
        <f t="shared" si="104"/>
        <v>71576.42</v>
      </c>
      <c r="I3370" s="18">
        <v>67997.600000000006</v>
      </c>
      <c r="J3370" s="27">
        <v>71576.42</v>
      </c>
      <c r="K3370" s="18">
        <f t="shared" si="105"/>
        <v>71576.42</v>
      </c>
      <c r="L3370" s="27">
        <v>67997.600000000006</v>
      </c>
      <c r="M3370" s="36">
        <v>0</v>
      </c>
      <c r="T3370" s="41">
        <v>0</v>
      </c>
      <c r="U3370" s="41">
        <v>0</v>
      </c>
      <c r="V3370" s="42" t="s">
        <v>113</v>
      </c>
      <c r="W3370" s="42">
        <v>71576.42</v>
      </c>
      <c r="X3370" s="42">
        <v>71576.42</v>
      </c>
    </row>
    <row r="3371" spans="1:24">
      <c r="A3371" s="27" t="s">
        <v>6224</v>
      </c>
      <c r="B3371" s="28" t="s">
        <v>5102</v>
      </c>
      <c r="C3371" s="27" t="s">
        <v>6225</v>
      </c>
      <c r="D3371" s="27" t="s">
        <v>5104</v>
      </c>
      <c r="E3371" s="29">
        <v>39508</v>
      </c>
      <c r="F3371" s="27">
        <v>15</v>
      </c>
      <c r="G3371" s="18">
        <v>8710.65</v>
      </c>
      <c r="H3371" s="27">
        <f t="shared" si="104"/>
        <v>0</v>
      </c>
      <c r="I3371" s="18">
        <v>7175.06</v>
      </c>
      <c r="J3371" s="27">
        <v>8710.65</v>
      </c>
      <c r="K3371" s="18">
        <f t="shared" si="105"/>
        <v>0</v>
      </c>
      <c r="L3371" s="27">
        <v>7433.9</v>
      </c>
      <c r="M3371" s="36">
        <v>258.83999999999997</v>
      </c>
      <c r="T3371" s="41">
        <v>0</v>
      </c>
      <c r="U3371" s="41">
        <v>0</v>
      </c>
      <c r="V3371" s="42" t="s">
        <v>113</v>
      </c>
      <c r="W3371" s="42">
        <v>0</v>
      </c>
      <c r="X3371" s="42">
        <v>0</v>
      </c>
    </row>
    <row r="3372" spans="1:24">
      <c r="A3372" s="27" t="s">
        <v>6226</v>
      </c>
      <c r="B3372" s="28" t="s">
        <v>5102</v>
      </c>
      <c r="C3372" s="27" t="s">
        <v>6227</v>
      </c>
      <c r="D3372" s="27" t="s">
        <v>5104</v>
      </c>
      <c r="E3372" s="29">
        <v>38078</v>
      </c>
      <c r="F3372" s="27">
        <v>15</v>
      </c>
      <c r="G3372" s="18">
        <v>84878.81</v>
      </c>
      <c r="H3372" s="27">
        <f t="shared" si="104"/>
        <v>84878.81</v>
      </c>
      <c r="I3372" s="18">
        <v>80634.87</v>
      </c>
      <c r="J3372" s="27">
        <v>84878.81</v>
      </c>
      <c r="K3372" s="18">
        <f t="shared" si="105"/>
        <v>84878.81</v>
      </c>
      <c r="L3372" s="27">
        <v>80634.87</v>
      </c>
      <c r="M3372" s="36">
        <v>0</v>
      </c>
      <c r="T3372" s="41">
        <v>0</v>
      </c>
      <c r="U3372" s="41">
        <v>0</v>
      </c>
      <c r="V3372" s="42" t="s">
        <v>113</v>
      </c>
      <c r="W3372" s="42">
        <v>84878.81</v>
      </c>
      <c r="X3372" s="42">
        <v>84878.81</v>
      </c>
    </row>
    <row r="3373" spans="1:24">
      <c r="A3373" s="27" t="s">
        <v>6228</v>
      </c>
      <c r="B3373" s="28" t="s">
        <v>5102</v>
      </c>
      <c r="C3373" s="27" t="s">
        <v>6229</v>
      </c>
      <c r="D3373" s="27" t="s">
        <v>5104</v>
      </c>
      <c r="E3373" s="29">
        <v>38078</v>
      </c>
      <c r="F3373" s="27">
        <v>15</v>
      </c>
      <c r="G3373" s="18">
        <v>102846.34</v>
      </c>
      <c r="H3373" s="27">
        <f t="shared" si="104"/>
        <v>102846.34</v>
      </c>
      <c r="I3373" s="18">
        <v>97704.02</v>
      </c>
      <c r="J3373" s="27">
        <v>102846.34</v>
      </c>
      <c r="K3373" s="18">
        <f t="shared" si="105"/>
        <v>102846.34</v>
      </c>
      <c r="L3373" s="27">
        <v>97704.02</v>
      </c>
      <c r="M3373" s="36">
        <v>0</v>
      </c>
      <c r="T3373" s="41">
        <v>0</v>
      </c>
      <c r="U3373" s="41">
        <v>0</v>
      </c>
      <c r="V3373" s="42" t="s">
        <v>113</v>
      </c>
      <c r="W3373" s="42">
        <v>102846.34</v>
      </c>
      <c r="X3373" s="42">
        <v>102846.34</v>
      </c>
    </row>
    <row r="3374" spans="1:24">
      <c r="A3374" s="27" t="s">
        <v>6230</v>
      </c>
      <c r="B3374" s="28" t="s">
        <v>5102</v>
      </c>
      <c r="C3374" s="27" t="s">
        <v>6231</v>
      </c>
      <c r="D3374" s="27" t="s">
        <v>5104</v>
      </c>
      <c r="E3374" s="29">
        <v>38078</v>
      </c>
      <c r="F3374" s="27">
        <v>15</v>
      </c>
      <c r="G3374" s="18">
        <v>86921.58</v>
      </c>
      <c r="H3374" s="27">
        <f t="shared" si="104"/>
        <v>86921.58</v>
      </c>
      <c r="I3374" s="18">
        <v>82575.5</v>
      </c>
      <c r="J3374" s="27">
        <v>86921.58</v>
      </c>
      <c r="K3374" s="18">
        <f t="shared" si="105"/>
        <v>86921.58</v>
      </c>
      <c r="L3374" s="27">
        <v>82575.5</v>
      </c>
      <c r="M3374" s="36">
        <v>0</v>
      </c>
      <c r="T3374" s="41">
        <v>0</v>
      </c>
      <c r="U3374" s="41">
        <v>0</v>
      </c>
      <c r="V3374" s="42" t="s">
        <v>113</v>
      </c>
      <c r="W3374" s="42">
        <v>86921.58</v>
      </c>
      <c r="X3374" s="42">
        <v>86921.58</v>
      </c>
    </row>
    <row r="3375" spans="1:24">
      <c r="A3375" s="27" t="s">
        <v>6232</v>
      </c>
      <c r="B3375" s="28" t="s">
        <v>5102</v>
      </c>
      <c r="C3375" s="27" t="s">
        <v>6233</v>
      </c>
      <c r="D3375" s="27" t="s">
        <v>5104</v>
      </c>
      <c r="E3375" s="29">
        <v>37226</v>
      </c>
      <c r="F3375" s="27">
        <v>15</v>
      </c>
      <c r="G3375" s="18">
        <v>228639.35</v>
      </c>
      <c r="H3375" s="27">
        <f t="shared" si="104"/>
        <v>228639.35</v>
      </c>
      <c r="I3375" s="18">
        <v>217207.38</v>
      </c>
      <c r="J3375" s="27">
        <v>228639.35</v>
      </c>
      <c r="K3375" s="18">
        <f t="shared" si="105"/>
        <v>228639.35</v>
      </c>
      <c r="L3375" s="27">
        <v>217207.38</v>
      </c>
      <c r="M3375" s="36">
        <v>0</v>
      </c>
      <c r="T3375" s="41">
        <v>0</v>
      </c>
      <c r="U3375" s="41">
        <v>0</v>
      </c>
      <c r="V3375" s="42" t="s">
        <v>113</v>
      </c>
      <c r="W3375" s="42">
        <v>228639.35</v>
      </c>
      <c r="X3375" s="42">
        <v>228639.35</v>
      </c>
    </row>
    <row r="3376" spans="1:24">
      <c r="A3376" s="27" t="s">
        <v>6234</v>
      </c>
      <c r="B3376" s="28" t="s">
        <v>5102</v>
      </c>
      <c r="C3376" s="27" t="s">
        <v>6235</v>
      </c>
      <c r="D3376" s="27" t="s">
        <v>5104</v>
      </c>
      <c r="E3376" s="29">
        <v>38078</v>
      </c>
      <c r="F3376" s="27">
        <v>15</v>
      </c>
      <c r="G3376" s="18">
        <v>90411.15</v>
      </c>
      <c r="H3376" s="27">
        <f t="shared" si="104"/>
        <v>90411.15</v>
      </c>
      <c r="I3376" s="18">
        <v>85890.59</v>
      </c>
      <c r="J3376" s="27">
        <v>90411.15</v>
      </c>
      <c r="K3376" s="18">
        <f t="shared" si="105"/>
        <v>90411.15</v>
      </c>
      <c r="L3376" s="27">
        <v>85890.59</v>
      </c>
      <c r="M3376" s="36">
        <v>0</v>
      </c>
      <c r="T3376" s="41">
        <v>0</v>
      </c>
      <c r="U3376" s="41">
        <v>0</v>
      </c>
      <c r="V3376" s="42" t="s">
        <v>113</v>
      </c>
      <c r="W3376" s="42">
        <v>90411.15</v>
      </c>
      <c r="X3376" s="42">
        <v>90411.15</v>
      </c>
    </row>
    <row r="3377" spans="1:24">
      <c r="A3377" s="27" t="s">
        <v>6236</v>
      </c>
      <c r="B3377" s="28" t="s">
        <v>5102</v>
      </c>
      <c r="C3377" s="27" t="s">
        <v>6235</v>
      </c>
      <c r="D3377" s="27" t="s">
        <v>5104</v>
      </c>
      <c r="E3377" s="29">
        <v>38078</v>
      </c>
      <c r="F3377" s="27">
        <v>15</v>
      </c>
      <c r="G3377" s="18">
        <v>19822.439999999999</v>
      </c>
      <c r="H3377" s="27">
        <f t="shared" si="104"/>
        <v>19822.439999999999</v>
      </c>
      <c r="I3377" s="18">
        <v>18831.32</v>
      </c>
      <c r="J3377" s="27">
        <v>19822.439999999999</v>
      </c>
      <c r="K3377" s="18">
        <f t="shared" si="105"/>
        <v>19822.439999999999</v>
      </c>
      <c r="L3377" s="27">
        <v>18831.32</v>
      </c>
      <c r="M3377" s="36">
        <v>0</v>
      </c>
      <c r="T3377" s="41">
        <v>0</v>
      </c>
      <c r="U3377" s="41">
        <v>0</v>
      </c>
      <c r="V3377" s="42" t="s">
        <v>113</v>
      </c>
      <c r="W3377" s="42">
        <v>19822.439999999999</v>
      </c>
      <c r="X3377" s="42">
        <v>19822.439999999999</v>
      </c>
    </row>
    <row r="3378" spans="1:24">
      <c r="A3378" s="27" t="s">
        <v>6237</v>
      </c>
      <c r="B3378" s="28" t="s">
        <v>5102</v>
      </c>
      <c r="C3378" s="27" t="s">
        <v>6238</v>
      </c>
      <c r="D3378" s="27" t="s">
        <v>5104</v>
      </c>
      <c r="E3378" s="29">
        <v>37226</v>
      </c>
      <c r="F3378" s="27">
        <v>15</v>
      </c>
      <c r="G3378" s="18">
        <v>69005.899999999994</v>
      </c>
      <c r="H3378" s="27">
        <f t="shared" si="104"/>
        <v>69005.899999999994</v>
      </c>
      <c r="I3378" s="18">
        <v>65555.600000000006</v>
      </c>
      <c r="J3378" s="27">
        <v>69005.899999999994</v>
      </c>
      <c r="K3378" s="18">
        <f t="shared" si="105"/>
        <v>69005.899999999994</v>
      </c>
      <c r="L3378" s="27">
        <v>65555.600000000006</v>
      </c>
      <c r="M3378" s="36">
        <v>0</v>
      </c>
      <c r="T3378" s="41">
        <v>0</v>
      </c>
      <c r="U3378" s="41">
        <v>0</v>
      </c>
      <c r="V3378" s="42" t="s">
        <v>113</v>
      </c>
      <c r="W3378" s="42">
        <v>69005.899999999994</v>
      </c>
      <c r="X3378" s="42">
        <v>69005.899999999994</v>
      </c>
    </row>
    <row r="3379" spans="1:24">
      <c r="A3379" s="27" t="s">
        <v>6239</v>
      </c>
      <c r="B3379" s="28" t="s">
        <v>5102</v>
      </c>
      <c r="C3379" s="27" t="s">
        <v>6240</v>
      </c>
      <c r="D3379" s="27" t="s">
        <v>5104</v>
      </c>
      <c r="E3379" s="29">
        <v>38078</v>
      </c>
      <c r="F3379" s="27">
        <v>15</v>
      </c>
      <c r="G3379" s="18">
        <v>210539.02</v>
      </c>
      <c r="H3379" s="27">
        <f t="shared" si="104"/>
        <v>210539.02</v>
      </c>
      <c r="I3379" s="18">
        <v>200012.07</v>
      </c>
      <c r="J3379" s="27">
        <v>210539.02</v>
      </c>
      <c r="K3379" s="18">
        <f t="shared" si="105"/>
        <v>210539.02</v>
      </c>
      <c r="L3379" s="27">
        <v>200012.07</v>
      </c>
      <c r="M3379" s="36">
        <v>0</v>
      </c>
      <c r="T3379" s="41">
        <v>0</v>
      </c>
      <c r="U3379" s="41">
        <v>0</v>
      </c>
      <c r="V3379" s="42" t="s">
        <v>113</v>
      </c>
      <c r="W3379" s="42">
        <v>210539.02</v>
      </c>
      <c r="X3379" s="42">
        <v>210539.02</v>
      </c>
    </row>
    <row r="3380" spans="1:24">
      <c r="A3380" s="27" t="s">
        <v>6241</v>
      </c>
      <c r="B3380" s="28" t="s">
        <v>5102</v>
      </c>
      <c r="C3380" s="27" t="s">
        <v>6240</v>
      </c>
      <c r="D3380" s="27" t="s">
        <v>5104</v>
      </c>
      <c r="E3380" s="29">
        <v>38078</v>
      </c>
      <c r="F3380" s="27">
        <v>15</v>
      </c>
      <c r="G3380" s="18">
        <v>94563.42</v>
      </c>
      <c r="H3380" s="27">
        <f t="shared" si="104"/>
        <v>94563.42</v>
      </c>
      <c r="I3380" s="18">
        <v>89835.25</v>
      </c>
      <c r="J3380" s="27">
        <v>94563.42</v>
      </c>
      <c r="K3380" s="18">
        <f t="shared" si="105"/>
        <v>94563.42</v>
      </c>
      <c r="L3380" s="27">
        <v>89835.25</v>
      </c>
      <c r="M3380" s="36">
        <v>0</v>
      </c>
      <c r="T3380" s="41">
        <v>0</v>
      </c>
      <c r="U3380" s="41">
        <v>0</v>
      </c>
      <c r="V3380" s="42" t="s">
        <v>113</v>
      </c>
      <c r="W3380" s="42">
        <v>94563.42</v>
      </c>
      <c r="X3380" s="42">
        <v>94563.42</v>
      </c>
    </row>
    <row r="3381" spans="1:24">
      <c r="A3381" s="27" t="s">
        <v>6242</v>
      </c>
      <c r="B3381" s="28" t="s">
        <v>5102</v>
      </c>
      <c r="C3381" s="27" t="s">
        <v>6243</v>
      </c>
      <c r="D3381" s="27" t="s">
        <v>5104</v>
      </c>
      <c r="E3381" s="29">
        <v>37226</v>
      </c>
      <c r="F3381" s="27">
        <v>15</v>
      </c>
      <c r="G3381" s="18">
        <v>77729.23</v>
      </c>
      <c r="H3381" s="27">
        <f t="shared" si="104"/>
        <v>77729.23</v>
      </c>
      <c r="I3381" s="18">
        <v>73842.77</v>
      </c>
      <c r="J3381" s="27">
        <v>77729.23</v>
      </c>
      <c r="K3381" s="18">
        <f t="shared" si="105"/>
        <v>77729.23</v>
      </c>
      <c r="L3381" s="27">
        <v>73842.77</v>
      </c>
      <c r="M3381" s="36">
        <v>0</v>
      </c>
      <c r="T3381" s="41">
        <v>0</v>
      </c>
      <c r="U3381" s="41">
        <v>0</v>
      </c>
      <c r="V3381" s="42" t="s">
        <v>113</v>
      </c>
      <c r="W3381" s="42">
        <v>77729.23</v>
      </c>
      <c r="X3381" s="42">
        <v>77729.23</v>
      </c>
    </row>
    <row r="3382" spans="1:24">
      <c r="A3382" s="27" t="s">
        <v>6244</v>
      </c>
      <c r="B3382" s="28" t="s">
        <v>5102</v>
      </c>
      <c r="C3382" s="27" t="s">
        <v>6245</v>
      </c>
      <c r="D3382" s="27" t="s">
        <v>5104</v>
      </c>
      <c r="E3382" s="29">
        <v>38078</v>
      </c>
      <c r="F3382" s="27">
        <v>15</v>
      </c>
      <c r="G3382" s="18">
        <v>61277.58</v>
      </c>
      <c r="H3382" s="27">
        <f t="shared" si="104"/>
        <v>61277.58</v>
      </c>
      <c r="I3382" s="18">
        <v>58213.7</v>
      </c>
      <c r="J3382" s="27">
        <v>61277.58</v>
      </c>
      <c r="K3382" s="18">
        <f t="shared" si="105"/>
        <v>61277.58</v>
      </c>
      <c r="L3382" s="27">
        <v>58213.7</v>
      </c>
      <c r="M3382" s="36">
        <v>0</v>
      </c>
      <c r="T3382" s="41">
        <v>0</v>
      </c>
      <c r="U3382" s="41">
        <v>0</v>
      </c>
      <c r="V3382" s="42" t="s">
        <v>113</v>
      </c>
      <c r="W3382" s="42">
        <v>61277.58</v>
      </c>
      <c r="X3382" s="42">
        <v>61277.58</v>
      </c>
    </row>
    <row r="3383" spans="1:24">
      <c r="A3383" s="27" t="s">
        <v>6246</v>
      </c>
      <c r="B3383" s="28" t="s">
        <v>5102</v>
      </c>
      <c r="C3383" s="27" t="s">
        <v>6245</v>
      </c>
      <c r="D3383" s="27" t="s">
        <v>5104</v>
      </c>
      <c r="E3383" s="29">
        <v>38078</v>
      </c>
      <c r="F3383" s="27">
        <v>15</v>
      </c>
      <c r="G3383" s="18">
        <v>48199.82</v>
      </c>
      <c r="H3383" s="27">
        <f t="shared" si="104"/>
        <v>48199.82</v>
      </c>
      <c r="I3383" s="18">
        <v>45789.83</v>
      </c>
      <c r="J3383" s="27">
        <v>48199.82</v>
      </c>
      <c r="K3383" s="18">
        <f t="shared" si="105"/>
        <v>48199.82</v>
      </c>
      <c r="L3383" s="27">
        <v>45789.83</v>
      </c>
      <c r="M3383" s="36">
        <v>0</v>
      </c>
      <c r="T3383" s="41">
        <v>0</v>
      </c>
      <c r="U3383" s="41">
        <v>0</v>
      </c>
      <c r="V3383" s="42" t="s">
        <v>113</v>
      </c>
      <c r="W3383" s="42">
        <v>48199.82</v>
      </c>
      <c r="X3383" s="42">
        <v>48199.82</v>
      </c>
    </row>
    <row r="3384" spans="1:24">
      <c r="A3384" s="27" t="s">
        <v>6247</v>
      </c>
      <c r="B3384" s="28" t="s">
        <v>5102</v>
      </c>
      <c r="C3384" s="27" t="s">
        <v>6248</v>
      </c>
      <c r="D3384" s="27" t="s">
        <v>5104</v>
      </c>
      <c r="E3384" s="29">
        <v>37226</v>
      </c>
      <c r="F3384" s="27">
        <v>15</v>
      </c>
      <c r="G3384" s="18">
        <v>180033.12</v>
      </c>
      <c r="H3384" s="27">
        <f t="shared" si="104"/>
        <v>180033.12</v>
      </c>
      <c r="I3384" s="18">
        <v>171031.46</v>
      </c>
      <c r="J3384" s="27">
        <v>180033.12</v>
      </c>
      <c r="K3384" s="18">
        <f t="shared" si="105"/>
        <v>180033.12</v>
      </c>
      <c r="L3384" s="27">
        <v>171031.46</v>
      </c>
      <c r="M3384" s="36">
        <v>0</v>
      </c>
      <c r="T3384" s="41">
        <v>0</v>
      </c>
      <c r="U3384" s="41">
        <v>0</v>
      </c>
      <c r="V3384" s="42" t="s">
        <v>113</v>
      </c>
      <c r="W3384" s="42">
        <v>180033.12</v>
      </c>
      <c r="X3384" s="42">
        <v>180033.12</v>
      </c>
    </row>
    <row r="3385" spans="1:24">
      <c r="A3385" s="27" t="s">
        <v>6249</v>
      </c>
      <c r="B3385" s="28" t="s">
        <v>5102</v>
      </c>
      <c r="C3385" s="27" t="s">
        <v>6250</v>
      </c>
      <c r="D3385" s="27" t="s">
        <v>5104</v>
      </c>
      <c r="E3385" s="29">
        <v>38078</v>
      </c>
      <c r="F3385" s="27">
        <v>15</v>
      </c>
      <c r="G3385" s="18">
        <v>55732.33</v>
      </c>
      <c r="H3385" s="27">
        <f t="shared" si="104"/>
        <v>55732.33</v>
      </c>
      <c r="I3385" s="18">
        <v>52945.71</v>
      </c>
      <c r="J3385" s="27">
        <v>55732.33</v>
      </c>
      <c r="K3385" s="18">
        <f t="shared" si="105"/>
        <v>55732.33</v>
      </c>
      <c r="L3385" s="27">
        <v>52945.71</v>
      </c>
      <c r="M3385" s="36">
        <v>0</v>
      </c>
      <c r="T3385" s="41">
        <v>0</v>
      </c>
      <c r="U3385" s="41">
        <v>0</v>
      </c>
      <c r="V3385" s="42" t="s">
        <v>113</v>
      </c>
      <c r="W3385" s="42">
        <v>55732.33</v>
      </c>
      <c r="X3385" s="42">
        <v>55732.33</v>
      </c>
    </row>
    <row r="3386" spans="1:24">
      <c r="A3386" s="27" t="s">
        <v>6251</v>
      </c>
      <c r="B3386" s="28" t="s">
        <v>5102</v>
      </c>
      <c r="C3386" s="27" t="s">
        <v>6252</v>
      </c>
      <c r="D3386" s="27" t="s">
        <v>5104</v>
      </c>
      <c r="E3386" s="29">
        <v>38078</v>
      </c>
      <c r="F3386" s="27">
        <v>15</v>
      </c>
      <c r="G3386" s="18">
        <v>156952.25</v>
      </c>
      <c r="H3386" s="27">
        <f t="shared" si="104"/>
        <v>156952.25</v>
      </c>
      <c r="I3386" s="18">
        <v>149104.64000000001</v>
      </c>
      <c r="J3386" s="27">
        <v>156952.25</v>
      </c>
      <c r="K3386" s="18">
        <f t="shared" si="105"/>
        <v>156952.25</v>
      </c>
      <c r="L3386" s="27">
        <v>149104.64000000001</v>
      </c>
      <c r="M3386" s="36">
        <v>0</v>
      </c>
      <c r="T3386" s="41">
        <v>0</v>
      </c>
      <c r="U3386" s="41">
        <v>0</v>
      </c>
      <c r="V3386" s="42" t="s">
        <v>113</v>
      </c>
      <c r="W3386" s="42">
        <v>156952.25</v>
      </c>
      <c r="X3386" s="42">
        <v>156952.25</v>
      </c>
    </row>
    <row r="3387" spans="1:24">
      <c r="A3387" s="27" t="s">
        <v>6253</v>
      </c>
      <c r="B3387" s="28" t="s">
        <v>5102</v>
      </c>
      <c r="C3387" s="27" t="s">
        <v>6252</v>
      </c>
      <c r="D3387" s="27" t="s">
        <v>5104</v>
      </c>
      <c r="E3387" s="29">
        <v>38078</v>
      </c>
      <c r="F3387" s="27">
        <v>15</v>
      </c>
      <c r="G3387" s="18">
        <v>16675.87</v>
      </c>
      <c r="H3387" s="27">
        <f t="shared" si="104"/>
        <v>16675.87</v>
      </c>
      <c r="I3387" s="18">
        <v>15842.08</v>
      </c>
      <c r="J3387" s="27">
        <v>16675.87</v>
      </c>
      <c r="K3387" s="18">
        <f t="shared" si="105"/>
        <v>16675.87</v>
      </c>
      <c r="L3387" s="27">
        <v>15842.08</v>
      </c>
      <c r="M3387" s="36">
        <v>0</v>
      </c>
      <c r="T3387" s="41">
        <v>0</v>
      </c>
      <c r="U3387" s="41">
        <v>0</v>
      </c>
      <c r="V3387" s="42" t="s">
        <v>113</v>
      </c>
      <c r="W3387" s="42">
        <v>16675.87</v>
      </c>
      <c r="X3387" s="42">
        <v>16675.87</v>
      </c>
    </row>
    <row r="3388" spans="1:24">
      <c r="A3388" s="27" t="s">
        <v>6254</v>
      </c>
      <c r="B3388" s="28" t="s">
        <v>5102</v>
      </c>
      <c r="C3388" s="27" t="s">
        <v>6252</v>
      </c>
      <c r="D3388" s="27" t="s">
        <v>5104</v>
      </c>
      <c r="E3388" s="29">
        <v>38078</v>
      </c>
      <c r="F3388" s="27">
        <v>15</v>
      </c>
      <c r="G3388" s="18">
        <v>20010.23</v>
      </c>
      <c r="H3388" s="27">
        <f t="shared" si="104"/>
        <v>20010.23</v>
      </c>
      <c r="I3388" s="18">
        <v>19009.72</v>
      </c>
      <c r="J3388" s="27">
        <v>20010.23</v>
      </c>
      <c r="K3388" s="18">
        <f t="shared" si="105"/>
        <v>20010.23</v>
      </c>
      <c r="L3388" s="27">
        <v>19009.72</v>
      </c>
      <c r="M3388" s="36">
        <v>0</v>
      </c>
      <c r="T3388" s="41">
        <v>0</v>
      </c>
      <c r="U3388" s="41">
        <v>0</v>
      </c>
      <c r="V3388" s="42" t="s">
        <v>113</v>
      </c>
      <c r="W3388" s="42">
        <v>20010.23</v>
      </c>
      <c r="X3388" s="42">
        <v>20010.23</v>
      </c>
    </row>
    <row r="3389" spans="1:24">
      <c r="A3389" s="27" t="s">
        <v>6255</v>
      </c>
      <c r="B3389" s="28" t="s">
        <v>5102</v>
      </c>
      <c r="C3389" s="27" t="s">
        <v>6256</v>
      </c>
      <c r="D3389" s="27" t="s">
        <v>5104</v>
      </c>
      <c r="E3389" s="29">
        <v>38078</v>
      </c>
      <c r="F3389" s="27">
        <v>15</v>
      </c>
      <c r="G3389" s="18">
        <v>49131.57</v>
      </c>
      <c r="H3389" s="27">
        <f t="shared" si="104"/>
        <v>49131.57</v>
      </c>
      <c r="I3389" s="18">
        <v>46674.99</v>
      </c>
      <c r="J3389" s="27">
        <v>49131.57</v>
      </c>
      <c r="K3389" s="18">
        <f t="shared" si="105"/>
        <v>49131.57</v>
      </c>
      <c r="L3389" s="27">
        <v>46674.99</v>
      </c>
      <c r="M3389" s="36">
        <v>0</v>
      </c>
      <c r="T3389" s="41">
        <v>0</v>
      </c>
      <c r="U3389" s="41">
        <v>0</v>
      </c>
      <c r="V3389" s="42" t="s">
        <v>113</v>
      </c>
      <c r="W3389" s="42">
        <v>49131.57</v>
      </c>
      <c r="X3389" s="42">
        <v>49131.57</v>
      </c>
    </row>
    <row r="3390" spans="1:24">
      <c r="A3390" s="27" t="s">
        <v>6257</v>
      </c>
      <c r="B3390" s="28" t="s">
        <v>5102</v>
      </c>
      <c r="C3390" s="27" t="s">
        <v>6256</v>
      </c>
      <c r="D3390" s="27" t="s">
        <v>5104</v>
      </c>
      <c r="E3390" s="29">
        <v>38078</v>
      </c>
      <c r="F3390" s="27">
        <v>15</v>
      </c>
      <c r="G3390" s="18">
        <v>108856.42</v>
      </c>
      <c r="H3390" s="27">
        <f t="shared" si="104"/>
        <v>108856.42</v>
      </c>
      <c r="I3390" s="18">
        <v>103413.6</v>
      </c>
      <c r="J3390" s="27">
        <v>108856.42</v>
      </c>
      <c r="K3390" s="18">
        <f t="shared" si="105"/>
        <v>108856.42</v>
      </c>
      <c r="L3390" s="27">
        <v>103413.6</v>
      </c>
      <c r="M3390" s="36">
        <v>0</v>
      </c>
      <c r="T3390" s="41">
        <v>0</v>
      </c>
      <c r="U3390" s="41">
        <v>0</v>
      </c>
      <c r="V3390" s="42" t="s">
        <v>113</v>
      </c>
      <c r="W3390" s="42">
        <v>108856.42</v>
      </c>
      <c r="X3390" s="42">
        <v>108856.42</v>
      </c>
    </row>
    <row r="3391" spans="1:24">
      <c r="A3391" s="27" t="s">
        <v>6258</v>
      </c>
      <c r="B3391" s="28" t="s">
        <v>5102</v>
      </c>
      <c r="C3391" s="27" t="s">
        <v>6259</v>
      </c>
      <c r="D3391" s="27" t="s">
        <v>5104</v>
      </c>
      <c r="E3391" s="29">
        <v>38078</v>
      </c>
      <c r="F3391" s="27">
        <v>15</v>
      </c>
      <c r="G3391" s="18">
        <v>58216.19</v>
      </c>
      <c r="H3391" s="27">
        <f t="shared" si="104"/>
        <v>58216.19</v>
      </c>
      <c r="I3391" s="18">
        <v>55305.38</v>
      </c>
      <c r="J3391" s="27">
        <v>58216.19</v>
      </c>
      <c r="K3391" s="18">
        <f t="shared" si="105"/>
        <v>58216.19</v>
      </c>
      <c r="L3391" s="27">
        <v>55305.38</v>
      </c>
      <c r="M3391" s="36">
        <v>0</v>
      </c>
      <c r="T3391" s="41">
        <v>0</v>
      </c>
      <c r="U3391" s="41">
        <v>0</v>
      </c>
      <c r="V3391" s="42" t="s">
        <v>113</v>
      </c>
      <c r="W3391" s="42">
        <v>58216.19</v>
      </c>
      <c r="X3391" s="42">
        <v>58216.19</v>
      </c>
    </row>
    <row r="3392" spans="1:24">
      <c r="A3392" s="27" t="s">
        <v>6260</v>
      </c>
      <c r="B3392" s="28" t="s">
        <v>5102</v>
      </c>
      <c r="C3392" s="27" t="s">
        <v>6259</v>
      </c>
      <c r="D3392" s="27" t="s">
        <v>5104</v>
      </c>
      <c r="E3392" s="29">
        <v>38078</v>
      </c>
      <c r="F3392" s="27">
        <v>15</v>
      </c>
      <c r="G3392" s="18">
        <v>16963.830000000002</v>
      </c>
      <c r="H3392" s="27">
        <f t="shared" si="104"/>
        <v>16963.830000000002</v>
      </c>
      <c r="I3392" s="18">
        <v>16115.64</v>
      </c>
      <c r="J3392" s="27">
        <v>16963.830000000002</v>
      </c>
      <c r="K3392" s="18">
        <f t="shared" si="105"/>
        <v>16963.830000000002</v>
      </c>
      <c r="L3392" s="27">
        <v>16115.64</v>
      </c>
      <c r="M3392" s="36">
        <v>0</v>
      </c>
      <c r="T3392" s="41">
        <v>0</v>
      </c>
      <c r="U3392" s="41">
        <v>0</v>
      </c>
      <c r="V3392" s="42" t="s">
        <v>113</v>
      </c>
      <c r="W3392" s="42">
        <v>16963.830000000002</v>
      </c>
      <c r="X3392" s="42">
        <v>16963.830000000002</v>
      </c>
    </row>
    <row r="3393" spans="1:24">
      <c r="A3393" s="27" t="s">
        <v>6261</v>
      </c>
      <c r="B3393" s="28" t="s">
        <v>5102</v>
      </c>
      <c r="C3393" s="27" t="s">
        <v>6262</v>
      </c>
      <c r="D3393" s="27" t="s">
        <v>5104</v>
      </c>
      <c r="E3393" s="29">
        <v>37226</v>
      </c>
      <c r="F3393" s="27">
        <v>15</v>
      </c>
      <c r="G3393" s="18">
        <v>113878.41</v>
      </c>
      <c r="H3393" s="27">
        <f t="shared" si="104"/>
        <v>113878.41</v>
      </c>
      <c r="I3393" s="18">
        <v>108184.49</v>
      </c>
      <c r="J3393" s="27">
        <v>113878.41</v>
      </c>
      <c r="K3393" s="18">
        <f t="shared" si="105"/>
        <v>113878.41</v>
      </c>
      <c r="L3393" s="27">
        <v>108184.49</v>
      </c>
      <c r="M3393" s="36">
        <v>0</v>
      </c>
      <c r="T3393" s="41">
        <v>0</v>
      </c>
      <c r="U3393" s="41">
        <v>0</v>
      </c>
      <c r="V3393" s="42" t="s">
        <v>113</v>
      </c>
      <c r="W3393" s="42">
        <v>113878.41</v>
      </c>
      <c r="X3393" s="42">
        <v>113878.41</v>
      </c>
    </row>
    <row r="3394" spans="1:24">
      <c r="A3394" s="27" t="s">
        <v>6263</v>
      </c>
      <c r="B3394" s="28" t="s">
        <v>5102</v>
      </c>
      <c r="C3394" s="27" t="s">
        <v>6264</v>
      </c>
      <c r="D3394" s="27" t="s">
        <v>5104</v>
      </c>
      <c r="E3394" s="29">
        <v>38078</v>
      </c>
      <c r="F3394" s="27">
        <v>15</v>
      </c>
      <c r="G3394" s="18">
        <v>82523.91</v>
      </c>
      <c r="H3394" s="27">
        <f t="shared" si="104"/>
        <v>82523.91</v>
      </c>
      <c r="I3394" s="18">
        <v>78397.710000000006</v>
      </c>
      <c r="J3394" s="27">
        <v>82523.91</v>
      </c>
      <c r="K3394" s="18">
        <f t="shared" si="105"/>
        <v>82523.91</v>
      </c>
      <c r="L3394" s="27">
        <v>78397.710000000006</v>
      </c>
      <c r="M3394" s="36">
        <v>0</v>
      </c>
      <c r="T3394" s="41">
        <v>0</v>
      </c>
      <c r="U3394" s="41">
        <v>0</v>
      </c>
      <c r="V3394" s="42" t="s">
        <v>113</v>
      </c>
      <c r="W3394" s="42">
        <v>82523.91</v>
      </c>
      <c r="X3394" s="42">
        <v>82523.91</v>
      </c>
    </row>
    <row r="3395" spans="1:24">
      <c r="A3395" s="27" t="s">
        <v>6265</v>
      </c>
      <c r="B3395" s="28" t="s">
        <v>5102</v>
      </c>
      <c r="C3395" s="27" t="s">
        <v>6266</v>
      </c>
      <c r="D3395" s="27" t="s">
        <v>5104</v>
      </c>
      <c r="E3395" s="29">
        <v>38078</v>
      </c>
      <c r="F3395" s="27">
        <v>15</v>
      </c>
      <c r="G3395" s="18">
        <v>70421.8</v>
      </c>
      <c r="H3395" s="27">
        <f t="shared" si="104"/>
        <v>70421.8</v>
      </c>
      <c r="I3395" s="18">
        <v>66900.710000000006</v>
      </c>
      <c r="J3395" s="27">
        <v>70421.8</v>
      </c>
      <c r="K3395" s="18">
        <f t="shared" si="105"/>
        <v>70421.8</v>
      </c>
      <c r="L3395" s="27">
        <v>66900.710000000006</v>
      </c>
      <c r="M3395" s="36">
        <v>0</v>
      </c>
      <c r="T3395" s="41">
        <v>0</v>
      </c>
      <c r="U3395" s="41">
        <v>0</v>
      </c>
      <c r="V3395" s="42" t="s">
        <v>113</v>
      </c>
      <c r="W3395" s="42">
        <v>70421.8</v>
      </c>
      <c r="X3395" s="42">
        <v>70421.8</v>
      </c>
    </row>
    <row r="3396" spans="1:24">
      <c r="A3396" s="27" t="s">
        <v>6267</v>
      </c>
      <c r="B3396" s="28" t="s">
        <v>5102</v>
      </c>
      <c r="C3396" s="27" t="s">
        <v>6268</v>
      </c>
      <c r="D3396" s="27" t="s">
        <v>5104</v>
      </c>
      <c r="E3396" s="29">
        <v>37226</v>
      </c>
      <c r="F3396" s="27">
        <v>15</v>
      </c>
      <c r="G3396" s="18">
        <v>1170098.26</v>
      </c>
      <c r="H3396" s="27">
        <f t="shared" si="104"/>
        <v>1170098.26</v>
      </c>
      <c r="I3396" s="18">
        <v>1111593.3500000001</v>
      </c>
      <c r="J3396" s="27">
        <v>1170098.26</v>
      </c>
      <c r="K3396" s="18">
        <f t="shared" si="105"/>
        <v>1170098.26</v>
      </c>
      <c r="L3396" s="27">
        <v>1111593.3500000001</v>
      </c>
      <c r="M3396" s="36">
        <v>0</v>
      </c>
      <c r="T3396" s="41">
        <v>0</v>
      </c>
      <c r="U3396" s="41">
        <v>0</v>
      </c>
      <c r="V3396" s="42" t="s">
        <v>113</v>
      </c>
      <c r="W3396" s="42">
        <v>1170098.26</v>
      </c>
      <c r="X3396" s="42">
        <v>1170098.26</v>
      </c>
    </row>
    <row r="3397" spans="1:24">
      <c r="A3397" s="27" t="s">
        <v>6269</v>
      </c>
      <c r="B3397" s="28" t="s">
        <v>5102</v>
      </c>
      <c r="C3397" s="27" t="s">
        <v>6270</v>
      </c>
      <c r="D3397" s="27" t="s">
        <v>5104</v>
      </c>
      <c r="E3397" s="29">
        <v>37773</v>
      </c>
      <c r="F3397" s="27">
        <v>15</v>
      </c>
      <c r="G3397" s="18">
        <v>143728.06</v>
      </c>
      <c r="H3397" s="27">
        <f t="shared" si="104"/>
        <v>143728.06</v>
      </c>
      <c r="I3397" s="18">
        <v>136541.66</v>
      </c>
      <c r="J3397" s="27">
        <v>143728.06</v>
      </c>
      <c r="K3397" s="18">
        <f t="shared" si="105"/>
        <v>143728.06</v>
      </c>
      <c r="L3397" s="27">
        <v>136541.66</v>
      </c>
      <c r="M3397" s="36">
        <v>0</v>
      </c>
      <c r="T3397" s="41">
        <v>0</v>
      </c>
      <c r="U3397" s="41">
        <v>0</v>
      </c>
      <c r="V3397" s="42" t="s">
        <v>113</v>
      </c>
      <c r="W3397" s="42">
        <v>143728.06</v>
      </c>
      <c r="X3397" s="42">
        <v>143728.06</v>
      </c>
    </row>
    <row r="3398" spans="1:24">
      <c r="A3398" s="27" t="s">
        <v>6271</v>
      </c>
      <c r="B3398" s="28" t="s">
        <v>5102</v>
      </c>
      <c r="C3398" s="27" t="s">
        <v>6272</v>
      </c>
      <c r="D3398" s="27" t="s">
        <v>5104</v>
      </c>
      <c r="E3398" s="29">
        <v>37226</v>
      </c>
      <c r="F3398" s="27">
        <v>15</v>
      </c>
      <c r="G3398" s="18">
        <v>115158.29</v>
      </c>
      <c r="H3398" s="27">
        <f t="shared" ref="H3398:H3461" si="106">IFERROR(IF(ROUND((G3398-I3398)/G3398,2)&lt;=0.05,G3398,0),0)</f>
        <v>115158.29</v>
      </c>
      <c r="I3398" s="18">
        <v>109400.38</v>
      </c>
      <c r="J3398" s="27">
        <v>115158.29</v>
      </c>
      <c r="K3398" s="18">
        <f t="shared" ref="K3398:K3461" si="107">IFERROR(IF(ROUND((J3398-L3398)/J3398,2)&lt;=0.05,J3398,0),0)</f>
        <v>115158.29</v>
      </c>
      <c r="L3398" s="27">
        <v>109400.38</v>
      </c>
      <c r="M3398" s="36">
        <v>0</v>
      </c>
      <c r="T3398" s="41">
        <v>0</v>
      </c>
      <c r="U3398" s="41">
        <v>0</v>
      </c>
      <c r="V3398" s="42" t="s">
        <v>113</v>
      </c>
      <c r="W3398" s="42">
        <v>115158.29</v>
      </c>
      <c r="X3398" s="42">
        <v>115158.29</v>
      </c>
    </row>
    <row r="3399" spans="1:24">
      <c r="A3399" s="27" t="s">
        <v>6273</v>
      </c>
      <c r="B3399" s="28" t="s">
        <v>5102</v>
      </c>
      <c r="C3399" s="27" t="s">
        <v>6274</v>
      </c>
      <c r="D3399" s="27" t="s">
        <v>5104</v>
      </c>
      <c r="E3399" s="29">
        <v>37226</v>
      </c>
      <c r="F3399" s="27">
        <v>15</v>
      </c>
      <c r="G3399" s="18">
        <v>102451.74</v>
      </c>
      <c r="H3399" s="27">
        <f t="shared" si="106"/>
        <v>102451.74</v>
      </c>
      <c r="I3399" s="18">
        <v>97329.15</v>
      </c>
      <c r="J3399" s="27">
        <v>102451.74</v>
      </c>
      <c r="K3399" s="18">
        <f t="shared" si="107"/>
        <v>102451.74</v>
      </c>
      <c r="L3399" s="27">
        <v>97329.15</v>
      </c>
      <c r="M3399" s="36">
        <v>0</v>
      </c>
      <c r="T3399" s="41">
        <v>0</v>
      </c>
      <c r="U3399" s="41">
        <v>0</v>
      </c>
      <c r="V3399" s="42" t="s">
        <v>113</v>
      </c>
      <c r="W3399" s="42">
        <v>102451.74</v>
      </c>
      <c r="X3399" s="42">
        <v>102451.74</v>
      </c>
    </row>
    <row r="3400" spans="1:24">
      <c r="A3400" s="27" t="s">
        <v>6275</v>
      </c>
      <c r="B3400" s="28" t="s">
        <v>5102</v>
      </c>
      <c r="C3400" s="27" t="s">
        <v>6276</v>
      </c>
      <c r="D3400" s="27" t="s">
        <v>5104</v>
      </c>
      <c r="E3400" s="29">
        <v>37226</v>
      </c>
      <c r="F3400" s="27">
        <v>15</v>
      </c>
      <c r="G3400" s="18">
        <v>55080.2</v>
      </c>
      <c r="H3400" s="27">
        <f t="shared" si="106"/>
        <v>55080.2</v>
      </c>
      <c r="I3400" s="18">
        <v>52326.19</v>
      </c>
      <c r="J3400" s="27">
        <v>55080.2</v>
      </c>
      <c r="K3400" s="18">
        <f t="shared" si="107"/>
        <v>55080.2</v>
      </c>
      <c r="L3400" s="27">
        <v>52326.19</v>
      </c>
      <c r="M3400" s="36">
        <v>0</v>
      </c>
      <c r="T3400" s="41">
        <v>0</v>
      </c>
      <c r="U3400" s="41">
        <v>0</v>
      </c>
      <c r="V3400" s="42" t="s">
        <v>113</v>
      </c>
      <c r="W3400" s="42">
        <v>55080.2</v>
      </c>
      <c r="X3400" s="42">
        <v>55080.2</v>
      </c>
    </row>
    <row r="3401" spans="1:24">
      <c r="A3401" s="27" t="s">
        <v>6277</v>
      </c>
      <c r="B3401" s="28" t="s">
        <v>5102</v>
      </c>
      <c r="C3401" s="27" t="s">
        <v>6278</v>
      </c>
      <c r="D3401" s="27" t="s">
        <v>5104</v>
      </c>
      <c r="E3401" s="29">
        <v>37226</v>
      </c>
      <c r="F3401" s="27">
        <v>15</v>
      </c>
      <c r="G3401" s="18">
        <v>58563.58</v>
      </c>
      <c r="H3401" s="27">
        <f t="shared" si="106"/>
        <v>58563.58</v>
      </c>
      <c r="I3401" s="18">
        <v>55635.4</v>
      </c>
      <c r="J3401" s="27">
        <v>58563.58</v>
      </c>
      <c r="K3401" s="18">
        <f t="shared" si="107"/>
        <v>58563.58</v>
      </c>
      <c r="L3401" s="27">
        <v>55635.4</v>
      </c>
      <c r="M3401" s="36">
        <v>0</v>
      </c>
      <c r="T3401" s="41">
        <v>0</v>
      </c>
      <c r="U3401" s="41">
        <v>0</v>
      </c>
      <c r="V3401" s="42" t="s">
        <v>113</v>
      </c>
      <c r="W3401" s="42">
        <v>58563.58</v>
      </c>
      <c r="X3401" s="42">
        <v>58563.58</v>
      </c>
    </row>
    <row r="3402" spans="1:24">
      <c r="A3402" s="27" t="s">
        <v>6279</v>
      </c>
      <c r="B3402" s="28" t="s">
        <v>5102</v>
      </c>
      <c r="C3402" s="27" t="s">
        <v>6280</v>
      </c>
      <c r="D3402" s="27" t="s">
        <v>5104</v>
      </c>
      <c r="E3402" s="29">
        <v>38078</v>
      </c>
      <c r="F3402" s="27">
        <v>15</v>
      </c>
      <c r="G3402" s="18">
        <v>15542.9</v>
      </c>
      <c r="H3402" s="27">
        <f t="shared" si="106"/>
        <v>15542.9</v>
      </c>
      <c r="I3402" s="18">
        <v>14765.75</v>
      </c>
      <c r="J3402" s="27">
        <v>15542.9</v>
      </c>
      <c r="K3402" s="18">
        <f t="shared" si="107"/>
        <v>15542.9</v>
      </c>
      <c r="L3402" s="27">
        <v>14765.75</v>
      </c>
      <c r="M3402" s="36">
        <v>0</v>
      </c>
      <c r="T3402" s="41">
        <v>0</v>
      </c>
      <c r="U3402" s="41">
        <v>0</v>
      </c>
      <c r="V3402" s="42" t="s">
        <v>113</v>
      </c>
      <c r="W3402" s="42">
        <v>15542.9</v>
      </c>
      <c r="X3402" s="42">
        <v>15542.9</v>
      </c>
    </row>
    <row r="3403" spans="1:24">
      <c r="A3403" s="27" t="s">
        <v>6281</v>
      </c>
      <c r="B3403" s="28" t="s">
        <v>5102</v>
      </c>
      <c r="C3403" s="27" t="s">
        <v>6282</v>
      </c>
      <c r="D3403" s="27" t="s">
        <v>5104</v>
      </c>
      <c r="E3403" s="29">
        <v>34121</v>
      </c>
      <c r="F3403" s="27">
        <v>15</v>
      </c>
      <c r="G3403" s="18">
        <v>48331.92</v>
      </c>
      <c r="H3403" s="27">
        <f t="shared" si="106"/>
        <v>48331.92</v>
      </c>
      <c r="I3403" s="18">
        <v>45915.32</v>
      </c>
      <c r="J3403" s="27">
        <v>48331.92</v>
      </c>
      <c r="K3403" s="18">
        <f t="shared" si="107"/>
        <v>48331.92</v>
      </c>
      <c r="L3403" s="27">
        <v>45915.32</v>
      </c>
      <c r="M3403" s="36">
        <v>0</v>
      </c>
      <c r="T3403" s="41">
        <v>0</v>
      </c>
      <c r="U3403" s="41">
        <v>0</v>
      </c>
      <c r="V3403" s="42" t="s">
        <v>113</v>
      </c>
      <c r="W3403" s="42">
        <v>48331.92</v>
      </c>
      <c r="X3403" s="42">
        <v>48331.92</v>
      </c>
    </row>
    <row r="3404" spans="1:24">
      <c r="A3404" s="27" t="s">
        <v>6283</v>
      </c>
      <c r="B3404" s="28" t="s">
        <v>5102</v>
      </c>
      <c r="C3404" s="27" t="s">
        <v>6284</v>
      </c>
      <c r="D3404" s="27" t="s">
        <v>5104</v>
      </c>
      <c r="E3404" s="29">
        <v>32874</v>
      </c>
      <c r="F3404" s="27">
        <v>15</v>
      </c>
      <c r="G3404" s="18">
        <v>27809.77</v>
      </c>
      <c r="H3404" s="27">
        <f t="shared" si="106"/>
        <v>27809.77</v>
      </c>
      <c r="I3404" s="18">
        <v>26419.279999999999</v>
      </c>
      <c r="J3404" s="27">
        <v>27809.77</v>
      </c>
      <c r="K3404" s="18">
        <f t="shared" si="107"/>
        <v>27809.77</v>
      </c>
      <c r="L3404" s="27">
        <v>26419.279999999999</v>
      </c>
      <c r="M3404" s="36">
        <v>0</v>
      </c>
      <c r="T3404" s="41">
        <v>0</v>
      </c>
      <c r="U3404" s="41">
        <v>0</v>
      </c>
      <c r="V3404" s="42" t="s">
        <v>113</v>
      </c>
      <c r="W3404" s="42">
        <v>27809.77</v>
      </c>
      <c r="X3404" s="42">
        <v>27809.77</v>
      </c>
    </row>
    <row r="3405" spans="1:24">
      <c r="A3405" s="27" t="s">
        <v>6285</v>
      </c>
      <c r="B3405" s="28" t="s">
        <v>5102</v>
      </c>
      <c r="C3405" s="27" t="s">
        <v>6286</v>
      </c>
      <c r="D3405" s="27" t="s">
        <v>5104</v>
      </c>
      <c r="E3405" s="29">
        <v>39417</v>
      </c>
      <c r="F3405" s="27">
        <v>15</v>
      </c>
      <c r="G3405" s="18">
        <v>54000</v>
      </c>
      <c r="H3405" s="27">
        <f t="shared" si="106"/>
        <v>0</v>
      </c>
      <c r="I3405" s="18">
        <v>49531.43</v>
      </c>
      <c r="J3405" s="27">
        <v>54000</v>
      </c>
      <c r="K3405" s="18">
        <f t="shared" si="107"/>
        <v>0</v>
      </c>
      <c r="L3405" s="27">
        <v>49973.57</v>
      </c>
      <c r="M3405" s="36">
        <v>442.14</v>
      </c>
      <c r="T3405" s="41">
        <v>0</v>
      </c>
      <c r="U3405" s="41">
        <v>0</v>
      </c>
      <c r="V3405" s="42" t="s">
        <v>113</v>
      </c>
      <c r="W3405" s="42">
        <v>0</v>
      </c>
      <c r="X3405" s="42">
        <v>0</v>
      </c>
    </row>
    <row r="3406" spans="1:24">
      <c r="A3406" s="27" t="s">
        <v>6287</v>
      </c>
      <c r="B3406" s="28" t="s">
        <v>5102</v>
      </c>
      <c r="C3406" s="27" t="s">
        <v>6288</v>
      </c>
      <c r="D3406" s="27" t="s">
        <v>230</v>
      </c>
      <c r="E3406" s="29">
        <v>39417</v>
      </c>
      <c r="F3406" s="27">
        <v>15</v>
      </c>
      <c r="G3406" s="18">
        <v>2903003.23</v>
      </c>
      <c r="H3406" s="27">
        <f t="shared" si="106"/>
        <v>0</v>
      </c>
      <c r="I3406" s="18">
        <v>2041088.51</v>
      </c>
      <c r="J3406" s="27">
        <v>2903003.23</v>
      </c>
      <c r="K3406" s="18">
        <f t="shared" si="107"/>
        <v>0</v>
      </c>
      <c r="L3406" s="27">
        <v>2220279.65</v>
      </c>
      <c r="M3406" s="36">
        <v>179191.14</v>
      </c>
      <c r="T3406" s="41">
        <v>0</v>
      </c>
      <c r="U3406" s="41">
        <v>0</v>
      </c>
      <c r="V3406" s="42" t="s">
        <v>113</v>
      </c>
      <c r="W3406" s="42">
        <v>0</v>
      </c>
      <c r="X3406" s="42">
        <v>0</v>
      </c>
    </row>
    <row r="3407" spans="1:24">
      <c r="A3407" s="27" t="s">
        <v>6289</v>
      </c>
      <c r="B3407" s="28" t="s">
        <v>5102</v>
      </c>
      <c r="C3407" s="27" t="s">
        <v>6290</v>
      </c>
      <c r="D3407" s="27" t="s">
        <v>230</v>
      </c>
      <c r="E3407" s="29">
        <v>39417</v>
      </c>
      <c r="F3407" s="27">
        <v>15</v>
      </c>
      <c r="G3407" s="18">
        <v>2441479.5299999998</v>
      </c>
      <c r="H3407" s="27">
        <f t="shared" si="106"/>
        <v>0</v>
      </c>
      <c r="I3407" s="18">
        <v>1764181.91</v>
      </c>
      <c r="J3407" s="27">
        <v>2441479.5299999998</v>
      </c>
      <c r="K3407" s="18">
        <f t="shared" si="107"/>
        <v>0</v>
      </c>
      <c r="L3407" s="27">
        <v>1902987.82</v>
      </c>
      <c r="M3407" s="36">
        <v>138805.91</v>
      </c>
      <c r="T3407" s="41">
        <v>0</v>
      </c>
      <c r="U3407" s="41">
        <v>0</v>
      </c>
      <c r="V3407" s="42" t="s">
        <v>113</v>
      </c>
      <c r="W3407" s="42">
        <v>0</v>
      </c>
      <c r="X3407" s="42">
        <v>0</v>
      </c>
    </row>
    <row r="3408" spans="1:24">
      <c r="A3408" s="27" t="s">
        <v>6291</v>
      </c>
      <c r="B3408" s="28" t="s">
        <v>5102</v>
      </c>
      <c r="C3408" s="27" t="s">
        <v>6292</v>
      </c>
      <c r="D3408" s="27" t="s">
        <v>5104</v>
      </c>
      <c r="E3408" s="29">
        <v>34700</v>
      </c>
      <c r="F3408" s="27">
        <v>15</v>
      </c>
      <c r="G3408" s="18">
        <v>7650</v>
      </c>
      <c r="H3408" s="27">
        <f t="shared" si="106"/>
        <v>7650</v>
      </c>
      <c r="I3408" s="18">
        <v>7267.5</v>
      </c>
      <c r="J3408" s="27">
        <v>7650</v>
      </c>
      <c r="K3408" s="18">
        <f t="shared" si="107"/>
        <v>7650</v>
      </c>
      <c r="L3408" s="27">
        <v>7267.5</v>
      </c>
      <c r="M3408" s="36">
        <v>0</v>
      </c>
      <c r="T3408" s="41">
        <v>0</v>
      </c>
      <c r="U3408" s="41">
        <v>0</v>
      </c>
      <c r="V3408" s="42" t="s">
        <v>113</v>
      </c>
      <c r="W3408" s="42">
        <v>7650</v>
      </c>
      <c r="X3408" s="42">
        <v>7650</v>
      </c>
    </row>
    <row r="3409" spans="1:24">
      <c r="A3409" s="27" t="s">
        <v>6293</v>
      </c>
      <c r="B3409" s="28" t="s">
        <v>5102</v>
      </c>
      <c r="C3409" s="27" t="s">
        <v>6294</v>
      </c>
      <c r="D3409" s="27" t="s">
        <v>5104</v>
      </c>
      <c r="E3409" s="29">
        <v>37226</v>
      </c>
      <c r="F3409" s="27">
        <v>15</v>
      </c>
      <c r="G3409" s="18">
        <v>92113.62</v>
      </c>
      <c r="H3409" s="27">
        <f t="shared" si="106"/>
        <v>92113.62</v>
      </c>
      <c r="I3409" s="18">
        <v>87507.94</v>
      </c>
      <c r="J3409" s="27">
        <v>92113.62</v>
      </c>
      <c r="K3409" s="18">
        <f t="shared" si="107"/>
        <v>92113.62</v>
      </c>
      <c r="L3409" s="27">
        <v>87507.94</v>
      </c>
      <c r="M3409" s="36">
        <v>0</v>
      </c>
      <c r="T3409" s="41">
        <v>0</v>
      </c>
      <c r="U3409" s="41">
        <v>0</v>
      </c>
      <c r="V3409" s="42" t="s">
        <v>113</v>
      </c>
      <c r="W3409" s="42">
        <v>92113.62</v>
      </c>
      <c r="X3409" s="42">
        <v>92113.62</v>
      </c>
    </row>
    <row r="3410" spans="1:24">
      <c r="A3410" s="27" t="s">
        <v>6295</v>
      </c>
      <c r="B3410" s="28" t="s">
        <v>5102</v>
      </c>
      <c r="C3410" s="27" t="s">
        <v>6296</v>
      </c>
      <c r="D3410" s="27" t="s">
        <v>5104</v>
      </c>
      <c r="E3410" s="29">
        <v>37226</v>
      </c>
      <c r="F3410" s="27">
        <v>15</v>
      </c>
      <c r="G3410" s="18">
        <v>168477.73</v>
      </c>
      <c r="H3410" s="27">
        <f t="shared" si="106"/>
        <v>168477.73</v>
      </c>
      <c r="I3410" s="18">
        <v>160053.84</v>
      </c>
      <c r="J3410" s="27">
        <v>168477.73</v>
      </c>
      <c r="K3410" s="18">
        <f t="shared" si="107"/>
        <v>168477.73</v>
      </c>
      <c r="L3410" s="27">
        <v>160053.84</v>
      </c>
      <c r="M3410" s="36">
        <v>0</v>
      </c>
      <c r="T3410" s="41">
        <v>0</v>
      </c>
      <c r="U3410" s="41">
        <v>0</v>
      </c>
      <c r="V3410" s="42" t="s">
        <v>113</v>
      </c>
      <c r="W3410" s="42">
        <v>168477.73</v>
      </c>
      <c r="X3410" s="42">
        <v>168477.73</v>
      </c>
    </row>
    <row r="3411" spans="1:24">
      <c r="A3411" s="27" t="s">
        <v>6297</v>
      </c>
      <c r="B3411" s="28" t="s">
        <v>5102</v>
      </c>
      <c r="C3411" s="27" t="s">
        <v>6298</v>
      </c>
      <c r="D3411" s="27" t="s">
        <v>230</v>
      </c>
      <c r="E3411" s="29">
        <v>37226</v>
      </c>
      <c r="F3411" s="27">
        <v>15</v>
      </c>
      <c r="G3411" s="18">
        <v>711972.21</v>
      </c>
      <c r="H3411" s="27">
        <f t="shared" si="106"/>
        <v>711972.21</v>
      </c>
      <c r="I3411" s="18">
        <v>676373.6</v>
      </c>
      <c r="J3411" s="27">
        <v>711972.21</v>
      </c>
      <c r="K3411" s="18">
        <f t="shared" si="107"/>
        <v>711972.21</v>
      </c>
      <c r="L3411" s="27">
        <v>676373.6</v>
      </c>
      <c r="M3411" s="36">
        <v>0</v>
      </c>
      <c r="T3411" s="41">
        <v>0</v>
      </c>
      <c r="U3411" s="41">
        <v>0</v>
      </c>
      <c r="V3411" s="42" t="s">
        <v>113</v>
      </c>
      <c r="W3411" s="42">
        <v>711972.21</v>
      </c>
      <c r="X3411" s="42">
        <v>711972.21</v>
      </c>
    </row>
    <row r="3412" spans="1:24">
      <c r="A3412" s="27" t="s">
        <v>6299</v>
      </c>
      <c r="B3412" s="28" t="s">
        <v>5102</v>
      </c>
      <c r="C3412" s="27" t="s">
        <v>6300</v>
      </c>
      <c r="D3412" s="27" t="s">
        <v>5104</v>
      </c>
      <c r="E3412" s="29">
        <v>37226</v>
      </c>
      <c r="F3412" s="27">
        <v>15</v>
      </c>
      <c r="G3412" s="18">
        <v>817097.81</v>
      </c>
      <c r="H3412" s="27">
        <f t="shared" si="106"/>
        <v>817097.81</v>
      </c>
      <c r="I3412" s="18">
        <v>776242.92</v>
      </c>
      <c r="J3412" s="27">
        <v>817097.81</v>
      </c>
      <c r="K3412" s="18">
        <f t="shared" si="107"/>
        <v>817097.81</v>
      </c>
      <c r="L3412" s="27">
        <v>776242.92</v>
      </c>
      <c r="M3412" s="36">
        <v>0</v>
      </c>
      <c r="T3412" s="41">
        <v>0</v>
      </c>
      <c r="U3412" s="41">
        <v>0</v>
      </c>
      <c r="V3412" s="42" t="s">
        <v>113</v>
      </c>
      <c r="W3412" s="42">
        <v>817097.81</v>
      </c>
      <c r="X3412" s="42">
        <v>817097.81</v>
      </c>
    </row>
    <row r="3413" spans="1:24">
      <c r="A3413" s="27" t="s">
        <v>6301</v>
      </c>
      <c r="B3413" s="28" t="s">
        <v>5102</v>
      </c>
      <c r="C3413" s="27" t="s">
        <v>6302</v>
      </c>
      <c r="D3413" s="27" t="s">
        <v>5104</v>
      </c>
      <c r="E3413" s="29">
        <v>37773</v>
      </c>
      <c r="F3413" s="27">
        <v>15</v>
      </c>
      <c r="G3413" s="18">
        <v>224529</v>
      </c>
      <c r="H3413" s="27">
        <f t="shared" si="106"/>
        <v>224529</v>
      </c>
      <c r="I3413" s="18">
        <v>213302.55</v>
      </c>
      <c r="J3413" s="27">
        <v>224529</v>
      </c>
      <c r="K3413" s="18">
        <f t="shared" si="107"/>
        <v>224529</v>
      </c>
      <c r="L3413" s="27">
        <v>213302.55</v>
      </c>
      <c r="M3413" s="36">
        <v>0</v>
      </c>
      <c r="T3413" s="41">
        <v>0</v>
      </c>
      <c r="U3413" s="41">
        <v>0</v>
      </c>
      <c r="V3413" s="42" t="s">
        <v>113</v>
      </c>
      <c r="W3413" s="42">
        <v>224529</v>
      </c>
      <c r="X3413" s="42">
        <v>224529</v>
      </c>
    </row>
    <row r="3414" spans="1:24">
      <c r="A3414" s="27" t="s">
        <v>6303</v>
      </c>
      <c r="B3414" s="28" t="s">
        <v>5102</v>
      </c>
      <c r="C3414" s="27" t="s">
        <v>6304</v>
      </c>
      <c r="D3414" s="27" t="s">
        <v>5104</v>
      </c>
      <c r="E3414" s="29">
        <v>39417</v>
      </c>
      <c r="F3414" s="27">
        <v>15</v>
      </c>
      <c r="G3414" s="18">
        <v>6429.71</v>
      </c>
      <c r="H3414" s="27">
        <f t="shared" si="106"/>
        <v>0</v>
      </c>
      <c r="I3414" s="18">
        <v>5303.36</v>
      </c>
      <c r="J3414" s="27">
        <v>6429.71</v>
      </c>
      <c r="K3414" s="18">
        <f t="shared" si="107"/>
        <v>0</v>
      </c>
      <c r="L3414" s="27">
        <v>5504.58</v>
      </c>
      <c r="M3414" s="36">
        <v>201.22</v>
      </c>
      <c r="T3414" s="41">
        <v>0</v>
      </c>
      <c r="U3414" s="41">
        <v>0</v>
      </c>
      <c r="V3414" s="42" t="s">
        <v>113</v>
      </c>
      <c r="W3414" s="42">
        <v>0</v>
      </c>
      <c r="X3414" s="42">
        <v>0</v>
      </c>
    </row>
    <row r="3415" spans="1:24">
      <c r="A3415" s="27" t="s">
        <v>6305</v>
      </c>
      <c r="B3415" s="28" t="s">
        <v>5102</v>
      </c>
      <c r="C3415" s="27" t="s">
        <v>6306</v>
      </c>
      <c r="D3415" s="27" t="s">
        <v>5104</v>
      </c>
      <c r="E3415" s="29">
        <v>39417</v>
      </c>
      <c r="F3415" s="27">
        <v>15</v>
      </c>
      <c r="G3415" s="18">
        <v>7547.22</v>
      </c>
      <c r="H3415" s="27">
        <f t="shared" si="106"/>
        <v>0</v>
      </c>
      <c r="I3415" s="18">
        <v>6437.02</v>
      </c>
      <c r="J3415" s="27">
        <v>7547.22</v>
      </c>
      <c r="K3415" s="18">
        <f t="shared" si="107"/>
        <v>0</v>
      </c>
      <c r="L3415" s="27">
        <v>6620.23</v>
      </c>
      <c r="M3415" s="36">
        <v>183.21</v>
      </c>
      <c r="T3415" s="41">
        <v>0</v>
      </c>
      <c r="U3415" s="41">
        <v>0</v>
      </c>
      <c r="V3415" s="42" t="s">
        <v>113</v>
      </c>
      <c r="W3415" s="42">
        <v>0</v>
      </c>
      <c r="X3415" s="42">
        <v>0</v>
      </c>
    </row>
    <row r="3416" spans="1:24">
      <c r="A3416" s="27" t="s">
        <v>6307</v>
      </c>
      <c r="B3416" s="28" t="s">
        <v>5102</v>
      </c>
      <c r="C3416" s="27" t="s">
        <v>6308</v>
      </c>
      <c r="D3416" s="27" t="s">
        <v>5104</v>
      </c>
      <c r="E3416" s="29">
        <v>39417</v>
      </c>
      <c r="F3416" s="27">
        <v>15</v>
      </c>
      <c r="G3416" s="18">
        <v>109209.48</v>
      </c>
      <c r="H3416" s="27">
        <f t="shared" si="106"/>
        <v>0</v>
      </c>
      <c r="I3416" s="18">
        <v>93144.68</v>
      </c>
      <c r="J3416" s="27">
        <v>109209.48</v>
      </c>
      <c r="K3416" s="18">
        <f t="shared" si="107"/>
        <v>0</v>
      </c>
      <c r="L3416" s="27">
        <v>95795.76</v>
      </c>
      <c r="M3416" s="36">
        <v>2651.08</v>
      </c>
      <c r="T3416" s="41">
        <v>0</v>
      </c>
      <c r="U3416" s="41">
        <v>0</v>
      </c>
      <c r="V3416" s="42" t="s">
        <v>113</v>
      </c>
      <c r="W3416" s="42">
        <v>0</v>
      </c>
      <c r="X3416" s="42">
        <v>0</v>
      </c>
    </row>
    <row r="3417" spans="1:24">
      <c r="A3417" s="27" t="s">
        <v>6309</v>
      </c>
      <c r="B3417" s="28" t="s">
        <v>5102</v>
      </c>
      <c r="C3417" s="27" t="s">
        <v>6310</v>
      </c>
      <c r="D3417" s="27" t="s">
        <v>5104</v>
      </c>
      <c r="E3417" s="29">
        <v>39417</v>
      </c>
      <c r="F3417" s="27">
        <v>15</v>
      </c>
      <c r="G3417" s="18">
        <v>32944.120000000003</v>
      </c>
      <c r="H3417" s="27">
        <f t="shared" si="106"/>
        <v>0</v>
      </c>
      <c r="I3417" s="18">
        <v>28098.01</v>
      </c>
      <c r="J3417" s="27">
        <v>32944.120000000003</v>
      </c>
      <c r="K3417" s="18">
        <f t="shared" si="107"/>
        <v>0</v>
      </c>
      <c r="L3417" s="27">
        <v>28897.74</v>
      </c>
      <c r="M3417" s="36">
        <v>799.73</v>
      </c>
      <c r="T3417" s="41">
        <v>0</v>
      </c>
      <c r="U3417" s="41">
        <v>0</v>
      </c>
      <c r="V3417" s="42" t="s">
        <v>113</v>
      </c>
      <c r="W3417" s="42">
        <v>0</v>
      </c>
      <c r="X3417" s="42">
        <v>0</v>
      </c>
    </row>
    <row r="3418" spans="1:24">
      <c r="A3418" s="27" t="s">
        <v>6311</v>
      </c>
      <c r="B3418" s="28" t="s">
        <v>5102</v>
      </c>
      <c r="C3418" s="27" t="s">
        <v>6312</v>
      </c>
      <c r="D3418" s="27" t="s">
        <v>5104</v>
      </c>
      <c r="E3418" s="29">
        <v>39417</v>
      </c>
      <c r="F3418" s="27">
        <v>15</v>
      </c>
      <c r="G3418" s="18">
        <v>22189.98</v>
      </c>
      <c r="H3418" s="27">
        <f t="shared" si="106"/>
        <v>0</v>
      </c>
      <c r="I3418" s="18">
        <v>18982.05</v>
      </c>
      <c r="J3418" s="27">
        <v>22189.98</v>
      </c>
      <c r="K3418" s="18">
        <f t="shared" si="107"/>
        <v>0</v>
      </c>
      <c r="L3418" s="27">
        <v>19506.66</v>
      </c>
      <c r="M3418" s="36">
        <v>524.61</v>
      </c>
      <c r="T3418" s="41">
        <v>0</v>
      </c>
      <c r="U3418" s="41">
        <v>0</v>
      </c>
      <c r="V3418" s="42" t="s">
        <v>113</v>
      </c>
      <c r="W3418" s="42">
        <v>0</v>
      </c>
      <c r="X3418" s="42">
        <v>0</v>
      </c>
    </row>
    <row r="3419" spans="1:24">
      <c r="A3419" s="27" t="s">
        <v>6313</v>
      </c>
      <c r="B3419" s="28" t="s">
        <v>5102</v>
      </c>
      <c r="C3419" s="27" t="s">
        <v>6314</v>
      </c>
      <c r="D3419" s="27" t="s">
        <v>5104</v>
      </c>
      <c r="E3419" s="29">
        <v>39417</v>
      </c>
      <c r="F3419" s="27">
        <v>15</v>
      </c>
      <c r="G3419" s="18">
        <v>7547.22</v>
      </c>
      <c r="H3419" s="27">
        <f t="shared" si="106"/>
        <v>0</v>
      </c>
      <c r="I3419" s="18">
        <v>6437.02</v>
      </c>
      <c r="J3419" s="27">
        <v>7547.22</v>
      </c>
      <c r="K3419" s="18">
        <f t="shared" si="107"/>
        <v>0</v>
      </c>
      <c r="L3419" s="27">
        <v>6620.23</v>
      </c>
      <c r="M3419" s="36">
        <v>183.21</v>
      </c>
      <c r="T3419" s="41">
        <v>0</v>
      </c>
      <c r="U3419" s="41">
        <v>0</v>
      </c>
      <c r="V3419" s="42" t="s">
        <v>113</v>
      </c>
      <c r="W3419" s="42">
        <v>0</v>
      </c>
      <c r="X3419" s="42">
        <v>0</v>
      </c>
    </row>
    <row r="3420" spans="1:24">
      <c r="A3420" s="27" t="s">
        <v>6315</v>
      </c>
      <c r="B3420" s="28" t="s">
        <v>5102</v>
      </c>
      <c r="C3420" s="27" t="s">
        <v>6316</v>
      </c>
      <c r="D3420" s="27" t="s">
        <v>5104</v>
      </c>
      <c r="E3420" s="29">
        <v>38078</v>
      </c>
      <c r="F3420" s="27">
        <v>15</v>
      </c>
      <c r="G3420" s="18">
        <v>61859.25</v>
      </c>
      <c r="H3420" s="27">
        <f t="shared" si="106"/>
        <v>61859.25</v>
      </c>
      <c r="I3420" s="18">
        <v>58766.29</v>
      </c>
      <c r="J3420" s="27">
        <v>61859.25</v>
      </c>
      <c r="K3420" s="18">
        <f t="shared" si="107"/>
        <v>61859.25</v>
      </c>
      <c r="L3420" s="27">
        <v>58766.29</v>
      </c>
      <c r="M3420" s="36">
        <v>0</v>
      </c>
      <c r="T3420" s="41">
        <v>0</v>
      </c>
      <c r="U3420" s="41">
        <v>0</v>
      </c>
      <c r="V3420" s="42" t="s">
        <v>113</v>
      </c>
      <c r="W3420" s="42">
        <v>61859.25</v>
      </c>
      <c r="X3420" s="42">
        <v>61859.25</v>
      </c>
    </row>
    <row r="3421" spans="1:24">
      <c r="A3421" s="27" t="s">
        <v>6317</v>
      </c>
      <c r="B3421" s="28" t="s">
        <v>5102</v>
      </c>
      <c r="C3421" s="27" t="s">
        <v>6318</v>
      </c>
      <c r="D3421" s="27" t="s">
        <v>5104</v>
      </c>
      <c r="E3421" s="29">
        <v>39417</v>
      </c>
      <c r="F3421" s="27">
        <v>15</v>
      </c>
      <c r="G3421" s="18">
        <v>33627.17</v>
      </c>
      <c r="H3421" s="27">
        <f t="shared" si="106"/>
        <v>0</v>
      </c>
      <c r="I3421" s="18">
        <v>28680.59</v>
      </c>
      <c r="J3421" s="27">
        <v>33627.17</v>
      </c>
      <c r="K3421" s="18">
        <f t="shared" si="107"/>
        <v>0</v>
      </c>
      <c r="L3421" s="27">
        <v>29496.9</v>
      </c>
      <c r="M3421" s="36">
        <v>816.31</v>
      </c>
      <c r="T3421" s="41">
        <v>0</v>
      </c>
      <c r="U3421" s="41">
        <v>0</v>
      </c>
      <c r="V3421" s="42" t="s">
        <v>113</v>
      </c>
      <c r="W3421" s="42">
        <v>0</v>
      </c>
      <c r="X3421" s="42">
        <v>0</v>
      </c>
    </row>
    <row r="3422" spans="1:24">
      <c r="A3422" s="27" t="s">
        <v>6319</v>
      </c>
      <c r="B3422" s="28" t="s">
        <v>5102</v>
      </c>
      <c r="C3422" s="27" t="s">
        <v>6320</v>
      </c>
      <c r="D3422" s="27" t="s">
        <v>5104</v>
      </c>
      <c r="E3422" s="29">
        <v>39417</v>
      </c>
      <c r="F3422" s="27">
        <v>15</v>
      </c>
      <c r="G3422" s="18">
        <v>44424.639999999999</v>
      </c>
      <c r="H3422" s="27">
        <f t="shared" si="106"/>
        <v>0</v>
      </c>
      <c r="I3422" s="18">
        <v>37889.75</v>
      </c>
      <c r="J3422" s="27">
        <v>44424.639999999999</v>
      </c>
      <c r="K3422" s="18">
        <f t="shared" si="107"/>
        <v>0</v>
      </c>
      <c r="L3422" s="27">
        <v>38968.17</v>
      </c>
      <c r="M3422" s="36">
        <v>1078.42</v>
      </c>
      <c r="T3422" s="41">
        <v>0</v>
      </c>
      <c r="U3422" s="41">
        <v>0</v>
      </c>
      <c r="V3422" s="42" t="s">
        <v>113</v>
      </c>
      <c r="W3422" s="42">
        <v>0</v>
      </c>
      <c r="X3422" s="42">
        <v>0</v>
      </c>
    </row>
    <row r="3423" spans="1:24">
      <c r="A3423" s="27" t="s">
        <v>6321</v>
      </c>
      <c r="B3423" s="28" t="s">
        <v>5102</v>
      </c>
      <c r="C3423" s="27" t="s">
        <v>6322</v>
      </c>
      <c r="D3423" s="27" t="s">
        <v>5104</v>
      </c>
      <c r="E3423" s="29">
        <v>38078</v>
      </c>
      <c r="F3423" s="27">
        <v>15</v>
      </c>
      <c r="G3423" s="18">
        <v>36344.82</v>
      </c>
      <c r="H3423" s="27">
        <f t="shared" si="106"/>
        <v>36344.82</v>
      </c>
      <c r="I3423" s="18">
        <v>34527.58</v>
      </c>
      <c r="J3423" s="27">
        <v>36344.82</v>
      </c>
      <c r="K3423" s="18">
        <f t="shared" si="107"/>
        <v>36344.82</v>
      </c>
      <c r="L3423" s="27">
        <v>34527.58</v>
      </c>
      <c r="M3423" s="36">
        <v>0</v>
      </c>
      <c r="T3423" s="41">
        <v>0</v>
      </c>
      <c r="U3423" s="41">
        <v>0</v>
      </c>
      <c r="V3423" s="42" t="s">
        <v>113</v>
      </c>
      <c r="W3423" s="42">
        <v>36344.82</v>
      </c>
      <c r="X3423" s="42">
        <v>36344.82</v>
      </c>
    </row>
    <row r="3424" spans="1:24">
      <c r="A3424" s="27" t="s">
        <v>6323</v>
      </c>
      <c r="B3424" s="28" t="s">
        <v>5102</v>
      </c>
      <c r="C3424" s="27" t="s">
        <v>6322</v>
      </c>
      <c r="D3424" s="27" t="s">
        <v>5104</v>
      </c>
      <c r="E3424" s="29">
        <v>38078</v>
      </c>
      <c r="F3424" s="27">
        <v>15</v>
      </c>
      <c r="G3424" s="18">
        <v>73876.78</v>
      </c>
      <c r="H3424" s="27">
        <f t="shared" si="106"/>
        <v>73876.78</v>
      </c>
      <c r="I3424" s="18">
        <v>70182.94</v>
      </c>
      <c r="J3424" s="27">
        <v>73876.78</v>
      </c>
      <c r="K3424" s="18">
        <f t="shared" si="107"/>
        <v>73876.78</v>
      </c>
      <c r="L3424" s="27">
        <v>70182.94</v>
      </c>
      <c r="M3424" s="36">
        <v>0</v>
      </c>
      <c r="T3424" s="41">
        <v>0</v>
      </c>
      <c r="U3424" s="41">
        <v>0</v>
      </c>
      <c r="V3424" s="42" t="s">
        <v>113</v>
      </c>
      <c r="W3424" s="42">
        <v>73876.78</v>
      </c>
      <c r="X3424" s="42">
        <v>73876.78</v>
      </c>
    </row>
    <row r="3425" spans="1:24">
      <c r="A3425" s="27" t="s">
        <v>6324</v>
      </c>
      <c r="B3425" s="28" t="s">
        <v>5102</v>
      </c>
      <c r="C3425" s="27" t="s">
        <v>6325</v>
      </c>
      <c r="D3425" s="27" t="s">
        <v>5104</v>
      </c>
      <c r="E3425" s="29">
        <v>39417</v>
      </c>
      <c r="F3425" s="27">
        <v>15</v>
      </c>
      <c r="G3425" s="18">
        <v>28819.53</v>
      </c>
      <c r="H3425" s="27">
        <f t="shared" si="106"/>
        <v>0</v>
      </c>
      <c r="I3425" s="18">
        <v>24580.14</v>
      </c>
      <c r="J3425" s="27">
        <v>28819.53</v>
      </c>
      <c r="K3425" s="18">
        <f t="shared" si="107"/>
        <v>0</v>
      </c>
      <c r="L3425" s="27">
        <v>25279.74</v>
      </c>
      <c r="M3425" s="36">
        <v>699.6</v>
      </c>
      <c r="T3425" s="41">
        <v>0</v>
      </c>
      <c r="U3425" s="41">
        <v>0</v>
      </c>
      <c r="V3425" s="42" t="s">
        <v>113</v>
      </c>
      <c r="W3425" s="42">
        <v>0</v>
      </c>
      <c r="X3425" s="42">
        <v>0</v>
      </c>
    </row>
    <row r="3426" spans="1:24">
      <c r="A3426" s="27" t="s">
        <v>6326</v>
      </c>
      <c r="B3426" s="28" t="s">
        <v>5102</v>
      </c>
      <c r="C3426" s="27" t="s">
        <v>6327</v>
      </c>
      <c r="D3426" s="27" t="s">
        <v>5104</v>
      </c>
      <c r="E3426" s="29">
        <v>38078</v>
      </c>
      <c r="F3426" s="27">
        <v>15</v>
      </c>
      <c r="G3426" s="18">
        <v>6246.19</v>
      </c>
      <c r="H3426" s="27">
        <f t="shared" si="106"/>
        <v>6246.19</v>
      </c>
      <c r="I3426" s="18">
        <v>5933.88</v>
      </c>
      <c r="J3426" s="27">
        <v>6246.19</v>
      </c>
      <c r="K3426" s="18">
        <f t="shared" si="107"/>
        <v>6246.19</v>
      </c>
      <c r="L3426" s="27">
        <v>5933.88</v>
      </c>
      <c r="M3426" s="36">
        <v>0</v>
      </c>
      <c r="T3426" s="41">
        <v>0</v>
      </c>
      <c r="U3426" s="41">
        <v>0</v>
      </c>
      <c r="V3426" s="42" t="s">
        <v>113</v>
      </c>
      <c r="W3426" s="42">
        <v>6246.19</v>
      </c>
      <c r="X3426" s="42">
        <v>6246.19</v>
      </c>
    </row>
    <row r="3427" spans="1:24">
      <c r="A3427" s="27" t="s">
        <v>6328</v>
      </c>
      <c r="B3427" s="28" t="s">
        <v>5102</v>
      </c>
      <c r="C3427" s="27" t="s">
        <v>6327</v>
      </c>
      <c r="D3427" s="27" t="s">
        <v>5104</v>
      </c>
      <c r="E3427" s="29">
        <v>38078</v>
      </c>
      <c r="F3427" s="27">
        <v>15</v>
      </c>
      <c r="G3427" s="18">
        <v>36929.26</v>
      </c>
      <c r="H3427" s="27">
        <f t="shared" si="106"/>
        <v>36929.26</v>
      </c>
      <c r="I3427" s="18">
        <v>35082.800000000003</v>
      </c>
      <c r="J3427" s="27">
        <v>36929.26</v>
      </c>
      <c r="K3427" s="18">
        <f t="shared" si="107"/>
        <v>36929.26</v>
      </c>
      <c r="L3427" s="27">
        <v>35082.800000000003</v>
      </c>
      <c r="M3427" s="36">
        <v>0</v>
      </c>
      <c r="T3427" s="41">
        <v>0</v>
      </c>
      <c r="U3427" s="41">
        <v>0</v>
      </c>
      <c r="V3427" s="42" t="s">
        <v>113</v>
      </c>
      <c r="W3427" s="42">
        <v>36929.26</v>
      </c>
      <c r="X3427" s="42">
        <v>36929.26</v>
      </c>
    </row>
    <row r="3428" spans="1:24">
      <c r="A3428" s="27" t="s">
        <v>6329</v>
      </c>
      <c r="B3428" s="28" t="s">
        <v>5102</v>
      </c>
      <c r="C3428" s="27" t="s">
        <v>6330</v>
      </c>
      <c r="D3428" s="27" t="s">
        <v>5104</v>
      </c>
      <c r="E3428" s="29">
        <v>39417</v>
      </c>
      <c r="F3428" s="27">
        <v>15</v>
      </c>
      <c r="G3428" s="18">
        <v>29397.5</v>
      </c>
      <c r="H3428" s="27">
        <f t="shared" si="106"/>
        <v>0</v>
      </c>
      <c r="I3428" s="18">
        <v>25073.1</v>
      </c>
      <c r="J3428" s="27">
        <v>29397.5</v>
      </c>
      <c r="K3428" s="18">
        <f t="shared" si="107"/>
        <v>0</v>
      </c>
      <c r="L3428" s="27">
        <v>25786.73</v>
      </c>
      <c r="M3428" s="36">
        <v>713.63</v>
      </c>
      <c r="T3428" s="41">
        <v>0</v>
      </c>
      <c r="U3428" s="41">
        <v>0</v>
      </c>
      <c r="V3428" s="42" t="s">
        <v>113</v>
      </c>
      <c r="W3428" s="42">
        <v>0</v>
      </c>
      <c r="X3428" s="42">
        <v>0</v>
      </c>
    </row>
    <row r="3429" spans="1:24">
      <c r="A3429" s="27" t="s">
        <v>6331</v>
      </c>
      <c r="B3429" s="28" t="s">
        <v>5102</v>
      </c>
      <c r="C3429" s="27" t="s">
        <v>6332</v>
      </c>
      <c r="D3429" s="27" t="s">
        <v>5104</v>
      </c>
      <c r="E3429" s="29">
        <v>39417</v>
      </c>
      <c r="F3429" s="27">
        <v>15</v>
      </c>
      <c r="G3429" s="18">
        <v>55747.54</v>
      </c>
      <c r="H3429" s="27">
        <f t="shared" si="106"/>
        <v>0</v>
      </c>
      <c r="I3429" s="18">
        <v>47547.02</v>
      </c>
      <c r="J3429" s="27">
        <v>55747.54</v>
      </c>
      <c r="K3429" s="18">
        <f t="shared" si="107"/>
        <v>0</v>
      </c>
      <c r="L3429" s="27">
        <v>48900.31</v>
      </c>
      <c r="M3429" s="36">
        <v>1353.29</v>
      </c>
      <c r="T3429" s="41">
        <v>0</v>
      </c>
      <c r="U3429" s="41">
        <v>0</v>
      </c>
      <c r="V3429" s="42" t="s">
        <v>113</v>
      </c>
      <c r="W3429" s="42">
        <v>0</v>
      </c>
      <c r="X3429" s="42">
        <v>0</v>
      </c>
    </row>
    <row r="3430" spans="1:24">
      <c r="A3430" s="27" t="s">
        <v>6333</v>
      </c>
      <c r="B3430" s="28" t="s">
        <v>5102</v>
      </c>
      <c r="C3430" s="27" t="s">
        <v>6334</v>
      </c>
      <c r="D3430" s="27" t="s">
        <v>5104</v>
      </c>
      <c r="E3430" s="29">
        <v>38078</v>
      </c>
      <c r="F3430" s="27">
        <v>15</v>
      </c>
      <c r="G3430" s="18">
        <v>59758.92</v>
      </c>
      <c r="H3430" s="27">
        <f t="shared" si="106"/>
        <v>59758.92</v>
      </c>
      <c r="I3430" s="18">
        <v>56770.97</v>
      </c>
      <c r="J3430" s="27">
        <v>59758.92</v>
      </c>
      <c r="K3430" s="18">
        <f t="shared" si="107"/>
        <v>59758.92</v>
      </c>
      <c r="L3430" s="27">
        <v>56770.97</v>
      </c>
      <c r="M3430" s="36">
        <v>0</v>
      </c>
      <c r="T3430" s="41">
        <v>0</v>
      </c>
      <c r="U3430" s="41">
        <v>0</v>
      </c>
      <c r="V3430" s="42" t="s">
        <v>113</v>
      </c>
      <c r="W3430" s="42">
        <v>59758.92</v>
      </c>
      <c r="X3430" s="42">
        <v>59758.92</v>
      </c>
    </row>
    <row r="3431" spans="1:24">
      <c r="A3431" s="27" t="s">
        <v>6335</v>
      </c>
      <c r="B3431" s="28" t="s">
        <v>5102</v>
      </c>
      <c r="C3431" s="27" t="s">
        <v>6334</v>
      </c>
      <c r="D3431" s="27" t="s">
        <v>5104</v>
      </c>
      <c r="E3431" s="29">
        <v>38078</v>
      </c>
      <c r="F3431" s="27">
        <v>15</v>
      </c>
      <c r="G3431" s="18">
        <v>5606.96</v>
      </c>
      <c r="H3431" s="27">
        <f t="shared" si="106"/>
        <v>5606.96</v>
      </c>
      <c r="I3431" s="18">
        <v>5326.61</v>
      </c>
      <c r="J3431" s="27">
        <v>5606.96</v>
      </c>
      <c r="K3431" s="18">
        <f t="shared" si="107"/>
        <v>5606.96</v>
      </c>
      <c r="L3431" s="27">
        <v>5326.61</v>
      </c>
      <c r="M3431" s="36">
        <v>0</v>
      </c>
      <c r="T3431" s="41">
        <v>0</v>
      </c>
      <c r="U3431" s="41">
        <v>0</v>
      </c>
      <c r="V3431" s="42" t="s">
        <v>113</v>
      </c>
      <c r="W3431" s="42">
        <v>5606.96</v>
      </c>
      <c r="X3431" s="42">
        <v>5606.96</v>
      </c>
    </row>
    <row r="3432" spans="1:24">
      <c r="A3432" s="27" t="s">
        <v>6336</v>
      </c>
      <c r="B3432" s="28" t="s">
        <v>5102</v>
      </c>
      <c r="C3432" s="27" t="s">
        <v>6337</v>
      </c>
      <c r="D3432" s="27" t="s">
        <v>5104</v>
      </c>
      <c r="E3432" s="29">
        <v>39417</v>
      </c>
      <c r="F3432" s="27">
        <v>15</v>
      </c>
      <c r="G3432" s="18">
        <v>8170.35</v>
      </c>
      <c r="H3432" s="27">
        <f t="shared" si="106"/>
        <v>0</v>
      </c>
      <c r="I3432" s="18">
        <v>6968.48</v>
      </c>
      <c r="J3432" s="27">
        <v>8170.35</v>
      </c>
      <c r="K3432" s="18">
        <f t="shared" si="107"/>
        <v>0</v>
      </c>
      <c r="L3432" s="27">
        <v>7166.82</v>
      </c>
      <c r="M3432" s="36">
        <v>198.34</v>
      </c>
      <c r="T3432" s="41">
        <v>0</v>
      </c>
      <c r="U3432" s="41">
        <v>0</v>
      </c>
      <c r="V3432" s="42" t="s">
        <v>113</v>
      </c>
      <c r="W3432" s="42">
        <v>0</v>
      </c>
      <c r="X3432" s="42">
        <v>0</v>
      </c>
    </row>
    <row r="3433" spans="1:24">
      <c r="A3433" s="27" t="s">
        <v>6338</v>
      </c>
      <c r="B3433" s="28" t="s">
        <v>5102</v>
      </c>
      <c r="C3433" s="27" t="s">
        <v>6339</v>
      </c>
      <c r="D3433" s="27" t="s">
        <v>5104</v>
      </c>
      <c r="E3433" s="29">
        <v>39417</v>
      </c>
      <c r="F3433" s="27">
        <v>15</v>
      </c>
      <c r="G3433" s="18">
        <v>6830.52</v>
      </c>
      <c r="H3433" s="27">
        <f t="shared" si="106"/>
        <v>0</v>
      </c>
      <c r="I3433" s="18">
        <v>5825.73</v>
      </c>
      <c r="J3433" s="27">
        <v>6830.52</v>
      </c>
      <c r="K3433" s="18">
        <f t="shared" si="107"/>
        <v>0</v>
      </c>
      <c r="L3433" s="27">
        <v>5991.55</v>
      </c>
      <c r="M3433" s="36">
        <v>165.82</v>
      </c>
      <c r="T3433" s="41">
        <v>0</v>
      </c>
      <c r="U3433" s="41">
        <v>0</v>
      </c>
      <c r="V3433" s="42" t="s">
        <v>113</v>
      </c>
      <c r="W3433" s="42">
        <v>0</v>
      </c>
      <c r="X3433" s="42">
        <v>0</v>
      </c>
    </row>
    <row r="3434" spans="1:24">
      <c r="A3434" s="27" t="s">
        <v>6340</v>
      </c>
      <c r="B3434" s="28" t="s">
        <v>5102</v>
      </c>
      <c r="C3434" s="27" t="s">
        <v>6341</v>
      </c>
      <c r="D3434" s="27" t="s">
        <v>5104</v>
      </c>
      <c r="E3434" s="29">
        <v>38078</v>
      </c>
      <c r="F3434" s="27">
        <v>15</v>
      </c>
      <c r="G3434" s="18">
        <v>63466.46</v>
      </c>
      <c r="H3434" s="27">
        <f t="shared" si="106"/>
        <v>63466.46</v>
      </c>
      <c r="I3434" s="18">
        <v>60293.14</v>
      </c>
      <c r="J3434" s="27">
        <v>63466.46</v>
      </c>
      <c r="K3434" s="18">
        <f t="shared" si="107"/>
        <v>63466.46</v>
      </c>
      <c r="L3434" s="27">
        <v>60293.14</v>
      </c>
      <c r="M3434" s="36">
        <v>0</v>
      </c>
      <c r="T3434" s="41">
        <v>0</v>
      </c>
      <c r="U3434" s="41">
        <v>0</v>
      </c>
      <c r="V3434" s="42" t="s">
        <v>113</v>
      </c>
      <c r="W3434" s="42">
        <v>63466.46</v>
      </c>
      <c r="X3434" s="42">
        <v>63466.46</v>
      </c>
    </row>
    <row r="3435" spans="1:24">
      <c r="A3435" s="27" t="s">
        <v>6342</v>
      </c>
      <c r="B3435" s="28" t="s">
        <v>5102</v>
      </c>
      <c r="C3435" s="27" t="s">
        <v>6343</v>
      </c>
      <c r="D3435" s="27" t="s">
        <v>5104</v>
      </c>
      <c r="E3435" s="29">
        <v>39417</v>
      </c>
      <c r="F3435" s="27">
        <v>15</v>
      </c>
      <c r="G3435" s="18">
        <v>26034.78</v>
      </c>
      <c r="H3435" s="27">
        <f t="shared" si="106"/>
        <v>0</v>
      </c>
      <c r="I3435" s="18">
        <v>22205.05</v>
      </c>
      <c r="J3435" s="27">
        <v>26034.78</v>
      </c>
      <c r="K3435" s="18">
        <f t="shared" si="107"/>
        <v>0</v>
      </c>
      <c r="L3435" s="27">
        <v>22837.05</v>
      </c>
      <c r="M3435" s="36">
        <v>632</v>
      </c>
      <c r="T3435" s="41">
        <v>0</v>
      </c>
      <c r="U3435" s="41">
        <v>0</v>
      </c>
      <c r="V3435" s="42" t="s">
        <v>113</v>
      </c>
      <c r="W3435" s="42">
        <v>0</v>
      </c>
      <c r="X3435" s="42">
        <v>0</v>
      </c>
    </row>
    <row r="3436" spans="1:24">
      <c r="A3436" s="27" t="s">
        <v>6344</v>
      </c>
      <c r="B3436" s="28" t="s">
        <v>5102</v>
      </c>
      <c r="C3436" s="27" t="s">
        <v>6345</v>
      </c>
      <c r="D3436" s="27" t="s">
        <v>5104</v>
      </c>
      <c r="E3436" s="29">
        <v>38078</v>
      </c>
      <c r="F3436" s="27">
        <v>15</v>
      </c>
      <c r="G3436" s="18">
        <v>26774.63</v>
      </c>
      <c r="H3436" s="27">
        <f t="shared" si="106"/>
        <v>26774.63</v>
      </c>
      <c r="I3436" s="18">
        <v>25435.9</v>
      </c>
      <c r="J3436" s="27">
        <v>26774.63</v>
      </c>
      <c r="K3436" s="18">
        <f t="shared" si="107"/>
        <v>26774.63</v>
      </c>
      <c r="L3436" s="27">
        <v>25435.9</v>
      </c>
      <c r="M3436" s="36">
        <v>0</v>
      </c>
      <c r="T3436" s="41">
        <v>0</v>
      </c>
      <c r="U3436" s="41">
        <v>0</v>
      </c>
      <c r="V3436" s="42" t="s">
        <v>113</v>
      </c>
      <c r="W3436" s="42">
        <v>26774.63</v>
      </c>
      <c r="X3436" s="42">
        <v>26774.63</v>
      </c>
    </row>
    <row r="3437" spans="1:24">
      <c r="A3437" s="27" t="s">
        <v>6346</v>
      </c>
      <c r="B3437" s="28" t="s">
        <v>5102</v>
      </c>
      <c r="C3437" s="27" t="s">
        <v>6345</v>
      </c>
      <c r="D3437" s="27" t="s">
        <v>5104</v>
      </c>
      <c r="E3437" s="29">
        <v>38078</v>
      </c>
      <c r="F3437" s="27">
        <v>15</v>
      </c>
      <c r="G3437" s="18">
        <v>5223.43</v>
      </c>
      <c r="H3437" s="27">
        <f t="shared" si="106"/>
        <v>5223.43</v>
      </c>
      <c r="I3437" s="18">
        <v>4962.26</v>
      </c>
      <c r="J3437" s="27">
        <v>5223.43</v>
      </c>
      <c r="K3437" s="18">
        <f t="shared" si="107"/>
        <v>5223.43</v>
      </c>
      <c r="L3437" s="27">
        <v>4962.26</v>
      </c>
      <c r="M3437" s="36">
        <v>0</v>
      </c>
      <c r="T3437" s="41">
        <v>0</v>
      </c>
      <c r="U3437" s="41">
        <v>0</v>
      </c>
      <c r="V3437" s="42" t="s">
        <v>113</v>
      </c>
      <c r="W3437" s="42">
        <v>5223.43</v>
      </c>
      <c r="X3437" s="42">
        <v>5223.43</v>
      </c>
    </row>
    <row r="3438" spans="1:24">
      <c r="A3438" s="27" t="s">
        <v>6347</v>
      </c>
      <c r="B3438" s="28" t="s">
        <v>5102</v>
      </c>
      <c r="C3438" s="27" t="s">
        <v>6345</v>
      </c>
      <c r="D3438" s="27" t="s">
        <v>5104</v>
      </c>
      <c r="E3438" s="29">
        <v>38078</v>
      </c>
      <c r="F3438" s="27">
        <v>15</v>
      </c>
      <c r="G3438" s="18">
        <v>66260.81</v>
      </c>
      <c r="H3438" s="27">
        <f t="shared" si="106"/>
        <v>66260.81</v>
      </c>
      <c r="I3438" s="18">
        <v>62947.77</v>
      </c>
      <c r="J3438" s="27">
        <v>66260.81</v>
      </c>
      <c r="K3438" s="18">
        <f t="shared" si="107"/>
        <v>66260.81</v>
      </c>
      <c r="L3438" s="27">
        <v>62947.77</v>
      </c>
      <c r="M3438" s="36">
        <v>0</v>
      </c>
      <c r="T3438" s="41">
        <v>0</v>
      </c>
      <c r="U3438" s="41">
        <v>0</v>
      </c>
      <c r="V3438" s="42" t="s">
        <v>113</v>
      </c>
      <c r="W3438" s="42">
        <v>66260.81</v>
      </c>
      <c r="X3438" s="42">
        <v>66260.81</v>
      </c>
    </row>
    <row r="3439" spans="1:24">
      <c r="A3439" s="27" t="s">
        <v>6348</v>
      </c>
      <c r="B3439" s="28" t="s">
        <v>5102</v>
      </c>
      <c r="C3439" s="27" t="s">
        <v>6349</v>
      </c>
      <c r="D3439" s="27" t="s">
        <v>5104</v>
      </c>
      <c r="E3439" s="29">
        <v>39417</v>
      </c>
      <c r="F3439" s="27">
        <v>15</v>
      </c>
      <c r="G3439" s="18">
        <v>30711.06</v>
      </c>
      <c r="H3439" s="27">
        <f t="shared" si="106"/>
        <v>0</v>
      </c>
      <c r="I3439" s="18">
        <v>26193.439999999999</v>
      </c>
      <c r="J3439" s="27">
        <v>30711.06</v>
      </c>
      <c r="K3439" s="18">
        <f t="shared" si="107"/>
        <v>0</v>
      </c>
      <c r="L3439" s="27">
        <v>26938.959999999999</v>
      </c>
      <c r="M3439" s="36">
        <v>745.52</v>
      </c>
      <c r="T3439" s="41">
        <v>0</v>
      </c>
      <c r="U3439" s="41">
        <v>0</v>
      </c>
      <c r="V3439" s="42" t="s">
        <v>113</v>
      </c>
      <c r="W3439" s="42">
        <v>0</v>
      </c>
      <c r="X3439" s="42">
        <v>0</v>
      </c>
    </row>
    <row r="3440" spans="1:24">
      <c r="A3440" s="27" t="s">
        <v>6350</v>
      </c>
      <c r="B3440" s="28" t="s">
        <v>5102</v>
      </c>
      <c r="C3440" s="27" t="s">
        <v>6351</v>
      </c>
      <c r="D3440" s="27" t="s">
        <v>5104</v>
      </c>
      <c r="E3440" s="29">
        <v>39417</v>
      </c>
      <c r="F3440" s="27">
        <v>15</v>
      </c>
      <c r="G3440" s="18">
        <v>39251.75</v>
      </c>
      <c r="H3440" s="27">
        <f t="shared" si="106"/>
        <v>0</v>
      </c>
      <c r="I3440" s="18">
        <v>33477.78</v>
      </c>
      <c r="J3440" s="27">
        <v>39251.75</v>
      </c>
      <c r="K3440" s="18">
        <f t="shared" si="107"/>
        <v>0</v>
      </c>
      <c r="L3440" s="27">
        <v>34430.629999999997</v>
      </c>
      <c r="M3440" s="36">
        <v>952.85</v>
      </c>
      <c r="T3440" s="41">
        <v>0</v>
      </c>
      <c r="U3440" s="41">
        <v>0</v>
      </c>
      <c r="V3440" s="42" t="s">
        <v>113</v>
      </c>
      <c r="W3440" s="42">
        <v>0</v>
      </c>
      <c r="X3440" s="42">
        <v>0</v>
      </c>
    </row>
    <row r="3441" spans="1:24">
      <c r="A3441" s="27" t="s">
        <v>6352</v>
      </c>
      <c r="B3441" s="28" t="s">
        <v>5102</v>
      </c>
      <c r="C3441" s="27" t="s">
        <v>6353</v>
      </c>
      <c r="D3441" s="27" t="s">
        <v>5104</v>
      </c>
      <c r="E3441" s="29">
        <v>39417</v>
      </c>
      <c r="F3441" s="27">
        <v>15</v>
      </c>
      <c r="G3441" s="18">
        <v>8144.08</v>
      </c>
      <c r="H3441" s="27">
        <f t="shared" si="106"/>
        <v>0</v>
      </c>
      <c r="I3441" s="18">
        <v>6946.07</v>
      </c>
      <c r="J3441" s="27">
        <v>8144.08</v>
      </c>
      <c r="K3441" s="18">
        <f t="shared" si="107"/>
        <v>0</v>
      </c>
      <c r="L3441" s="27">
        <v>7143.77</v>
      </c>
      <c r="M3441" s="36">
        <v>197.7</v>
      </c>
      <c r="T3441" s="41">
        <v>0</v>
      </c>
      <c r="U3441" s="41">
        <v>0</v>
      </c>
      <c r="V3441" s="42" t="s">
        <v>113</v>
      </c>
      <c r="W3441" s="42">
        <v>0</v>
      </c>
      <c r="X3441" s="42">
        <v>0</v>
      </c>
    </row>
    <row r="3442" spans="1:24">
      <c r="A3442" s="27" t="s">
        <v>6354</v>
      </c>
      <c r="B3442" s="28" t="s">
        <v>5102</v>
      </c>
      <c r="C3442" s="27" t="s">
        <v>6355</v>
      </c>
      <c r="D3442" s="27" t="s">
        <v>5104</v>
      </c>
      <c r="E3442" s="29">
        <v>39417</v>
      </c>
      <c r="F3442" s="27">
        <v>15</v>
      </c>
      <c r="G3442" s="18">
        <v>20517.830000000002</v>
      </c>
      <c r="H3442" s="27">
        <f t="shared" si="106"/>
        <v>0</v>
      </c>
      <c r="I3442" s="18">
        <v>17499.64</v>
      </c>
      <c r="J3442" s="27">
        <v>20517.830000000002</v>
      </c>
      <c r="K3442" s="18">
        <f t="shared" si="107"/>
        <v>0</v>
      </c>
      <c r="L3442" s="27">
        <v>17997.72</v>
      </c>
      <c r="M3442" s="36">
        <v>498.08</v>
      </c>
      <c r="T3442" s="41">
        <v>0</v>
      </c>
      <c r="U3442" s="41">
        <v>0</v>
      </c>
      <c r="V3442" s="42" t="s">
        <v>113</v>
      </c>
      <c r="W3442" s="42">
        <v>0</v>
      </c>
      <c r="X3442" s="42">
        <v>0</v>
      </c>
    </row>
    <row r="3443" spans="1:24">
      <c r="A3443" s="27" t="s">
        <v>6356</v>
      </c>
      <c r="B3443" s="28" t="s">
        <v>5102</v>
      </c>
      <c r="C3443" s="27" t="s">
        <v>6357</v>
      </c>
      <c r="D3443" s="27" t="s">
        <v>5104</v>
      </c>
      <c r="E3443" s="29">
        <v>38078</v>
      </c>
      <c r="F3443" s="27">
        <v>15</v>
      </c>
      <c r="G3443" s="18">
        <v>105527.82</v>
      </c>
      <c r="H3443" s="27">
        <f t="shared" si="106"/>
        <v>105527.82</v>
      </c>
      <c r="I3443" s="18">
        <v>100251.43</v>
      </c>
      <c r="J3443" s="27">
        <v>105527.82</v>
      </c>
      <c r="K3443" s="18">
        <f t="shared" si="107"/>
        <v>105527.82</v>
      </c>
      <c r="L3443" s="27">
        <v>100251.43</v>
      </c>
      <c r="M3443" s="36">
        <v>0</v>
      </c>
      <c r="T3443" s="41">
        <v>0</v>
      </c>
      <c r="U3443" s="41">
        <v>0</v>
      </c>
      <c r="V3443" s="42" t="s">
        <v>113</v>
      </c>
      <c r="W3443" s="42">
        <v>105527.82</v>
      </c>
      <c r="X3443" s="42">
        <v>105527.82</v>
      </c>
    </row>
    <row r="3444" spans="1:24">
      <c r="A3444" s="27" t="s">
        <v>6358</v>
      </c>
      <c r="B3444" s="28" t="s">
        <v>5102</v>
      </c>
      <c r="C3444" s="27" t="s">
        <v>6359</v>
      </c>
      <c r="D3444" s="27" t="s">
        <v>5104</v>
      </c>
      <c r="E3444" s="29">
        <v>38078</v>
      </c>
      <c r="F3444" s="27">
        <v>15</v>
      </c>
      <c r="G3444" s="18">
        <v>7689.03</v>
      </c>
      <c r="H3444" s="27">
        <f t="shared" si="106"/>
        <v>7689.03</v>
      </c>
      <c r="I3444" s="18">
        <v>7304.58</v>
      </c>
      <c r="J3444" s="27">
        <v>7689.03</v>
      </c>
      <c r="K3444" s="18">
        <f t="shared" si="107"/>
        <v>7689.03</v>
      </c>
      <c r="L3444" s="27">
        <v>7304.58</v>
      </c>
      <c r="M3444" s="36">
        <v>0</v>
      </c>
      <c r="T3444" s="41">
        <v>0</v>
      </c>
      <c r="U3444" s="41">
        <v>0</v>
      </c>
      <c r="V3444" s="42" t="s">
        <v>113</v>
      </c>
      <c r="W3444" s="42">
        <v>7689.03</v>
      </c>
      <c r="X3444" s="42">
        <v>7689.03</v>
      </c>
    </row>
    <row r="3445" spans="1:24">
      <c r="A3445" s="27" t="s">
        <v>6360</v>
      </c>
      <c r="B3445" s="28" t="s">
        <v>5102</v>
      </c>
      <c r="C3445" s="27" t="s">
        <v>6359</v>
      </c>
      <c r="D3445" s="27" t="s">
        <v>5104</v>
      </c>
      <c r="E3445" s="29">
        <v>38078</v>
      </c>
      <c r="F3445" s="27">
        <v>15</v>
      </c>
      <c r="G3445" s="18">
        <v>43960.79</v>
      </c>
      <c r="H3445" s="27">
        <f t="shared" si="106"/>
        <v>43960.79</v>
      </c>
      <c r="I3445" s="18">
        <v>41762.75</v>
      </c>
      <c r="J3445" s="27">
        <v>43960.79</v>
      </c>
      <c r="K3445" s="18">
        <f t="shared" si="107"/>
        <v>43960.79</v>
      </c>
      <c r="L3445" s="27">
        <v>41762.75</v>
      </c>
      <c r="M3445" s="36">
        <v>0</v>
      </c>
      <c r="T3445" s="41">
        <v>0</v>
      </c>
      <c r="U3445" s="41">
        <v>0</v>
      </c>
      <c r="V3445" s="42" t="s">
        <v>113</v>
      </c>
      <c r="W3445" s="42">
        <v>43960.79</v>
      </c>
      <c r="X3445" s="42">
        <v>43960.79</v>
      </c>
    </row>
    <row r="3446" spans="1:24">
      <c r="A3446" s="27" t="s">
        <v>6361</v>
      </c>
      <c r="B3446" s="28" t="s">
        <v>5102</v>
      </c>
      <c r="C3446" s="27" t="s">
        <v>6362</v>
      </c>
      <c r="D3446" s="27" t="s">
        <v>5104</v>
      </c>
      <c r="E3446" s="29">
        <v>39417</v>
      </c>
      <c r="F3446" s="27">
        <v>15</v>
      </c>
      <c r="G3446" s="18">
        <v>32812.76</v>
      </c>
      <c r="H3446" s="27">
        <f t="shared" si="106"/>
        <v>0</v>
      </c>
      <c r="I3446" s="18">
        <v>27985.98</v>
      </c>
      <c r="J3446" s="27">
        <v>32812.76</v>
      </c>
      <c r="K3446" s="18">
        <f t="shared" si="107"/>
        <v>0</v>
      </c>
      <c r="L3446" s="27">
        <v>28782.52</v>
      </c>
      <c r="M3446" s="36">
        <v>796.54</v>
      </c>
      <c r="T3446" s="41">
        <v>0</v>
      </c>
      <c r="U3446" s="41">
        <v>0</v>
      </c>
      <c r="V3446" s="42" t="s">
        <v>113</v>
      </c>
      <c r="W3446" s="42">
        <v>0</v>
      </c>
      <c r="X3446" s="42">
        <v>0</v>
      </c>
    </row>
    <row r="3447" spans="1:24">
      <c r="A3447" s="27" t="s">
        <v>6363</v>
      </c>
      <c r="B3447" s="28" t="s">
        <v>5102</v>
      </c>
      <c r="C3447" s="27" t="s">
        <v>6364</v>
      </c>
      <c r="D3447" s="27" t="s">
        <v>5104</v>
      </c>
      <c r="E3447" s="29">
        <v>37226</v>
      </c>
      <c r="F3447" s="27">
        <v>15</v>
      </c>
      <c r="G3447" s="18">
        <v>81438.66</v>
      </c>
      <c r="H3447" s="27">
        <f t="shared" si="106"/>
        <v>81438.66</v>
      </c>
      <c r="I3447" s="18">
        <v>77366.73</v>
      </c>
      <c r="J3447" s="27">
        <v>81438.66</v>
      </c>
      <c r="K3447" s="18">
        <f t="shared" si="107"/>
        <v>81438.66</v>
      </c>
      <c r="L3447" s="27">
        <v>77366.73</v>
      </c>
      <c r="M3447" s="36">
        <v>0</v>
      </c>
      <c r="T3447" s="41">
        <v>0</v>
      </c>
      <c r="U3447" s="41">
        <v>0</v>
      </c>
      <c r="V3447" s="42" t="s">
        <v>113</v>
      </c>
      <c r="W3447" s="42">
        <v>81438.66</v>
      </c>
      <c r="X3447" s="42">
        <v>81438.66</v>
      </c>
    </row>
    <row r="3448" spans="1:24">
      <c r="A3448" s="27" t="s">
        <v>6365</v>
      </c>
      <c r="B3448" s="28" t="s">
        <v>5102</v>
      </c>
      <c r="C3448" s="27" t="s">
        <v>6366</v>
      </c>
      <c r="D3448" s="27" t="s">
        <v>5104</v>
      </c>
      <c r="E3448" s="29">
        <v>39417</v>
      </c>
      <c r="F3448" s="27">
        <v>15</v>
      </c>
      <c r="G3448" s="18">
        <v>45186.51</v>
      </c>
      <c r="H3448" s="27">
        <f t="shared" si="106"/>
        <v>0</v>
      </c>
      <c r="I3448" s="18">
        <v>38539.54</v>
      </c>
      <c r="J3448" s="27">
        <v>45186.51</v>
      </c>
      <c r="K3448" s="18">
        <f t="shared" si="107"/>
        <v>0</v>
      </c>
      <c r="L3448" s="27">
        <v>39636.449999999997</v>
      </c>
      <c r="M3448" s="36">
        <v>1096.9100000000001</v>
      </c>
      <c r="T3448" s="41">
        <v>0</v>
      </c>
      <c r="U3448" s="41">
        <v>0</v>
      </c>
      <c r="V3448" s="42" t="s">
        <v>113</v>
      </c>
      <c r="W3448" s="42">
        <v>0</v>
      </c>
      <c r="X3448" s="42">
        <v>0</v>
      </c>
    </row>
    <row r="3449" spans="1:24">
      <c r="A3449" s="27" t="s">
        <v>6367</v>
      </c>
      <c r="B3449" s="28" t="s">
        <v>5102</v>
      </c>
      <c r="C3449" s="27" t="s">
        <v>6368</v>
      </c>
      <c r="D3449" s="27" t="s">
        <v>5104</v>
      </c>
      <c r="E3449" s="29">
        <v>38078</v>
      </c>
      <c r="F3449" s="27">
        <v>15</v>
      </c>
      <c r="G3449" s="18">
        <v>17423.599999999999</v>
      </c>
      <c r="H3449" s="27">
        <f t="shared" si="106"/>
        <v>17423.599999999999</v>
      </c>
      <c r="I3449" s="18">
        <v>16552.419999999998</v>
      </c>
      <c r="J3449" s="27">
        <v>17423.599999999999</v>
      </c>
      <c r="K3449" s="18">
        <f t="shared" si="107"/>
        <v>17423.599999999999</v>
      </c>
      <c r="L3449" s="27">
        <v>16552.419999999998</v>
      </c>
      <c r="M3449" s="36">
        <v>0</v>
      </c>
      <c r="T3449" s="41">
        <v>0</v>
      </c>
      <c r="U3449" s="41">
        <v>0</v>
      </c>
      <c r="V3449" s="42" t="s">
        <v>113</v>
      </c>
      <c r="W3449" s="42">
        <v>17423.599999999999</v>
      </c>
      <c r="X3449" s="42">
        <v>17423.599999999999</v>
      </c>
    </row>
    <row r="3450" spans="1:24">
      <c r="A3450" s="27" t="s">
        <v>6369</v>
      </c>
      <c r="B3450" s="28" t="s">
        <v>5102</v>
      </c>
      <c r="C3450" s="27" t="s">
        <v>6368</v>
      </c>
      <c r="D3450" s="27" t="s">
        <v>5104</v>
      </c>
      <c r="E3450" s="29">
        <v>38078</v>
      </c>
      <c r="F3450" s="27">
        <v>15</v>
      </c>
      <c r="G3450" s="18">
        <v>48106.66</v>
      </c>
      <c r="H3450" s="27">
        <f t="shared" si="106"/>
        <v>48106.66</v>
      </c>
      <c r="I3450" s="18">
        <v>45701.33</v>
      </c>
      <c r="J3450" s="27">
        <v>48106.66</v>
      </c>
      <c r="K3450" s="18">
        <f t="shared" si="107"/>
        <v>48106.66</v>
      </c>
      <c r="L3450" s="27">
        <v>45701.33</v>
      </c>
      <c r="M3450" s="36">
        <v>0</v>
      </c>
      <c r="T3450" s="41">
        <v>0</v>
      </c>
      <c r="U3450" s="41">
        <v>0</v>
      </c>
      <c r="V3450" s="42" t="s">
        <v>113</v>
      </c>
      <c r="W3450" s="42">
        <v>48106.66</v>
      </c>
      <c r="X3450" s="42">
        <v>48106.66</v>
      </c>
    </row>
    <row r="3451" spans="1:24">
      <c r="A3451" s="27" t="s">
        <v>6370</v>
      </c>
      <c r="B3451" s="28" t="s">
        <v>5102</v>
      </c>
      <c r="C3451" s="27" t="s">
        <v>6371</v>
      </c>
      <c r="D3451" s="27" t="s">
        <v>5104</v>
      </c>
      <c r="E3451" s="29">
        <v>38078</v>
      </c>
      <c r="F3451" s="27">
        <v>15</v>
      </c>
      <c r="G3451" s="18">
        <v>20546.689999999999</v>
      </c>
      <c r="H3451" s="27">
        <f t="shared" si="106"/>
        <v>20546.689999999999</v>
      </c>
      <c r="I3451" s="18">
        <v>19519.36</v>
      </c>
      <c r="J3451" s="27">
        <v>20546.689999999999</v>
      </c>
      <c r="K3451" s="18">
        <f t="shared" si="107"/>
        <v>20546.689999999999</v>
      </c>
      <c r="L3451" s="27">
        <v>19519.36</v>
      </c>
      <c r="M3451" s="36">
        <v>0</v>
      </c>
      <c r="T3451" s="41">
        <v>0</v>
      </c>
      <c r="U3451" s="41">
        <v>0</v>
      </c>
      <c r="V3451" s="42" t="s">
        <v>113</v>
      </c>
      <c r="W3451" s="42">
        <v>20546.689999999999</v>
      </c>
      <c r="X3451" s="42">
        <v>20546.689999999999</v>
      </c>
    </row>
    <row r="3452" spans="1:24">
      <c r="A3452" s="27" t="s">
        <v>6372</v>
      </c>
      <c r="B3452" s="28" t="s">
        <v>5102</v>
      </c>
      <c r="C3452" s="27" t="s">
        <v>6371</v>
      </c>
      <c r="D3452" s="27" t="s">
        <v>5104</v>
      </c>
      <c r="E3452" s="29">
        <v>38078</v>
      </c>
      <c r="F3452" s="27">
        <v>15</v>
      </c>
      <c r="G3452" s="18">
        <v>83246.070000000007</v>
      </c>
      <c r="H3452" s="27">
        <f t="shared" si="106"/>
        <v>83246.070000000007</v>
      </c>
      <c r="I3452" s="18">
        <v>79083.77</v>
      </c>
      <c r="J3452" s="27">
        <v>83246.070000000007</v>
      </c>
      <c r="K3452" s="18">
        <f t="shared" si="107"/>
        <v>83246.070000000007</v>
      </c>
      <c r="L3452" s="27">
        <v>79083.77</v>
      </c>
      <c r="M3452" s="36">
        <v>0</v>
      </c>
      <c r="T3452" s="41">
        <v>0</v>
      </c>
      <c r="U3452" s="41">
        <v>0</v>
      </c>
      <c r="V3452" s="42" t="s">
        <v>113</v>
      </c>
      <c r="W3452" s="42">
        <v>83246.070000000007</v>
      </c>
      <c r="X3452" s="42">
        <v>83246.070000000007</v>
      </c>
    </row>
    <row r="3453" spans="1:24">
      <c r="A3453" s="27" t="s">
        <v>6373</v>
      </c>
      <c r="B3453" s="28" t="s">
        <v>5102</v>
      </c>
      <c r="C3453" s="27" t="s">
        <v>6374</v>
      </c>
      <c r="D3453" s="27" t="s">
        <v>5104</v>
      </c>
      <c r="E3453" s="29">
        <v>39417</v>
      </c>
      <c r="F3453" s="27">
        <v>15</v>
      </c>
      <c r="G3453" s="18">
        <v>16340.7</v>
      </c>
      <c r="H3453" s="27">
        <f t="shared" si="106"/>
        <v>0</v>
      </c>
      <c r="I3453" s="18">
        <v>13936.96</v>
      </c>
      <c r="J3453" s="27">
        <v>16340.7</v>
      </c>
      <c r="K3453" s="18">
        <f t="shared" si="107"/>
        <v>0</v>
      </c>
      <c r="L3453" s="27">
        <v>14333.64</v>
      </c>
      <c r="M3453" s="36">
        <v>396.68</v>
      </c>
      <c r="T3453" s="41">
        <v>0</v>
      </c>
      <c r="U3453" s="41">
        <v>0</v>
      </c>
      <c r="V3453" s="42" t="s">
        <v>113</v>
      </c>
      <c r="W3453" s="42">
        <v>0</v>
      </c>
      <c r="X3453" s="42">
        <v>0</v>
      </c>
    </row>
    <row r="3454" spans="1:24">
      <c r="A3454" s="27" t="s">
        <v>6375</v>
      </c>
      <c r="B3454" s="28" t="s">
        <v>5102</v>
      </c>
      <c r="C3454" s="27" t="s">
        <v>6376</v>
      </c>
      <c r="D3454" s="27" t="s">
        <v>5104</v>
      </c>
      <c r="E3454" s="29">
        <v>39417</v>
      </c>
      <c r="F3454" s="27">
        <v>15</v>
      </c>
      <c r="G3454" s="18">
        <v>373540.34</v>
      </c>
      <c r="H3454" s="27">
        <f t="shared" si="106"/>
        <v>0</v>
      </c>
      <c r="I3454" s="18">
        <v>318930.53000000003</v>
      </c>
      <c r="J3454" s="27">
        <v>373540.34</v>
      </c>
      <c r="K3454" s="18">
        <f t="shared" si="107"/>
        <v>0</v>
      </c>
      <c r="L3454" s="27">
        <v>327913.73</v>
      </c>
      <c r="M3454" s="36">
        <v>8983.2000000000007</v>
      </c>
      <c r="T3454" s="41">
        <v>0</v>
      </c>
      <c r="U3454" s="41">
        <v>0</v>
      </c>
      <c r="V3454" s="42" t="s">
        <v>113</v>
      </c>
      <c r="W3454" s="42">
        <v>0</v>
      </c>
      <c r="X3454" s="42">
        <v>0</v>
      </c>
    </row>
    <row r="3455" spans="1:24">
      <c r="A3455" s="27" t="s">
        <v>6377</v>
      </c>
      <c r="B3455" s="28" t="s">
        <v>5102</v>
      </c>
      <c r="C3455" s="27" t="s">
        <v>6378</v>
      </c>
      <c r="D3455" s="27" t="s">
        <v>5104</v>
      </c>
      <c r="E3455" s="29">
        <v>37226</v>
      </c>
      <c r="F3455" s="27">
        <v>15</v>
      </c>
      <c r="G3455" s="18">
        <v>39659.230000000003</v>
      </c>
      <c r="H3455" s="27">
        <f t="shared" si="106"/>
        <v>39659.230000000003</v>
      </c>
      <c r="I3455" s="18">
        <v>37676.269999999997</v>
      </c>
      <c r="J3455" s="27">
        <v>39659.230000000003</v>
      </c>
      <c r="K3455" s="18">
        <f t="shared" si="107"/>
        <v>39659.230000000003</v>
      </c>
      <c r="L3455" s="27">
        <v>37676.269999999997</v>
      </c>
      <c r="M3455" s="36">
        <v>0</v>
      </c>
      <c r="T3455" s="41">
        <v>0</v>
      </c>
      <c r="U3455" s="41">
        <v>0</v>
      </c>
      <c r="V3455" s="42" t="s">
        <v>113</v>
      </c>
      <c r="W3455" s="42">
        <v>39659.230000000003</v>
      </c>
      <c r="X3455" s="42">
        <v>39659.230000000003</v>
      </c>
    </row>
    <row r="3456" spans="1:24">
      <c r="A3456" s="27" t="s">
        <v>6379</v>
      </c>
      <c r="B3456" s="28" t="s">
        <v>5102</v>
      </c>
      <c r="C3456" s="27" t="s">
        <v>6380</v>
      </c>
      <c r="D3456" s="27" t="s">
        <v>5104</v>
      </c>
      <c r="E3456" s="29">
        <v>37226</v>
      </c>
      <c r="F3456" s="27">
        <v>15</v>
      </c>
      <c r="G3456" s="18">
        <v>1684221.83</v>
      </c>
      <c r="H3456" s="27">
        <f t="shared" si="106"/>
        <v>1684221.83</v>
      </c>
      <c r="I3456" s="18">
        <v>1600010.74</v>
      </c>
      <c r="J3456" s="27">
        <v>1684221.83</v>
      </c>
      <c r="K3456" s="18">
        <f t="shared" si="107"/>
        <v>1684221.83</v>
      </c>
      <c r="L3456" s="27">
        <v>1600010.74</v>
      </c>
      <c r="M3456" s="36">
        <v>0</v>
      </c>
      <c r="T3456" s="41">
        <v>0</v>
      </c>
      <c r="U3456" s="41">
        <v>0</v>
      </c>
      <c r="V3456" s="42" t="s">
        <v>113</v>
      </c>
      <c r="W3456" s="42">
        <v>1684221.83</v>
      </c>
      <c r="X3456" s="42">
        <v>1684221.83</v>
      </c>
    </row>
    <row r="3457" spans="1:24">
      <c r="A3457" s="27" t="s">
        <v>6381</v>
      </c>
      <c r="B3457" s="28" t="s">
        <v>5102</v>
      </c>
      <c r="C3457" s="27" t="s">
        <v>6382</v>
      </c>
      <c r="D3457" s="27" t="s">
        <v>5104</v>
      </c>
      <c r="E3457" s="29">
        <v>37226</v>
      </c>
      <c r="F3457" s="27">
        <v>15</v>
      </c>
      <c r="G3457" s="18">
        <v>114913.67</v>
      </c>
      <c r="H3457" s="27">
        <f t="shared" si="106"/>
        <v>114913.67</v>
      </c>
      <c r="I3457" s="18">
        <v>109167.99</v>
      </c>
      <c r="J3457" s="27">
        <v>114913.67</v>
      </c>
      <c r="K3457" s="18">
        <f t="shared" si="107"/>
        <v>114913.67</v>
      </c>
      <c r="L3457" s="27">
        <v>109167.99</v>
      </c>
      <c r="M3457" s="36">
        <v>0</v>
      </c>
      <c r="T3457" s="41">
        <v>0</v>
      </c>
      <c r="U3457" s="41">
        <v>0</v>
      </c>
      <c r="V3457" s="42" t="s">
        <v>113</v>
      </c>
      <c r="W3457" s="42">
        <v>114913.67</v>
      </c>
      <c r="X3457" s="42">
        <v>114913.67</v>
      </c>
    </row>
    <row r="3458" spans="1:24">
      <c r="A3458" s="27" t="s">
        <v>6383</v>
      </c>
      <c r="B3458" s="28" t="s">
        <v>5102</v>
      </c>
      <c r="C3458" s="27" t="s">
        <v>6384</v>
      </c>
      <c r="D3458" s="27" t="s">
        <v>5104</v>
      </c>
      <c r="E3458" s="29">
        <v>37226</v>
      </c>
      <c r="F3458" s="27">
        <v>15</v>
      </c>
      <c r="G3458" s="18">
        <v>169840.05</v>
      </c>
      <c r="H3458" s="27">
        <f t="shared" si="106"/>
        <v>169840.05</v>
      </c>
      <c r="I3458" s="18">
        <v>161348.04999999999</v>
      </c>
      <c r="J3458" s="27">
        <v>169840.05</v>
      </c>
      <c r="K3458" s="18">
        <f t="shared" si="107"/>
        <v>169840.05</v>
      </c>
      <c r="L3458" s="27">
        <v>161348.04999999999</v>
      </c>
      <c r="M3458" s="36">
        <v>0</v>
      </c>
      <c r="T3458" s="41">
        <v>0</v>
      </c>
      <c r="U3458" s="41">
        <v>0</v>
      </c>
      <c r="V3458" s="42" t="s">
        <v>113</v>
      </c>
      <c r="W3458" s="42">
        <v>169840.05</v>
      </c>
      <c r="X3458" s="42">
        <v>169840.05</v>
      </c>
    </row>
    <row r="3459" spans="1:24">
      <c r="A3459" s="27" t="s">
        <v>6385</v>
      </c>
      <c r="B3459" s="28" t="s">
        <v>5102</v>
      </c>
      <c r="C3459" s="27" t="s">
        <v>6386</v>
      </c>
      <c r="D3459" s="27" t="s">
        <v>5104</v>
      </c>
      <c r="E3459" s="29">
        <v>37773</v>
      </c>
      <c r="F3459" s="27">
        <v>15</v>
      </c>
      <c r="G3459" s="18">
        <v>38822.370000000003</v>
      </c>
      <c r="H3459" s="27">
        <f t="shared" si="106"/>
        <v>38822.370000000003</v>
      </c>
      <c r="I3459" s="18">
        <v>36881.25</v>
      </c>
      <c r="J3459" s="27">
        <v>38822.370000000003</v>
      </c>
      <c r="K3459" s="18">
        <f t="shared" si="107"/>
        <v>38822.370000000003</v>
      </c>
      <c r="L3459" s="27">
        <v>36881.25</v>
      </c>
      <c r="M3459" s="36">
        <v>0</v>
      </c>
      <c r="T3459" s="41">
        <v>0</v>
      </c>
      <c r="U3459" s="41">
        <v>0</v>
      </c>
      <c r="V3459" s="42" t="s">
        <v>113</v>
      </c>
      <c r="W3459" s="42">
        <v>38822.370000000003</v>
      </c>
      <c r="X3459" s="42">
        <v>38822.370000000003</v>
      </c>
    </row>
    <row r="3460" spans="1:24">
      <c r="A3460" s="27" t="s">
        <v>6387</v>
      </c>
      <c r="B3460" s="28" t="s">
        <v>5102</v>
      </c>
      <c r="C3460" s="27" t="s">
        <v>6388</v>
      </c>
      <c r="D3460" s="27" t="s">
        <v>5104</v>
      </c>
      <c r="E3460" s="29">
        <v>38078</v>
      </c>
      <c r="F3460" s="27">
        <v>15</v>
      </c>
      <c r="G3460" s="18">
        <v>18624.97</v>
      </c>
      <c r="H3460" s="27">
        <f t="shared" si="106"/>
        <v>18624.97</v>
      </c>
      <c r="I3460" s="18">
        <v>17693.72</v>
      </c>
      <c r="J3460" s="27">
        <v>18624.97</v>
      </c>
      <c r="K3460" s="18">
        <f t="shared" si="107"/>
        <v>18624.97</v>
      </c>
      <c r="L3460" s="27">
        <v>17693.72</v>
      </c>
      <c r="M3460" s="36">
        <v>0</v>
      </c>
      <c r="T3460" s="41">
        <v>0</v>
      </c>
      <c r="U3460" s="41">
        <v>0</v>
      </c>
      <c r="V3460" s="42" t="s">
        <v>113</v>
      </c>
      <c r="W3460" s="42">
        <v>18624.97</v>
      </c>
      <c r="X3460" s="42">
        <v>18624.97</v>
      </c>
    </row>
    <row r="3461" spans="1:24">
      <c r="A3461" s="27" t="s">
        <v>6389</v>
      </c>
      <c r="B3461" s="28" t="s">
        <v>5102</v>
      </c>
      <c r="C3461" s="27" t="s">
        <v>6390</v>
      </c>
      <c r="D3461" s="27" t="s">
        <v>5104</v>
      </c>
      <c r="E3461" s="29">
        <v>38078</v>
      </c>
      <c r="F3461" s="27">
        <v>15</v>
      </c>
      <c r="G3461" s="18">
        <v>89479.75</v>
      </c>
      <c r="H3461" s="27">
        <f t="shared" si="106"/>
        <v>89479.75</v>
      </c>
      <c r="I3461" s="18">
        <v>85005.759999999995</v>
      </c>
      <c r="J3461" s="27">
        <v>89479.75</v>
      </c>
      <c r="K3461" s="18">
        <f t="shared" si="107"/>
        <v>89479.75</v>
      </c>
      <c r="L3461" s="27">
        <v>85005.759999999995</v>
      </c>
      <c r="M3461" s="36">
        <v>0</v>
      </c>
      <c r="T3461" s="41">
        <v>0</v>
      </c>
      <c r="U3461" s="41">
        <v>0</v>
      </c>
      <c r="V3461" s="42" t="s">
        <v>113</v>
      </c>
      <c r="W3461" s="42">
        <v>89479.75</v>
      </c>
      <c r="X3461" s="42">
        <v>89479.75</v>
      </c>
    </row>
    <row r="3462" spans="1:24">
      <c r="A3462" s="27" t="s">
        <v>6391</v>
      </c>
      <c r="B3462" s="28" t="s">
        <v>5102</v>
      </c>
      <c r="C3462" s="27" t="s">
        <v>6392</v>
      </c>
      <c r="D3462" s="27" t="s">
        <v>5104</v>
      </c>
      <c r="E3462" s="29">
        <v>38078</v>
      </c>
      <c r="F3462" s="27">
        <v>15</v>
      </c>
      <c r="G3462" s="18">
        <v>14264.17</v>
      </c>
      <c r="H3462" s="27">
        <f t="shared" ref="H3462:H3525" si="108">IFERROR(IF(ROUND((G3462-I3462)/G3462,2)&lt;=0.05,G3462,0),0)</f>
        <v>14264.17</v>
      </c>
      <c r="I3462" s="18">
        <v>13550.96</v>
      </c>
      <c r="J3462" s="27">
        <v>14264.17</v>
      </c>
      <c r="K3462" s="18">
        <f t="shared" ref="K3462:K3525" si="109">IFERROR(IF(ROUND((J3462-L3462)/J3462,2)&lt;=0.05,J3462,0),0)</f>
        <v>14264.17</v>
      </c>
      <c r="L3462" s="27">
        <v>13550.96</v>
      </c>
      <c r="M3462" s="36">
        <v>0</v>
      </c>
      <c r="T3462" s="41">
        <v>0</v>
      </c>
      <c r="U3462" s="41">
        <v>0</v>
      </c>
      <c r="V3462" s="42" t="s">
        <v>113</v>
      </c>
      <c r="W3462" s="42">
        <v>14264.17</v>
      </c>
      <c r="X3462" s="42">
        <v>14264.17</v>
      </c>
    </row>
    <row r="3463" spans="1:24">
      <c r="A3463" s="27" t="s">
        <v>6393</v>
      </c>
      <c r="B3463" s="28" t="s">
        <v>5102</v>
      </c>
      <c r="C3463" s="27" t="s">
        <v>6394</v>
      </c>
      <c r="D3463" s="27" t="s">
        <v>5104</v>
      </c>
      <c r="E3463" s="29">
        <v>38078</v>
      </c>
      <c r="F3463" s="27">
        <v>15</v>
      </c>
      <c r="G3463" s="18">
        <v>7955.97</v>
      </c>
      <c r="H3463" s="27">
        <f t="shared" si="108"/>
        <v>7955.97</v>
      </c>
      <c r="I3463" s="18">
        <v>7558.17</v>
      </c>
      <c r="J3463" s="27">
        <v>7955.97</v>
      </c>
      <c r="K3463" s="18">
        <f t="shared" si="109"/>
        <v>7955.97</v>
      </c>
      <c r="L3463" s="27">
        <v>7558.17</v>
      </c>
      <c r="M3463" s="36">
        <v>0</v>
      </c>
      <c r="T3463" s="41">
        <v>0</v>
      </c>
      <c r="U3463" s="41">
        <v>0</v>
      </c>
      <c r="V3463" s="42" t="s">
        <v>113</v>
      </c>
      <c r="W3463" s="42">
        <v>7955.97</v>
      </c>
      <c r="X3463" s="42">
        <v>7955.97</v>
      </c>
    </row>
    <row r="3464" spans="1:24">
      <c r="A3464" s="27" t="s">
        <v>6395</v>
      </c>
      <c r="B3464" s="28" t="s">
        <v>5102</v>
      </c>
      <c r="C3464" s="27" t="s">
        <v>6396</v>
      </c>
      <c r="D3464" s="27" t="s">
        <v>5104</v>
      </c>
      <c r="E3464" s="29">
        <v>38078</v>
      </c>
      <c r="F3464" s="27">
        <v>15</v>
      </c>
      <c r="G3464" s="18">
        <v>17043.759999999998</v>
      </c>
      <c r="H3464" s="27">
        <f t="shared" si="108"/>
        <v>17043.759999999998</v>
      </c>
      <c r="I3464" s="18">
        <v>16191.57</v>
      </c>
      <c r="J3464" s="27">
        <v>17043.759999999998</v>
      </c>
      <c r="K3464" s="18">
        <f t="shared" si="109"/>
        <v>17043.759999999998</v>
      </c>
      <c r="L3464" s="27">
        <v>16191.57</v>
      </c>
      <c r="M3464" s="36">
        <v>0</v>
      </c>
      <c r="T3464" s="41">
        <v>0</v>
      </c>
      <c r="U3464" s="41">
        <v>0</v>
      </c>
      <c r="V3464" s="42" t="s">
        <v>113</v>
      </c>
      <c r="W3464" s="42">
        <v>17043.759999999998</v>
      </c>
      <c r="X3464" s="42">
        <v>17043.759999999998</v>
      </c>
    </row>
    <row r="3465" spans="1:24">
      <c r="A3465" s="27" t="s">
        <v>6397</v>
      </c>
      <c r="B3465" s="28" t="s">
        <v>5102</v>
      </c>
      <c r="C3465" s="27" t="s">
        <v>6398</v>
      </c>
      <c r="D3465" s="27" t="s">
        <v>5104</v>
      </c>
      <c r="E3465" s="29">
        <v>38078</v>
      </c>
      <c r="F3465" s="27">
        <v>15</v>
      </c>
      <c r="G3465" s="18">
        <v>1381301.45</v>
      </c>
      <c r="H3465" s="27">
        <f t="shared" si="108"/>
        <v>1381301.45</v>
      </c>
      <c r="I3465" s="18">
        <v>1312236.3799999999</v>
      </c>
      <c r="J3465" s="27">
        <v>1381301.45</v>
      </c>
      <c r="K3465" s="18">
        <f t="shared" si="109"/>
        <v>1381301.45</v>
      </c>
      <c r="L3465" s="27">
        <v>1312236.3799999999</v>
      </c>
      <c r="M3465" s="36">
        <v>0</v>
      </c>
      <c r="T3465" s="41">
        <v>0</v>
      </c>
      <c r="U3465" s="41">
        <v>0</v>
      </c>
      <c r="V3465" s="42" t="s">
        <v>113</v>
      </c>
      <c r="W3465" s="42">
        <v>1381301.45</v>
      </c>
      <c r="X3465" s="42">
        <v>1381301.45</v>
      </c>
    </row>
    <row r="3466" spans="1:24">
      <c r="A3466" s="27" t="s">
        <v>6399</v>
      </c>
      <c r="B3466" s="28" t="s">
        <v>5102</v>
      </c>
      <c r="C3466" s="27" t="s">
        <v>6400</v>
      </c>
      <c r="D3466" s="27" t="s">
        <v>5104</v>
      </c>
      <c r="E3466" s="29">
        <v>38078</v>
      </c>
      <c r="F3466" s="27">
        <v>15</v>
      </c>
      <c r="G3466" s="18">
        <v>31084.29</v>
      </c>
      <c r="H3466" s="27">
        <f t="shared" si="108"/>
        <v>31084.29</v>
      </c>
      <c r="I3466" s="18">
        <v>29530.080000000002</v>
      </c>
      <c r="J3466" s="27">
        <v>31084.29</v>
      </c>
      <c r="K3466" s="18">
        <f t="shared" si="109"/>
        <v>31084.29</v>
      </c>
      <c r="L3466" s="27">
        <v>29530.080000000002</v>
      </c>
      <c r="M3466" s="36">
        <v>0</v>
      </c>
      <c r="T3466" s="41">
        <v>0</v>
      </c>
      <c r="U3466" s="41">
        <v>0</v>
      </c>
      <c r="V3466" s="42" t="s">
        <v>113</v>
      </c>
      <c r="W3466" s="42">
        <v>31084.29</v>
      </c>
      <c r="X3466" s="42">
        <v>31084.29</v>
      </c>
    </row>
    <row r="3467" spans="1:24">
      <c r="A3467" s="27" t="s">
        <v>6401</v>
      </c>
      <c r="B3467" s="28" t="s">
        <v>5102</v>
      </c>
      <c r="C3467" s="27" t="s">
        <v>6402</v>
      </c>
      <c r="D3467" s="27" t="s">
        <v>5104</v>
      </c>
      <c r="E3467" s="29">
        <v>38078</v>
      </c>
      <c r="F3467" s="27">
        <v>15</v>
      </c>
      <c r="G3467" s="18">
        <v>86217.46</v>
      </c>
      <c r="H3467" s="27">
        <f t="shared" si="108"/>
        <v>86217.46</v>
      </c>
      <c r="I3467" s="18">
        <v>81906.59</v>
      </c>
      <c r="J3467" s="27">
        <v>86217.46</v>
      </c>
      <c r="K3467" s="18">
        <f t="shared" si="109"/>
        <v>86217.46</v>
      </c>
      <c r="L3467" s="27">
        <v>81906.59</v>
      </c>
      <c r="M3467" s="36">
        <v>0</v>
      </c>
      <c r="T3467" s="41">
        <v>0</v>
      </c>
      <c r="U3467" s="41">
        <v>0</v>
      </c>
      <c r="V3467" s="42" t="s">
        <v>113</v>
      </c>
      <c r="W3467" s="42">
        <v>86217.46</v>
      </c>
      <c r="X3467" s="42">
        <v>86217.46</v>
      </c>
    </row>
    <row r="3468" spans="1:24">
      <c r="A3468" s="27" t="s">
        <v>6403</v>
      </c>
      <c r="B3468" s="28" t="s">
        <v>5102</v>
      </c>
      <c r="C3468" s="27" t="s">
        <v>6404</v>
      </c>
      <c r="D3468" s="27" t="s">
        <v>5104</v>
      </c>
      <c r="E3468" s="29">
        <v>38078</v>
      </c>
      <c r="F3468" s="27">
        <v>15</v>
      </c>
      <c r="G3468" s="18">
        <v>34220.68</v>
      </c>
      <c r="H3468" s="27">
        <f t="shared" si="108"/>
        <v>34220.68</v>
      </c>
      <c r="I3468" s="18">
        <v>32509.65</v>
      </c>
      <c r="J3468" s="27">
        <v>34220.68</v>
      </c>
      <c r="K3468" s="18">
        <f t="shared" si="109"/>
        <v>34220.68</v>
      </c>
      <c r="L3468" s="27">
        <v>32509.65</v>
      </c>
      <c r="M3468" s="36">
        <v>0</v>
      </c>
      <c r="T3468" s="41">
        <v>0</v>
      </c>
      <c r="U3468" s="41">
        <v>0</v>
      </c>
      <c r="V3468" s="42" t="s">
        <v>113</v>
      </c>
      <c r="W3468" s="42">
        <v>34220.68</v>
      </c>
      <c r="X3468" s="42">
        <v>34220.68</v>
      </c>
    </row>
    <row r="3469" spans="1:24">
      <c r="A3469" s="27" t="s">
        <v>6405</v>
      </c>
      <c r="B3469" s="28" t="s">
        <v>5102</v>
      </c>
      <c r="C3469" s="27" t="s">
        <v>6406</v>
      </c>
      <c r="D3469" s="27" t="s">
        <v>5104</v>
      </c>
      <c r="E3469" s="29">
        <v>39417</v>
      </c>
      <c r="F3469" s="27">
        <v>15</v>
      </c>
      <c r="G3469" s="18">
        <v>18363.82</v>
      </c>
      <c r="H3469" s="27">
        <f t="shared" si="108"/>
        <v>0</v>
      </c>
      <c r="I3469" s="18">
        <v>15737.24</v>
      </c>
      <c r="J3469" s="27">
        <v>18363.82</v>
      </c>
      <c r="K3469" s="18">
        <f t="shared" si="109"/>
        <v>0</v>
      </c>
      <c r="L3469" s="27">
        <v>16164.34</v>
      </c>
      <c r="M3469" s="36">
        <v>427.1</v>
      </c>
      <c r="T3469" s="41">
        <v>0</v>
      </c>
      <c r="U3469" s="41">
        <v>0</v>
      </c>
      <c r="V3469" s="42" t="s">
        <v>113</v>
      </c>
      <c r="W3469" s="42">
        <v>0</v>
      </c>
      <c r="X3469" s="42">
        <v>0</v>
      </c>
    </row>
    <row r="3470" spans="1:24">
      <c r="A3470" s="27" t="s">
        <v>6407</v>
      </c>
      <c r="B3470" s="28" t="s">
        <v>5102</v>
      </c>
      <c r="C3470" s="27" t="s">
        <v>6408</v>
      </c>
      <c r="D3470" s="27" t="s">
        <v>5104</v>
      </c>
      <c r="E3470" s="29">
        <v>39417</v>
      </c>
      <c r="F3470" s="27">
        <v>15</v>
      </c>
      <c r="G3470" s="18">
        <v>19112.96</v>
      </c>
      <c r="H3470" s="27">
        <f t="shared" si="108"/>
        <v>0</v>
      </c>
      <c r="I3470" s="18">
        <v>16417.84</v>
      </c>
      <c r="J3470" s="27">
        <v>19112.96</v>
      </c>
      <c r="K3470" s="18">
        <f t="shared" si="109"/>
        <v>0</v>
      </c>
      <c r="L3470" s="27">
        <v>16852.71</v>
      </c>
      <c r="M3470" s="36">
        <v>434.87</v>
      </c>
      <c r="T3470" s="41">
        <v>0</v>
      </c>
      <c r="U3470" s="41">
        <v>0</v>
      </c>
      <c r="V3470" s="42" t="s">
        <v>113</v>
      </c>
      <c r="W3470" s="42">
        <v>0</v>
      </c>
      <c r="X3470" s="42">
        <v>0</v>
      </c>
    </row>
    <row r="3471" spans="1:24">
      <c r="A3471" s="27" t="s">
        <v>6409</v>
      </c>
      <c r="B3471" s="28" t="s">
        <v>5102</v>
      </c>
      <c r="C3471" s="27" t="s">
        <v>6410</v>
      </c>
      <c r="D3471" s="27" t="s">
        <v>5104</v>
      </c>
      <c r="E3471" s="29">
        <v>37226</v>
      </c>
      <c r="F3471" s="27">
        <v>15</v>
      </c>
      <c r="G3471" s="18">
        <v>110986.79</v>
      </c>
      <c r="H3471" s="27">
        <f t="shared" si="108"/>
        <v>0</v>
      </c>
      <c r="I3471" s="18">
        <v>83333.61</v>
      </c>
      <c r="J3471" s="27">
        <v>110986.79</v>
      </c>
      <c r="K3471" s="18">
        <f t="shared" si="109"/>
        <v>0</v>
      </c>
      <c r="L3471" s="27">
        <v>87017.58</v>
      </c>
      <c r="M3471" s="36">
        <v>3683.97</v>
      </c>
      <c r="T3471" s="41">
        <v>0</v>
      </c>
      <c r="U3471" s="41">
        <v>0</v>
      </c>
      <c r="V3471" s="42" t="s">
        <v>124</v>
      </c>
      <c r="W3471" s="42">
        <v>110986.79</v>
      </c>
      <c r="X3471" s="42">
        <v>110986.79</v>
      </c>
    </row>
    <row r="3472" spans="1:24">
      <c r="A3472" s="27" t="s">
        <v>6411</v>
      </c>
      <c r="B3472" s="28" t="s">
        <v>5102</v>
      </c>
      <c r="C3472" s="27" t="s">
        <v>6412</v>
      </c>
      <c r="D3472" s="27" t="s">
        <v>5104</v>
      </c>
      <c r="E3472" s="29">
        <v>37226</v>
      </c>
      <c r="F3472" s="27">
        <v>15</v>
      </c>
      <c r="G3472" s="18">
        <v>650154.56000000006</v>
      </c>
      <c r="H3472" s="27">
        <f t="shared" si="108"/>
        <v>650154.56000000006</v>
      </c>
      <c r="I3472" s="18">
        <v>617646.82999999996</v>
      </c>
      <c r="J3472" s="27">
        <v>650154.56000000006</v>
      </c>
      <c r="K3472" s="18">
        <f t="shared" si="109"/>
        <v>650154.56000000006</v>
      </c>
      <c r="L3472" s="27">
        <v>617646.82999999996</v>
      </c>
      <c r="M3472" s="36">
        <v>0</v>
      </c>
      <c r="T3472" s="41">
        <v>0</v>
      </c>
      <c r="U3472" s="41">
        <v>0</v>
      </c>
      <c r="V3472" s="42" t="s">
        <v>113</v>
      </c>
      <c r="W3472" s="42">
        <v>650154.56000000006</v>
      </c>
      <c r="X3472" s="42">
        <v>650154.56000000006</v>
      </c>
    </row>
    <row r="3473" spans="1:24">
      <c r="A3473" s="27" t="s">
        <v>6413</v>
      </c>
      <c r="B3473" s="28" t="s">
        <v>5102</v>
      </c>
      <c r="C3473" s="27" t="s">
        <v>6414</v>
      </c>
      <c r="D3473" s="27" t="s">
        <v>5104</v>
      </c>
      <c r="E3473" s="29">
        <v>37773</v>
      </c>
      <c r="F3473" s="27">
        <v>15</v>
      </c>
      <c r="G3473" s="18">
        <v>163786</v>
      </c>
      <c r="H3473" s="27">
        <f t="shared" si="108"/>
        <v>163786</v>
      </c>
      <c r="I3473" s="18">
        <v>155596.70000000001</v>
      </c>
      <c r="J3473" s="27">
        <v>163786</v>
      </c>
      <c r="K3473" s="18">
        <f t="shared" si="109"/>
        <v>163786</v>
      </c>
      <c r="L3473" s="27">
        <v>155596.70000000001</v>
      </c>
      <c r="M3473" s="36">
        <v>0</v>
      </c>
      <c r="T3473" s="41">
        <v>0</v>
      </c>
      <c r="U3473" s="41">
        <v>0</v>
      </c>
      <c r="V3473" s="42" t="s">
        <v>113</v>
      </c>
      <c r="W3473" s="42">
        <v>163786</v>
      </c>
      <c r="X3473" s="42">
        <v>163786</v>
      </c>
    </row>
    <row r="3474" spans="1:24">
      <c r="A3474" s="27" t="s">
        <v>6415</v>
      </c>
      <c r="B3474" s="28" t="s">
        <v>5102</v>
      </c>
      <c r="C3474" s="27" t="s">
        <v>6416</v>
      </c>
      <c r="D3474" s="27" t="s">
        <v>5104</v>
      </c>
      <c r="E3474" s="29">
        <v>37226</v>
      </c>
      <c r="F3474" s="27">
        <v>15</v>
      </c>
      <c r="G3474" s="18">
        <v>99225.82</v>
      </c>
      <c r="H3474" s="27">
        <f t="shared" si="108"/>
        <v>99225.82</v>
      </c>
      <c r="I3474" s="18">
        <v>94264.53</v>
      </c>
      <c r="J3474" s="27">
        <v>99225.82</v>
      </c>
      <c r="K3474" s="18">
        <f t="shared" si="109"/>
        <v>99225.82</v>
      </c>
      <c r="L3474" s="27">
        <v>94264.53</v>
      </c>
      <c r="M3474" s="36">
        <v>0</v>
      </c>
      <c r="T3474" s="41">
        <v>0</v>
      </c>
      <c r="U3474" s="41">
        <v>0</v>
      </c>
      <c r="V3474" s="42" t="s">
        <v>113</v>
      </c>
      <c r="W3474" s="42">
        <v>99225.82</v>
      </c>
      <c r="X3474" s="42">
        <v>99225.82</v>
      </c>
    </row>
    <row r="3475" spans="1:24">
      <c r="A3475" s="27" t="s">
        <v>6417</v>
      </c>
      <c r="B3475" s="28" t="s">
        <v>5102</v>
      </c>
      <c r="C3475" s="27" t="s">
        <v>6418</v>
      </c>
      <c r="D3475" s="27" t="s">
        <v>5104</v>
      </c>
      <c r="E3475" s="29">
        <v>37226</v>
      </c>
      <c r="F3475" s="27">
        <v>15</v>
      </c>
      <c r="G3475" s="18">
        <v>173455.27</v>
      </c>
      <c r="H3475" s="27">
        <f t="shared" si="108"/>
        <v>173455.27</v>
      </c>
      <c r="I3475" s="18">
        <v>164782.51</v>
      </c>
      <c r="J3475" s="27">
        <v>173455.27</v>
      </c>
      <c r="K3475" s="18">
        <f t="shared" si="109"/>
        <v>173455.27</v>
      </c>
      <c r="L3475" s="27">
        <v>164782.51</v>
      </c>
      <c r="M3475" s="36">
        <v>0</v>
      </c>
      <c r="T3475" s="41">
        <v>0</v>
      </c>
      <c r="U3475" s="41">
        <v>0</v>
      </c>
      <c r="V3475" s="42" t="s">
        <v>113</v>
      </c>
      <c r="W3475" s="42">
        <v>173455.27</v>
      </c>
      <c r="X3475" s="42">
        <v>173455.27</v>
      </c>
    </row>
    <row r="3476" spans="1:24">
      <c r="A3476" s="27" t="s">
        <v>6419</v>
      </c>
      <c r="B3476" s="28" t="s">
        <v>5102</v>
      </c>
      <c r="C3476" s="27" t="s">
        <v>6420</v>
      </c>
      <c r="D3476" s="27" t="s">
        <v>5104</v>
      </c>
      <c r="E3476" s="29">
        <v>37226</v>
      </c>
      <c r="F3476" s="27">
        <v>15</v>
      </c>
      <c r="G3476" s="18">
        <v>122441.56</v>
      </c>
      <c r="H3476" s="27">
        <f t="shared" si="108"/>
        <v>122441.56</v>
      </c>
      <c r="I3476" s="18">
        <v>116319.48</v>
      </c>
      <c r="J3476" s="27">
        <v>122441.56</v>
      </c>
      <c r="K3476" s="18">
        <f t="shared" si="109"/>
        <v>122441.56</v>
      </c>
      <c r="L3476" s="27">
        <v>116319.48</v>
      </c>
      <c r="M3476" s="36">
        <v>0</v>
      </c>
      <c r="T3476" s="41">
        <v>0</v>
      </c>
      <c r="U3476" s="41">
        <v>0</v>
      </c>
      <c r="V3476" s="42" t="s">
        <v>113</v>
      </c>
      <c r="W3476" s="42">
        <v>122441.56</v>
      </c>
      <c r="X3476" s="42">
        <v>122441.56</v>
      </c>
    </row>
    <row r="3477" spans="1:24">
      <c r="A3477" s="27" t="s">
        <v>6421</v>
      </c>
      <c r="B3477" s="28" t="s">
        <v>5102</v>
      </c>
      <c r="C3477" s="27" t="s">
        <v>6422</v>
      </c>
      <c r="D3477" s="27" t="s">
        <v>5104</v>
      </c>
      <c r="E3477" s="29">
        <v>38078</v>
      </c>
      <c r="F3477" s="27">
        <v>15</v>
      </c>
      <c r="G3477" s="18">
        <v>65952.13</v>
      </c>
      <c r="H3477" s="27">
        <f t="shared" si="108"/>
        <v>65952.13</v>
      </c>
      <c r="I3477" s="18">
        <v>62654.52</v>
      </c>
      <c r="J3477" s="27">
        <v>65952.13</v>
      </c>
      <c r="K3477" s="18">
        <f t="shared" si="109"/>
        <v>65952.13</v>
      </c>
      <c r="L3477" s="27">
        <v>62654.52</v>
      </c>
      <c r="M3477" s="36">
        <v>0</v>
      </c>
      <c r="T3477" s="41">
        <v>0</v>
      </c>
      <c r="U3477" s="41">
        <v>0</v>
      </c>
      <c r="V3477" s="42" t="s">
        <v>113</v>
      </c>
      <c r="W3477" s="42">
        <v>65952.13</v>
      </c>
      <c r="X3477" s="42">
        <v>65952.13</v>
      </c>
    </row>
    <row r="3478" spans="1:24">
      <c r="A3478" s="27" t="s">
        <v>6423</v>
      </c>
      <c r="B3478" s="28" t="s">
        <v>5102</v>
      </c>
      <c r="C3478" s="27" t="s">
        <v>6424</v>
      </c>
      <c r="D3478" s="27" t="s">
        <v>5104</v>
      </c>
      <c r="E3478" s="29">
        <v>38078</v>
      </c>
      <c r="F3478" s="27">
        <v>15</v>
      </c>
      <c r="G3478" s="18">
        <v>18748.21</v>
      </c>
      <c r="H3478" s="27">
        <f t="shared" si="108"/>
        <v>18748.21</v>
      </c>
      <c r="I3478" s="18">
        <v>17810.8</v>
      </c>
      <c r="J3478" s="27">
        <v>18748.21</v>
      </c>
      <c r="K3478" s="18">
        <f t="shared" si="109"/>
        <v>18748.21</v>
      </c>
      <c r="L3478" s="27">
        <v>17810.8</v>
      </c>
      <c r="M3478" s="36">
        <v>0</v>
      </c>
      <c r="T3478" s="41">
        <v>0</v>
      </c>
      <c r="U3478" s="41">
        <v>0</v>
      </c>
      <c r="V3478" s="42" t="s">
        <v>113</v>
      </c>
      <c r="W3478" s="42">
        <v>18748.21</v>
      </c>
      <c r="X3478" s="42">
        <v>18748.21</v>
      </c>
    </row>
    <row r="3479" spans="1:24">
      <c r="A3479" s="27" t="s">
        <v>6425</v>
      </c>
      <c r="B3479" s="28" t="s">
        <v>5102</v>
      </c>
      <c r="C3479" s="27" t="s">
        <v>6426</v>
      </c>
      <c r="D3479" s="27" t="s">
        <v>5104</v>
      </c>
      <c r="E3479" s="29">
        <v>38078</v>
      </c>
      <c r="F3479" s="27">
        <v>15</v>
      </c>
      <c r="G3479" s="18">
        <v>13307.6</v>
      </c>
      <c r="H3479" s="27">
        <f t="shared" si="108"/>
        <v>13307.6</v>
      </c>
      <c r="I3479" s="18">
        <v>12642.22</v>
      </c>
      <c r="J3479" s="27">
        <v>13307.6</v>
      </c>
      <c r="K3479" s="18">
        <f t="shared" si="109"/>
        <v>13307.6</v>
      </c>
      <c r="L3479" s="27">
        <v>12642.22</v>
      </c>
      <c r="M3479" s="36">
        <v>0</v>
      </c>
      <c r="T3479" s="41">
        <v>0</v>
      </c>
      <c r="U3479" s="41">
        <v>0</v>
      </c>
      <c r="V3479" s="42" t="s">
        <v>113</v>
      </c>
      <c r="W3479" s="42">
        <v>13307.6</v>
      </c>
      <c r="X3479" s="42">
        <v>13307.6</v>
      </c>
    </row>
    <row r="3480" spans="1:24">
      <c r="A3480" s="27" t="s">
        <v>6427</v>
      </c>
      <c r="B3480" s="28" t="s">
        <v>5102</v>
      </c>
      <c r="C3480" s="27" t="s">
        <v>6426</v>
      </c>
      <c r="D3480" s="27" t="s">
        <v>5104</v>
      </c>
      <c r="E3480" s="29">
        <v>38078</v>
      </c>
      <c r="F3480" s="27">
        <v>15</v>
      </c>
      <c r="G3480" s="18">
        <v>88677.36</v>
      </c>
      <c r="H3480" s="27">
        <f t="shared" si="108"/>
        <v>88677.36</v>
      </c>
      <c r="I3480" s="18">
        <v>84243.49</v>
      </c>
      <c r="J3480" s="27">
        <v>88677.36</v>
      </c>
      <c r="K3480" s="18">
        <f t="shared" si="109"/>
        <v>88677.36</v>
      </c>
      <c r="L3480" s="27">
        <v>84243.49</v>
      </c>
      <c r="M3480" s="36">
        <v>0</v>
      </c>
      <c r="T3480" s="41">
        <v>0</v>
      </c>
      <c r="U3480" s="41">
        <v>0</v>
      </c>
      <c r="V3480" s="42" t="s">
        <v>113</v>
      </c>
      <c r="W3480" s="42">
        <v>88677.36</v>
      </c>
      <c r="X3480" s="42">
        <v>88677.36</v>
      </c>
    </row>
    <row r="3481" spans="1:24">
      <c r="A3481" s="27" t="s">
        <v>6428</v>
      </c>
      <c r="B3481" s="28" t="s">
        <v>5102</v>
      </c>
      <c r="C3481" s="27" t="s">
        <v>6429</v>
      </c>
      <c r="D3481" s="27" t="s">
        <v>5104</v>
      </c>
      <c r="E3481" s="29">
        <v>38078</v>
      </c>
      <c r="F3481" s="27">
        <v>15</v>
      </c>
      <c r="G3481" s="18">
        <v>7727.89</v>
      </c>
      <c r="H3481" s="27">
        <f t="shared" si="108"/>
        <v>7727.89</v>
      </c>
      <c r="I3481" s="18">
        <v>7341.5</v>
      </c>
      <c r="J3481" s="27">
        <v>7727.89</v>
      </c>
      <c r="K3481" s="18">
        <f t="shared" si="109"/>
        <v>7727.89</v>
      </c>
      <c r="L3481" s="27">
        <v>7341.5</v>
      </c>
      <c r="M3481" s="36">
        <v>0</v>
      </c>
      <c r="T3481" s="41">
        <v>0</v>
      </c>
      <c r="U3481" s="41">
        <v>0</v>
      </c>
      <c r="V3481" s="42" t="s">
        <v>113</v>
      </c>
      <c r="W3481" s="42">
        <v>7727.89</v>
      </c>
      <c r="X3481" s="42">
        <v>7727.89</v>
      </c>
    </row>
    <row r="3482" spans="1:24">
      <c r="A3482" s="27" t="s">
        <v>6430</v>
      </c>
      <c r="B3482" s="28" t="s">
        <v>5102</v>
      </c>
      <c r="C3482" s="27" t="s">
        <v>6429</v>
      </c>
      <c r="D3482" s="27" t="s">
        <v>5104</v>
      </c>
      <c r="E3482" s="29">
        <v>38078</v>
      </c>
      <c r="F3482" s="27">
        <v>15</v>
      </c>
      <c r="G3482" s="18">
        <v>144503.51</v>
      </c>
      <c r="H3482" s="27">
        <f t="shared" si="108"/>
        <v>144503.51</v>
      </c>
      <c r="I3482" s="18">
        <v>137278.32999999999</v>
      </c>
      <c r="J3482" s="27">
        <v>144503.51</v>
      </c>
      <c r="K3482" s="18">
        <f t="shared" si="109"/>
        <v>144503.51</v>
      </c>
      <c r="L3482" s="27">
        <v>137278.32999999999</v>
      </c>
      <c r="M3482" s="36">
        <v>0</v>
      </c>
      <c r="T3482" s="41">
        <v>0</v>
      </c>
      <c r="U3482" s="41">
        <v>0</v>
      </c>
      <c r="V3482" s="42" t="s">
        <v>113</v>
      </c>
      <c r="W3482" s="42">
        <v>144503.51</v>
      </c>
      <c r="X3482" s="42">
        <v>144503.51</v>
      </c>
    </row>
    <row r="3483" spans="1:24">
      <c r="A3483" s="27" t="s">
        <v>6431</v>
      </c>
      <c r="B3483" s="28" t="s">
        <v>5102</v>
      </c>
      <c r="C3483" s="27" t="s">
        <v>6429</v>
      </c>
      <c r="D3483" s="27" t="s">
        <v>5104</v>
      </c>
      <c r="E3483" s="29">
        <v>38078</v>
      </c>
      <c r="F3483" s="27">
        <v>15</v>
      </c>
      <c r="G3483" s="18">
        <v>6109.91</v>
      </c>
      <c r="H3483" s="27">
        <f t="shared" si="108"/>
        <v>6109.91</v>
      </c>
      <c r="I3483" s="18">
        <v>5804.41</v>
      </c>
      <c r="J3483" s="27">
        <v>6109.91</v>
      </c>
      <c r="K3483" s="18">
        <f t="shared" si="109"/>
        <v>6109.91</v>
      </c>
      <c r="L3483" s="27">
        <v>5804.41</v>
      </c>
      <c r="M3483" s="36">
        <v>0</v>
      </c>
      <c r="T3483" s="41">
        <v>0</v>
      </c>
      <c r="U3483" s="41">
        <v>0</v>
      </c>
      <c r="V3483" s="42" t="s">
        <v>113</v>
      </c>
      <c r="W3483" s="42">
        <v>6109.91</v>
      </c>
      <c r="X3483" s="42">
        <v>6109.91</v>
      </c>
    </row>
    <row r="3484" spans="1:24">
      <c r="A3484" s="27" t="s">
        <v>6432</v>
      </c>
      <c r="B3484" s="28" t="s">
        <v>5102</v>
      </c>
      <c r="C3484" s="27" t="s">
        <v>6433</v>
      </c>
      <c r="D3484" s="27" t="s">
        <v>5104</v>
      </c>
      <c r="E3484" s="29">
        <v>38078</v>
      </c>
      <c r="F3484" s="27">
        <v>15</v>
      </c>
      <c r="G3484" s="18">
        <v>15093.11</v>
      </c>
      <c r="H3484" s="27">
        <f t="shared" si="108"/>
        <v>15093.11</v>
      </c>
      <c r="I3484" s="18">
        <v>14338.45</v>
      </c>
      <c r="J3484" s="27">
        <v>15093.11</v>
      </c>
      <c r="K3484" s="18">
        <f t="shared" si="109"/>
        <v>15093.11</v>
      </c>
      <c r="L3484" s="27">
        <v>14338.45</v>
      </c>
      <c r="M3484" s="36">
        <v>0</v>
      </c>
      <c r="T3484" s="41">
        <v>0</v>
      </c>
      <c r="U3484" s="41">
        <v>0</v>
      </c>
      <c r="V3484" s="42" t="s">
        <v>113</v>
      </c>
      <c r="W3484" s="42">
        <v>15093.11</v>
      </c>
      <c r="X3484" s="42">
        <v>15093.11</v>
      </c>
    </row>
    <row r="3485" spans="1:24">
      <c r="A3485" s="27" t="s">
        <v>6434</v>
      </c>
      <c r="B3485" s="28" t="s">
        <v>5102</v>
      </c>
      <c r="C3485" s="27" t="s">
        <v>6435</v>
      </c>
      <c r="D3485" s="27" t="s">
        <v>5104</v>
      </c>
      <c r="E3485" s="29">
        <v>38078</v>
      </c>
      <c r="F3485" s="27">
        <v>15</v>
      </c>
      <c r="G3485" s="18">
        <v>323783.26</v>
      </c>
      <c r="H3485" s="27">
        <f t="shared" si="108"/>
        <v>323783.26</v>
      </c>
      <c r="I3485" s="18">
        <v>307594.09999999998</v>
      </c>
      <c r="J3485" s="27">
        <v>323783.26</v>
      </c>
      <c r="K3485" s="18">
        <f t="shared" si="109"/>
        <v>323783.26</v>
      </c>
      <c r="L3485" s="27">
        <v>307594.09999999998</v>
      </c>
      <c r="M3485" s="36">
        <v>0</v>
      </c>
      <c r="T3485" s="41">
        <v>0</v>
      </c>
      <c r="U3485" s="41">
        <v>0</v>
      </c>
      <c r="V3485" s="42" t="s">
        <v>113</v>
      </c>
      <c r="W3485" s="42">
        <v>323783.26</v>
      </c>
      <c r="X3485" s="42">
        <v>323783.26</v>
      </c>
    </row>
    <row r="3486" spans="1:24">
      <c r="A3486" s="27" t="s">
        <v>6436</v>
      </c>
      <c r="B3486" s="28" t="s">
        <v>5102</v>
      </c>
      <c r="C3486" s="27" t="s">
        <v>6437</v>
      </c>
      <c r="D3486" s="27" t="s">
        <v>5104</v>
      </c>
      <c r="E3486" s="29">
        <v>38078</v>
      </c>
      <c r="F3486" s="27">
        <v>15</v>
      </c>
      <c r="G3486" s="18">
        <v>39532.22</v>
      </c>
      <c r="H3486" s="27">
        <f t="shared" si="108"/>
        <v>39532.22</v>
      </c>
      <c r="I3486" s="18">
        <v>37555.61</v>
      </c>
      <c r="J3486" s="27">
        <v>39532.22</v>
      </c>
      <c r="K3486" s="18">
        <f t="shared" si="109"/>
        <v>39532.22</v>
      </c>
      <c r="L3486" s="27">
        <v>37555.61</v>
      </c>
      <c r="M3486" s="36">
        <v>0</v>
      </c>
      <c r="T3486" s="41">
        <v>0</v>
      </c>
      <c r="U3486" s="41">
        <v>0</v>
      </c>
      <c r="V3486" s="42" t="s">
        <v>113</v>
      </c>
      <c r="W3486" s="42">
        <v>39532.22</v>
      </c>
      <c r="X3486" s="42">
        <v>39532.22</v>
      </c>
    </row>
    <row r="3487" spans="1:24">
      <c r="A3487" s="27" t="s">
        <v>6438</v>
      </c>
      <c r="B3487" s="28" t="s">
        <v>5102</v>
      </c>
      <c r="C3487" s="27" t="s">
        <v>6439</v>
      </c>
      <c r="D3487" s="27" t="s">
        <v>5104</v>
      </c>
      <c r="E3487" s="29">
        <v>38078</v>
      </c>
      <c r="F3487" s="27">
        <v>15</v>
      </c>
      <c r="G3487" s="18">
        <v>16264.84</v>
      </c>
      <c r="H3487" s="27">
        <f t="shared" si="108"/>
        <v>16264.84</v>
      </c>
      <c r="I3487" s="18">
        <v>15451.6</v>
      </c>
      <c r="J3487" s="27">
        <v>16264.84</v>
      </c>
      <c r="K3487" s="18">
        <f t="shared" si="109"/>
        <v>16264.84</v>
      </c>
      <c r="L3487" s="27">
        <v>15451.6</v>
      </c>
      <c r="M3487" s="36">
        <v>0</v>
      </c>
      <c r="T3487" s="41">
        <v>0</v>
      </c>
      <c r="U3487" s="41">
        <v>0</v>
      </c>
      <c r="V3487" s="42" t="s">
        <v>113</v>
      </c>
      <c r="W3487" s="42">
        <v>16264.84</v>
      </c>
      <c r="X3487" s="42">
        <v>16264.84</v>
      </c>
    </row>
    <row r="3488" spans="1:24">
      <c r="A3488" s="27" t="s">
        <v>6440</v>
      </c>
      <c r="B3488" s="28" t="s">
        <v>5102</v>
      </c>
      <c r="C3488" s="27" t="s">
        <v>6439</v>
      </c>
      <c r="D3488" s="27" t="s">
        <v>5104</v>
      </c>
      <c r="E3488" s="29">
        <v>38078</v>
      </c>
      <c r="F3488" s="27">
        <v>15</v>
      </c>
      <c r="G3488" s="18">
        <v>189135.12</v>
      </c>
      <c r="H3488" s="27">
        <f t="shared" si="108"/>
        <v>189135.12</v>
      </c>
      <c r="I3488" s="18">
        <v>179678.36</v>
      </c>
      <c r="J3488" s="27">
        <v>189135.12</v>
      </c>
      <c r="K3488" s="18">
        <f t="shared" si="109"/>
        <v>189135.12</v>
      </c>
      <c r="L3488" s="27">
        <v>179678.36</v>
      </c>
      <c r="M3488" s="36">
        <v>0</v>
      </c>
      <c r="T3488" s="41">
        <v>0</v>
      </c>
      <c r="U3488" s="41">
        <v>0</v>
      </c>
      <c r="V3488" s="42" t="s">
        <v>113</v>
      </c>
      <c r="W3488" s="42">
        <v>189135.12</v>
      </c>
      <c r="X3488" s="42">
        <v>189135.12</v>
      </c>
    </row>
    <row r="3489" spans="1:24">
      <c r="A3489" s="27" t="s">
        <v>6441</v>
      </c>
      <c r="B3489" s="28" t="s">
        <v>5102</v>
      </c>
      <c r="C3489" s="27" t="s">
        <v>6442</v>
      </c>
      <c r="D3489" s="27" t="s">
        <v>5104</v>
      </c>
      <c r="E3489" s="29">
        <v>38078</v>
      </c>
      <c r="F3489" s="27">
        <v>15</v>
      </c>
      <c r="G3489" s="18">
        <v>48236.56</v>
      </c>
      <c r="H3489" s="27">
        <f t="shared" si="108"/>
        <v>48236.56</v>
      </c>
      <c r="I3489" s="18">
        <v>45824.73</v>
      </c>
      <c r="J3489" s="27">
        <v>48236.56</v>
      </c>
      <c r="K3489" s="18">
        <f t="shared" si="109"/>
        <v>48236.56</v>
      </c>
      <c r="L3489" s="27">
        <v>45824.73</v>
      </c>
      <c r="M3489" s="36">
        <v>0</v>
      </c>
      <c r="T3489" s="41">
        <v>0</v>
      </c>
      <c r="U3489" s="41">
        <v>0</v>
      </c>
      <c r="V3489" s="42" t="s">
        <v>113</v>
      </c>
      <c r="W3489" s="42">
        <v>48236.56</v>
      </c>
      <c r="X3489" s="42">
        <v>48236.56</v>
      </c>
    </row>
    <row r="3490" spans="1:24">
      <c r="A3490" s="27" t="s">
        <v>6443</v>
      </c>
      <c r="B3490" s="28" t="s">
        <v>5102</v>
      </c>
      <c r="C3490" s="27" t="s">
        <v>6444</v>
      </c>
      <c r="D3490" s="27" t="s">
        <v>5104</v>
      </c>
      <c r="E3490" s="29">
        <v>38078</v>
      </c>
      <c r="F3490" s="27">
        <v>15</v>
      </c>
      <c r="G3490" s="18">
        <v>11912.67</v>
      </c>
      <c r="H3490" s="27">
        <f t="shared" si="108"/>
        <v>11912.67</v>
      </c>
      <c r="I3490" s="18">
        <v>11317.04</v>
      </c>
      <c r="J3490" s="27">
        <v>11912.67</v>
      </c>
      <c r="K3490" s="18">
        <f t="shared" si="109"/>
        <v>11912.67</v>
      </c>
      <c r="L3490" s="27">
        <v>11317.04</v>
      </c>
      <c r="M3490" s="36">
        <v>0</v>
      </c>
      <c r="T3490" s="41">
        <v>0</v>
      </c>
      <c r="U3490" s="41">
        <v>0</v>
      </c>
      <c r="V3490" s="42" t="s">
        <v>113</v>
      </c>
      <c r="W3490" s="42">
        <v>11912.67</v>
      </c>
      <c r="X3490" s="42">
        <v>11912.67</v>
      </c>
    </row>
    <row r="3491" spans="1:24">
      <c r="A3491" s="27" t="s">
        <v>6445</v>
      </c>
      <c r="B3491" s="28" t="s">
        <v>5102</v>
      </c>
      <c r="C3491" s="27" t="s">
        <v>6442</v>
      </c>
      <c r="D3491" s="27" t="s">
        <v>5104</v>
      </c>
      <c r="E3491" s="29">
        <v>38078</v>
      </c>
      <c r="F3491" s="27">
        <v>15</v>
      </c>
      <c r="G3491" s="18">
        <v>13684.52</v>
      </c>
      <c r="H3491" s="27">
        <f t="shared" si="108"/>
        <v>13684.52</v>
      </c>
      <c r="I3491" s="18">
        <v>13000.29</v>
      </c>
      <c r="J3491" s="27">
        <v>13684.52</v>
      </c>
      <c r="K3491" s="18">
        <f t="shared" si="109"/>
        <v>13684.52</v>
      </c>
      <c r="L3491" s="27">
        <v>13000.29</v>
      </c>
      <c r="M3491" s="36">
        <v>0</v>
      </c>
      <c r="T3491" s="41">
        <v>0</v>
      </c>
      <c r="U3491" s="41">
        <v>0</v>
      </c>
      <c r="V3491" s="42" t="s">
        <v>113</v>
      </c>
      <c r="W3491" s="42">
        <v>13684.52</v>
      </c>
      <c r="X3491" s="42">
        <v>13684.52</v>
      </c>
    </row>
    <row r="3492" spans="1:24">
      <c r="A3492" s="27" t="s">
        <v>6446</v>
      </c>
      <c r="B3492" s="28" t="s">
        <v>5102</v>
      </c>
      <c r="C3492" s="27" t="s">
        <v>6442</v>
      </c>
      <c r="D3492" s="27" t="s">
        <v>5104</v>
      </c>
      <c r="E3492" s="29">
        <v>38078</v>
      </c>
      <c r="F3492" s="27">
        <v>15</v>
      </c>
      <c r="G3492" s="18">
        <v>39923.65</v>
      </c>
      <c r="H3492" s="27">
        <f t="shared" si="108"/>
        <v>39923.65</v>
      </c>
      <c r="I3492" s="18">
        <v>37927.47</v>
      </c>
      <c r="J3492" s="27">
        <v>39923.65</v>
      </c>
      <c r="K3492" s="18">
        <f t="shared" si="109"/>
        <v>39923.65</v>
      </c>
      <c r="L3492" s="27">
        <v>37927.47</v>
      </c>
      <c r="M3492" s="36">
        <v>0</v>
      </c>
      <c r="T3492" s="41">
        <v>0</v>
      </c>
      <c r="U3492" s="41">
        <v>0</v>
      </c>
      <c r="V3492" s="42" t="s">
        <v>113</v>
      </c>
      <c r="W3492" s="42">
        <v>39923.65</v>
      </c>
      <c r="X3492" s="42">
        <v>39923.65</v>
      </c>
    </row>
    <row r="3493" spans="1:24">
      <c r="A3493" s="27" t="s">
        <v>6447</v>
      </c>
      <c r="B3493" s="28" t="s">
        <v>5102</v>
      </c>
      <c r="C3493" s="27" t="s">
        <v>6442</v>
      </c>
      <c r="D3493" s="27" t="s">
        <v>5104</v>
      </c>
      <c r="E3493" s="29">
        <v>38078</v>
      </c>
      <c r="F3493" s="27">
        <v>15</v>
      </c>
      <c r="G3493" s="18">
        <v>337865.34</v>
      </c>
      <c r="H3493" s="27">
        <f t="shared" si="108"/>
        <v>337865.34</v>
      </c>
      <c r="I3493" s="18">
        <v>320972.07</v>
      </c>
      <c r="J3493" s="27">
        <v>337865.34</v>
      </c>
      <c r="K3493" s="18">
        <f t="shared" si="109"/>
        <v>337865.34</v>
      </c>
      <c r="L3493" s="27">
        <v>320972.07</v>
      </c>
      <c r="M3493" s="36">
        <v>0</v>
      </c>
      <c r="T3493" s="41">
        <v>0</v>
      </c>
      <c r="U3493" s="41">
        <v>0</v>
      </c>
      <c r="V3493" s="42" t="s">
        <v>113</v>
      </c>
      <c r="W3493" s="42">
        <v>337865.34</v>
      </c>
      <c r="X3493" s="42">
        <v>337865.34</v>
      </c>
    </row>
    <row r="3494" spans="1:24">
      <c r="A3494" s="27" t="s">
        <v>6448</v>
      </c>
      <c r="B3494" s="28" t="s">
        <v>5102</v>
      </c>
      <c r="C3494" s="27" t="s">
        <v>6442</v>
      </c>
      <c r="D3494" s="27" t="s">
        <v>5104</v>
      </c>
      <c r="E3494" s="29">
        <v>38078</v>
      </c>
      <c r="F3494" s="27">
        <v>15</v>
      </c>
      <c r="G3494" s="18">
        <v>9813.51</v>
      </c>
      <c r="H3494" s="27">
        <f t="shared" si="108"/>
        <v>9813.51</v>
      </c>
      <c r="I3494" s="18">
        <v>9322.83</v>
      </c>
      <c r="J3494" s="27">
        <v>9813.51</v>
      </c>
      <c r="K3494" s="18">
        <f t="shared" si="109"/>
        <v>9813.51</v>
      </c>
      <c r="L3494" s="27">
        <v>9322.83</v>
      </c>
      <c r="M3494" s="36">
        <v>0</v>
      </c>
      <c r="T3494" s="41">
        <v>0</v>
      </c>
      <c r="U3494" s="41">
        <v>0</v>
      </c>
      <c r="V3494" s="42" t="s">
        <v>113</v>
      </c>
      <c r="W3494" s="42">
        <v>9813.51</v>
      </c>
      <c r="X3494" s="42">
        <v>9813.51</v>
      </c>
    </row>
    <row r="3495" spans="1:24">
      <c r="A3495" s="27" t="s">
        <v>6449</v>
      </c>
      <c r="B3495" s="28" t="s">
        <v>5102</v>
      </c>
      <c r="C3495" s="27" t="s">
        <v>6450</v>
      </c>
      <c r="D3495" s="27" t="s">
        <v>5104</v>
      </c>
      <c r="E3495" s="29">
        <v>38078</v>
      </c>
      <c r="F3495" s="27">
        <v>15</v>
      </c>
      <c r="G3495" s="18">
        <v>25889.82</v>
      </c>
      <c r="H3495" s="27">
        <f t="shared" si="108"/>
        <v>25889.82</v>
      </c>
      <c r="I3495" s="18">
        <v>24595.33</v>
      </c>
      <c r="J3495" s="27">
        <v>25889.82</v>
      </c>
      <c r="K3495" s="18">
        <f t="shared" si="109"/>
        <v>25889.82</v>
      </c>
      <c r="L3495" s="27">
        <v>24595.33</v>
      </c>
      <c r="M3495" s="36">
        <v>0</v>
      </c>
      <c r="T3495" s="41">
        <v>0</v>
      </c>
      <c r="U3495" s="41">
        <v>0</v>
      </c>
      <c r="V3495" s="42" t="s">
        <v>113</v>
      </c>
      <c r="W3495" s="42">
        <v>25889.82</v>
      </c>
      <c r="X3495" s="42">
        <v>25889.82</v>
      </c>
    </row>
    <row r="3496" spans="1:24">
      <c r="A3496" s="27" t="s">
        <v>6451</v>
      </c>
      <c r="B3496" s="28" t="s">
        <v>5102</v>
      </c>
      <c r="C3496" s="27" t="s">
        <v>6450</v>
      </c>
      <c r="D3496" s="27" t="s">
        <v>5104</v>
      </c>
      <c r="E3496" s="29">
        <v>38078</v>
      </c>
      <c r="F3496" s="27">
        <v>15</v>
      </c>
      <c r="G3496" s="18">
        <v>127931.42</v>
      </c>
      <c r="H3496" s="27">
        <f t="shared" si="108"/>
        <v>127931.42</v>
      </c>
      <c r="I3496" s="18">
        <v>121534.85</v>
      </c>
      <c r="J3496" s="27">
        <v>127931.42</v>
      </c>
      <c r="K3496" s="18">
        <f t="shared" si="109"/>
        <v>127931.42</v>
      </c>
      <c r="L3496" s="27">
        <v>121534.85</v>
      </c>
      <c r="M3496" s="36">
        <v>0</v>
      </c>
      <c r="T3496" s="41">
        <v>0</v>
      </c>
      <c r="U3496" s="41">
        <v>0</v>
      </c>
      <c r="V3496" s="42" t="s">
        <v>113</v>
      </c>
      <c r="W3496" s="42">
        <v>127931.42</v>
      </c>
      <c r="X3496" s="42">
        <v>127931.42</v>
      </c>
    </row>
    <row r="3497" spans="1:24">
      <c r="A3497" s="27" t="s">
        <v>6452</v>
      </c>
      <c r="B3497" s="28" t="s">
        <v>5102</v>
      </c>
      <c r="C3497" s="27" t="s">
        <v>6453</v>
      </c>
      <c r="D3497" s="27" t="s">
        <v>5104</v>
      </c>
      <c r="E3497" s="29">
        <v>38078</v>
      </c>
      <c r="F3497" s="27">
        <v>15</v>
      </c>
      <c r="G3497" s="18">
        <v>57331.48</v>
      </c>
      <c r="H3497" s="27">
        <f t="shared" si="108"/>
        <v>57331.48</v>
      </c>
      <c r="I3497" s="18">
        <v>54464.91</v>
      </c>
      <c r="J3497" s="27">
        <v>57331.48</v>
      </c>
      <c r="K3497" s="18">
        <f t="shared" si="109"/>
        <v>57331.48</v>
      </c>
      <c r="L3497" s="27">
        <v>54464.91</v>
      </c>
      <c r="M3497" s="36">
        <v>0</v>
      </c>
      <c r="T3497" s="41">
        <v>0</v>
      </c>
      <c r="U3497" s="41">
        <v>0</v>
      </c>
      <c r="V3497" s="42" t="s">
        <v>113</v>
      </c>
      <c r="W3497" s="42">
        <v>57331.48</v>
      </c>
      <c r="X3497" s="42">
        <v>57331.48</v>
      </c>
    </row>
    <row r="3498" spans="1:24">
      <c r="A3498" s="27" t="s">
        <v>6454</v>
      </c>
      <c r="B3498" s="28" t="s">
        <v>5102</v>
      </c>
      <c r="C3498" s="27" t="s">
        <v>6455</v>
      </c>
      <c r="D3498" s="27" t="s">
        <v>5104</v>
      </c>
      <c r="E3498" s="29">
        <v>38078</v>
      </c>
      <c r="F3498" s="27">
        <v>15</v>
      </c>
      <c r="G3498" s="18">
        <v>7114.13</v>
      </c>
      <c r="H3498" s="27">
        <f t="shared" si="108"/>
        <v>7114.13</v>
      </c>
      <c r="I3498" s="18">
        <v>6758.42</v>
      </c>
      <c r="J3498" s="27">
        <v>7114.13</v>
      </c>
      <c r="K3498" s="18">
        <f t="shared" si="109"/>
        <v>7114.13</v>
      </c>
      <c r="L3498" s="27">
        <v>6758.42</v>
      </c>
      <c r="M3498" s="36">
        <v>0</v>
      </c>
      <c r="T3498" s="41">
        <v>0</v>
      </c>
      <c r="U3498" s="41">
        <v>0</v>
      </c>
      <c r="V3498" s="42" t="s">
        <v>113</v>
      </c>
      <c r="W3498" s="42">
        <v>7114.13</v>
      </c>
      <c r="X3498" s="42">
        <v>7114.13</v>
      </c>
    </row>
    <row r="3499" spans="1:24">
      <c r="A3499" s="27" t="s">
        <v>6456</v>
      </c>
      <c r="B3499" s="28" t="s">
        <v>5102</v>
      </c>
      <c r="C3499" s="27" t="s">
        <v>6455</v>
      </c>
      <c r="D3499" s="27" t="s">
        <v>5104</v>
      </c>
      <c r="E3499" s="29">
        <v>38078</v>
      </c>
      <c r="F3499" s="27">
        <v>15</v>
      </c>
      <c r="G3499" s="18">
        <v>100122.98</v>
      </c>
      <c r="H3499" s="27">
        <f t="shared" si="108"/>
        <v>100122.98</v>
      </c>
      <c r="I3499" s="18">
        <v>95116.83</v>
      </c>
      <c r="J3499" s="27">
        <v>100122.98</v>
      </c>
      <c r="K3499" s="18">
        <f t="shared" si="109"/>
        <v>100122.98</v>
      </c>
      <c r="L3499" s="27">
        <v>95116.83</v>
      </c>
      <c r="M3499" s="36">
        <v>0</v>
      </c>
      <c r="T3499" s="41">
        <v>0</v>
      </c>
      <c r="U3499" s="41">
        <v>0</v>
      </c>
      <c r="V3499" s="42" t="s">
        <v>113</v>
      </c>
      <c r="W3499" s="42">
        <v>100122.98</v>
      </c>
      <c r="X3499" s="42">
        <v>100122.98</v>
      </c>
    </row>
    <row r="3500" spans="1:24">
      <c r="A3500" s="27" t="s">
        <v>6457</v>
      </c>
      <c r="B3500" s="28" t="s">
        <v>5102</v>
      </c>
      <c r="C3500" s="27" t="s">
        <v>6458</v>
      </c>
      <c r="D3500" s="27" t="s">
        <v>5104</v>
      </c>
      <c r="E3500" s="29">
        <v>38078</v>
      </c>
      <c r="F3500" s="27">
        <v>15</v>
      </c>
      <c r="G3500" s="18">
        <v>25117.13</v>
      </c>
      <c r="H3500" s="27">
        <f t="shared" si="108"/>
        <v>25117.13</v>
      </c>
      <c r="I3500" s="18">
        <v>23861.27</v>
      </c>
      <c r="J3500" s="27">
        <v>25117.13</v>
      </c>
      <c r="K3500" s="18">
        <f t="shared" si="109"/>
        <v>25117.13</v>
      </c>
      <c r="L3500" s="27">
        <v>23861.27</v>
      </c>
      <c r="M3500" s="36">
        <v>0</v>
      </c>
      <c r="T3500" s="41">
        <v>0</v>
      </c>
      <c r="U3500" s="41">
        <v>0</v>
      </c>
      <c r="V3500" s="42" t="s">
        <v>113</v>
      </c>
      <c r="W3500" s="42">
        <v>25117.13</v>
      </c>
      <c r="X3500" s="42">
        <v>25117.13</v>
      </c>
    </row>
    <row r="3501" spans="1:24">
      <c r="A3501" s="27" t="s">
        <v>6459</v>
      </c>
      <c r="B3501" s="28" t="s">
        <v>5102</v>
      </c>
      <c r="C3501" s="27" t="s">
        <v>6460</v>
      </c>
      <c r="D3501" s="27" t="s">
        <v>5104</v>
      </c>
      <c r="E3501" s="29">
        <v>38078</v>
      </c>
      <c r="F3501" s="27">
        <v>15</v>
      </c>
      <c r="G3501" s="18">
        <v>21974.44</v>
      </c>
      <c r="H3501" s="27">
        <f t="shared" si="108"/>
        <v>21974.44</v>
      </c>
      <c r="I3501" s="18">
        <v>20875.72</v>
      </c>
      <c r="J3501" s="27">
        <v>21974.44</v>
      </c>
      <c r="K3501" s="18">
        <f t="shared" si="109"/>
        <v>21974.44</v>
      </c>
      <c r="L3501" s="27">
        <v>20875.72</v>
      </c>
      <c r="M3501" s="36">
        <v>0</v>
      </c>
      <c r="T3501" s="41">
        <v>0</v>
      </c>
      <c r="U3501" s="41">
        <v>0</v>
      </c>
      <c r="V3501" s="42" t="s">
        <v>113</v>
      </c>
      <c r="W3501" s="42">
        <v>21974.44</v>
      </c>
      <c r="X3501" s="42">
        <v>21974.44</v>
      </c>
    </row>
    <row r="3502" spans="1:24">
      <c r="A3502" s="27" t="s">
        <v>6461</v>
      </c>
      <c r="B3502" s="28" t="s">
        <v>5102</v>
      </c>
      <c r="C3502" s="27" t="s">
        <v>6462</v>
      </c>
      <c r="D3502" s="27" t="s">
        <v>5104</v>
      </c>
      <c r="E3502" s="29">
        <v>38078</v>
      </c>
      <c r="F3502" s="27">
        <v>15</v>
      </c>
      <c r="G3502" s="18">
        <v>47189.02</v>
      </c>
      <c r="H3502" s="27">
        <f t="shared" si="108"/>
        <v>47189.02</v>
      </c>
      <c r="I3502" s="18">
        <v>44829.57</v>
      </c>
      <c r="J3502" s="27">
        <v>47189.02</v>
      </c>
      <c r="K3502" s="18">
        <f t="shared" si="109"/>
        <v>47189.02</v>
      </c>
      <c r="L3502" s="27">
        <v>44829.57</v>
      </c>
      <c r="M3502" s="36">
        <v>0</v>
      </c>
      <c r="T3502" s="41">
        <v>0</v>
      </c>
      <c r="U3502" s="41">
        <v>0</v>
      </c>
      <c r="V3502" s="42" t="s">
        <v>113</v>
      </c>
      <c r="W3502" s="42">
        <v>47189.02</v>
      </c>
      <c r="X3502" s="42">
        <v>47189.02</v>
      </c>
    </row>
    <row r="3503" spans="1:24">
      <c r="A3503" s="27" t="s">
        <v>6463</v>
      </c>
      <c r="B3503" s="28" t="s">
        <v>5102</v>
      </c>
      <c r="C3503" s="27" t="s">
        <v>6464</v>
      </c>
      <c r="D3503" s="27" t="s">
        <v>5104</v>
      </c>
      <c r="E3503" s="29">
        <v>38078</v>
      </c>
      <c r="F3503" s="27">
        <v>15</v>
      </c>
      <c r="G3503" s="18">
        <v>9038.27</v>
      </c>
      <c r="H3503" s="27">
        <f t="shared" si="108"/>
        <v>9038.27</v>
      </c>
      <c r="I3503" s="18">
        <v>8586.36</v>
      </c>
      <c r="J3503" s="27">
        <v>9038.27</v>
      </c>
      <c r="K3503" s="18">
        <f t="shared" si="109"/>
        <v>9038.27</v>
      </c>
      <c r="L3503" s="27">
        <v>8586.36</v>
      </c>
      <c r="M3503" s="36">
        <v>0</v>
      </c>
      <c r="T3503" s="41">
        <v>0</v>
      </c>
      <c r="U3503" s="41">
        <v>0</v>
      </c>
      <c r="V3503" s="42" t="s">
        <v>113</v>
      </c>
      <c r="W3503" s="42">
        <v>9038.27</v>
      </c>
      <c r="X3503" s="42">
        <v>9038.27</v>
      </c>
    </row>
    <row r="3504" spans="1:24">
      <c r="A3504" s="27" t="s">
        <v>6465</v>
      </c>
      <c r="B3504" s="28" t="s">
        <v>5102</v>
      </c>
      <c r="C3504" s="27" t="s">
        <v>6466</v>
      </c>
      <c r="D3504" s="27" t="s">
        <v>5104</v>
      </c>
      <c r="E3504" s="29">
        <v>38443</v>
      </c>
      <c r="F3504" s="27">
        <v>15</v>
      </c>
      <c r="G3504" s="18">
        <v>34090.239999999998</v>
      </c>
      <c r="H3504" s="27">
        <f t="shared" si="108"/>
        <v>34090.239999999998</v>
      </c>
      <c r="I3504" s="18">
        <v>32385.73</v>
      </c>
      <c r="J3504" s="27">
        <v>34090.239999999998</v>
      </c>
      <c r="K3504" s="18">
        <f t="shared" si="109"/>
        <v>34090.239999999998</v>
      </c>
      <c r="L3504" s="27">
        <v>32385.73</v>
      </c>
      <c r="M3504" s="36">
        <v>0</v>
      </c>
      <c r="T3504" s="41">
        <v>0</v>
      </c>
      <c r="U3504" s="41">
        <v>0</v>
      </c>
      <c r="V3504" s="42" t="s">
        <v>113</v>
      </c>
      <c r="W3504" s="42">
        <v>34090.239999999998</v>
      </c>
      <c r="X3504" s="42">
        <v>34090.239999999998</v>
      </c>
    </row>
    <row r="3505" spans="1:24">
      <c r="A3505" s="27" t="s">
        <v>6467</v>
      </c>
      <c r="B3505" s="28" t="s">
        <v>5102</v>
      </c>
      <c r="C3505" s="27" t="s">
        <v>6468</v>
      </c>
      <c r="D3505" s="27" t="s">
        <v>5104</v>
      </c>
      <c r="E3505" s="29">
        <v>38078</v>
      </c>
      <c r="F3505" s="27">
        <v>15</v>
      </c>
      <c r="G3505" s="18">
        <v>11766.81</v>
      </c>
      <c r="H3505" s="27">
        <f t="shared" si="108"/>
        <v>11766.81</v>
      </c>
      <c r="I3505" s="18">
        <v>11178.47</v>
      </c>
      <c r="J3505" s="27">
        <v>11766.81</v>
      </c>
      <c r="K3505" s="18">
        <f t="shared" si="109"/>
        <v>11766.81</v>
      </c>
      <c r="L3505" s="27">
        <v>11178.47</v>
      </c>
      <c r="M3505" s="36">
        <v>0</v>
      </c>
      <c r="T3505" s="41">
        <v>0</v>
      </c>
      <c r="U3505" s="41">
        <v>0</v>
      </c>
      <c r="V3505" s="42" t="s">
        <v>113</v>
      </c>
      <c r="W3505" s="42">
        <v>11766.81</v>
      </c>
      <c r="X3505" s="42">
        <v>11766.81</v>
      </c>
    </row>
    <row r="3506" spans="1:24">
      <c r="A3506" s="27" t="s">
        <v>6469</v>
      </c>
      <c r="B3506" s="28" t="s">
        <v>5102</v>
      </c>
      <c r="C3506" s="27" t="s">
        <v>6470</v>
      </c>
      <c r="D3506" s="27" t="s">
        <v>5104</v>
      </c>
      <c r="E3506" s="29">
        <v>38078</v>
      </c>
      <c r="F3506" s="27">
        <v>15</v>
      </c>
      <c r="G3506" s="18">
        <v>32450.06</v>
      </c>
      <c r="H3506" s="27">
        <f t="shared" si="108"/>
        <v>32450.06</v>
      </c>
      <c r="I3506" s="18">
        <v>30827.56</v>
      </c>
      <c r="J3506" s="27">
        <v>32450.06</v>
      </c>
      <c r="K3506" s="18">
        <f t="shared" si="109"/>
        <v>32450.06</v>
      </c>
      <c r="L3506" s="27">
        <v>30827.56</v>
      </c>
      <c r="M3506" s="36">
        <v>0</v>
      </c>
      <c r="T3506" s="41">
        <v>0</v>
      </c>
      <c r="U3506" s="41">
        <v>0</v>
      </c>
      <c r="V3506" s="42" t="s">
        <v>113</v>
      </c>
      <c r="W3506" s="42">
        <v>32450.06</v>
      </c>
      <c r="X3506" s="42">
        <v>32450.06</v>
      </c>
    </row>
    <row r="3507" spans="1:24">
      <c r="A3507" s="27" t="s">
        <v>6471</v>
      </c>
      <c r="B3507" s="28" t="s">
        <v>5102</v>
      </c>
      <c r="C3507" s="27" t="s">
        <v>6472</v>
      </c>
      <c r="D3507" s="27" t="s">
        <v>5104</v>
      </c>
      <c r="E3507" s="29">
        <v>37773</v>
      </c>
      <c r="F3507" s="27">
        <v>15</v>
      </c>
      <c r="G3507" s="18">
        <v>328704</v>
      </c>
      <c r="H3507" s="27">
        <f t="shared" si="108"/>
        <v>328704</v>
      </c>
      <c r="I3507" s="18">
        <v>312268.79999999999</v>
      </c>
      <c r="J3507" s="27">
        <v>328704</v>
      </c>
      <c r="K3507" s="18">
        <f t="shared" si="109"/>
        <v>328704</v>
      </c>
      <c r="L3507" s="27">
        <v>312268.79999999999</v>
      </c>
      <c r="M3507" s="36">
        <v>0</v>
      </c>
      <c r="T3507" s="41">
        <v>0</v>
      </c>
      <c r="U3507" s="41">
        <v>0</v>
      </c>
      <c r="V3507" s="42" t="s">
        <v>113</v>
      </c>
      <c r="W3507" s="42">
        <v>328704</v>
      </c>
      <c r="X3507" s="42">
        <v>328704</v>
      </c>
    </row>
    <row r="3508" spans="1:24">
      <c r="A3508" s="27" t="s">
        <v>6473</v>
      </c>
      <c r="B3508" s="28" t="s">
        <v>5102</v>
      </c>
      <c r="C3508" s="27" t="s">
        <v>6474</v>
      </c>
      <c r="D3508" s="27" t="s">
        <v>5104</v>
      </c>
      <c r="E3508" s="29">
        <v>39417</v>
      </c>
      <c r="F3508" s="27">
        <v>15</v>
      </c>
      <c r="G3508" s="18">
        <v>6342.93</v>
      </c>
      <c r="H3508" s="27">
        <f t="shared" si="108"/>
        <v>0</v>
      </c>
      <c r="I3508" s="18">
        <v>5366.46</v>
      </c>
      <c r="J3508" s="27">
        <v>6342.93</v>
      </c>
      <c r="K3508" s="18">
        <f t="shared" si="109"/>
        <v>0</v>
      </c>
      <c r="L3508" s="27">
        <v>5531.29</v>
      </c>
      <c r="M3508" s="36">
        <v>164.83</v>
      </c>
      <c r="T3508" s="41">
        <v>0</v>
      </c>
      <c r="U3508" s="41">
        <v>0</v>
      </c>
      <c r="V3508" s="42" t="s">
        <v>113</v>
      </c>
      <c r="W3508" s="42">
        <v>0</v>
      </c>
      <c r="X3508" s="42">
        <v>0</v>
      </c>
    </row>
    <row r="3509" spans="1:24">
      <c r="A3509" s="27" t="s">
        <v>6475</v>
      </c>
      <c r="B3509" s="28" t="s">
        <v>5102</v>
      </c>
      <c r="C3509" s="27" t="s">
        <v>6476</v>
      </c>
      <c r="D3509" s="27" t="s">
        <v>5104</v>
      </c>
      <c r="E3509" s="29">
        <v>38078</v>
      </c>
      <c r="F3509" s="27">
        <v>15</v>
      </c>
      <c r="G3509" s="18">
        <v>113435.81</v>
      </c>
      <c r="H3509" s="27">
        <f t="shared" si="108"/>
        <v>113435.81</v>
      </c>
      <c r="I3509" s="18">
        <v>107764.02</v>
      </c>
      <c r="J3509" s="27">
        <v>113435.81</v>
      </c>
      <c r="K3509" s="18">
        <f t="shared" si="109"/>
        <v>113435.81</v>
      </c>
      <c r="L3509" s="27">
        <v>107764.02</v>
      </c>
      <c r="M3509" s="36">
        <v>0</v>
      </c>
      <c r="T3509" s="41">
        <v>0</v>
      </c>
      <c r="U3509" s="41">
        <v>0</v>
      </c>
      <c r="V3509" s="42" t="s">
        <v>113</v>
      </c>
      <c r="W3509" s="42">
        <v>113435.81</v>
      </c>
      <c r="X3509" s="42">
        <v>113435.81</v>
      </c>
    </row>
    <row r="3510" spans="1:24">
      <c r="A3510" s="27" t="s">
        <v>6477</v>
      </c>
      <c r="B3510" s="28" t="s">
        <v>5102</v>
      </c>
      <c r="C3510" s="27" t="s">
        <v>6476</v>
      </c>
      <c r="D3510" s="27" t="s">
        <v>5104</v>
      </c>
      <c r="E3510" s="29">
        <v>38078</v>
      </c>
      <c r="F3510" s="27">
        <v>15</v>
      </c>
      <c r="G3510" s="18">
        <v>7805.29</v>
      </c>
      <c r="H3510" s="27">
        <f t="shared" si="108"/>
        <v>7805.29</v>
      </c>
      <c r="I3510" s="18">
        <v>7415.03</v>
      </c>
      <c r="J3510" s="27">
        <v>7805.29</v>
      </c>
      <c r="K3510" s="18">
        <f t="shared" si="109"/>
        <v>7805.29</v>
      </c>
      <c r="L3510" s="27">
        <v>7415.03</v>
      </c>
      <c r="M3510" s="36">
        <v>0</v>
      </c>
      <c r="T3510" s="41">
        <v>0</v>
      </c>
      <c r="U3510" s="41">
        <v>0</v>
      </c>
      <c r="V3510" s="42" t="s">
        <v>113</v>
      </c>
      <c r="W3510" s="42">
        <v>7805.29</v>
      </c>
      <c r="X3510" s="42">
        <v>7805.29</v>
      </c>
    </row>
    <row r="3511" spans="1:24">
      <c r="A3511" s="27" t="s">
        <v>6478</v>
      </c>
      <c r="B3511" s="28" t="s">
        <v>5102</v>
      </c>
      <c r="C3511" s="27" t="s">
        <v>6479</v>
      </c>
      <c r="D3511" s="27" t="s">
        <v>5104</v>
      </c>
      <c r="E3511" s="29">
        <v>38078</v>
      </c>
      <c r="F3511" s="27">
        <v>15</v>
      </c>
      <c r="G3511" s="18">
        <v>14419.07</v>
      </c>
      <c r="H3511" s="27">
        <f t="shared" si="108"/>
        <v>14419.07</v>
      </c>
      <c r="I3511" s="18">
        <v>13698.12</v>
      </c>
      <c r="J3511" s="27">
        <v>14419.07</v>
      </c>
      <c r="K3511" s="18">
        <f t="shared" si="109"/>
        <v>14419.07</v>
      </c>
      <c r="L3511" s="27">
        <v>13698.12</v>
      </c>
      <c r="M3511" s="36">
        <v>0</v>
      </c>
      <c r="T3511" s="41">
        <v>0</v>
      </c>
      <c r="U3511" s="41">
        <v>0</v>
      </c>
      <c r="V3511" s="42" t="s">
        <v>113</v>
      </c>
      <c r="W3511" s="42">
        <v>14419.07</v>
      </c>
      <c r="X3511" s="42">
        <v>14419.07</v>
      </c>
    </row>
    <row r="3512" spans="1:24">
      <c r="A3512" s="27" t="s">
        <v>6480</v>
      </c>
      <c r="B3512" s="28" t="s">
        <v>5102</v>
      </c>
      <c r="C3512" s="27" t="s">
        <v>6481</v>
      </c>
      <c r="D3512" s="27" t="s">
        <v>5104</v>
      </c>
      <c r="E3512" s="29">
        <v>38078</v>
      </c>
      <c r="F3512" s="27">
        <v>15</v>
      </c>
      <c r="G3512" s="18">
        <v>84873.95</v>
      </c>
      <c r="H3512" s="27">
        <f t="shared" si="108"/>
        <v>84873.95</v>
      </c>
      <c r="I3512" s="18">
        <v>80630.25</v>
      </c>
      <c r="J3512" s="27">
        <v>84873.95</v>
      </c>
      <c r="K3512" s="18">
        <f t="shared" si="109"/>
        <v>84873.95</v>
      </c>
      <c r="L3512" s="27">
        <v>80630.25</v>
      </c>
      <c r="M3512" s="36">
        <v>0</v>
      </c>
      <c r="T3512" s="41">
        <v>0</v>
      </c>
      <c r="U3512" s="41">
        <v>0</v>
      </c>
      <c r="V3512" s="42" t="s">
        <v>113</v>
      </c>
      <c r="W3512" s="42">
        <v>84873.95</v>
      </c>
      <c r="X3512" s="42">
        <v>84873.95</v>
      </c>
    </row>
    <row r="3513" spans="1:24">
      <c r="A3513" s="27" t="s">
        <v>6482</v>
      </c>
      <c r="B3513" s="28" t="s">
        <v>5102</v>
      </c>
      <c r="C3513" s="27" t="s">
        <v>6481</v>
      </c>
      <c r="D3513" s="27" t="s">
        <v>5104</v>
      </c>
      <c r="E3513" s="29">
        <v>38078</v>
      </c>
      <c r="F3513" s="27">
        <v>15</v>
      </c>
      <c r="G3513" s="18">
        <v>6475.62</v>
      </c>
      <c r="H3513" s="27">
        <f t="shared" si="108"/>
        <v>6475.62</v>
      </c>
      <c r="I3513" s="18">
        <v>6151.84</v>
      </c>
      <c r="J3513" s="27">
        <v>6475.62</v>
      </c>
      <c r="K3513" s="18">
        <f t="shared" si="109"/>
        <v>6475.62</v>
      </c>
      <c r="L3513" s="27">
        <v>6151.84</v>
      </c>
      <c r="M3513" s="36">
        <v>0</v>
      </c>
      <c r="T3513" s="41">
        <v>0</v>
      </c>
      <c r="U3513" s="41">
        <v>0</v>
      </c>
      <c r="V3513" s="42" t="s">
        <v>113</v>
      </c>
      <c r="W3513" s="42">
        <v>6475.62</v>
      </c>
      <c r="X3513" s="42">
        <v>6475.62</v>
      </c>
    </row>
    <row r="3514" spans="1:24">
      <c r="A3514" s="27" t="s">
        <v>6483</v>
      </c>
      <c r="B3514" s="28" t="s">
        <v>5102</v>
      </c>
      <c r="C3514" s="27" t="s">
        <v>6484</v>
      </c>
      <c r="D3514" s="27" t="s">
        <v>5104</v>
      </c>
      <c r="E3514" s="29">
        <v>39417</v>
      </c>
      <c r="F3514" s="27">
        <v>15</v>
      </c>
      <c r="G3514" s="18">
        <v>123852.71</v>
      </c>
      <c r="H3514" s="27">
        <f t="shared" si="108"/>
        <v>0</v>
      </c>
      <c r="I3514" s="18">
        <v>105633.87</v>
      </c>
      <c r="J3514" s="27">
        <v>123852.71</v>
      </c>
      <c r="K3514" s="18">
        <f t="shared" si="109"/>
        <v>0</v>
      </c>
      <c r="L3514" s="27">
        <v>108640.42</v>
      </c>
      <c r="M3514" s="36">
        <v>3006.55</v>
      </c>
      <c r="T3514" s="41">
        <v>0</v>
      </c>
      <c r="U3514" s="41">
        <v>0</v>
      </c>
      <c r="V3514" s="42" t="s">
        <v>113</v>
      </c>
      <c r="W3514" s="42">
        <v>0</v>
      </c>
      <c r="X3514" s="42">
        <v>0</v>
      </c>
    </row>
    <row r="3515" spans="1:24">
      <c r="A3515" s="27" t="s">
        <v>6485</v>
      </c>
      <c r="B3515" s="28" t="s">
        <v>5102</v>
      </c>
      <c r="C3515" s="27" t="s">
        <v>6484</v>
      </c>
      <c r="D3515" s="27" t="s">
        <v>5104</v>
      </c>
      <c r="E3515" s="29">
        <v>39417</v>
      </c>
      <c r="F3515" s="27">
        <v>15</v>
      </c>
      <c r="G3515" s="18">
        <v>198360.71</v>
      </c>
      <c r="H3515" s="27">
        <f t="shared" si="108"/>
        <v>0</v>
      </c>
      <c r="I3515" s="18">
        <v>169182.4</v>
      </c>
      <c r="J3515" s="27">
        <v>198360.71</v>
      </c>
      <c r="K3515" s="18">
        <f t="shared" si="109"/>
        <v>0</v>
      </c>
      <c r="L3515" s="27">
        <v>173997.47</v>
      </c>
      <c r="M3515" s="36">
        <v>4815.07</v>
      </c>
      <c r="T3515" s="41">
        <v>0</v>
      </c>
      <c r="U3515" s="41">
        <v>0</v>
      </c>
      <c r="V3515" s="42" t="s">
        <v>113</v>
      </c>
      <c r="W3515" s="42">
        <v>0</v>
      </c>
      <c r="X3515" s="42">
        <v>0</v>
      </c>
    </row>
    <row r="3516" spans="1:24">
      <c r="A3516" s="27" t="s">
        <v>6486</v>
      </c>
      <c r="B3516" s="28" t="s">
        <v>5102</v>
      </c>
      <c r="C3516" s="27" t="s">
        <v>6487</v>
      </c>
      <c r="D3516" s="27" t="s">
        <v>5104</v>
      </c>
      <c r="E3516" s="29">
        <v>39417</v>
      </c>
      <c r="F3516" s="27">
        <v>15</v>
      </c>
      <c r="G3516" s="18">
        <v>14290.7</v>
      </c>
      <c r="H3516" s="27">
        <f t="shared" si="108"/>
        <v>0</v>
      </c>
      <c r="I3516" s="18">
        <v>12188.52</v>
      </c>
      <c r="J3516" s="27">
        <v>14290.7</v>
      </c>
      <c r="K3516" s="18">
        <f t="shared" si="109"/>
        <v>0</v>
      </c>
      <c r="L3516" s="27">
        <v>12535.43</v>
      </c>
      <c r="M3516" s="36">
        <v>346.91</v>
      </c>
      <c r="T3516" s="41">
        <v>0</v>
      </c>
      <c r="U3516" s="41">
        <v>0</v>
      </c>
      <c r="V3516" s="42" t="s">
        <v>113</v>
      </c>
      <c r="W3516" s="42">
        <v>0</v>
      </c>
      <c r="X3516" s="42">
        <v>0</v>
      </c>
    </row>
    <row r="3517" spans="1:24">
      <c r="A3517" s="27" t="s">
        <v>6488</v>
      </c>
      <c r="B3517" s="28" t="s">
        <v>5102</v>
      </c>
      <c r="C3517" s="27" t="s">
        <v>6489</v>
      </c>
      <c r="D3517" s="27" t="s">
        <v>5104</v>
      </c>
      <c r="E3517" s="29">
        <v>38078</v>
      </c>
      <c r="F3517" s="27">
        <v>15</v>
      </c>
      <c r="G3517" s="18">
        <v>9169.5</v>
      </c>
      <c r="H3517" s="27">
        <f t="shared" si="108"/>
        <v>9169.5</v>
      </c>
      <c r="I3517" s="18">
        <v>8711.02</v>
      </c>
      <c r="J3517" s="27">
        <v>9169.5</v>
      </c>
      <c r="K3517" s="18">
        <f t="shared" si="109"/>
        <v>9169.5</v>
      </c>
      <c r="L3517" s="27">
        <v>8711.02</v>
      </c>
      <c r="M3517" s="36">
        <v>0</v>
      </c>
      <c r="T3517" s="41">
        <v>0</v>
      </c>
      <c r="U3517" s="41">
        <v>0</v>
      </c>
      <c r="V3517" s="42" t="s">
        <v>113</v>
      </c>
      <c r="W3517" s="42">
        <v>9169.5</v>
      </c>
      <c r="X3517" s="42">
        <v>9169.5</v>
      </c>
    </row>
    <row r="3518" spans="1:24">
      <c r="A3518" s="27" t="s">
        <v>6490</v>
      </c>
      <c r="B3518" s="28" t="s">
        <v>5102</v>
      </c>
      <c r="C3518" s="27" t="s">
        <v>6489</v>
      </c>
      <c r="D3518" s="27" t="s">
        <v>5104</v>
      </c>
      <c r="E3518" s="29">
        <v>38078</v>
      </c>
      <c r="F3518" s="27">
        <v>15</v>
      </c>
      <c r="G3518" s="18">
        <v>19150.599999999999</v>
      </c>
      <c r="H3518" s="27">
        <f t="shared" si="108"/>
        <v>19150.599999999999</v>
      </c>
      <c r="I3518" s="18">
        <v>18193.07</v>
      </c>
      <c r="J3518" s="27">
        <v>19150.599999999999</v>
      </c>
      <c r="K3518" s="18">
        <f t="shared" si="109"/>
        <v>19150.599999999999</v>
      </c>
      <c r="L3518" s="27">
        <v>18193.07</v>
      </c>
      <c r="M3518" s="36">
        <v>0</v>
      </c>
      <c r="T3518" s="41">
        <v>0</v>
      </c>
      <c r="U3518" s="41">
        <v>0</v>
      </c>
      <c r="V3518" s="42" t="s">
        <v>113</v>
      </c>
      <c r="W3518" s="42">
        <v>19150.599999999999</v>
      </c>
      <c r="X3518" s="42">
        <v>19150.599999999999</v>
      </c>
    </row>
    <row r="3519" spans="1:24">
      <c r="A3519" s="27" t="s">
        <v>6491</v>
      </c>
      <c r="B3519" s="28" t="s">
        <v>5102</v>
      </c>
      <c r="C3519" s="27" t="s">
        <v>6489</v>
      </c>
      <c r="D3519" s="27" t="s">
        <v>5104</v>
      </c>
      <c r="E3519" s="29">
        <v>38078</v>
      </c>
      <c r="F3519" s="27">
        <v>15</v>
      </c>
      <c r="G3519" s="18">
        <v>20773.830000000002</v>
      </c>
      <c r="H3519" s="27">
        <f t="shared" si="108"/>
        <v>20773.830000000002</v>
      </c>
      <c r="I3519" s="18">
        <v>19735.14</v>
      </c>
      <c r="J3519" s="27">
        <v>20773.830000000002</v>
      </c>
      <c r="K3519" s="18">
        <f t="shared" si="109"/>
        <v>20773.830000000002</v>
      </c>
      <c r="L3519" s="27">
        <v>19735.14</v>
      </c>
      <c r="M3519" s="36">
        <v>0</v>
      </c>
      <c r="T3519" s="41">
        <v>0</v>
      </c>
      <c r="U3519" s="41">
        <v>0</v>
      </c>
      <c r="V3519" s="42" t="s">
        <v>113</v>
      </c>
      <c r="W3519" s="42">
        <v>20773.830000000002</v>
      </c>
      <c r="X3519" s="42">
        <v>20773.830000000002</v>
      </c>
    </row>
    <row r="3520" spans="1:24">
      <c r="A3520" s="27" t="s">
        <v>6492</v>
      </c>
      <c r="B3520" s="28" t="s">
        <v>5102</v>
      </c>
      <c r="C3520" s="27" t="s">
        <v>6493</v>
      </c>
      <c r="D3520" s="27" t="s">
        <v>5104</v>
      </c>
      <c r="E3520" s="29">
        <v>38078</v>
      </c>
      <c r="F3520" s="27">
        <v>15</v>
      </c>
      <c r="G3520" s="18">
        <v>64238.27</v>
      </c>
      <c r="H3520" s="27">
        <f t="shared" si="108"/>
        <v>64238.27</v>
      </c>
      <c r="I3520" s="18">
        <v>61026.36</v>
      </c>
      <c r="J3520" s="27">
        <v>64238.27</v>
      </c>
      <c r="K3520" s="18">
        <f t="shared" si="109"/>
        <v>64238.27</v>
      </c>
      <c r="L3520" s="27">
        <v>61026.36</v>
      </c>
      <c r="M3520" s="36">
        <v>0</v>
      </c>
      <c r="T3520" s="41">
        <v>0</v>
      </c>
      <c r="U3520" s="41">
        <v>0</v>
      </c>
      <c r="V3520" s="42" t="s">
        <v>113</v>
      </c>
      <c r="W3520" s="42">
        <v>64238.27</v>
      </c>
      <c r="X3520" s="42">
        <v>64238.27</v>
      </c>
    </row>
    <row r="3521" spans="1:24">
      <c r="A3521" s="27" t="s">
        <v>6494</v>
      </c>
      <c r="B3521" s="28" t="s">
        <v>5102</v>
      </c>
      <c r="C3521" s="27" t="s">
        <v>6495</v>
      </c>
      <c r="D3521" s="27" t="s">
        <v>5104</v>
      </c>
      <c r="E3521" s="29">
        <v>38078</v>
      </c>
      <c r="F3521" s="27">
        <v>15</v>
      </c>
      <c r="G3521" s="18">
        <v>123848.62</v>
      </c>
      <c r="H3521" s="27">
        <f t="shared" si="108"/>
        <v>123848.62</v>
      </c>
      <c r="I3521" s="18">
        <v>117656.19</v>
      </c>
      <c r="J3521" s="27">
        <v>123848.62</v>
      </c>
      <c r="K3521" s="18">
        <f t="shared" si="109"/>
        <v>123848.62</v>
      </c>
      <c r="L3521" s="27">
        <v>117656.19</v>
      </c>
      <c r="M3521" s="36">
        <v>0</v>
      </c>
      <c r="T3521" s="41">
        <v>0</v>
      </c>
      <c r="U3521" s="41">
        <v>0</v>
      </c>
      <c r="V3521" s="42" t="s">
        <v>113</v>
      </c>
      <c r="W3521" s="42">
        <v>123848.62</v>
      </c>
      <c r="X3521" s="42">
        <v>123848.62</v>
      </c>
    </row>
    <row r="3522" spans="1:24">
      <c r="A3522" s="27" t="s">
        <v>6496</v>
      </c>
      <c r="B3522" s="28" t="s">
        <v>5102</v>
      </c>
      <c r="C3522" s="27" t="s">
        <v>6495</v>
      </c>
      <c r="D3522" s="27" t="s">
        <v>5104</v>
      </c>
      <c r="E3522" s="29">
        <v>38078</v>
      </c>
      <c r="F3522" s="27">
        <v>15</v>
      </c>
      <c r="G3522" s="18">
        <v>7442.66</v>
      </c>
      <c r="H3522" s="27">
        <f t="shared" si="108"/>
        <v>7442.66</v>
      </c>
      <c r="I3522" s="18">
        <v>7070.53</v>
      </c>
      <c r="J3522" s="27">
        <v>7442.66</v>
      </c>
      <c r="K3522" s="18">
        <f t="shared" si="109"/>
        <v>7442.66</v>
      </c>
      <c r="L3522" s="27">
        <v>7070.53</v>
      </c>
      <c r="M3522" s="36">
        <v>0</v>
      </c>
      <c r="T3522" s="41">
        <v>0</v>
      </c>
      <c r="U3522" s="41">
        <v>0</v>
      </c>
      <c r="V3522" s="42" t="s">
        <v>113</v>
      </c>
      <c r="W3522" s="42">
        <v>7442.66</v>
      </c>
      <c r="X3522" s="42">
        <v>7442.66</v>
      </c>
    </row>
    <row r="3523" spans="1:24">
      <c r="A3523" s="27" t="s">
        <v>6497</v>
      </c>
      <c r="B3523" s="28" t="s">
        <v>5102</v>
      </c>
      <c r="C3523" s="27" t="s">
        <v>6495</v>
      </c>
      <c r="D3523" s="27" t="s">
        <v>5104</v>
      </c>
      <c r="E3523" s="29">
        <v>38078</v>
      </c>
      <c r="F3523" s="27">
        <v>15</v>
      </c>
      <c r="G3523" s="18">
        <v>11466.18</v>
      </c>
      <c r="H3523" s="27">
        <f t="shared" si="108"/>
        <v>11466.18</v>
      </c>
      <c r="I3523" s="18">
        <v>10892.87</v>
      </c>
      <c r="J3523" s="27">
        <v>11466.18</v>
      </c>
      <c r="K3523" s="18">
        <f t="shared" si="109"/>
        <v>11466.18</v>
      </c>
      <c r="L3523" s="27">
        <v>10892.87</v>
      </c>
      <c r="M3523" s="36">
        <v>0</v>
      </c>
      <c r="T3523" s="41">
        <v>0</v>
      </c>
      <c r="U3523" s="41">
        <v>0</v>
      </c>
      <c r="V3523" s="42" t="s">
        <v>113</v>
      </c>
      <c r="W3523" s="42">
        <v>11466.18</v>
      </c>
      <c r="X3523" s="42">
        <v>11466.18</v>
      </c>
    </row>
    <row r="3524" spans="1:24">
      <c r="A3524" s="27" t="s">
        <v>6498</v>
      </c>
      <c r="B3524" s="28" t="s">
        <v>5102</v>
      </c>
      <c r="C3524" s="27" t="s">
        <v>6499</v>
      </c>
      <c r="D3524" s="27" t="s">
        <v>5104</v>
      </c>
      <c r="E3524" s="29">
        <v>38078</v>
      </c>
      <c r="F3524" s="27">
        <v>15</v>
      </c>
      <c r="G3524" s="18">
        <v>30150.55</v>
      </c>
      <c r="H3524" s="27">
        <f t="shared" si="108"/>
        <v>30150.55</v>
      </c>
      <c r="I3524" s="18">
        <v>28643.02</v>
      </c>
      <c r="J3524" s="27">
        <v>30150.55</v>
      </c>
      <c r="K3524" s="18">
        <f t="shared" si="109"/>
        <v>30150.55</v>
      </c>
      <c r="L3524" s="27">
        <v>28643.02</v>
      </c>
      <c r="M3524" s="36">
        <v>0</v>
      </c>
      <c r="T3524" s="41">
        <v>0</v>
      </c>
      <c r="U3524" s="41">
        <v>0</v>
      </c>
      <c r="V3524" s="42" t="s">
        <v>113</v>
      </c>
      <c r="W3524" s="42">
        <v>30150.55</v>
      </c>
      <c r="X3524" s="42">
        <v>30150.55</v>
      </c>
    </row>
    <row r="3525" spans="1:24">
      <c r="A3525" s="27" t="s">
        <v>6500</v>
      </c>
      <c r="B3525" s="28" t="s">
        <v>5102</v>
      </c>
      <c r="C3525" s="27" t="s">
        <v>6499</v>
      </c>
      <c r="D3525" s="27" t="s">
        <v>5104</v>
      </c>
      <c r="E3525" s="29">
        <v>38078</v>
      </c>
      <c r="F3525" s="27">
        <v>15</v>
      </c>
      <c r="G3525" s="18">
        <v>13659.26</v>
      </c>
      <c r="H3525" s="27">
        <f t="shared" si="108"/>
        <v>13659.26</v>
      </c>
      <c r="I3525" s="18">
        <v>12976.3</v>
      </c>
      <c r="J3525" s="27">
        <v>13659.26</v>
      </c>
      <c r="K3525" s="18">
        <f t="shared" si="109"/>
        <v>13659.26</v>
      </c>
      <c r="L3525" s="27">
        <v>12976.3</v>
      </c>
      <c r="M3525" s="36">
        <v>0</v>
      </c>
      <c r="T3525" s="41">
        <v>0</v>
      </c>
      <c r="U3525" s="41">
        <v>0</v>
      </c>
      <c r="V3525" s="42" t="s">
        <v>113</v>
      </c>
      <c r="W3525" s="42">
        <v>13659.26</v>
      </c>
      <c r="X3525" s="42">
        <v>13659.26</v>
      </c>
    </row>
    <row r="3526" spans="1:24">
      <c r="A3526" s="27" t="s">
        <v>6501</v>
      </c>
      <c r="B3526" s="28" t="s">
        <v>5102</v>
      </c>
      <c r="C3526" s="27" t="s">
        <v>6502</v>
      </c>
      <c r="D3526" s="27" t="s">
        <v>5104</v>
      </c>
      <c r="E3526" s="29">
        <v>38078</v>
      </c>
      <c r="F3526" s="27">
        <v>15</v>
      </c>
      <c r="G3526" s="18">
        <v>121551.93</v>
      </c>
      <c r="H3526" s="27">
        <f t="shared" ref="H3526:H3589" si="110">IFERROR(IF(ROUND((G3526-I3526)/G3526,2)&lt;=0.05,G3526,0),0)</f>
        <v>121551.93</v>
      </c>
      <c r="I3526" s="18">
        <v>115474.33</v>
      </c>
      <c r="J3526" s="27">
        <v>121551.93</v>
      </c>
      <c r="K3526" s="18">
        <f t="shared" ref="K3526:K3589" si="111">IFERROR(IF(ROUND((J3526-L3526)/J3526,2)&lt;=0.05,J3526,0),0)</f>
        <v>121551.93</v>
      </c>
      <c r="L3526" s="27">
        <v>115474.33</v>
      </c>
      <c r="M3526" s="36">
        <v>0</v>
      </c>
      <c r="T3526" s="41">
        <v>0</v>
      </c>
      <c r="U3526" s="41">
        <v>0</v>
      </c>
      <c r="V3526" s="42" t="s">
        <v>113</v>
      </c>
      <c r="W3526" s="42">
        <v>121551.93</v>
      </c>
      <c r="X3526" s="42">
        <v>121551.93</v>
      </c>
    </row>
    <row r="3527" spans="1:24">
      <c r="A3527" s="27" t="s">
        <v>6503</v>
      </c>
      <c r="B3527" s="28" t="s">
        <v>5102</v>
      </c>
      <c r="C3527" s="27" t="s">
        <v>6504</v>
      </c>
      <c r="D3527" s="27" t="s">
        <v>5104</v>
      </c>
      <c r="E3527" s="29">
        <v>38078</v>
      </c>
      <c r="F3527" s="27">
        <v>15</v>
      </c>
      <c r="G3527" s="18">
        <v>5215.04</v>
      </c>
      <c r="H3527" s="27">
        <f t="shared" si="110"/>
        <v>5215.04</v>
      </c>
      <c r="I3527" s="18">
        <v>4954.29</v>
      </c>
      <c r="J3527" s="27">
        <v>5215.04</v>
      </c>
      <c r="K3527" s="18">
        <f t="shared" si="111"/>
        <v>5215.04</v>
      </c>
      <c r="L3527" s="27">
        <v>4954.29</v>
      </c>
      <c r="M3527" s="36">
        <v>0</v>
      </c>
      <c r="T3527" s="41">
        <v>0</v>
      </c>
      <c r="U3527" s="41">
        <v>0</v>
      </c>
      <c r="V3527" s="42" t="s">
        <v>113</v>
      </c>
      <c r="W3527" s="42">
        <v>5215.04</v>
      </c>
      <c r="X3527" s="42">
        <v>5215.04</v>
      </c>
    </row>
    <row r="3528" spans="1:24">
      <c r="A3528" s="27" t="s">
        <v>6505</v>
      </c>
      <c r="B3528" s="28" t="s">
        <v>5102</v>
      </c>
      <c r="C3528" s="27" t="s">
        <v>6506</v>
      </c>
      <c r="D3528" s="27" t="s">
        <v>5104</v>
      </c>
      <c r="E3528" s="29">
        <v>38078</v>
      </c>
      <c r="F3528" s="27">
        <v>15</v>
      </c>
      <c r="G3528" s="18">
        <v>62770.46</v>
      </c>
      <c r="H3528" s="27">
        <f t="shared" si="110"/>
        <v>62770.46</v>
      </c>
      <c r="I3528" s="18">
        <v>59631.94</v>
      </c>
      <c r="J3528" s="27">
        <v>62770.46</v>
      </c>
      <c r="K3528" s="18">
        <f t="shared" si="111"/>
        <v>62770.46</v>
      </c>
      <c r="L3528" s="27">
        <v>59631.94</v>
      </c>
      <c r="M3528" s="36">
        <v>0</v>
      </c>
      <c r="T3528" s="41">
        <v>0</v>
      </c>
      <c r="U3528" s="41">
        <v>0</v>
      </c>
      <c r="V3528" s="42" t="s">
        <v>113</v>
      </c>
      <c r="W3528" s="42">
        <v>62770.46</v>
      </c>
      <c r="X3528" s="42">
        <v>62770.46</v>
      </c>
    </row>
    <row r="3529" spans="1:24">
      <c r="A3529" s="27" t="s">
        <v>6507</v>
      </c>
      <c r="B3529" s="28" t="s">
        <v>5102</v>
      </c>
      <c r="C3529" s="27" t="s">
        <v>6506</v>
      </c>
      <c r="D3529" s="27" t="s">
        <v>5104</v>
      </c>
      <c r="E3529" s="29">
        <v>38078</v>
      </c>
      <c r="F3529" s="27">
        <v>15</v>
      </c>
      <c r="G3529" s="18">
        <v>7097.29</v>
      </c>
      <c r="H3529" s="27">
        <f t="shared" si="110"/>
        <v>7097.29</v>
      </c>
      <c r="I3529" s="18">
        <v>6742.43</v>
      </c>
      <c r="J3529" s="27">
        <v>7097.29</v>
      </c>
      <c r="K3529" s="18">
        <f t="shared" si="111"/>
        <v>7097.29</v>
      </c>
      <c r="L3529" s="27">
        <v>6742.43</v>
      </c>
      <c r="M3529" s="36">
        <v>0</v>
      </c>
      <c r="T3529" s="41">
        <v>0</v>
      </c>
      <c r="U3529" s="41">
        <v>0</v>
      </c>
      <c r="V3529" s="42" t="s">
        <v>113</v>
      </c>
      <c r="W3529" s="42">
        <v>7097.29</v>
      </c>
      <c r="X3529" s="42">
        <v>7097.29</v>
      </c>
    </row>
    <row r="3530" spans="1:24">
      <c r="A3530" s="27" t="s">
        <v>6508</v>
      </c>
      <c r="B3530" s="28" t="s">
        <v>5102</v>
      </c>
      <c r="C3530" s="27" t="s">
        <v>6509</v>
      </c>
      <c r="D3530" s="27" t="s">
        <v>5104</v>
      </c>
      <c r="E3530" s="29">
        <v>38078</v>
      </c>
      <c r="F3530" s="27">
        <v>15</v>
      </c>
      <c r="G3530" s="18">
        <v>123451.45</v>
      </c>
      <c r="H3530" s="27">
        <f t="shared" si="110"/>
        <v>123451.45</v>
      </c>
      <c r="I3530" s="18">
        <v>117278.88</v>
      </c>
      <c r="J3530" s="27">
        <v>123451.45</v>
      </c>
      <c r="K3530" s="18">
        <f t="shared" si="111"/>
        <v>123451.45</v>
      </c>
      <c r="L3530" s="27">
        <v>117278.88</v>
      </c>
      <c r="M3530" s="36">
        <v>0</v>
      </c>
      <c r="T3530" s="41">
        <v>0</v>
      </c>
      <c r="U3530" s="41">
        <v>0</v>
      </c>
      <c r="V3530" s="42" t="s">
        <v>113</v>
      </c>
      <c r="W3530" s="42">
        <v>123451.45</v>
      </c>
      <c r="X3530" s="42">
        <v>123451.45</v>
      </c>
    </row>
    <row r="3531" spans="1:24">
      <c r="A3531" s="27" t="s">
        <v>6510</v>
      </c>
      <c r="B3531" s="28" t="s">
        <v>5102</v>
      </c>
      <c r="C3531" s="27" t="s">
        <v>6509</v>
      </c>
      <c r="D3531" s="27" t="s">
        <v>5104</v>
      </c>
      <c r="E3531" s="29">
        <v>38078</v>
      </c>
      <c r="F3531" s="27">
        <v>15</v>
      </c>
      <c r="G3531" s="18">
        <v>7045.48</v>
      </c>
      <c r="H3531" s="27">
        <f t="shared" si="110"/>
        <v>7045.48</v>
      </c>
      <c r="I3531" s="18">
        <v>6693.21</v>
      </c>
      <c r="J3531" s="27">
        <v>7045.48</v>
      </c>
      <c r="K3531" s="18">
        <f t="shared" si="111"/>
        <v>7045.48</v>
      </c>
      <c r="L3531" s="27">
        <v>6693.21</v>
      </c>
      <c r="M3531" s="36">
        <v>0</v>
      </c>
      <c r="T3531" s="41">
        <v>0</v>
      </c>
      <c r="U3531" s="41">
        <v>0</v>
      </c>
      <c r="V3531" s="42" t="s">
        <v>113</v>
      </c>
      <c r="W3531" s="42">
        <v>7045.48</v>
      </c>
      <c r="X3531" s="42">
        <v>7045.48</v>
      </c>
    </row>
    <row r="3532" spans="1:24">
      <c r="A3532" s="27" t="s">
        <v>6511</v>
      </c>
      <c r="B3532" s="28" t="s">
        <v>5102</v>
      </c>
      <c r="C3532" s="27" t="s">
        <v>6512</v>
      </c>
      <c r="D3532" s="27" t="s">
        <v>5104</v>
      </c>
      <c r="E3532" s="29">
        <v>38078</v>
      </c>
      <c r="F3532" s="27">
        <v>15</v>
      </c>
      <c r="G3532" s="18">
        <v>10879.07</v>
      </c>
      <c r="H3532" s="27">
        <f t="shared" si="110"/>
        <v>10879.07</v>
      </c>
      <c r="I3532" s="18">
        <v>10335.120000000001</v>
      </c>
      <c r="J3532" s="27">
        <v>10879.07</v>
      </c>
      <c r="K3532" s="18">
        <f t="shared" si="111"/>
        <v>10879.07</v>
      </c>
      <c r="L3532" s="27">
        <v>10335.120000000001</v>
      </c>
      <c r="M3532" s="36">
        <v>0</v>
      </c>
      <c r="T3532" s="41">
        <v>0</v>
      </c>
      <c r="U3532" s="41">
        <v>0</v>
      </c>
      <c r="V3532" s="42" t="s">
        <v>113</v>
      </c>
      <c r="W3532" s="42">
        <v>10879.07</v>
      </c>
      <c r="X3532" s="42">
        <v>10879.07</v>
      </c>
    </row>
    <row r="3533" spans="1:24">
      <c r="A3533" s="27" t="s">
        <v>6513</v>
      </c>
      <c r="B3533" s="28" t="s">
        <v>5102</v>
      </c>
      <c r="C3533" s="27" t="s">
        <v>6514</v>
      </c>
      <c r="D3533" s="27" t="s">
        <v>5104</v>
      </c>
      <c r="E3533" s="29">
        <v>38078</v>
      </c>
      <c r="F3533" s="27">
        <v>15</v>
      </c>
      <c r="G3533" s="18">
        <v>71231.960000000006</v>
      </c>
      <c r="H3533" s="27">
        <f t="shared" si="110"/>
        <v>71231.960000000006</v>
      </c>
      <c r="I3533" s="18">
        <v>67670.36</v>
      </c>
      <c r="J3533" s="27">
        <v>71231.960000000006</v>
      </c>
      <c r="K3533" s="18">
        <f t="shared" si="111"/>
        <v>71231.960000000006</v>
      </c>
      <c r="L3533" s="27">
        <v>67670.36</v>
      </c>
      <c r="M3533" s="36">
        <v>0</v>
      </c>
      <c r="T3533" s="41">
        <v>0</v>
      </c>
      <c r="U3533" s="41">
        <v>0</v>
      </c>
      <c r="V3533" s="42" t="s">
        <v>113</v>
      </c>
      <c r="W3533" s="42">
        <v>71231.960000000006</v>
      </c>
      <c r="X3533" s="42">
        <v>71231.960000000006</v>
      </c>
    </row>
    <row r="3534" spans="1:24">
      <c r="A3534" s="27" t="s">
        <v>6515</v>
      </c>
      <c r="B3534" s="28" t="s">
        <v>5102</v>
      </c>
      <c r="C3534" s="27" t="s">
        <v>6514</v>
      </c>
      <c r="D3534" s="27" t="s">
        <v>5104</v>
      </c>
      <c r="E3534" s="29">
        <v>38078</v>
      </c>
      <c r="F3534" s="27">
        <v>15</v>
      </c>
      <c r="G3534" s="18">
        <v>8047.05</v>
      </c>
      <c r="H3534" s="27">
        <f t="shared" si="110"/>
        <v>8047.05</v>
      </c>
      <c r="I3534" s="18">
        <v>7644.7</v>
      </c>
      <c r="J3534" s="27">
        <v>8047.05</v>
      </c>
      <c r="K3534" s="18">
        <f t="shared" si="111"/>
        <v>8047.05</v>
      </c>
      <c r="L3534" s="27">
        <v>7644.7</v>
      </c>
      <c r="M3534" s="36">
        <v>0</v>
      </c>
      <c r="T3534" s="41">
        <v>0</v>
      </c>
      <c r="U3534" s="41">
        <v>0</v>
      </c>
      <c r="V3534" s="42" t="s">
        <v>113</v>
      </c>
      <c r="W3534" s="42">
        <v>8047.05</v>
      </c>
      <c r="X3534" s="42">
        <v>8047.05</v>
      </c>
    </row>
    <row r="3535" spans="1:24">
      <c r="A3535" s="27" t="s">
        <v>6516</v>
      </c>
      <c r="B3535" s="28" t="s">
        <v>5102</v>
      </c>
      <c r="C3535" s="27" t="s">
        <v>6517</v>
      </c>
      <c r="D3535" s="27" t="s">
        <v>5104</v>
      </c>
      <c r="E3535" s="29">
        <v>38078</v>
      </c>
      <c r="F3535" s="27">
        <v>15</v>
      </c>
      <c r="G3535" s="18">
        <v>14021.9</v>
      </c>
      <c r="H3535" s="27">
        <f t="shared" si="110"/>
        <v>14021.9</v>
      </c>
      <c r="I3535" s="18">
        <v>13320.8</v>
      </c>
      <c r="J3535" s="27">
        <v>14021.9</v>
      </c>
      <c r="K3535" s="18">
        <f t="shared" si="111"/>
        <v>14021.9</v>
      </c>
      <c r="L3535" s="27">
        <v>13320.8</v>
      </c>
      <c r="M3535" s="36">
        <v>0</v>
      </c>
      <c r="T3535" s="41">
        <v>0</v>
      </c>
      <c r="U3535" s="41">
        <v>0</v>
      </c>
      <c r="V3535" s="42" t="s">
        <v>113</v>
      </c>
      <c r="W3535" s="42">
        <v>14021.9</v>
      </c>
      <c r="X3535" s="42">
        <v>14021.9</v>
      </c>
    </row>
    <row r="3536" spans="1:24">
      <c r="A3536" s="27" t="s">
        <v>6518</v>
      </c>
      <c r="B3536" s="28" t="s">
        <v>5102</v>
      </c>
      <c r="C3536" s="27" t="s">
        <v>6519</v>
      </c>
      <c r="D3536" s="27" t="s">
        <v>5104</v>
      </c>
      <c r="E3536" s="29">
        <v>38078</v>
      </c>
      <c r="F3536" s="27">
        <v>15</v>
      </c>
      <c r="G3536" s="18">
        <v>152807.66</v>
      </c>
      <c r="H3536" s="27">
        <f t="shared" si="110"/>
        <v>152807.66</v>
      </c>
      <c r="I3536" s="18">
        <v>145167.28</v>
      </c>
      <c r="J3536" s="27">
        <v>152807.66</v>
      </c>
      <c r="K3536" s="18">
        <f t="shared" si="111"/>
        <v>152807.66</v>
      </c>
      <c r="L3536" s="27">
        <v>145167.28</v>
      </c>
      <c r="M3536" s="36">
        <v>0</v>
      </c>
      <c r="T3536" s="41">
        <v>0</v>
      </c>
      <c r="U3536" s="41">
        <v>0</v>
      </c>
      <c r="V3536" s="42" t="s">
        <v>113</v>
      </c>
      <c r="W3536" s="42">
        <v>152807.66</v>
      </c>
      <c r="X3536" s="42">
        <v>152807.66</v>
      </c>
    </row>
    <row r="3537" spans="1:24">
      <c r="A3537" s="27" t="s">
        <v>6520</v>
      </c>
      <c r="B3537" s="28" t="s">
        <v>5102</v>
      </c>
      <c r="C3537" s="27" t="s">
        <v>6519</v>
      </c>
      <c r="D3537" s="27" t="s">
        <v>5104</v>
      </c>
      <c r="E3537" s="29">
        <v>38078</v>
      </c>
      <c r="F3537" s="27">
        <v>15</v>
      </c>
      <c r="G3537" s="18">
        <v>9480.33</v>
      </c>
      <c r="H3537" s="27">
        <f t="shared" si="110"/>
        <v>9480.33</v>
      </c>
      <c r="I3537" s="18">
        <v>9006.31</v>
      </c>
      <c r="J3537" s="27">
        <v>9480.33</v>
      </c>
      <c r="K3537" s="18">
        <f t="shared" si="111"/>
        <v>9480.33</v>
      </c>
      <c r="L3537" s="27">
        <v>9006.31</v>
      </c>
      <c r="M3537" s="36">
        <v>0</v>
      </c>
      <c r="T3537" s="41">
        <v>0</v>
      </c>
      <c r="U3537" s="41">
        <v>0</v>
      </c>
      <c r="V3537" s="42" t="s">
        <v>113</v>
      </c>
      <c r="W3537" s="42">
        <v>9480.33</v>
      </c>
      <c r="X3537" s="42">
        <v>9480.33</v>
      </c>
    </row>
    <row r="3538" spans="1:24">
      <c r="A3538" s="27" t="s">
        <v>6521</v>
      </c>
      <c r="B3538" s="28" t="s">
        <v>5102</v>
      </c>
      <c r="C3538" s="27" t="s">
        <v>6522</v>
      </c>
      <c r="D3538" s="27" t="s">
        <v>5104</v>
      </c>
      <c r="E3538" s="29">
        <v>38078</v>
      </c>
      <c r="F3538" s="27">
        <v>15</v>
      </c>
      <c r="G3538" s="18">
        <v>61941.58</v>
      </c>
      <c r="H3538" s="27">
        <f t="shared" si="110"/>
        <v>61941.58</v>
      </c>
      <c r="I3538" s="18">
        <v>58844.5</v>
      </c>
      <c r="J3538" s="27">
        <v>61941.58</v>
      </c>
      <c r="K3538" s="18">
        <f t="shared" si="111"/>
        <v>61941.58</v>
      </c>
      <c r="L3538" s="27">
        <v>58844.5</v>
      </c>
      <c r="M3538" s="36">
        <v>0</v>
      </c>
      <c r="T3538" s="41">
        <v>0</v>
      </c>
      <c r="U3538" s="41">
        <v>0</v>
      </c>
      <c r="V3538" s="42" t="s">
        <v>113</v>
      </c>
      <c r="W3538" s="42">
        <v>61941.58</v>
      </c>
      <c r="X3538" s="42">
        <v>61941.58</v>
      </c>
    </row>
    <row r="3539" spans="1:24">
      <c r="A3539" s="27" t="s">
        <v>6523</v>
      </c>
      <c r="B3539" s="28" t="s">
        <v>5102</v>
      </c>
      <c r="C3539" s="27" t="s">
        <v>6522</v>
      </c>
      <c r="D3539" s="27" t="s">
        <v>5104</v>
      </c>
      <c r="E3539" s="29">
        <v>38078</v>
      </c>
      <c r="F3539" s="27">
        <v>15</v>
      </c>
      <c r="G3539" s="18">
        <v>11517.99</v>
      </c>
      <c r="H3539" s="27">
        <f t="shared" si="110"/>
        <v>11517.99</v>
      </c>
      <c r="I3539" s="18">
        <v>10942.09</v>
      </c>
      <c r="J3539" s="27">
        <v>11517.99</v>
      </c>
      <c r="K3539" s="18">
        <f t="shared" si="111"/>
        <v>11517.99</v>
      </c>
      <c r="L3539" s="27">
        <v>10942.09</v>
      </c>
      <c r="M3539" s="36">
        <v>0</v>
      </c>
      <c r="T3539" s="41">
        <v>0</v>
      </c>
      <c r="U3539" s="41">
        <v>0</v>
      </c>
      <c r="V3539" s="42" t="s">
        <v>113</v>
      </c>
      <c r="W3539" s="42">
        <v>11517.99</v>
      </c>
      <c r="X3539" s="42">
        <v>11517.99</v>
      </c>
    </row>
    <row r="3540" spans="1:24">
      <c r="A3540" s="27" t="s">
        <v>6524</v>
      </c>
      <c r="B3540" s="28" t="s">
        <v>5102</v>
      </c>
      <c r="C3540" s="27" t="s">
        <v>6525</v>
      </c>
      <c r="D3540" s="27" t="s">
        <v>5104</v>
      </c>
      <c r="E3540" s="29">
        <v>38078</v>
      </c>
      <c r="F3540" s="27">
        <v>15</v>
      </c>
      <c r="G3540" s="18">
        <v>41293.440000000002</v>
      </c>
      <c r="H3540" s="27">
        <f t="shared" si="110"/>
        <v>41293.440000000002</v>
      </c>
      <c r="I3540" s="18">
        <v>39228.769999999997</v>
      </c>
      <c r="J3540" s="27">
        <v>41293.440000000002</v>
      </c>
      <c r="K3540" s="18">
        <f t="shared" si="111"/>
        <v>41293.440000000002</v>
      </c>
      <c r="L3540" s="27">
        <v>39228.769999999997</v>
      </c>
      <c r="M3540" s="36">
        <v>0</v>
      </c>
      <c r="T3540" s="41">
        <v>0</v>
      </c>
      <c r="U3540" s="41">
        <v>0</v>
      </c>
      <c r="V3540" s="42" t="s">
        <v>113</v>
      </c>
      <c r="W3540" s="42">
        <v>41293.440000000002</v>
      </c>
      <c r="X3540" s="42">
        <v>41293.440000000002</v>
      </c>
    </row>
    <row r="3541" spans="1:24">
      <c r="A3541" s="27" t="s">
        <v>6526</v>
      </c>
      <c r="B3541" s="28" t="s">
        <v>5102</v>
      </c>
      <c r="C3541" s="27" t="s">
        <v>6527</v>
      </c>
      <c r="D3541" s="27" t="s">
        <v>5104</v>
      </c>
      <c r="E3541" s="29">
        <v>37834</v>
      </c>
      <c r="F3541" s="27">
        <v>15</v>
      </c>
      <c r="G3541" s="18">
        <v>418307.47</v>
      </c>
      <c r="H3541" s="27">
        <f t="shared" si="110"/>
        <v>418307.47</v>
      </c>
      <c r="I3541" s="18">
        <v>397392.1</v>
      </c>
      <c r="J3541" s="27">
        <v>418307.47</v>
      </c>
      <c r="K3541" s="18">
        <f t="shared" si="111"/>
        <v>418307.47</v>
      </c>
      <c r="L3541" s="27">
        <v>397392.1</v>
      </c>
      <c r="M3541" s="36">
        <v>0</v>
      </c>
      <c r="T3541" s="41">
        <v>0</v>
      </c>
      <c r="U3541" s="41">
        <v>0</v>
      </c>
      <c r="V3541" s="42" t="s">
        <v>113</v>
      </c>
      <c r="W3541" s="42">
        <v>418307.47</v>
      </c>
      <c r="X3541" s="42">
        <v>418307.47</v>
      </c>
    </row>
    <row r="3542" spans="1:24">
      <c r="A3542" s="27" t="s">
        <v>6528</v>
      </c>
      <c r="B3542" s="28" t="s">
        <v>5102</v>
      </c>
      <c r="C3542" s="27" t="s">
        <v>6529</v>
      </c>
      <c r="D3542" s="27" t="s">
        <v>5104</v>
      </c>
      <c r="E3542" s="29">
        <v>38078</v>
      </c>
      <c r="F3542" s="27">
        <v>15</v>
      </c>
      <c r="G3542" s="18">
        <v>8000.9</v>
      </c>
      <c r="H3542" s="27">
        <f t="shared" si="110"/>
        <v>8000.9</v>
      </c>
      <c r="I3542" s="18">
        <v>7600.85</v>
      </c>
      <c r="J3542" s="27">
        <v>8000.9</v>
      </c>
      <c r="K3542" s="18">
        <f t="shared" si="111"/>
        <v>8000.9</v>
      </c>
      <c r="L3542" s="27">
        <v>7600.85</v>
      </c>
      <c r="M3542" s="36">
        <v>0</v>
      </c>
      <c r="T3542" s="41">
        <v>0</v>
      </c>
      <c r="U3542" s="41">
        <v>0</v>
      </c>
      <c r="V3542" s="42" t="s">
        <v>113</v>
      </c>
      <c r="W3542" s="42">
        <v>8000.9</v>
      </c>
      <c r="X3542" s="42">
        <v>8000.9</v>
      </c>
    </row>
    <row r="3543" spans="1:24">
      <c r="A3543" s="27" t="s">
        <v>6530</v>
      </c>
      <c r="B3543" s="28" t="s">
        <v>5102</v>
      </c>
      <c r="C3543" s="27" t="s">
        <v>6531</v>
      </c>
      <c r="D3543" s="27" t="s">
        <v>5104</v>
      </c>
      <c r="E3543" s="29">
        <v>38078</v>
      </c>
      <c r="F3543" s="27">
        <v>15</v>
      </c>
      <c r="G3543" s="18">
        <v>38410.339999999997</v>
      </c>
      <c r="H3543" s="27">
        <f t="shared" si="110"/>
        <v>38410.339999999997</v>
      </c>
      <c r="I3543" s="18">
        <v>36489.82</v>
      </c>
      <c r="J3543" s="27">
        <v>38410.339999999997</v>
      </c>
      <c r="K3543" s="18">
        <f t="shared" si="111"/>
        <v>38410.339999999997</v>
      </c>
      <c r="L3543" s="27">
        <v>36489.82</v>
      </c>
      <c r="M3543" s="36">
        <v>0</v>
      </c>
      <c r="T3543" s="41">
        <v>0</v>
      </c>
      <c r="U3543" s="41">
        <v>0</v>
      </c>
      <c r="V3543" s="42" t="s">
        <v>113</v>
      </c>
      <c r="W3543" s="42">
        <v>38410.339999999997</v>
      </c>
      <c r="X3543" s="42">
        <v>38410.339999999997</v>
      </c>
    </row>
    <row r="3544" spans="1:24">
      <c r="A3544" s="27" t="s">
        <v>6532</v>
      </c>
      <c r="B3544" s="28" t="s">
        <v>5102</v>
      </c>
      <c r="C3544" s="27" t="s">
        <v>6533</v>
      </c>
      <c r="D3544" s="27" t="s">
        <v>5104</v>
      </c>
      <c r="E3544" s="29">
        <v>38169</v>
      </c>
      <c r="F3544" s="27">
        <v>15</v>
      </c>
      <c r="G3544" s="18">
        <v>239603.14</v>
      </c>
      <c r="H3544" s="27">
        <f t="shared" si="110"/>
        <v>239603.14</v>
      </c>
      <c r="I3544" s="18">
        <v>227622.98</v>
      </c>
      <c r="J3544" s="27">
        <v>239603.14</v>
      </c>
      <c r="K3544" s="18">
        <f t="shared" si="111"/>
        <v>239603.14</v>
      </c>
      <c r="L3544" s="27">
        <v>227622.98</v>
      </c>
      <c r="M3544" s="36">
        <v>0</v>
      </c>
      <c r="T3544" s="41">
        <v>0</v>
      </c>
      <c r="U3544" s="41">
        <v>0</v>
      </c>
      <c r="V3544" s="42" t="s">
        <v>113</v>
      </c>
      <c r="W3544" s="42">
        <v>239603.14</v>
      </c>
      <c r="X3544" s="42">
        <v>239603.14</v>
      </c>
    </row>
    <row r="3545" spans="1:24">
      <c r="A3545" s="27" t="s">
        <v>6534</v>
      </c>
      <c r="B3545" s="28" t="s">
        <v>5102</v>
      </c>
      <c r="C3545" s="27" t="s">
        <v>6535</v>
      </c>
      <c r="D3545" s="27" t="s">
        <v>5104</v>
      </c>
      <c r="E3545" s="29">
        <v>37226</v>
      </c>
      <c r="F3545" s="27">
        <v>15</v>
      </c>
      <c r="G3545" s="18">
        <v>771147.94</v>
      </c>
      <c r="H3545" s="27">
        <f t="shared" si="110"/>
        <v>771147.94</v>
      </c>
      <c r="I3545" s="18">
        <v>732590.54</v>
      </c>
      <c r="J3545" s="27">
        <v>771147.94</v>
      </c>
      <c r="K3545" s="18">
        <f t="shared" si="111"/>
        <v>771147.94</v>
      </c>
      <c r="L3545" s="27">
        <v>732590.54</v>
      </c>
      <c r="M3545" s="36">
        <v>0</v>
      </c>
      <c r="T3545" s="41">
        <v>0</v>
      </c>
      <c r="U3545" s="41">
        <v>0</v>
      </c>
      <c r="V3545" s="42" t="s">
        <v>113</v>
      </c>
      <c r="W3545" s="42">
        <v>771147.94</v>
      </c>
      <c r="X3545" s="42">
        <v>771147.94</v>
      </c>
    </row>
    <row r="3546" spans="1:24">
      <c r="A3546" s="27" t="s">
        <v>6536</v>
      </c>
      <c r="B3546" s="28" t="s">
        <v>5102</v>
      </c>
      <c r="C3546" s="27" t="s">
        <v>5234</v>
      </c>
      <c r="D3546" s="27" t="s">
        <v>5104</v>
      </c>
      <c r="E3546" s="29">
        <v>37226</v>
      </c>
      <c r="F3546" s="27">
        <v>15</v>
      </c>
      <c r="G3546" s="18">
        <v>224552.61</v>
      </c>
      <c r="H3546" s="27">
        <f t="shared" si="110"/>
        <v>224552.61</v>
      </c>
      <c r="I3546" s="18">
        <v>213324.98</v>
      </c>
      <c r="J3546" s="27">
        <v>224552.61</v>
      </c>
      <c r="K3546" s="18">
        <f t="shared" si="111"/>
        <v>224552.61</v>
      </c>
      <c r="L3546" s="27">
        <v>213324.98</v>
      </c>
      <c r="M3546" s="36">
        <v>0</v>
      </c>
      <c r="T3546" s="41">
        <v>0</v>
      </c>
      <c r="U3546" s="41">
        <v>0</v>
      </c>
      <c r="V3546" s="42" t="s">
        <v>113</v>
      </c>
      <c r="W3546" s="42">
        <v>224552.61</v>
      </c>
      <c r="X3546" s="42">
        <v>224552.61</v>
      </c>
    </row>
    <row r="3547" spans="1:24">
      <c r="A3547" s="27" t="s">
        <v>6537</v>
      </c>
      <c r="B3547" s="28" t="s">
        <v>5102</v>
      </c>
      <c r="C3547" s="27" t="s">
        <v>6538</v>
      </c>
      <c r="D3547" s="27" t="s">
        <v>5104</v>
      </c>
      <c r="E3547" s="29">
        <v>37226</v>
      </c>
      <c r="F3547" s="27">
        <v>15</v>
      </c>
      <c r="G3547" s="18">
        <v>205797.67</v>
      </c>
      <c r="H3547" s="27">
        <f t="shared" si="110"/>
        <v>205797.67</v>
      </c>
      <c r="I3547" s="18">
        <v>195507.79</v>
      </c>
      <c r="J3547" s="27">
        <v>205797.67</v>
      </c>
      <c r="K3547" s="18">
        <f t="shared" si="111"/>
        <v>205797.67</v>
      </c>
      <c r="L3547" s="27">
        <v>195507.79</v>
      </c>
      <c r="M3547" s="36">
        <v>0</v>
      </c>
      <c r="T3547" s="41">
        <v>0</v>
      </c>
      <c r="U3547" s="41">
        <v>0</v>
      </c>
      <c r="V3547" s="42" t="s">
        <v>113</v>
      </c>
      <c r="W3547" s="42">
        <v>205797.67</v>
      </c>
      <c r="X3547" s="42">
        <v>205797.67</v>
      </c>
    </row>
    <row r="3548" spans="1:24">
      <c r="A3548" s="27" t="s">
        <v>6539</v>
      </c>
      <c r="B3548" s="28" t="s">
        <v>5102</v>
      </c>
      <c r="C3548" s="27" t="s">
        <v>6540</v>
      </c>
      <c r="D3548" s="27" t="s">
        <v>5104</v>
      </c>
      <c r="E3548" s="29">
        <v>37773</v>
      </c>
      <c r="F3548" s="27">
        <v>15</v>
      </c>
      <c r="G3548" s="18">
        <v>315568</v>
      </c>
      <c r="H3548" s="27">
        <f t="shared" si="110"/>
        <v>315568</v>
      </c>
      <c r="I3548" s="18">
        <v>299789.59999999998</v>
      </c>
      <c r="J3548" s="27">
        <v>315568</v>
      </c>
      <c r="K3548" s="18">
        <f t="shared" si="111"/>
        <v>315568</v>
      </c>
      <c r="L3548" s="27">
        <v>299789.59999999998</v>
      </c>
      <c r="M3548" s="36">
        <v>0</v>
      </c>
      <c r="T3548" s="41">
        <v>0</v>
      </c>
      <c r="U3548" s="41">
        <v>0</v>
      </c>
      <c r="V3548" s="42" t="s">
        <v>113</v>
      </c>
      <c r="W3548" s="42">
        <v>315568</v>
      </c>
      <c r="X3548" s="42">
        <v>315568</v>
      </c>
    </row>
    <row r="3549" spans="1:24">
      <c r="A3549" s="27" t="s">
        <v>6541</v>
      </c>
      <c r="B3549" s="28" t="s">
        <v>5102</v>
      </c>
      <c r="C3549" s="27" t="s">
        <v>5515</v>
      </c>
      <c r="D3549" s="27" t="s">
        <v>5104</v>
      </c>
      <c r="E3549" s="29">
        <v>39417</v>
      </c>
      <c r="F3549" s="27">
        <v>15</v>
      </c>
      <c r="G3549" s="18">
        <v>43876.76</v>
      </c>
      <c r="H3549" s="27">
        <f t="shared" si="110"/>
        <v>0</v>
      </c>
      <c r="I3549" s="18">
        <v>37422.46</v>
      </c>
      <c r="J3549" s="27">
        <v>43876.76</v>
      </c>
      <c r="K3549" s="18">
        <f t="shared" si="111"/>
        <v>0</v>
      </c>
      <c r="L3549" s="27">
        <v>38487.58</v>
      </c>
      <c r="M3549" s="36">
        <v>1065.1199999999999</v>
      </c>
      <c r="T3549" s="41">
        <v>0</v>
      </c>
      <c r="U3549" s="41">
        <v>0</v>
      </c>
      <c r="V3549" s="42" t="s">
        <v>113</v>
      </c>
      <c r="W3549" s="42">
        <v>0</v>
      </c>
      <c r="X3549" s="42">
        <v>0</v>
      </c>
    </row>
    <row r="3550" spans="1:24">
      <c r="A3550" s="27" t="s">
        <v>6542</v>
      </c>
      <c r="B3550" s="28" t="s">
        <v>5102</v>
      </c>
      <c r="C3550" s="27" t="s">
        <v>6543</v>
      </c>
      <c r="D3550" s="27" t="s">
        <v>5104</v>
      </c>
      <c r="E3550" s="29">
        <v>38078</v>
      </c>
      <c r="F3550" s="27">
        <v>15</v>
      </c>
      <c r="G3550" s="18">
        <v>16657.12</v>
      </c>
      <c r="H3550" s="27">
        <f t="shared" si="110"/>
        <v>16657.12</v>
      </c>
      <c r="I3550" s="18">
        <v>15824.26</v>
      </c>
      <c r="J3550" s="27">
        <v>16657.12</v>
      </c>
      <c r="K3550" s="18">
        <f t="shared" si="111"/>
        <v>16657.12</v>
      </c>
      <c r="L3550" s="27">
        <v>15824.26</v>
      </c>
      <c r="M3550" s="36">
        <v>0</v>
      </c>
      <c r="T3550" s="41">
        <v>0</v>
      </c>
      <c r="U3550" s="41">
        <v>0</v>
      </c>
      <c r="V3550" s="42" t="s">
        <v>113</v>
      </c>
      <c r="W3550" s="42">
        <v>16657.12</v>
      </c>
      <c r="X3550" s="42">
        <v>16657.12</v>
      </c>
    </row>
    <row r="3551" spans="1:24">
      <c r="A3551" s="27" t="s">
        <v>6544</v>
      </c>
      <c r="B3551" s="28" t="s">
        <v>5102</v>
      </c>
      <c r="C3551" s="27" t="s">
        <v>6543</v>
      </c>
      <c r="D3551" s="27" t="s">
        <v>5104</v>
      </c>
      <c r="E3551" s="29">
        <v>38078</v>
      </c>
      <c r="F3551" s="27">
        <v>15</v>
      </c>
      <c r="G3551" s="18">
        <v>121439.67999999999</v>
      </c>
      <c r="H3551" s="27">
        <f t="shared" si="110"/>
        <v>121439.67999999999</v>
      </c>
      <c r="I3551" s="18">
        <v>115367.7</v>
      </c>
      <c r="J3551" s="27">
        <v>121439.67999999999</v>
      </c>
      <c r="K3551" s="18">
        <f t="shared" si="111"/>
        <v>121439.67999999999</v>
      </c>
      <c r="L3551" s="27">
        <v>115367.7</v>
      </c>
      <c r="M3551" s="36">
        <v>0</v>
      </c>
      <c r="T3551" s="41">
        <v>0</v>
      </c>
      <c r="U3551" s="41">
        <v>0</v>
      </c>
      <c r="V3551" s="42" t="s">
        <v>113</v>
      </c>
      <c r="W3551" s="42">
        <v>121439.67999999999</v>
      </c>
      <c r="X3551" s="42">
        <v>121439.67999999999</v>
      </c>
    </row>
    <row r="3552" spans="1:24">
      <c r="A3552" s="27" t="s">
        <v>6545</v>
      </c>
      <c r="B3552" s="28" t="s">
        <v>5102</v>
      </c>
      <c r="C3552" s="27" t="s">
        <v>6546</v>
      </c>
      <c r="D3552" s="27" t="s">
        <v>230</v>
      </c>
      <c r="E3552" s="29">
        <v>38078</v>
      </c>
      <c r="F3552" s="27">
        <v>15</v>
      </c>
      <c r="G3552" s="18">
        <v>90918.62</v>
      </c>
      <c r="H3552" s="27">
        <f t="shared" si="110"/>
        <v>90918.62</v>
      </c>
      <c r="I3552" s="18">
        <v>86372.69</v>
      </c>
      <c r="J3552" s="27">
        <v>90918.62</v>
      </c>
      <c r="K3552" s="18">
        <f t="shared" si="111"/>
        <v>90918.62</v>
      </c>
      <c r="L3552" s="27">
        <v>86372.69</v>
      </c>
      <c r="M3552" s="36">
        <v>0</v>
      </c>
      <c r="T3552" s="41">
        <v>0</v>
      </c>
      <c r="U3552" s="41">
        <v>0</v>
      </c>
      <c r="V3552" s="42" t="s">
        <v>113</v>
      </c>
      <c r="W3552" s="42">
        <v>90918.62</v>
      </c>
      <c r="X3552" s="42">
        <v>90918.62</v>
      </c>
    </row>
    <row r="3553" spans="1:24">
      <c r="A3553" s="27" t="s">
        <v>6547</v>
      </c>
      <c r="B3553" s="28" t="s">
        <v>5102</v>
      </c>
      <c r="C3553" s="27" t="s">
        <v>6548</v>
      </c>
      <c r="D3553" s="27" t="s">
        <v>5104</v>
      </c>
      <c r="E3553" s="29">
        <v>38078</v>
      </c>
      <c r="F3553" s="27">
        <v>15</v>
      </c>
      <c r="G3553" s="18">
        <v>18117.52</v>
      </c>
      <c r="H3553" s="27">
        <f t="shared" si="110"/>
        <v>18117.52</v>
      </c>
      <c r="I3553" s="18">
        <v>17211.64</v>
      </c>
      <c r="J3553" s="27">
        <v>18117.52</v>
      </c>
      <c r="K3553" s="18">
        <f t="shared" si="111"/>
        <v>18117.52</v>
      </c>
      <c r="L3553" s="27">
        <v>17211.64</v>
      </c>
      <c r="M3553" s="36">
        <v>0</v>
      </c>
      <c r="T3553" s="41">
        <v>0</v>
      </c>
      <c r="U3553" s="41">
        <v>0</v>
      </c>
      <c r="V3553" s="42" t="s">
        <v>113</v>
      </c>
      <c r="W3553" s="42">
        <v>18117.52</v>
      </c>
      <c r="X3553" s="42">
        <v>18117.52</v>
      </c>
    </row>
    <row r="3554" spans="1:24">
      <c r="A3554" s="27" t="s">
        <v>6549</v>
      </c>
      <c r="B3554" s="28" t="s">
        <v>5102</v>
      </c>
      <c r="C3554" s="27" t="s">
        <v>6550</v>
      </c>
      <c r="D3554" s="27" t="s">
        <v>5104</v>
      </c>
      <c r="E3554" s="29">
        <v>38078</v>
      </c>
      <c r="F3554" s="27">
        <v>15</v>
      </c>
      <c r="G3554" s="18">
        <v>19699.650000000001</v>
      </c>
      <c r="H3554" s="27">
        <f t="shared" si="110"/>
        <v>19699.650000000001</v>
      </c>
      <c r="I3554" s="18">
        <v>18714.669999999998</v>
      </c>
      <c r="J3554" s="27">
        <v>19699.650000000001</v>
      </c>
      <c r="K3554" s="18">
        <f t="shared" si="111"/>
        <v>19699.650000000001</v>
      </c>
      <c r="L3554" s="27">
        <v>18714.669999999998</v>
      </c>
      <c r="M3554" s="36">
        <v>0</v>
      </c>
      <c r="T3554" s="41">
        <v>0</v>
      </c>
      <c r="U3554" s="41">
        <v>0</v>
      </c>
      <c r="V3554" s="42" t="s">
        <v>113</v>
      </c>
      <c r="W3554" s="42">
        <v>19699.650000000001</v>
      </c>
      <c r="X3554" s="42">
        <v>19699.650000000001</v>
      </c>
    </row>
    <row r="3555" spans="1:24">
      <c r="A3555" s="27" t="s">
        <v>6551</v>
      </c>
      <c r="B3555" s="28" t="s">
        <v>5102</v>
      </c>
      <c r="C3555" s="27" t="s">
        <v>6550</v>
      </c>
      <c r="D3555" s="27" t="s">
        <v>5104</v>
      </c>
      <c r="E3555" s="29">
        <v>38078</v>
      </c>
      <c r="F3555" s="27">
        <v>15</v>
      </c>
      <c r="G3555" s="18">
        <v>19964.13</v>
      </c>
      <c r="H3555" s="27">
        <f t="shared" si="110"/>
        <v>19964.13</v>
      </c>
      <c r="I3555" s="18">
        <v>18965.919999999998</v>
      </c>
      <c r="J3555" s="27">
        <v>19964.13</v>
      </c>
      <c r="K3555" s="18">
        <f t="shared" si="111"/>
        <v>19964.13</v>
      </c>
      <c r="L3555" s="27">
        <v>18965.919999999998</v>
      </c>
      <c r="M3555" s="36">
        <v>0</v>
      </c>
      <c r="T3555" s="41">
        <v>0</v>
      </c>
      <c r="U3555" s="41">
        <v>0</v>
      </c>
      <c r="V3555" s="42" t="s">
        <v>113</v>
      </c>
      <c r="W3555" s="42">
        <v>19964.13</v>
      </c>
      <c r="X3555" s="42">
        <v>19964.13</v>
      </c>
    </row>
    <row r="3556" spans="1:24">
      <c r="A3556" s="27" t="s">
        <v>6552</v>
      </c>
      <c r="B3556" s="28" t="s">
        <v>5102</v>
      </c>
      <c r="C3556" s="27" t="s">
        <v>6553</v>
      </c>
      <c r="D3556" s="27" t="s">
        <v>5104</v>
      </c>
      <c r="E3556" s="29">
        <v>38078</v>
      </c>
      <c r="F3556" s="27">
        <v>15</v>
      </c>
      <c r="G3556" s="18">
        <v>35311.86</v>
      </c>
      <c r="H3556" s="27">
        <f t="shared" si="110"/>
        <v>35311.86</v>
      </c>
      <c r="I3556" s="18">
        <v>33546.269999999997</v>
      </c>
      <c r="J3556" s="27">
        <v>35311.86</v>
      </c>
      <c r="K3556" s="18">
        <f t="shared" si="111"/>
        <v>35311.86</v>
      </c>
      <c r="L3556" s="27">
        <v>33546.269999999997</v>
      </c>
      <c r="M3556" s="36">
        <v>0</v>
      </c>
      <c r="T3556" s="41">
        <v>0</v>
      </c>
      <c r="U3556" s="41">
        <v>0</v>
      </c>
      <c r="V3556" s="42" t="s">
        <v>113</v>
      </c>
      <c r="W3556" s="42">
        <v>35311.86</v>
      </c>
      <c r="X3556" s="42">
        <v>35311.86</v>
      </c>
    </row>
    <row r="3557" spans="1:24">
      <c r="A3557" s="27" t="s">
        <v>6554</v>
      </c>
      <c r="B3557" s="28" t="s">
        <v>5102</v>
      </c>
      <c r="C3557" s="27" t="s">
        <v>6553</v>
      </c>
      <c r="D3557" s="27" t="s">
        <v>5104</v>
      </c>
      <c r="E3557" s="29">
        <v>38078</v>
      </c>
      <c r="F3557" s="27">
        <v>15</v>
      </c>
      <c r="G3557" s="18">
        <v>65850.240000000005</v>
      </c>
      <c r="H3557" s="27">
        <f t="shared" si="110"/>
        <v>65850.240000000005</v>
      </c>
      <c r="I3557" s="18">
        <v>62557.73</v>
      </c>
      <c r="J3557" s="27">
        <v>65850.240000000005</v>
      </c>
      <c r="K3557" s="18">
        <f t="shared" si="111"/>
        <v>65850.240000000005</v>
      </c>
      <c r="L3557" s="27">
        <v>62557.73</v>
      </c>
      <c r="M3557" s="36">
        <v>0</v>
      </c>
      <c r="T3557" s="41">
        <v>0</v>
      </c>
      <c r="U3557" s="41">
        <v>0</v>
      </c>
      <c r="V3557" s="42" t="s">
        <v>113</v>
      </c>
      <c r="W3557" s="42">
        <v>65850.240000000005</v>
      </c>
      <c r="X3557" s="42">
        <v>65850.240000000005</v>
      </c>
    </row>
    <row r="3558" spans="1:24">
      <c r="A3558" s="27" t="s">
        <v>6555</v>
      </c>
      <c r="B3558" s="28" t="s">
        <v>5102</v>
      </c>
      <c r="C3558" s="27" t="s">
        <v>6556</v>
      </c>
      <c r="D3558" s="27" t="s">
        <v>5104</v>
      </c>
      <c r="E3558" s="29">
        <v>38078</v>
      </c>
      <c r="F3558" s="27">
        <v>15</v>
      </c>
      <c r="G3558" s="18">
        <v>95455.71</v>
      </c>
      <c r="H3558" s="27">
        <f t="shared" si="110"/>
        <v>95455.71</v>
      </c>
      <c r="I3558" s="18">
        <v>90682.92</v>
      </c>
      <c r="J3558" s="27">
        <v>95455.71</v>
      </c>
      <c r="K3558" s="18">
        <f t="shared" si="111"/>
        <v>95455.71</v>
      </c>
      <c r="L3558" s="27">
        <v>90682.92</v>
      </c>
      <c r="M3558" s="36">
        <v>0</v>
      </c>
      <c r="T3558" s="41">
        <v>0</v>
      </c>
      <c r="U3558" s="41">
        <v>0</v>
      </c>
      <c r="V3558" s="42" t="s">
        <v>113</v>
      </c>
      <c r="W3558" s="42">
        <v>95455.71</v>
      </c>
      <c r="X3558" s="42">
        <v>95455.71</v>
      </c>
    </row>
    <row r="3559" spans="1:24">
      <c r="A3559" s="27" t="s">
        <v>6557</v>
      </c>
      <c r="B3559" s="28" t="s">
        <v>5102</v>
      </c>
      <c r="C3559" s="27" t="s">
        <v>6556</v>
      </c>
      <c r="D3559" s="27" t="s">
        <v>5104</v>
      </c>
      <c r="E3559" s="29">
        <v>38078</v>
      </c>
      <c r="F3559" s="27">
        <v>15</v>
      </c>
      <c r="G3559" s="18">
        <v>175339.31</v>
      </c>
      <c r="H3559" s="27">
        <f t="shared" si="110"/>
        <v>175339.31</v>
      </c>
      <c r="I3559" s="18">
        <v>166572.34</v>
      </c>
      <c r="J3559" s="27">
        <v>175339.31</v>
      </c>
      <c r="K3559" s="18">
        <f t="shared" si="111"/>
        <v>175339.31</v>
      </c>
      <c r="L3559" s="27">
        <v>166572.34</v>
      </c>
      <c r="M3559" s="36">
        <v>0</v>
      </c>
      <c r="T3559" s="41">
        <v>0</v>
      </c>
      <c r="U3559" s="41">
        <v>0</v>
      </c>
      <c r="V3559" s="42" t="s">
        <v>113</v>
      </c>
      <c r="W3559" s="42">
        <v>175339.31</v>
      </c>
      <c r="X3559" s="42">
        <v>175339.31</v>
      </c>
    </row>
    <row r="3560" spans="1:24">
      <c r="A3560" s="27" t="s">
        <v>6558</v>
      </c>
      <c r="B3560" s="28" t="s">
        <v>5102</v>
      </c>
      <c r="C3560" s="27" t="s">
        <v>6559</v>
      </c>
      <c r="D3560" s="27" t="s">
        <v>5104</v>
      </c>
      <c r="E3560" s="29">
        <v>38078</v>
      </c>
      <c r="F3560" s="27">
        <v>15</v>
      </c>
      <c r="G3560" s="18">
        <v>13614.56</v>
      </c>
      <c r="H3560" s="27">
        <f t="shared" si="110"/>
        <v>13614.56</v>
      </c>
      <c r="I3560" s="18">
        <v>12933.83</v>
      </c>
      <c r="J3560" s="27">
        <v>13614.56</v>
      </c>
      <c r="K3560" s="18">
        <f t="shared" si="111"/>
        <v>13614.56</v>
      </c>
      <c r="L3560" s="27">
        <v>12933.83</v>
      </c>
      <c r="M3560" s="36">
        <v>0</v>
      </c>
      <c r="T3560" s="41">
        <v>0</v>
      </c>
      <c r="U3560" s="41">
        <v>0</v>
      </c>
      <c r="V3560" s="42" t="s">
        <v>113</v>
      </c>
      <c r="W3560" s="42">
        <v>13614.56</v>
      </c>
      <c r="X3560" s="42">
        <v>13614.56</v>
      </c>
    </row>
    <row r="3561" spans="1:24">
      <c r="A3561" s="27" t="s">
        <v>6560</v>
      </c>
      <c r="B3561" s="28" t="s">
        <v>5102</v>
      </c>
      <c r="C3561" s="27" t="s">
        <v>6559</v>
      </c>
      <c r="D3561" s="27" t="s">
        <v>5104</v>
      </c>
      <c r="E3561" s="29">
        <v>38078</v>
      </c>
      <c r="F3561" s="27">
        <v>15</v>
      </c>
      <c r="G3561" s="18">
        <v>53795.11</v>
      </c>
      <c r="H3561" s="27">
        <f t="shared" si="110"/>
        <v>53795.11</v>
      </c>
      <c r="I3561" s="18">
        <v>51105.35</v>
      </c>
      <c r="J3561" s="27">
        <v>53795.11</v>
      </c>
      <c r="K3561" s="18">
        <f t="shared" si="111"/>
        <v>53795.11</v>
      </c>
      <c r="L3561" s="27">
        <v>51105.35</v>
      </c>
      <c r="M3561" s="36">
        <v>0</v>
      </c>
      <c r="T3561" s="41">
        <v>0</v>
      </c>
      <c r="U3561" s="41">
        <v>0</v>
      </c>
      <c r="V3561" s="42" t="s">
        <v>113</v>
      </c>
      <c r="W3561" s="42">
        <v>53795.11</v>
      </c>
      <c r="X3561" s="42">
        <v>53795.11</v>
      </c>
    </row>
    <row r="3562" spans="1:24">
      <c r="A3562" s="27" t="s">
        <v>6561</v>
      </c>
      <c r="B3562" s="28" t="s">
        <v>5102</v>
      </c>
      <c r="C3562" s="27" t="s">
        <v>6562</v>
      </c>
      <c r="D3562" s="27" t="s">
        <v>5104</v>
      </c>
      <c r="E3562" s="29">
        <v>38078</v>
      </c>
      <c r="F3562" s="27">
        <v>15</v>
      </c>
      <c r="G3562" s="18">
        <v>55964.22</v>
      </c>
      <c r="H3562" s="27">
        <f t="shared" si="110"/>
        <v>55964.22</v>
      </c>
      <c r="I3562" s="18">
        <v>53166.01</v>
      </c>
      <c r="J3562" s="27">
        <v>55964.22</v>
      </c>
      <c r="K3562" s="18">
        <f t="shared" si="111"/>
        <v>55964.22</v>
      </c>
      <c r="L3562" s="27">
        <v>53166.01</v>
      </c>
      <c r="M3562" s="36">
        <v>0</v>
      </c>
      <c r="T3562" s="41">
        <v>0</v>
      </c>
      <c r="U3562" s="41">
        <v>0</v>
      </c>
      <c r="V3562" s="42" t="s">
        <v>113</v>
      </c>
      <c r="W3562" s="42">
        <v>55964.22</v>
      </c>
      <c r="X3562" s="42">
        <v>55964.22</v>
      </c>
    </row>
    <row r="3563" spans="1:24">
      <c r="A3563" s="27" t="s">
        <v>6563</v>
      </c>
      <c r="B3563" s="28" t="s">
        <v>5102</v>
      </c>
      <c r="C3563" s="27" t="s">
        <v>6562</v>
      </c>
      <c r="D3563" s="27" t="s">
        <v>5104</v>
      </c>
      <c r="E3563" s="29">
        <v>38078</v>
      </c>
      <c r="F3563" s="27">
        <v>15</v>
      </c>
      <c r="G3563" s="18">
        <v>120307.33</v>
      </c>
      <c r="H3563" s="27">
        <f t="shared" si="110"/>
        <v>120307.33</v>
      </c>
      <c r="I3563" s="18">
        <v>114291.96</v>
      </c>
      <c r="J3563" s="27">
        <v>120307.33</v>
      </c>
      <c r="K3563" s="18">
        <f t="shared" si="111"/>
        <v>120307.33</v>
      </c>
      <c r="L3563" s="27">
        <v>114291.96</v>
      </c>
      <c r="M3563" s="36">
        <v>0</v>
      </c>
      <c r="T3563" s="41">
        <v>0</v>
      </c>
      <c r="U3563" s="41">
        <v>0</v>
      </c>
      <c r="V3563" s="42" t="s">
        <v>113</v>
      </c>
      <c r="W3563" s="42">
        <v>120307.33</v>
      </c>
      <c r="X3563" s="42">
        <v>120307.33</v>
      </c>
    </row>
    <row r="3564" spans="1:24">
      <c r="A3564" s="27" t="s">
        <v>6564</v>
      </c>
      <c r="B3564" s="28" t="s">
        <v>5102</v>
      </c>
      <c r="C3564" s="27" t="s">
        <v>6565</v>
      </c>
      <c r="D3564" s="27" t="s">
        <v>5104</v>
      </c>
      <c r="E3564" s="29">
        <v>38078</v>
      </c>
      <c r="F3564" s="27">
        <v>15</v>
      </c>
      <c r="G3564" s="18">
        <v>34236.21</v>
      </c>
      <c r="H3564" s="27">
        <f t="shared" si="110"/>
        <v>34236.21</v>
      </c>
      <c r="I3564" s="18">
        <v>32524.400000000001</v>
      </c>
      <c r="J3564" s="27">
        <v>34236.21</v>
      </c>
      <c r="K3564" s="18">
        <f t="shared" si="111"/>
        <v>34236.21</v>
      </c>
      <c r="L3564" s="27">
        <v>32524.400000000001</v>
      </c>
      <c r="M3564" s="36">
        <v>0</v>
      </c>
      <c r="T3564" s="41">
        <v>0</v>
      </c>
      <c r="U3564" s="41">
        <v>0</v>
      </c>
      <c r="V3564" s="42" t="s">
        <v>113</v>
      </c>
      <c r="W3564" s="42">
        <v>34236.21</v>
      </c>
      <c r="X3564" s="42">
        <v>34236.21</v>
      </c>
    </row>
    <row r="3565" spans="1:24">
      <c r="A3565" s="27" t="s">
        <v>6566</v>
      </c>
      <c r="B3565" s="28" t="s">
        <v>5102</v>
      </c>
      <c r="C3565" s="27" t="s">
        <v>6565</v>
      </c>
      <c r="D3565" s="27" t="s">
        <v>5104</v>
      </c>
      <c r="E3565" s="29">
        <v>38078</v>
      </c>
      <c r="F3565" s="27">
        <v>15</v>
      </c>
      <c r="G3565" s="18">
        <v>20314.3</v>
      </c>
      <c r="H3565" s="27">
        <f t="shared" si="110"/>
        <v>20314.3</v>
      </c>
      <c r="I3565" s="18">
        <v>19298.580000000002</v>
      </c>
      <c r="J3565" s="27">
        <v>20314.3</v>
      </c>
      <c r="K3565" s="18">
        <f t="shared" si="111"/>
        <v>20314.3</v>
      </c>
      <c r="L3565" s="27">
        <v>19298.580000000002</v>
      </c>
      <c r="M3565" s="36">
        <v>0</v>
      </c>
      <c r="T3565" s="41">
        <v>0</v>
      </c>
      <c r="U3565" s="41">
        <v>0</v>
      </c>
      <c r="V3565" s="42" t="s">
        <v>113</v>
      </c>
      <c r="W3565" s="42">
        <v>20314.3</v>
      </c>
      <c r="X3565" s="42">
        <v>20314.3</v>
      </c>
    </row>
    <row r="3566" spans="1:24">
      <c r="A3566" s="27" t="s">
        <v>6567</v>
      </c>
      <c r="B3566" s="28" t="s">
        <v>5102</v>
      </c>
      <c r="C3566" s="27" t="s">
        <v>6565</v>
      </c>
      <c r="D3566" s="27" t="s">
        <v>5104</v>
      </c>
      <c r="E3566" s="29">
        <v>38078</v>
      </c>
      <c r="F3566" s="27">
        <v>15</v>
      </c>
      <c r="G3566" s="18">
        <v>78758.97</v>
      </c>
      <c r="H3566" s="27">
        <f t="shared" si="110"/>
        <v>78758.97</v>
      </c>
      <c r="I3566" s="18">
        <v>74821.02</v>
      </c>
      <c r="J3566" s="27">
        <v>78758.97</v>
      </c>
      <c r="K3566" s="18">
        <f t="shared" si="111"/>
        <v>78758.97</v>
      </c>
      <c r="L3566" s="27">
        <v>74821.02</v>
      </c>
      <c r="M3566" s="36">
        <v>0</v>
      </c>
      <c r="T3566" s="41">
        <v>0</v>
      </c>
      <c r="U3566" s="41">
        <v>0</v>
      </c>
      <c r="V3566" s="42" t="s">
        <v>113</v>
      </c>
      <c r="W3566" s="42">
        <v>78758.97</v>
      </c>
      <c r="X3566" s="42">
        <v>78758.97</v>
      </c>
    </row>
    <row r="3567" spans="1:24">
      <c r="A3567" s="27" t="s">
        <v>6568</v>
      </c>
      <c r="B3567" s="28" t="s">
        <v>5102</v>
      </c>
      <c r="C3567" s="27" t="s">
        <v>6569</v>
      </c>
      <c r="D3567" s="27" t="s">
        <v>5104</v>
      </c>
      <c r="E3567" s="29">
        <v>38078</v>
      </c>
      <c r="F3567" s="27">
        <v>15</v>
      </c>
      <c r="G3567" s="18">
        <v>14615.96</v>
      </c>
      <c r="H3567" s="27">
        <f t="shared" si="110"/>
        <v>14615.96</v>
      </c>
      <c r="I3567" s="18">
        <v>13885.16</v>
      </c>
      <c r="J3567" s="27">
        <v>14615.96</v>
      </c>
      <c r="K3567" s="18">
        <f t="shared" si="111"/>
        <v>14615.96</v>
      </c>
      <c r="L3567" s="27">
        <v>13885.16</v>
      </c>
      <c r="M3567" s="36">
        <v>0</v>
      </c>
      <c r="T3567" s="41">
        <v>0</v>
      </c>
      <c r="U3567" s="41">
        <v>0</v>
      </c>
      <c r="V3567" s="42" t="s">
        <v>113</v>
      </c>
      <c r="W3567" s="42">
        <v>14615.96</v>
      </c>
      <c r="X3567" s="42">
        <v>14615.96</v>
      </c>
    </row>
    <row r="3568" spans="1:24">
      <c r="A3568" s="27" t="s">
        <v>6570</v>
      </c>
      <c r="B3568" s="28" t="s">
        <v>5102</v>
      </c>
      <c r="C3568" s="27" t="s">
        <v>6571</v>
      </c>
      <c r="D3568" s="27" t="s">
        <v>5104</v>
      </c>
      <c r="E3568" s="29">
        <v>38078</v>
      </c>
      <c r="F3568" s="27">
        <v>15</v>
      </c>
      <c r="G3568" s="18">
        <v>26530.12</v>
      </c>
      <c r="H3568" s="27">
        <f t="shared" si="110"/>
        <v>26530.12</v>
      </c>
      <c r="I3568" s="18">
        <v>25203.61</v>
      </c>
      <c r="J3568" s="27">
        <v>26530.12</v>
      </c>
      <c r="K3568" s="18">
        <f t="shared" si="111"/>
        <v>26530.12</v>
      </c>
      <c r="L3568" s="27">
        <v>25203.61</v>
      </c>
      <c r="M3568" s="36">
        <v>0</v>
      </c>
      <c r="T3568" s="41">
        <v>0</v>
      </c>
      <c r="U3568" s="41">
        <v>0</v>
      </c>
      <c r="V3568" s="42" t="s">
        <v>113</v>
      </c>
      <c r="W3568" s="42">
        <v>26530.12</v>
      </c>
      <c r="X3568" s="42">
        <v>26530.12</v>
      </c>
    </row>
    <row r="3569" spans="1:24">
      <c r="A3569" s="27" t="s">
        <v>6572</v>
      </c>
      <c r="B3569" s="28" t="s">
        <v>5102</v>
      </c>
      <c r="C3569" s="27" t="s">
        <v>6140</v>
      </c>
      <c r="D3569" s="27" t="s">
        <v>230</v>
      </c>
      <c r="E3569" s="29">
        <v>39417</v>
      </c>
      <c r="F3569" s="27">
        <v>15</v>
      </c>
      <c r="G3569" s="18">
        <v>31770.3</v>
      </c>
      <c r="H3569" s="27">
        <f t="shared" si="110"/>
        <v>0</v>
      </c>
      <c r="I3569" s="18">
        <v>27096.84</v>
      </c>
      <c r="J3569" s="27">
        <v>31770.3</v>
      </c>
      <c r="K3569" s="18">
        <f t="shared" si="111"/>
        <v>0</v>
      </c>
      <c r="L3569" s="27">
        <v>27868.080000000002</v>
      </c>
      <c r="M3569" s="36">
        <v>771.24</v>
      </c>
      <c r="T3569" s="41">
        <v>0</v>
      </c>
      <c r="U3569" s="41">
        <v>0</v>
      </c>
      <c r="V3569" s="42" t="s">
        <v>113</v>
      </c>
      <c r="W3569" s="42">
        <v>0</v>
      </c>
      <c r="X3569" s="42">
        <v>0</v>
      </c>
    </row>
    <row r="3570" spans="1:24">
      <c r="A3570" s="27" t="s">
        <v>6573</v>
      </c>
      <c r="B3570" s="28" t="s">
        <v>5102</v>
      </c>
      <c r="C3570" s="27" t="s">
        <v>6142</v>
      </c>
      <c r="D3570" s="27" t="s">
        <v>5104</v>
      </c>
      <c r="E3570" s="29">
        <v>39417</v>
      </c>
      <c r="F3570" s="27">
        <v>15</v>
      </c>
      <c r="G3570" s="18">
        <v>9531.09</v>
      </c>
      <c r="H3570" s="27">
        <f t="shared" si="110"/>
        <v>0</v>
      </c>
      <c r="I3570" s="18">
        <v>8129.06</v>
      </c>
      <c r="J3570" s="27">
        <v>9531.09</v>
      </c>
      <c r="K3570" s="18">
        <f t="shared" si="111"/>
        <v>0</v>
      </c>
      <c r="L3570" s="27">
        <v>8360.43</v>
      </c>
      <c r="M3570" s="36">
        <v>231.37</v>
      </c>
      <c r="T3570" s="41">
        <v>0</v>
      </c>
      <c r="U3570" s="41">
        <v>0</v>
      </c>
      <c r="V3570" s="42" t="s">
        <v>113</v>
      </c>
      <c r="W3570" s="42">
        <v>0</v>
      </c>
      <c r="X3570" s="42">
        <v>0</v>
      </c>
    </row>
    <row r="3571" spans="1:24">
      <c r="A3571" s="27" t="s">
        <v>6574</v>
      </c>
      <c r="B3571" s="28" t="s">
        <v>5102</v>
      </c>
      <c r="C3571" s="27" t="s">
        <v>6142</v>
      </c>
      <c r="D3571" s="27" t="s">
        <v>5104</v>
      </c>
      <c r="E3571" s="29">
        <v>39417</v>
      </c>
      <c r="F3571" s="27">
        <v>15</v>
      </c>
      <c r="G3571" s="18">
        <v>31770.3</v>
      </c>
      <c r="H3571" s="27">
        <f t="shared" si="110"/>
        <v>0</v>
      </c>
      <c r="I3571" s="18">
        <v>27096.84</v>
      </c>
      <c r="J3571" s="27">
        <v>31770.3</v>
      </c>
      <c r="K3571" s="18">
        <f t="shared" si="111"/>
        <v>0</v>
      </c>
      <c r="L3571" s="27">
        <v>27868.080000000002</v>
      </c>
      <c r="M3571" s="36">
        <v>771.24</v>
      </c>
      <c r="T3571" s="41">
        <v>0</v>
      </c>
      <c r="U3571" s="41">
        <v>0</v>
      </c>
      <c r="V3571" s="42" t="s">
        <v>113</v>
      </c>
      <c r="W3571" s="42">
        <v>0</v>
      </c>
      <c r="X3571" s="42">
        <v>0</v>
      </c>
    </row>
    <row r="3572" spans="1:24">
      <c r="A3572" s="27" t="s">
        <v>6575</v>
      </c>
      <c r="B3572" s="28" t="s">
        <v>5102</v>
      </c>
      <c r="C3572" s="27" t="s">
        <v>6142</v>
      </c>
      <c r="D3572" s="27" t="s">
        <v>5104</v>
      </c>
      <c r="E3572" s="29">
        <v>39417</v>
      </c>
      <c r="F3572" s="27">
        <v>15</v>
      </c>
      <c r="G3572" s="18">
        <v>90148.63</v>
      </c>
      <c r="H3572" s="27">
        <f t="shared" si="110"/>
        <v>0</v>
      </c>
      <c r="I3572" s="18">
        <v>76926.55</v>
      </c>
      <c r="J3572" s="27">
        <v>90148.63</v>
      </c>
      <c r="K3572" s="18">
        <f t="shared" si="111"/>
        <v>0</v>
      </c>
      <c r="L3572" s="27">
        <v>79105.210000000006</v>
      </c>
      <c r="M3572" s="36">
        <v>2178.66</v>
      </c>
      <c r="T3572" s="41">
        <v>0</v>
      </c>
      <c r="U3572" s="41">
        <v>0</v>
      </c>
      <c r="V3572" s="42" t="s">
        <v>113</v>
      </c>
      <c r="W3572" s="42">
        <v>0</v>
      </c>
      <c r="X3572" s="42">
        <v>0</v>
      </c>
    </row>
    <row r="3573" spans="1:24">
      <c r="A3573" s="27" t="s">
        <v>6576</v>
      </c>
      <c r="B3573" s="28" t="s">
        <v>5102</v>
      </c>
      <c r="C3573" s="27" t="s">
        <v>6142</v>
      </c>
      <c r="D3573" s="27" t="s">
        <v>5104</v>
      </c>
      <c r="E3573" s="29">
        <v>39417</v>
      </c>
      <c r="F3573" s="27">
        <v>15</v>
      </c>
      <c r="G3573" s="18">
        <v>11119.61</v>
      </c>
      <c r="H3573" s="27">
        <f t="shared" si="110"/>
        <v>0</v>
      </c>
      <c r="I3573" s="18">
        <v>9483.91</v>
      </c>
      <c r="J3573" s="27">
        <v>11119.61</v>
      </c>
      <c r="K3573" s="18">
        <f t="shared" si="111"/>
        <v>0</v>
      </c>
      <c r="L3573" s="27">
        <v>9753.84</v>
      </c>
      <c r="M3573" s="36">
        <v>269.93</v>
      </c>
      <c r="T3573" s="41">
        <v>0</v>
      </c>
      <c r="U3573" s="41">
        <v>0</v>
      </c>
      <c r="V3573" s="42" t="s">
        <v>113</v>
      </c>
      <c r="W3573" s="42">
        <v>0</v>
      </c>
      <c r="X3573" s="42">
        <v>0</v>
      </c>
    </row>
    <row r="3574" spans="1:24">
      <c r="A3574" s="27" t="s">
        <v>6577</v>
      </c>
      <c r="B3574" s="28" t="s">
        <v>5102</v>
      </c>
      <c r="C3574" s="27" t="s">
        <v>6142</v>
      </c>
      <c r="D3574" s="27" t="s">
        <v>5104</v>
      </c>
      <c r="E3574" s="29">
        <v>39417</v>
      </c>
      <c r="F3574" s="27">
        <v>15</v>
      </c>
      <c r="G3574" s="18">
        <v>11119.61</v>
      </c>
      <c r="H3574" s="27">
        <f t="shared" si="110"/>
        <v>0</v>
      </c>
      <c r="I3574" s="18">
        <v>9483.91</v>
      </c>
      <c r="J3574" s="27">
        <v>11119.61</v>
      </c>
      <c r="K3574" s="18">
        <f t="shared" si="111"/>
        <v>0</v>
      </c>
      <c r="L3574" s="27">
        <v>9753.84</v>
      </c>
      <c r="M3574" s="36">
        <v>269.93</v>
      </c>
      <c r="T3574" s="41">
        <v>0</v>
      </c>
      <c r="U3574" s="41">
        <v>0</v>
      </c>
      <c r="V3574" s="42" t="s">
        <v>113</v>
      </c>
      <c r="W3574" s="42">
        <v>0</v>
      </c>
      <c r="X3574" s="42">
        <v>0</v>
      </c>
    </row>
    <row r="3575" spans="1:24">
      <c r="A3575" s="27" t="s">
        <v>6578</v>
      </c>
      <c r="B3575" s="28" t="s">
        <v>5102</v>
      </c>
      <c r="C3575" s="27" t="s">
        <v>6142</v>
      </c>
      <c r="D3575" s="27" t="s">
        <v>5104</v>
      </c>
      <c r="E3575" s="29">
        <v>39417</v>
      </c>
      <c r="F3575" s="27">
        <v>15</v>
      </c>
      <c r="G3575" s="18">
        <v>22239.21</v>
      </c>
      <c r="H3575" s="27">
        <f t="shared" si="110"/>
        <v>0</v>
      </c>
      <c r="I3575" s="18">
        <v>18967.8</v>
      </c>
      <c r="J3575" s="27">
        <v>22239.21</v>
      </c>
      <c r="K3575" s="18">
        <f t="shared" si="111"/>
        <v>0</v>
      </c>
      <c r="L3575" s="27">
        <v>19507.66</v>
      </c>
      <c r="M3575" s="36">
        <v>539.86</v>
      </c>
      <c r="T3575" s="41">
        <v>0</v>
      </c>
      <c r="U3575" s="41">
        <v>0</v>
      </c>
      <c r="V3575" s="42" t="s">
        <v>113</v>
      </c>
      <c r="W3575" s="42">
        <v>0</v>
      </c>
      <c r="X3575" s="42">
        <v>0</v>
      </c>
    </row>
    <row r="3576" spans="1:24">
      <c r="A3576" s="27" t="s">
        <v>6579</v>
      </c>
      <c r="B3576" s="28" t="s">
        <v>5102</v>
      </c>
      <c r="C3576" s="27" t="s">
        <v>6580</v>
      </c>
      <c r="D3576" s="27" t="s">
        <v>5104</v>
      </c>
      <c r="E3576" s="29">
        <v>33298</v>
      </c>
      <c r="F3576" s="27">
        <v>15</v>
      </c>
      <c r="G3576" s="18">
        <v>9750</v>
      </c>
      <c r="H3576" s="27">
        <f t="shared" si="110"/>
        <v>9750</v>
      </c>
      <c r="I3576" s="18">
        <v>9262.5</v>
      </c>
      <c r="J3576" s="27">
        <v>9750</v>
      </c>
      <c r="K3576" s="18">
        <f t="shared" si="111"/>
        <v>9750</v>
      </c>
      <c r="L3576" s="27">
        <v>9262.5</v>
      </c>
      <c r="M3576" s="36">
        <v>0</v>
      </c>
      <c r="T3576" s="41">
        <v>0</v>
      </c>
      <c r="U3576" s="41">
        <v>0</v>
      </c>
      <c r="V3576" s="42" t="s">
        <v>113</v>
      </c>
      <c r="W3576" s="42">
        <v>9750</v>
      </c>
      <c r="X3576" s="42">
        <v>9750</v>
      </c>
    </row>
    <row r="3577" spans="1:24">
      <c r="A3577" s="27" t="s">
        <v>6581</v>
      </c>
      <c r="B3577" s="28" t="s">
        <v>5102</v>
      </c>
      <c r="C3577" s="27" t="s">
        <v>6582</v>
      </c>
      <c r="D3577" s="27" t="s">
        <v>5104</v>
      </c>
      <c r="E3577" s="29">
        <v>36495</v>
      </c>
      <c r="F3577" s="27">
        <v>15</v>
      </c>
      <c r="G3577" s="18">
        <v>7027.5</v>
      </c>
      <c r="H3577" s="27">
        <f t="shared" si="110"/>
        <v>7027.5</v>
      </c>
      <c r="I3577" s="18">
        <v>6676.12</v>
      </c>
      <c r="J3577" s="27">
        <v>7027.5</v>
      </c>
      <c r="K3577" s="18">
        <f t="shared" si="111"/>
        <v>7027.5</v>
      </c>
      <c r="L3577" s="27">
        <v>6676.12</v>
      </c>
      <c r="M3577" s="36">
        <v>0</v>
      </c>
      <c r="T3577" s="41">
        <v>0</v>
      </c>
      <c r="U3577" s="41">
        <v>0</v>
      </c>
      <c r="V3577" s="42" t="s">
        <v>113</v>
      </c>
      <c r="W3577" s="42">
        <v>7027.5</v>
      </c>
      <c r="X3577" s="42">
        <v>7027.5</v>
      </c>
    </row>
    <row r="3578" spans="1:24">
      <c r="A3578" s="27" t="s">
        <v>6583</v>
      </c>
      <c r="B3578" s="28" t="s">
        <v>5102</v>
      </c>
      <c r="C3578" s="27" t="s">
        <v>6584</v>
      </c>
      <c r="D3578" s="27" t="s">
        <v>5104</v>
      </c>
      <c r="E3578" s="29">
        <v>35977</v>
      </c>
      <c r="F3578" s="27">
        <v>15</v>
      </c>
      <c r="G3578" s="18">
        <v>102526.04</v>
      </c>
      <c r="H3578" s="27">
        <f t="shared" si="110"/>
        <v>102526.04</v>
      </c>
      <c r="I3578" s="18">
        <v>97399.74</v>
      </c>
      <c r="J3578" s="27">
        <v>102526.04</v>
      </c>
      <c r="K3578" s="18">
        <f t="shared" si="111"/>
        <v>102526.04</v>
      </c>
      <c r="L3578" s="27">
        <v>97399.74</v>
      </c>
      <c r="M3578" s="36">
        <v>0</v>
      </c>
      <c r="T3578" s="41">
        <v>0</v>
      </c>
      <c r="U3578" s="41">
        <v>0</v>
      </c>
      <c r="V3578" s="42" t="s">
        <v>113</v>
      </c>
      <c r="W3578" s="42">
        <v>102526.04</v>
      </c>
      <c r="X3578" s="42">
        <v>102526.04</v>
      </c>
    </row>
    <row r="3579" spans="1:24">
      <c r="A3579" s="27" t="s">
        <v>6585</v>
      </c>
      <c r="B3579" s="28" t="s">
        <v>5102</v>
      </c>
      <c r="C3579" s="27" t="s">
        <v>6586</v>
      </c>
      <c r="D3579" s="27" t="s">
        <v>5104</v>
      </c>
      <c r="E3579" s="29">
        <v>36130</v>
      </c>
      <c r="F3579" s="27">
        <v>15</v>
      </c>
      <c r="G3579" s="18">
        <v>83875</v>
      </c>
      <c r="H3579" s="27">
        <f t="shared" si="110"/>
        <v>83875</v>
      </c>
      <c r="I3579" s="18">
        <v>79681.25</v>
      </c>
      <c r="J3579" s="27">
        <v>83875</v>
      </c>
      <c r="K3579" s="18">
        <f t="shared" si="111"/>
        <v>83875</v>
      </c>
      <c r="L3579" s="27">
        <v>79681.25</v>
      </c>
      <c r="M3579" s="36">
        <v>0</v>
      </c>
      <c r="T3579" s="41">
        <v>0</v>
      </c>
      <c r="U3579" s="41">
        <v>0</v>
      </c>
      <c r="V3579" s="42" t="s">
        <v>113</v>
      </c>
      <c r="W3579" s="42">
        <v>83875</v>
      </c>
      <c r="X3579" s="42">
        <v>83875</v>
      </c>
    </row>
    <row r="3580" spans="1:24">
      <c r="A3580" s="27" t="s">
        <v>6587</v>
      </c>
      <c r="B3580" s="28" t="s">
        <v>5102</v>
      </c>
      <c r="C3580" s="27" t="s">
        <v>6588</v>
      </c>
      <c r="D3580" s="27" t="s">
        <v>5104</v>
      </c>
      <c r="E3580" s="29">
        <v>33817</v>
      </c>
      <c r="F3580" s="27">
        <v>15</v>
      </c>
      <c r="G3580" s="18">
        <v>8166.67</v>
      </c>
      <c r="H3580" s="27">
        <f t="shared" si="110"/>
        <v>8166.67</v>
      </c>
      <c r="I3580" s="18">
        <v>7758.34</v>
      </c>
      <c r="J3580" s="27">
        <v>8166.67</v>
      </c>
      <c r="K3580" s="18">
        <f t="shared" si="111"/>
        <v>8166.67</v>
      </c>
      <c r="L3580" s="27">
        <v>7758.34</v>
      </c>
      <c r="M3580" s="36">
        <v>0</v>
      </c>
      <c r="T3580" s="41">
        <v>0</v>
      </c>
      <c r="U3580" s="41">
        <v>0</v>
      </c>
      <c r="V3580" s="42" t="s">
        <v>113</v>
      </c>
      <c r="W3580" s="42">
        <v>8166.67</v>
      </c>
      <c r="X3580" s="42">
        <v>8166.67</v>
      </c>
    </row>
    <row r="3581" spans="1:24">
      <c r="A3581" s="27" t="s">
        <v>6589</v>
      </c>
      <c r="B3581" s="28" t="s">
        <v>5102</v>
      </c>
      <c r="C3581" s="27" t="s">
        <v>5515</v>
      </c>
      <c r="D3581" s="27" t="s">
        <v>5104</v>
      </c>
      <c r="E3581" s="29">
        <v>35156</v>
      </c>
      <c r="F3581" s="27">
        <v>15</v>
      </c>
      <c r="G3581" s="18">
        <v>66000</v>
      </c>
      <c r="H3581" s="27">
        <f t="shared" si="110"/>
        <v>66000</v>
      </c>
      <c r="I3581" s="18">
        <v>62700</v>
      </c>
      <c r="J3581" s="27">
        <v>66000</v>
      </c>
      <c r="K3581" s="18">
        <f t="shared" si="111"/>
        <v>66000</v>
      </c>
      <c r="L3581" s="27">
        <v>62700</v>
      </c>
      <c r="M3581" s="36">
        <v>0</v>
      </c>
      <c r="T3581" s="41">
        <v>0</v>
      </c>
      <c r="U3581" s="41">
        <v>0</v>
      </c>
      <c r="V3581" s="42" t="s">
        <v>113</v>
      </c>
      <c r="W3581" s="42">
        <v>66000</v>
      </c>
      <c r="X3581" s="42">
        <v>66000</v>
      </c>
    </row>
    <row r="3582" spans="1:24">
      <c r="A3582" s="27" t="s">
        <v>6590</v>
      </c>
      <c r="B3582" s="28" t="s">
        <v>5102</v>
      </c>
      <c r="C3582" s="27" t="s">
        <v>6591</v>
      </c>
      <c r="D3582" s="27" t="s">
        <v>5104</v>
      </c>
      <c r="E3582" s="29">
        <v>35643</v>
      </c>
      <c r="F3582" s="27">
        <v>15</v>
      </c>
      <c r="G3582" s="18">
        <v>25846.25</v>
      </c>
      <c r="H3582" s="27">
        <f t="shared" si="110"/>
        <v>25846.25</v>
      </c>
      <c r="I3582" s="18">
        <v>24553.94</v>
      </c>
      <c r="J3582" s="27">
        <v>25846.25</v>
      </c>
      <c r="K3582" s="18">
        <f t="shared" si="111"/>
        <v>25846.25</v>
      </c>
      <c r="L3582" s="27">
        <v>24553.94</v>
      </c>
      <c r="M3582" s="36">
        <v>0</v>
      </c>
      <c r="T3582" s="41">
        <v>0</v>
      </c>
      <c r="U3582" s="41">
        <v>0</v>
      </c>
      <c r="V3582" s="42" t="s">
        <v>113</v>
      </c>
      <c r="W3582" s="42">
        <v>25846.25</v>
      </c>
      <c r="X3582" s="42">
        <v>25846.25</v>
      </c>
    </row>
    <row r="3583" spans="1:24">
      <c r="A3583" s="27" t="s">
        <v>6592</v>
      </c>
      <c r="B3583" s="28" t="s">
        <v>5102</v>
      </c>
      <c r="C3583" s="27" t="s">
        <v>6593</v>
      </c>
      <c r="D3583" s="27" t="s">
        <v>5104</v>
      </c>
      <c r="E3583" s="29">
        <v>39600</v>
      </c>
      <c r="F3583" s="27">
        <v>15</v>
      </c>
      <c r="G3583" s="18">
        <v>8306.2199999999993</v>
      </c>
      <c r="H3583" s="27">
        <f t="shared" si="110"/>
        <v>0</v>
      </c>
      <c r="I3583" s="18">
        <v>6698.43</v>
      </c>
      <c r="J3583" s="27">
        <v>8306.2199999999993</v>
      </c>
      <c r="K3583" s="18">
        <f t="shared" si="111"/>
        <v>0</v>
      </c>
      <c r="L3583" s="27">
        <v>6963.43</v>
      </c>
      <c r="M3583" s="36">
        <v>265</v>
      </c>
      <c r="T3583" s="41">
        <v>0</v>
      </c>
      <c r="U3583" s="41">
        <v>0</v>
      </c>
      <c r="V3583" s="42" t="s">
        <v>113</v>
      </c>
      <c r="W3583" s="42">
        <v>0</v>
      </c>
      <c r="X3583" s="42">
        <v>0</v>
      </c>
    </row>
    <row r="3584" spans="1:24">
      <c r="A3584" s="27" t="s">
        <v>6594</v>
      </c>
      <c r="B3584" s="28" t="s">
        <v>5102</v>
      </c>
      <c r="C3584" s="27" t="s">
        <v>6595</v>
      </c>
      <c r="D3584" s="27" t="s">
        <v>5104</v>
      </c>
      <c r="E3584" s="29">
        <v>39630</v>
      </c>
      <c r="F3584" s="27">
        <v>15</v>
      </c>
      <c r="G3584" s="18">
        <v>8370.1200000000008</v>
      </c>
      <c r="H3584" s="27">
        <f t="shared" si="110"/>
        <v>0</v>
      </c>
      <c r="I3584" s="18">
        <v>6700.97</v>
      </c>
      <c r="J3584" s="27">
        <v>8370.1200000000008</v>
      </c>
      <c r="K3584" s="18">
        <f t="shared" si="111"/>
        <v>0</v>
      </c>
      <c r="L3584" s="27">
        <v>6973.84</v>
      </c>
      <c r="M3584" s="36">
        <v>272.87</v>
      </c>
      <c r="T3584" s="41">
        <v>0</v>
      </c>
      <c r="U3584" s="41">
        <v>0</v>
      </c>
      <c r="V3584" s="42" t="s">
        <v>113</v>
      </c>
      <c r="W3584" s="42">
        <v>0</v>
      </c>
      <c r="X3584" s="42">
        <v>0</v>
      </c>
    </row>
    <row r="3585" spans="1:24">
      <c r="A3585" s="27" t="s">
        <v>6596</v>
      </c>
      <c r="B3585" s="28" t="s">
        <v>5102</v>
      </c>
      <c r="C3585" s="27" t="s">
        <v>6597</v>
      </c>
      <c r="D3585" s="27" t="s">
        <v>5104</v>
      </c>
      <c r="E3585" s="29">
        <v>39661</v>
      </c>
      <c r="F3585" s="27">
        <v>15</v>
      </c>
      <c r="G3585" s="18">
        <v>6673.03</v>
      </c>
      <c r="H3585" s="27">
        <f t="shared" si="110"/>
        <v>0</v>
      </c>
      <c r="I3585" s="18">
        <v>5302.95</v>
      </c>
      <c r="J3585" s="27">
        <v>6673.03</v>
      </c>
      <c r="K3585" s="18">
        <f t="shared" si="111"/>
        <v>0</v>
      </c>
      <c r="L3585" s="27">
        <v>5525.04</v>
      </c>
      <c r="M3585" s="36">
        <v>222.09</v>
      </c>
      <c r="T3585" s="41">
        <v>0</v>
      </c>
      <c r="U3585" s="41">
        <v>0</v>
      </c>
      <c r="V3585" s="42" t="s">
        <v>113</v>
      </c>
      <c r="W3585" s="42">
        <v>0</v>
      </c>
      <c r="X3585" s="42">
        <v>0</v>
      </c>
    </row>
    <row r="3586" spans="1:24">
      <c r="A3586" s="27" t="s">
        <v>6598</v>
      </c>
      <c r="B3586" s="28" t="s">
        <v>5102</v>
      </c>
      <c r="C3586" s="27" t="s">
        <v>6599</v>
      </c>
      <c r="D3586" s="27" t="s">
        <v>5104</v>
      </c>
      <c r="E3586" s="29">
        <v>35247</v>
      </c>
      <c r="F3586" s="27">
        <v>15</v>
      </c>
      <c r="G3586" s="18">
        <v>16512.03</v>
      </c>
      <c r="H3586" s="27">
        <f t="shared" si="110"/>
        <v>16512.03</v>
      </c>
      <c r="I3586" s="18">
        <v>15686.43</v>
      </c>
      <c r="J3586" s="27">
        <v>16512.03</v>
      </c>
      <c r="K3586" s="18">
        <f t="shared" si="111"/>
        <v>16512.03</v>
      </c>
      <c r="L3586" s="27">
        <v>15686.43</v>
      </c>
      <c r="M3586" s="36">
        <v>0</v>
      </c>
      <c r="T3586" s="41">
        <v>0</v>
      </c>
      <c r="U3586" s="41">
        <v>0</v>
      </c>
      <c r="V3586" s="42" t="s">
        <v>113</v>
      </c>
      <c r="W3586" s="42">
        <v>16512.03</v>
      </c>
      <c r="X3586" s="42">
        <v>16512.03</v>
      </c>
    </row>
    <row r="3587" spans="1:24">
      <c r="A3587" s="27" t="s">
        <v>6600</v>
      </c>
      <c r="B3587" s="28" t="s">
        <v>5102</v>
      </c>
      <c r="C3587" s="27" t="s">
        <v>6601</v>
      </c>
      <c r="D3587" s="27" t="s">
        <v>5104</v>
      </c>
      <c r="E3587" s="29">
        <v>35247</v>
      </c>
      <c r="F3587" s="27">
        <v>15</v>
      </c>
      <c r="G3587" s="18">
        <v>33024.06</v>
      </c>
      <c r="H3587" s="27">
        <f t="shared" si="110"/>
        <v>33024.06</v>
      </c>
      <c r="I3587" s="18">
        <v>31372.86</v>
      </c>
      <c r="J3587" s="27">
        <v>33024.06</v>
      </c>
      <c r="K3587" s="18">
        <f t="shared" si="111"/>
        <v>33024.06</v>
      </c>
      <c r="L3587" s="27">
        <v>31372.86</v>
      </c>
      <c r="M3587" s="36">
        <v>0</v>
      </c>
      <c r="T3587" s="41">
        <v>0</v>
      </c>
      <c r="U3587" s="41">
        <v>0</v>
      </c>
      <c r="V3587" s="42" t="s">
        <v>113</v>
      </c>
      <c r="W3587" s="42">
        <v>33024.06</v>
      </c>
      <c r="X3587" s="42">
        <v>33024.06</v>
      </c>
    </row>
    <row r="3588" spans="1:24">
      <c r="A3588" s="27" t="s">
        <v>6602</v>
      </c>
      <c r="B3588" s="28" t="s">
        <v>5102</v>
      </c>
      <c r="C3588" s="27" t="s">
        <v>6603</v>
      </c>
      <c r="D3588" s="27" t="s">
        <v>5104</v>
      </c>
      <c r="E3588" s="29">
        <v>34912</v>
      </c>
      <c r="F3588" s="27">
        <v>15</v>
      </c>
      <c r="G3588" s="18">
        <v>73791.67</v>
      </c>
      <c r="H3588" s="27">
        <f t="shared" si="110"/>
        <v>73791.67</v>
      </c>
      <c r="I3588" s="18">
        <v>70102.09</v>
      </c>
      <c r="J3588" s="27">
        <v>73791.67</v>
      </c>
      <c r="K3588" s="18">
        <f t="shared" si="111"/>
        <v>73791.67</v>
      </c>
      <c r="L3588" s="27">
        <v>70102.09</v>
      </c>
      <c r="M3588" s="36">
        <v>0</v>
      </c>
      <c r="T3588" s="41">
        <v>0</v>
      </c>
      <c r="U3588" s="41">
        <v>0</v>
      </c>
      <c r="V3588" s="42" t="s">
        <v>113</v>
      </c>
      <c r="W3588" s="42">
        <v>73791.67</v>
      </c>
      <c r="X3588" s="42">
        <v>73791.67</v>
      </c>
    </row>
    <row r="3589" spans="1:24">
      <c r="A3589" s="27" t="s">
        <v>6604</v>
      </c>
      <c r="B3589" s="28" t="s">
        <v>5102</v>
      </c>
      <c r="C3589" s="27" t="s">
        <v>6605</v>
      </c>
      <c r="D3589" s="27" t="s">
        <v>5104</v>
      </c>
      <c r="E3589" s="29">
        <v>36130</v>
      </c>
      <c r="F3589" s="27">
        <v>15</v>
      </c>
      <c r="G3589" s="18">
        <v>35210.17</v>
      </c>
      <c r="H3589" s="27">
        <f t="shared" si="110"/>
        <v>35210.17</v>
      </c>
      <c r="I3589" s="18">
        <v>33449.660000000003</v>
      </c>
      <c r="J3589" s="27">
        <v>35210.17</v>
      </c>
      <c r="K3589" s="18">
        <f t="shared" si="111"/>
        <v>35210.17</v>
      </c>
      <c r="L3589" s="27">
        <v>33449.660000000003</v>
      </c>
      <c r="M3589" s="36">
        <v>0</v>
      </c>
      <c r="T3589" s="41">
        <v>0</v>
      </c>
      <c r="U3589" s="41">
        <v>0</v>
      </c>
      <c r="V3589" s="42" t="s">
        <v>113</v>
      </c>
      <c r="W3589" s="42">
        <v>35210.17</v>
      </c>
      <c r="X3589" s="42">
        <v>35210.17</v>
      </c>
    </row>
    <row r="3590" spans="1:24">
      <c r="A3590" s="27" t="s">
        <v>6606</v>
      </c>
      <c r="B3590" s="28" t="s">
        <v>5102</v>
      </c>
      <c r="C3590" s="27" t="s">
        <v>6607</v>
      </c>
      <c r="D3590" s="27" t="s">
        <v>5104</v>
      </c>
      <c r="E3590" s="29">
        <v>32813</v>
      </c>
      <c r="F3590" s="27">
        <v>15</v>
      </c>
      <c r="G3590" s="18">
        <v>10781.25</v>
      </c>
      <c r="H3590" s="27">
        <f t="shared" ref="H3590:H3653" si="112">IFERROR(IF(ROUND((G3590-I3590)/G3590,2)&lt;=0.05,G3590,0),0)</f>
        <v>10781.25</v>
      </c>
      <c r="I3590" s="18">
        <v>10242.19</v>
      </c>
      <c r="J3590" s="27">
        <v>10781.25</v>
      </c>
      <c r="K3590" s="18">
        <f t="shared" ref="K3590:K3653" si="113">IFERROR(IF(ROUND((J3590-L3590)/J3590,2)&lt;=0.05,J3590,0),0)</f>
        <v>10781.25</v>
      </c>
      <c r="L3590" s="27">
        <v>10242.19</v>
      </c>
      <c r="M3590" s="36">
        <v>0</v>
      </c>
      <c r="T3590" s="41">
        <v>0</v>
      </c>
      <c r="U3590" s="41">
        <v>0</v>
      </c>
      <c r="V3590" s="42" t="s">
        <v>113</v>
      </c>
      <c r="W3590" s="42">
        <v>10781.25</v>
      </c>
      <c r="X3590" s="42">
        <v>10781.25</v>
      </c>
    </row>
    <row r="3591" spans="1:24">
      <c r="A3591" s="27" t="s">
        <v>6608</v>
      </c>
      <c r="B3591" s="28" t="s">
        <v>5102</v>
      </c>
      <c r="C3591" s="27" t="s">
        <v>6609</v>
      </c>
      <c r="D3591" s="27" t="s">
        <v>5104</v>
      </c>
      <c r="E3591" s="29">
        <v>32964</v>
      </c>
      <c r="F3591" s="27">
        <v>15</v>
      </c>
      <c r="G3591" s="18">
        <v>8166.67</v>
      </c>
      <c r="H3591" s="27">
        <f t="shared" si="112"/>
        <v>8166.67</v>
      </c>
      <c r="I3591" s="18">
        <v>7758.34</v>
      </c>
      <c r="J3591" s="27">
        <v>8166.67</v>
      </c>
      <c r="K3591" s="18">
        <f t="shared" si="113"/>
        <v>8166.67</v>
      </c>
      <c r="L3591" s="27">
        <v>7758.34</v>
      </c>
      <c r="M3591" s="36">
        <v>0</v>
      </c>
      <c r="T3591" s="41">
        <v>0</v>
      </c>
      <c r="U3591" s="41">
        <v>0</v>
      </c>
      <c r="V3591" s="42" t="s">
        <v>113</v>
      </c>
      <c r="W3591" s="42">
        <v>8166.67</v>
      </c>
      <c r="X3591" s="42">
        <v>8166.67</v>
      </c>
    </row>
    <row r="3592" spans="1:24">
      <c r="A3592" s="27" t="s">
        <v>6610</v>
      </c>
      <c r="B3592" s="28" t="s">
        <v>5102</v>
      </c>
      <c r="C3592" s="27" t="s">
        <v>6611</v>
      </c>
      <c r="D3592" s="27" t="s">
        <v>5104</v>
      </c>
      <c r="E3592" s="29">
        <v>36069</v>
      </c>
      <c r="F3592" s="27">
        <v>15</v>
      </c>
      <c r="G3592" s="18">
        <v>33854.17</v>
      </c>
      <c r="H3592" s="27">
        <f t="shared" si="112"/>
        <v>33854.17</v>
      </c>
      <c r="I3592" s="18">
        <v>32161.46</v>
      </c>
      <c r="J3592" s="27">
        <v>33854.17</v>
      </c>
      <c r="K3592" s="18">
        <f t="shared" si="113"/>
        <v>33854.17</v>
      </c>
      <c r="L3592" s="27">
        <v>32161.46</v>
      </c>
      <c r="M3592" s="36">
        <v>0</v>
      </c>
      <c r="T3592" s="41">
        <v>0</v>
      </c>
      <c r="U3592" s="41">
        <v>0</v>
      </c>
      <c r="V3592" s="42" t="s">
        <v>113</v>
      </c>
      <c r="W3592" s="42">
        <v>33854.17</v>
      </c>
      <c r="X3592" s="42">
        <v>33854.17</v>
      </c>
    </row>
    <row r="3593" spans="1:24">
      <c r="A3593" s="27" t="s">
        <v>6612</v>
      </c>
      <c r="B3593" s="28" t="s">
        <v>5102</v>
      </c>
      <c r="C3593" s="27" t="s">
        <v>6613</v>
      </c>
      <c r="D3593" s="27" t="s">
        <v>5104</v>
      </c>
      <c r="E3593" s="29">
        <v>34547</v>
      </c>
      <c r="F3593" s="27">
        <v>15</v>
      </c>
      <c r="G3593" s="18">
        <v>27232.720000000001</v>
      </c>
      <c r="H3593" s="27">
        <f t="shared" si="112"/>
        <v>27232.720000000001</v>
      </c>
      <c r="I3593" s="18">
        <v>25871.08</v>
      </c>
      <c r="J3593" s="27">
        <v>27232.720000000001</v>
      </c>
      <c r="K3593" s="18">
        <f t="shared" si="113"/>
        <v>27232.720000000001</v>
      </c>
      <c r="L3593" s="27">
        <v>25871.08</v>
      </c>
      <c r="M3593" s="36">
        <v>0</v>
      </c>
      <c r="T3593" s="41">
        <v>0</v>
      </c>
      <c r="U3593" s="41">
        <v>0</v>
      </c>
      <c r="V3593" s="42" t="s">
        <v>113</v>
      </c>
      <c r="W3593" s="42">
        <v>27232.720000000001</v>
      </c>
      <c r="X3593" s="42">
        <v>27232.720000000001</v>
      </c>
    </row>
    <row r="3594" spans="1:24">
      <c r="A3594" s="27" t="s">
        <v>6614</v>
      </c>
      <c r="B3594" s="28" t="s">
        <v>5102</v>
      </c>
      <c r="C3594" s="27" t="s">
        <v>6615</v>
      </c>
      <c r="D3594" s="27" t="s">
        <v>5104</v>
      </c>
      <c r="E3594" s="29">
        <v>33451</v>
      </c>
      <c r="F3594" s="27">
        <v>15</v>
      </c>
      <c r="G3594" s="18">
        <v>14034.16</v>
      </c>
      <c r="H3594" s="27">
        <f t="shared" si="112"/>
        <v>14034.16</v>
      </c>
      <c r="I3594" s="18">
        <v>13332.45</v>
      </c>
      <c r="J3594" s="27">
        <v>14034.16</v>
      </c>
      <c r="K3594" s="18">
        <f t="shared" si="113"/>
        <v>14034.16</v>
      </c>
      <c r="L3594" s="27">
        <v>13332.45</v>
      </c>
      <c r="M3594" s="36">
        <v>0</v>
      </c>
      <c r="T3594" s="41">
        <v>0</v>
      </c>
      <c r="U3594" s="41">
        <v>0</v>
      </c>
      <c r="V3594" s="42" t="s">
        <v>113</v>
      </c>
      <c r="W3594" s="42">
        <v>14034.16</v>
      </c>
      <c r="X3594" s="42">
        <v>14034.16</v>
      </c>
    </row>
    <row r="3595" spans="1:24">
      <c r="A3595" s="27" t="s">
        <v>6616</v>
      </c>
      <c r="B3595" s="28" t="s">
        <v>5102</v>
      </c>
      <c r="C3595" s="27" t="s">
        <v>6617</v>
      </c>
      <c r="D3595" s="27" t="s">
        <v>5104</v>
      </c>
      <c r="E3595" s="29">
        <v>36495</v>
      </c>
      <c r="F3595" s="27">
        <v>15</v>
      </c>
      <c r="G3595" s="18">
        <v>12000</v>
      </c>
      <c r="H3595" s="27">
        <f t="shared" si="112"/>
        <v>12000</v>
      </c>
      <c r="I3595" s="18">
        <v>11400</v>
      </c>
      <c r="J3595" s="27">
        <v>12000</v>
      </c>
      <c r="K3595" s="18">
        <f t="shared" si="113"/>
        <v>12000</v>
      </c>
      <c r="L3595" s="27">
        <v>11400</v>
      </c>
      <c r="M3595" s="36">
        <v>0</v>
      </c>
      <c r="T3595" s="41">
        <v>0</v>
      </c>
      <c r="U3595" s="41">
        <v>0</v>
      </c>
      <c r="V3595" s="42" t="s">
        <v>113</v>
      </c>
      <c r="W3595" s="42">
        <v>12000</v>
      </c>
      <c r="X3595" s="42">
        <v>12000</v>
      </c>
    </row>
    <row r="3596" spans="1:24">
      <c r="A3596" s="27" t="s">
        <v>6618</v>
      </c>
      <c r="B3596" s="28" t="s">
        <v>5102</v>
      </c>
      <c r="C3596" s="27" t="s">
        <v>6619</v>
      </c>
      <c r="D3596" s="27" t="s">
        <v>5104</v>
      </c>
      <c r="E3596" s="29">
        <v>36161</v>
      </c>
      <c r="F3596" s="27">
        <v>15</v>
      </c>
      <c r="G3596" s="18">
        <v>85895.83</v>
      </c>
      <c r="H3596" s="27">
        <f t="shared" si="112"/>
        <v>85895.83</v>
      </c>
      <c r="I3596" s="18">
        <v>81601.039999999994</v>
      </c>
      <c r="J3596" s="27">
        <v>85895.83</v>
      </c>
      <c r="K3596" s="18">
        <f t="shared" si="113"/>
        <v>85895.83</v>
      </c>
      <c r="L3596" s="27">
        <v>81601.039999999994</v>
      </c>
      <c r="M3596" s="36">
        <v>0</v>
      </c>
      <c r="T3596" s="41">
        <v>0</v>
      </c>
      <c r="U3596" s="41">
        <v>0</v>
      </c>
      <c r="V3596" s="42" t="s">
        <v>113</v>
      </c>
      <c r="W3596" s="42">
        <v>85895.83</v>
      </c>
      <c r="X3596" s="42">
        <v>85895.83</v>
      </c>
    </row>
    <row r="3597" spans="1:24">
      <c r="A3597" s="27" t="s">
        <v>6620</v>
      </c>
      <c r="B3597" s="28" t="s">
        <v>5102</v>
      </c>
      <c r="C3597" s="27" t="s">
        <v>6621</v>
      </c>
      <c r="D3597" s="27" t="s">
        <v>5104</v>
      </c>
      <c r="E3597" s="29">
        <v>36130</v>
      </c>
      <c r="F3597" s="27">
        <v>15</v>
      </c>
      <c r="G3597" s="18">
        <v>30745</v>
      </c>
      <c r="H3597" s="27">
        <f t="shared" si="112"/>
        <v>30745</v>
      </c>
      <c r="I3597" s="18">
        <v>29207.75</v>
      </c>
      <c r="J3597" s="27">
        <v>30745</v>
      </c>
      <c r="K3597" s="18">
        <f t="shared" si="113"/>
        <v>30745</v>
      </c>
      <c r="L3597" s="27">
        <v>29207.75</v>
      </c>
      <c r="M3597" s="36">
        <v>0</v>
      </c>
      <c r="T3597" s="41">
        <v>0</v>
      </c>
      <c r="U3597" s="41">
        <v>0</v>
      </c>
      <c r="V3597" s="42" t="s">
        <v>113</v>
      </c>
      <c r="W3597" s="42">
        <v>30745</v>
      </c>
      <c r="X3597" s="42">
        <v>30745</v>
      </c>
    </row>
    <row r="3598" spans="1:24">
      <c r="A3598" s="27" t="s">
        <v>6622</v>
      </c>
      <c r="B3598" s="28" t="s">
        <v>5102</v>
      </c>
      <c r="C3598" s="27" t="s">
        <v>6623</v>
      </c>
      <c r="D3598" s="27" t="s">
        <v>5104</v>
      </c>
      <c r="E3598" s="29">
        <v>37773</v>
      </c>
      <c r="F3598" s="27">
        <v>15</v>
      </c>
      <c r="G3598" s="18">
        <v>66924.44</v>
      </c>
      <c r="H3598" s="27">
        <f t="shared" si="112"/>
        <v>66924.44</v>
      </c>
      <c r="I3598" s="18">
        <v>63578.22</v>
      </c>
      <c r="J3598" s="27">
        <v>66924.44</v>
      </c>
      <c r="K3598" s="18">
        <f t="shared" si="113"/>
        <v>66924.44</v>
      </c>
      <c r="L3598" s="27">
        <v>63578.22</v>
      </c>
      <c r="M3598" s="36">
        <v>0</v>
      </c>
      <c r="T3598" s="41">
        <v>0</v>
      </c>
      <c r="U3598" s="41">
        <v>0</v>
      </c>
      <c r="V3598" s="42" t="s">
        <v>113</v>
      </c>
      <c r="W3598" s="42">
        <v>66924.44</v>
      </c>
      <c r="X3598" s="42">
        <v>66924.44</v>
      </c>
    </row>
    <row r="3599" spans="1:24">
      <c r="A3599" s="27" t="s">
        <v>6624</v>
      </c>
      <c r="B3599" s="28" t="s">
        <v>5102</v>
      </c>
      <c r="C3599" s="27" t="s">
        <v>6625</v>
      </c>
      <c r="D3599" s="27" t="s">
        <v>5104</v>
      </c>
      <c r="E3599" s="29">
        <v>37226</v>
      </c>
      <c r="F3599" s="27">
        <v>15</v>
      </c>
      <c r="G3599" s="18">
        <v>581280.07999999996</v>
      </c>
      <c r="H3599" s="27">
        <f t="shared" si="112"/>
        <v>581280.07999999996</v>
      </c>
      <c r="I3599" s="18">
        <v>552216.07999999996</v>
      </c>
      <c r="J3599" s="27">
        <v>581280.07999999996</v>
      </c>
      <c r="K3599" s="18">
        <f t="shared" si="113"/>
        <v>581280.07999999996</v>
      </c>
      <c r="L3599" s="27">
        <v>552216.07999999996</v>
      </c>
      <c r="M3599" s="36">
        <v>0</v>
      </c>
      <c r="T3599" s="41">
        <v>0</v>
      </c>
      <c r="U3599" s="41">
        <v>0</v>
      </c>
      <c r="V3599" s="42" t="s">
        <v>113</v>
      </c>
      <c r="W3599" s="42">
        <v>581280.07999999996</v>
      </c>
      <c r="X3599" s="42">
        <v>581280.07999999996</v>
      </c>
    </row>
    <row r="3600" spans="1:24">
      <c r="A3600" s="27" t="s">
        <v>6626</v>
      </c>
      <c r="B3600" s="28" t="s">
        <v>5102</v>
      </c>
      <c r="C3600" s="27" t="s">
        <v>6627</v>
      </c>
      <c r="D3600" s="27" t="s">
        <v>5104</v>
      </c>
      <c r="E3600" s="29">
        <v>39417</v>
      </c>
      <c r="F3600" s="27">
        <v>15</v>
      </c>
      <c r="G3600" s="18">
        <v>15975.81</v>
      </c>
      <c r="H3600" s="27">
        <f t="shared" si="112"/>
        <v>0</v>
      </c>
      <c r="I3600" s="18">
        <v>13625.76</v>
      </c>
      <c r="J3600" s="27">
        <v>15975.81</v>
      </c>
      <c r="K3600" s="18">
        <f t="shared" si="113"/>
        <v>0</v>
      </c>
      <c r="L3600" s="27">
        <v>14013.58</v>
      </c>
      <c r="M3600" s="36">
        <v>387.82</v>
      </c>
      <c r="T3600" s="41">
        <v>0</v>
      </c>
      <c r="U3600" s="41">
        <v>0</v>
      </c>
      <c r="V3600" s="42" t="s">
        <v>113</v>
      </c>
      <c r="W3600" s="42">
        <v>0</v>
      </c>
      <c r="X3600" s="42">
        <v>0</v>
      </c>
    </row>
    <row r="3601" spans="1:24">
      <c r="A3601" s="27" t="s">
        <v>6628</v>
      </c>
      <c r="B3601" s="28" t="s">
        <v>5102</v>
      </c>
      <c r="C3601" s="27" t="s">
        <v>6629</v>
      </c>
      <c r="D3601" s="27" t="s">
        <v>5104</v>
      </c>
      <c r="E3601" s="29">
        <v>39417</v>
      </c>
      <c r="F3601" s="27">
        <v>15</v>
      </c>
      <c r="G3601" s="18">
        <v>22044.83</v>
      </c>
      <c r="H3601" s="27">
        <f t="shared" si="112"/>
        <v>0</v>
      </c>
      <c r="I3601" s="18">
        <v>18525.21</v>
      </c>
      <c r="J3601" s="27">
        <v>22044.83</v>
      </c>
      <c r="K3601" s="18">
        <f t="shared" si="113"/>
        <v>0</v>
      </c>
      <c r="L3601" s="27">
        <v>19129.560000000001</v>
      </c>
      <c r="M3601" s="36">
        <v>604.35</v>
      </c>
      <c r="T3601" s="41">
        <v>0</v>
      </c>
      <c r="U3601" s="41">
        <v>0</v>
      </c>
      <c r="V3601" s="42" t="s">
        <v>113</v>
      </c>
      <c r="W3601" s="42">
        <v>0</v>
      </c>
      <c r="X3601" s="42">
        <v>0</v>
      </c>
    </row>
    <row r="3602" spans="1:24">
      <c r="A3602" s="27" t="s">
        <v>6630</v>
      </c>
      <c r="B3602" s="28" t="s">
        <v>5102</v>
      </c>
      <c r="C3602" s="27" t="s">
        <v>6631</v>
      </c>
      <c r="D3602" s="27" t="s">
        <v>5104</v>
      </c>
      <c r="E3602" s="29">
        <v>37226</v>
      </c>
      <c r="F3602" s="27">
        <v>15</v>
      </c>
      <c r="G3602" s="18">
        <v>21754.36</v>
      </c>
      <c r="H3602" s="27">
        <f t="shared" si="112"/>
        <v>21754.36</v>
      </c>
      <c r="I3602" s="18">
        <v>20666.64</v>
      </c>
      <c r="J3602" s="27">
        <v>21754.36</v>
      </c>
      <c r="K3602" s="18">
        <f t="shared" si="113"/>
        <v>21754.36</v>
      </c>
      <c r="L3602" s="27">
        <v>20666.64</v>
      </c>
      <c r="M3602" s="36">
        <v>0</v>
      </c>
      <c r="T3602" s="41">
        <v>0</v>
      </c>
      <c r="U3602" s="41">
        <v>0</v>
      </c>
      <c r="V3602" s="42" t="s">
        <v>113</v>
      </c>
      <c r="W3602" s="42">
        <v>21754.36</v>
      </c>
      <c r="X3602" s="42">
        <v>21754.36</v>
      </c>
    </row>
    <row r="3603" spans="1:24">
      <c r="A3603" s="27" t="s">
        <v>6632</v>
      </c>
      <c r="B3603" s="28" t="s">
        <v>5102</v>
      </c>
      <c r="C3603" s="27" t="s">
        <v>6633</v>
      </c>
      <c r="D3603" s="27" t="s">
        <v>5104</v>
      </c>
      <c r="E3603" s="29">
        <v>38078</v>
      </c>
      <c r="F3603" s="27">
        <v>15</v>
      </c>
      <c r="G3603" s="18">
        <v>8253.66</v>
      </c>
      <c r="H3603" s="27">
        <f t="shared" si="112"/>
        <v>8253.66</v>
      </c>
      <c r="I3603" s="18">
        <v>7840.98</v>
      </c>
      <c r="J3603" s="27">
        <v>8253.66</v>
      </c>
      <c r="K3603" s="18">
        <f t="shared" si="113"/>
        <v>8253.66</v>
      </c>
      <c r="L3603" s="27">
        <v>7840.98</v>
      </c>
      <c r="M3603" s="36">
        <v>0</v>
      </c>
      <c r="T3603" s="41">
        <v>0</v>
      </c>
      <c r="U3603" s="41">
        <v>0</v>
      </c>
      <c r="V3603" s="42" t="s">
        <v>113</v>
      </c>
      <c r="W3603" s="42">
        <v>8253.66</v>
      </c>
      <c r="X3603" s="42">
        <v>8253.66</v>
      </c>
    </row>
    <row r="3604" spans="1:24">
      <c r="A3604" s="27" t="s">
        <v>6634</v>
      </c>
      <c r="B3604" s="28" t="s">
        <v>5102</v>
      </c>
      <c r="C3604" s="27" t="s">
        <v>6635</v>
      </c>
      <c r="D3604" s="27" t="s">
        <v>5104</v>
      </c>
      <c r="E3604" s="29">
        <v>38078</v>
      </c>
      <c r="F3604" s="27">
        <v>15</v>
      </c>
      <c r="G3604" s="18">
        <v>40043.21</v>
      </c>
      <c r="H3604" s="27">
        <f t="shared" si="112"/>
        <v>40043.21</v>
      </c>
      <c r="I3604" s="18">
        <v>38041.050000000003</v>
      </c>
      <c r="J3604" s="27">
        <v>40043.21</v>
      </c>
      <c r="K3604" s="18">
        <f t="shared" si="113"/>
        <v>40043.21</v>
      </c>
      <c r="L3604" s="27">
        <v>38041.050000000003</v>
      </c>
      <c r="M3604" s="36">
        <v>0</v>
      </c>
      <c r="T3604" s="41">
        <v>0</v>
      </c>
      <c r="U3604" s="41">
        <v>0</v>
      </c>
      <c r="V3604" s="42" t="s">
        <v>113</v>
      </c>
      <c r="W3604" s="42">
        <v>40043.21</v>
      </c>
      <c r="X3604" s="42">
        <v>40043.21</v>
      </c>
    </row>
    <row r="3605" spans="1:24">
      <c r="A3605" s="27" t="s">
        <v>6636</v>
      </c>
      <c r="B3605" s="28" t="s">
        <v>5102</v>
      </c>
      <c r="C3605" s="27" t="s">
        <v>6637</v>
      </c>
      <c r="D3605" s="27" t="s">
        <v>5104</v>
      </c>
      <c r="E3605" s="29">
        <v>38078</v>
      </c>
      <c r="F3605" s="27">
        <v>15</v>
      </c>
      <c r="G3605" s="18">
        <v>98186.45</v>
      </c>
      <c r="H3605" s="27">
        <f t="shared" si="112"/>
        <v>98186.45</v>
      </c>
      <c r="I3605" s="18">
        <v>93277.13</v>
      </c>
      <c r="J3605" s="27">
        <v>98186.45</v>
      </c>
      <c r="K3605" s="18">
        <f t="shared" si="113"/>
        <v>98186.45</v>
      </c>
      <c r="L3605" s="27">
        <v>93277.13</v>
      </c>
      <c r="M3605" s="36">
        <v>0</v>
      </c>
      <c r="T3605" s="41">
        <v>0</v>
      </c>
      <c r="U3605" s="41">
        <v>0</v>
      </c>
      <c r="V3605" s="42" t="s">
        <v>113</v>
      </c>
      <c r="W3605" s="42">
        <v>98186.45</v>
      </c>
      <c r="X3605" s="42">
        <v>98186.45</v>
      </c>
    </row>
    <row r="3606" spans="1:24">
      <c r="A3606" s="27" t="s">
        <v>6638</v>
      </c>
      <c r="B3606" s="28" t="s">
        <v>5102</v>
      </c>
      <c r="C3606" s="27" t="s">
        <v>6639</v>
      </c>
      <c r="D3606" s="27" t="s">
        <v>5104</v>
      </c>
      <c r="E3606" s="29">
        <v>39417</v>
      </c>
      <c r="F3606" s="27">
        <v>15</v>
      </c>
      <c r="G3606" s="18">
        <v>104422.87</v>
      </c>
      <c r="H3606" s="27">
        <f t="shared" si="112"/>
        <v>0</v>
      </c>
      <c r="I3606" s="18">
        <v>89062.19</v>
      </c>
      <c r="J3606" s="27">
        <v>104422.87</v>
      </c>
      <c r="K3606" s="18">
        <f t="shared" si="113"/>
        <v>0</v>
      </c>
      <c r="L3606" s="27">
        <v>91597.08</v>
      </c>
      <c r="M3606" s="36">
        <v>2534.89</v>
      </c>
      <c r="T3606" s="41">
        <v>0</v>
      </c>
      <c r="U3606" s="41">
        <v>0</v>
      </c>
      <c r="V3606" s="42" t="s">
        <v>113</v>
      </c>
      <c r="W3606" s="42">
        <v>0</v>
      </c>
      <c r="X3606" s="42">
        <v>0</v>
      </c>
    </row>
    <row r="3607" spans="1:24">
      <c r="A3607" s="27" t="s">
        <v>6640</v>
      </c>
      <c r="B3607" s="28" t="s">
        <v>5102</v>
      </c>
      <c r="C3607" s="27" t="s">
        <v>6641</v>
      </c>
      <c r="D3607" s="27" t="s">
        <v>5104</v>
      </c>
      <c r="E3607" s="29">
        <v>39417</v>
      </c>
      <c r="F3607" s="27">
        <v>15</v>
      </c>
      <c r="G3607" s="18">
        <v>39716.39</v>
      </c>
      <c r="H3607" s="27">
        <f t="shared" si="112"/>
        <v>0</v>
      </c>
      <c r="I3607" s="18">
        <v>33874.07</v>
      </c>
      <c r="J3607" s="27">
        <v>39716.39</v>
      </c>
      <c r="K3607" s="18">
        <f t="shared" si="113"/>
        <v>0</v>
      </c>
      <c r="L3607" s="27">
        <v>34838.199999999997</v>
      </c>
      <c r="M3607" s="36">
        <v>964.13</v>
      </c>
      <c r="T3607" s="41">
        <v>0</v>
      </c>
      <c r="U3607" s="41">
        <v>0</v>
      </c>
      <c r="V3607" s="42" t="s">
        <v>113</v>
      </c>
      <c r="W3607" s="42">
        <v>0</v>
      </c>
      <c r="X3607" s="42">
        <v>0</v>
      </c>
    </row>
    <row r="3608" spans="1:24">
      <c r="A3608" s="27" t="s">
        <v>6642</v>
      </c>
      <c r="B3608" s="28" t="s">
        <v>5102</v>
      </c>
      <c r="C3608" s="27" t="s">
        <v>6643</v>
      </c>
      <c r="D3608" s="27" t="s">
        <v>5104</v>
      </c>
      <c r="E3608" s="29">
        <v>39417</v>
      </c>
      <c r="F3608" s="27">
        <v>15</v>
      </c>
      <c r="G3608" s="18">
        <v>87465.31</v>
      </c>
      <c r="H3608" s="27">
        <f t="shared" si="112"/>
        <v>0</v>
      </c>
      <c r="I3608" s="18">
        <v>74599.08</v>
      </c>
      <c r="J3608" s="27">
        <v>87465.31</v>
      </c>
      <c r="K3608" s="18">
        <f t="shared" si="113"/>
        <v>0</v>
      </c>
      <c r="L3608" s="27">
        <v>76722.320000000007</v>
      </c>
      <c r="M3608" s="36">
        <v>2123.2399999999998</v>
      </c>
      <c r="T3608" s="41">
        <v>0</v>
      </c>
      <c r="U3608" s="41">
        <v>0</v>
      </c>
      <c r="V3608" s="42" t="s">
        <v>113</v>
      </c>
      <c r="W3608" s="42">
        <v>0</v>
      </c>
      <c r="X3608" s="42">
        <v>0</v>
      </c>
    </row>
    <row r="3609" spans="1:24">
      <c r="A3609" s="27" t="s">
        <v>6644</v>
      </c>
      <c r="B3609" s="28" t="s">
        <v>5102</v>
      </c>
      <c r="C3609" s="27" t="s">
        <v>6645</v>
      </c>
      <c r="D3609" s="27" t="s">
        <v>5104</v>
      </c>
      <c r="E3609" s="29">
        <v>39417</v>
      </c>
      <c r="F3609" s="27">
        <v>15</v>
      </c>
      <c r="G3609" s="18">
        <v>8657.2800000000007</v>
      </c>
      <c r="H3609" s="27">
        <f t="shared" si="112"/>
        <v>0</v>
      </c>
      <c r="I3609" s="18">
        <v>7248.62</v>
      </c>
      <c r="J3609" s="27">
        <v>8657.2800000000007</v>
      </c>
      <c r="K3609" s="18">
        <f t="shared" si="113"/>
        <v>0</v>
      </c>
      <c r="L3609" s="27">
        <v>7492.57</v>
      </c>
      <c r="M3609" s="36">
        <v>243.95</v>
      </c>
      <c r="T3609" s="41">
        <v>0</v>
      </c>
      <c r="U3609" s="41">
        <v>0</v>
      </c>
      <c r="V3609" s="42" t="s">
        <v>113</v>
      </c>
      <c r="W3609" s="42">
        <v>0</v>
      </c>
      <c r="X3609" s="42">
        <v>0</v>
      </c>
    </row>
    <row r="3610" spans="1:24">
      <c r="A3610" s="27" t="s">
        <v>6646</v>
      </c>
      <c r="B3610" s="28" t="s">
        <v>5102</v>
      </c>
      <c r="C3610" s="27" t="s">
        <v>6647</v>
      </c>
      <c r="D3610" s="27" t="s">
        <v>5104</v>
      </c>
      <c r="E3610" s="29">
        <v>39417</v>
      </c>
      <c r="F3610" s="27">
        <v>15</v>
      </c>
      <c r="G3610" s="18">
        <v>107081.5</v>
      </c>
      <c r="H3610" s="27">
        <f t="shared" si="112"/>
        <v>0</v>
      </c>
      <c r="I3610" s="18">
        <v>91478.81</v>
      </c>
      <c r="J3610" s="27">
        <v>107081.5</v>
      </c>
      <c r="K3610" s="18">
        <f t="shared" si="113"/>
        <v>0</v>
      </c>
      <c r="L3610" s="27">
        <v>94040.960000000006</v>
      </c>
      <c r="M3610" s="36">
        <v>2562.15</v>
      </c>
      <c r="T3610" s="41">
        <v>0</v>
      </c>
      <c r="U3610" s="41">
        <v>0</v>
      </c>
      <c r="V3610" s="42" t="s">
        <v>113</v>
      </c>
      <c r="W3610" s="42">
        <v>0</v>
      </c>
      <c r="X3610" s="42">
        <v>0</v>
      </c>
    </row>
    <row r="3611" spans="1:24">
      <c r="A3611" s="27" t="s">
        <v>6648</v>
      </c>
      <c r="B3611" s="28" t="s">
        <v>5102</v>
      </c>
      <c r="C3611" s="27" t="s">
        <v>6649</v>
      </c>
      <c r="D3611" s="27" t="s">
        <v>5104</v>
      </c>
      <c r="E3611" s="29">
        <v>39417</v>
      </c>
      <c r="F3611" s="27">
        <v>15</v>
      </c>
      <c r="G3611" s="18">
        <v>34807.620000000003</v>
      </c>
      <c r="H3611" s="27">
        <f t="shared" si="112"/>
        <v>0</v>
      </c>
      <c r="I3611" s="18">
        <v>29687.39</v>
      </c>
      <c r="J3611" s="27">
        <v>34807.620000000003</v>
      </c>
      <c r="K3611" s="18">
        <f t="shared" si="113"/>
        <v>0</v>
      </c>
      <c r="L3611" s="27">
        <v>30532.35</v>
      </c>
      <c r="M3611" s="36">
        <v>844.96</v>
      </c>
      <c r="T3611" s="41">
        <v>0</v>
      </c>
      <c r="U3611" s="41">
        <v>0</v>
      </c>
      <c r="V3611" s="42" t="s">
        <v>113</v>
      </c>
      <c r="W3611" s="42">
        <v>0</v>
      </c>
      <c r="X3611" s="42">
        <v>0</v>
      </c>
    </row>
    <row r="3612" spans="1:24">
      <c r="A3612" s="27" t="s">
        <v>6650</v>
      </c>
      <c r="B3612" s="28" t="s">
        <v>5102</v>
      </c>
      <c r="C3612" s="27" t="s">
        <v>6651</v>
      </c>
      <c r="D3612" s="27" t="s">
        <v>5104</v>
      </c>
      <c r="E3612" s="29">
        <v>39417</v>
      </c>
      <c r="F3612" s="27">
        <v>15</v>
      </c>
      <c r="G3612" s="18">
        <v>127746.11</v>
      </c>
      <c r="H3612" s="27">
        <f t="shared" si="112"/>
        <v>0</v>
      </c>
      <c r="I3612" s="18">
        <v>109882.3</v>
      </c>
      <c r="J3612" s="27">
        <v>127746.11</v>
      </c>
      <c r="K3612" s="18">
        <f t="shared" si="113"/>
        <v>0</v>
      </c>
      <c r="L3612" s="27">
        <v>112751.43</v>
      </c>
      <c r="M3612" s="36">
        <v>2869.13</v>
      </c>
      <c r="T3612" s="41">
        <v>0</v>
      </c>
      <c r="U3612" s="41">
        <v>0</v>
      </c>
      <c r="V3612" s="42" t="s">
        <v>113</v>
      </c>
      <c r="W3612" s="42">
        <v>0</v>
      </c>
      <c r="X3612" s="42">
        <v>0</v>
      </c>
    </row>
    <row r="3613" spans="1:24">
      <c r="A3613" s="27" t="s">
        <v>6652</v>
      </c>
      <c r="B3613" s="28" t="s">
        <v>5102</v>
      </c>
      <c r="C3613" s="27" t="s">
        <v>6653</v>
      </c>
      <c r="D3613" s="27" t="s">
        <v>5104</v>
      </c>
      <c r="E3613" s="29">
        <v>37226</v>
      </c>
      <c r="F3613" s="27">
        <v>15</v>
      </c>
      <c r="G3613" s="18">
        <v>90756.45</v>
      </c>
      <c r="H3613" s="27">
        <f t="shared" si="112"/>
        <v>90756.45</v>
      </c>
      <c r="I3613" s="18">
        <v>86218.63</v>
      </c>
      <c r="J3613" s="27">
        <v>90756.45</v>
      </c>
      <c r="K3613" s="18">
        <f t="shared" si="113"/>
        <v>90756.45</v>
      </c>
      <c r="L3613" s="27">
        <v>86218.63</v>
      </c>
      <c r="M3613" s="36">
        <v>0</v>
      </c>
      <c r="T3613" s="41">
        <v>0</v>
      </c>
      <c r="U3613" s="41">
        <v>0</v>
      </c>
      <c r="V3613" s="42" t="s">
        <v>113</v>
      </c>
      <c r="W3613" s="42">
        <v>90756.45</v>
      </c>
      <c r="X3613" s="42">
        <v>90756.45</v>
      </c>
    </row>
    <row r="3614" spans="1:24">
      <c r="A3614" s="27" t="s">
        <v>6654</v>
      </c>
      <c r="B3614" s="28" t="s">
        <v>5102</v>
      </c>
      <c r="C3614" s="27" t="s">
        <v>6655</v>
      </c>
      <c r="D3614" s="27" t="s">
        <v>5104</v>
      </c>
      <c r="E3614" s="29">
        <v>38078</v>
      </c>
      <c r="F3614" s="27">
        <v>15</v>
      </c>
      <c r="G3614" s="18">
        <v>23421.11</v>
      </c>
      <c r="H3614" s="27">
        <f t="shared" si="112"/>
        <v>23421.11</v>
      </c>
      <c r="I3614" s="18">
        <v>22250.05</v>
      </c>
      <c r="J3614" s="27">
        <v>23421.11</v>
      </c>
      <c r="K3614" s="18">
        <f t="shared" si="113"/>
        <v>23421.11</v>
      </c>
      <c r="L3614" s="27">
        <v>22250.05</v>
      </c>
      <c r="M3614" s="36">
        <v>0</v>
      </c>
      <c r="T3614" s="41">
        <v>0</v>
      </c>
      <c r="U3614" s="41">
        <v>0</v>
      </c>
      <c r="V3614" s="42" t="s">
        <v>113</v>
      </c>
      <c r="W3614" s="42">
        <v>23421.11</v>
      </c>
      <c r="X3614" s="42">
        <v>23421.11</v>
      </c>
    </row>
    <row r="3615" spans="1:24">
      <c r="A3615" s="27" t="s">
        <v>6656</v>
      </c>
      <c r="B3615" s="28" t="s">
        <v>5102</v>
      </c>
      <c r="C3615" s="27" t="s">
        <v>6655</v>
      </c>
      <c r="D3615" s="27" t="s">
        <v>5104</v>
      </c>
      <c r="E3615" s="29">
        <v>38078</v>
      </c>
      <c r="F3615" s="27">
        <v>15</v>
      </c>
      <c r="G3615" s="18">
        <v>6145.59</v>
      </c>
      <c r="H3615" s="27">
        <f t="shared" si="112"/>
        <v>6145.59</v>
      </c>
      <c r="I3615" s="18">
        <v>5838.31</v>
      </c>
      <c r="J3615" s="27">
        <v>6145.59</v>
      </c>
      <c r="K3615" s="18">
        <f t="shared" si="113"/>
        <v>6145.59</v>
      </c>
      <c r="L3615" s="27">
        <v>5838.31</v>
      </c>
      <c r="M3615" s="36">
        <v>0</v>
      </c>
      <c r="T3615" s="41">
        <v>0</v>
      </c>
      <c r="U3615" s="41">
        <v>0</v>
      </c>
      <c r="V3615" s="42" t="s">
        <v>113</v>
      </c>
      <c r="W3615" s="42">
        <v>6145.59</v>
      </c>
      <c r="X3615" s="42">
        <v>6145.59</v>
      </c>
    </row>
    <row r="3616" spans="1:24">
      <c r="A3616" s="27" t="s">
        <v>6657</v>
      </c>
      <c r="B3616" s="28" t="s">
        <v>5102</v>
      </c>
      <c r="C3616" s="27" t="s">
        <v>6658</v>
      </c>
      <c r="D3616" s="27" t="s">
        <v>5104</v>
      </c>
      <c r="E3616" s="29">
        <v>38078</v>
      </c>
      <c r="F3616" s="27">
        <v>15</v>
      </c>
      <c r="G3616" s="18">
        <v>78409.81</v>
      </c>
      <c r="H3616" s="27">
        <f t="shared" si="112"/>
        <v>78409.81</v>
      </c>
      <c r="I3616" s="18">
        <v>74489.320000000007</v>
      </c>
      <c r="J3616" s="27">
        <v>78409.81</v>
      </c>
      <c r="K3616" s="18">
        <f t="shared" si="113"/>
        <v>78409.81</v>
      </c>
      <c r="L3616" s="27">
        <v>74489.320000000007</v>
      </c>
      <c r="M3616" s="36">
        <v>0</v>
      </c>
      <c r="T3616" s="41">
        <v>0</v>
      </c>
      <c r="U3616" s="41">
        <v>0</v>
      </c>
      <c r="V3616" s="42" t="s">
        <v>113</v>
      </c>
      <c r="W3616" s="42">
        <v>78409.81</v>
      </c>
      <c r="X3616" s="42">
        <v>78409.81</v>
      </c>
    </row>
    <row r="3617" spans="1:24">
      <c r="A3617" s="27" t="s">
        <v>6659</v>
      </c>
      <c r="B3617" s="28" t="s">
        <v>5102</v>
      </c>
      <c r="C3617" s="27" t="s">
        <v>6658</v>
      </c>
      <c r="D3617" s="27" t="s">
        <v>5104</v>
      </c>
      <c r="E3617" s="29">
        <v>38078</v>
      </c>
      <c r="F3617" s="27">
        <v>15</v>
      </c>
      <c r="G3617" s="18">
        <v>9307.7099999999991</v>
      </c>
      <c r="H3617" s="27">
        <f t="shared" si="112"/>
        <v>9307.7099999999991</v>
      </c>
      <c r="I3617" s="18">
        <v>8842.32</v>
      </c>
      <c r="J3617" s="27">
        <v>9307.7099999999991</v>
      </c>
      <c r="K3617" s="18">
        <f t="shared" si="113"/>
        <v>9307.7099999999991</v>
      </c>
      <c r="L3617" s="27">
        <v>8842.32</v>
      </c>
      <c r="M3617" s="36">
        <v>0</v>
      </c>
      <c r="T3617" s="41">
        <v>0</v>
      </c>
      <c r="U3617" s="41">
        <v>0</v>
      </c>
      <c r="V3617" s="42" t="s">
        <v>113</v>
      </c>
      <c r="W3617" s="42">
        <v>9307.7099999999991</v>
      </c>
      <c r="X3617" s="42">
        <v>9307.7099999999991</v>
      </c>
    </row>
    <row r="3618" spans="1:24">
      <c r="A3618" s="27" t="s">
        <v>6660</v>
      </c>
      <c r="B3618" s="28" t="s">
        <v>5102</v>
      </c>
      <c r="C3618" s="27" t="s">
        <v>6661</v>
      </c>
      <c r="D3618" s="27" t="s">
        <v>5104</v>
      </c>
      <c r="E3618" s="29">
        <v>37226</v>
      </c>
      <c r="F3618" s="27">
        <v>15</v>
      </c>
      <c r="G3618" s="18">
        <v>123418.88</v>
      </c>
      <c r="H3618" s="27">
        <f t="shared" si="112"/>
        <v>123418.88</v>
      </c>
      <c r="I3618" s="18">
        <v>117247.94</v>
      </c>
      <c r="J3618" s="27">
        <v>123418.88</v>
      </c>
      <c r="K3618" s="18">
        <f t="shared" si="113"/>
        <v>123418.88</v>
      </c>
      <c r="L3618" s="27">
        <v>117247.94</v>
      </c>
      <c r="M3618" s="36">
        <v>0</v>
      </c>
      <c r="T3618" s="41">
        <v>0</v>
      </c>
      <c r="U3618" s="41">
        <v>0</v>
      </c>
      <c r="V3618" s="42" t="s">
        <v>113</v>
      </c>
      <c r="W3618" s="42">
        <v>123418.88</v>
      </c>
      <c r="X3618" s="42">
        <v>123418.88</v>
      </c>
    </row>
    <row r="3619" spans="1:24">
      <c r="A3619" s="27" t="s">
        <v>6662</v>
      </c>
      <c r="B3619" s="28" t="s">
        <v>5102</v>
      </c>
      <c r="C3619" s="27" t="s">
        <v>6663</v>
      </c>
      <c r="D3619" s="27" t="s">
        <v>5104</v>
      </c>
      <c r="E3619" s="29">
        <v>38078</v>
      </c>
      <c r="F3619" s="27">
        <v>15</v>
      </c>
      <c r="G3619" s="18">
        <v>6357.43</v>
      </c>
      <c r="H3619" s="27">
        <f t="shared" si="112"/>
        <v>6357.43</v>
      </c>
      <c r="I3619" s="18">
        <v>6039.56</v>
      </c>
      <c r="J3619" s="27">
        <v>6357.43</v>
      </c>
      <c r="K3619" s="18">
        <f t="shared" si="113"/>
        <v>6357.43</v>
      </c>
      <c r="L3619" s="27">
        <v>6039.56</v>
      </c>
      <c r="M3619" s="36">
        <v>0</v>
      </c>
      <c r="T3619" s="41">
        <v>0</v>
      </c>
      <c r="U3619" s="41">
        <v>0</v>
      </c>
      <c r="V3619" s="42" t="s">
        <v>113</v>
      </c>
      <c r="W3619" s="42">
        <v>6357.43</v>
      </c>
      <c r="X3619" s="42">
        <v>6357.43</v>
      </c>
    </row>
    <row r="3620" spans="1:24">
      <c r="A3620" s="27" t="s">
        <v>6664</v>
      </c>
      <c r="B3620" s="28" t="s">
        <v>5102</v>
      </c>
      <c r="C3620" s="27" t="s">
        <v>6663</v>
      </c>
      <c r="D3620" s="27" t="s">
        <v>5104</v>
      </c>
      <c r="E3620" s="29">
        <v>38078</v>
      </c>
      <c r="F3620" s="27">
        <v>15</v>
      </c>
      <c r="G3620" s="18">
        <v>46074.03</v>
      </c>
      <c r="H3620" s="27">
        <f t="shared" si="112"/>
        <v>46074.03</v>
      </c>
      <c r="I3620" s="18">
        <v>43770.33</v>
      </c>
      <c r="J3620" s="27">
        <v>46074.03</v>
      </c>
      <c r="K3620" s="18">
        <f t="shared" si="113"/>
        <v>46074.03</v>
      </c>
      <c r="L3620" s="27">
        <v>43770.33</v>
      </c>
      <c r="M3620" s="36">
        <v>0</v>
      </c>
      <c r="T3620" s="41">
        <v>0</v>
      </c>
      <c r="U3620" s="41">
        <v>0</v>
      </c>
      <c r="V3620" s="42" t="s">
        <v>113</v>
      </c>
      <c r="W3620" s="42">
        <v>46074.03</v>
      </c>
      <c r="X3620" s="42">
        <v>46074.03</v>
      </c>
    </row>
    <row r="3621" spans="1:24">
      <c r="A3621" s="27" t="s">
        <v>6665</v>
      </c>
      <c r="B3621" s="28" t="s">
        <v>5102</v>
      </c>
      <c r="C3621" s="27" t="s">
        <v>6666</v>
      </c>
      <c r="D3621" s="27" t="s">
        <v>5104</v>
      </c>
      <c r="E3621" s="29">
        <v>39417</v>
      </c>
      <c r="F3621" s="27">
        <v>15</v>
      </c>
      <c r="G3621" s="18">
        <v>17403.810000000001</v>
      </c>
      <c r="H3621" s="27">
        <f t="shared" si="112"/>
        <v>0</v>
      </c>
      <c r="I3621" s="18">
        <v>14843.69</v>
      </c>
      <c r="J3621" s="27">
        <v>17403.810000000001</v>
      </c>
      <c r="K3621" s="18">
        <f t="shared" si="113"/>
        <v>0</v>
      </c>
      <c r="L3621" s="27">
        <v>15266.17</v>
      </c>
      <c r="M3621" s="36">
        <v>422.48</v>
      </c>
      <c r="T3621" s="41">
        <v>0</v>
      </c>
      <c r="U3621" s="41">
        <v>0</v>
      </c>
      <c r="V3621" s="42" t="s">
        <v>113</v>
      </c>
      <c r="W3621" s="42">
        <v>0</v>
      </c>
      <c r="X3621" s="42">
        <v>0</v>
      </c>
    </row>
    <row r="3622" spans="1:24">
      <c r="A3622" s="27" t="s">
        <v>6667</v>
      </c>
      <c r="B3622" s="28" t="s">
        <v>5102</v>
      </c>
      <c r="C3622" s="27" t="s">
        <v>6668</v>
      </c>
      <c r="D3622" s="27" t="s">
        <v>5104</v>
      </c>
      <c r="E3622" s="29">
        <v>38078</v>
      </c>
      <c r="F3622" s="27">
        <v>15</v>
      </c>
      <c r="G3622" s="18">
        <v>92791.2</v>
      </c>
      <c r="H3622" s="27">
        <f t="shared" si="112"/>
        <v>92791.2</v>
      </c>
      <c r="I3622" s="18">
        <v>88151.64</v>
      </c>
      <c r="J3622" s="27">
        <v>92791.2</v>
      </c>
      <c r="K3622" s="18">
        <f t="shared" si="113"/>
        <v>92791.2</v>
      </c>
      <c r="L3622" s="27">
        <v>88151.64</v>
      </c>
      <c r="M3622" s="36">
        <v>0</v>
      </c>
      <c r="T3622" s="41">
        <v>0</v>
      </c>
      <c r="U3622" s="41">
        <v>0</v>
      </c>
      <c r="V3622" s="42" t="s">
        <v>113</v>
      </c>
      <c r="W3622" s="42">
        <v>92791.2</v>
      </c>
      <c r="X3622" s="42">
        <v>92791.2</v>
      </c>
    </row>
    <row r="3623" spans="1:24">
      <c r="A3623" s="27" t="s">
        <v>6669</v>
      </c>
      <c r="B3623" s="28" t="s">
        <v>5102</v>
      </c>
      <c r="C3623" s="27" t="s">
        <v>6670</v>
      </c>
      <c r="D3623" s="27" t="s">
        <v>5104</v>
      </c>
      <c r="E3623" s="29">
        <v>38078</v>
      </c>
      <c r="F3623" s="27">
        <v>15</v>
      </c>
      <c r="G3623" s="18">
        <v>21563.14</v>
      </c>
      <c r="H3623" s="27">
        <f t="shared" si="112"/>
        <v>21563.14</v>
      </c>
      <c r="I3623" s="18">
        <v>20484.98</v>
      </c>
      <c r="J3623" s="27">
        <v>21563.14</v>
      </c>
      <c r="K3623" s="18">
        <f t="shared" si="113"/>
        <v>21563.14</v>
      </c>
      <c r="L3623" s="27">
        <v>20484.98</v>
      </c>
      <c r="M3623" s="36">
        <v>0</v>
      </c>
      <c r="T3623" s="41">
        <v>0</v>
      </c>
      <c r="U3623" s="41">
        <v>0</v>
      </c>
      <c r="V3623" s="42" t="s">
        <v>113</v>
      </c>
      <c r="W3623" s="42">
        <v>21563.14</v>
      </c>
      <c r="X3623" s="42">
        <v>21563.14</v>
      </c>
    </row>
    <row r="3624" spans="1:24">
      <c r="A3624" s="27" t="s">
        <v>6671</v>
      </c>
      <c r="B3624" s="28" t="s">
        <v>5102</v>
      </c>
      <c r="C3624" s="27" t="s">
        <v>6672</v>
      </c>
      <c r="D3624" s="27" t="s">
        <v>5104</v>
      </c>
      <c r="E3624" s="29">
        <v>38078</v>
      </c>
      <c r="F3624" s="27">
        <v>15</v>
      </c>
      <c r="G3624" s="18">
        <v>75828.960000000006</v>
      </c>
      <c r="H3624" s="27">
        <f t="shared" si="112"/>
        <v>75828.960000000006</v>
      </c>
      <c r="I3624" s="18">
        <v>72037.509999999995</v>
      </c>
      <c r="J3624" s="27">
        <v>75828.960000000006</v>
      </c>
      <c r="K3624" s="18">
        <f t="shared" si="113"/>
        <v>75828.960000000006</v>
      </c>
      <c r="L3624" s="27">
        <v>72037.509999999995</v>
      </c>
      <c r="M3624" s="36">
        <v>0</v>
      </c>
      <c r="T3624" s="41">
        <v>0</v>
      </c>
      <c r="U3624" s="41">
        <v>0</v>
      </c>
      <c r="V3624" s="42" t="s">
        <v>113</v>
      </c>
      <c r="W3624" s="42">
        <v>75828.960000000006</v>
      </c>
      <c r="X3624" s="42">
        <v>75828.960000000006</v>
      </c>
    </row>
    <row r="3625" spans="1:24">
      <c r="A3625" s="27" t="s">
        <v>6673</v>
      </c>
      <c r="B3625" s="28" t="s">
        <v>5102</v>
      </c>
      <c r="C3625" s="27" t="s">
        <v>6672</v>
      </c>
      <c r="D3625" s="27" t="s">
        <v>5104</v>
      </c>
      <c r="E3625" s="29">
        <v>38078</v>
      </c>
      <c r="F3625" s="27">
        <v>15</v>
      </c>
      <c r="G3625" s="18">
        <v>33747.129999999997</v>
      </c>
      <c r="H3625" s="27">
        <f t="shared" si="112"/>
        <v>33747.129999999997</v>
      </c>
      <c r="I3625" s="18">
        <v>32059.77</v>
      </c>
      <c r="J3625" s="27">
        <v>33747.129999999997</v>
      </c>
      <c r="K3625" s="18">
        <f t="shared" si="113"/>
        <v>33747.129999999997</v>
      </c>
      <c r="L3625" s="27">
        <v>32059.77</v>
      </c>
      <c r="M3625" s="36">
        <v>0</v>
      </c>
      <c r="T3625" s="41">
        <v>0</v>
      </c>
      <c r="U3625" s="41">
        <v>0</v>
      </c>
      <c r="V3625" s="42" t="s">
        <v>113</v>
      </c>
      <c r="W3625" s="42">
        <v>33747.129999999997</v>
      </c>
      <c r="X3625" s="42">
        <v>33747.129999999997</v>
      </c>
    </row>
    <row r="3626" spans="1:24">
      <c r="A3626" s="27" t="s">
        <v>6674</v>
      </c>
      <c r="B3626" s="28" t="s">
        <v>5102</v>
      </c>
      <c r="C3626" s="27" t="s">
        <v>6672</v>
      </c>
      <c r="D3626" s="27" t="s">
        <v>5104</v>
      </c>
      <c r="E3626" s="29">
        <v>38078</v>
      </c>
      <c r="F3626" s="27">
        <v>15</v>
      </c>
      <c r="G3626" s="18">
        <v>5824.01</v>
      </c>
      <c r="H3626" s="27">
        <f t="shared" si="112"/>
        <v>5824.01</v>
      </c>
      <c r="I3626" s="18">
        <v>5532.81</v>
      </c>
      <c r="J3626" s="27">
        <v>5824.01</v>
      </c>
      <c r="K3626" s="18">
        <f t="shared" si="113"/>
        <v>5824.01</v>
      </c>
      <c r="L3626" s="27">
        <v>5532.81</v>
      </c>
      <c r="M3626" s="36">
        <v>0</v>
      </c>
      <c r="T3626" s="41">
        <v>0</v>
      </c>
      <c r="U3626" s="41">
        <v>0</v>
      </c>
      <c r="V3626" s="42" t="s">
        <v>113</v>
      </c>
      <c r="W3626" s="42">
        <v>5824.01</v>
      </c>
      <c r="X3626" s="42">
        <v>5824.01</v>
      </c>
    </row>
    <row r="3627" spans="1:24">
      <c r="A3627" s="27" t="s">
        <v>6675</v>
      </c>
      <c r="B3627" s="28" t="s">
        <v>5102</v>
      </c>
      <c r="C3627" s="27" t="s">
        <v>6672</v>
      </c>
      <c r="D3627" s="27" t="s">
        <v>5104</v>
      </c>
      <c r="E3627" s="29">
        <v>38078</v>
      </c>
      <c r="F3627" s="27">
        <v>15</v>
      </c>
      <c r="G3627" s="18">
        <v>24528.75</v>
      </c>
      <c r="H3627" s="27">
        <f t="shared" si="112"/>
        <v>24528.75</v>
      </c>
      <c r="I3627" s="18">
        <v>23302.31</v>
      </c>
      <c r="J3627" s="27">
        <v>24528.75</v>
      </c>
      <c r="K3627" s="18">
        <f t="shared" si="113"/>
        <v>24528.75</v>
      </c>
      <c r="L3627" s="27">
        <v>23302.31</v>
      </c>
      <c r="M3627" s="36">
        <v>0</v>
      </c>
      <c r="T3627" s="41">
        <v>0</v>
      </c>
      <c r="U3627" s="41">
        <v>0</v>
      </c>
      <c r="V3627" s="42" t="s">
        <v>113</v>
      </c>
      <c r="W3627" s="42">
        <v>24528.75</v>
      </c>
      <c r="X3627" s="42">
        <v>24528.75</v>
      </c>
    </row>
    <row r="3628" spans="1:24">
      <c r="A3628" s="27" t="s">
        <v>6676</v>
      </c>
      <c r="B3628" s="28" t="s">
        <v>5102</v>
      </c>
      <c r="C3628" s="27" t="s">
        <v>6672</v>
      </c>
      <c r="D3628" s="27" t="s">
        <v>5104</v>
      </c>
      <c r="E3628" s="29">
        <v>38078</v>
      </c>
      <c r="F3628" s="27">
        <v>15</v>
      </c>
      <c r="G3628" s="18">
        <v>10665.45</v>
      </c>
      <c r="H3628" s="27">
        <f t="shared" si="112"/>
        <v>10665.45</v>
      </c>
      <c r="I3628" s="18">
        <v>10132.18</v>
      </c>
      <c r="J3628" s="27">
        <v>10665.45</v>
      </c>
      <c r="K3628" s="18">
        <f t="shared" si="113"/>
        <v>10665.45</v>
      </c>
      <c r="L3628" s="27">
        <v>10132.18</v>
      </c>
      <c r="M3628" s="36">
        <v>0</v>
      </c>
      <c r="T3628" s="41">
        <v>0</v>
      </c>
      <c r="U3628" s="41">
        <v>0</v>
      </c>
      <c r="V3628" s="42" t="s">
        <v>113</v>
      </c>
      <c r="W3628" s="42">
        <v>10665.45</v>
      </c>
      <c r="X3628" s="42">
        <v>10665.45</v>
      </c>
    </row>
    <row r="3629" spans="1:24">
      <c r="A3629" s="27" t="s">
        <v>6677</v>
      </c>
      <c r="B3629" s="28" t="s">
        <v>5102</v>
      </c>
      <c r="C3629" s="27" t="s">
        <v>6678</v>
      </c>
      <c r="D3629" s="27" t="s">
        <v>5104</v>
      </c>
      <c r="E3629" s="29">
        <v>37226</v>
      </c>
      <c r="F3629" s="27">
        <v>15</v>
      </c>
      <c r="G3629" s="18">
        <v>22372.38</v>
      </c>
      <c r="H3629" s="27">
        <f t="shared" si="112"/>
        <v>22372.38</v>
      </c>
      <c r="I3629" s="18">
        <v>21253.759999999998</v>
      </c>
      <c r="J3629" s="27">
        <v>22372.38</v>
      </c>
      <c r="K3629" s="18">
        <f t="shared" si="113"/>
        <v>22372.38</v>
      </c>
      <c r="L3629" s="27">
        <v>21253.759999999998</v>
      </c>
      <c r="M3629" s="36">
        <v>0</v>
      </c>
      <c r="T3629" s="41">
        <v>0</v>
      </c>
      <c r="U3629" s="41">
        <v>0</v>
      </c>
      <c r="V3629" s="42" t="s">
        <v>113</v>
      </c>
      <c r="W3629" s="42">
        <v>22372.38</v>
      </c>
      <c r="X3629" s="42">
        <v>22372.38</v>
      </c>
    </row>
    <row r="3630" spans="1:24">
      <c r="A3630" s="27" t="s">
        <v>6679</v>
      </c>
      <c r="B3630" s="28" t="s">
        <v>5102</v>
      </c>
      <c r="C3630" s="27" t="s">
        <v>6680</v>
      </c>
      <c r="D3630" s="27" t="s">
        <v>5104</v>
      </c>
      <c r="E3630" s="29">
        <v>38078</v>
      </c>
      <c r="F3630" s="27">
        <v>15</v>
      </c>
      <c r="G3630" s="18">
        <v>58436.66</v>
      </c>
      <c r="H3630" s="27">
        <f t="shared" si="112"/>
        <v>58436.66</v>
      </c>
      <c r="I3630" s="18">
        <v>55514.83</v>
      </c>
      <c r="J3630" s="27">
        <v>58436.66</v>
      </c>
      <c r="K3630" s="18">
        <f t="shared" si="113"/>
        <v>58436.66</v>
      </c>
      <c r="L3630" s="27">
        <v>55514.83</v>
      </c>
      <c r="M3630" s="36">
        <v>0</v>
      </c>
      <c r="T3630" s="41">
        <v>0</v>
      </c>
      <c r="U3630" s="41">
        <v>0</v>
      </c>
      <c r="V3630" s="42" t="s">
        <v>113</v>
      </c>
      <c r="W3630" s="42">
        <v>58436.66</v>
      </c>
      <c r="X3630" s="42">
        <v>58436.66</v>
      </c>
    </row>
    <row r="3631" spans="1:24">
      <c r="A3631" s="27" t="s">
        <v>6681</v>
      </c>
      <c r="B3631" s="28" t="s">
        <v>5102</v>
      </c>
      <c r="C3631" s="27" t="s">
        <v>6682</v>
      </c>
      <c r="D3631" s="27" t="s">
        <v>5104</v>
      </c>
      <c r="E3631" s="29">
        <v>37226</v>
      </c>
      <c r="F3631" s="27">
        <v>15</v>
      </c>
      <c r="G3631" s="18">
        <v>88902.39</v>
      </c>
      <c r="H3631" s="27">
        <f t="shared" si="112"/>
        <v>88902.39</v>
      </c>
      <c r="I3631" s="18">
        <v>84457.27</v>
      </c>
      <c r="J3631" s="27">
        <v>88902.39</v>
      </c>
      <c r="K3631" s="18">
        <f t="shared" si="113"/>
        <v>88902.39</v>
      </c>
      <c r="L3631" s="27">
        <v>84457.27</v>
      </c>
      <c r="M3631" s="36">
        <v>0</v>
      </c>
      <c r="T3631" s="41">
        <v>0</v>
      </c>
      <c r="U3631" s="41">
        <v>0</v>
      </c>
      <c r="V3631" s="42" t="s">
        <v>113</v>
      </c>
      <c r="W3631" s="42">
        <v>88902.39</v>
      </c>
      <c r="X3631" s="42">
        <v>88902.39</v>
      </c>
    </row>
    <row r="3632" spans="1:24">
      <c r="A3632" s="27" t="s">
        <v>6683</v>
      </c>
      <c r="B3632" s="28" t="s">
        <v>5102</v>
      </c>
      <c r="C3632" s="27" t="s">
        <v>6684</v>
      </c>
      <c r="D3632" s="27" t="s">
        <v>5104</v>
      </c>
      <c r="E3632" s="29">
        <v>38078</v>
      </c>
      <c r="F3632" s="27">
        <v>15</v>
      </c>
      <c r="G3632" s="18">
        <v>45984.71</v>
      </c>
      <c r="H3632" s="27">
        <f t="shared" si="112"/>
        <v>45984.71</v>
      </c>
      <c r="I3632" s="18">
        <v>43685.47</v>
      </c>
      <c r="J3632" s="27">
        <v>45984.71</v>
      </c>
      <c r="K3632" s="18">
        <f t="shared" si="113"/>
        <v>45984.71</v>
      </c>
      <c r="L3632" s="27">
        <v>43685.47</v>
      </c>
      <c r="M3632" s="36">
        <v>0</v>
      </c>
      <c r="T3632" s="41">
        <v>0</v>
      </c>
      <c r="U3632" s="41">
        <v>0</v>
      </c>
      <c r="V3632" s="42" t="s">
        <v>113</v>
      </c>
      <c r="W3632" s="42">
        <v>45984.71</v>
      </c>
      <c r="X3632" s="42">
        <v>45984.71</v>
      </c>
    </row>
    <row r="3633" spans="1:24">
      <c r="A3633" s="27" t="s">
        <v>6685</v>
      </c>
      <c r="B3633" s="28" t="s">
        <v>5102</v>
      </c>
      <c r="C3633" s="27" t="s">
        <v>6684</v>
      </c>
      <c r="D3633" s="27" t="s">
        <v>5104</v>
      </c>
      <c r="E3633" s="29">
        <v>38078</v>
      </c>
      <c r="F3633" s="27">
        <v>15</v>
      </c>
      <c r="G3633" s="18">
        <v>6592.21</v>
      </c>
      <c r="H3633" s="27">
        <f t="shared" si="112"/>
        <v>6592.21</v>
      </c>
      <c r="I3633" s="18">
        <v>6262.6</v>
      </c>
      <c r="J3633" s="27">
        <v>6592.21</v>
      </c>
      <c r="K3633" s="18">
        <f t="shared" si="113"/>
        <v>6592.21</v>
      </c>
      <c r="L3633" s="27">
        <v>6262.6</v>
      </c>
      <c r="M3633" s="36">
        <v>0</v>
      </c>
      <c r="T3633" s="41">
        <v>0</v>
      </c>
      <c r="U3633" s="41">
        <v>0</v>
      </c>
      <c r="V3633" s="42" t="s">
        <v>113</v>
      </c>
      <c r="W3633" s="42">
        <v>6592.21</v>
      </c>
      <c r="X3633" s="42">
        <v>6592.21</v>
      </c>
    </row>
    <row r="3634" spans="1:24">
      <c r="A3634" s="27" t="s">
        <v>6686</v>
      </c>
      <c r="B3634" s="28" t="s">
        <v>5102</v>
      </c>
      <c r="C3634" s="27" t="s">
        <v>6687</v>
      </c>
      <c r="D3634" s="27" t="s">
        <v>5104</v>
      </c>
      <c r="E3634" s="29">
        <v>38078</v>
      </c>
      <c r="F3634" s="27">
        <v>15</v>
      </c>
      <c r="G3634" s="18">
        <v>66940.44</v>
      </c>
      <c r="H3634" s="27">
        <f t="shared" si="112"/>
        <v>66940.44</v>
      </c>
      <c r="I3634" s="18">
        <v>63593.42</v>
      </c>
      <c r="J3634" s="27">
        <v>66940.44</v>
      </c>
      <c r="K3634" s="18">
        <f t="shared" si="113"/>
        <v>66940.44</v>
      </c>
      <c r="L3634" s="27">
        <v>63593.42</v>
      </c>
      <c r="M3634" s="36">
        <v>0</v>
      </c>
      <c r="T3634" s="41">
        <v>0</v>
      </c>
      <c r="U3634" s="41">
        <v>0</v>
      </c>
      <c r="V3634" s="42" t="s">
        <v>113</v>
      </c>
      <c r="W3634" s="42">
        <v>66940.44</v>
      </c>
      <c r="X3634" s="42">
        <v>66940.44</v>
      </c>
    </row>
    <row r="3635" spans="1:24">
      <c r="A3635" s="27" t="s">
        <v>6688</v>
      </c>
      <c r="B3635" s="28" t="s">
        <v>5102</v>
      </c>
      <c r="C3635" s="27" t="s">
        <v>6689</v>
      </c>
      <c r="D3635" s="27" t="s">
        <v>5104</v>
      </c>
      <c r="E3635" s="29">
        <v>38078</v>
      </c>
      <c r="F3635" s="27">
        <v>15</v>
      </c>
      <c r="G3635" s="18">
        <v>17173.71</v>
      </c>
      <c r="H3635" s="27">
        <f t="shared" si="112"/>
        <v>17173.71</v>
      </c>
      <c r="I3635" s="18">
        <v>16315.02</v>
      </c>
      <c r="J3635" s="27">
        <v>17173.71</v>
      </c>
      <c r="K3635" s="18">
        <f t="shared" si="113"/>
        <v>17173.71</v>
      </c>
      <c r="L3635" s="27">
        <v>16315.02</v>
      </c>
      <c r="M3635" s="36">
        <v>0</v>
      </c>
      <c r="T3635" s="41">
        <v>0</v>
      </c>
      <c r="U3635" s="41">
        <v>0</v>
      </c>
      <c r="V3635" s="42" t="s">
        <v>113</v>
      </c>
      <c r="W3635" s="42">
        <v>17173.71</v>
      </c>
      <c r="X3635" s="42">
        <v>17173.71</v>
      </c>
    </row>
    <row r="3636" spans="1:24">
      <c r="A3636" s="27" t="s">
        <v>6690</v>
      </c>
      <c r="B3636" s="28" t="s">
        <v>5102</v>
      </c>
      <c r="C3636" s="27" t="s">
        <v>6691</v>
      </c>
      <c r="D3636" s="27" t="s">
        <v>5104</v>
      </c>
      <c r="E3636" s="29">
        <v>38078</v>
      </c>
      <c r="F3636" s="27">
        <v>15</v>
      </c>
      <c r="G3636" s="18">
        <v>60553.85</v>
      </c>
      <c r="H3636" s="27">
        <f t="shared" si="112"/>
        <v>60553.85</v>
      </c>
      <c r="I3636" s="18">
        <v>57526.16</v>
      </c>
      <c r="J3636" s="27">
        <v>60553.85</v>
      </c>
      <c r="K3636" s="18">
        <f t="shared" si="113"/>
        <v>60553.85</v>
      </c>
      <c r="L3636" s="27">
        <v>57526.16</v>
      </c>
      <c r="M3636" s="36">
        <v>0</v>
      </c>
      <c r="T3636" s="41">
        <v>0</v>
      </c>
      <c r="U3636" s="41">
        <v>0</v>
      </c>
      <c r="V3636" s="42" t="s">
        <v>113</v>
      </c>
      <c r="W3636" s="42">
        <v>60553.85</v>
      </c>
      <c r="X3636" s="42">
        <v>60553.85</v>
      </c>
    </row>
    <row r="3637" spans="1:24">
      <c r="A3637" s="27" t="s">
        <v>6692</v>
      </c>
      <c r="B3637" s="28" t="s">
        <v>5102</v>
      </c>
      <c r="C3637" s="27" t="s">
        <v>6693</v>
      </c>
      <c r="D3637" s="27" t="s">
        <v>5104</v>
      </c>
      <c r="E3637" s="29">
        <v>38078</v>
      </c>
      <c r="F3637" s="27">
        <v>15</v>
      </c>
      <c r="G3637" s="18">
        <v>71192.320000000007</v>
      </c>
      <c r="H3637" s="27">
        <f t="shared" si="112"/>
        <v>71192.320000000007</v>
      </c>
      <c r="I3637" s="18">
        <v>67632.7</v>
      </c>
      <c r="J3637" s="27">
        <v>71192.320000000007</v>
      </c>
      <c r="K3637" s="18">
        <f t="shared" si="113"/>
        <v>71192.320000000007</v>
      </c>
      <c r="L3637" s="27">
        <v>67632.7</v>
      </c>
      <c r="M3637" s="36">
        <v>0</v>
      </c>
      <c r="T3637" s="41">
        <v>0</v>
      </c>
      <c r="U3637" s="41">
        <v>0</v>
      </c>
      <c r="V3637" s="42" t="s">
        <v>113</v>
      </c>
      <c r="W3637" s="42">
        <v>71192.320000000007</v>
      </c>
      <c r="X3637" s="42">
        <v>71192.320000000007</v>
      </c>
    </row>
    <row r="3638" spans="1:24">
      <c r="A3638" s="27" t="s">
        <v>6694</v>
      </c>
      <c r="B3638" s="28" t="s">
        <v>5102</v>
      </c>
      <c r="C3638" s="27" t="s">
        <v>6693</v>
      </c>
      <c r="D3638" s="27" t="s">
        <v>5104</v>
      </c>
      <c r="E3638" s="29">
        <v>38078</v>
      </c>
      <c r="F3638" s="27">
        <v>15</v>
      </c>
      <c r="G3638" s="18">
        <v>7378.28</v>
      </c>
      <c r="H3638" s="27">
        <f t="shared" si="112"/>
        <v>7378.28</v>
      </c>
      <c r="I3638" s="18">
        <v>7009.37</v>
      </c>
      <c r="J3638" s="27">
        <v>7378.28</v>
      </c>
      <c r="K3638" s="18">
        <f t="shared" si="113"/>
        <v>7378.28</v>
      </c>
      <c r="L3638" s="27">
        <v>7009.37</v>
      </c>
      <c r="M3638" s="36">
        <v>0</v>
      </c>
      <c r="T3638" s="41">
        <v>0</v>
      </c>
      <c r="U3638" s="41">
        <v>0</v>
      </c>
      <c r="V3638" s="42" t="s">
        <v>113</v>
      </c>
      <c r="W3638" s="42">
        <v>7378.28</v>
      </c>
      <c r="X3638" s="42">
        <v>7378.28</v>
      </c>
    </row>
    <row r="3639" spans="1:24">
      <c r="A3639" s="27" t="s">
        <v>6695</v>
      </c>
      <c r="B3639" s="28" t="s">
        <v>5102</v>
      </c>
      <c r="C3639" s="27" t="s">
        <v>6696</v>
      </c>
      <c r="D3639" s="27" t="s">
        <v>5104</v>
      </c>
      <c r="E3639" s="29">
        <v>39417</v>
      </c>
      <c r="F3639" s="27">
        <v>15</v>
      </c>
      <c r="G3639" s="18">
        <v>13833.8</v>
      </c>
      <c r="H3639" s="27">
        <f t="shared" si="112"/>
        <v>0</v>
      </c>
      <c r="I3639" s="18">
        <v>11798.84</v>
      </c>
      <c r="J3639" s="27">
        <v>13833.8</v>
      </c>
      <c r="K3639" s="18">
        <f t="shared" si="113"/>
        <v>0</v>
      </c>
      <c r="L3639" s="27">
        <v>12134.66</v>
      </c>
      <c r="M3639" s="36">
        <v>335.82</v>
      </c>
      <c r="T3639" s="41">
        <v>0</v>
      </c>
      <c r="U3639" s="41">
        <v>0</v>
      </c>
      <c r="V3639" s="42" t="s">
        <v>113</v>
      </c>
      <c r="W3639" s="42">
        <v>0</v>
      </c>
      <c r="X3639" s="42">
        <v>0</v>
      </c>
    </row>
    <row r="3640" spans="1:24">
      <c r="A3640" s="27" t="s">
        <v>6697</v>
      </c>
      <c r="B3640" s="28" t="s">
        <v>5102</v>
      </c>
      <c r="C3640" s="27" t="s">
        <v>6698</v>
      </c>
      <c r="D3640" s="27" t="s">
        <v>5104</v>
      </c>
      <c r="E3640" s="29">
        <v>39417</v>
      </c>
      <c r="F3640" s="27">
        <v>15</v>
      </c>
      <c r="G3640" s="18">
        <v>33915.120000000003</v>
      </c>
      <c r="H3640" s="27">
        <f t="shared" si="112"/>
        <v>0</v>
      </c>
      <c r="I3640" s="18">
        <v>28926.17</v>
      </c>
      <c r="J3640" s="27">
        <v>33915.120000000003</v>
      </c>
      <c r="K3640" s="18">
        <f t="shared" si="113"/>
        <v>0</v>
      </c>
      <c r="L3640" s="27">
        <v>29749.47</v>
      </c>
      <c r="M3640" s="36">
        <v>823.3</v>
      </c>
      <c r="T3640" s="41">
        <v>0</v>
      </c>
      <c r="U3640" s="41">
        <v>0</v>
      </c>
      <c r="V3640" s="42" t="s">
        <v>113</v>
      </c>
      <c r="W3640" s="42">
        <v>0</v>
      </c>
      <c r="X3640" s="42">
        <v>0</v>
      </c>
    </row>
    <row r="3641" spans="1:24">
      <c r="A3641" s="27" t="s">
        <v>6699</v>
      </c>
      <c r="B3641" s="28" t="s">
        <v>5102</v>
      </c>
      <c r="C3641" s="27" t="s">
        <v>6700</v>
      </c>
      <c r="D3641" s="27" t="s">
        <v>5104</v>
      </c>
      <c r="E3641" s="29">
        <v>38078</v>
      </c>
      <c r="F3641" s="27">
        <v>15</v>
      </c>
      <c r="G3641" s="18">
        <v>27387.16</v>
      </c>
      <c r="H3641" s="27">
        <f t="shared" si="112"/>
        <v>27387.16</v>
      </c>
      <c r="I3641" s="18">
        <v>26017.8</v>
      </c>
      <c r="J3641" s="27">
        <v>27387.16</v>
      </c>
      <c r="K3641" s="18">
        <f t="shared" si="113"/>
        <v>27387.16</v>
      </c>
      <c r="L3641" s="27">
        <v>26017.8</v>
      </c>
      <c r="M3641" s="36">
        <v>0</v>
      </c>
      <c r="T3641" s="41">
        <v>0</v>
      </c>
      <c r="U3641" s="41">
        <v>0</v>
      </c>
      <c r="V3641" s="42" t="s">
        <v>113</v>
      </c>
      <c r="W3641" s="42">
        <v>27387.16</v>
      </c>
      <c r="X3641" s="42">
        <v>27387.16</v>
      </c>
    </row>
    <row r="3642" spans="1:24">
      <c r="A3642" s="27" t="s">
        <v>6701</v>
      </c>
      <c r="B3642" s="28" t="s">
        <v>5102</v>
      </c>
      <c r="C3642" s="27" t="s">
        <v>6700</v>
      </c>
      <c r="D3642" s="27" t="s">
        <v>5104</v>
      </c>
      <c r="E3642" s="29">
        <v>38078</v>
      </c>
      <c r="F3642" s="27">
        <v>15</v>
      </c>
      <c r="G3642" s="18">
        <v>11522.97</v>
      </c>
      <c r="H3642" s="27">
        <f t="shared" si="112"/>
        <v>11522.97</v>
      </c>
      <c r="I3642" s="18">
        <v>10946.82</v>
      </c>
      <c r="J3642" s="27">
        <v>11522.97</v>
      </c>
      <c r="K3642" s="18">
        <f t="shared" si="113"/>
        <v>11522.97</v>
      </c>
      <c r="L3642" s="27">
        <v>10946.82</v>
      </c>
      <c r="M3642" s="36">
        <v>0</v>
      </c>
      <c r="T3642" s="41">
        <v>0</v>
      </c>
      <c r="U3642" s="41">
        <v>0</v>
      </c>
      <c r="V3642" s="42" t="s">
        <v>113</v>
      </c>
      <c r="W3642" s="42">
        <v>11522.97</v>
      </c>
      <c r="X3642" s="42">
        <v>11522.97</v>
      </c>
    </row>
    <row r="3643" spans="1:24">
      <c r="A3643" s="27" t="s">
        <v>6702</v>
      </c>
      <c r="B3643" s="28" t="s">
        <v>5102</v>
      </c>
      <c r="C3643" s="27" t="s">
        <v>6703</v>
      </c>
      <c r="D3643" s="27" t="s">
        <v>5104</v>
      </c>
      <c r="E3643" s="29">
        <v>37226</v>
      </c>
      <c r="F3643" s="27">
        <v>15</v>
      </c>
      <c r="G3643" s="18">
        <v>36834.080000000002</v>
      </c>
      <c r="H3643" s="27">
        <f t="shared" si="112"/>
        <v>36834.080000000002</v>
      </c>
      <c r="I3643" s="18">
        <v>34992.379999999997</v>
      </c>
      <c r="J3643" s="27">
        <v>36834.080000000002</v>
      </c>
      <c r="K3643" s="18">
        <f t="shared" si="113"/>
        <v>36834.080000000002</v>
      </c>
      <c r="L3643" s="27">
        <v>34992.379999999997</v>
      </c>
      <c r="M3643" s="36">
        <v>0</v>
      </c>
      <c r="T3643" s="41">
        <v>0</v>
      </c>
      <c r="U3643" s="41">
        <v>0</v>
      </c>
      <c r="V3643" s="42" t="s">
        <v>113</v>
      </c>
      <c r="W3643" s="42">
        <v>36834.080000000002</v>
      </c>
      <c r="X3643" s="42">
        <v>36834.080000000002</v>
      </c>
    </row>
    <row r="3644" spans="1:24">
      <c r="A3644" s="27" t="s">
        <v>6704</v>
      </c>
      <c r="B3644" s="28" t="s">
        <v>5102</v>
      </c>
      <c r="C3644" s="27" t="s">
        <v>6705</v>
      </c>
      <c r="D3644" s="27" t="s">
        <v>5104</v>
      </c>
      <c r="E3644" s="29">
        <v>38078</v>
      </c>
      <c r="F3644" s="27">
        <v>15</v>
      </c>
      <c r="G3644" s="18">
        <v>45019.839999999997</v>
      </c>
      <c r="H3644" s="27">
        <f t="shared" si="112"/>
        <v>45019.839999999997</v>
      </c>
      <c r="I3644" s="18">
        <v>42768.85</v>
      </c>
      <c r="J3644" s="27">
        <v>45019.839999999997</v>
      </c>
      <c r="K3644" s="18">
        <f t="shared" si="113"/>
        <v>45019.839999999997</v>
      </c>
      <c r="L3644" s="27">
        <v>42768.85</v>
      </c>
      <c r="M3644" s="36">
        <v>0</v>
      </c>
      <c r="T3644" s="41">
        <v>0</v>
      </c>
      <c r="U3644" s="41">
        <v>0</v>
      </c>
      <c r="V3644" s="42" t="s">
        <v>113</v>
      </c>
      <c r="W3644" s="42">
        <v>45019.839999999997</v>
      </c>
      <c r="X3644" s="42">
        <v>45019.839999999997</v>
      </c>
    </row>
    <row r="3645" spans="1:24">
      <c r="A3645" s="27" t="s">
        <v>6706</v>
      </c>
      <c r="B3645" s="28" t="s">
        <v>5102</v>
      </c>
      <c r="C3645" s="27" t="s">
        <v>6705</v>
      </c>
      <c r="D3645" s="27" t="s">
        <v>5104</v>
      </c>
      <c r="E3645" s="29">
        <v>38078</v>
      </c>
      <c r="F3645" s="27">
        <v>15</v>
      </c>
      <c r="G3645" s="18">
        <v>66207.97</v>
      </c>
      <c r="H3645" s="27">
        <f t="shared" si="112"/>
        <v>66207.97</v>
      </c>
      <c r="I3645" s="18">
        <v>62897.57</v>
      </c>
      <c r="J3645" s="27">
        <v>66207.97</v>
      </c>
      <c r="K3645" s="18">
        <f t="shared" si="113"/>
        <v>66207.97</v>
      </c>
      <c r="L3645" s="27">
        <v>62897.57</v>
      </c>
      <c r="M3645" s="36">
        <v>0</v>
      </c>
      <c r="T3645" s="41">
        <v>0</v>
      </c>
      <c r="U3645" s="41">
        <v>0</v>
      </c>
      <c r="V3645" s="42" t="s">
        <v>113</v>
      </c>
      <c r="W3645" s="42">
        <v>66207.97</v>
      </c>
      <c r="X3645" s="42">
        <v>66207.97</v>
      </c>
    </row>
    <row r="3646" spans="1:24">
      <c r="A3646" s="27" t="s">
        <v>6707</v>
      </c>
      <c r="B3646" s="28" t="s">
        <v>5102</v>
      </c>
      <c r="C3646" s="27" t="s">
        <v>6705</v>
      </c>
      <c r="D3646" s="27" t="s">
        <v>5104</v>
      </c>
      <c r="E3646" s="29">
        <v>38078</v>
      </c>
      <c r="F3646" s="27">
        <v>15</v>
      </c>
      <c r="G3646" s="18">
        <v>6252.78</v>
      </c>
      <c r="H3646" s="27">
        <f t="shared" si="112"/>
        <v>6252.78</v>
      </c>
      <c r="I3646" s="18">
        <v>5940.14</v>
      </c>
      <c r="J3646" s="27">
        <v>6252.78</v>
      </c>
      <c r="K3646" s="18">
        <f t="shared" si="113"/>
        <v>6252.78</v>
      </c>
      <c r="L3646" s="27">
        <v>5940.14</v>
      </c>
      <c r="M3646" s="36">
        <v>0</v>
      </c>
      <c r="T3646" s="41">
        <v>0</v>
      </c>
      <c r="U3646" s="41">
        <v>0</v>
      </c>
      <c r="V3646" s="42" t="s">
        <v>113</v>
      </c>
      <c r="W3646" s="42">
        <v>6252.78</v>
      </c>
      <c r="X3646" s="42">
        <v>6252.78</v>
      </c>
    </row>
    <row r="3647" spans="1:24">
      <c r="A3647" s="27" t="s">
        <v>6708</v>
      </c>
      <c r="B3647" s="28" t="s">
        <v>5102</v>
      </c>
      <c r="C3647" s="27" t="s">
        <v>6709</v>
      </c>
      <c r="D3647" s="27" t="s">
        <v>5104</v>
      </c>
      <c r="E3647" s="29">
        <v>38078</v>
      </c>
      <c r="F3647" s="27">
        <v>15</v>
      </c>
      <c r="G3647" s="18">
        <v>45434.96</v>
      </c>
      <c r="H3647" s="27">
        <f t="shared" si="112"/>
        <v>45434.96</v>
      </c>
      <c r="I3647" s="18">
        <v>43163.21</v>
      </c>
      <c r="J3647" s="27">
        <v>45434.96</v>
      </c>
      <c r="K3647" s="18">
        <f t="shared" si="113"/>
        <v>45434.96</v>
      </c>
      <c r="L3647" s="27">
        <v>43163.21</v>
      </c>
      <c r="M3647" s="36">
        <v>0</v>
      </c>
      <c r="T3647" s="41">
        <v>0</v>
      </c>
      <c r="U3647" s="41">
        <v>0</v>
      </c>
      <c r="V3647" s="42" t="s">
        <v>113</v>
      </c>
      <c r="W3647" s="42">
        <v>45434.96</v>
      </c>
      <c r="X3647" s="42">
        <v>45434.96</v>
      </c>
    </row>
    <row r="3648" spans="1:24">
      <c r="A3648" s="27" t="s">
        <v>6710</v>
      </c>
      <c r="B3648" s="28" t="s">
        <v>5102</v>
      </c>
      <c r="C3648" s="27" t="s">
        <v>6711</v>
      </c>
      <c r="D3648" s="27" t="s">
        <v>5104</v>
      </c>
      <c r="E3648" s="29">
        <v>37226</v>
      </c>
      <c r="F3648" s="27">
        <v>15</v>
      </c>
      <c r="G3648" s="18">
        <v>614467.53</v>
      </c>
      <c r="H3648" s="27">
        <f t="shared" si="112"/>
        <v>614467.53</v>
      </c>
      <c r="I3648" s="18">
        <v>583744.15</v>
      </c>
      <c r="J3648" s="27">
        <v>614467.53</v>
      </c>
      <c r="K3648" s="18">
        <f t="shared" si="113"/>
        <v>614467.53</v>
      </c>
      <c r="L3648" s="27">
        <v>583744.15</v>
      </c>
      <c r="M3648" s="36">
        <v>0</v>
      </c>
      <c r="T3648" s="41">
        <v>0</v>
      </c>
      <c r="U3648" s="41">
        <v>0</v>
      </c>
      <c r="V3648" s="42" t="s">
        <v>113</v>
      </c>
      <c r="W3648" s="42">
        <v>614467.53</v>
      </c>
      <c r="X3648" s="42">
        <v>614467.53</v>
      </c>
    </row>
    <row r="3649" spans="1:24">
      <c r="A3649" s="27" t="s">
        <v>6712</v>
      </c>
      <c r="B3649" s="28" t="s">
        <v>5102</v>
      </c>
      <c r="C3649" s="27" t="s">
        <v>6713</v>
      </c>
      <c r="D3649" s="27" t="s">
        <v>5104</v>
      </c>
      <c r="E3649" s="29">
        <v>37773</v>
      </c>
      <c r="F3649" s="27">
        <v>15</v>
      </c>
      <c r="G3649" s="18">
        <v>83890</v>
      </c>
      <c r="H3649" s="27">
        <f t="shared" si="112"/>
        <v>83890</v>
      </c>
      <c r="I3649" s="18">
        <v>79695.5</v>
      </c>
      <c r="J3649" s="27">
        <v>83890</v>
      </c>
      <c r="K3649" s="18">
        <f t="shared" si="113"/>
        <v>83890</v>
      </c>
      <c r="L3649" s="27">
        <v>79695.5</v>
      </c>
      <c r="M3649" s="36">
        <v>0</v>
      </c>
      <c r="T3649" s="41">
        <v>0</v>
      </c>
      <c r="U3649" s="41">
        <v>0</v>
      </c>
      <c r="V3649" s="42" t="s">
        <v>113</v>
      </c>
      <c r="W3649" s="42">
        <v>83890</v>
      </c>
      <c r="X3649" s="42">
        <v>83890</v>
      </c>
    </row>
    <row r="3650" spans="1:24">
      <c r="A3650" s="27" t="s">
        <v>6714</v>
      </c>
      <c r="B3650" s="28" t="s">
        <v>5102</v>
      </c>
      <c r="C3650" s="27" t="s">
        <v>6715</v>
      </c>
      <c r="D3650" s="27" t="s">
        <v>5104</v>
      </c>
      <c r="E3650" s="29">
        <v>38078</v>
      </c>
      <c r="F3650" s="27">
        <v>15</v>
      </c>
      <c r="G3650" s="18">
        <v>5207.66</v>
      </c>
      <c r="H3650" s="27">
        <f t="shared" si="112"/>
        <v>5207.66</v>
      </c>
      <c r="I3650" s="18">
        <v>4947.28</v>
      </c>
      <c r="J3650" s="27">
        <v>5207.66</v>
      </c>
      <c r="K3650" s="18">
        <f t="shared" si="113"/>
        <v>5207.66</v>
      </c>
      <c r="L3650" s="27">
        <v>4947.28</v>
      </c>
      <c r="M3650" s="36">
        <v>0</v>
      </c>
      <c r="T3650" s="41">
        <v>0</v>
      </c>
      <c r="U3650" s="41">
        <v>0</v>
      </c>
      <c r="V3650" s="42" t="s">
        <v>113</v>
      </c>
      <c r="W3650" s="42">
        <v>5207.66</v>
      </c>
      <c r="X3650" s="42">
        <v>5207.66</v>
      </c>
    </row>
    <row r="3651" spans="1:24">
      <c r="A3651" s="27" t="s">
        <v>6716</v>
      </c>
      <c r="B3651" s="28" t="s">
        <v>5102</v>
      </c>
      <c r="C3651" s="27" t="s">
        <v>6715</v>
      </c>
      <c r="D3651" s="27" t="s">
        <v>5104</v>
      </c>
      <c r="E3651" s="29">
        <v>38078</v>
      </c>
      <c r="F3651" s="27">
        <v>15</v>
      </c>
      <c r="G3651" s="18">
        <v>25116.799999999999</v>
      </c>
      <c r="H3651" s="27">
        <f t="shared" si="112"/>
        <v>25116.799999999999</v>
      </c>
      <c r="I3651" s="18">
        <v>23860.959999999999</v>
      </c>
      <c r="J3651" s="27">
        <v>25116.799999999999</v>
      </c>
      <c r="K3651" s="18">
        <f t="shared" si="113"/>
        <v>25116.799999999999</v>
      </c>
      <c r="L3651" s="27">
        <v>23860.959999999999</v>
      </c>
      <c r="M3651" s="36">
        <v>0</v>
      </c>
      <c r="T3651" s="41">
        <v>0</v>
      </c>
      <c r="U3651" s="41">
        <v>0</v>
      </c>
      <c r="V3651" s="42" t="s">
        <v>113</v>
      </c>
      <c r="W3651" s="42">
        <v>25116.799999999999</v>
      </c>
      <c r="X3651" s="42">
        <v>25116.799999999999</v>
      </c>
    </row>
    <row r="3652" spans="1:24">
      <c r="A3652" s="27" t="s">
        <v>6717</v>
      </c>
      <c r="B3652" s="28" t="s">
        <v>5102</v>
      </c>
      <c r="C3652" s="27" t="s">
        <v>6715</v>
      </c>
      <c r="D3652" s="27" t="s">
        <v>5104</v>
      </c>
      <c r="E3652" s="29">
        <v>38078</v>
      </c>
      <c r="F3652" s="27">
        <v>15</v>
      </c>
      <c r="G3652" s="18">
        <v>8100.82</v>
      </c>
      <c r="H3652" s="27">
        <f t="shared" si="112"/>
        <v>8100.82</v>
      </c>
      <c r="I3652" s="18">
        <v>7695.78</v>
      </c>
      <c r="J3652" s="27">
        <v>8100.82</v>
      </c>
      <c r="K3652" s="18">
        <f t="shared" si="113"/>
        <v>8100.82</v>
      </c>
      <c r="L3652" s="27">
        <v>7695.78</v>
      </c>
      <c r="M3652" s="36">
        <v>0</v>
      </c>
      <c r="T3652" s="41">
        <v>0</v>
      </c>
      <c r="U3652" s="41">
        <v>0</v>
      </c>
      <c r="V3652" s="42" t="s">
        <v>113</v>
      </c>
      <c r="W3652" s="42">
        <v>8100.82</v>
      </c>
      <c r="X3652" s="42">
        <v>8100.82</v>
      </c>
    </row>
    <row r="3653" spans="1:24">
      <c r="A3653" s="27" t="s">
        <v>6718</v>
      </c>
      <c r="B3653" s="28" t="s">
        <v>5102</v>
      </c>
      <c r="C3653" s="27" t="s">
        <v>6719</v>
      </c>
      <c r="D3653" s="27" t="s">
        <v>5104</v>
      </c>
      <c r="E3653" s="29">
        <v>38078</v>
      </c>
      <c r="F3653" s="27">
        <v>15</v>
      </c>
      <c r="G3653" s="18">
        <v>7757.92</v>
      </c>
      <c r="H3653" s="27">
        <f t="shared" si="112"/>
        <v>7757.92</v>
      </c>
      <c r="I3653" s="18">
        <v>7370.02</v>
      </c>
      <c r="J3653" s="27">
        <v>7757.92</v>
      </c>
      <c r="K3653" s="18">
        <f t="shared" si="113"/>
        <v>7757.92</v>
      </c>
      <c r="L3653" s="27">
        <v>7370.02</v>
      </c>
      <c r="M3653" s="36">
        <v>0</v>
      </c>
      <c r="T3653" s="41">
        <v>0</v>
      </c>
      <c r="U3653" s="41">
        <v>0</v>
      </c>
      <c r="V3653" s="42" t="s">
        <v>113</v>
      </c>
      <c r="W3653" s="42">
        <v>7757.92</v>
      </c>
      <c r="X3653" s="42">
        <v>7757.92</v>
      </c>
    </row>
    <row r="3654" spans="1:24">
      <c r="A3654" s="27" t="s">
        <v>6720</v>
      </c>
      <c r="B3654" s="28" t="s">
        <v>5102</v>
      </c>
      <c r="C3654" s="27" t="s">
        <v>6719</v>
      </c>
      <c r="D3654" s="27" t="s">
        <v>5104</v>
      </c>
      <c r="E3654" s="29">
        <v>38078</v>
      </c>
      <c r="F3654" s="27">
        <v>15</v>
      </c>
      <c r="G3654" s="18">
        <v>25159.66</v>
      </c>
      <c r="H3654" s="27">
        <f t="shared" ref="H3654:H3717" si="114">IFERROR(IF(ROUND((G3654-I3654)/G3654,2)&lt;=0.05,G3654,0),0)</f>
        <v>25159.66</v>
      </c>
      <c r="I3654" s="18">
        <v>23901.68</v>
      </c>
      <c r="J3654" s="27">
        <v>25159.66</v>
      </c>
      <c r="K3654" s="18">
        <f t="shared" ref="K3654:K3717" si="115">IFERROR(IF(ROUND((J3654-L3654)/J3654,2)&lt;=0.05,J3654,0),0)</f>
        <v>25159.66</v>
      </c>
      <c r="L3654" s="27">
        <v>23901.68</v>
      </c>
      <c r="M3654" s="36">
        <v>0</v>
      </c>
      <c r="T3654" s="41">
        <v>0</v>
      </c>
      <c r="U3654" s="41">
        <v>0</v>
      </c>
      <c r="V3654" s="42" t="s">
        <v>113</v>
      </c>
      <c r="W3654" s="42">
        <v>25159.66</v>
      </c>
      <c r="X3654" s="42">
        <v>25159.66</v>
      </c>
    </row>
    <row r="3655" spans="1:24">
      <c r="A3655" s="27" t="s">
        <v>6721</v>
      </c>
      <c r="B3655" s="28" t="s">
        <v>5102</v>
      </c>
      <c r="C3655" s="27" t="s">
        <v>6719</v>
      </c>
      <c r="D3655" s="27" t="s">
        <v>5104</v>
      </c>
      <c r="E3655" s="29">
        <v>38078</v>
      </c>
      <c r="F3655" s="27">
        <v>15</v>
      </c>
      <c r="G3655" s="18">
        <v>8015.09</v>
      </c>
      <c r="H3655" s="27">
        <f t="shared" si="114"/>
        <v>8015.09</v>
      </c>
      <c r="I3655" s="18">
        <v>7614.34</v>
      </c>
      <c r="J3655" s="27">
        <v>8015.09</v>
      </c>
      <c r="K3655" s="18">
        <f t="shared" si="115"/>
        <v>8015.09</v>
      </c>
      <c r="L3655" s="27">
        <v>7614.34</v>
      </c>
      <c r="M3655" s="36">
        <v>0</v>
      </c>
      <c r="T3655" s="41">
        <v>0</v>
      </c>
      <c r="U3655" s="41">
        <v>0</v>
      </c>
      <c r="V3655" s="42" t="s">
        <v>113</v>
      </c>
      <c r="W3655" s="42">
        <v>8015.09</v>
      </c>
      <c r="X3655" s="42">
        <v>8015.09</v>
      </c>
    </row>
    <row r="3656" spans="1:24">
      <c r="A3656" s="27" t="s">
        <v>6722</v>
      </c>
      <c r="B3656" s="28" t="s">
        <v>5102</v>
      </c>
      <c r="C3656" s="27" t="s">
        <v>6711</v>
      </c>
      <c r="D3656" s="27" t="s">
        <v>5104</v>
      </c>
      <c r="E3656" s="29">
        <v>37226</v>
      </c>
      <c r="F3656" s="27">
        <v>15</v>
      </c>
      <c r="G3656" s="18">
        <v>154894.67000000001</v>
      </c>
      <c r="H3656" s="27">
        <f t="shared" si="114"/>
        <v>154894.67000000001</v>
      </c>
      <c r="I3656" s="18">
        <v>147149.94</v>
      </c>
      <c r="J3656" s="27">
        <v>154894.67000000001</v>
      </c>
      <c r="K3656" s="18">
        <f t="shared" si="115"/>
        <v>154894.67000000001</v>
      </c>
      <c r="L3656" s="27">
        <v>147149.94</v>
      </c>
      <c r="M3656" s="36">
        <v>0</v>
      </c>
      <c r="T3656" s="41">
        <v>0</v>
      </c>
      <c r="U3656" s="41">
        <v>0</v>
      </c>
      <c r="V3656" s="42" t="s">
        <v>113</v>
      </c>
      <c r="W3656" s="42">
        <v>154894.67000000001</v>
      </c>
      <c r="X3656" s="42">
        <v>154894.67000000001</v>
      </c>
    </row>
    <row r="3657" spans="1:24">
      <c r="A3657" s="27" t="s">
        <v>6723</v>
      </c>
      <c r="B3657" s="28" t="s">
        <v>5102</v>
      </c>
      <c r="C3657" s="27" t="s">
        <v>6724</v>
      </c>
      <c r="D3657" s="27" t="s">
        <v>5104</v>
      </c>
      <c r="E3657" s="29">
        <v>37226</v>
      </c>
      <c r="F3657" s="27">
        <v>15</v>
      </c>
      <c r="G3657" s="18">
        <v>176809.07</v>
      </c>
      <c r="H3657" s="27">
        <f t="shared" si="114"/>
        <v>176809.07</v>
      </c>
      <c r="I3657" s="18">
        <v>167968.62</v>
      </c>
      <c r="J3657" s="27">
        <v>176809.07</v>
      </c>
      <c r="K3657" s="18">
        <f t="shared" si="115"/>
        <v>176809.07</v>
      </c>
      <c r="L3657" s="27">
        <v>167968.62</v>
      </c>
      <c r="M3657" s="36">
        <v>0</v>
      </c>
      <c r="T3657" s="41">
        <v>0</v>
      </c>
      <c r="U3657" s="41">
        <v>0</v>
      </c>
      <c r="V3657" s="42" t="s">
        <v>113</v>
      </c>
      <c r="W3657" s="42">
        <v>176809.07</v>
      </c>
      <c r="X3657" s="42">
        <v>176809.07</v>
      </c>
    </row>
    <row r="3658" spans="1:24">
      <c r="A3658" s="27" t="s">
        <v>6725</v>
      </c>
      <c r="B3658" s="28" t="s">
        <v>5102</v>
      </c>
      <c r="C3658" s="27" t="s">
        <v>6726</v>
      </c>
      <c r="D3658" s="27" t="s">
        <v>5104</v>
      </c>
      <c r="E3658" s="29">
        <v>38078</v>
      </c>
      <c r="F3658" s="27">
        <v>15</v>
      </c>
      <c r="G3658" s="18">
        <v>6814.97</v>
      </c>
      <c r="H3658" s="27">
        <f t="shared" si="114"/>
        <v>6814.97</v>
      </c>
      <c r="I3658" s="18">
        <v>6474.22</v>
      </c>
      <c r="J3658" s="27">
        <v>6814.97</v>
      </c>
      <c r="K3658" s="18">
        <f t="shared" si="115"/>
        <v>6814.97</v>
      </c>
      <c r="L3658" s="27">
        <v>6474.22</v>
      </c>
      <c r="M3658" s="36">
        <v>0</v>
      </c>
      <c r="T3658" s="41">
        <v>0</v>
      </c>
      <c r="U3658" s="41">
        <v>0</v>
      </c>
      <c r="V3658" s="42" t="s">
        <v>113</v>
      </c>
      <c r="W3658" s="42">
        <v>6814.97</v>
      </c>
      <c r="X3658" s="42">
        <v>6814.97</v>
      </c>
    </row>
    <row r="3659" spans="1:24">
      <c r="A3659" s="27" t="s">
        <v>6727</v>
      </c>
      <c r="B3659" s="28" t="s">
        <v>5102</v>
      </c>
      <c r="C3659" s="27" t="s">
        <v>6726</v>
      </c>
      <c r="D3659" s="27" t="s">
        <v>5104</v>
      </c>
      <c r="E3659" s="29">
        <v>38078</v>
      </c>
      <c r="F3659" s="27">
        <v>15</v>
      </c>
      <c r="G3659" s="18">
        <v>11251.13</v>
      </c>
      <c r="H3659" s="27">
        <f t="shared" si="114"/>
        <v>11251.13</v>
      </c>
      <c r="I3659" s="18">
        <v>10688.57</v>
      </c>
      <c r="J3659" s="27">
        <v>11251.13</v>
      </c>
      <c r="K3659" s="18">
        <f t="shared" si="115"/>
        <v>11251.13</v>
      </c>
      <c r="L3659" s="27">
        <v>10688.57</v>
      </c>
      <c r="M3659" s="36">
        <v>0</v>
      </c>
      <c r="T3659" s="41">
        <v>0</v>
      </c>
      <c r="U3659" s="41">
        <v>0</v>
      </c>
      <c r="V3659" s="42" t="s">
        <v>113</v>
      </c>
      <c r="W3659" s="42">
        <v>11251.13</v>
      </c>
      <c r="X3659" s="42">
        <v>11251.13</v>
      </c>
    </row>
    <row r="3660" spans="1:24">
      <c r="A3660" s="27" t="s">
        <v>6728</v>
      </c>
      <c r="B3660" s="28" t="s">
        <v>5102</v>
      </c>
      <c r="C3660" s="27" t="s">
        <v>6729</v>
      </c>
      <c r="D3660" s="27" t="s">
        <v>5104</v>
      </c>
      <c r="E3660" s="29">
        <v>38078</v>
      </c>
      <c r="F3660" s="27">
        <v>15</v>
      </c>
      <c r="G3660" s="18">
        <v>8615.15</v>
      </c>
      <c r="H3660" s="27">
        <f t="shared" si="114"/>
        <v>8615.15</v>
      </c>
      <c r="I3660" s="18">
        <v>8184.39</v>
      </c>
      <c r="J3660" s="27">
        <v>8615.15</v>
      </c>
      <c r="K3660" s="18">
        <f t="shared" si="115"/>
        <v>8615.15</v>
      </c>
      <c r="L3660" s="27">
        <v>8184.39</v>
      </c>
      <c r="M3660" s="36">
        <v>0</v>
      </c>
      <c r="T3660" s="41">
        <v>0</v>
      </c>
      <c r="U3660" s="41">
        <v>0</v>
      </c>
      <c r="V3660" s="42" t="s">
        <v>113</v>
      </c>
      <c r="W3660" s="42">
        <v>8615.15</v>
      </c>
      <c r="X3660" s="42">
        <v>8615.15</v>
      </c>
    </row>
    <row r="3661" spans="1:24">
      <c r="A3661" s="27" t="s">
        <v>6730</v>
      </c>
      <c r="B3661" s="28" t="s">
        <v>5102</v>
      </c>
      <c r="C3661" s="27" t="s">
        <v>6731</v>
      </c>
      <c r="D3661" s="27" t="s">
        <v>5104</v>
      </c>
      <c r="E3661" s="29">
        <v>37226</v>
      </c>
      <c r="F3661" s="27">
        <v>15</v>
      </c>
      <c r="G3661" s="18">
        <v>830907</v>
      </c>
      <c r="H3661" s="27">
        <f t="shared" si="114"/>
        <v>0</v>
      </c>
      <c r="I3661" s="18">
        <v>555445.31000000006</v>
      </c>
      <c r="J3661" s="27">
        <v>830907</v>
      </c>
      <c r="K3661" s="18">
        <f t="shared" si="115"/>
        <v>0</v>
      </c>
      <c r="L3661" s="27">
        <v>594431.37</v>
      </c>
      <c r="M3661" s="36">
        <v>38986.06</v>
      </c>
      <c r="T3661" s="41">
        <v>0</v>
      </c>
      <c r="U3661" s="41">
        <v>0</v>
      </c>
      <c r="V3661" s="42" t="s">
        <v>124</v>
      </c>
      <c r="W3661" s="42">
        <v>830907</v>
      </c>
      <c r="X3661" s="42">
        <v>830907</v>
      </c>
    </row>
    <row r="3662" spans="1:24">
      <c r="A3662" s="27" t="s">
        <v>6732</v>
      </c>
      <c r="B3662" s="28" t="s">
        <v>5102</v>
      </c>
      <c r="C3662" s="27" t="s">
        <v>6733</v>
      </c>
      <c r="D3662" s="27" t="s">
        <v>5104</v>
      </c>
      <c r="E3662" s="29">
        <v>37226</v>
      </c>
      <c r="F3662" s="27">
        <v>15</v>
      </c>
      <c r="G3662" s="18">
        <v>124158.42</v>
      </c>
      <c r="H3662" s="27">
        <f t="shared" si="114"/>
        <v>124158.42</v>
      </c>
      <c r="I3662" s="18">
        <v>117950.5</v>
      </c>
      <c r="J3662" s="27">
        <v>124158.42</v>
      </c>
      <c r="K3662" s="18">
        <f t="shared" si="115"/>
        <v>124158.42</v>
      </c>
      <c r="L3662" s="27">
        <v>117950.5</v>
      </c>
      <c r="M3662" s="36">
        <v>0</v>
      </c>
      <c r="T3662" s="41">
        <v>0</v>
      </c>
      <c r="U3662" s="41">
        <v>0</v>
      </c>
      <c r="V3662" s="42" t="s">
        <v>113</v>
      </c>
      <c r="W3662" s="42">
        <v>124158.42</v>
      </c>
      <c r="X3662" s="42">
        <v>124158.42</v>
      </c>
    </row>
    <row r="3663" spans="1:24">
      <c r="A3663" s="27" t="s">
        <v>6734</v>
      </c>
      <c r="B3663" s="28" t="s">
        <v>5102</v>
      </c>
      <c r="C3663" s="27" t="s">
        <v>6735</v>
      </c>
      <c r="D3663" s="27" t="s">
        <v>5104</v>
      </c>
      <c r="E3663" s="29">
        <v>37226</v>
      </c>
      <c r="F3663" s="27">
        <v>15</v>
      </c>
      <c r="G3663" s="18">
        <v>137624.48000000001</v>
      </c>
      <c r="H3663" s="27">
        <f t="shared" si="114"/>
        <v>137624.48000000001</v>
      </c>
      <c r="I3663" s="18">
        <v>130743.26</v>
      </c>
      <c r="J3663" s="27">
        <v>137624.48000000001</v>
      </c>
      <c r="K3663" s="18">
        <f t="shared" si="115"/>
        <v>137624.48000000001</v>
      </c>
      <c r="L3663" s="27">
        <v>130743.26</v>
      </c>
      <c r="M3663" s="36">
        <v>0</v>
      </c>
      <c r="T3663" s="41">
        <v>0</v>
      </c>
      <c r="U3663" s="41">
        <v>0</v>
      </c>
      <c r="V3663" s="42" t="s">
        <v>113</v>
      </c>
      <c r="W3663" s="42">
        <v>137624.48000000001</v>
      </c>
      <c r="X3663" s="42">
        <v>137624.48000000001</v>
      </c>
    </row>
    <row r="3664" spans="1:24">
      <c r="A3664" s="27" t="s">
        <v>6736</v>
      </c>
      <c r="B3664" s="28" t="s">
        <v>5102</v>
      </c>
      <c r="C3664" s="27" t="s">
        <v>6737</v>
      </c>
      <c r="D3664" s="27" t="s">
        <v>5104</v>
      </c>
      <c r="E3664" s="29">
        <v>38078</v>
      </c>
      <c r="F3664" s="27">
        <v>15</v>
      </c>
      <c r="G3664" s="18">
        <v>42904.29</v>
      </c>
      <c r="H3664" s="27">
        <f t="shared" si="114"/>
        <v>42904.29</v>
      </c>
      <c r="I3664" s="18">
        <v>40759.08</v>
      </c>
      <c r="J3664" s="27">
        <v>42904.29</v>
      </c>
      <c r="K3664" s="18">
        <f t="shared" si="115"/>
        <v>42904.29</v>
      </c>
      <c r="L3664" s="27">
        <v>40759.08</v>
      </c>
      <c r="M3664" s="36">
        <v>0</v>
      </c>
      <c r="T3664" s="41">
        <v>0</v>
      </c>
      <c r="U3664" s="41">
        <v>0</v>
      </c>
      <c r="V3664" s="42" t="s">
        <v>113</v>
      </c>
      <c r="W3664" s="42">
        <v>42904.29</v>
      </c>
      <c r="X3664" s="42">
        <v>42904.29</v>
      </c>
    </row>
    <row r="3665" spans="1:24">
      <c r="A3665" s="27" t="s">
        <v>6738</v>
      </c>
      <c r="B3665" s="28" t="s">
        <v>5102</v>
      </c>
      <c r="C3665" s="27" t="s">
        <v>6739</v>
      </c>
      <c r="D3665" s="27" t="s">
        <v>5104</v>
      </c>
      <c r="E3665" s="29">
        <v>38078</v>
      </c>
      <c r="F3665" s="27">
        <v>15</v>
      </c>
      <c r="G3665" s="18">
        <v>9408.08</v>
      </c>
      <c r="H3665" s="27">
        <f t="shared" si="114"/>
        <v>9408.08</v>
      </c>
      <c r="I3665" s="18">
        <v>8937.68</v>
      </c>
      <c r="J3665" s="27">
        <v>9408.08</v>
      </c>
      <c r="K3665" s="18">
        <f t="shared" si="115"/>
        <v>9408.08</v>
      </c>
      <c r="L3665" s="27">
        <v>8937.68</v>
      </c>
      <c r="M3665" s="36">
        <v>0</v>
      </c>
      <c r="T3665" s="41">
        <v>0</v>
      </c>
      <c r="U3665" s="41">
        <v>0</v>
      </c>
      <c r="V3665" s="42" t="s">
        <v>113</v>
      </c>
      <c r="W3665" s="42">
        <v>9408.08</v>
      </c>
      <c r="X3665" s="42">
        <v>9408.08</v>
      </c>
    </row>
    <row r="3666" spans="1:24">
      <c r="A3666" s="27" t="s">
        <v>6740</v>
      </c>
      <c r="B3666" s="28" t="s">
        <v>5102</v>
      </c>
      <c r="C3666" s="27" t="s">
        <v>6739</v>
      </c>
      <c r="D3666" s="27" t="s">
        <v>5104</v>
      </c>
      <c r="E3666" s="29">
        <v>38078</v>
      </c>
      <c r="F3666" s="27">
        <v>15</v>
      </c>
      <c r="G3666" s="18">
        <v>16437.36</v>
      </c>
      <c r="H3666" s="27">
        <f t="shared" si="114"/>
        <v>16437.36</v>
      </c>
      <c r="I3666" s="18">
        <v>15615.49</v>
      </c>
      <c r="J3666" s="27">
        <v>16437.36</v>
      </c>
      <c r="K3666" s="18">
        <f t="shared" si="115"/>
        <v>16437.36</v>
      </c>
      <c r="L3666" s="27">
        <v>15615.49</v>
      </c>
      <c r="M3666" s="36">
        <v>0</v>
      </c>
      <c r="T3666" s="41">
        <v>0</v>
      </c>
      <c r="U3666" s="41">
        <v>0</v>
      </c>
      <c r="V3666" s="42" t="s">
        <v>113</v>
      </c>
      <c r="W3666" s="42">
        <v>16437.36</v>
      </c>
      <c r="X3666" s="42">
        <v>16437.36</v>
      </c>
    </row>
    <row r="3667" spans="1:24">
      <c r="A3667" s="27" t="s">
        <v>6741</v>
      </c>
      <c r="B3667" s="28" t="s">
        <v>5102</v>
      </c>
      <c r="C3667" s="27" t="s">
        <v>6742</v>
      </c>
      <c r="D3667" s="27" t="s">
        <v>5104</v>
      </c>
      <c r="E3667" s="29">
        <v>37226</v>
      </c>
      <c r="F3667" s="27">
        <v>15</v>
      </c>
      <c r="G3667" s="18">
        <v>140215</v>
      </c>
      <c r="H3667" s="27">
        <f t="shared" si="114"/>
        <v>140215</v>
      </c>
      <c r="I3667" s="18">
        <v>133204.25</v>
      </c>
      <c r="J3667" s="27">
        <v>140215</v>
      </c>
      <c r="K3667" s="18">
        <f t="shared" si="115"/>
        <v>140215</v>
      </c>
      <c r="L3667" s="27">
        <v>133204.25</v>
      </c>
      <c r="M3667" s="36">
        <v>0</v>
      </c>
      <c r="T3667" s="41">
        <v>0</v>
      </c>
      <c r="U3667" s="41">
        <v>0</v>
      </c>
      <c r="V3667" s="42" t="s">
        <v>113</v>
      </c>
      <c r="W3667" s="42">
        <v>140215</v>
      </c>
      <c r="X3667" s="42">
        <v>140215</v>
      </c>
    </row>
    <row r="3668" spans="1:24">
      <c r="A3668" s="27" t="s">
        <v>6743</v>
      </c>
      <c r="B3668" s="28" t="s">
        <v>5102</v>
      </c>
      <c r="C3668" s="27" t="s">
        <v>6744</v>
      </c>
      <c r="D3668" s="27" t="s">
        <v>5104</v>
      </c>
      <c r="E3668" s="29">
        <v>38078</v>
      </c>
      <c r="F3668" s="27">
        <v>15</v>
      </c>
      <c r="G3668" s="18">
        <v>8808.02</v>
      </c>
      <c r="H3668" s="27">
        <f t="shared" si="114"/>
        <v>8808.02</v>
      </c>
      <c r="I3668" s="18">
        <v>8367.6200000000008</v>
      </c>
      <c r="J3668" s="27">
        <v>8808.02</v>
      </c>
      <c r="K3668" s="18">
        <f t="shared" si="115"/>
        <v>8808.02</v>
      </c>
      <c r="L3668" s="27">
        <v>8367.6200000000008</v>
      </c>
      <c r="M3668" s="36">
        <v>0</v>
      </c>
      <c r="T3668" s="41">
        <v>0</v>
      </c>
      <c r="U3668" s="41">
        <v>0</v>
      </c>
      <c r="V3668" s="42" t="s">
        <v>113</v>
      </c>
      <c r="W3668" s="42">
        <v>8808.02</v>
      </c>
      <c r="X3668" s="42">
        <v>8808.02</v>
      </c>
    </row>
    <row r="3669" spans="1:24">
      <c r="A3669" s="27" t="s">
        <v>6745</v>
      </c>
      <c r="B3669" s="28" t="s">
        <v>5102</v>
      </c>
      <c r="C3669" s="27" t="s">
        <v>6744</v>
      </c>
      <c r="D3669" s="27" t="s">
        <v>5104</v>
      </c>
      <c r="E3669" s="29">
        <v>38078</v>
      </c>
      <c r="F3669" s="27">
        <v>15</v>
      </c>
      <c r="G3669" s="18">
        <v>13994.26</v>
      </c>
      <c r="H3669" s="27">
        <f t="shared" si="114"/>
        <v>13994.26</v>
      </c>
      <c r="I3669" s="18">
        <v>13294.55</v>
      </c>
      <c r="J3669" s="27">
        <v>13994.26</v>
      </c>
      <c r="K3669" s="18">
        <f t="shared" si="115"/>
        <v>13994.26</v>
      </c>
      <c r="L3669" s="27">
        <v>13294.55</v>
      </c>
      <c r="M3669" s="36">
        <v>0</v>
      </c>
      <c r="T3669" s="41">
        <v>0</v>
      </c>
      <c r="U3669" s="41">
        <v>0</v>
      </c>
      <c r="V3669" s="42" t="s">
        <v>113</v>
      </c>
      <c r="W3669" s="42">
        <v>13994.26</v>
      </c>
      <c r="X3669" s="42">
        <v>13994.26</v>
      </c>
    </row>
    <row r="3670" spans="1:24">
      <c r="A3670" s="27" t="s">
        <v>6746</v>
      </c>
      <c r="B3670" s="28" t="s">
        <v>5102</v>
      </c>
      <c r="C3670" s="27" t="s">
        <v>6747</v>
      </c>
      <c r="D3670" s="27" t="s">
        <v>5104</v>
      </c>
      <c r="E3670" s="29">
        <v>37226</v>
      </c>
      <c r="F3670" s="27">
        <v>15</v>
      </c>
      <c r="G3670" s="18">
        <v>180263.1</v>
      </c>
      <c r="H3670" s="27">
        <f t="shared" si="114"/>
        <v>180263.1</v>
      </c>
      <c r="I3670" s="18">
        <v>171249.94</v>
      </c>
      <c r="J3670" s="27">
        <v>180263.1</v>
      </c>
      <c r="K3670" s="18">
        <f t="shared" si="115"/>
        <v>180263.1</v>
      </c>
      <c r="L3670" s="27">
        <v>171249.94</v>
      </c>
      <c r="M3670" s="36">
        <v>0</v>
      </c>
      <c r="T3670" s="41">
        <v>0</v>
      </c>
      <c r="U3670" s="41">
        <v>0</v>
      </c>
      <c r="V3670" s="42" t="s">
        <v>113</v>
      </c>
      <c r="W3670" s="42">
        <v>180263.1</v>
      </c>
      <c r="X3670" s="42">
        <v>180263.1</v>
      </c>
    </row>
    <row r="3671" spans="1:24">
      <c r="A3671" s="27" t="s">
        <v>6748</v>
      </c>
      <c r="B3671" s="28" t="s">
        <v>5102</v>
      </c>
      <c r="C3671" s="27" t="s">
        <v>6749</v>
      </c>
      <c r="D3671" s="27" t="s">
        <v>5104</v>
      </c>
      <c r="E3671" s="29">
        <v>38078</v>
      </c>
      <c r="F3671" s="27">
        <v>15</v>
      </c>
      <c r="G3671" s="18">
        <v>22673.69</v>
      </c>
      <c r="H3671" s="27">
        <f t="shared" si="114"/>
        <v>22673.69</v>
      </c>
      <c r="I3671" s="18">
        <v>21540.01</v>
      </c>
      <c r="J3671" s="27">
        <v>22673.69</v>
      </c>
      <c r="K3671" s="18">
        <f t="shared" si="115"/>
        <v>22673.69</v>
      </c>
      <c r="L3671" s="27">
        <v>21540.01</v>
      </c>
      <c r="M3671" s="36">
        <v>0</v>
      </c>
      <c r="T3671" s="41">
        <v>0</v>
      </c>
      <c r="U3671" s="41">
        <v>0</v>
      </c>
      <c r="V3671" s="42" t="s">
        <v>113</v>
      </c>
      <c r="W3671" s="42">
        <v>22673.69</v>
      </c>
      <c r="X3671" s="42">
        <v>22673.69</v>
      </c>
    </row>
    <row r="3672" spans="1:24">
      <c r="A3672" s="27" t="s">
        <v>6750</v>
      </c>
      <c r="B3672" s="28" t="s">
        <v>5102</v>
      </c>
      <c r="C3672" s="27" t="s">
        <v>6751</v>
      </c>
      <c r="D3672" s="27" t="s">
        <v>5104</v>
      </c>
      <c r="E3672" s="29">
        <v>38078</v>
      </c>
      <c r="F3672" s="27">
        <v>15</v>
      </c>
      <c r="G3672" s="18">
        <v>19270.27</v>
      </c>
      <c r="H3672" s="27">
        <f t="shared" si="114"/>
        <v>19270.27</v>
      </c>
      <c r="I3672" s="18">
        <v>18306.759999999998</v>
      </c>
      <c r="J3672" s="27">
        <v>19270.27</v>
      </c>
      <c r="K3672" s="18">
        <f t="shared" si="115"/>
        <v>19270.27</v>
      </c>
      <c r="L3672" s="27">
        <v>18306.759999999998</v>
      </c>
      <c r="M3672" s="36">
        <v>0</v>
      </c>
      <c r="T3672" s="41">
        <v>0</v>
      </c>
      <c r="U3672" s="41">
        <v>0</v>
      </c>
      <c r="V3672" s="42" t="s">
        <v>113</v>
      </c>
      <c r="W3672" s="42">
        <v>19270.27</v>
      </c>
      <c r="X3672" s="42">
        <v>19270.27</v>
      </c>
    </row>
    <row r="3673" spans="1:24">
      <c r="A3673" s="27" t="s">
        <v>6752</v>
      </c>
      <c r="B3673" s="28" t="s">
        <v>5102</v>
      </c>
      <c r="C3673" s="27" t="s">
        <v>6410</v>
      </c>
      <c r="D3673" s="27" t="s">
        <v>5104</v>
      </c>
      <c r="E3673" s="29">
        <v>38078</v>
      </c>
      <c r="F3673" s="27">
        <v>15</v>
      </c>
      <c r="G3673" s="18">
        <v>231129.91</v>
      </c>
      <c r="H3673" s="27">
        <f t="shared" si="114"/>
        <v>231129.91</v>
      </c>
      <c r="I3673" s="18">
        <v>219573.41</v>
      </c>
      <c r="J3673" s="27">
        <v>231129.91</v>
      </c>
      <c r="K3673" s="18">
        <f t="shared" si="115"/>
        <v>231129.91</v>
      </c>
      <c r="L3673" s="27">
        <v>219573.41</v>
      </c>
      <c r="M3673" s="36">
        <v>0</v>
      </c>
      <c r="T3673" s="41">
        <v>0</v>
      </c>
      <c r="U3673" s="41">
        <v>0</v>
      </c>
      <c r="V3673" s="42" t="s">
        <v>113</v>
      </c>
      <c r="W3673" s="42">
        <v>231129.91</v>
      </c>
      <c r="X3673" s="42">
        <v>231129.91</v>
      </c>
    </row>
    <row r="3674" spans="1:24">
      <c r="A3674" s="27" t="s">
        <v>6753</v>
      </c>
      <c r="B3674" s="28" t="s">
        <v>5102</v>
      </c>
      <c r="C3674" s="27" t="s">
        <v>6410</v>
      </c>
      <c r="D3674" s="27" t="s">
        <v>5104</v>
      </c>
      <c r="E3674" s="29">
        <v>38078</v>
      </c>
      <c r="F3674" s="27">
        <v>15</v>
      </c>
      <c r="G3674" s="18">
        <v>32457.78</v>
      </c>
      <c r="H3674" s="27">
        <f t="shared" si="114"/>
        <v>32457.78</v>
      </c>
      <c r="I3674" s="18">
        <v>30834.89</v>
      </c>
      <c r="J3674" s="27">
        <v>32457.78</v>
      </c>
      <c r="K3674" s="18">
        <f t="shared" si="115"/>
        <v>32457.78</v>
      </c>
      <c r="L3674" s="27">
        <v>30834.89</v>
      </c>
      <c r="M3674" s="36">
        <v>0</v>
      </c>
      <c r="T3674" s="41">
        <v>0</v>
      </c>
      <c r="U3674" s="41">
        <v>0</v>
      </c>
      <c r="V3674" s="42" t="s">
        <v>113</v>
      </c>
      <c r="W3674" s="42">
        <v>32457.78</v>
      </c>
      <c r="X3674" s="42">
        <v>32457.78</v>
      </c>
    </row>
    <row r="3675" spans="1:24">
      <c r="A3675" s="27" t="s">
        <v>6754</v>
      </c>
      <c r="B3675" s="28" t="s">
        <v>5102</v>
      </c>
      <c r="C3675" s="27" t="s">
        <v>6755</v>
      </c>
      <c r="D3675" s="27" t="s">
        <v>5104</v>
      </c>
      <c r="E3675" s="29">
        <v>35217</v>
      </c>
      <c r="F3675" s="27">
        <v>15</v>
      </c>
      <c r="G3675" s="18">
        <v>14450</v>
      </c>
      <c r="H3675" s="27">
        <f t="shared" si="114"/>
        <v>14450</v>
      </c>
      <c r="I3675" s="18">
        <v>13727.5</v>
      </c>
      <c r="J3675" s="27">
        <v>14450</v>
      </c>
      <c r="K3675" s="18">
        <f t="shared" si="115"/>
        <v>14450</v>
      </c>
      <c r="L3675" s="27">
        <v>13727.5</v>
      </c>
      <c r="M3675" s="36">
        <v>0</v>
      </c>
      <c r="T3675" s="41">
        <v>0</v>
      </c>
      <c r="U3675" s="41">
        <v>0</v>
      </c>
      <c r="V3675" s="42" t="s">
        <v>113</v>
      </c>
      <c r="W3675" s="42">
        <v>14450</v>
      </c>
      <c r="X3675" s="42">
        <v>14450</v>
      </c>
    </row>
    <row r="3676" spans="1:24">
      <c r="A3676" s="27" t="s">
        <v>6756</v>
      </c>
      <c r="B3676" s="28" t="s">
        <v>5102</v>
      </c>
      <c r="C3676" s="27" t="s">
        <v>6757</v>
      </c>
      <c r="D3676" s="27" t="s">
        <v>5104</v>
      </c>
      <c r="E3676" s="29">
        <v>34912</v>
      </c>
      <c r="F3676" s="27">
        <v>15</v>
      </c>
      <c r="G3676" s="18">
        <v>35650</v>
      </c>
      <c r="H3676" s="27">
        <f t="shared" si="114"/>
        <v>35650</v>
      </c>
      <c r="I3676" s="18">
        <v>33867.5</v>
      </c>
      <c r="J3676" s="27">
        <v>35650</v>
      </c>
      <c r="K3676" s="18">
        <f t="shared" si="115"/>
        <v>35650</v>
      </c>
      <c r="L3676" s="27">
        <v>33867.5</v>
      </c>
      <c r="M3676" s="36">
        <v>0</v>
      </c>
      <c r="T3676" s="41">
        <v>0</v>
      </c>
      <c r="U3676" s="41">
        <v>0</v>
      </c>
      <c r="V3676" s="42" t="s">
        <v>113</v>
      </c>
      <c r="W3676" s="42">
        <v>35650</v>
      </c>
      <c r="X3676" s="42">
        <v>35650</v>
      </c>
    </row>
    <row r="3677" spans="1:24">
      <c r="A3677" s="27" t="s">
        <v>6758</v>
      </c>
      <c r="B3677" s="28" t="s">
        <v>5102</v>
      </c>
      <c r="C3677" s="27" t="s">
        <v>6759</v>
      </c>
      <c r="D3677" s="27" t="s">
        <v>5104</v>
      </c>
      <c r="E3677" s="29">
        <v>35643</v>
      </c>
      <c r="F3677" s="27">
        <v>15</v>
      </c>
      <c r="G3677" s="18">
        <v>62833.33</v>
      </c>
      <c r="H3677" s="27">
        <f t="shared" si="114"/>
        <v>62833.33</v>
      </c>
      <c r="I3677" s="18">
        <v>59691.66</v>
      </c>
      <c r="J3677" s="27">
        <v>62833.33</v>
      </c>
      <c r="K3677" s="18">
        <f t="shared" si="115"/>
        <v>62833.33</v>
      </c>
      <c r="L3677" s="27">
        <v>59691.66</v>
      </c>
      <c r="M3677" s="36">
        <v>0</v>
      </c>
      <c r="T3677" s="41">
        <v>0</v>
      </c>
      <c r="U3677" s="41">
        <v>0</v>
      </c>
      <c r="V3677" s="42" t="s">
        <v>113</v>
      </c>
      <c r="W3677" s="42">
        <v>62833.33</v>
      </c>
      <c r="X3677" s="42">
        <v>62833.33</v>
      </c>
    </row>
    <row r="3678" spans="1:24">
      <c r="A3678" s="27" t="s">
        <v>6760</v>
      </c>
      <c r="B3678" s="28" t="s">
        <v>5102</v>
      </c>
      <c r="C3678" s="27" t="s">
        <v>6761</v>
      </c>
      <c r="D3678" s="27" t="s">
        <v>5104</v>
      </c>
      <c r="E3678" s="29">
        <v>36312</v>
      </c>
      <c r="F3678" s="27">
        <v>15</v>
      </c>
      <c r="G3678" s="18">
        <v>5318.75</v>
      </c>
      <c r="H3678" s="27">
        <f t="shared" si="114"/>
        <v>5318.75</v>
      </c>
      <c r="I3678" s="18">
        <v>5052.8100000000004</v>
      </c>
      <c r="J3678" s="27">
        <v>5318.75</v>
      </c>
      <c r="K3678" s="18">
        <f t="shared" si="115"/>
        <v>5318.75</v>
      </c>
      <c r="L3678" s="27">
        <v>5052.8100000000004</v>
      </c>
      <c r="M3678" s="36">
        <v>0</v>
      </c>
      <c r="T3678" s="41">
        <v>0</v>
      </c>
      <c r="U3678" s="41">
        <v>0</v>
      </c>
      <c r="V3678" s="42" t="s">
        <v>113</v>
      </c>
      <c r="W3678" s="42">
        <v>5318.75</v>
      </c>
      <c r="X3678" s="42">
        <v>5318.75</v>
      </c>
    </row>
    <row r="3679" spans="1:24">
      <c r="A3679" s="27" t="s">
        <v>6762</v>
      </c>
      <c r="B3679" s="28" t="s">
        <v>5102</v>
      </c>
      <c r="C3679" s="27" t="s">
        <v>6763</v>
      </c>
      <c r="D3679" s="27" t="s">
        <v>5104</v>
      </c>
      <c r="E3679" s="29">
        <v>37226</v>
      </c>
      <c r="F3679" s="27">
        <v>15</v>
      </c>
      <c r="G3679" s="18">
        <v>217379.03</v>
      </c>
      <c r="H3679" s="27">
        <f t="shared" si="114"/>
        <v>217379.03</v>
      </c>
      <c r="I3679" s="18">
        <v>206510.07999999999</v>
      </c>
      <c r="J3679" s="27">
        <v>217379.03</v>
      </c>
      <c r="K3679" s="18">
        <f t="shared" si="115"/>
        <v>217379.03</v>
      </c>
      <c r="L3679" s="27">
        <v>206510.07999999999</v>
      </c>
      <c r="M3679" s="36">
        <v>0</v>
      </c>
      <c r="T3679" s="41">
        <v>0</v>
      </c>
      <c r="U3679" s="41">
        <v>0</v>
      </c>
      <c r="V3679" s="42" t="s">
        <v>113</v>
      </c>
      <c r="W3679" s="42">
        <v>217379.03</v>
      </c>
      <c r="X3679" s="42">
        <v>217379.03</v>
      </c>
    </row>
    <row r="3680" spans="1:24">
      <c r="A3680" s="27" t="s">
        <v>6764</v>
      </c>
      <c r="B3680" s="28" t="s">
        <v>5102</v>
      </c>
      <c r="C3680" s="27" t="s">
        <v>6765</v>
      </c>
      <c r="D3680" s="27" t="s">
        <v>5104</v>
      </c>
      <c r="E3680" s="29">
        <v>37773</v>
      </c>
      <c r="F3680" s="27">
        <v>15</v>
      </c>
      <c r="G3680" s="18">
        <v>23414.799999999999</v>
      </c>
      <c r="H3680" s="27">
        <f t="shared" si="114"/>
        <v>23414.799999999999</v>
      </c>
      <c r="I3680" s="18">
        <v>22244.06</v>
      </c>
      <c r="J3680" s="27">
        <v>23414.799999999999</v>
      </c>
      <c r="K3680" s="18">
        <f t="shared" si="115"/>
        <v>23414.799999999999</v>
      </c>
      <c r="L3680" s="27">
        <v>22244.06</v>
      </c>
      <c r="M3680" s="36">
        <v>0</v>
      </c>
      <c r="T3680" s="41">
        <v>0</v>
      </c>
      <c r="U3680" s="41">
        <v>0</v>
      </c>
      <c r="V3680" s="42" t="s">
        <v>113</v>
      </c>
      <c r="W3680" s="42">
        <v>23414.799999999999</v>
      </c>
      <c r="X3680" s="42">
        <v>23414.799999999999</v>
      </c>
    </row>
    <row r="3681" spans="1:24">
      <c r="A3681" s="27" t="s">
        <v>6766</v>
      </c>
      <c r="B3681" s="28" t="s">
        <v>5102</v>
      </c>
      <c r="C3681" s="27" t="s">
        <v>6767</v>
      </c>
      <c r="D3681" s="27" t="s">
        <v>5104</v>
      </c>
      <c r="E3681" s="29">
        <v>36495</v>
      </c>
      <c r="F3681" s="27">
        <v>15</v>
      </c>
      <c r="G3681" s="18">
        <v>18893.09</v>
      </c>
      <c r="H3681" s="27">
        <f t="shared" si="114"/>
        <v>18893.09</v>
      </c>
      <c r="I3681" s="18">
        <v>17948.439999999999</v>
      </c>
      <c r="J3681" s="27">
        <v>18893.09</v>
      </c>
      <c r="K3681" s="18">
        <f t="shared" si="115"/>
        <v>18893.09</v>
      </c>
      <c r="L3681" s="27">
        <v>17948.439999999999</v>
      </c>
      <c r="M3681" s="36">
        <v>0</v>
      </c>
      <c r="T3681" s="41">
        <v>0</v>
      </c>
      <c r="U3681" s="41">
        <v>0</v>
      </c>
      <c r="V3681" s="42" t="s">
        <v>113</v>
      </c>
      <c r="W3681" s="42">
        <v>18893.09</v>
      </c>
      <c r="X3681" s="42">
        <v>18893.09</v>
      </c>
    </row>
    <row r="3682" spans="1:24">
      <c r="A3682" s="27" t="s">
        <v>6768</v>
      </c>
      <c r="B3682" s="28" t="s">
        <v>5102</v>
      </c>
      <c r="C3682" s="27" t="s">
        <v>6769</v>
      </c>
      <c r="D3682" s="27" t="s">
        <v>5104</v>
      </c>
      <c r="E3682" s="29">
        <v>38078</v>
      </c>
      <c r="F3682" s="27">
        <v>15</v>
      </c>
      <c r="G3682" s="18">
        <v>10448.540000000001</v>
      </c>
      <c r="H3682" s="27">
        <f t="shared" si="114"/>
        <v>10448.540000000001</v>
      </c>
      <c r="I3682" s="18">
        <v>9926.11</v>
      </c>
      <c r="J3682" s="27">
        <v>10448.540000000001</v>
      </c>
      <c r="K3682" s="18">
        <f t="shared" si="115"/>
        <v>10448.540000000001</v>
      </c>
      <c r="L3682" s="27">
        <v>9926.11</v>
      </c>
      <c r="M3682" s="36">
        <v>0</v>
      </c>
      <c r="T3682" s="41">
        <v>0</v>
      </c>
      <c r="U3682" s="41">
        <v>0</v>
      </c>
      <c r="V3682" s="42" t="s">
        <v>113</v>
      </c>
      <c r="W3682" s="42">
        <v>10448.540000000001</v>
      </c>
      <c r="X3682" s="42">
        <v>10448.540000000001</v>
      </c>
    </row>
    <row r="3683" spans="1:24">
      <c r="A3683" s="27" t="s">
        <v>6770</v>
      </c>
      <c r="B3683" s="28" t="s">
        <v>5102</v>
      </c>
      <c r="C3683" s="27" t="s">
        <v>6771</v>
      </c>
      <c r="D3683" s="27" t="s">
        <v>5104</v>
      </c>
      <c r="E3683" s="29">
        <v>38078</v>
      </c>
      <c r="F3683" s="27">
        <v>15</v>
      </c>
      <c r="G3683" s="18">
        <v>67538.179999999993</v>
      </c>
      <c r="H3683" s="27">
        <f t="shared" si="114"/>
        <v>67538.179999999993</v>
      </c>
      <c r="I3683" s="18">
        <v>64161.27</v>
      </c>
      <c r="J3683" s="27">
        <v>67538.179999999993</v>
      </c>
      <c r="K3683" s="18">
        <f t="shared" si="115"/>
        <v>67538.179999999993</v>
      </c>
      <c r="L3683" s="27">
        <v>64161.27</v>
      </c>
      <c r="M3683" s="36">
        <v>0</v>
      </c>
      <c r="T3683" s="41">
        <v>0</v>
      </c>
      <c r="U3683" s="41">
        <v>0</v>
      </c>
      <c r="V3683" s="42" t="s">
        <v>113</v>
      </c>
      <c r="W3683" s="42">
        <v>67538.179999999993</v>
      </c>
      <c r="X3683" s="42">
        <v>67538.179999999993</v>
      </c>
    </row>
    <row r="3684" spans="1:24">
      <c r="A3684" s="27" t="s">
        <v>6772</v>
      </c>
      <c r="B3684" s="28" t="s">
        <v>5102</v>
      </c>
      <c r="C3684" s="27" t="s">
        <v>6773</v>
      </c>
      <c r="D3684" s="27" t="s">
        <v>5104</v>
      </c>
      <c r="E3684" s="29">
        <v>38078</v>
      </c>
      <c r="F3684" s="27">
        <v>15</v>
      </c>
      <c r="G3684" s="18">
        <v>18531.64</v>
      </c>
      <c r="H3684" s="27">
        <f t="shared" si="114"/>
        <v>18531.64</v>
      </c>
      <c r="I3684" s="18">
        <v>17605.060000000001</v>
      </c>
      <c r="J3684" s="27">
        <v>18531.64</v>
      </c>
      <c r="K3684" s="18">
        <f t="shared" si="115"/>
        <v>18531.64</v>
      </c>
      <c r="L3684" s="27">
        <v>17605.060000000001</v>
      </c>
      <c r="M3684" s="36">
        <v>0</v>
      </c>
      <c r="T3684" s="41">
        <v>0</v>
      </c>
      <c r="U3684" s="41">
        <v>0</v>
      </c>
      <c r="V3684" s="42" t="s">
        <v>113</v>
      </c>
      <c r="W3684" s="42">
        <v>18531.64</v>
      </c>
      <c r="X3684" s="42">
        <v>18531.64</v>
      </c>
    </row>
    <row r="3685" spans="1:24">
      <c r="A3685" s="27" t="s">
        <v>6774</v>
      </c>
      <c r="B3685" s="28" t="s">
        <v>5102</v>
      </c>
      <c r="C3685" s="27" t="s">
        <v>6775</v>
      </c>
      <c r="D3685" s="27" t="s">
        <v>5104</v>
      </c>
      <c r="E3685" s="29">
        <v>36495</v>
      </c>
      <c r="F3685" s="27">
        <v>15</v>
      </c>
      <c r="G3685" s="18">
        <v>31531.55</v>
      </c>
      <c r="H3685" s="27">
        <f t="shared" si="114"/>
        <v>31531.55</v>
      </c>
      <c r="I3685" s="18">
        <v>29954.97</v>
      </c>
      <c r="J3685" s="27">
        <v>31531.55</v>
      </c>
      <c r="K3685" s="18">
        <f t="shared" si="115"/>
        <v>31531.55</v>
      </c>
      <c r="L3685" s="27">
        <v>29954.97</v>
      </c>
      <c r="M3685" s="36">
        <v>0</v>
      </c>
      <c r="T3685" s="41">
        <v>0</v>
      </c>
      <c r="U3685" s="41">
        <v>0</v>
      </c>
      <c r="V3685" s="42" t="s">
        <v>113</v>
      </c>
      <c r="W3685" s="42">
        <v>31531.55</v>
      </c>
      <c r="X3685" s="42">
        <v>31531.55</v>
      </c>
    </row>
    <row r="3686" spans="1:24">
      <c r="A3686" s="27" t="s">
        <v>6776</v>
      </c>
      <c r="B3686" s="28" t="s">
        <v>5102</v>
      </c>
      <c r="C3686" s="27" t="s">
        <v>6775</v>
      </c>
      <c r="D3686" s="27" t="s">
        <v>5104</v>
      </c>
      <c r="E3686" s="29">
        <v>36495</v>
      </c>
      <c r="F3686" s="27">
        <v>15</v>
      </c>
      <c r="G3686" s="18">
        <v>33412.25</v>
      </c>
      <c r="H3686" s="27">
        <f t="shared" si="114"/>
        <v>33412.25</v>
      </c>
      <c r="I3686" s="18">
        <v>31741.64</v>
      </c>
      <c r="J3686" s="27">
        <v>33412.25</v>
      </c>
      <c r="K3686" s="18">
        <f t="shared" si="115"/>
        <v>33412.25</v>
      </c>
      <c r="L3686" s="27">
        <v>31741.64</v>
      </c>
      <c r="M3686" s="36">
        <v>0</v>
      </c>
      <c r="T3686" s="41">
        <v>0</v>
      </c>
      <c r="U3686" s="41">
        <v>0</v>
      </c>
      <c r="V3686" s="42" t="s">
        <v>113</v>
      </c>
      <c r="W3686" s="42">
        <v>33412.25</v>
      </c>
      <c r="X3686" s="42">
        <v>33412.25</v>
      </c>
    </row>
    <row r="3687" spans="1:24">
      <c r="A3687" s="27" t="s">
        <v>6777</v>
      </c>
      <c r="B3687" s="28" t="s">
        <v>5102</v>
      </c>
      <c r="C3687" s="27" t="s">
        <v>6778</v>
      </c>
      <c r="D3687" s="27" t="s">
        <v>5104</v>
      </c>
      <c r="E3687" s="29">
        <v>39417</v>
      </c>
      <c r="F3687" s="27">
        <v>15</v>
      </c>
      <c r="G3687" s="18">
        <v>16486.599999999999</v>
      </c>
      <c r="H3687" s="27">
        <f t="shared" si="114"/>
        <v>0</v>
      </c>
      <c r="I3687" s="18">
        <v>13436.02</v>
      </c>
      <c r="J3687" s="27">
        <v>16486.599999999999</v>
      </c>
      <c r="K3687" s="18">
        <f t="shared" si="115"/>
        <v>0</v>
      </c>
      <c r="L3687" s="27">
        <v>13992.58</v>
      </c>
      <c r="M3687" s="36">
        <v>556.55999999999995</v>
      </c>
      <c r="T3687" s="41">
        <v>0</v>
      </c>
      <c r="U3687" s="41">
        <v>0</v>
      </c>
      <c r="V3687" s="42" t="s">
        <v>113</v>
      </c>
      <c r="W3687" s="42">
        <v>0</v>
      </c>
      <c r="X3687" s="42">
        <v>0</v>
      </c>
    </row>
    <row r="3688" spans="1:24">
      <c r="A3688" s="27" t="s">
        <v>6779</v>
      </c>
      <c r="B3688" s="28" t="s">
        <v>5102</v>
      </c>
      <c r="C3688" s="27" t="s">
        <v>6780</v>
      </c>
      <c r="D3688" s="27" t="s">
        <v>5104</v>
      </c>
      <c r="E3688" s="29">
        <v>38078</v>
      </c>
      <c r="F3688" s="27">
        <v>15</v>
      </c>
      <c r="G3688" s="18">
        <v>21404.99</v>
      </c>
      <c r="H3688" s="27">
        <f t="shared" si="114"/>
        <v>21404.99</v>
      </c>
      <c r="I3688" s="18">
        <v>20334.740000000002</v>
      </c>
      <c r="J3688" s="27">
        <v>21404.99</v>
      </c>
      <c r="K3688" s="18">
        <f t="shared" si="115"/>
        <v>21404.99</v>
      </c>
      <c r="L3688" s="27">
        <v>20334.740000000002</v>
      </c>
      <c r="M3688" s="36">
        <v>0</v>
      </c>
      <c r="T3688" s="41">
        <v>0</v>
      </c>
      <c r="U3688" s="41">
        <v>0</v>
      </c>
      <c r="V3688" s="42" t="s">
        <v>113</v>
      </c>
      <c r="W3688" s="42">
        <v>21404.99</v>
      </c>
      <c r="X3688" s="42">
        <v>21404.99</v>
      </c>
    </row>
    <row r="3689" spans="1:24">
      <c r="A3689" s="27" t="s">
        <v>6781</v>
      </c>
      <c r="B3689" s="28" t="s">
        <v>5102</v>
      </c>
      <c r="C3689" s="27" t="s">
        <v>6775</v>
      </c>
      <c r="D3689" s="27" t="s">
        <v>5104</v>
      </c>
      <c r="E3689" s="29">
        <v>36495</v>
      </c>
      <c r="F3689" s="27">
        <v>15</v>
      </c>
      <c r="G3689" s="18">
        <v>32875.57</v>
      </c>
      <c r="H3689" s="27">
        <f t="shared" si="114"/>
        <v>32875.57</v>
      </c>
      <c r="I3689" s="18">
        <v>31231.79</v>
      </c>
      <c r="J3689" s="27">
        <v>32875.57</v>
      </c>
      <c r="K3689" s="18">
        <f t="shared" si="115"/>
        <v>32875.57</v>
      </c>
      <c r="L3689" s="27">
        <v>31231.79</v>
      </c>
      <c r="M3689" s="36">
        <v>0</v>
      </c>
      <c r="T3689" s="41">
        <v>0</v>
      </c>
      <c r="U3689" s="41">
        <v>0</v>
      </c>
      <c r="V3689" s="42" t="s">
        <v>113</v>
      </c>
      <c r="W3689" s="42">
        <v>32875.57</v>
      </c>
      <c r="X3689" s="42">
        <v>32875.57</v>
      </c>
    </row>
    <row r="3690" spans="1:24">
      <c r="A3690" s="27" t="s">
        <v>6782</v>
      </c>
      <c r="B3690" s="28" t="s">
        <v>5102</v>
      </c>
      <c r="C3690" s="27" t="s">
        <v>6775</v>
      </c>
      <c r="D3690" s="27" t="s">
        <v>5104</v>
      </c>
      <c r="E3690" s="29">
        <v>36495</v>
      </c>
      <c r="F3690" s="27">
        <v>15</v>
      </c>
      <c r="G3690" s="18">
        <v>30768.13</v>
      </c>
      <c r="H3690" s="27">
        <f t="shared" si="114"/>
        <v>30768.13</v>
      </c>
      <c r="I3690" s="18">
        <v>29229.72</v>
      </c>
      <c r="J3690" s="27">
        <v>30768.13</v>
      </c>
      <c r="K3690" s="18">
        <f t="shared" si="115"/>
        <v>30768.13</v>
      </c>
      <c r="L3690" s="27">
        <v>29229.72</v>
      </c>
      <c r="M3690" s="36">
        <v>0</v>
      </c>
      <c r="T3690" s="41">
        <v>0</v>
      </c>
      <c r="U3690" s="41">
        <v>0</v>
      </c>
      <c r="V3690" s="42" t="s">
        <v>113</v>
      </c>
      <c r="W3690" s="42">
        <v>30768.13</v>
      </c>
      <c r="X3690" s="42">
        <v>30768.13</v>
      </c>
    </row>
    <row r="3691" spans="1:24">
      <c r="A3691" s="27" t="s">
        <v>6783</v>
      </c>
      <c r="B3691" s="28" t="s">
        <v>5102</v>
      </c>
      <c r="C3691" s="27" t="s">
        <v>6784</v>
      </c>
      <c r="D3691" s="27" t="s">
        <v>5104</v>
      </c>
      <c r="E3691" s="29">
        <v>38078</v>
      </c>
      <c r="F3691" s="27">
        <v>15</v>
      </c>
      <c r="G3691" s="18">
        <v>21452.7</v>
      </c>
      <c r="H3691" s="27">
        <f t="shared" si="114"/>
        <v>21452.7</v>
      </c>
      <c r="I3691" s="18">
        <v>20380.060000000001</v>
      </c>
      <c r="J3691" s="27">
        <v>21452.7</v>
      </c>
      <c r="K3691" s="18">
        <f t="shared" si="115"/>
        <v>21452.7</v>
      </c>
      <c r="L3691" s="27">
        <v>20380.060000000001</v>
      </c>
      <c r="M3691" s="36">
        <v>0</v>
      </c>
      <c r="T3691" s="41">
        <v>0</v>
      </c>
      <c r="U3691" s="41">
        <v>0</v>
      </c>
      <c r="V3691" s="42" t="s">
        <v>113</v>
      </c>
      <c r="W3691" s="42">
        <v>21452.7</v>
      </c>
      <c r="X3691" s="42">
        <v>21452.7</v>
      </c>
    </row>
    <row r="3692" spans="1:24">
      <c r="A3692" s="27" t="s">
        <v>6785</v>
      </c>
      <c r="B3692" s="28" t="s">
        <v>5102</v>
      </c>
      <c r="C3692" s="27" t="s">
        <v>6784</v>
      </c>
      <c r="D3692" s="27" t="s">
        <v>5104</v>
      </c>
      <c r="E3692" s="29">
        <v>38078</v>
      </c>
      <c r="F3692" s="27">
        <v>15</v>
      </c>
      <c r="G3692" s="18">
        <v>10027.69</v>
      </c>
      <c r="H3692" s="27">
        <f t="shared" si="114"/>
        <v>10027.69</v>
      </c>
      <c r="I3692" s="18">
        <v>9526.31</v>
      </c>
      <c r="J3692" s="27">
        <v>10027.69</v>
      </c>
      <c r="K3692" s="18">
        <f t="shared" si="115"/>
        <v>10027.69</v>
      </c>
      <c r="L3692" s="27">
        <v>9526.31</v>
      </c>
      <c r="M3692" s="36">
        <v>0</v>
      </c>
      <c r="T3692" s="41">
        <v>0</v>
      </c>
      <c r="U3692" s="41">
        <v>0</v>
      </c>
      <c r="V3692" s="42" t="s">
        <v>113</v>
      </c>
      <c r="W3692" s="42">
        <v>10027.69</v>
      </c>
      <c r="X3692" s="42">
        <v>10027.69</v>
      </c>
    </row>
    <row r="3693" spans="1:24">
      <c r="A3693" s="27" t="s">
        <v>6786</v>
      </c>
      <c r="B3693" s="28" t="s">
        <v>5102</v>
      </c>
      <c r="C3693" s="27" t="s">
        <v>6784</v>
      </c>
      <c r="D3693" s="27" t="s">
        <v>5104</v>
      </c>
      <c r="E3693" s="29">
        <v>38078</v>
      </c>
      <c r="F3693" s="27">
        <v>15</v>
      </c>
      <c r="G3693" s="18">
        <v>35104.19</v>
      </c>
      <c r="H3693" s="27">
        <f t="shared" si="114"/>
        <v>35104.19</v>
      </c>
      <c r="I3693" s="18">
        <v>33348.980000000003</v>
      </c>
      <c r="J3693" s="27">
        <v>35104.19</v>
      </c>
      <c r="K3693" s="18">
        <f t="shared" si="115"/>
        <v>35104.19</v>
      </c>
      <c r="L3693" s="27">
        <v>33348.980000000003</v>
      </c>
      <c r="M3693" s="36">
        <v>0</v>
      </c>
      <c r="T3693" s="41">
        <v>0</v>
      </c>
      <c r="U3693" s="41">
        <v>0</v>
      </c>
      <c r="V3693" s="42" t="s">
        <v>113</v>
      </c>
      <c r="W3693" s="42">
        <v>35104.19</v>
      </c>
      <c r="X3693" s="42">
        <v>35104.19</v>
      </c>
    </row>
    <row r="3694" spans="1:24">
      <c r="A3694" s="27" t="s">
        <v>6787</v>
      </c>
      <c r="B3694" s="28" t="s">
        <v>5102</v>
      </c>
      <c r="C3694" s="27" t="s">
        <v>6788</v>
      </c>
      <c r="D3694" s="27" t="s">
        <v>5104</v>
      </c>
      <c r="E3694" s="29">
        <v>39417</v>
      </c>
      <c r="F3694" s="27">
        <v>15</v>
      </c>
      <c r="G3694" s="18">
        <v>10775.77</v>
      </c>
      <c r="H3694" s="27">
        <f t="shared" si="114"/>
        <v>0</v>
      </c>
      <c r="I3694" s="18">
        <v>9412.4599999999991</v>
      </c>
      <c r="J3694" s="27">
        <v>10775.77</v>
      </c>
      <c r="K3694" s="18">
        <f t="shared" si="115"/>
        <v>0</v>
      </c>
      <c r="L3694" s="27">
        <v>9618.59</v>
      </c>
      <c r="M3694" s="36">
        <v>206.13</v>
      </c>
      <c r="T3694" s="41">
        <v>0</v>
      </c>
      <c r="U3694" s="41">
        <v>0</v>
      </c>
      <c r="V3694" s="42" t="s">
        <v>113</v>
      </c>
      <c r="W3694" s="42">
        <v>0</v>
      </c>
      <c r="X3694" s="42">
        <v>0</v>
      </c>
    </row>
    <row r="3695" spans="1:24">
      <c r="A3695" s="27" t="s">
        <v>6789</v>
      </c>
      <c r="B3695" s="28" t="s">
        <v>5102</v>
      </c>
      <c r="C3695" s="27" t="s">
        <v>6790</v>
      </c>
      <c r="D3695" s="27" t="s">
        <v>5104</v>
      </c>
      <c r="E3695" s="29">
        <v>38078</v>
      </c>
      <c r="F3695" s="27">
        <v>15</v>
      </c>
      <c r="G3695" s="18">
        <v>41808.660000000003</v>
      </c>
      <c r="H3695" s="27">
        <f t="shared" si="114"/>
        <v>41808.660000000003</v>
      </c>
      <c r="I3695" s="18">
        <v>39718.230000000003</v>
      </c>
      <c r="J3695" s="27">
        <v>41808.660000000003</v>
      </c>
      <c r="K3695" s="18">
        <f t="shared" si="115"/>
        <v>41808.660000000003</v>
      </c>
      <c r="L3695" s="27">
        <v>39718.230000000003</v>
      </c>
      <c r="M3695" s="36">
        <v>0</v>
      </c>
      <c r="T3695" s="41">
        <v>0</v>
      </c>
      <c r="U3695" s="41">
        <v>0</v>
      </c>
      <c r="V3695" s="42" t="s">
        <v>113</v>
      </c>
      <c r="W3695" s="42">
        <v>41808.660000000003</v>
      </c>
      <c r="X3695" s="42">
        <v>41808.660000000003</v>
      </c>
    </row>
    <row r="3696" spans="1:24">
      <c r="A3696" s="27" t="s">
        <v>6791</v>
      </c>
      <c r="B3696" s="28" t="s">
        <v>5102</v>
      </c>
      <c r="C3696" s="27" t="s">
        <v>6792</v>
      </c>
      <c r="D3696" s="27" t="s">
        <v>5104</v>
      </c>
      <c r="E3696" s="29">
        <v>39417</v>
      </c>
      <c r="F3696" s="27">
        <v>15</v>
      </c>
      <c r="G3696" s="18">
        <v>12584.05</v>
      </c>
      <c r="H3696" s="27">
        <f t="shared" si="114"/>
        <v>0</v>
      </c>
      <c r="I3696" s="18">
        <v>10757.85</v>
      </c>
      <c r="J3696" s="27">
        <v>12584.05</v>
      </c>
      <c r="K3696" s="18">
        <f t="shared" si="115"/>
        <v>0</v>
      </c>
      <c r="L3696" s="27">
        <v>11057.1</v>
      </c>
      <c r="M3696" s="36">
        <v>299.25</v>
      </c>
      <c r="T3696" s="41">
        <v>0</v>
      </c>
      <c r="U3696" s="41">
        <v>0</v>
      </c>
      <c r="V3696" s="42" t="s">
        <v>113</v>
      </c>
      <c r="W3696" s="42">
        <v>0</v>
      </c>
      <c r="X3696" s="42">
        <v>0</v>
      </c>
    </row>
    <row r="3697" spans="1:24">
      <c r="A3697" s="27" t="s">
        <v>6793</v>
      </c>
      <c r="B3697" s="28" t="s">
        <v>5102</v>
      </c>
      <c r="C3697" s="27" t="s">
        <v>6794</v>
      </c>
      <c r="D3697" s="27" t="s">
        <v>5104</v>
      </c>
      <c r="E3697" s="29">
        <v>39417</v>
      </c>
      <c r="F3697" s="27">
        <v>15</v>
      </c>
      <c r="G3697" s="18">
        <v>14211.09</v>
      </c>
      <c r="H3697" s="27">
        <f t="shared" si="114"/>
        <v>0</v>
      </c>
      <c r="I3697" s="18">
        <v>12120.63</v>
      </c>
      <c r="J3697" s="27">
        <v>14211.09</v>
      </c>
      <c r="K3697" s="18">
        <f t="shared" si="115"/>
        <v>0</v>
      </c>
      <c r="L3697" s="27">
        <v>12465.61</v>
      </c>
      <c r="M3697" s="36">
        <v>344.98</v>
      </c>
      <c r="T3697" s="41">
        <v>0</v>
      </c>
      <c r="U3697" s="41">
        <v>0</v>
      </c>
      <c r="V3697" s="42" t="s">
        <v>113</v>
      </c>
      <c r="W3697" s="42">
        <v>0</v>
      </c>
      <c r="X3697" s="42">
        <v>0</v>
      </c>
    </row>
    <row r="3698" spans="1:24">
      <c r="A3698" s="27" t="s">
        <v>6795</v>
      </c>
      <c r="B3698" s="28" t="s">
        <v>5102</v>
      </c>
      <c r="C3698" s="27" t="s">
        <v>6796</v>
      </c>
      <c r="D3698" s="27" t="s">
        <v>5104</v>
      </c>
      <c r="E3698" s="29">
        <v>39417</v>
      </c>
      <c r="F3698" s="27">
        <v>15</v>
      </c>
      <c r="G3698" s="18">
        <v>8221.82</v>
      </c>
      <c r="H3698" s="27">
        <f t="shared" si="114"/>
        <v>0</v>
      </c>
      <c r="I3698" s="18">
        <v>7012.39</v>
      </c>
      <c r="J3698" s="27">
        <v>8221.82</v>
      </c>
      <c r="K3698" s="18">
        <f t="shared" si="115"/>
        <v>0</v>
      </c>
      <c r="L3698" s="27">
        <v>7211.98</v>
      </c>
      <c r="M3698" s="36">
        <v>199.59</v>
      </c>
      <c r="T3698" s="41">
        <v>0</v>
      </c>
      <c r="U3698" s="41">
        <v>0</v>
      </c>
      <c r="V3698" s="42" t="s">
        <v>113</v>
      </c>
      <c r="W3698" s="42">
        <v>0</v>
      </c>
      <c r="X3698" s="42">
        <v>0</v>
      </c>
    </row>
    <row r="3699" spans="1:24">
      <c r="A3699" s="27" t="s">
        <v>6797</v>
      </c>
      <c r="B3699" s="28" t="s">
        <v>5102</v>
      </c>
      <c r="C3699" s="27" t="s">
        <v>6798</v>
      </c>
      <c r="D3699" s="27" t="s">
        <v>5104</v>
      </c>
      <c r="E3699" s="29">
        <v>39417</v>
      </c>
      <c r="F3699" s="27">
        <v>15</v>
      </c>
      <c r="G3699" s="18">
        <v>16325.58</v>
      </c>
      <c r="H3699" s="27">
        <f t="shared" si="114"/>
        <v>0</v>
      </c>
      <c r="I3699" s="18">
        <v>13924.07</v>
      </c>
      <c r="J3699" s="27">
        <v>16325.58</v>
      </c>
      <c r="K3699" s="18">
        <f t="shared" si="115"/>
        <v>0</v>
      </c>
      <c r="L3699" s="27">
        <v>14320.38</v>
      </c>
      <c r="M3699" s="36">
        <v>396.31</v>
      </c>
      <c r="T3699" s="41">
        <v>0</v>
      </c>
      <c r="U3699" s="41">
        <v>0</v>
      </c>
      <c r="V3699" s="42" t="s">
        <v>113</v>
      </c>
      <c r="W3699" s="42">
        <v>0</v>
      </c>
      <c r="X3699" s="42">
        <v>0</v>
      </c>
    </row>
    <row r="3700" spans="1:24">
      <c r="A3700" s="27" t="s">
        <v>6799</v>
      </c>
      <c r="B3700" s="28" t="s">
        <v>5102</v>
      </c>
      <c r="C3700" s="27" t="s">
        <v>6800</v>
      </c>
      <c r="D3700" s="27" t="s">
        <v>5104</v>
      </c>
      <c r="E3700" s="29">
        <v>36495</v>
      </c>
      <c r="F3700" s="27">
        <v>15</v>
      </c>
      <c r="G3700" s="18">
        <v>16766.22</v>
      </c>
      <c r="H3700" s="27">
        <f t="shared" si="114"/>
        <v>16766.22</v>
      </c>
      <c r="I3700" s="18">
        <v>15927.91</v>
      </c>
      <c r="J3700" s="27">
        <v>16766.22</v>
      </c>
      <c r="K3700" s="18">
        <f t="shared" si="115"/>
        <v>16766.22</v>
      </c>
      <c r="L3700" s="27">
        <v>15927.91</v>
      </c>
      <c r="M3700" s="36">
        <v>0</v>
      </c>
      <c r="T3700" s="41">
        <v>0</v>
      </c>
      <c r="U3700" s="41">
        <v>0</v>
      </c>
      <c r="V3700" s="42" t="s">
        <v>113</v>
      </c>
      <c r="W3700" s="42">
        <v>16766.22</v>
      </c>
      <c r="X3700" s="42">
        <v>16766.22</v>
      </c>
    </row>
    <row r="3701" spans="1:24">
      <c r="A3701" s="27" t="s">
        <v>6801</v>
      </c>
      <c r="B3701" s="28" t="s">
        <v>5102</v>
      </c>
      <c r="C3701" s="27" t="s">
        <v>6802</v>
      </c>
      <c r="D3701" s="27" t="s">
        <v>5104</v>
      </c>
      <c r="E3701" s="29">
        <v>38078</v>
      </c>
      <c r="F3701" s="27">
        <v>15</v>
      </c>
      <c r="G3701" s="18">
        <v>19475.689999999999</v>
      </c>
      <c r="H3701" s="27">
        <f t="shared" si="114"/>
        <v>19475.689999999999</v>
      </c>
      <c r="I3701" s="18">
        <v>18501.91</v>
      </c>
      <c r="J3701" s="27">
        <v>19475.689999999999</v>
      </c>
      <c r="K3701" s="18">
        <f t="shared" si="115"/>
        <v>19475.689999999999</v>
      </c>
      <c r="L3701" s="27">
        <v>18501.91</v>
      </c>
      <c r="M3701" s="36">
        <v>0</v>
      </c>
      <c r="T3701" s="41">
        <v>0</v>
      </c>
      <c r="U3701" s="41">
        <v>0</v>
      </c>
      <c r="V3701" s="42" t="s">
        <v>113</v>
      </c>
      <c r="W3701" s="42">
        <v>19475.689999999999</v>
      </c>
      <c r="X3701" s="42">
        <v>19475.689999999999</v>
      </c>
    </row>
    <row r="3702" spans="1:24">
      <c r="A3702" s="27" t="s">
        <v>6803</v>
      </c>
      <c r="B3702" s="28" t="s">
        <v>5102</v>
      </c>
      <c r="C3702" s="27" t="s">
        <v>6775</v>
      </c>
      <c r="D3702" s="27" t="s">
        <v>5104</v>
      </c>
      <c r="E3702" s="29">
        <v>36495</v>
      </c>
      <c r="F3702" s="27">
        <v>15</v>
      </c>
      <c r="G3702" s="18">
        <v>32972.99</v>
      </c>
      <c r="H3702" s="27">
        <f t="shared" si="114"/>
        <v>32972.99</v>
      </c>
      <c r="I3702" s="18">
        <v>31324.34</v>
      </c>
      <c r="J3702" s="27">
        <v>32972.99</v>
      </c>
      <c r="K3702" s="18">
        <f t="shared" si="115"/>
        <v>32972.99</v>
      </c>
      <c r="L3702" s="27">
        <v>31324.34</v>
      </c>
      <c r="M3702" s="36">
        <v>0</v>
      </c>
      <c r="T3702" s="41">
        <v>0</v>
      </c>
      <c r="U3702" s="41">
        <v>0</v>
      </c>
      <c r="V3702" s="42" t="s">
        <v>113</v>
      </c>
      <c r="W3702" s="42">
        <v>32972.99</v>
      </c>
      <c r="X3702" s="42">
        <v>32972.99</v>
      </c>
    </row>
    <row r="3703" spans="1:24">
      <c r="A3703" s="27" t="s">
        <v>6804</v>
      </c>
      <c r="B3703" s="28" t="s">
        <v>5102</v>
      </c>
      <c r="C3703" s="27" t="s">
        <v>6775</v>
      </c>
      <c r="D3703" s="27" t="s">
        <v>5104</v>
      </c>
      <c r="E3703" s="29">
        <v>36495</v>
      </c>
      <c r="F3703" s="27">
        <v>15</v>
      </c>
      <c r="G3703" s="18">
        <v>33171.870000000003</v>
      </c>
      <c r="H3703" s="27">
        <f t="shared" si="114"/>
        <v>33171.870000000003</v>
      </c>
      <c r="I3703" s="18">
        <v>31513.279999999999</v>
      </c>
      <c r="J3703" s="27">
        <v>33171.870000000003</v>
      </c>
      <c r="K3703" s="18">
        <f t="shared" si="115"/>
        <v>33171.870000000003</v>
      </c>
      <c r="L3703" s="27">
        <v>31513.279999999999</v>
      </c>
      <c r="M3703" s="36">
        <v>0</v>
      </c>
      <c r="T3703" s="41">
        <v>0</v>
      </c>
      <c r="U3703" s="41">
        <v>0</v>
      </c>
      <c r="V3703" s="42" t="s">
        <v>113</v>
      </c>
      <c r="W3703" s="42">
        <v>33171.870000000003</v>
      </c>
      <c r="X3703" s="42">
        <v>33171.870000000003</v>
      </c>
    </row>
    <row r="3704" spans="1:24">
      <c r="A3704" s="27" t="s">
        <v>6805</v>
      </c>
      <c r="B3704" s="28" t="s">
        <v>5102</v>
      </c>
      <c r="C3704" s="27" t="s">
        <v>6800</v>
      </c>
      <c r="D3704" s="27" t="s">
        <v>5104</v>
      </c>
      <c r="E3704" s="29">
        <v>36495</v>
      </c>
      <c r="F3704" s="27">
        <v>15</v>
      </c>
      <c r="G3704" s="18">
        <v>25495.51</v>
      </c>
      <c r="H3704" s="27">
        <f t="shared" si="114"/>
        <v>25495.51</v>
      </c>
      <c r="I3704" s="18">
        <v>24220.73</v>
      </c>
      <c r="J3704" s="27">
        <v>25495.51</v>
      </c>
      <c r="K3704" s="18">
        <f t="shared" si="115"/>
        <v>25495.51</v>
      </c>
      <c r="L3704" s="27">
        <v>24220.73</v>
      </c>
      <c r="M3704" s="36">
        <v>0</v>
      </c>
      <c r="T3704" s="41">
        <v>0</v>
      </c>
      <c r="U3704" s="41">
        <v>0</v>
      </c>
      <c r="V3704" s="42" t="s">
        <v>113</v>
      </c>
      <c r="W3704" s="42">
        <v>25495.51</v>
      </c>
      <c r="X3704" s="42">
        <v>25495.51</v>
      </c>
    </row>
    <row r="3705" spans="1:24">
      <c r="A3705" s="27" t="s">
        <v>6806</v>
      </c>
      <c r="B3705" s="28" t="s">
        <v>5102</v>
      </c>
      <c r="C3705" s="27" t="s">
        <v>6800</v>
      </c>
      <c r="D3705" s="27" t="s">
        <v>5104</v>
      </c>
      <c r="E3705" s="29">
        <v>36495</v>
      </c>
      <c r="F3705" s="27">
        <v>15</v>
      </c>
      <c r="G3705" s="18">
        <v>11956.6</v>
      </c>
      <c r="H3705" s="27">
        <f t="shared" si="114"/>
        <v>11956.6</v>
      </c>
      <c r="I3705" s="18">
        <v>11358.77</v>
      </c>
      <c r="J3705" s="27">
        <v>11956.6</v>
      </c>
      <c r="K3705" s="18">
        <f t="shared" si="115"/>
        <v>11956.6</v>
      </c>
      <c r="L3705" s="27">
        <v>11358.77</v>
      </c>
      <c r="M3705" s="36">
        <v>0</v>
      </c>
      <c r="T3705" s="41">
        <v>0</v>
      </c>
      <c r="U3705" s="41">
        <v>0</v>
      </c>
      <c r="V3705" s="42" t="s">
        <v>113</v>
      </c>
      <c r="W3705" s="42">
        <v>11956.6</v>
      </c>
      <c r="X3705" s="42">
        <v>11956.6</v>
      </c>
    </row>
    <row r="3706" spans="1:24">
      <c r="A3706" s="27" t="s">
        <v>6807</v>
      </c>
      <c r="B3706" s="28" t="s">
        <v>5102</v>
      </c>
      <c r="C3706" s="27" t="s">
        <v>6808</v>
      </c>
      <c r="D3706" s="27" t="s">
        <v>230</v>
      </c>
      <c r="E3706" s="29">
        <v>36495</v>
      </c>
      <c r="F3706" s="27">
        <v>15</v>
      </c>
      <c r="G3706" s="18">
        <v>1295589.19</v>
      </c>
      <c r="H3706" s="27">
        <f t="shared" si="114"/>
        <v>1295589.19</v>
      </c>
      <c r="I3706" s="18">
        <v>1230809.73</v>
      </c>
      <c r="J3706" s="27">
        <v>1295589.19</v>
      </c>
      <c r="K3706" s="18">
        <f t="shared" si="115"/>
        <v>1295589.19</v>
      </c>
      <c r="L3706" s="27">
        <v>1230809.73</v>
      </c>
      <c r="M3706" s="36">
        <v>0</v>
      </c>
      <c r="T3706" s="41">
        <v>0</v>
      </c>
      <c r="U3706" s="41">
        <v>0</v>
      </c>
      <c r="V3706" s="42" t="s">
        <v>113</v>
      </c>
      <c r="W3706" s="42">
        <v>1295589.19</v>
      </c>
      <c r="X3706" s="42">
        <v>1295589.19</v>
      </c>
    </row>
    <row r="3707" spans="1:24">
      <c r="A3707" s="27" t="s">
        <v>6809</v>
      </c>
      <c r="B3707" s="28" t="s">
        <v>5102</v>
      </c>
      <c r="C3707" s="27" t="s">
        <v>6810</v>
      </c>
      <c r="D3707" s="27" t="s">
        <v>5104</v>
      </c>
      <c r="E3707" s="29">
        <v>38078</v>
      </c>
      <c r="F3707" s="27">
        <v>15</v>
      </c>
      <c r="G3707" s="18">
        <v>15048.79</v>
      </c>
      <c r="H3707" s="27">
        <f t="shared" si="114"/>
        <v>15048.79</v>
      </c>
      <c r="I3707" s="18">
        <v>14296.35</v>
      </c>
      <c r="J3707" s="27">
        <v>15048.79</v>
      </c>
      <c r="K3707" s="18">
        <f t="shared" si="115"/>
        <v>15048.79</v>
      </c>
      <c r="L3707" s="27">
        <v>14296.35</v>
      </c>
      <c r="M3707" s="36">
        <v>0</v>
      </c>
      <c r="T3707" s="41">
        <v>0</v>
      </c>
      <c r="U3707" s="41">
        <v>0</v>
      </c>
      <c r="V3707" s="42" t="s">
        <v>113</v>
      </c>
      <c r="W3707" s="42">
        <v>15048.79</v>
      </c>
      <c r="X3707" s="42">
        <v>15048.79</v>
      </c>
    </row>
    <row r="3708" spans="1:24">
      <c r="A3708" s="27" t="s">
        <v>6811</v>
      </c>
      <c r="B3708" s="28" t="s">
        <v>5102</v>
      </c>
      <c r="C3708" s="27" t="s">
        <v>6810</v>
      </c>
      <c r="D3708" s="27" t="s">
        <v>5104</v>
      </c>
      <c r="E3708" s="29">
        <v>38078</v>
      </c>
      <c r="F3708" s="27">
        <v>15</v>
      </c>
      <c r="G3708" s="18">
        <v>10985.48</v>
      </c>
      <c r="H3708" s="27">
        <f t="shared" si="114"/>
        <v>10985.48</v>
      </c>
      <c r="I3708" s="18">
        <v>10436.209999999999</v>
      </c>
      <c r="J3708" s="27">
        <v>10985.48</v>
      </c>
      <c r="K3708" s="18">
        <f t="shared" si="115"/>
        <v>10985.48</v>
      </c>
      <c r="L3708" s="27">
        <v>10436.209999999999</v>
      </c>
      <c r="M3708" s="36">
        <v>0</v>
      </c>
      <c r="T3708" s="41">
        <v>0</v>
      </c>
      <c r="U3708" s="41">
        <v>0</v>
      </c>
      <c r="V3708" s="42" t="s">
        <v>113</v>
      </c>
      <c r="W3708" s="42">
        <v>10985.48</v>
      </c>
      <c r="X3708" s="42">
        <v>10985.48</v>
      </c>
    </row>
    <row r="3709" spans="1:24">
      <c r="A3709" s="27" t="s">
        <v>6812</v>
      </c>
      <c r="B3709" s="28" t="s">
        <v>5102</v>
      </c>
      <c r="C3709" s="27" t="s">
        <v>6813</v>
      </c>
      <c r="D3709" s="27" t="s">
        <v>5104</v>
      </c>
      <c r="E3709" s="29">
        <v>36495</v>
      </c>
      <c r="F3709" s="27">
        <v>15</v>
      </c>
      <c r="G3709" s="18">
        <v>36056.39</v>
      </c>
      <c r="H3709" s="27">
        <f t="shared" si="114"/>
        <v>36056.39</v>
      </c>
      <c r="I3709" s="18">
        <v>34253.57</v>
      </c>
      <c r="J3709" s="27">
        <v>36056.39</v>
      </c>
      <c r="K3709" s="18">
        <f t="shared" si="115"/>
        <v>36056.39</v>
      </c>
      <c r="L3709" s="27">
        <v>34253.57</v>
      </c>
      <c r="M3709" s="36">
        <v>0</v>
      </c>
      <c r="T3709" s="41">
        <v>0</v>
      </c>
      <c r="U3709" s="41">
        <v>0</v>
      </c>
      <c r="V3709" s="42" t="s">
        <v>113</v>
      </c>
      <c r="W3709" s="42">
        <v>36056.39</v>
      </c>
      <c r="X3709" s="42">
        <v>36056.39</v>
      </c>
    </row>
    <row r="3710" spans="1:24">
      <c r="A3710" s="27" t="s">
        <v>6814</v>
      </c>
      <c r="B3710" s="28" t="s">
        <v>5102</v>
      </c>
      <c r="C3710" s="27" t="s">
        <v>6775</v>
      </c>
      <c r="D3710" s="27" t="s">
        <v>5104</v>
      </c>
      <c r="E3710" s="29">
        <v>36495</v>
      </c>
      <c r="F3710" s="27">
        <v>15</v>
      </c>
      <c r="G3710" s="18">
        <v>22108.11</v>
      </c>
      <c r="H3710" s="27">
        <f t="shared" si="114"/>
        <v>22108.11</v>
      </c>
      <c r="I3710" s="18">
        <v>21002.7</v>
      </c>
      <c r="J3710" s="27">
        <v>22108.11</v>
      </c>
      <c r="K3710" s="18">
        <f t="shared" si="115"/>
        <v>22108.11</v>
      </c>
      <c r="L3710" s="27">
        <v>21002.7</v>
      </c>
      <c r="M3710" s="36">
        <v>0</v>
      </c>
      <c r="T3710" s="41">
        <v>0</v>
      </c>
      <c r="U3710" s="41">
        <v>0</v>
      </c>
      <c r="V3710" s="42" t="s">
        <v>113</v>
      </c>
      <c r="W3710" s="42">
        <v>22108.11</v>
      </c>
      <c r="X3710" s="42">
        <v>22108.11</v>
      </c>
    </row>
    <row r="3711" spans="1:24">
      <c r="A3711" s="27" t="s">
        <v>6815</v>
      </c>
      <c r="B3711" s="28" t="s">
        <v>5102</v>
      </c>
      <c r="C3711" s="27" t="s">
        <v>6775</v>
      </c>
      <c r="D3711" s="27" t="s">
        <v>5104</v>
      </c>
      <c r="E3711" s="29">
        <v>36495</v>
      </c>
      <c r="F3711" s="27">
        <v>15</v>
      </c>
      <c r="G3711" s="18">
        <v>28099.95</v>
      </c>
      <c r="H3711" s="27">
        <f t="shared" si="114"/>
        <v>28099.95</v>
      </c>
      <c r="I3711" s="18">
        <v>26694.95</v>
      </c>
      <c r="J3711" s="27">
        <v>28099.95</v>
      </c>
      <c r="K3711" s="18">
        <f t="shared" si="115"/>
        <v>28099.95</v>
      </c>
      <c r="L3711" s="27">
        <v>26694.95</v>
      </c>
      <c r="M3711" s="36">
        <v>0</v>
      </c>
      <c r="T3711" s="41">
        <v>0</v>
      </c>
      <c r="U3711" s="41">
        <v>0</v>
      </c>
      <c r="V3711" s="42" t="s">
        <v>113</v>
      </c>
      <c r="W3711" s="42">
        <v>28099.95</v>
      </c>
      <c r="X3711" s="42">
        <v>28099.95</v>
      </c>
    </row>
    <row r="3712" spans="1:24">
      <c r="A3712" s="27" t="s">
        <v>6816</v>
      </c>
      <c r="B3712" s="28" t="s">
        <v>5102</v>
      </c>
      <c r="C3712" s="27" t="s">
        <v>6817</v>
      </c>
      <c r="D3712" s="27" t="s">
        <v>5104</v>
      </c>
      <c r="E3712" s="29">
        <v>38078</v>
      </c>
      <c r="F3712" s="27">
        <v>15</v>
      </c>
      <c r="G3712" s="18">
        <v>6065.96</v>
      </c>
      <c r="H3712" s="27">
        <f t="shared" si="114"/>
        <v>6065.96</v>
      </c>
      <c r="I3712" s="18">
        <v>5762.66</v>
      </c>
      <c r="J3712" s="27">
        <v>6065.96</v>
      </c>
      <c r="K3712" s="18">
        <f t="shared" si="115"/>
        <v>6065.96</v>
      </c>
      <c r="L3712" s="27">
        <v>5762.66</v>
      </c>
      <c r="M3712" s="36">
        <v>0</v>
      </c>
      <c r="T3712" s="41">
        <v>0</v>
      </c>
      <c r="U3712" s="41">
        <v>0</v>
      </c>
      <c r="V3712" s="42" t="s">
        <v>113</v>
      </c>
      <c r="W3712" s="42">
        <v>6065.96</v>
      </c>
      <c r="X3712" s="42">
        <v>6065.96</v>
      </c>
    </row>
    <row r="3713" spans="1:24">
      <c r="A3713" s="27" t="s">
        <v>6818</v>
      </c>
      <c r="B3713" s="28" t="s">
        <v>5102</v>
      </c>
      <c r="C3713" s="27" t="s">
        <v>6817</v>
      </c>
      <c r="D3713" s="27" t="s">
        <v>5104</v>
      </c>
      <c r="E3713" s="29">
        <v>38078</v>
      </c>
      <c r="F3713" s="27">
        <v>15</v>
      </c>
      <c r="G3713" s="18">
        <v>14352.23</v>
      </c>
      <c r="H3713" s="27">
        <f t="shared" si="114"/>
        <v>14352.23</v>
      </c>
      <c r="I3713" s="18">
        <v>13634.62</v>
      </c>
      <c r="J3713" s="27">
        <v>14352.23</v>
      </c>
      <c r="K3713" s="18">
        <f t="shared" si="115"/>
        <v>14352.23</v>
      </c>
      <c r="L3713" s="27">
        <v>13634.62</v>
      </c>
      <c r="M3713" s="36">
        <v>0</v>
      </c>
      <c r="T3713" s="41">
        <v>0</v>
      </c>
      <c r="U3713" s="41">
        <v>0</v>
      </c>
      <c r="V3713" s="42" t="s">
        <v>113</v>
      </c>
      <c r="W3713" s="42">
        <v>14352.23</v>
      </c>
      <c r="X3713" s="42">
        <v>14352.23</v>
      </c>
    </row>
    <row r="3714" spans="1:24">
      <c r="A3714" s="27" t="s">
        <v>6819</v>
      </c>
      <c r="B3714" s="28" t="s">
        <v>5102</v>
      </c>
      <c r="C3714" s="27" t="s">
        <v>6820</v>
      </c>
      <c r="D3714" s="27" t="s">
        <v>230</v>
      </c>
      <c r="E3714" s="29">
        <v>35704</v>
      </c>
      <c r="F3714" s="27">
        <v>15</v>
      </c>
      <c r="G3714" s="18">
        <v>59098.33</v>
      </c>
      <c r="H3714" s="27">
        <f t="shared" si="114"/>
        <v>59098.33</v>
      </c>
      <c r="I3714" s="18">
        <v>56143.41</v>
      </c>
      <c r="J3714" s="27">
        <v>59098.33</v>
      </c>
      <c r="K3714" s="18">
        <f t="shared" si="115"/>
        <v>59098.33</v>
      </c>
      <c r="L3714" s="27">
        <v>56143.41</v>
      </c>
      <c r="M3714" s="36">
        <v>0</v>
      </c>
      <c r="T3714" s="41">
        <v>0</v>
      </c>
      <c r="U3714" s="41">
        <v>0</v>
      </c>
      <c r="V3714" s="42" t="s">
        <v>113</v>
      </c>
      <c r="W3714" s="42">
        <v>59098.33</v>
      </c>
      <c r="X3714" s="42">
        <v>59098.33</v>
      </c>
    </row>
    <row r="3715" spans="1:24">
      <c r="A3715" s="27" t="s">
        <v>6821</v>
      </c>
      <c r="B3715" s="28" t="s">
        <v>5102</v>
      </c>
      <c r="C3715" s="27" t="s">
        <v>6822</v>
      </c>
      <c r="D3715" s="27" t="s">
        <v>230</v>
      </c>
      <c r="E3715" s="29">
        <v>39417</v>
      </c>
      <c r="F3715" s="27">
        <v>15</v>
      </c>
      <c r="G3715" s="18">
        <v>457755.9</v>
      </c>
      <c r="H3715" s="27">
        <f t="shared" si="114"/>
        <v>0</v>
      </c>
      <c r="I3715" s="18">
        <v>375267.4</v>
      </c>
      <c r="J3715" s="27">
        <v>457755.9</v>
      </c>
      <c r="K3715" s="18">
        <f t="shared" si="115"/>
        <v>0</v>
      </c>
      <c r="L3715" s="27">
        <v>390167.58</v>
      </c>
      <c r="M3715" s="36">
        <v>14900.18</v>
      </c>
      <c r="T3715" s="41">
        <v>0</v>
      </c>
      <c r="U3715" s="41">
        <v>0</v>
      </c>
      <c r="V3715" s="42" t="s">
        <v>113</v>
      </c>
      <c r="W3715" s="42">
        <v>0</v>
      </c>
      <c r="X3715" s="42">
        <v>0</v>
      </c>
    </row>
    <row r="3716" spans="1:24">
      <c r="A3716" s="27" t="s">
        <v>6823</v>
      </c>
      <c r="B3716" s="28" t="s">
        <v>5102</v>
      </c>
      <c r="C3716" s="27" t="s">
        <v>6824</v>
      </c>
      <c r="D3716" s="27" t="s">
        <v>5104</v>
      </c>
      <c r="E3716" s="29">
        <v>39417</v>
      </c>
      <c r="F3716" s="27">
        <v>15</v>
      </c>
      <c r="G3716" s="18">
        <v>29800</v>
      </c>
      <c r="H3716" s="27">
        <f t="shared" si="114"/>
        <v>29800</v>
      </c>
      <c r="I3716" s="18">
        <v>28310</v>
      </c>
      <c r="J3716" s="27">
        <v>29800</v>
      </c>
      <c r="K3716" s="18">
        <f t="shared" si="115"/>
        <v>29800</v>
      </c>
      <c r="L3716" s="27">
        <v>28310</v>
      </c>
      <c r="M3716" s="36">
        <v>0</v>
      </c>
      <c r="T3716" s="41">
        <v>0</v>
      </c>
      <c r="U3716" s="41">
        <v>0</v>
      </c>
      <c r="V3716" s="42" t="s">
        <v>113</v>
      </c>
      <c r="W3716" s="42">
        <v>29800</v>
      </c>
      <c r="X3716" s="42">
        <v>29800</v>
      </c>
    </row>
    <row r="3717" spans="1:24">
      <c r="A3717" s="27" t="s">
        <v>6825</v>
      </c>
      <c r="B3717" s="28" t="s">
        <v>5102</v>
      </c>
      <c r="C3717" s="27" t="s">
        <v>6824</v>
      </c>
      <c r="D3717" s="27" t="s">
        <v>5104</v>
      </c>
      <c r="E3717" s="29">
        <v>39417</v>
      </c>
      <c r="F3717" s="27">
        <v>15</v>
      </c>
      <c r="G3717" s="18">
        <v>7400</v>
      </c>
      <c r="H3717" s="27">
        <f t="shared" si="114"/>
        <v>7400</v>
      </c>
      <c r="I3717" s="18">
        <v>7030</v>
      </c>
      <c r="J3717" s="27">
        <v>7400</v>
      </c>
      <c r="K3717" s="18">
        <f t="shared" si="115"/>
        <v>7400</v>
      </c>
      <c r="L3717" s="27">
        <v>7030</v>
      </c>
      <c r="M3717" s="36">
        <v>0</v>
      </c>
      <c r="T3717" s="41">
        <v>0</v>
      </c>
      <c r="U3717" s="41">
        <v>0</v>
      </c>
      <c r="V3717" s="42" t="s">
        <v>113</v>
      </c>
      <c r="W3717" s="42">
        <v>7400</v>
      </c>
      <c r="X3717" s="42">
        <v>7400</v>
      </c>
    </row>
    <row r="3718" spans="1:24">
      <c r="A3718" s="27" t="s">
        <v>6826</v>
      </c>
      <c r="B3718" s="28" t="s">
        <v>5102</v>
      </c>
      <c r="C3718" s="27" t="s">
        <v>6827</v>
      </c>
      <c r="D3718" s="27" t="s">
        <v>230</v>
      </c>
      <c r="E3718" s="29">
        <v>37226</v>
      </c>
      <c r="F3718" s="27">
        <v>15</v>
      </c>
      <c r="G3718" s="18">
        <v>2343348.37</v>
      </c>
      <c r="H3718" s="27">
        <f t="shared" ref="H3718:H3781" si="116">IFERROR(IF(ROUND((G3718-I3718)/G3718,2)&lt;=0.05,G3718,0),0)</f>
        <v>0</v>
      </c>
      <c r="I3718" s="18">
        <v>1530136.97</v>
      </c>
      <c r="J3718" s="27">
        <v>1884809.68</v>
      </c>
      <c r="K3718" s="18">
        <f t="shared" ref="K3718:K3781" si="117">IFERROR(IF(ROUND((J3718-L3718)/J3718,2)&lt;=0.05,J3718,0),0)</f>
        <v>0</v>
      </c>
      <c r="L3718" s="27">
        <v>1629571.82</v>
      </c>
      <c r="M3718" s="36">
        <v>99434.85</v>
      </c>
      <c r="N3718" s="18" t="s">
        <v>123</v>
      </c>
      <c r="O3718" s="19">
        <v>-458538.69</v>
      </c>
      <c r="T3718" s="41">
        <v>0</v>
      </c>
      <c r="U3718" s="41">
        <v>0</v>
      </c>
      <c r="V3718" s="42" t="s">
        <v>124</v>
      </c>
      <c r="W3718" s="42">
        <v>1884809.68</v>
      </c>
      <c r="X3718" s="42">
        <v>1884809.68</v>
      </c>
    </row>
    <row r="3719" spans="1:24">
      <c r="A3719" s="27" t="s">
        <v>6828</v>
      </c>
      <c r="B3719" s="28" t="s">
        <v>5102</v>
      </c>
      <c r="C3719" s="27" t="s">
        <v>6829</v>
      </c>
      <c r="D3719" s="27" t="s">
        <v>5104</v>
      </c>
      <c r="E3719" s="29">
        <v>37226</v>
      </c>
      <c r="F3719" s="27">
        <v>15</v>
      </c>
      <c r="G3719" s="18">
        <v>74060.800000000003</v>
      </c>
      <c r="H3719" s="27">
        <f t="shared" si="116"/>
        <v>74060.800000000003</v>
      </c>
      <c r="I3719" s="18">
        <v>70357.759999999995</v>
      </c>
      <c r="J3719" s="27">
        <v>74060.800000000003</v>
      </c>
      <c r="K3719" s="18">
        <f t="shared" si="117"/>
        <v>74060.800000000003</v>
      </c>
      <c r="L3719" s="27">
        <v>70357.759999999995</v>
      </c>
      <c r="M3719" s="36">
        <v>0</v>
      </c>
      <c r="T3719" s="41">
        <v>0</v>
      </c>
      <c r="U3719" s="41">
        <v>0</v>
      </c>
      <c r="V3719" s="42" t="s">
        <v>113</v>
      </c>
      <c r="W3719" s="42">
        <v>74060.800000000003</v>
      </c>
      <c r="X3719" s="42">
        <v>74060.800000000003</v>
      </c>
    </row>
    <row r="3720" spans="1:24">
      <c r="A3720" s="27" t="s">
        <v>6830</v>
      </c>
      <c r="B3720" s="28" t="s">
        <v>5102</v>
      </c>
      <c r="C3720" s="27" t="s">
        <v>6831</v>
      </c>
      <c r="D3720" s="27" t="s">
        <v>5104</v>
      </c>
      <c r="E3720" s="29">
        <v>37257</v>
      </c>
      <c r="F3720" s="27">
        <v>15</v>
      </c>
      <c r="G3720" s="18">
        <v>5042.54</v>
      </c>
      <c r="H3720" s="27">
        <f t="shared" si="116"/>
        <v>5042.54</v>
      </c>
      <c r="I3720" s="18">
        <v>4790.41</v>
      </c>
      <c r="J3720" s="27">
        <v>5042.54</v>
      </c>
      <c r="K3720" s="18">
        <f t="shared" si="117"/>
        <v>5042.54</v>
      </c>
      <c r="L3720" s="27">
        <v>4790.41</v>
      </c>
      <c r="M3720" s="36">
        <v>0</v>
      </c>
      <c r="T3720" s="41">
        <v>0</v>
      </c>
      <c r="U3720" s="41">
        <v>0</v>
      </c>
      <c r="V3720" s="42" t="s">
        <v>113</v>
      </c>
      <c r="W3720" s="42">
        <v>5042.54</v>
      </c>
      <c r="X3720" s="42">
        <v>5042.54</v>
      </c>
    </row>
    <row r="3721" spans="1:24">
      <c r="A3721" s="27" t="s">
        <v>6832</v>
      </c>
      <c r="B3721" s="28" t="s">
        <v>5102</v>
      </c>
      <c r="C3721" s="27" t="s">
        <v>6833</v>
      </c>
      <c r="D3721" s="27" t="s">
        <v>5104</v>
      </c>
      <c r="E3721" s="29">
        <v>35796</v>
      </c>
      <c r="F3721" s="27">
        <v>15</v>
      </c>
      <c r="G3721" s="18">
        <v>27241.64</v>
      </c>
      <c r="H3721" s="27">
        <f t="shared" si="116"/>
        <v>27241.64</v>
      </c>
      <c r="I3721" s="18">
        <v>25879.56</v>
      </c>
      <c r="J3721" s="27">
        <v>27241.64</v>
      </c>
      <c r="K3721" s="18">
        <f t="shared" si="117"/>
        <v>27241.64</v>
      </c>
      <c r="L3721" s="27">
        <v>25879.56</v>
      </c>
      <c r="M3721" s="36">
        <v>0</v>
      </c>
      <c r="T3721" s="41">
        <v>0</v>
      </c>
      <c r="U3721" s="41">
        <v>0</v>
      </c>
      <c r="V3721" s="42" t="s">
        <v>113</v>
      </c>
      <c r="W3721" s="42">
        <v>27241.64</v>
      </c>
      <c r="X3721" s="42">
        <v>27241.64</v>
      </c>
    </row>
    <row r="3722" spans="1:24">
      <c r="A3722" s="27" t="s">
        <v>6834</v>
      </c>
      <c r="B3722" s="28" t="s">
        <v>5102</v>
      </c>
      <c r="C3722" s="27" t="s">
        <v>6835</v>
      </c>
      <c r="D3722" s="27" t="s">
        <v>5104</v>
      </c>
      <c r="E3722" s="29">
        <v>36526</v>
      </c>
      <c r="F3722" s="27">
        <v>15</v>
      </c>
      <c r="G3722" s="18">
        <v>16617.46</v>
      </c>
      <c r="H3722" s="27">
        <f t="shared" si="116"/>
        <v>16617.46</v>
      </c>
      <c r="I3722" s="18">
        <v>15786.59</v>
      </c>
      <c r="J3722" s="27">
        <v>16617.46</v>
      </c>
      <c r="K3722" s="18">
        <f t="shared" si="117"/>
        <v>16617.46</v>
      </c>
      <c r="L3722" s="27">
        <v>15786.59</v>
      </c>
      <c r="M3722" s="36">
        <v>0</v>
      </c>
      <c r="T3722" s="41">
        <v>0</v>
      </c>
      <c r="U3722" s="41">
        <v>0</v>
      </c>
      <c r="V3722" s="42" t="s">
        <v>113</v>
      </c>
      <c r="W3722" s="42">
        <v>16617.46</v>
      </c>
      <c r="X3722" s="42">
        <v>16617.46</v>
      </c>
    </row>
    <row r="3723" spans="1:24">
      <c r="A3723" s="27" t="s">
        <v>6836</v>
      </c>
      <c r="B3723" s="28" t="s">
        <v>5102</v>
      </c>
      <c r="C3723" s="27" t="s">
        <v>6837</v>
      </c>
      <c r="D3723" s="27" t="s">
        <v>5104</v>
      </c>
      <c r="E3723" s="29">
        <v>37226</v>
      </c>
      <c r="F3723" s="27">
        <v>15</v>
      </c>
      <c r="G3723" s="18">
        <v>653128.81000000006</v>
      </c>
      <c r="H3723" s="27">
        <f t="shared" si="116"/>
        <v>653128.81000000006</v>
      </c>
      <c r="I3723" s="18">
        <v>620472.37</v>
      </c>
      <c r="J3723" s="27">
        <v>653128.81000000006</v>
      </c>
      <c r="K3723" s="18">
        <f t="shared" si="117"/>
        <v>653128.81000000006</v>
      </c>
      <c r="L3723" s="27">
        <v>620472.37</v>
      </c>
      <c r="M3723" s="36">
        <v>0</v>
      </c>
      <c r="T3723" s="41">
        <v>0</v>
      </c>
      <c r="U3723" s="41">
        <v>0</v>
      </c>
      <c r="V3723" s="42" t="s">
        <v>113</v>
      </c>
      <c r="W3723" s="42">
        <v>653128.81000000006</v>
      </c>
      <c r="X3723" s="42">
        <v>653128.81000000006</v>
      </c>
    </row>
    <row r="3724" spans="1:24">
      <c r="A3724" s="27" t="s">
        <v>6838</v>
      </c>
      <c r="B3724" s="28" t="s">
        <v>5102</v>
      </c>
      <c r="C3724" s="27" t="s">
        <v>6839</v>
      </c>
      <c r="D3724" s="27" t="s">
        <v>5104</v>
      </c>
      <c r="E3724" s="29">
        <v>37773</v>
      </c>
      <c r="F3724" s="27">
        <v>15</v>
      </c>
      <c r="G3724" s="18">
        <v>145910.56</v>
      </c>
      <c r="H3724" s="27">
        <f t="shared" si="116"/>
        <v>145910.56</v>
      </c>
      <c r="I3724" s="18">
        <v>138615.03</v>
      </c>
      <c r="J3724" s="27">
        <v>145910.56</v>
      </c>
      <c r="K3724" s="18">
        <f t="shared" si="117"/>
        <v>145910.56</v>
      </c>
      <c r="L3724" s="27">
        <v>138615.03</v>
      </c>
      <c r="M3724" s="36">
        <v>0</v>
      </c>
      <c r="T3724" s="41">
        <v>0</v>
      </c>
      <c r="U3724" s="41">
        <v>0</v>
      </c>
      <c r="V3724" s="42" t="s">
        <v>113</v>
      </c>
      <c r="W3724" s="42">
        <v>145910.56</v>
      </c>
      <c r="X3724" s="42">
        <v>145910.56</v>
      </c>
    </row>
    <row r="3725" spans="1:24">
      <c r="A3725" s="27" t="s">
        <v>6840</v>
      </c>
      <c r="B3725" s="28" t="s">
        <v>5102</v>
      </c>
      <c r="C3725" s="27" t="s">
        <v>6841</v>
      </c>
      <c r="D3725" s="27" t="s">
        <v>5104</v>
      </c>
      <c r="E3725" s="29">
        <v>35431</v>
      </c>
      <c r="F3725" s="27">
        <v>15</v>
      </c>
      <c r="G3725" s="18">
        <v>35088.82</v>
      </c>
      <c r="H3725" s="27">
        <f t="shared" si="116"/>
        <v>35088.82</v>
      </c>
      <c r="I3725" s="18">
        <v>33334.379999999997</v>
      </c>
      <c r="J3725" s="27">
        <v>35088.82</v>
      </c>
      <c r="K3725" s="18">
        <f t="shared" si="117"/>
        <v>35088.82</v>
      </c>
      <c r="L3725" s="27">
        <v>33334.379999999997</v>
      </c>
      <c r="M3725" s="36">
        <v>0</v>
      </c>
      <c r="T3725" s="41">
        <v>0</v>
      </c>
      <c r="U3725" s="41">
        <v>0</v>
      </c>
      <c r="V3725" s="42" t="s">
        <v>113</v>
      </c>
      <c r="W3725" s="42">
        <v>35088.82</v>
      </c>
      <c r="X3725" s="42">
        <v>35088.82</v>
      </c>
    </row>
    <row r="3726" spans="1:24">
      <c r="A3726" s="27" t="s">
        <v>6842</v>
      </c>
      <c r="B3726" s="28" t="s">
        <v>5102</v>
      </c>
      <c r="C3726" s="27" t="s">
        <v>6843</v>
      </c>
      <c r="D3726" s="27" t="s">
        <v>5104</v>
      </c>
      <c r="E3726" s="29">
        <v>35431</v>
      </c>
      <c r="F3726" s="27">
        <v>15</v>
      </c>
      <c r="G3726" s="18">
        <v>77977.240000000005</v>
      </c>
      <c r="H3726" s="27">
        <f t="shared" si="116"/>
        <v>77977.240000000005</v>
      </c>
      <c r="I3726" s="18">
        <v>74078.38</v>
      </c>
      <c r="J3726" s="27">
        <v>77977.240000000005</v>
      </c>
      <c r="K3726" s="18">
        <f t="shared" si="117"/>
        <v>77977.240000000005</v>
      </c>
      <c r="L3726" s="27">
        <v>74078.38</v>
      </c>
      <c r="M3726" s="36">
        <v>0</v>
      </c>
      <c r="T3726" s="41">
        <v>0</v>
      </c>
      <c r="U3726" s="41">
        <v>0</v>
      </c>
      <c r="V3726" s="42" t="s">
        <v>113</v>
      </c>
      <c r="W3726" s="42">
        <v>77977.240000000005</v>
      </c>
      <c r="X3726" s="42">
        <v>77977.240000000005</v>
      </c>
    </row>
    <row r="3727" spans="1:24">
      <c r="A3727" s="27" t="s">
        <v>6844</v>
      </c>
      <c r="B3727" s="28" t="s">
        <v>5102</v>
      </c>
      <c r="C3727" s="27" t="s">
        <v>6845</v>
      </c>
      <c r="D3727" s="27" t="s">
        <v>5104</v>
      </c>
      <c r="E3727" s="29">
        <v>38078</v>
      </c>
      <c r="F3727" s="27">
        <v>15</v>
      </c>
      <c r="G3727" s="18">
        <v>45521.54</v>
      </c>
      <c r="H3727" s="27">
        <f t="shared" si="116"/>
        <v>45521.54</v>
      </c>
      <c r="I3727" s="18">
        <v>43245.46</v>
      </c>
      <c r="J3727" s="27">
        <v>45521.54</v>
      </c>
      <c r="K3727" s="18">
        <f t="shared" si="117"/>
        <v>45521.54</v>
      </c>
      <c r="L3727" s="27">
        <v>43245.46</v>
      </c>
      <c r="M3727" s="36">
        <v>0</v>
      </c>
      <c r="T3727" s="41">
        <v>0</v>
      </c>
      <c r="U3727" s="41">
        <v>0</v>
      </c>
      <c r="V3727" s="42" t="s">
        <v>113</v>
      </c>
      <c r="W3727" s="42">
        <v>45521.54</v>
      </c>
      <c r="X3727" s="42">
        <v>45521.54</v>
      </c>
    </row>
    <row r="3728" spans="1:24">
      <c r="A3728" s="27" t="s">
        <v>6846</v>
      </c>
      <c r="B3728" s="28" t="s">
        <v>5102</v>
      </c>
      <c r="C3728" s="27" t="s">
        <v>6845</v>
      </c>
      <c r="D3728" s="27" t="s">
        <v>5104</v>
      </c>
      <c r="E3728" s="29">
        <v>38078</v>
      </c>
      <c r="F3728" s="27">
        <v>15</v>
      </c>
      <c r="G3728" s="18">
        <v>70931.39</v>
      </c>
      <c r="H3728" s="27">
        <f t="shared" si="116"/>
        <v>70931.39</v>
      </c>
      <c r="I3728" s="18">
        <v>67384.820000000007</v>
      </c>
      <c r="J3728" s="27">
        <v>70931.39</v>
      </c>
      <c r="K3728" s="18">
        <f t="shared" si="117"/>
        <v>70931.39</v>
      </c>
      <c r="L3728" s="27">
        <v>67384.820000000007</v>
      </c>
      <c r="M3728" s="36">
        <v>0</v>
      </c>
      <c r="T3728" s="41">
        <v>0</v>
      </c>
      <c r="U3728" s="41">
        <v>0</v>
      </c>
      <c r="V3728" s="42" t="s">
        <v>113</v>
      </c>
      <c r="W3728" s="42">
        <v>70931.39</v>
      </c>
      <c r="X3728" s="42">
        <v>70931.39</v>
      </c>
    </row>
    <row r="3729" spans="1:24">
      <c r="A3729" s="27" t="s">
        <v>6847</v>
      </c>
      <c r="B3729" s="28" t="s">
        <v>5102</v>
      </c>
      <c r="C3729" s="27" t="s">
        <v>6848</v>
      </c>
      <c r="D3729" s="27" t="s">
        <v>5104</v>
      </c>
      <c r="E3729" s="29">
        <v>38078</v>
      </c>
      <c r="F3729" s="27">
        <v>15</v>
      </c>
      <c r="G3729" s="18">
        <v>61193.54</v>
      </c>
      <c r="H3729" s="27">
        <f t="shared" si="116"/>
        <v>61193.54</v>
      </c>
      <c r="I3729" s="18">
        <v>58133.86</v>
      </c>
      <c r="J3729" s="27">
        <v>61193.54</v>
      </c>
      <c r="K3729" s="18">
        <f t="shared" si="117"/>
        <v>61193.54</v>
      </c>
      <c r="L3729" s="27">
        <v>58133.86</v>
      </c>
      <c r="M3729" s="36">
        <v>0</v>
      </c>
      <c r="T3729" s="41">
        <v>0</v>
      </c>
      <c r="U3729" s="41">
        <v>0</v>
      </c>
      <c r="V3729" s="42" t="s">
        <v>113</v>
      </c>
      <c r="W3729" s="42">
        <v>61193.54</v>
      </c>
      <c r="X3729" s="42">
        <v>61193.54</v>
      </c>
    </row>
    <row r="3730" spans="1:24">
      <c r="A3730" s="27" t="s">
        <v>6849</v>
      </c>
      <c r="B3730" s="28" t="s">
        <v>5102</v>
      </c>
      <c r="C3730" s="27" t="s">
        <v>6850</v>
      </c>
      <c r="D3730" s="27" t="s">
        <v>230</v>
      </c>
      <c r="E3730" s="29">
        <v>38078</v>
      </c>
      <c r="F3730" s="27">
        <v>15</v>
      </c>
      <c r="G3730" s="18">
        <v>50305.95</v>
      </c>
      <c r="H3730" s="27">
        <f t="shared" si="116"/>
        <v>50305.95</v>
      </c>
      <c r="I3730" s="18">
        <v>47790.65</v>
      </c>
      <c r="J3730" s="27">
        <v>50305.95</v>
      </c>
      <c r="K3730" s="18">
        <f t="shared" si="117"/>
        <v>50305.95</v>
      </c>
      <c r="L3730" s="27">
        <v>47790.65</v>
      </c>
      <c r="M3730" s="36">
        <v>0</v>
      </c>
      <c r="T3730" s="41">
        <v>0</v>
      </c>
      <c r="U3730" s="41">
        <v>0</v>
      </c>
      <c r="V3730" s="42" t="s">
        <v>113</v>
      </c>
      <c r="W3730" s="42">
        <v>50305.95</v>
      </c>
      <c r="X3730" s="42">
        <v>50305.95</v>
      </c>
    </row>
    <row r="3731" spans="1:24">
      <c r="A3731" s="27" t="s">
        <v>6851</v>
      </c>
      <c r="B3731" s="28" t="s">
        <v>5102</v>
      </c>
      <c r="C3731" s="27" t="s">
        <v>6852</v>
      </c>
      <c r="D3731" s="27" t="s">
        <v>5104</v>
      </c>
      <c r="E3731" s="29">
        <v>37226</v>
      </c>
      <c r="F3731" s="27">
        <v>15</v>
      </c>
      <c r="G3731" s="18">
        <v>2339959.12</v>
      </c>
      <c r="H3731" s="27">
        <f t="shared" si="116"/>
        <v>0</v>
      </c>
      <c r="I3731" s="18">
        <v>2142124.96</v>
      </c>
      <c r="J3731" s="27">
        <v>2339959.12</v>
      </c>
      <c r="K3731" s="18">
        <f t="shared" si="117"/>
        <v>0</v>
      </c>
      <c r="L3731" s="27">
        <v>2162334.0099999998</v>
      </c>
      <c r="M3731" s="36">
        <v>20209.05</v>
      </c>
      <c r="T3731" s="41">
        <v>0</v>
      </c>
      <c r="U3731" s="41">
        <v>0</v>
      </c>
      <c r="V3731" s="42" t="s">
        <v>124</v>
      </c>
      <c r="W3731" s="42">
        <v>2339959.12</v>
      </c>
      <c r="X3731" s="42">
        <v>2339959.12</v>
      </c>
    </row>
    <row r="3732" spans="1:24">
      <c r="A3732" s="27" t="s">
        <v>6853</v>
      </c>
      <c r="B3732" s="28" t="s">
        <v>5102</v>
      </c>
      <c r="C3732" s="27" t="s">
        <v>6854</v>
      </c>
      <c r="D3732" s="27" t="s">
        <v>5104</v>
      </c>
      <c r="E3732" s="29">
        <v>37226</v>
      </c>
      <c r="F3732" s="27">
        <v>15</v>
      </c>
      <c r="G3732" s="18">
        <v>66615.83</v>
      </c>
      <c r="H3732" s="27">
        <f t="shared" si="116"/>
        <v>66615.83</v>
      </c>
      <c r="I3732" s="18">
        <v>63285.04</v>
      </c>
      <c r="J3732" s="27">
        <v>66615.83</v>
      </c>
      <c r="K3732" s="18">
        <f t="shared" si="117"/>
        <v>66615.83</v>
      </c>
      <c r="L3732" s="27">
        <v>63285.04</v>
      </c>
      <c r="M3732" s="36">
        <v>0</v>
      </c>
      <c r="T3732" s="41">
        <v>0</v>
      </c>
      <c r="U3732" s="41">
        <v>0</v>
      </c>
      <c r="V3732" s="42" t="s">
        <v>113</v>
      </c>
      <c r="W3732" s="42">
        <v>66615.83</v>
      </c>
      <c r="X3732" s="42">
        <v>66615.83</v>
      </c>
    </row>
    <row r="3733" spans="1:24">
      <c r="A3733" s="27" t="s">
        <v>6855</v>
      </c>
      <c r="B3733" s="28" t="s">
        <v>5102</v>
      </c>
      <c r="C3733" s="27" t="s">
        <v>6856</v>
      </c>
      <c r="D3733" s="27" t="s">
        <v>5104</v>
      </c>
      <c r="E3733" s="29">
        <v>38078</v>
      </c>
      <c r="F3733" s="27">
        <v>15</v>
      </c>
      <c r="G3733" s="18">
        <v>123881.60000000001</v>
      </c>
      <c r="H3733" s="27">
        <f t="shared" si="116"/>
        <v>123881.60000000001</v>
      </c>
      <c r="I3733" s="18">
        <v>117687.52</v>
      </c>
      <c r="J3733" s="27">
        <v>123881.60000000001</v>
      </c>
      <c r="K3733" s="18">
        <f t="shared" si="117"/>
        <v>123881.60000000001</v>
      </c>
      <c r="L3733" s="27">
        <v>117687.52</v>
      </c>
      <c r="M3733" s="36">
        <v>0</v>
      </c>
      <c r="T3733" s="41">
        <v>0</v>
      </c>
      <c r="U3733" s="41">
        <v>0</v>
      </c>
      <c r="V3733" s="42" t="s">
        <v>113</v>
      </c>
      <c r="W3733" s="42">
        <v>123881.60000000001</v>
      </c>
      <c r="X3733" s="42">
        <v>123881.60000000001</v>
      </c>
    </row>
    <row r="3734" spans="1:24">
      <c r="A3734" s="27" t="s">
        <v>6857</v>
      </c>
      <c r="B3734" s="28" t="s">
        <v>5102</v>
      </c>
      <c r="C3734" s="27" t="s">
        <v>6856</v>
      </c>
      <c r="D3734" s="27" t="s">
        <v>5104</v>
      </c>
      <c r="E3734" s="29">
        <v>38078</v>
      </c>
      <c r="F3734" s="27">
        <v>15</v>
      </c>
      <c r="G3734" s="18">
        <v>133078.59</v>
      </c>
      <c r="H3734" s="27">
        <f t="shared" si="116"/>
        <v>133078.59</v>
      </c>
      <c r="I3734" s="18">
        <v>126424.66</v>
      </c>
      <c r="J3734" s="27">
        <v>133078.59</v>
      </c>
      <c r="K3734" s="18">
        <f t="shared" si="117"/>
        <v>133078.59</v>
      </c>
      <c r="L3734" s="27">
        <v>126424.66</v>
      </c>
      <c r="M3734" s="36">
        <v>0</v>
      </c>
      <c r="T3734" s="41">
        <v>0</v>
      </c>
      <c r="U3734" s="41">
        <v>0</v>
      </c>
      <c r="V3734" s="42" t="s">
        <v>113</v>
      </c>
      <c r="W3734" s="42">
        <v>133078.59</v>
      </c>
      <c r="X3734" s="42">
        <v>133078.59</v>
      </c>
    </row>
    <row r="3735" spans="1:24">
      <c r="A3735" s="27" t="s">
        <v>6858</v>
      </c>
      <c r="B3735" s="28" t="s">
        <v>5102</v>
      </c>
      <c r="C3735" s="27" t="s">
        <v>6859</v>
      </c>
      <c r="D3735" s="27" t="s">
        <v>5104</v>
      </c>
      <c r="E3735" s="29">
        <v>37226</v>
      </c>
      <c r="F3735" s="27">
        <v>15</v>
      </c>
      <c r="G3735" s="18">
        <v>111869.03</v>
      </c>
      <c r="H3735" s="27">
        <f t="shared" si="116"/>
        <v>111869.03</v>
      </c>
      <c r="I3735" s="18">
        <v>106275.58</v>
      </c>
      <c r="J3735" s="27">
        <v>111869.03</v>
      </c>
      <c r="K3735" s="18">
        <f t="shared" si="117"/>
        <v>111869.03</v>
      </c>
      <c r="L3735" s="27">
        <v>106275.58</v>
      </c>
      <c r="M3735" s="36">
        <v>0</v>
      </c>
      <c r="T3735" s="41">
        <v>0</v>
      </c>
      <c r="U3735" s="41">
        <v>0</v>
      </c>
      <c r="V3735" s="42" t="s">
        <v>113</v>
      </c>
      <c r="W3735" s="42">
        <v>111869.03</v>
      </c>
      <c r="X3735" s="42">
        <v>111869.03</v>
      </c>
    </row>
    <row r="3736" spans="1:24">
      <c r="A3736" s="27" t="s">
        <v>6860</v>
      </c>
      <c r="B3736" s="28" t="s">
        <v>5102</v>
      </c>
      <c r="C3736" s="27" t="s">
        <v>6861</v>
      </c>
      <c r="D3736" s="27" t="s">
        <v>5104</v>
      </c>
      <c r="E3736" s="29">
        <v>38078</v>
      </c>
      <c r="F3736" s="27">
        <v>15</v>
      </c>
      <c r="G3736" s="18">
        <v>114039.72</v>
      </c>
      <c r="H3736" s="27">
        <f t="shared" si="116"/>
        <v>114039.72</v>
      </c>
      <c r="I3736" s="18">
        <v>108337.73</v>
      </c>
      <c r="J3736" s="27">
        <v>114039.72</v>
      </c>
      <c r="K3736" s="18">
        <f t="shared" si="117"/>
        <v>114039.72</v>
      </c>
      <c r="L3736" s="27">
        <v>108337.73</v>
      </c>
      <c r="M3736" s="36">
        <v>0</v>
      </c>
      <c r="T3736" s="41">
        <v>0</v>
      </c>
      <c r="U3736" s="41">
        <v>0</v>
      </c>
      <c r="V3736" s="42" t="s">
        <v>113</v>
      </c>
      <c r="W3736" s="42">
        <v>114039.72</v>
      </c>
      <c r="X3736" s="42">
        <v>114039.72</v>
      </c>
    </row>
    <row r="3737" spans="1:24">
      <c r="A3737" s="27" t="s">
        <v>6862</v>
      </c>
      <c r="B3737" s="28" t="s">
        <v>5102</v>
      </c>
      <c r="C3737" s="27" t="s">
        <v>6863</v>
      </c>
      <c r="D3737" s="27" t="s">
        <v>5104</v>
      </c>
      <c r="E3737" s="29">
        <v>39417</v>
      </c>
      <c r="F3737" s="27">
        <v>15</v>
      </c>
      <c r="G3737" s="18">
        <v>28629.02</v>
      </c>
      <c r="H3737" s="27">
        <f t="shared" si="116"/>
        <v>0</v>
      </c>
      <c r="I3737" s="18">
        <v>24167.83</v>
      </c>
      <c r="J3737" s="27">
        <v>28629.02</v>
      </c>
      <c r="K3737" s="18">
        <f t="shared" si="117"/>
        <v>0</v>
      </c>
      <c r="L3737" s="27">
        <v>24925.27</v>
      </c>
      <c r="M3737" s="36">
        <v>757.44</v>
      </c>
      <c r="T3737" s="41">
        <v>0</v>
      </c>
      <c r="U3737" s="41">
        <v>0</v>
      </c>
      <c r="V3737" s="42" t="s">
        <v>113</v>
      </c>
      <c r="W3737" s="42">
        <v>0</v>
      </c>
      <c r="X3737" s="42">
        <v>0</v>
      </c>
    </row>
    <row r="3738" spans="1:24">
      <c r="A3738" s="27" t="s">
        <v>6864</v>
      </c>
      <c r="B3738" s="28" t="s">
        <v>5102</v>
      </c>
      <c r="C3738" s="27" t="s">
        <v>6865</v>
      </c>
      <c r="D3738" s="27" t="s">
        <v>5104</v>
      </c>
      <c r="E3738" s="29">
        <v>38078</v>
      </c>
      <c r="F3738" s="27">
        <v>15</v>
      </c>
      <c r="G3738" s="18">
        <v>21851.95</v>
      </c>
      <c r="H3738" s="27">
        <f t="shared" si="116"/>
        <v>21851.95</v>
      </c>
      <c r="I3738" s="18">
        <v>20759.349999999999</v>
      </c>
      <c r="J3738" s="27">
        <v>21851.95</v>
      </c>
      <c r="K3738" s="18">
        <f t="shared" si="117"/>
        <v>21851.95</v>
      </c>
      <c r="L3738" s="27">
        <v>20759.349999999999</v>
      </c>
      <c r="M3738" s="36">
        <v>0</v>
      </c>
      <c r="T3738" s="41">
        <v>0</v>
      </c>
      <c r="U3738" s="41">
        <v>0</v>
      </c>
      <c r="V3738" s="42" t="s">
        <v>113</v>
      </c>
      <c r="W3738" s="42">
        <v>21851.95</v>
      </c>
      <c r="X3738" s="42">
        <v>21851.95</v>
      </c>
    </row>
    <row r="3739" spans="1:24">
      <c r="A3739" s="27" t="s">
        <v>6866</v>
      </c>
      <c r="B3739" s="28" t="s">
        <v>5102</v>
      </c>
      <c r="C3739" s="27" t="s">
        <v>6865</v>
      </c>
      <c r="D3739" s="27" t="s">
        <v>5104</v>
      </c>
      <c r="E3739" s="29">
        <v>38078</v>
      </c>
      <c r="F3739" s="27">
        <v>15</v>
      </c>
      <c r="G3739" s="18">
        <v>23144.5</v>
      </c>
      <c r="H3739" s="27">
        <f t="shared" si="116"/>
        <v>23144.5</v>
      </c>
      <c r="I3739" s="18">
        <v>21987.27</v>
      </c>
      <c r="J3739" s="27">
        <v>23144.5</v>
      </c>
      <c r="K3739" s="18">
        <f t="shared" si="117"/>
        <v>23144.5</v>
      </c>
      <c r="L3739" s="27">
        <v>21987.27</v>
      </c>
      <c r="M3739" s="36">
        <v>0</v>
      </c>
      <c r="T3739" s="41">
        <v>0</v>
      </c>
      <c r="U3739" s="41">
        <v>0</v>
      </c>
      <c r="V3739" s="42" t="s">
        <v>113</v>
      </c>
      <c r="W3739" s="42">
        <v>23144.5</v>
      </c>
      <c r="X3739" s="42">
        <v>23144.5</v>
      </c>
    </row>
    <row r="3740" spans="1:24">
      <c r="A3740" s="27" t="s">
        <v>6867</v>
      </c>
      <c r="B3740" s="28" t="s">
        <v>5102</v>
      </c>
      <c r="C3740" s="27" t="s">
        <v>6868</v>
      </c>
      <c r="D3740" s="27" t="s">
        <v>5104</v>
      </c>
      <c r="E3740" s="29">
        <v>37226</v>
      </c>
      <c r="F3740" s="27">
        <v>15</v>
      </c>
      <c r="G3740" s="18">
        <v>69143.78</v>
      </c>
      <c r="H3740" s="27">
        <f t="shared" si="116"/>
        <v>69143.78</v>
      </c>
      <c r="I3740" s="18">
        <v>65686.59</v>
      </c>
      <c r="J3740" s="27">
        <v>69143.78</v>
      </c>
      <c r="K3740" s="18">
        <f t="shared" si="117"/>
        <v>69143.78</v>
      </c>
      <c r="L3740" s="27">
        <v>65686.59</v>
      </c>
      <c r="M3740" s="36">
        <v>0</v>
      </c>
      <c r="T3740" s="41">
        <v>0</v>
      </c>
      <c r="U3740" s="41">
        <v>0</v>
      </c>
      <c r="V3740" s="42" t="s">
        <v>113</v>
      </c>
      <c r="W3740" s="42">
        <v>69143.78</v>
      </c>
      <c r="X3740" s="42">
        <v>69143.78</v>
      </c>
    </row>
    <row r="3741" spans="1:24">
      <c r="A3741" s="27" t="s">
        <v>6869</v>
      </c>
      <c r="B3741" s="28" t="s">
        <v>5102</v>
      </c>
      <c r="C3741" s="27" t="s">
        <v>6870</v>
      </c>
      <c r="D3741" s="27" t="s">
        <v>5104</v>
      </c>
      <c r="E3741" s="29">
        <v>39417</v>
      </c>
      <c r="F3741" s="27">
        <v>15</v>
      </c>
      <c r="G3741" s="18">
        <v>27503.75</v>
      </c>
      <c r="H3741" s="27">
        <f t="shared" si="116"/>
        <v>0</v>
      </c>
      <c r="I3741" s="18">
        <v>23457.93</v>
      </c>
      <c r="J3741" s="27">
        <v>27503.75</v>
      </c>
      <c r="K3741" s="18">
        <f t="shared" si="117"/>
        <v>0</v>
      </c>
      <c r="L3741" s="27">
        <v>24125.59</v>
      </c>
      <c r="M3741" s="36">
        <v>667.66</v>
      </c>
      <c r="T3741" s="41">
        <v>0</v>
      </c>
      <c r="U3741" s="41">
        <v>0</v>
      </c>
      <c r="V3741" s="42" t="s">
        <v>113</v>
      </c>
      <c r="W3741" s="42">
        <v>0</v>
      </c>
      <c r="X3741" s="42">
        <v>0</v>
      </c>
    </row>
    <row r="3742" spans="1:24">
      <c r="A3742" s="27" t="s">
        <v>6871</v>
      </c>
      <c r="B3742" s="28" t="s">
        <v>5102</v>
      </c>
      <c r="C3742" s="27" t="s">
        <v>6872</v>
      </c>
      <c r="D3742" s="27" t="s">
        <v>5104</v>
      </c>
      <c r="E3742" s="29">
        <v>39417</v>
      </c>
      <c r="F3742" s="27">
        <v>15</v>
      </c>
      <c r="G3742" s="18">
        <v>30278.720000000001</v>
      </c>
      <c r="H3742" s="27">
        <f t="shared" si="116"/>
        <v>0</v>
      </c>
      <c r="I3742" s="18">
        <v>25824.69</v>
      </c>
      <c r="J3742" s="27">
        <v>30278.720000000001</v>
      </c>
      <c r="K3742" s="18">
        <f t="shared" si="117"/>
        <v>0</v>
      </c>
      <c r="L3742" s="27">
        <v>26559.71</v>
      </c>
      <c r="M3742" s="36">
        <v>735.02</v>
      </c>
      <c r="T3742" s="41">
        <v>0</v>
      </c>
      <c r="U3742" s="41">
        <v>0</v>
      </c>
      <c r="V3742" s="42" t="s">
        <v>113</v>
      </c>
      <c r="W3742" s="42">
        <v>0</v>
      </c>
      <c r="X3742" s="42">
        <v>0</v>
      </c>
    </row>
    <row r="3743" spans="1:24">
      <c r="A3743" s="27" t="s">
        <v>6873</v>
      </c>
      <c r="B3743" s="28" t="s">
        <v>5102</v>
      </c>
      <c r="C3743" s="27" t="s">
        <v>6874</v>
      </c>
      <c r="D3743" s="27" t="s">
        <v>5104</v>
      </c>
      <c r="E3743" s="29">
        <v>39417</v>
      </c>
      <c r="F3743" s="27">
        <v>15</v>
      </c>
      <c r="G3743" s="18">
        <v>32702.42</v>
      </c>
      <c r="H3743" s="27">
        <f t="shared" si="116"/>
        <v>0</v>
      </c>
      <c r="I3743" s="18">
        <v>27891.87</v>
      </c>
      <c r="J3743" s="27">
        <v>32702.42</v>
      </c>
      <c r="K3743" s="18">
        <f t="shared" si="117"/>
        <v>0</v>
      </c>
      <c r="L3743" s="27">
        <v>28685.73</v>
      </c>
      <c r="M3743" s="36">
        <v>793.86</v>
      </c>
      <c r="T3743" s="41">
        <v>0</v>
      </c>
      <c r="U3743" s="41">
        <v>0</v>
      </c>
      <c r="V3743" s="42" t="s">
        <v>113</v>
      </c>
      <c r="W3743" s="42">
        <v>0</v>
      </c>
      <c r="X3743" s="42">
        <v>0</v>
      </c>
    </row>
    <row r="3744" spans="1:24">
      <c r="A3744" s="27" t="s">
        <v>6875</v>
      </c>
      <c r="B3744" s="28" t="s">
        <v>5102</v>
      </c>
      <c r="C3744" s="27" t="s">
        <v>6876</v>
      </c>
      <c r="D3744" s="27" t="s">
        <v>5104</v>
      </c>
      <c r="E3744" s="29">
        <v>39417</v>
      </c>
      <c r="F3744" s="27">
        <v>15</v>
      </c>
      <c r="G3744" s="18">
        <v>50230.400000000001</v>
      </c>
      <c r="H3744" s="27">
        <f t="shared" si="116"/>
        <v>0</v>
      </c>
      <c r="I3744" s="18">
        <v>42975.61</v>
      </c>
      <c r="J3744" s="27">
        <v>50230.400000000001</v>
      </c>
      <c r="K3744" s="18">
        <f t="shared" si="117"/>
        <v>0</v>
      </c>
      <c r="L3744" s="27">
        <v>44161.43</v>
      </c>
      <c r="M3744" s="36">
        <v>1185.82</v>
      </c>
      <c r="T3744" s="41">
        <v>0</v>
      </c>
      <c r="U3744" s="41">
        <v>0</v>
      </c>
      <c r="V3744" s="42" t="s">
        <v>113</v>
      </c>
      <c r="W3744" s="42">
        <v>0</v>
      </c>
      <c r="X3744" s="42">
        <v>0</v>
      </c>
    </row>
    <row r="3745" spans="1:24">
      <c r="A3745" s="27" t="s">
        <v>6877</v>
      </c>
      <c r="B3745" s="28" t="s">
        <v>5102</v>
      </c>
      <c r="C3745" s="27" t="s">
        <v>6878</v>
      </c>
      <c r="D3745" s="27" t="s">
        <v>5104</v>
      </c>
      <c r="E3745" s="29">
        <v>38078</v>
      </c>
      <c r="F3745" s="27">
        <v>15</v>
      </c>
      <c r="G3745" s="18">
        <v>57135.95</v>
      </c>
      <c r="H3745" s="27">
        <f t="shared" si="116"/>
        <v>57135.95</v>
      </c>
      <c r="I3745" s="18">
        <v>54279.15</v>
      </c>
      <c r="J3745" s="27">
        <v>57135.95</v>
      </c>
      <c r="K3745" s="18">
        <f t="shared" si="117"/>
        <v>57135.95</v>
      </c>
      <c r="L3745" s="27">
        <v>54279.15</v>
      </c>
      <c r="M3745" s="36">
        <v>0</v>
      </c>
      <c r="T3745" s="41">
        <v>0</v>
      </c>
      <c r="U3745" s="41">
        <v>0</v>
      </c>
      <c r="V3745" s="42" t="s">
        <v>113</v>
      </c>
      <c r="W3745" s="42">
        <v>57135.95</v>
      </c>
      <c r="X3745" s="42">
        <v>57135.95</v>
      </c>
    </row>
    <row r="3746" spans="1:24">
      <c r="A3746" s="27" t="s">
        <v>6879</v>
      </c>
      <c r="B3746" s="28" t="s">
        <v>5102</v>
      </c>
      <c r="C3746" s="27" t="s">
        <v>6880</v>
      </c>
      <c r="D3746" s="27" t="s">
        <v>5104</v>
      </c>
      <c r="E3746" s="29">
        <v>37226</v>
      </c>
      <c r="F3746" s="27">
        <v>15</v>
      </c>
      <c r="G3746" s="18">
        <v>34030.18</v>
      </c>
      <c r="H3746" s="27">
        <f t="shared" si="116"/>
        <v>34030.18</v>
      </c>
      <c r="I3746" s="18">
        <v>32328.67</v>
      </c>
      <c r="J3746" s="27">
        <v>34030.18</v>
      </c>
      <c r="K3746" s="18">
        <f t="shared" si="117"/>
        <v>34030.18</v>
      </c>
      <c r="L3746" s="27">
        <v>32328.67</v>
      </c>
      <c r="M3746" s="36">
        <v>0</v>
      </c>
      <c r="T3746" s="41">
        <v>0</v>
      </c>
      <c r="U3746" s="41">
        <v>0</v>
      </c>
      <c r="V3746" s="42" t="s">
        <v>113</v>
      </c>
      <c r="W3746" s="42">
        <v>34030.18</v>
      </c>
      <c r="X3746" s="42">
        <v>34030.18</v>
      </c>
    </row>
    <row r="3747" spans="1:24">
      <c r="A3747" s="27" t="s">
        <v>6881</v>
      </c>
      <c r="B3747" s="28" t="s">
        <v>5102</v>
      </c>
      <c r="C3747" s="27" t="s">
        <v>6882</v>
      </c>
      <c r="D3747" s="27" t="s">
        <v>5104</v>
      </c>
      <c r="E3747" s="29">
        <v>37257</v>
      </c>
      <c r="F3747" s="27">
        <v>15</v>
      </c>
      <c r="G3747" s="18">
        <v>5712.02</v>
      </c>
      <c r="H3747" s="27">
        <f t="shared" si="116"/>
        <v>5712.02</v>
      </c>
      <c r="I3747" s="18">
        <v>5426.42</v>
      </c>
      <c r="J3747" s="27">
        <v>5712.02</v>
      </c>
      <c r="K3747" s="18">
        <f t="shared" si="117"/>
        <v>5712.02</v>
      </c>
      <c r="L3747" s="27">
        <v>5426.42</v>
      </c>
      <c r="M3747" s="36">
        <v>0</v>
      </c>
      <c r="T3747" s="41">
        <v>0</v>
      </c>
      <c r="U3747" s="41">
        <v>0</v>
      </c>
      <c r="V3747" s="42" t="s">
        <v>113</v>
      </c>
      <c r="W3747" s="42">
        <v>5712.02</v>
      </c>
      <c r="X3747" s="42">
        <v>5712.02</v>
      </c>
    </row>
    <row r="3748" spans="1:24">
      <c r="A3748" s="27" t="s">
        <v>6883</v>
      </c>
      <c r="B3748" s="28" t="s">
        <v>5102</v>
      </c>
      <c r="C3748" s="27" t="s">
        <v>6884</v>
      </c>
      <c r="D3748" s="27" t="s">
        <v>5104</v>
      </c>
      <c r="E3748" s="29">
        <v>38078</v>
      </c>
      <c r="F3748" s="27">
        <v>15</v>
      </c>
      <c r="G3748" s="18">
        <v>55369.120000000003</v>
      </c>
      <c r="H3748" s="27">
        <f t="shared" si="116"/>
        <v>55369.120000000003</v>
      </c>
      <c r="I3748" s="18">
        <v>52600.66</v>
      </c>
      <c r="J3748" s="27">
        <v>55369.120000000003</v>
      </c>
      <c r="K3748" s="18">
        <f t="shared" si="117"/>
        <v>55369.120000000003</v>
      </c>
      <c r="L3748" s="27">
        <v>52600.66</v>
      </c>
      <c r="M3748" s="36">
        <v>0</v>
      </c>
      <c r="T3748" s="41">
        <v>0</v>
      </c>
      <c r="U3748" s="41">
        <v>0</v>
      </c>
      <c r="V3748" s="42" t="s">
        <v>113</v>
      </c>
      <c r="W3748" s="42">
        <v>55369.120000000003</v>
      </c>
      <c r="X3748" s="42">
        <v>55369.120000000003</v>
      </c>
    </row>
    <row r="3749" spans="1:24">
      <c r="A3749" s="27" t="s">
        <v>6885</v>
      </c>
      <c r="B3749" s="28" t="s">
        <v>5102</v>
      </c>
      <c r="C3749" s="27" t="s">
        <v>6886</v>
      </c>
      <c r="D3749" s="27" t="s">
        <v>5104</v>
      </c>
      <c r="E3749" s="29">
        <v>37226</v>
      </c>
      <c r="F3749" s="27">
        <v>15</v>
      </c>
      <c r="G3749" s="18">
        <v>323648.26</v>
      </c>
      <c r="H3749" s="27">
        <f t="shared" si="116"/>
        <v>323648.26</v>
      </c>
      <c r="I3749" s="18">
        <v>307465.84999999998</v>
      </c>
      <c r="J3749" s="27">
        <v>323648.26</v>
      </c>
      <c r="K3749" s="18">
        <f t="shared" si="117"/>
        <v>323648.26</v>
      </c>
      <c r="L3749" s="27">
        <v>307465.84999999998</v>
      </c>
      <c r="M3749" s="36">
        <v>0</v>
      </c>
      <c r="T3749" s="41">
        <v>0</v>
      </c>
      <c r="U3749" s="41">
        <v>0</v>
      </c>
      <c r="V3749" s="42" t="s">
        <v>113</v>
      </c>
      <c r="W3749" s="42">
        <v>323648.26</v>
      </c>
      <c r="X3749" s="42">
        <v>323648.26</v>
      </c>
    </row>
    <row r="3750" spans="1:24">
      <c r="A3750" s="27" t="s">
        <v>6887</v>
      </c>
      <c r="B3750" s="28" t="s">
        <v>5102</v>
      </c>
      <c r="C3750" s="27" t="s">
        <v>6888</v>
      </c>
      <c r="D3750" s="27" t="s">
        <v>5104</v>
      </c>
      <c r="E3750" s="29">
        <v>38930</v>
      </c>
      <c r="F3750" s="27">
        <v>15</v>
      </c>
      <c r="G3750" s="18">
        <v>59593.37</v>
      </c>
      <c r="H3750" s="27">
        <f t="shared" si="116"/>
        <v>0</v>
      </c>
      <c r="I3750" s="18">
        <v>55008.18</v>
      </c>
      <c r="J3750" s="27">
        <v>59593.37</v>
      </c>
      <c r="K3750" s="18">
        <f t="shared" si="117"/>
        <v>0</v>
      </c>
      <c r="L3750" s="27">
        <v>55610.25</v>
      </c>
      <c r="M3750" s="36">
        <v>602.07000000000005</v>
      </c>
      <c r="T3750" s="41">
        <v>0</v>
      </c>
      <c r="U3750" s="41">
        <v>0</v>
      </c>
      <c r="V3750" s="42" t="s">
        <v>113</v>
      </c>
      <c r="W3750" s="42">
        <v>0</v>
      </c>
      <c r="X3750" s="42">
        <v>59593.37</v>
      </c>
    </row>
    <row r="3751" spans="1:24">
      <c r="A3751" s="27" t="s">
        <v>6889</v>
      </c>
      <c r="B3751" s="28" t="s">
        <v>5102</v>
      </c>
      <c r="C3751" s="27" t="s">
        <v>6890</v>
      </c>
      <c r="D3751" s="27" t="s">
        <v>5104</v>
      </c>
      <c r="E3751" s="29">
        <v>38930</v>
      </c>
      <c r="F3751" s="27">
        <v>15</v>
      </c>
      <c r="G3751" s="18">
        <v>36368.92</v>
      </c>
      <c r="H3751" s="27">
        <f t="shared" si="116"/>
        <v>0</v>
      </c>
      <c r="I3751" s="18">
        <v>33615.75</v>
      </c>
      <c r="J3751" s="27">
        <v>36368.92</v>
      </c>
      <c r="K3751" s="18">
        <f t="shared" si="117"/>
        <v>0</v>
      </c>
      <c r="L3751" s="27">
        <v>33966.269999999997</v>
      </c>
      <c r="M3751" s="36">
        <v>350.52</v>
      </c>
      <c r="T3751" s="41">
        <v>0</v>
      </c>
      <c r="U3751" s="41">
        <v>0</v>
      </c>
      <c r="V3751" s="42" t="s">
        <v>113</v>
      </c>
      <c r="W3751" s="42">
        <v>0</v>
      </c>
      <c r="X3751" s="42">
        <v>36368.92</v>
      </c>
    </row>
    <row r="3752" spans="1:24">
      <c r="A3752" s="27" t="s">
        <v>6891</v>
      </c>
      <c r="B3752" s="28" t="s">
        <v>5102</v>
      </c>
      <c r="C3752" s="27" t="s">
        <v>6892</v>
      </c>
      <c r="D3752" s="27" t="s">
        <v>5104</v>
      </c>
      <c r="E3752" s="29">
        <v>37226</v>
      </c>
      <c r="F3752" s="27">
        <v>15</v>
      </c>
      <c r="G3752" s="18">
        <v>149845.65</v>
      </c>
      <c r="H3752" s="27">
        <f t="shared" si="116"/>
        <v>149845.65</v>
      </c>
      <c r="I3752" s="18">
        <v>142353.37</v>
      </c>
      <c r="J3752" s="27">
        <v>149845.65</v>
      </c>
      <c r="K3752" s="18">
        <f t="shared" si="117"/>
        <v>149845.65</v>
      </c>
      <c r="L3752" s="27">
        <v>142353.37</v>
      </c>
      <c r="M3752" s="36">
        <v>0</v>
      </c>
      <c r="T3752" s="41">
        <v>0</v>
      </c>
      <c r="U3752" s="41">
        <v>0</v>
      </c>
      <c r="V3752" s="42" t="s">
        <v>113</v>
      </c>
      <c r="W3752" s="42">
        <v>149845.65</v>
      </c>
      <c r="X3752" s="42">
        <v>149845.65</v>
      </c>
    </row>
    <row r="3753" spans="1:24">
      <c r="A3753" s="27" t="s">
        <v>6893</v>
      </c>
      <c r="B3753" s="28" t="s">
        <v>5102</v>
      </c>
      <c r="C3753" s="27" t="s">
        <v>6894</v>
      </c>
      <c r="D3753" s="27" t="s">
        <v>230</v>
      </c>
      <c r="E3753" s="29">
        <v>39417</v>
      </c>
      <c r="F3753" s="27">
        <v>15</v>
      </c>
      <c r="G3753" s="18">
        <v>6578400.3700000001</v>
      </c>
      <c r="H3753" s="27">
        <f t="shared" si="116"/>
        <v>0</v>
      </c>
      <c r="I3753" s="18">
        <v>5403574.4900000002</v>
      </c>
      <c r="J3753" s="27">
        <v>5938304.5899999999</v>
      </c>
      <c r="K3753" s="18">
        <f t="shared" si="117"/>
        <v>5938304.5899999999</v>
      </c>
      <c r="L3753" s="27">
        <v>5615050.96</v>
      </c>
      <c r="M3753" s="36">
        <v>211476.47</v>
      </c>
      <c r="N3753" s="18" t="s">
        <v>123</v>
      </c>
      <c r="O3753" s="19">
        <v>-640095.78</v>
      </c>
      <c r="T3753" s="41">
        <v>0</v>
      </c>
      <c r="U3753" s="41">
        <v>0</v>
      </c>
      <c r="V3753" s="42" t="s">
        <v>113</v>
      </c>
      <c r="W3753" s="42">
        <v>5938304.5899999999</v>
      </c>
      <c r="X3753" s="42">
        <v>5938304.5899999999</v>
      </c>
    </row>
    <row r="3754" spans="1:24">
      <c r="A3754" s="27" t="s">
        <v>6895</v>
      </c>
      <c r="B3754" s="28" t="s">
        <v>5102</v>
      </c>
      <c r="C3754" s="27" t="s">
        <v>5128</v>
      </c>
      <c r="D3754" s="27" t="s">
        <v>5104</v>
      </c>
      <c r="E3754" s="29">
        <v>39417</v>
      </c>
      <c r="F3754" s="27">
        <v>15</v>
      </c>
      <c r="G3754" s="18">
        <v>30319.439999999999</v>
      </c>
      <c r="H3754" s="27">
        <f t="shared" si="116"/>
        <v>0</v>
      </c>
      <c r="I3754" s="18">
        <v>25859.43</v>
      </c>
      <c r="J3754" s="27">
        <v>30319.439999999999</v>
      </c>
      <c r="K3754" s="18">
        <f t="shared" si="117"/>
        <v>0</v>
      </c>
      <c r="L3754" s="27">
        <v>26595.439999999999</v>
      </c>
      <c r="M3754" s="36">
        <v>736.01</v>
      </c>
      <c r="T3754" s="41">
        <v>0</v>
      </c>
      <c r="U3754" s="41">
        <v>0</v>
      </c>
      <c r="V3754" s="42" t="s">
        <v>113</v>
      </c>
      <c r="W3754" s="42">
        <v>0</v>
      </c>
      <c r="X3754" s="42">
        <v>0</v>
      </c>
    </row>
    <row r="3755" spans="1:24">
      <c r="A3755" s="27" t="s">
        <v>6896</v>
      </c>
      <c r="B3755" s="28" t="s">
        <v>5102</v>
      </c>
      <c r="C3755" s="27" t="s">
        <v>6897</v>
      </c>
      <c r="D3755" s="27" t="s">
        <v>5104</v>
      </c>
      <c r="E3755" s="29">
        <v>36495</v>
      </c>
      <c r="F3755" s="27">
        <v>15</v>
      </c>
      <c r="G3755" s="18">
        <v>6000</v>
      </c>
      <c r="H3755" s="27">
        <f t="shared" si="116"/>
        <v>6000</v>
      </c>
      <c r="I3755" s="18">
        <v>5700</v>
      </c>
      <c r="J3755" s="27">
        <v>6000</v>
      </c>
      <c r="K3755" s="18">
        <f t="shared" si="117"/>
        <v>6000</v>
      </c>
      <c r="L3755" s="27">
        <v>5700</v>
      </c>
      <c r="M3755" s="36">
        <v>0</v>
      </c>
      <c r="T3755" s="41">
        <v>0</v>
      </c>
      <c r="U3755" s="41">
        <v>0</v>
      </c>
      <c r="V3755" s="42" t="s">
        <v>113</v>
      </c>
      <c r="W3755" s="42">
        <v>6000</v>
      </c>
      <c r="X3755" s="42">
        <v>6000</v>
      </c>
    </row>
    <row r="3756" spans="1:24">
      <c r="A3756" s="27" t="s">
        <v>6898</v>
      </c>
      <c r="B3756" s="28" t="s">
        <v>5102</v>
      </c>
      <c r="C3756" s="27" t="s">
        <v>6899</v>
      </c>
      <c r="D3756" s="27" t="s">
        <v>5104</v>
      </c>
      <c r="E3756" s="29">
        <v>36161</v>
      </c>
      <c r="F3756" s="27">
        <v>15</v>
      </c>
      <c r="G3756" s="18">
        <v>6206.67</v>
      </c>
      <c r="H3756" s="27">
        <f t="shared" si="116"/>
        <v>6206.67</v>
      </c>
      <c r="I3756" s="18">
        <v>5896.34</v>
      </c>
      <c r="J3756" s="27">
        <v>6206.67</v>
      </c>
      <c r="K3756" s="18">
        <f t="shared" si="117"/>
        <v>6206.67</v>
      </c>
      <c r="L3756" s="27">
        <v>5896.34</v>
      </c>
      <c r="M3756" s="36">
        <v>0</v>
      </c>
      <c r="T3756" s="41">
        <v>0</v>
      </c>
      <c r="U3756" s="41">
        <v>0</v>
      </c>
      <c r="V3756" s="42" t="s">
        <v>113</v>
      </c>
      <c r="W3756" s="42">
        <v>6206.67</v>
      </c>
      <c r="X3756" s="42">
        <v>6206.67</v>
      </c>
    </row>
    <row r="3757" spans="1:24">
      <c r="A3757" s="27" t="s">
        <v>6900</v>
      </c>
      <c r="B3757" s="28" t="s">
        <v>5102</v>
      </c>
      <c r="C3757" s="27" t="s">
        <v>6901</v>
      </c>
      <c r="D3757" s="27" t="s">
        <v>5104</v>
      </c>
      <c r="E3757" s="29">
        <v>37622</v>
      </c>
      <c r="F3757" s="27">
        <v>15</v>
      </c>
      <c r="G3757" s="18">
        <v>7051.46</v>
      </c>
      <c r="H3757" s="27">
        <f t="shared" si="116"/>
        <v>7051.46</v>
      </c>
      <c r="I3757" s="18">
        <v>6698.89</v>
      </c>
      <c r="J3757" s="27">
        <v>7051.46</v>
      </c>
      <c r="K3757" s="18">
        <f t="shared" si="117"/>
        <v>7051.46</v>
      </c>
      <c r="L3757" s="27">
        <v>6698.89</v>
      </c>
      <c r="M3757" s="36">
        <v>0</v>
      </c>
      <c r="T3757" s="41">
        <v>0</v>
      </c>
      <c r="U3757" s="41">
        <v>0</v>
      </c>
      <c r="V3757" s="42" t="s">
        <v>113</v>
      </c>
      <c r="W3757" s="42">
        <v>7051.46</v>
      </c>
      <c r="X3757" s="42">
        <v>7051.46</v>
      </c>
    </row>
    <row r="3758" spans="1:24">
      <c r="A3758" s="27" t="s">
        <v>6902</v>
      </c>
      <c r="B3758" s="28" t="s">
        <v>5102</v>
      </c>
      <c r="C3758" s="27" t="s">
        <v>6903</v>
      </c>
      <c r="D3758" s="27" t="s">
        <v>5104</v>
      </c>
      <c r="E3758" s="29">
        <v>35370</v>
      </c>
      <c r="F3758" s="27">
        <v>15</v>
      </c>
      <c r="G3758" s="18">
        <v>7746.35</v>
      </c>
      <c r="H3758" s="27">
        <f t="shared" si="116"/>
        <v>7746.35</v>
      </c>
      <c r="I3758" s="18">
        <v>7359.03</v>
      </c>
      <c r="J3758" s="27">
        <v>7746.35</v>
      </c>
      <c r="K3758" s="18">
        <f t="shared" si="117"/>
        <v>7746.35</v>
      </c>
      <c r="L3758" s="27">
        <v>7359.03</v>
      </c>
      <c r="M3758" s="36">
        <v>0</v>
      </c>
      <c r="T3758" s="41">
        <v>0</v>
      </c>
      <c r="U3758" s="41">
        <v>0</v>
      </c>
      <c r="V3758" s="42" t="s">
        <v>113</v>
      </c>
      <c r="W3758" s="42">
        <v>7746.35</v>
      </c>
      <c r="X3758" s="42">
        <v>7746.35</v>
      </c>
    </row>
    <row r="3759" spans="1:24">
      <c r="A3759" s="27" t="s">
        <v>6904</v>
      </c>
      <c r="B3759" s="28" t="s">
        <v>5102</v>
      </c>
      <c r="C3759" s="27" t="s">
        <v>6905</v>
      </c>
      <c r="D3759" s="27" t="s">
        <v>5104</v>
      </c>
      <c r="E3759" s="29">
        <v>37226</v>
      </c>
      <c r="F3759" s="27">
        <v>15</v>
      </c>
      <c r="G3759" s="18">
        <v>12162.5</v>
      </c>
      <c r="H3759" s="27">
        <f t="shared" si="116"/>
        <v>12162.5</v>
      </c>
      <c r="I3759" s="18">
        <v>11554.37</v>
      </c>
      <c r="J3759" s="27">
        <v>12162.5</v>
      </c>
      <c r="K3759" s="18">
        <f t="shared" si="117"/>
        <v>12162.5</v>
      </c>
      <c r="L3759" s="27">
        <v>11554.37</v>
      </c>
      <c r="M3759" s="36">
        <v>0</v>
      </c>
      <c r="T3759" s="41">
        <v>0</v>
      </c>
      <c r="U3759" s="41">
        <v>0</v>
      </c>
      <c r="V3759" s="42" t="s">
        <v>113</v>
      </c>
      <c r="W3759" s="42">
        <v>12162.5</v>
      </c>
      <c r="X3759" s="42">
        <v>12162.5</v>
      </c>
    </row>
    <row r="3760" spans="1:24">
      <c r="A3760" s="27" t="s">
        <v>6906</v>
      </c>
      <c r="B3760" s="28" t="s">
        <v>5102</v>
      </c>
      <c r="C3760" s="27" t="s">
        <v>6907</v>
      </c>
      <c r="D3760" s="27" t="s">
        <v>5104</v>
      </c>
      <c r="E3760" s="29">
        <v>35582</v>
      </c>
      <c r="F3760" s="27">
        <v>15</v>
      </c>
      <c r="G3760" s="18">
        <v>42172.28</v>
      </c>
      <c r="H3760" s="27">
        <f t="shared" si="116"/>
        <v>42172.28</v>
      </c>
      <c r="I3760" s="18">
        <v>40063.67</v>
      </c>
      <c r="J3760" s="27">
        <v>42172.28</v>
      </c>
      <c r="K3760" s="18">
        <f t="shared" si="117"/>
        <v>42172.28</v>
      </c>
      <c r="L3760" s="27">
        <v>40063.67</v>
      </c>
      <c r="M3760" s="36">
        <v>0</v>
      </c>
      <c r="T3760" s="41">
        <v>0</v>
      </c>
      <c r="U3760" s="41">
        <v>0</v>
      </c>
      <c r="V3760" s="42" t="s">
        <v>113</v>
      </c>
      <c r="W3760" s="42">
        <v>42172.28</v>
      </c>
      <c r="X3760" s="42">
        <v>42172.28</v>
      </c>
    </row>
    <row r="3761" spans="1:24">
      <c r="A3761" s="27" t="s">
        <v>6908</v>
      </c>
      <c r="B3761" s="28" t="s">
        <v>5102</v>
      </c>
      <c r="C3761" s="27" t="s">
        <v>6909</v>
      </c>
      <c r="D3761" s="27" t="s">
        <v>5104</v>
      </c>
      <c r="E3761" s="29">
        <v>36251</v>
      </c>
      <c r="F3761" s="27">
        <v>15</v>
      </c>
      <c r="G3761" s="18">
        <v>224509.79</v>
      </c>
      <c r="H3761" s="27">
        <f t="shared" si="116"/>
        <v>224509.79</v>
      </c>
      <c r="I3761" s="18">
        <v>213284.3</v>
      </c>
      <c r="J3761" s="27">
        <v>224509.79</v>
      </c>
      <c r="K3761" s="18">
        <f t="shared" si="117"/>
        <v>224509.79</v>
      </c>
      <c r="L3761" s="27">
        <v>213284.3</v>
      </c>
      <c r="M3761" s="36">
        <v>0</v>
      </c>
      <c r="T3761" s="41">
        <v>0</v>
      </c>
      <c r="U3761" s="41">
        <v>0</v>
      </c>
      <c r="V3761" s="42" t="s">
        <v>113</v>
      </c>
      <c r="W3761" s="42">
        <v>224509.79</v>
      </c>
      <c r="X3761" s="42">
        <v>224509.79</v>
      </c>
    </row>
    <row r="3762" spans="1:24">
      <c r="A3762" s="27" t="s">
        <v>6910</v>
      </c>
      <c r="B3762" s="28" t="s">
        <v>5102</v>
      </c>
      <c r="C3762" s="27" t="s">
        <v>6911</v>
      </c>
      <c r="D3762" s="27" t="s">
        <v>5104</v>
      </c>
      <c r="E3762" s="29">
        <v>33725</v>
      </c>
      <c r="F3762" s="27">
        <v>15</v>
      </c>
      <c r="G3762" s="18">
        <v>102579.02</v>
      </c>
      <c r="H3762" s="27">
        <f t="shared" si="116"/>
        <v>102579.02</v>
      </c>
      <c r="I3762" s="18">
        <v>97450.07</v>
      </c>
      <c r="J3762" s="27">
        <v>102579.02</v>
      </c>
      <c r="K3762" s="18">
        <f t="shared" si="117"/>
        <v>102579.02</v>
      </c>
      <c r="L3762" s="27">
        <v>97450.07</v>
      </c>
      <c r="M3762" s="36">
        <v>0</v>
      </c>
      <c r="T3762" s="41">
        <v>0</v>
      </c>
      <c r="U3762" s="41">
        <v>0</v>
      </c>
      <c r="V3762" s="42" t="s">
        <v>113</v>
      </c>
      <c r="W3762" s="42">
        <v>102579.02</v>
      </c>
      <c r="X3762" s="42">
        <v>102579.02</v>
      </c>
    </row>
    <row r="3763" spans="1:24">
      <c r="A3763" s="27" t="s">
        <v>6912</v>
      </c>
      <c r="B3763" s="28" t="s">
        <v>5102</v>
      </c>
      <c r="C3763" s="27" t="s">
        <v>6913</v>
      </c>
      <c r="D3763" s="27" t="s">
        <v>5104</v>
      </c>
      <c r="E3763" s="29">
        <v>34516</v>
      </c>
      <c r="F3763" s="27">
        <v>15</v>
      </c>
      <c r="G3763" s="18">
        <v>292132.53999999998</v>
      </c>
      <c r="H3763" s="27">
        <f t="shared" si="116"/>
        <v>292132.53999999998</v>
      </c>
      <c r="I3763" s="18">
        <v>277525.90999999997</v>
      </c>
      <c r="J3763" s="27">
        <v>292132.53999999998</v>
      </c>
      <c r="K3763" s="18">
        <f t="shared" si="117"/>
        <v>292132.53999999998</v>
      </c>
      <c r="L3763" s="27">
        <v>277525.90999999997</v>
      </c>
      <c r="M3763" s="36">
        <v>0</v>
      </c>
      <c r="T3763" s="41">
        <v>0</v>
      </c>
      <c r="U3763" s="41">
        <v>0</v>
      </c>
      <c r="V3763" s="42" t="s">
        <v>113</v>
      </c>
      <c r="W3763" s="42">
        <v>292132.53999999998</v>
      </c>
      <c r="X3763" s="42">
        <v>292132.53999999998</v>
      </c>
    </row>
    <row r="3764" spans="1:24">
      <c r="A3764" s="27" t="s">
        <v>6914</v>
      </c>
      <c r="B3764" s="28" t="s">
        <v>5102</v>
      </c>
      <c r="C3764" s="27" t="s">
        <v>6915</v>
      </c>
      <c r="D3764" s="27" t="s">
        <v>5104</v>
      </c>
      <c r="E3764" s="29">
        <v>34151</v>
      </c>
      <c r="F3764" s="27">
        <v>15</v>
      </c>
      <c r="G3764" s="18">
        <v>112608.16</v>
      </c>
      <c r="H3764" s="27">
        <f t="shared" si="116"/>
        <v>112608.16</v>
      </c>
      <c r="I3764" s="18">
        <v>106977.75</v>
      </c>
      <c r="J3764" s="27">
        <v>112608.16</v>
      </c>
      <c r="K3764" s="18">
        <f t="shared" si="117"/>
        <v>112608.16</v>
      </c>
      <c r="L3764" s="27">
        <v>106977.75</v>
      </c>
      <c r="M3764" s="36">
        <v>0</v>
      </c>
      <c r="T3764" s="41">
        <v>0</v>
      </c>
      <c r="U3764" s="41">
        <v>0</v>
      </c>
      <c r="V3764" s="42" t="s">
        <v>113</v>
      </c>
      <c r="W3764" s="42">
        <v>112608.16</v>
      </c>
      <c r="X3764" s="42">
        <v>112608.16</v>
      </c>
    </row>
    <row r="3765" spans="1:24">
      <c r="A3765" s="27" t="s">
        <v>6916</v>
      </c>
      <c r="B3765" s="28" t="s">
        <v>5102</v>
      </c>
      <c r="C3765" s="27" t="s">
        <v>6917</v>
      </c>
      <c r="D3765" s="27" t="s">
        <v>5104</v>
      </c>
      <c r="E3765" s="29">
        <v>35278</v>
      </c>
      <c r="F3765" s="27">
        <v>15</v>
      </c>
      <c r="G3765" s="18">
        <v>304585.67</v>
      </c>
      <c r="H3765" s="27">
        <f t="shared" si="116"/>
        <v>304585.67</v>
      </c>
      <c r="I3765" s="18">
        <v>289356.39</v>
      </c>
      <c r="J3765" s="27">
        <v>304585.67</v>
      </c>
      <c r="K3765" s="18">
        <f t="shared" si="117"/>
        <v>304585.67</v>
      </c>
      <c r="L3765" s="27">
        <v>289356.39</v>
      </c>
      <c r="M3765" s="36">
        <v>0</v>
      </c>
      <c r="T3765" s="41">
        <v>0</v>
      </c>
      <c r="U3765" s="41">
        <v>0</v>
      </c>
      <c r="V3765" s="42" t="s">
        <v>113</v>
      </c>
      <c r="W3765" s="42">
        <v>304585.67</v>
      </c>
      <c r="X3765" s="42">
        <v>304585.67</v>
      </c>
    </row>
    <row r="3766" spans="1:24">
      <c r="A3766" s="27" t="s">
        <v>6918</v>
      </c>
      <c r="B3766" s="28" t="s">
        <v>5102</v>
      </c>
      <c r="C3766" s="27" t="s">
        <v>6919</v>
      </c>
      <c r="D3766" s="27" t="s">
        <v>5104</v>
      </c>
      <c r="E3766" s="29">
        <v>35977</v>
      </c>
      <c r="F3766" s="27">
        <v>15</v>
      </c>
      <c r="G3766" s="18">
        <v>181275.3</v>
      </c>
      <c r="H3766" s="27">
        <f t="shared" si="116"/>
        <v>181275.3</v>
      </c>
      <c r="I3766" s="18">
        <v>172211.53</v>
      </c>
      <c r="J3766" s="27">
        <v>181275.3</v>
      </c>
      <c r="K3766" s="18">
        <f t="shared" si="117"/>
        <v>181275.3</v>
      </c>
      <c r="L3766" s="27">
        <v>172211.53</v>
      </c>
      <c r="M3766" s="36">
        <v>0</v>
      </c>
      <c r="T3766" s="41">
        <v>0</v>
      </c>
      <c r="U3766" s="41">
        <v>0</v>
      </c>
      <c r="V3766" s="42" t="s">
        <v>113</v>
      </c>
      <c r="W3766" s="42">
        <v>181275.3</v>
      </c>
      <c r="X3766" s="42">
        <v>181275.3</v>
      </c>
    </row>
    <row r="3767" spans="1:24">
      <c r="A3767" s="27" t="s">
        <v>6920</v>
      </c>
      <c r="B3767" s="28" t="s">
        <v>5102</v>
      </c>
      <c r="C3767" s="27" t="s">
        <v>6921</v>
      </c>
      <c r="D3767" s="27" t="s">
        <v>5104</v>
      </c>
      <c r="E3767" s="29">
        <v>35339</v>
      </c>
      <c r="F3767" s="27">
        <v>15</v>
      </c>
      <c r="G3767" s="18">
        <v>29031.85</v>
      </c>
      <c r="H3767" s="27">
        <f t="shared" si="116"/>
        <v>29031.85</v>
      </c>
      <c r="I3767" s="18">
        <v>27580.26</v>
      </c>
      <c r="J3767" s="27">
        <v>29031.85</v>
      </c>
      <c r="K3767" s="18">
        <f t="shared" si="117"/>
        <v>29031.85</v>
      </c>
      <c r="L3767" s="27">
        <v>27580.26</v>
      </c>
      <c r="M3767" s="36">
        <v>0</v>
      </c>
      <c r="T3767" s="41">
        <v>0</v>
      </c>
      <c r="U3767" s="41">
        <v>0</v>
      </c>
      <c r="V3767" s="42" t="s">
        <v>113</v>
      </c>
      <c r="W3767" s="42">
        <v>29031.85</v>
      </c>
      <c r="X3767" s="42">
        <v>29031.85</v>
      </c>
    </row>
    <row r="3768" spans="1:24">
      <c r="A3768" s="27" t="s">
        <v>6922</v>
      </c>
      <c r="B3768" s="28" t="s">
        <v>5102</v>
      </c>
      <c r="C3768" s="27" t="s">
        <v>6923</v>
      </c>
      <c r="D3768" s="27" t="s">
        <v>5104</v>
      </c>
      <c r="E3768" s="29">
        <v>33786</v>
      </c>
      <c r="F3768" s="27">
        <v>15</v>
      </c>
      <c r="G3768" s="18">
        <v>333174.69</v>
      </c>
      <c r="H3768" s="27">
        <f t="shared" si="116"/>
        <v>333174.69</v>
      </c>
      <c r="I3768" s="18">
        <v>316515.96000000002</v>
      </c>
      <c r="J3768" s="27">
        <v>333174.69</v>
      </c>
      <c r="K3768" s="18">
        <f t="shared" si="117"/>
        <v>333174.69</v>
      </c>
      <c r="L3768" s="27">
        <v>316515.96000000002</v>
      </c>
      <c r="M3768" s="36">
        <v>0</v>
      </c>
      <c r="T3768" s="41">
        <v>0</v>
      </c>
      <c r="U3768" s="41">
        <v>0</v>
      </c>
      <c r="V3768" s="42" t="s">
        <v>113</v>
      </c>
      <c r="W3768" s="42">
        <v>333174.69</v>
      </c>
      <c r="X3768" s="42">
        <v>333174.69</v>
      </c>
    </row>
    <row r="3769" spans="1:24">
      <c r="A3769" s="27" t="s">
        <v>6924</v>
      </c>
      <c r="B3769" s="28" t="s">
        <v>5102</v>
      </c>
      <c r="C3769" s="27" t="s">
        <v>6925</v>
      </c>
      <c r="D3769" s="27" t="s">
        <v>5104</v>
      </c>
      <c r="E3769" s="29">
        <v>39417</v>
      </c>
      <c r="F3769" s="27">
        <v>15</v>
      </c>
      <c r="G3769" s="18">
        <v>150710</v>
      </c>
      <c r="H3769" s="27">
        <f t="shared" si="116"/>
        <v>0</v>
      </c>
      <c r="I3769" s="18">
        <v>134226.25</v>
      </c>
      <c r="J3769" s="27">
        <v>150710</v>
      </c>
      <c r="K3769" s="18">
        <f t="shared" si="117"/>
        <v>0</v>
      </c>
      <c r="L3769" s="27">
        <v>136463.31</v>
      </c>
      <c r="M3769" s="36">
        <v>2237.06</v>
      </c>
      <c r="T3769" s="41">
        <v>0</v>
      </c>
      <c r="U3769" s="41">
        <v>0</v>
      </c>
      <c r="V3769" s="42" t="s">
        <v>113</v>
      </c>
      <c r="W3769" s="42">
        <v>0</v>
      </c>
      <c r="X3769" s="42">
        <v>0</v>
      </c>
    </row>
    <row r="3770" spans="1:24">
      <c r="A3770" s="27" t="s">
        <v>6926</v>
      </c>
      <c r="B3770" s="28" t="s">
        <v>5102</v>
      </c>
      <c r="C3770" s="27" t="s">
        <v>6927</v>
      </c>
      <c r="D3770" s="27" t="s">
        <v>5104</v>
      </c>
      <c r="E3770" s="29">
        <v>37561</v>
      </c>
      <c r="F3770" s="27">
        <v>15</v>
      </c>
      <c r="G3770" s="18">
        <v>7458.33</v>
      </c>
      <c r="H3770" s="27">
        <f t="shared" si="116"/>
        <v>7458.33</v>
      </c>
      <c r="I3770" s="18">
        <v>7085.41</v>
      </c>
      <c r="J3770" s="27">
        <v>7458.33</v>
      </c>
      <c r="K3770" s="18">
        <f t="shared" si="117"/>
        <v>7458.33</v>
      </c>
      <c r="L3770" s="27">
        <v>7085.41</v>
      </c>
      <c r="M3770" s="36">
        <v>0</v>
      </c>
      <c r="T3770" s="41">
        <v>0</v>
      </c>
      <c r="U3770" s="41">
        <v>0</v>
      </c>
      <c r="V3770" s="42" t="s">
        <v>113</v>
      </c>
      <c r="W3770" s="42">
        <v>7458.33</v>
      </c>
      <c r="X3770" s="42">
        <v>7458.33</v>
      </c>
    </row>
    <row r="3771" spans="1:24">
      <c r="A3771" s="27" t="s">
        <v>6928</v>
      </c>
      <c r="B3771" s="28" t="s">
        <v>5102</v>
      </c>
      <c r="C3771" s="27" t="s">
        <v>5515</v>
      </c>
      <c r="D3771" s="27" t="s">
        <v>5104</v>
      </c>
      <c r="E3771" s="29">
        <v>36434</v>
      </c>
      <c r="F3771" s="27">
        <v>15</v>
      </c>
      <c r="G3771" s="18">
        <v>35500</v>
      </c>
      <c r="H3771" s="27">
        <f t="shared" si="116"/>
        <v>35500</v>
      </c>
      <c r="I3771" s="18">
        <v>33725</v>
      </c>
      <c r="J3771" s="27">
        <v>35500</v>
      </c>
      <c r="K3771" s="18">
        <f t="shared" si="117"/>
        <v>35500</v>
      </c>
      <c r="L3771" s="27">
        <v>33725</v>
      </c>
      <c r="M3771" s="36">
        <v>0</v>
      </c>
      <c r="T3771" s="41">
        <v>0</v>
      </c>
      <c r="U3771" s="41">
        <v>0</v>
      </c>
      <c r="V3771" s="42" t="s">
        <v>113</v>
      </c>
      <c r="W3771" s="42">
        <v>35500</v>
      </c>
      <c r="X3771" s="42">
        <v>35500</v>
      </c>
    </row>
    <row r="3772" spans="1:24">
      <c r="A3772" s="27" t="s">
        <v>6929</v>
      </c>
      <c r="B3772" s="28" t="s">
        <v>5102</v>
      </c>
      <c r="C3772" s="27" t="s">
        <v>6930</v>
      </c>
      <c r="D3772" s="27" t="s">
        <v>5104</v>
      </c>
      <c r="E3772" s="29">
        <v>36161</v>
      </c>
      <c r="F3772" s="27">
        <v>15</v>
      </c>
      <c r="G3772" s="18">
        <v>5320</v>
      </c>
      <c r="H3772" s="27">
        <f t="shared" si="116"/>
        <v>5320</v>
      </c>
      <c r="I3772" s="18">
        <v>5054</v>
      </c>
      <c r="J3772" s="27">
        <v>5320</v>
      </c>
      <c r="K3772" s="18">
        <f t="shared" si="117"/>
        <v>5320</v>
      </c>
      <c r="L3772" s="27">
        <v>5054</v>
      </c>
      <c r="M3772" s="36">
        <v>0</v>
      </c>
      <c r="T3772" s="41">
        <v>0</v>
      </c>
      <c r="U3772" s="41">
        <v>0</v>
      </c>
      <c r="V3772" s="42" t="s">
        <v>113</v>
      </c>
      <c r="W3772" s="42">
        <v>5320</v>
      </c>
      <c r="X3772" s="42">
        <v>5320</v>
      </c>
    </row>
    <row r="3773" spans="1:24">
      <c r="A3773" s="27" t="s">
        <v>6931</v>
      </c>
      <c r="B3773" s="28" t="s">
        <v>5102</v>
      </c>
      <c r="C3773" s="27" t="s">
        <v>6932</v>
      </c>
      <c r="D3773" s="27" t="s">
        <v>5104</v>
      </c>
      <c r="E3773" s="29">
        <v>36281</v>
      </c>
      <c r="F3773" s="27">
        <v>15</v>
      </c>
      <c r="G3773" s="18">
        <v>5936.67</v>
      </c>
      <c r="H3773" s="27">
        <f t="shared" si="116"/>
        <v>5936.67</v>
      </c>
      <c r="I3773" s="18">
        <v>5639.84</v>
      </c>
      <c r="J3773" s="27">
        <v>5936.67</v>
      </c>
      <c r="K3773" s="18">
        <f t="shared" si="117"/>
        <v>5936.67</v>
      </c>
      <c r="L3773" s="27">
        <v>5639.84</v>
      </c>
      <c r="M3773" s="36">
        <v>0</v>
      </c>
      <c r="T3773" s="41">
        <v>0</v>
      </c>
      <c r="U3773" s="41">
        <v>0</v>
      </c>
      <c r="V3773" s="42" t="s">
        <v>113</v>
      </c>
      <c r="W3773" s="42">
        <v>5936.67</v>
      </c>
      <c r="X3773" s="42">
        <v>5936.67</v>
      </c>
    </row>
    <row r="3774" spans="1:24">
      <c r="A3774" s="27" t="s">
        <v>6933</v>
      </c>
      <c r="B3774" s="28" t="s">
        <v>5102</v>
      </c>
      <c r="C3774" s="27" t="s">
        <v>6934</v>
      </c>
      <c r="D3774" s="27" t="s">
        <v>5104</v>
      </c>
      <c r="E3774" s="29">
        <v>37803</v>
      </c>
      <c r="F3774" s="27">
        <v>15</v>
      </c>
      <c r="G3774" s="18">
        <v>7304.69</v>
      </c>
      <c r="H3774" s="27">
        <f t="shared" si="116"/>
        <v>7304.69</v>
      </c>
      <c r="I3774" s="18">
        <v>6939.46</v>
      </c>
      <c r="J3774" s="27">
        <v>7304.69</v>
      </c>
      <c r="K3774" s="18">
        <f t="shared" si="117"/>
        <v>7304.69</v>
      </c>
      <c r="L3774" s="27">
        <v>6939.46</v>
      </c>
      <c r="M3774" s="36">
        <v>0</v>
      </c>
      <c r="T3774" s="41">
        <v>0</v>
      </c>
      <c r="U3774" s="41">
        <v>0</v>
      </c>
      <c r="V3774" s="42" t="s">
        <v>113</v>
      </c>
      <c r="W3774" s="42">
        <v>7304.69</v>
      </c>
      <c r="X3774" s="42">
        <v>7304.69</v>
      </c>
    </row>
    <row r="3775" spans="1:24">
      <c r="A3775" s="27" t="s">
        <v>6935</v>
      </c>
      <c r="B3775" s="28" t="s">
        <v>5102</v>
      </c>
      <c r="C3775" s="27" t="s">
        <v>6936</v>
      </c>
      <c r="D3775" s="27" t="s">
        <v>5104</v>
      </c>
      <c r="E3775" s="29">
        <v>34973</v>
      </c>
      <c r="F3775" s="27">
        <v>15</v>
      </c>
      <c r="G3775" s="18">
        <v>29962.5</v>
      </c>
      <c r="H3775" s="27">
        <f t="shared" si="116"/>
        <v>29962.5</v>
      </c>
      <c r="I3775" s="18">
        <v>28464.37</v>
      </c>
      <c r="J3775" s="27">
        <v>29962.5</v>
      </c>
      <c r="K3775" s="18">
        <f t="shared" si="117"/>
        <v>29962.5</v>
      </c>
      <c r="L3775" s="27">
        <v>28464.37</v>
      </c>
      <c r="M3775" s="36">
        <v>0</v>
      </c>
      <c r="T3775" s="41">
        <v>0</v>
      </c>
      <c r="U3775" s="41">
        <v>0</v>
      </c>
      <c r="V3775" s="42" t="s">
        <v>113</v>
      </c>
      <c r="W3775" s="42">
        <v>29962.5</v>
      </c>
      <c r="X3775" s="42">
        <v>29962.5</v>
      </c>
    </row>
    <row r="3776" spans="1:24">
      <c r="A3776" s="27" t="s">
        <v>6937</v>
      </c>
      <c r="B3776" s="28" t="s">
        <v>5102</v>
      </c>
      <c r="C3776" s="27" t="s">
        <v>5515</v>
      </c>
      <c r="D3776" s="27" t="s">
        <v>5104</v>
      </c>
      <c r="E3776" s="29">
        <v>34973</v>
      </c>
      <c r="F3776" s="27">
        <v>15</v>
      </c>
      <c r="G3776" s="18">
        <v>17135.419999999998</v>
      </c>
      <c r="H3776" s="27">
        <f t="shared" si="116"/>
        <v>17135.419999999998</v>
      </c>
      <c r="I3776" s="18">
        <v>16278.65</v>
      </c>
      <c r="J3776" s="27">
        <v>17135.419999999998</v>
      </c>
      <c r="K3776" s="18">
        <f t="shared" si="117"/>
        <v>17135.419999999998</v>
      </c>
      <c r="L3776" s="27">
        <v>16278.65</v>
      </c>
      <c r="M3776" s="36">
        <v>0</v>
      </c>
      <c r="T3776" s="41">
        <v>0</v>
      </c>
      <c r="U3776" s="41">
        <v>0</v>
      </c>
      <c r="V3776" s="42" t="s">
        <v>113</v>
      </c>
      <c r="W3776" s="42">
        <v>17135.419999999998</v>
      </c>
      <c r="X3776" s="42">
        <v>17135.419999999998</v>
      </c>
    </row>
    <row r="3777" spans="1:24">
      <c r="A3777" s="27" t="s">
        <v>6938</v>
      </c>
      <c r="B3777" s="28" t="s">
        <v>5102</v>
      </c>
      <c r="C3777" s="27" t="s">
        <v>6939</v>
      </c>
      <c r="D3777" s="27" t="s">
        <v>5104</v>
      </c>
      <c r="E3777" s="29">
        <v>37742</v>
      </c>
      <c r="F3777" s="27">
        <v>15</v>
      </c>
      <c r="G3777" s="18">
        <v>7708.33</v>
      </c>
      <c r="H3777" s="27">
        <f t="shared" si="116"/>
        <v>7708.33</v>
      </c>
      <c r="I3777" s="18">
        <v>7322.91</v>
      </c>
      <c r="J3777" s="27">
        <v>7708.33</v>
      </c>
      <c r="K3777" s="18">
        <f t="shared" si="117"/>
        <v>7708.33</v>
      </c>
      <c r="L3777" s="27">
        <v>7322.91</v>
      </c>
      <c r="M3777" s="36">
        <v>0</v>
      </c>
      <c r="T3777" s="41">
        <v>0</v>
      </c>
      <c r="U3777" s="41">
        <v>0</v>
      </c>
      <c r="V3777" s="42" t="s">
        <v>113</v>
      </c>
      <c r="W3777" s="42">
        <v>7708.33</v>
      </c>
      <c r="X3777" s="42">
        <v>7708.33</v>
      </c>
    </row>
    <row r="3778" spans="1:24">
      <c r="A3778" s="27" t="s">
        <v>6940</v>
      </c>
      <c r="B3778" s="28" t="s">
        <v>5102</v>
      </c>
      <c r="C3778" s="27" t="s">
        <v>6941</v>
      </c>
      <c r="D3778" s="27" t="s">
        <v>5104</v>
      </c>
      <c r="E3778" s="29">
        <v>35339</v>
      </c>
      <c r="F3778" s="27">
        <v>15</v>
      </c>
      <c r="G3778" s="18">
        <v>7950</v>
      </c>
      <c r="H3778" s="27">
        <f t="shared" si="116"/>
        <v>7950</v>
      </c>
      <c r="I3778" s="18">
        <v>7552.5</v>
      </c>
      <c r="J3778" s="27">
        <v>7950</v>
      </c>
      <c r="K3778" s="18">
        <f t="shared" si="117"/>
        <v>7950</v>
      </c>
      <c r="L3778" s="27">
        <v>7552.5</v>
      </c>
      <c r="M3778" s="36">
        <v>0</v>
      </c>
      <c r="T3778" s="41">
        <v>0</v>
      </c>
      <c r="U3778" s="41">
        <v>0</v>
      </c>
      <c r="V3778" s="42" t="s">
        <v>113</v>
      </c>
      <c r="W3778" s="42">
        <v>7950</v>
      </c>
      <c r="X3778" s="42">
        <v>7950</v>
      </c>
    </row>
    <row r="3779" spans="1:24">
      <c r="A3779" s="27" t="s">
        <v>6942</v>
      </c>
      <c r="B3779" s="28" t="s">
        <v>5102</v>
      </c>
      <c r="C3779" s="27" t="s">
        <v>5515</v>
      </c>
      <c r="D3779" s="27" t="s">
        <v>5104</v>
      </c>
      <c r="E3779" s="29">
        <v>34060</v>
      </c>
      <c r="F3779" s="27">
        <v>15</v>
      </c>
      <c r="G3779" s="18">
        <v>16666.669999999998</v>
      </c>
      <c r="H3779" s="27">
        <f t="shared" si="116"/>
        <v>16666.669999999998</v>
      </c>
      <c r="I3779" s="18">
        <v>15833.34</v>
      </c>
      <c r="J3779" s="27">
        <v>16666.669999999998</v>
      </c>
      <c r="K3779" s="18">
        <f t="shared" si="117"/>
        <v>16666.669999999998</v>
      </c>
      <c r="L3779" s="27">
        <v>15833.34</v>
      </c>
      <c r="M3779" s="36">
        <v>0</v>
      </c>
      <c r="T3779" s="41">
        <v>0</v>
      </c>
      <c r="U3779" s="41">
        <v>0</v>
      </c>
      <c r="V3779" s="42" t="s">
        <v>113</v>
      </c>
      <c r="W3779" s="42">
        <v>16666.669999999998</v>
      </c>
      <c r="X3779" s="42">
        <v>16666.669999999998</v>
      </c>
    </row>
    <row r="3780" spans="1:24">
      <c r="A3780" s="27" t="s">
        <v>6943</v>
      </c>
      <c r="B3780" s="28" t="s">
        <v>5102</v>
      </c>
      <c r="C3780" s="27" t="s">
        <v>6944</v>
      </c>
      <c r="D3780" s="27" t="s">
        <v>5104</v>
      </c>
      <c r="E3780" s="29">
        <v>36951</v>
      </c>
      <c r="F3780" s="27">
        <v>15</v>
      </c>
      <c r="G3780" s="18">
        <v>6625</v>
      </c>
      <c r="H3780" s="27">
        <f t="shared" si="116"/>
        <v>6625</v>
      </c>
      <c r="I3780" s="18">
        <v>6293.75</v>
      </c>
      <c r="J3780" s="27">
        <v>6625</v>
      </c>
      <c r="K3780" s="18">
        <f t="shared" si="117"/>
        <v>6625</v>
      </c>
      <c r="L3780" s="27">
        <v>6293.75</v>
      </c>
      <c r="M3780" s="36">
        <v>0</v>
      </c>
      <c r="T3780" s="41">
        <v>0</v>
      </c>
      <c r="U3780" s="41">
        <v>0</v>
      </c>
      <c r="V3780" s="42" t="s">
        <v>113</v>
      </c>
      <c r="W3780" s="42">
        <v>6625</v>
      </c>
      <c r="X3780" s="42">
        <v>6625</v>
      </c>
    </row>
    <row r="3781" spans="1:24">
      <c r="A3781" s="27" t="s">
        <v>6945</v>
      </c>
      <c r="B3781" s="28" t="s">
        <v>5102</v>
      </c>
      <c r="C3781" s="27" t="s">
        <v>6946</v>
      </c>
      <c r="D3781" s="27" t="s">
        <v>5104</v>
      </c>
      <c r="E3781" s="29">
        <v>36770</v>
      </c>
      <c r="F3781" s="27">
        <v>15</v>
      </c>
      <c r="G3781" s="18">
        <v>6454.69</v>
      </c>
      <c r="H3781" s="27">
        <f t="shared" si="116"/>
        <v>6454.69</v>
      </c>
      <c r="I3781" s="18">
        <v>6131.96</v>
      </c>
      <c r="J3781" s="27">
        <v>6454.69</v>
      </c>
      <c r="K3781" s="18">
        <f t="shared" si="117"/>
        <v>6454.69</v>
      </c>
      <c r="L3781" s="27">
        <v>6131.96</v>
      </c>
      <c r="M3781" s="36">
        <v>0</v>
      </c>
      <c r="T3781" s="41">
        <v>0</v>
      </c>
      <c r="U3781" s="41">
        <v>0</v>
      </c>
      <c r="V3781" s="42" t="s">
        <v>113</v>
      </c>
      <c r="W3781" s="42">
        <v>6454.69</v>
      </c>
      <c r="X3781" s="42">
        <v>6454.69</v>
      </c>
    </row>
    <row r="3782" spans="1:24">
      <c r="A3782" s="27" t="s">
        <v>6947</v>
      </c>
      <c r="B3782" s="28" t="s">
        <v>5102</v>
      </c>
      <c r="C3782" s="27" t="s">
        <v>6948</v>
      </c>
      <c r="D3782" s="27" t="s">
        <v>5104</v>
      </c>
      <c r="E3782" s="29">
        <v>36342</v>
      </c>
      <c r="F3782" s="27">
        <v>15</v>
      </c>
      <c r="G3782" s="18">
        <v>5791.67</v>
      </c>
      <c r="H3782" s="27">
        <f t="shared" ref="H3782:H3845" si="118">IFERROR(IF(ROUND((G3782-I3782)/G3782,2)&lt;=0.05,G3782,0),0)</f>
        <v>5791.67</v>
      </c>
      <c r="I3782" s="18">
        <v>5502.09</v>
      </c>
      <c r="J3782" s="27">
        <v>5791.67</v>
      </c>
      <c r="K3782" s="18">
        <f t="shared" ref="K3782:K3845" si="119">IFERROR(IF(ROUND((J3782-L3782)/J3782,2)&lt;=0.05,J3782,0),0)</f>
        <v>5791.67</v>
      </c>
      <c r="L3782" s="27">
        <v>5502.09</v>
      </c>
      <c r="M3782" s="36">
        <v>0</v>
      </c>
      <c r="T3782" s="41">
        <v>0</v>
      </c>
      <c r="U3782" s="41">
        <v>0</v>
      </c>
      <c r="V3782" s="42" t="s">
        <v>113</v>
      </c>
      <c r="W3782" s="42">
        <v>5791.67</v>
      </c>
      <c r="X3782" s="42">
        <v>5791.67</v>
      </c>
    </row>
    <row r="3783" spans="1:24">
      <c r="A3783" s="27" t="s">
        <v>6949</v>
      </c>
      <c r="B3783" s="28" t="s">
        <v>5102</v>
      </c>
      <c r="C3783" s="27" t="s">
        <v>6950</v>
      </c>
      <c r="D3783" s="27" t="s">
        <v>5104</v>
      </c>
      <c r="E3783" s="29">
        <v>37712</v>
      </c>
      <c r="F3783" s="27">
        <v>15</v>
      </c>
      <c r="G3783" s="18">
        <v>93948.55</v>
      </c>
      <c r="H3783" s="27">
        <f t="shared" si="118"/>
        <v>93948.55</v>
      </c>
      <c r="I3783" s="18">
        <v>89251.12</v>
      </c>
      <c r="J3783" s="27">
        <v>93948.55</v>
      </c>
      <c r="K3783" s="18">
        <f t="shared" si="119"/>
        <v>93948.55</v>
      </c>
      <c r="L3783" s="27">
        <v>89251.12</v>
      </c>
      <c r="M3783" s="36">
        <v>0</v>
      </c>
      <c r="T3783" s="41">
        <v>0</v>
      </c>
      <c r="U3783" s="41">
        <v>0</v>
      </c>
      <c r="V3783" s="42" t="s">
        <v>113</v>
      </c>
      <c r="W3783" s="42">
        <v>93948.55</v>
      </c>
      <c r="X3783" s="42">
        <v>93948.55</v>
      </c>
    </row>
    <row r="3784" spans="1:24">
      <c r="A3784" s="27" t="s">
        <v>6951</v>
      </c>
      <c r="B3784" s="28" t="s">
        <v>5102</v>
      </c>
      <c r="C3784" s="27" t="s">
        <v>6952</v>
      </c>
      <c r="D3784" s="27" t="s">
        <v>5104</v>
      </c>
      <c r="E3784" s="29">
        <v>37712</v>
      </c>
      <c r="F3784" s="27">
        <v>15</v>
      </c>
      <c r="G3784" s="18">
        <v>246559.74</v>
      </c>
      <c r="H3784" s="27">
        <f t="shared" si="118"/>
        <v>246559.74</v>
      </c>
      <c r="I3784" s="18">
        <v>234231.75</v>
      </c>
      <c r="J3784" s="27">
        <v>246559.74</v>
      </c>
      <c r="K3784" s="18">
        <f t="shared" si="119"/>
        <v>246559.74</v>
      </c>
      <c r="L3784" s="27">
        <v>234231.75</v>
      </c>
      <c r="M3784" s="36">
        <v>0</v>
      </c>
      <c r="T3784" s="41">
        <v>0</v>
      </c>
      <c r="U3784" s="41">
        <v>0</v>
      </c>
      <c r="V3784" s="42" t="s">
        <v>113</v>
      </c>
      <c r="W3784" s="42">
        <v>246559.74</v>
      </c>
      <c r="X3784" s="42">
        <v>246559.74</v>
      </c>
    </row>
    <row r="3785" spans="1:24">
      <c r="A3785" s="27" t="s">
        <v>6953</v>
      </c>
      <c r="B3785" s="28" t="s">
        <v>5102</v>
      </c>
      <c r="C3785" s="27" t="s">
        <v>6954</v>
      </c>
      <c r="D3785" s="27" t="s">
        <v>5104</v>
      </c>
      <c r="E3785" s="29">
        <v>37773</v>
      </c>
      <c r="F3785" s="27">
        <v>15</v>
      </c>
      <c r="G3785" s="18">
        <v>112723.2</v>
      </c>
      <c r="H3785" s="27">
        <f t="shared" si="118"/>
        <v>112723.2</v>
      </c>
      <c r="I3785" s="18">
        <v>107087.03999999999</v>
      </c>
      <c r="J3785" s="27">
        <v>112723.2</v>
      </c>
      <c r="K3785" s="18">
        <f t="shared" si="119"/>
        <v>112723.2</v>
      </c>
      <c r="L3785" s="27">
        <v>107087.03999999999</v>
      </c>
      <c r="M3785" s="36">
        <v>0</v>
      </c>
      <c r="T3785" s="41">
        <v>0</v>
      </c>
      <c r="U3785" s="41">
        <v>0</v>
      </c>
      <c r="V3785" s="42" t="s">
        <v>113</v>
      </c>
      <c r="W3785" s="42">
        <v>112723.2</v>
      </c>
      <c r="X3785" s="42">
        <v>112723.2</v>
      </c>
    </row>
    <row r="3786" spans="1:24">
      <c r="A3786" s="27" t="s">
        <v>6955</v>
      </c>
      <c r="B3786" s="28" t="s">
        <v>5102</v>
      </c>
      <c r="C3786" s="27" t="s">
        <v>6956</v>
      </c>
      <c r="D3786" s="27" t="s">
        <v>5104</v>
      </c>
      <c r="E3786" s="29">
        <v>37956</v>
      </c>
      <c r="F3786" s="27">
        <v>15</v>
      </c>
      <c r="G3786" s="18">
        <v>171235.76</v>
      </c>
      <c r="H3786" s="27">
        <f t="shared" si="118"/>
        <v>171235.76</v>
      </c>
      <c r="I3786" s="18">
        <v>162673.97</v>
      </c>
      <c r="J3786" s="27">
        <v>171235.76</v>
      </c>
      <c r="K3786" s="18">
        <f t="shared" si="119"/>
        <v>171235.76</v>
      </c>
      <c r="L3786" s="27">
        <v>162673.97</v>
      </c>
      <c r="M3786" s="36">
        <v>0</v>
      </c>
      <c r="T3786" s="41">
        <v>0</v>
      </c>
      <c r="U3786" s="41">
        <v>0</v>
      </c>
      <c r="V3786" s="42" t="s">
        <v>113</v>
      </c>
      <c r="W3786" s="42">
        <v>171235.76</v>
      </c>
      <c r="X3786" s="42">
        <v>171235.76</v>
      </c>
    </row>
    <row r="3787" spans="1:24">
      <c r="A3787" s="27" t="s">
        <v>6957</v>
      </c>
      <c r="B3787" s="28" t="s">
        <v>5102</v>
      </c>
      <c r="C3787" s="27" t="s">
        <v>6958</v>
      </c>
      <c r="D3787" s="27" t="s">
        <v>5104</v>
      </c>
      <c r="E3787" s="29">
        <v>38078</v>
      </c>
      <c r="F3787" s="27">
        <v>15</v>
      </c>
      <c r="G3787" s="18">
        <v>195345.24</v>
      </c>
      <c r="H3787" s="27">
        <f t="shared" si="118"/>
        <v>195345.24</v>
      </c>
      <c r="I3787" s="18">
        <v>185577.98</v>
      </c>
      <c r="J3787" s="27">
        <v>195345.24</v>
      </c>
      <c r="K3787" s="18">
        <f t="shared" si="119"/>
        <v>195345.24</v>
      </c>
      <c r="L3787" s="27">
        <v>185577.98</v>
      </c>
      <c r="M3787" s="36">
        <v>0</v>
      </c>
      <c r="T3787" s="41">
        <v>0</v>
      </c>
      <c r="U3787" s="41">
        <v>0</v>
      </c>
      <c r="V3787" s="42" t="s">
        <v>113</v>
      </c>
      <c r="W3787" s="42">
        <v>195345.24</v>
      </c>
      <c r="X3787" s="42">
        <v>195345.24</v>
      </c>
    </row>
    <row r="3788" spans="1:24">
      <c r="A3788" s="27" t="s">
        <v>6959</v>
      </c>
      <c r="B3788" s="28" t="s">
        <v>5102</v>
      </c>
      <c r="C3788" s="27" t="s">
        <v>6958</v>
      </c>
      <c r="D3788" s="27" t="s">
        <v>5104</v>
      </c>
      <c r="E3788" s="29">
        <v>38078</v>
      </c>
      <c r="F3788" s="27">
        <v>15</v>
      </c>
      <c r="G3788" s="18">
        <v>65718.33</v>
      </c>
      <c r="H3788" s="27">
        <f t="shared" si="118"/>
        <v>65718.33</v>
      </c>
      <c r="I3788" s="18">
        <v>62432.41</v>
      </c>
      <c r="J3788" s="27">
        <v>65718.33</v>
      </c>
      <c r="K3788" s="18">
        <f t="shared" si="119"/>
        <v>65718.33</v>
      </c>
      <c r="L3788" s="27">
        <v>62432.41</v>
      </c>
      <c r="M3788" s="36">
        <v>0</v>
      </c>
      <c r="T3788" s="41">
        <v>0</v>
      </c>
      <c r="U3788" s="41">
        <v>0</v>
      </c>
      <c r="V3788" s="42" t="s">
        <v>113</v>
      </c>
      <c r="W3788" s="42">
        <v>65718.33</v>
      </c>
      <c r="X3788" s="42">
        <v>65718.33</v>
      </c>
    </row>
    <row r="3789" spans="1:24">
      <c r="A3789" s="27" t="s">
        <v>6960</v>
      </c>
      <c r="B3789" s="28" t="s">
        <v>5102</v>
      </c>
      <c r="C3789" s="27" t="s">
        <v>6961</v>
      </c>
      <c r="D3789" s="27" t="s">
        <v>5104</v>
      </c>
      <c r="E3789" s="29">
        <v>37712</v>
      </c>
      <c r="F3789" s="27">
        <v>15</v>
      </c>
      <c r="G3789" s="18">
        <v>49146.85</v>
      </c>
      <c r="H3789" s="27">
        <f t="shared" si="118"/>
        <v>49146.85</v>
      </c>
      <c r="I3789" s="18">
        <v>46689.51</v>
      </c>
      <c r="J3789" s="27">
        <v>49146.85</v>
      </c>
      <c r="K3789" s="18">
        <f t="shared" si="119"/>
        <v>49146.85</v>
      </c>
      <c r="L3789" s="27">
        <v>46689.51</v>
      </c>
      <c r="M3789" s="36">
        <v>0</v>
      </c>
      <c r="T3789" s="41">
        <v>0</v>
      </c>
      <c r="U3789" s="41">
        <v>0</v>
      </c>
      <c r="V3789" s="42" t="s">
        <v>113</v>
      </c>
      <c r="W3789" s="42">
        <v>49146.85</v>
      </c>
      <c r="X3789" s="42">
        <v>49146.85</v>
      </c>
    </row>
    <row r="3790" spans="1:24">
      <c r="A3790" s="27" t="s">
        <v>6962</v>
      </c>
      <c r="B3790" s="28" t="s">
        <v>5102</v>
      </c>
      <c r="C3790" s="27" t="s">
        <v>6963</v>
      </c>
      <c r="D3790" s="27" t="s">
        <v>5104</v>
      </c>
      <c r="E3790" s="29">
        <v>37712</v>
      </c>
      <c r="F3790" s="27">
        <v>15</v>
      </c>
      <c r="G3790" s="18">
        <v>29586.18</v>
      </c>
      <c r="H3790" s="27">
        <f t="shared" si="118"/>
        <v>29586.18</v>
      </c>
      <c r="I3790" s="18">
        <v>28106.87</v>
      </c>
      <c r="J3790" s="27">
        <v>29586.18</v>
      </c>
      <c r="K3790" s="18">
        <f t="shared" si="119"/>
        <v>29586.18</v>
      </c>
      <c r="L3790" s="27">
        <v>28106.87</v>
      </c>
      <c r="M3790" s="36">
        <v>0</v>
      </c>
      <c r="T3790" s="41">
        <v>0</v>
      </c>
      <c r="U3790" s="41">
        <v>0</v>
      </c>
      <c r="V3790" s="42" t="s">
        <v>113</v>
      </c>
      <c r="W3790" s="42">
        <v>29586.18</v>
      </c>
      <c r="X3790" s="42">
        <v>29586.18</v>
      </c>
    </row>
    <row r="3791" spans="1:24">
      <c r="A3791" s="27" t="s">
        <v>6964</v>
      </c>
      <c r="B3791" s="28" t="s">
        <v>5102</v>
      </c>
      <c r="C3791" s="27" t="s">
        <v>6963</v>
      </c>
      <c r="D3791" s="27" t="s">
        <v>5104</v>
      </c>
      <c r="E3791" s="29">
        <v>37712</v>
      </c>
      <c r="F3791" s="27">
        <v>15</v>
      </c>
      <c r="G3791" s="18">
        <v>12259.46</v>
      </c>
      <c r="H3791" s="27">
        <f t="shared" si="118"/>
        <v>12259.46</v>
      </c>
      <c r="I3791" s="18">
        <v>11646.49</v>
      </c>
      <c r="J3791" s="27">
        <v>12259.46</v>
      </c>
      <c r="K3791" s="18">
        <f t="shared" si="119"/>
        <v>12259.46</v>
      </c>
      <c r="L3791" s="27">
        <v>11646.49</v>
      </c>
      <c r="M3791" s="36">
        <v>0</v>
      </c>
      <c r="T3791" s="41">
        <v>0</v>
      </c>
      <c r="U3791" s="41">
        <v>0</v>
      </c>
      <c r="V3791" s="42" t="s">
        <v>113</v>
      </c>
      <c r="W3791" s="42">
        <v>12259.46</v>
      </c>
      <c r="X3791" s="42">
        <v>12259.46</v>
      </c>
    </row>
    <row r="3792" spans="1:24">
      <c r="A3792" s="27" t="s">
        <v>6965</v>
      </c>
      <c r="B3792" s="28" t="s">
        <v>5102</v>
      </c>
      <c r="C3792" s="27" t="s">
        <v>6966</v>
      </c>
      <c r="D3792" s="27" t="s">
        <v>5104</v>
      </c>
      <c r="E3792" s="29">
        <v>37712</v>
      </c>
      <c r="F3792" s="27">
        <v>15</v>
      </c>
      <c r="G3792" s="18">
        <v>66933.78</v>
      </c>
      <c r="H3792" s="27">
        <f t="shared" si="118"/>
        <v>66933.78</v>
      </c>
      <c r="I3792" s="18">
        <v>63587.09</v>
      </c>
      <c r="J3792" s="27">
        <v>66933.78</v>
      </c>
      <c r="K3792" s="18">
        <f t="shared" si="119"/>
        <v>66933.78</v>
      </c>
      <c r="L3792" s="27">
        <v>63587.09</v>
      </c>
      <c r="M3792" s="36">
        <v>0</v>
      </c>
      <c r="T3792" s="41">
        <v>0</v>
      </c>
      <c r="U3792" s="41">
        <v>0</v>
      </c>
      <c r="V3792" s="42" t="s">
        <v>113</v>
      </c>
      <c r="W3792" s="42">
        <v>66933.78</v>
      </c>
      <c r="X3792" s="42">
        <v>66933.78</v>
      </c>
    </row>
    <row r="3793" spans="1:24">
      <c r="A3793" s="27" t="s">
        <v>6967</v>
      </c>
      <c r="B3793" s="28" t="s">
        <v>5102</v>
      </c>
      <c r="C3793" s="27" t="s">
        <v>6968</v>
      </c>
      <c r="D3793" s="27" t="s">
        <v>5104</v>
      </c>
      <c r="E3793" s="29">
        <v>38078</v>
      </c>
      <c r="F3793" s="27">
        <v>15</v>
      </c>
      <c r="G3793" s="18">
        <v>6686.86</v>
      </c>
      <c r="H3793" s="27">
        <f t="shared" si="118"/>
        <v>6686.86</v>
      </c>
      <c r="I3793" s="18">
        <v>6352.52</v>
      </c>
      <c r="J3793" s="27">
        <v>6686.86</v>
      </c>
      <c r="K3793" s="18">
        <f t="shared" si="119"/>
        <v>6686.86</v>
      </c>
      <c r="L3793" s="27">
        <v>6352.52</v>
      </c>
      <c r="M3793" s="36">
        <v>0</v>
      </c>
      <c r="T3793" s="41">
        <v>0</v>
      </c>
      <c r="U3793" s="41">
        <v>0</v>
      </c>
      <c r="V3793" s="42" t="s">
        <v>113</v>
      </c>
      <c r="W3793" s="42">
        <v>6686.86</v>
      </c>
      <c r="X3793" s="42">
        <v>6686.86</v>
      </c>
    </row>
    <row r="3794" spans="1:24">
      <c r="A3794" s="27" t="s">
        <v>6969</v>
      </c>
      <c r="B3794" s="28" t="s">
        <v>5102</v>
      </c>
      <c r="C3794" s="27" t="s">
        <v>6970</v>
      </c>
      <c r="D3794" s="27" t="s">
        <v>5104</v>
      </c>
      <c r="E3794" s="29">
        <v>37712</v>
      </c>
      <c r="F3794" s="27">
        <v>15</v>
      </c>
      <c r="G3794" s="18">
        <v>32806.01</v>
      </c>
      <c r="H3794" s="27">
        <f t="shared" si="118"/>
        <v>32806.01</v>
      </c>
      <c r="I3794" s="18">
        <v>31165.71</v>
      </c>
      <c r="J3794" s="27">
        <v>32806.01</v>
      </c>
      <c r="K3794" s="18">
        <f t="shared" si="119"/>
        <v>32806.01</v>
      </c>
      <c r="L3794" s="27">
        <v>31165.71</v>
      </c>
      <c r="M3794" s="36">
        <v>0</v>
      </c>
      <c r="T3794" s="41">
        <v>0</v>
      </c>
      <c r="U3794" s="41">
        <v>0</v>
      </c>
      <c r="V3794" s="42" t="s">
        <v>113</v>
      </c>
      <c r="W3794" s="42">
        <v>32806.01</v>
      </c>
      <c r="X3794" s="42">
        <v>32806.01</v>
      </c>
    </row>
    <row r="3795" spans="1:24">
      <c r="A3795" s="27" t="s">
        <v>6971</v>
      </c>
      <c r="B3795" s="28" t="s">
        <v>5102</v>
      </c>
      <c r="C3795" s="27" t="s">
        <v>6972</v>
      </c>
      <c r="D3795" s="27" t="s">
        <v>5104</v>
      </c>
      <c r="E3795" s="29">
        <v>37712</v>
      </c>
      <c r="F3795" s="27">
        <v>15</v>
      </c>
      <c r="G3795" s="18">
        <v>291895.46000000002</v>
      </c>
      <c r="H3795" s="27">
        <f t="shared" si="118"/>
        <v>291895.46000000002</v>
      </c>
      <c r="I3795" s="18">
        <v>277300.69</v>
      </c>
      <c r="J3795" s="27">
        <v>291895.46000000002</v>
      </c>
      <c r="K3795" s="18">
        <f t="shared" si="119"/>
        <v>291895.46000000002</v>
      </c>
      <c r="L3795" s="27">
        <v>277300.69</v>
      </c>
      <c r="M3795" s="36">
        <v>0</v>
      </c>
      <c r="T3795" s="41">
        <v>0</v>
      </c>
      <c r="U3795" s="41">
        <v>0</v>
      </c>
      <c r="V3795" s="42" t="s">
        <v>113</v>
      </c>
      <c r="W3795" s="42">
        <v>291895.46000000002</v>
      </c>
      <c r="X3795" s="42">
        <v>291895.46000000002</v>
      </c>
    </row>
    <row r="3796" spans="1:24">
      <c r="A3796" s="27" t="s">
        <v>6973</v>
      </c>
      <c r="B3796" s="28" t="s">
        <v>5102</v>
      </c>
      <c r="C3796" s="27" t="s">
        <v>6974</v>
      </c>
      <c r="D3796" s="27" t="s">
        <v>5104</v>
      </c>
      <c r="E3796" s="29">
        <v>38078</v>
      </c>
      <c r="F3796" s="27">
        <v>15</v>
      </c>
      <c r="G3796" s="18">
        <v>88018.09</v>
      </c>
      <c r="H3796" s="27">
        <f t="shared" si="118"/>
        <v>88018.09</v>
      </c>
      <c r="I3796" s="18">
        <v>83617.19</v>
      </c>
      <c r="J3796" s="27">
        <v>88018.09</v>
      </c>
      <c r="K3796" s="18">
        <f t="shared" si="119"/>
        <v>88018.09</v>
      </c>
      <c r="L3796" s="27">
        <v>83617.19</v>
      </c>
      <c r="M3796" s="36">
        <v>0</v>
      </c>
      <c r="T3796" s="41">
        <v>0</v>
      </c>
      <c r="U3796" s="41">
        <v>0</v>
      </c>
      <c r="V3796" s="42" t="s">
        <v>113</v>
      </c>
      <c r="W3796" s="42">
        <v>88018.09</v>
      </c>
      <c r="X3796" s="42">
        <v>88018.09</v>
      </c>
    </row>
    <row r="3797" spans="1:24">
      <c r="A3797" s="27" t="s">
        <v>6975</v>
      </c>
      <c r="B3797" s="28" t="s">
        <v>5102</v>
      </c>
      <c r="C3797" s="27" t="s">
        <v>6974</v>
      </c>
      <c r="D3797" s="27" t="s">
        <v>5104</v>
      </c>
      <c r="E3797" s="29">
        <v>38078</v>
      </c>
      <c r="F3797" s="27">
        <v>15</v>
      </c>
      <c r="G3797" s="18">
        <v>21916.34</v>
      </c>
      <c r="H3797" s="27">
        <f t="shared" si="118"/>
        <v>21916.34</v>
      </c>
      <c r="I3797" s="18">
        <v>20820.52</v>
      </c>
      <c r="J3797" s="27">
        <v>21916.34</v>
      </c>
      <c r="K3797" s="18">
        <f t="shared" si="119"/>
        <v>21916.34</v>
      </c>
      <c r="L3797" s="27">
        <v>20820.52</v>
      </c>
      <c r="M3797" s="36">
        <v>0</v>
      </c>
      <c r="T3797" s="41">
        <v>0</v>
      </c>
      <c r="U3797" s="41">
        <v>0</v>
      </c>
      <c r="V3797" s="42" t="s">
        <v>113</v>
      </c>
      <c r="W3797" s="42">
        <v>21916.34</v>
      </c>
      <c r="X3797" s="42">
        <v>21916.34</v>
      </c>
    </row>
    <row r="3798" spans="1:24">
      <c r="A3798" s="27" t="s">
        <v>6976</v>
      </c>
      <c r="B3798" s="28" t="s">
        <v>5102</v>
      </c>
      <c r="C3798" s="27" t="s">
        <v>6977</v>
      </c>
      <c r="D3798" s="27" t="s">
        <v>5104</v>
      </c>
      <c r="E3798" s="29">
        <v>37226</v>
      </c>
      <c r="F3798" s="27">
        <v>15</v>
      </c>
      <c r="G3798" s="18">
        <v>13327.84</v>
      </c>
      <c r="H3798" s="27">
        <f t="shared" si="118"/>
        <v>13327.84</v>
      </c>
      <c r="I3798" s="18">
        <v>12661.45</v>
      </c>
      <c r="J3798" s="27">
        <v>13327.84</v>
      </c>
      <c r="K3798" s="18">
        <f t="shared" si="119"/>
        <v>13327.84</v>
      </c>
      <c r="L3798" s="27">
        <v>12661.45</v>
      </c>
      <c r="M3798" s="36">
        <v>0</v>
      </c>
      <c r="T3798" s="41">
        <v>0</v>
      </c>
      <c r="U3798" s="41">
        <v>0</v>
      </c>
      <c r="V3798" s="42" t="s">
        <v>113</v>
      </c>
      <c r="W3798" s="42">
        <v>13327.84</v>
      </c>
      <c r="X3798" s="42">
        <v>13327.84</v>
      </c>
    </row>
    <row r="3799" spans="1:24">
      <c r="A3799" s="27" t="s">
        <v>6978</v>
      </c>
      <c r="B3799" s="28" t="s">
        <v>5102</v>
      </c>
      <c r="C3799" s="27" t="s">
        <v>6979</v>
      </c>
      <c r="D3799" s="27" t="s">
        <v>5104</v>
      </c>
      <c r="E3799" s="29">
        <v>37226</v>
      </c>
      <c r="F3799" s="27">
        <v>15</v>
      </c>
      <c r="G3799" s="18">
        <v>198732.93</v>
      </c>
      <c r="H3799" s="27">
        <f t="shared" si="118"/>
        <v>198732.93</v>
      </c>
      <c r="I3799" s="18">
        <v>188796.28</v>
      </c>
      <c r="J3799" s="27">
        <v>198732.93</v>
      </c>
      <c r="K3799" s="18">
        <f t="shared" si="119"/>
        <v>198732.93</v>
      </c>
      <c r="L3799" s="27">
        <v>188796.28</v>
      </c>
      <c r="M3799" s="36">
        <v>0</v>
      </c>
      <c r="T3799" s="41">
        <v>0</v>
      </c>
      <c r="U3799" s="41">
        <v>0</v>
      </c>
      <c r="V3799" s="42" t="s">
        <v>113</v>
      </c>
      <c r="W3799" s="42">
        <v>198732.93</v>
      </c>
      <c r="X3799" s="42">
        <v>198732.93</v>
      </c>
    </row>
    <row r="3800" spans="1:24">
      <c r="A3800" s="27" t="s">
        <v>6980</v>
      </c>
      <c r="B3800" s="28" t="s">
        <v>5102</v>
      </c>
      <c r="C3800" s="27" t="s">
        <v>6981</v>
      </c>
      <c r="D3800" s="27" t="s">
        <v>230</v>
      </c>
      <c r="E3800" s="29">
        <v>39417</v>
      </c>
      <c r="F3800" s="27">
        <v>15</v>
      </c>
      <c r="G3800" s="18">
        <v>3556139.05</v>
      </c>
      <c r="H3800" s="27">
        <f t="shared" si="118"/>
        <v>0</v>
      </c>
      <c r="I3800" s="18">
        <v>2305118.7000000002</v>
      </c>
      <c r="J3800" s="27">
        <v>3556139.05</v>
      </c>
      <c r="K3800" s="18">
        <f t="shared" si="119"/>
        <v>0</v>
      </c>
      <c r="L3800" s="27">
        <v>2573422.0499999998</v>
      </c>
      <c r="M3800" s="36">
        <v>268303.34999999998</v>
      </c>
      <c r="T3800" s="41">
        <v>0</v>
      </c>
      <c r="U3800" s="41">
        <v>0</v>
      </c>
      <c r="V3800" s="42" t="s">
        <v>113</v>
      </c>
      <c r="W3800" s="42">
        <v>0</v>
      </c>
      <c r="X3800" s="42">
        <v>0</v>
      </c>
    </row>
    <row r="3801" spans="1:24">
      <c r="A3801" s="27" t="s">
        <v>6982</v>
      </c>
      <c r="B3801" s="28" t="s">
        <v>5102</v>
      </c>
      <c r="C3801" s="27" t="s">
        <v>6983</v>
      </c>
      <c r="D3801" s="27" t="s">
        <v>5104</v>
      </c>
      <c r="E3801" s="29">
        <v>39417</v>
      </c>
      <c r="F3801" s="27">
        <v>15</v>
      </c>
      <c r="G3801" s="18">
        <v>725402.01</v>
      </c>
      <c r="H3801" s="27">
        <f t="shared" si="118"/>
        <v>0</v>
      </c>
      <c r="I3801" s="18">
        <v>618694.78</v>
      </c>
      <c r="J3801" s="27">
        <v>725402.01</v>
      </c>
      <c r="K3801" s="18">
        <f t="shared" si="119"/>
        <v>0</v>
      </c>
      <c r="L3801" s="27">
        <v>636304.06000000006</v>
      </c>
      <c r="M3801" s="36">
        <v>17609.28</v>
      </c>
      <c r="T3801" s="41">
        <v>0</v>
      </c>
      <c r="U3801" s="41">
        <v>0</v>
      </c>
      <c r="V3801" s="42" t="s">
        <v>113</v>
      </c>
      <c r="W3801" s="42">
        <v>0</v>
      </c>
      <c r="X3801" s="42">
        <v>0</v>
      </c>
    </row>
    <row r="3802" spans="1:24">
      <c r="A3802" s="27" t="s">
        <v>6984</v>
      </c>
      <c r="B3802" s="28" t="s">
        <v>5102</v>
      </c>
      <c r="C3802" s="27" t="s">
        <v>6985</v>
      </c>
      <c r="D3802" s="27" t="s">
        <v>5104</v>
      </c>
      <c r="E3802" s="29">
        <v>38078</v>
      </c>
      <c r="F3802" s="27">
        <v>15</v>
      </c>
      <c r="G3802" s="18">
        <v>92616.5</v>
      </c>
      <c r="H3802" s="27">
        <f t="shared" si="118"/>
        <v>92616.5</v>
      </c>
      <c r="I3802" s="18">
        <v>87985.67</v>
      </c>
      <c r="J3802" s="27">
        <v>92616.5</v>
      </c>
      <c r="K3802" s="18">
        <f t="shared" si="119"/>
        <v>92616.5</v>
      </c>
      <c r="L3802" s="27">
        <v>87985.67</v>
      </c>
      <c r="M3802" s="36">
        <v>0</v>
      </c>
      <c r="T3802" s="41">
        <v>0</v>
      </c>
      <c r="U3802" s="41">
        <v>0</v>
      </c>
      <c r="V3802" s="42" t="s">
        <v>113</v>
      </c>
      <c r="W3802" s="42">
        <v>92616.5</v>
      </c>
      <c r="X3802" s="42">
        <v>92616.5</v>
      </c>
    </row>
    <row r="3803" spans="1:24">
      <c r="A3803" s="27" t="s">
        <v>6986</v>
      </c>
      <c r="B3803" s="28" t="s">
        <v>5102</v>
      </c>
      <c r="C3803" s="27" t="s">
        <v>6985</v>
      </c>
      <c r="D3803" s="27" t="s">
        <v>5104</v>
      </c>
      <c r="E3803" s="29">
        <v>38078</v>
      </c>
      <c r="F3803" s="27">
        <v>15</v>
      </c>
      <c r="G3803" s="18">
        <v>26235.69</v>
      </c>
      <c r="H3803" s="27">
        <f t="shared" si="118"/>
        <v>26235.69</v>
      </c>
      <c r="I3803" s="18">
        <v>24923.91</v>
      </c>
      <c r="J3803" s="27">
        <v>26235.69</v>
      </c>
      <c r="K3803" s="18">
        <f t="shared" si="119"/>
        <v>26235.69</v>
      </c>
      <c r="L3803" s="27">
        <v>24923.91</v>
      </c>
      <c r="M3803" s="36">
        <v>0</v>
      </c>
      <c r="T3803" s="41">
        <v>0</v>
      </c>
      <c r="U3803" s="41">
        <v>0</v>
      </c>
      <c r="V3803" s="42" t="s">
        <v>113</v>
      </c>
      <c r="W3803" s="42">
        <v>26235.69</v>
      </c>
      <c r="X3803" s="42">
        <v>26235.69</v>
      </c>
    </row>
    <row r="3804" spans="1:24">
      <c r="A3804" s="27" t="s">
        <v>6987</v>
      </c>
      <c r="B3804" s="28" t="s">
        <v>5102</v>
      </c>
      <c r="C3804" s="27" t="s">
        <v>6988</v>
      </c>
      <c r="D3804" s="27" t="s">
        <v>5104</v>
      </c>
      <c r="E3804" s="29">
        <v>39417</v>
      </c>
      <c r="F3804" s="27">
        <v>15</v>
      </c>
      <c r="G3804" s="18">
        <v>23300</v>
      </c>
      <c r="H3804" s="27">
        <f t="shared" si="118"/>
        <v>0</v>
      </c>
      <c r="I3804" s="18">
        <v>20484.419999999998</v>
      </c>
      <c r="J3804" s="27">
        <v>23300</v>
      </c>
      <c r="K3804" s="18">
        <f t="shared" si="119"/>
        <v>0</v>
      </c>
      <c r="L3804" s="27">
        <v>20897.060000000001</v>
      </c>
      <c r="M3804" s="36">
        <v>412.64</v>
      </c>
      <c r="T3804" s="41">
        <v>0</v>
      </c>
      <c r="U3804" s="41">
        <v>0</v>
      </c>
      <c r="V3804" s="42" t="s">
        <v>113</v>
      </c>
      <c r="W3804" s="42">
        <v>0</v>
      </c>
      <c r="X3804" s="42">
        <v>0</v>
      </c>
    </row>
    <row r="3805" spans="1:24">
      <c r="A3805" s="27" t="s">
        <v>6989</v>
      </c>
      <c r="B3805" s="28" t="s">
        <v>5102</v>
      </c>
      <c r="C3805" s="27" t="s">
        <v>6990</v>
      </c>
      <c r="D3805" s="27" t="s">
        <v>5104</v>
      </c>
      <c r="E3805" s="29">
        <v>39417</v>
      </c>
      <c r="F3805" s="27">
        <v>15</v>
      </c>
      <c r="G3805" s="18">
        <v>89500</v>
      </c>
      <c r="H3805" s="27">
        <f t="shared" si="118"/>
        <v>0</v>
      </c>
      <c r="I3805" s="18">
        <v>79026.850000000006</v>
      </c>
      <c r="J3805" s="27">
        <v>89500</v>
      </c>
      <c r="K3805" s="18">
        <f t="shared" si="119"/>
        <v>0</v>
      </c>
      <c r="L3805" s="27">
        <v>80526.39</v>
      </c>
      <c r="M3805" s="36">
        <v>1499.54</v>
      </c>
      <c r="T3805" s="41">
        <v>0</v>
      </c>
      <c r="U3805" s="41">
        <v>0</v>
      </c>
      <c r="V3805" s="42" t="s">
        <v>113</v>
      </c>
      <c r="W3805" s="42">
        <v>0</v>
      </c>
      <c r="X3805" s="42">
        <v>0</v>
      </c>
    </row>
    <row r="3806" spans="1:24">
      <c r="A3806" s="27" t="s">
        <v>6991</v>
      </c>
      <c r="B3806" s="28" t="s">
        <v>5102</v>
      </c>
      <c r="C3806" s="27" t="s">
        <v>6992</v>
      </c>
      <c r="D3806" s="27" t="s">
        <v>5104</v>
      </c>
      <c r="E3806" s="29">
        <v>39417</v>
      </c>
      <c r="F3806" s="27">
        <v>15</v>
      </c>
      <c r="G3806" s="18">
        <v>24800</v>
      </c>
      <c r="H3806" s="27">
        <f t="shared" si="118"/>
        <v>0</v>
      </c>
      <c r="I3806" s="18">
        <v>21897.94</v>
      </c>
      <c r="J3806" s="27">
        <v>24800</v>
      </c>
      <c r="K3806" s="18">
        <f t="shared" si="119"/>
        <v>0</v>
      </c>
      <c r="L3806" s="27">
        <v>22313.46</v>
      </c>
      <c r="M3806" s="36">
        <v>415.52</v>
      </c>
      <c r="T3806" s="41">
        <v>0</v>
      </c>
      <c r="U3806" s="41">
        <v>0</v>
      </c>
      <c r="V3806" s="42" t="s">
        <v>113</v>
      </c>
      <c r="W3806" s="42">
        <v>0</v>
      </c>
      <c r="X3806" s="42">
        <v>0</v>
      </c>
    </row>
    <row r="3807" spans="1:24">
      <c r="A3807" s="27" t="s">
        <v>6993</v>
      </c>
      <c r="B3807" s="28" t="s">
        <v>5102</v>
      </c>
      <c r="C3807" s="27" t="s">
        <v>6994</v>
      </c>
      <c r="D3807" s="27" t="s">
        <v>5104</v>
      </c>
      <c r="E3807" s="29">
        <v>39417</v>
      </c>
      <c r="F3807" s="27">
        <v>15</v>
      </c>
      <c r="G3807" s="18">
        <v>24700</v>
      </c>
      <c r="H3807" s="27">
        <f t="shared" si="118"/>
        <v>0</v>
      </c>
      <c r="I3807" s="18">
        <v>21809.65</v>
      </c>
      <c r="J3807" s="27">
        <v>24700</v>
      </c>
      <c r="K3807" s="18">
        <f t="shared" si="119"/>
        <v>0</v>
      </c>
      <c r="L3807" s="27">
        <v>22223.49</v>
      </c>
      <c r="M3807" s="36">
        <v>413.84</v>
      </c>
      <c r="T3807" s="41">
        <v>0</v>
      </c>
      <c r="U3807" s="41">
        <v>0</v>
      </c>
      <c r="V3807" s="42" t="s">
        <v>113</v>
      </c>
      <c r="W3807" s="42">
        <v>0</v>
      </c>
      <c r="X3807" s="42">
        <v>0</v>
      </c>
    </row>
    <row r="3808" spans="1:24">
      <c r="A3808" s="27" t="s">
        <v>6995</v>
      </c>
      <c r="B3808" s="28" t="s">
        <v>5102</v>
      </c>
      <c r="C3808" s="27" t="s">
        <v>6996</v>
      </c>
      <c r="D3808" s="27" t="s">
        <v>5104</v>
      </c>
      <c r="E3808" s="29">
        <v>39417</v>
      </c>
      <c r="F3808" s="27">
        <v>15</v>
      </c>
      <c r="G3808" s="18">
        <v>15800</v>
      </c>
      <c r="H3808" s="27">
        <f t="shared" si="118"/>
        <v>0</v>
      </c>
      <c r="I3808" s="18">
        <v>13951.1</v>
      </c>
      <c r="J3808" s="27">
        <v>15800</v>
      </c>
      <c r="K3808" s="18">
        <f t="shared" si="119"/>
        <v>0</v>
      </c>
      <c r="L3808" s="27">
        <v>14215.83</v>
      </c>
      <c r="M3808" s="36">
        <v>264.73</v>
      </c>
      <c r="T3808" s="41">
        <v>0</v>
      </c>
      <c r="U3808" s="41">
        <v>0</v>
      </c>
      <c r="V3808" s="42" t="s">
        <v>113</v>
      </c>
      <c r="W3808" s="42">
        <v>0</v>
      </c>
      <c r="X3808" s="42">
        <v>0</v>
      </c>
    </row>
    <row r="3809" spans="1:24">
      <c r="A3809" s="27" t="s">
        <v>6997</v>
      </c>
      <c r="B3809" s="28" t="s">
        <v>5102</v>
      </c>
      <c r="C3809" s="27" t="s">
        <v>6998</v>
      </c>
      <c r="D3809" s="27" t="s">
        <v>5104</v>
      </c>
      <c r="E3809" s="29">
        <v>39417</v>
      </c>
      <c r="F3809" s="27">
        <v>15</v>
      </c>
      <c r="G3809" s="18">
        <v>35600</v>
      </c>
      <c r="H3809" s="27">
        <f t="shared" si="118"/>
        <v>0</v>
      </c>
      <c r="I3809" s="18">
        <v>31434.14</v>
      </c>
      <c r="J3809" s="27">
        <v>35600</v>
      </c>
      <c r="K3809" s="18">
        <f t="shared" si="119"/>
        <v>0</v>
      </c>
      <c r="L3809" s="27">
        <v>32030.61</v>
      </c>
      <c r="M3809" s="36">
        <v>596.47</v>
      </c>
      <c r="T3809" s="41">
        <v>0</v>
      </c>
      <c r="U3809" s="41">
        <v>0</v>
      </c>
      <c r="V3809" s="42" t="s">
        <v>113</v>
      </c>
      <c r="W3809" s="42">
        <v>0</v>
      </c>
      <c r="X3809" s="42">
        <v>0</v>
      </c>
    </row>
    <row r="3810" spans="1:24">
      <c r="A3810" s="27" t="s">
        <v>6999</v>
      </c>
      <c r="B3810" s="28" t="s">
        <v>5102</v>
      </c>
      <c r="C3810" s="27" t="s">
        <v>7000</v>
      </c>
      <c r="D3810" s="27" t="s">
        <v>5104</v>
      </c>
      <c r="E3810" s="29">
        <v>39417</v>
      </c>
      <c r="F3810" s="27">
        <v>15</v>
      </c>
      <c r="G3810" s="18">
        <v>59200</v>
      </c>
      <c r="H3810" s="27">
        <f t="shared" si="118"/>
        <v>0</v>
      </c>
      <c r="I3810" s="18">
        <v>50613.14</v>
      </c>
      <c r="J3810" s="27">
        <v>59200</v>
      </c>
      <c r="K3810" s="18">
        <f t="shared" si="119"/>
        <v>0</v>
      </c>
      <c r="L3810" s="27">
        <v>52019.86</v>
      </c>
      <c r="M3810" s="36">
        <v>1406.72</v>
      </c>
      <c r="T3810" s="41">
        <v>0</v>
      </c>
      <c r="U3810" s="41">
        <v>0</v>
      </c>
      <c r="V3810" s="42" t="s">
        <v>113</v>
      </c>
      <c r="W3810" s="42">
        <v>0</v>
      </c>
      <c r="X3810" s="42">
        <v>0</v>
      </c>
    </row>
    <row r="3811" spans="1:24">
      <c r="A3811" s="27" t="s">
        <v>7001</v>
      </c>
      <c r="B3811" s="28" t="s">
        <v>5102</v>
      </c>
      <c r="C3811" s="27" t="s">
        <v>7002</v>
      </c>
      <c r="D3811" s="27" t="s">
        <v>5104</v>
      </c>
      <c r="E3811" s="29">
        <v>39417</v>
      </c>
      <c r="F3811" s="27">
        <v>15</v>
      </c>
      <c r="G3811" s="18">
        <v>6200</v>
      </c>
      <c r="H3811" s="27">
        <f t="shared" si="118"/>
        <v>0</v>
      </c>
      <c r="I3811" s="18">
        <v>5434.98</v>
      </c>
      <c r="J3811" s="27">
        <v>6200</v>
      </c>
      <c r="K3811" s="18">
        <f t="shared" si="119"/>
        <v>0</v>
      </c>
      <c r="L3811" s="27">
        <v>5548.74</v>
      </c>
      <c r="M3811" s="36">
        <v>113.76</v>
      </c>
      <c r="T3811" s="41">
        <v>0</v>
      </c>
      <c r="U3811" s="41">
        <v>0</v>
      </c>
      <c r="V3811" s="42" t="s">
        <v>113</v>
      </c>
      <c r="W3811" s="42">
        <v>0</v>
      </c>
      <c r="X3811" s="42">
        <v>0</v>
      </c>
    </row>
    <row r="3812" spans="1:24">
      <c r="A3812" s="27" t="s">
        <v>7003</v>
      </c>
      <c r="B3812" s="28" t="s">
        <v>5102</v>
      </c>
      <c r="C3812" s="27" t="s">
        <v>7004</v>
      </c>
      <c r="D3812" s="27" t="s">
        <v>5104</v>
      </c>
      <c r="E3812" s="29">
        <v>39417</v>
      </c>
      <c r="F3812" s="27">
        <v>15</v>
      </c>
      <c r="G3812" s="18">
        <v>16000</v>
      </c>
      <c r="H3812" s="27">
        <f t="shared" si="118"/>
        <v>0</v>
      </c>
      <c r="I3812" s="18">
        <v>14127.7</v>
      </c>
      <c r="J3812" s="27">
        <v>16000</v>
      </c>
      <c r="K3812" s="18">
        <f t="shared" si="119"/>
        <v>0</v>
      </c>
      <c r="L3812" s="27">
        <v>14395.78</v>
      </c>
      <c r="M3812" s="36">
        <v>268.08</v>
      </c>
      <c r="T3812" s="41">
        <v>0</v>
      </c>
      <c r="U3812" s="41">
        <v>0</v>
      </c>
      <c r="V3812" s="42" t="s">
        <v>113</v>
      </c>
      <c r="W3812" s="42">
        <v>0</v>
      </c>
      <c r="X3812" s="42">
        <v>0</v>
      </c>
    </row>
    <row r="3813" spans="1:24">
      <c r="A3813" s="27" t="s">
        <v>7005</v>
      </c>
      <c r="B3813" s="28" t="s">
        <v>5102</v>
      </c>
      <c r="C3813" s="27" t="s">
        <v>7006</v>
      </c>
      <c r="D3813" s="27" t="s">
        <v>5104</v>
      </c>
      <c r="E3813" s="29">
        <v>39417</v>
      </c>
      <c r="F3813" s="27">
        <v>15</v>
      </c>
      <c r="G3813" s="18">
        <v>9600</v>
      </c>
      <c r="H3813" s="27">
        <f t="shared" si="118"/>
        <v>0</v>
      </c>
      <c r="I3813" s="18">
        <v>8476.6200000000008</v>
      </c>
      <c r="J3813" s="27">
        <v>9600</v>
      </c>
      <c r="K3813" s="18">
        <f t="shared" si="119"/>
        <v>0</v>
      </c>
      <c r="L3813" s="27">
        <v>8637.4699999999993</v>
      </c>
      <c r="M3813" s="36">
        <v>160.85</v>
      </c>
      <c r="T3813" s="41">
        <v>0</v>
      </c>
      <c r="U3813" s="41">
        <v>0</v>
      </c>
      <c r="V3813" s="42" t="s">
        <v>113</v>
      </c>
      <c r="W3813" s="42">
        <v>0</v>
      </c>
      <c r="X3813" s="42">
        <v>0</v>
      </c>
    </row>
    <row r="3814" spans="1:24">
      <c r="A3814" s="27" t="s">
        <v>7007</v>
      </c>
      <c r="B3814" s="28" t="s">
        <v>5102</v>
      </c>
      <c r="C3814" s="27" t="s">
        <v>6990</v>
      </c>
      <c r="D3814" s="27" t="s">
        <v>5104</v>
      </c>
      <c r="E3814" s="29">
        <v>39417</v>
      </c>
      <c r="F3814" s="27">
        <v>15</v>
      </c>
      <c r="G3814" s="18">
        <v>17300</v>
      </c>
      <c r="H3814" s="27">
        <f t="shared" si="118"/>
        <v>0</v>
      </c>
      <c r="I3814" s="18">
        <v>15275.58</v>
      </c>
      <c r="J3814" s="27">
        <v>17300</v>
      </c>
      <c r="K3814" s="18">
        <f t="shared" si="119"/>
        <v>0</v>
      </c>
      <c r="L3814" s="27">
        <v>15565.44</v>
      </c>
      <c r="M3814" s="36">
        <v>289.86</v>
      </c>
      <c r="T3814" s="41">
        <v>0</v>
      </c>
      <c r="U3814" s="41">
        <v>0</v>
      </c>
      <c r="V3814" s="42" t="s">
        <v>113</v>
      </c>
      <c r="W3814" s="42">
        <v>0</v>
      </c>
      <c r="X3814" s="42">
        <v>0</v>
      </c>
    </row>
    <row r="3815" spans="1:24">
      <c r="A3815" s="27" t="s">
        <v>7008</v>
      </c>
      <c r="B3815" s="28" t="s">
        <v>5102</v>
      </c>
      <c r="C3815" s="27" t="s">
        <v>7009</v>
      </c>
      <c r="D3815" s="27" t="s">
        <v>5104</v>
      </c>
      <c r="E3815" s="29">
        <v>39417</v>
      </c>
      <c r="F3815" s="27">
        <v>15</v>
      </c>
      <c r="G3815" s="18">
        <v>93500</v>
      </c>
      <c r="H3815" s="27">
        <f t="shared" si="118"/>
        <v>0</v>
      </c>
      <c r="I3815" s="18">
        <v>82558.78</v>
      </c>
      <c r="J3815" s="27">
        <v>93500</v>
      </c>
      <c r="K3815" s="18">
        <f t="shared" si="119"/>
        <v>0</v>
      </c>
      <c r="L3815" s="27">
        <v>84125.34</v>
      </c>
      <c r="M3815" s="36">
        <v>1566.56</v>
      </c>
      <c r="T3815" s="41">
        <v>0</v>
      </c>
      <c r="U3815" s="41">
        <v>0</v>
      </c>
      <c r="V3815" s="42" t="s">
        <v>113</v>
      </c>
      <c r="W3815" s="42">
        <v>0</v>
      </c>
      <c r="X3815" s="42">
        <v>0</v>
      </c>
    </row>
    <row r="3816" spans="1:24">
      <c r="A3816" s="27" t="s">
        <v>7010</v>
      </c>
      <c r="B3816" s="28" t="s">
        <v>5102</v>
      </c>
      <c r="C3816" s="27" t="s">
        <v>6996</v>
      </c>
      <c r="D3816" s="27" t="s">
        <v>5104</v>
      </c>
      <c r="E3816" s="29">
        <v>39417</v>
      </c>
      <c r="F3816" s="27">
        <v>15</v>
      </c>
      <c r="G3816" s="18">
        <v>29600</v>
      </c>
      <c r="H3816" s="27">
        <f t="shared" si="118"/>
        <v>0</v>
      </c>
      <c r="I3816" s="18">
        <v>26136.25</v>
      </c>
      <c r="J3816" s="27">
        <v>29600</v>
      </c>
      <c r="K3816" s="18">
        <f t="shared" si="119"/>
        <v>0</v>
      </c>
      <c r="L3816" s="27">
        <v>26632.19</v>
      </c>
      <c r="M3816" s="36">
        <v>495.94</v>
      </c>
      <c r="T3816" s="41">
        <v>0</v>
      </c>
      <c r="U3816" s="41">
        <v>0</v>
      </c>
      <c r="V3816" s="42" t="s">
        <v>113</v>
      </c>
      <c r="W3816" s="42">
        <v>0</v>
      </c>
      <c r="X3816" s="42">
        <v>0</v>
      </c>
    </row>
    <row r="3817" spans="1:24">
      <c r="A3817" s="27" t="s">
        <v>7011</v>
      </c>
      <c r="B3817" s="28" t="s">
        <v>5102</v>
      </c>
      <c r="C3817" s="27" t="s">
        <v>7012</v>
      </c>
      <c r="D3817" s="27" t="s">
        <v>5104</v>
      </c>
      <c r="E3817" s="29">
        <v>39417</v>
      </c>
      <c r="F3817" s="27">
        <v>15</v>
      </c>
      <c r="G3817" s="18">
        <v>9800</v>
      </c>
      <c r="H3817" s="27">
        <f t="shared" si="118"/>
        <v>0</v>
      </c>
      <c r="I3817" s="18">
        <v>8653.2199999999993</v>
      </c>
      <c r="J3817" s="27">
        <v>9800</v>
      </c>
      <c r="K3817" s="18">
        <f t="shared" si="119"/>
        <v>0</v>
      </c>
      <c r="L3817" s="27">
        <v>8817.41</v>
      </c>
      <c r="M3817" s="36">
        <v>164.19</v>
      </c>
      <c r="T3817" s="41">
        <v>0</v>
      </c>
      <c r="U3817" s="41">
        <v>0</v>
      </c>
      <c r="V3817" s="42" t="s">
        <v>113</v>
      </c>
      <c r="W3817" s="42">
        <v>0</v>
      </c>
      <c r="X3817" s="42">
        <v>0</v>
      </c>
    </row>
    <row r="3818" spans="1:24">
      <c r="A3818" s="27" t="s">
        <v>7013</v>
      </c>
      <c r="B3818" s="28" t="s">
        <v>5102</v>
      </c>
      <c r="C3818" s="27" t="s">
        <v>7014</v>
      </c>
      <c r="D3818" s="27" t="s">
        <v>5104</v>
      </c>
      <c r="E3818" s="29">
        <v>39417</v>
      </c>
      <c r="F3818" s="27">
        <v>15</v>
      </c>
      <c r="G3818" s="18">
        <v>5315.56</v>
      </c>
      <c r="H3818" s="27">
        <f t="shared" si="118"/>
        <v>0</v>
      </c>
      <c r="I3818" s="18">
        <v>4740.5600000000004</v>
      </c>
      <c r="J3818" s="27">
        <v>5315.56</v>
      </c>
      <c r="K3818" s="18">
        <f t="shared" si="119"/>
        <v>0</v>
      </c>
      <c r="L3818" s="27">
        <v>4817.8599999999997</v>
      </c>
      <c r="M3818" s="36">
        <v>77.3</v>
      </c>
      <c r="T3818" s="41">
        <v>0</v>
      </c>
      <c r="U3818" s="41">
        <v>0</v>
      </c>
      <c r="V3818" s="42" t="s">
        <v>113</v>
      </c>
      <c r="W3818" s="42">
        <v>0</v>
      </c>
      <c r="X3818" s="42">
        <v>0</v>
      </c>
    </row>
    <row r="3819" spans="1:24">
      <c r="A3819" s="27" t="s">
        <v>7015</v>
      </c>
      <c r="B3819" s="28" t="s">
        <v>5102</v>
      </c>
      <c r="C3819" s="27" t="s">
        <v>7016</v>
      </c>
      <c r="D3819" s="27" t="s">
        <v>5104</v>
      </c>
      <c r="E3819" s="29">
        <v>39417</v>
      </c>
      <c r="F3819" s="27">
        <v>15</v>
      </c>
      <c r="G3819" s="18">
        <v>7700</v>
      </c>
      <c r="H3819" s="27">
        <f t="shared" si="118"/>
        <v>0</v>
      </c>
      <c r="I3819" s="18">
        <v>6798.96</v>
      </c>
      <c r="J3819" s="27">
        <v>7700</v>
      </c>
      <c r="K3819" s="18">
        <f t="shared" si="119"/>
        <v>0</v>
      </c>
      <c r="L3819" s="27">
        <v>6927.97</v>
      </c>
      <c r="M3819" s="36">
        <v>129.01</v>
      </c>
      <c r="T3819" s="41">
        <v>0</v>
      </c>
      <c r="U3819" s="41">
        <v>0</v>
      </c>
      <c r="V3819" s="42" t="s">
        <v>113</v>
      </c>
      <c r="W3819" s="42">
        <v>0</v>
      </c>
      <c r="X3819" s="42">
        <v>0</v>
      </c>
    </row>
    <row r="3820" spans="1:24">
      <c r="A3820" s="27" t="s">
        <v>7017</v>
      </c>
      <c r="B3820" s="28" t="s">
        <v>5102</v>
      </c>
      <c r="C3820" s="27" t="s">
        <v>7018</v>
      </c>
      <c r="D3820" s="27" t="s">
        <v>5104</v>
      </c>
      <c r="E3820" s="29">
        <v>39417</v>
      </c>
      <c r="F3820" s="27">
        <v>15</v>
      </c>
      <c r="G3820" s="18">
        <v>35000</v>
      </c>
      <c r="H3820" s="27">
        <f t="shared" si="118"/>
        <v>0</v>
      </c>
      <c r="I3820" s="18">
        <v>30904.34</v>
      </c>
      <c r="J3820" s="27">
        <v>35000</v>
      </c>
      <c r="K3820" s="18">
        <f t="shared" si="119"/>
        <v>0</v>
      </c>
      <c r="L3820" s="27">
        <v>31490.76</v>
      </c>
      <c r="M3820" s="36">
        <v>586.41999999999996</v>
      </c>
      <c r="T3820" s="41">
        <v>0</v>
      </c>
      <c r="U3820" s="41">
        <v>0</v>
      </c>
      <c r="V3820" s="42" t="s">
        <v>113</v>
      </c>
      <c r="W3820" s="42">
        <v>0</v>
      </c>
      <c r="X3820" s="42">
        <v>0</v>
      </c>
    </row>
    <row r="3821" spans="1:24">
      <c r="A3821" s="27" t="s">
        <v>7019</v>
      </c>
      <c r="B3821" s="28" t="s">
        <v>5102</v>
      </c>
      <c r="C3821" s="27" t="s">
        <v>7020</v>
      </c>
      <c r="D3821" s="27" t="s">
        <v>5104</v>
      </c>
      <c r="E3821" s="29">
        <v>39417</v>
      </c>
      <c r="F3821" s="27">
        <v>15</v>
      </c>
      <c r="G3821" s="18">
        <v>15500</v>
      </c>
      <c r="H3821" s="27">
        <f t="shared" si="118"/>
        <v>0</v>
      </c>
      <c r="I3821" s="18">
        <v>13686.22</v>
      </c>
      <c r="J3821" s="27">
        <v>15500</v>
      </c>
      <c r="K3821" s="18">
        <f t="shared" si="119"/>
        <v>0</v>
      </c>
      <c r="L3821" s="27">
        <v>13945.92</v>
      </c>
      <c r="M3821" s="36">
        <v>259.7</v>
      </c>
      <c r="T3821" s="41">
        <v>0</v>
      </c>
      <c r="U3821" s="41">
        <v>0</v>
      </c>
      <c r="V3821" s="42" t="s">
        <v>113</v>
      </c>
      <c r="W3821" s="42">
        <v>0</v>
      </c>
      <c r="X3821" s="42">
        <v>0</v>
      </c>
    </row>
    <row r="3822" spans="1:24">
      <c r="A3822" s="27" t="s">
        <v>7021</v>
      </c>
      <c r="B3822" s="28" t="s">
        <v>5102</v>
      </c>
      <c r="C3822" s="27" t="s">
        <v>7022</v>
      </c>
      <c r="D3822" s="27" t="s">
        <v>5104</v>
      </c>
      <c r="E3822" s="29">
        <v>39417</v>
      </c>
      <c r="F3822" s="27">
        <v>15</v>
      </c>
      <c r="G3822" s="18">
        <v>15100</v>
      </c>
      <c r="H3822" s="27">
        <f t="shared" si="118"/>
        <v>0</v>
      </c>
      <c r="I3822" s="18">
        <v>13198.35</v>
      </c>
      <c r="J3822" s="27">
        <v>15100</v>
      </c>
      <c r="K3822" s="18">
        <f t="shared" si="119"/>
        <v>0</v>
      </c>
      <c r="L3822" s="27">
        <v>13485.01</v>
      </c>
      <c r="M3822" s="36">
        <v>286.66000000000003</v>
      </c>
      <c r="T3822" s="41">
        <v>0</v>
      </c>
      <c r="U3822" s="41">
        <v>0</v>
      </c>
      <c r="V3822" s="42" t="s">
        <v>113</v>
      </c>
      <c r="W3822" s="42">
        <v>0</v>
      </c>
      <c r="X3822" s="42">
        <v>0</v>
      </c>
    </row>
    <row r="3823" spans="1:24">
      <c r="A3823" s="27" t="s">
        <v>7023</v>
      </c>
      <c r="B3823" s="28" t="s">
        <v>5102</v>
      </c>
      <c r="C3823" s="27" t="s">
        <v>7024</v>
      </c>
      <c r="D3823" s="27" t="s">
        <v>5104</v>
      </c>
      <c r="E3823" s="29">
        <v>39417</v>
      </c>
      <c r="F3823" s="27">
        <v>15</v>
      </c>
      <c r="G3823" s="18">
        <v>7400</v>
      </c>
      <c r="H3823" s="27">
        <f t="shared" si="118"/>
        <v>0</v>
      </c>
      <c r="I3823" s="18">
        <v>6543.49</v>
      </c>
      <c r="J3823" s="27">
        <v>7400</v>
      </c>
      <c r="K3823" s="18">
        <f t="shared" si="119"/>
        <v>0</v>
      </c>
      <c r="L3823" s="27">
        <v>6665.12</v>
      </c>
      <c r="M3823" s="36">
        <v>121.63</v>
      </c>
      <c r="T3823" s="41">
        <v>0</v>
      </c>
      <c r="U3823" s="41">
        <v>0</v>
      </c>
      <c r="V3823" s="42" t="s">
        <v>113</v>
      </c>
      <c r="W3823" s="42">
        <v>0</v>
      </c>
      <c r="X3823" s="42">
        <v>0</v>
      </c>
    </row>
    <row r="3824" spans="1:24">
      <c r="A3824" s="27" t="s">
        <v>7025</v>
      </c>
      <c r="B3824" s="28" t="s">
        <v>5102</v>
      </c>
      <c r="C3824" s="27" t="s">
        <v>7026</v>
      </c>
      <c r="D3824" s="27" t="s">
        <v>5104</v>
      </c>
      <c r="E3824" s="29">
        <v>39417</v>
      </c>
      <c r="F3824" s="27">
        <v>15</v>
      </c>
      <c r="G3824" s="18">
        <v>9400</v>
      </c>
      <c r="H3824" s="27">
        <f t="shared" si="118"/>
        <v>0</v>
      </c>
      <c r="I3824" s="18">
        <v>8180.26</v>
      </c>
      <c r="J3824" s="27">
        <v>9400</v>
      </c>
      <c r="K3824" s="18">
        <f t="shared" si="119"/>
        <v>0</v>
      </c>
      <c r="L3824" s="27">
        <v>8367.7000000000007</v>
      </c>
      <c r="M3824" s="36">
        <v>187.44</v>
      </c>
      <c r="T3824" s="41">
        <v>0</v>
      </c>
      <c r="U3824" s="41">
        <v>0</v>
      </c>
      <c r="V3824" s="42" t="s">
        <v>113</v>
      </c>
      <c r="W3824" s="42">
        <v>0</v>
      </c>
      <c r="X3824" s="42">
        <v>0</v>
      </c>
    </row>
    <row r="3825" spans="1:24">
      <c r="A3825" s="27" t="s">
        <v>7027</v>
      </c>
      <c r="B3825" s="28" t="s">
        <v>5102</v>
      </c>
      <c r="C3825" s="27" t="s">
        <v>7028</v>
      </c>
      <c r="D3825" s="27" t="s">
        <v>5104</v>
      </c>
      <c r="E3825" s="29">
        <v>39417</v>
      </c>
      <c r="F3825" s="27">
        <v>15</v>
      </c>
      <c r="G3825" s="18">
        <v>8600</v>
      </c>
      <c r="H3825" s="27">
        <f t="shared" si="118"/>
        <v>0</v>
      </c>
      <c r="I3825" s="18">
        <v>7484.06</v>
      </c>
      <c r="J3825" s="27">
        <v>8600</v>
      </c>
      <c r="K3825" s="18">
        <f t="shared" si="119"/>
        <v>0</v>
      </c>
      <c r="L3825" s="27">
        <v>7655.55</v>
      </c>
      <c r="M3825" s="36">
        <v>171.49</v>
      </c>
      <c r="T3825" s="41">
        <v>0</v>
      </c>
      <c r="U3825" s="41">
        <v>0</v>
      </c>
      <c r="V3825" s="42" t="s">
        <v>113</v>
      </c>
      <c r="W3825" s="42">
        <v>0</v>
      </c>
      <c r="X3825" s="42">
        <v>0</v>
      </c>
    </row>
    <row r="3826" spans="1:24">
      <c r="A3826" s="27" t="s">
        <v>7029</v>
      </c>
      <c r="B3826" s="28" t="s">
        <v>5102</v>
      </c>
      <c r="C3826" s="27" t="s">
        <v>7030</v>
      </c>
      <c r="D3826" s="27" t="s">
        <v>5104</v>
      </c>
      <c r="E3826" s="29">
        <v>39417</v>
      </c>
      <c r="F3826" s="27">
        <v>15</v>
      </c>
      <c r="G3826" s="18">
        <v>15200</v>
      </c>
      <c r="H3826" s="27">
        <f t="shared" si="118"/>
        <v>0</v>
      </c>
      <c r="I3826" s="18">
        <v>13285.75</v>
      </c>
      <c r="J3826" s="27">
        <v>15200</v>
      </c>
      <c r="K3826" s="18">
        <f t="shared" si="119"/>
        <v>0</v>
      </c>
      <c r="L3826" s="27">
        <v>13574.31</v>
      </c>
      <c r="M3826" s="36">
        <v>288.56</v>
      </c>
      <c r="T3826" s="41">
        <v>0</v>
      </c>
      <c r="U3826" s="41">
        <v>0</v>
      </c>
      <c r="V3826" s="42" t="s">
        <v>113</v>
      </c>
      <c r="W3826" s="42">
        <v>0</v>
      </c>
      <c r="X3826" s="42">
        <v>0</v>
      </c>
    </row>
    <row r="3827" spans="1:24">
      <c r="A3827" s="27" t="s">
        <v>7031</v>
      </c>
      <c r="B3827" s="28" t="s">
        <v>5102</v>
      </c>
      <c r="C3827" s="27" t="s">
        <v>7032</v>
      </c>
      <c r="D3827" s="27" t="s">
        <v>5104</v>
      </c>
      <c r="E3827" s="29">
        <v>39417</v>
      </c>
      <c r="F3827" s="27">
        <v>15</v>
      </c>
      <c r="G3827" s="18">
        <v>6600</v>
      </c>
      <c r="H3827" s="27">
        <f t="shared" si="118"/>
        <v>0</v>
      </c>
      <c r="I3827" s="18">
        <v>5844.5</v>
      </c>
      <c r="J3827" s="27">
        <v>6600</v>
      </c>
      <c r="K3827" s="18">
        <f t="shared" si="119"/>
        <v>0</v>
      </c>
      <c r="L3827" s="27">
        <v>5950.88</v>
      </c>
      <c r="M3827" s="36">
        <v>106.38</v>
      </c>
      <c r="T3827" s="41">
        <v>0</v>
      </c>
      <c r="U3827" s="41">
        <v>0</v>
      </c>
      <c r="V3827" s="42" t="s">
        <v>113</v>
      </c>
      <c r="W3827" s="42">
        <v>0</v>
      </c>
      <c r="X3827" s="42">
        <v>0</v>
      </c>
    </row>
    <row r="3828" spans="1:24">
      <c r="A3828" s="27" t="s">
        <v>7033</v>
      </c>
      <c r="B3828" s="28" t="s">
        <v>5102</v>
      </c>
      <c r="C3828" s="27" t="s">
        <v>7034</v>
      </c>
      <c r="D3828" s="27" t="s">
        <v>5104</v>
      </c>
      <c r="E3828" s="29">
        <v>39417</v>
      </c>
      <c r="F3828" s="27">
        <v>15</v>
      </c>
      <c r="G3828" s="18">
        <v>14200</v>
      </c>
      <c r="H3828" s="27">
        <f t="shared" si="118"/>
        <v>0</v>
      </c>
      <c r="I3828" s="18">
        <v>12140.32</v>
      </c>
      <c r="J3828" s="27">
        <v>14200</v>
      </c>
      <c r="K3828" s="18">
        <f t="shared" si="119"/>
        <v>0</v>
      </c>
      <c r="L3828" s="27">
        <v>12477.74</v>
      </c>
      <c r="M3828" s="36">
        <v>337.42</v>
      </c>
      <c r="T3828" s="41">
        <v>0</v>
      </c>
      <c r="U3828" s="41">
        <v>0</v>
      </c>
      <c r="V3828" s="42" t="s">
        <v>113</v>
      </c>
      <c r="W3828" s="42">
        <v>0</v>
      </c>
      <c r="X3828" s="42">
        <v>0</v>
      </c>
    </row>
    <row r="3829" spans="1:24">
      <c r="A3829" s="27" t="s">
        <v>7035</v>
      </c>
      <c r="B3829" s="28" t="s">
        <v>5102</v>
      </c>
      <c r="C3829" s="27" t="s">
        <v>7036</v>
      </c>
      <c r="D3829" s="27" t="s">
        <v>5104</v>
      </c>
      <c r="E3829" s="29">
        <v>39417</v>
      </c>
      <c r="F3829" s="27">
        <v>15</v>
      </c>
      <c r="G3829" s="18">
        <v>6400</v>
      </c>
      <c r="H3829" s="27">
        <f t="shared" si="118"/>
        <v>0</v>
      </c>
      <c r="I3829" s="18">
        <v>5569.54</v>
      </c>
      <c r="J3829" s="27">
        <v>6400</v>
      </c>
      <c r="K3829" s="18">
        <f t="shared" si="119"/>
        <v>0</v>
      </c>
      <c r="L3829" s="27">
        <v>5697.16</v>
      </c>
      <c r="M3829" s="36">
        <v>127.62</v>
      </c>
      <c r="T3829" s="41">
        <v>0</v>
      </c>
      <c r="U3829" s="41">
        <v>0</v>
      </c>
      <c r="V3829" s="42" t="s">
        <v>113</v>
      </c>
      <c r="W3829" s="42">
        <v>0</v>
      </c>
      <c r="X3829" s="42">
        <v>0</v>
      </c>
    </row>
    <row r="3830" spans="1:24">
      <c r="A3830" s="27" t="s">
        <v>7037</v>
      </c>
      <c r="B3830" s="28" t="s">
        <v>5102</v>
      </c>
      <c r="C3830" s="27" t="s">
        <v>7038</v>
      </c>
      <c r="D3830" s="27" t="s">
        <v>5104</v>
      </c>
      <c r="E3830" s="29">
        <v>39417</v>
      </c>
      <c r="F3830" s="27">
        <v>15</v>
      </c>
      <c r="G3830" s="18">
        <v>5800</v>
      </c>
      <c r="H3830" s="27">
        <f t="shared" si="118"/>
        <v>0</v>
      </c>
      <c r="I3830" s="18">
        <v>4958.7299999999996</v>
      </c>
      <c r="J3830" s="27">
        <v>5800</v>
      </c>
      <c r="K3830" s="18">
        <f t="shared" si="119"/>
        <v>0</v>
      </c>
      <c r="L3830" s="27">
        <v>5096.55</v>
      </c>
      <c r="M3830" s="36">
        <v>137.82</v>
      </c>
      <c r="T3830" s="41">
        <v>0</v>
      </c>
      <c r="U3830" s="41">
        <v>0</v>
      </c>
      <c r="V3830" s="42" t="s">
        <v>113</v>
      </c>
      <c r="W3830" s="42">
        <v>0</v>
      </c>
      <c r="X3830" s="42">
        <v>0</v>
      </c>
    </row>
    <row r="3831" spans="1:24">
      <c r="A3831" s="27" t="s">
        <v>7039</v>
      </c>
      <c r="B3831" s="28" t="s">
        <v>5102</v>
      </c>
      <c r="C3831" s="27" t="s">
        <v>7040</v>
      </c>
      <c r="D3831" s="27" t="s">
        <v>5104</v>
      </c>
      <c r="E3831" s="29">
        <v>39417</v>
      </c>
      <c r="F3831" s="27">
        <v>15</v>
      </c>
      <c r="G3831" s="18">
        <v>10500</v>
      </c>
      <c r="H3831" s="27">
        <f t="shared" si="118"/>
        <v>0</v>
      </c>
      <c r="I3831" s="18">
        <v>8977</v>
      </c>
      <c r="J3831" s="27">
        <v>10500</v>
      </c>
      <c r="K3831" s="18">
        <f t="shared" si="119"/>
        <v>0</v>
      </c>
      <c r="L3831" s="27">
        <v>9226.5</v>
      </c>
      <c r="M3831" s="36">
        <v>249.5</v>
      </c>
      <c r="T3831" s="41">
        <v>0</v>
      </c>
      <c r="U3831" s="41">
        <v>0</v>
      </c>
      <c r="V3831" s="42" t="s">
        <v>113</v>
      </c>
      <c r="W3831" s="42">
        <v>0</v>
      </c>
      <c r="X3831" s="42">
        <v>0</v>
      </c>
    </row>
    <row r="3832" spans="1:24">
      <c r="A3832" s="27" t="s">
        <v>7041</v>
      </c>
      <c r="B3832" s="28" t="s">
        <v>5102</v>
      </c>
      <c r="C3832" s="27" t="s">
        <v>7042</v>
      </c>
      <c r="D3832" s="27" t="s">
        <v>5104</v>
      </c>
      <c r="E3832" s="29">
        <v>39417</v>
      </c>
      <c r="F3832" s="27">
        <v>15</v>
      </c>
      <c r="G3832" s="18">
        <v>12100</v>
      </c>
      <c r="H3832" s="27">
        <f t="shared" si="118"/>
        <v>0</v>
      </c>
      <c r="I3832" s="18">
        <v>10344.91</v>
      </c>
      <c r="J3832" s="27">
        <v>12100</v>
      </c>
      <c r="K3832" s="18">
        <f t="shared" si="119"/>
        <v>0</v>
      </c>
      <c r="L3832" s="27">
        <v>10632.43</v>
      </c>
      <c r="M3832" s="36">
        <v>287.52</v>
      </c>
      <c r="T3832" s="41">
        <v>0</v>
      </c>
      <c r="U3832" s="41">
        <v>0</v>
      </c>
      <c r="V3832" s="42" t="s">
        <v>113</v>
      </c>
      <c r="W3832" s="42">
        <v>0</v>
      </c>
      <c r="X3832" s="42">
        <v>0</v>
      </c>
    </row>
    <row r="3833" spans="1:24">
      <c r="A3833" s="27" t="s">
        <v>7043</v>
      </c>
      <c r="B3833" s="28" t="s">
        <v>5102</v>
      </c>
      <c r="C3833" s="27" t="s">
        <v>7044</v>
      </c>
      <c r="D3833" s="27" t="s">
        <v>5104</v>
      </c>
      <c r="E3833" s="29">
        <v>39417</v>
      </c>
      <c r="F3833" s="27">
        <v>15</v>
      </c>
      <c r="G3833" s="18">
        <v>5700</v>
      </c>
      <c r="H3833" s="27">
        <f t="shared" si="118"/>
        <v>0</v>
      </c>
      <c r="I3833" s="18">
        <v>4996.6899999999996</v>
      </c>
      <c r="J3833" s="27">
        <v>5700</v>
      </c>
      <c r="K3833" s="18">
        <f t="shared" si="119"/>
        <v>0</v>
      </c>
      <c r="L3833" s="27">
        <v>5101.2700000000004</v>
      </c>
      <c r="M3833" s="36">
        <v>104.58</v>
      </c>
      <c r="T3833" s="41">
        <v>0</v>
      </c>
      <c r="U3833" s="41">
        <v>0</v>
      </c>
      <c r="V3833" s="42" t="s">
        <v>113</v>
      </c>
      <c r="W3833" s="42">
        <v>0</v>
      </c>
      <c r="X3833" s="42">
        <v>0</v>
      </c>
    </row>
    <row r="3834" spans="1:24">
      <c r="A3834" s="27" t="s">
        <v>7045</v>
      </c>
      <c r="B3834" s="28" t="s">
        <v>5102</v>
      </c>
      <c r="C3834" s="27" t="s">
        <v>7046</v>
      </c>
      <c r="D3834" s="27" t="s">
        <v>5104</v>
      </c>
      <c r="E3834" s="29">
        <v>39417</v>
      </c>
      <c r="F3834" s="27">
        <v>15</v>
      </c>
      <c r="G3834" s="18">
        <v>13300</v>
      </c>
      <c r="H3834" s="27">
        <f t="shared" si="118"/>
        <v>0</v>
      </c>
      <c r="I3834" s="18">
        <v>11658.93</v>
      </c>
      <c r="J3834" s="27">
        <v>13300</v>
      </c>
      <c r="K3834" s="18">
        <f t="shared" si="119"/>
        <v>0</v>
      </c>
      <c r="L3834" s="27">
        <v>11902.95</v>
      </c>
      <c r="M3834" s="36">
        <v>244.02</v>
      </c>
      <c r="T3834" s="41">
        <v>0</v>
      </c>
      <c r="U3834" s="41">
        <v>0</v>
      </c>
      <c r="V3834" s="42" t="s">
        <v>113</v>
      </c>
      <c r="W3834" s="42">
        <v>0</v>
      </c>
      <c r="X3834" s="42">
        <v>0</v>
      </c>
    </row>
    <row r="3835" spans="1:24">
      <c r="A3835" s="27" t="s">
        <v>7047</v>
      </c>
      <c r="B3835" s="28" t="s">
        <v>5102</v>
      </c>
      <c r="C3835" s="27" t="s">
        <v>7048</v>
      </c>
      <c r="D3835" s="27" t="s">
        <v>5104</v>
      </c>
      <c r="E3835" s="29">
        <v>39417</v>
      </c>
      <c r="F3835" s="27">
        <v>15</v>
      </c>
      <c r="G3835" s="18">
        <v>7100</v>
      </c>
      <c r="H3835" s="27">
        <f t="shared" si="118"/>
        <v>0</v>
      </c>
      <c r="I3835" s="18">
        <v>6223.94</v>
      </c>
      <c r="J3835" s="27">
        <v>7100</v>
      </c>
      <c r="K3835" s="18">
        <f t="shared" si="119"/>
        <v>0</v>
      </c>
      <c r="L3835" s="27">
        <v>6354.21</v>
      </c>
      <c r="M3835" s="36">
        <v>130.27000000000001</v>
      </c>
      <c r="T3835" s="41">
        <v>0</v>
      </c>
      <c r="U3835" s="41">
        <v>0</v>
      </c>
      <c r="V3835" s="42" t="s">
        <v>113</v>
      </c>
      <c r="W3835" s="42">
        <v>0</v>
      </c>
      <c r="X3835" s="42">
        <v>0</v>
      </c>
    </row>
    <row r="3836" spans="1:24">
      <c r="A3836" s="27" t="s">
        <v>7049</v>
      </c>
      <c r="B3836" s="28" t="s">
        <v>5102</v>
      </c>
      <c r="C3836" s="27" t="s">
        <v>7050</v>
      </c>
      <c r="D3836" s="27" t="s">
        <v>5104</v>
      </c>
      <c r="E3836" s="29">
        <v>39417</v>
      </c>
      <c r="F3836" s="27">
        <v>15</v>
      </c>
      <c r="G3836" s="18">
        <v>10800</v>
      </c>
      <c r="H3836" s="27">
        <f t="shared" si="118"/>
        <v>0</v>
      </c>
      <c r="I3836" s="18">
        <v>9467.4</v>
      </c>
      <c r="J3836" s="27">
        <v>10800</v>
      </c>
      <c r="K3836" s="18">
        <f t="shared" si="119"/>
        <v>0</v>
      </c>
      <c r="L3836" s="27">
        <v>9665.5499999999993</v>
      </c>
      <c r="M3836" s="36">
        <v>198.15</v>
      </c>
      <c r="T3836" s="41">
        <v>0</v>
      </c>
      <c r="U3836" s="41">
        <v>0</v>
      </c>
      <c r="V3836" s="42" t="s">
        <v>113</v>
      </c>
      <c r="W3836" s="42">
        <v>0</v>
      </c>
      <c r="X3836" s="42">
        <v>0</v>
      </c>
    </row>
    <row r="3837" spans="1:24">
      <c r="A3837" s="27" t="s">
        <v>7051</v>
      </c>
      <c r="B3837" s="28" t="s">
        <v>5102</v>
      </c>
      <c r="C3837" s="27" t="s">
        <v>7052</v>
      </c>
      <c r="D3837" s="27" t="s">
        <v>5104</v>
      </c>
      <c r="E3837" s="29">
        <v>39417</v>
      </c>
      <c r="F3837" s="27">
        <v>15</v>
      </c>
      <c r="G3837" s="18">
        <v>8800</v>
      </c>
      <c r="H3837" s="27">
        <f t="shared" si="118"/>
        <v>0</v>
      </c>
      <c r="I3837" s="18">
        <v>7702.97</v>
      </c>
      <c r="J3837" s="27">
        <v>8800</v>
      </c>
      <c r="K3837" s="18">
        <f t="shared" si="119"/>
        <v>0</v>
      </c>
      <c r="L3837" s="27">
        <v>7867.23</v>
      </c>
      <c r="M3837" s="36">
        <v>164.26</v>
      </c>
      <c r="T3837" s="41">
        <v>0</v>
      </c>
      <c r="U3837" s="41">
        <v>0</v>
      </c>
      <c r="V3837" s="42" t="s">
        <v>113</v>
      </c>
      <c r="W3837" s="42">
        <v>0</v>
      </c>
      <c r="X3837" s="42">
        <v>0</v>
      </c>
    </row>
    <row r="3838" spans="1:24">
      <c r="A3838" s="27" t="s">
        <v>7053</v>
      </c>
      <c r="B3838" s="28" t="s">
        <v>5102</v>
      </c>
      <c r="C3838" s="27" t="s">
        <v>7054</v>
      </c>
      <c r="D3838" s="27" t="s">
        <v>5104</v>
      </c>
      <c r="E3838" s="29">
        <v>39417</v>
      </c>
      <c r="F3838" s="27">
        <v>15</v>
      </c>
      <c r="G3838" s="18">
        <v>12000</v>
      </c>
      <c r="H3838" s="27">
        <f t="shared" si="118"/>
        <v>0</v>
      </c>
      <c r="I3838" s="18">
        <v>10488.76</v>
      </c>
      <c r="J3838" s="27">
        <v>12000</v>
      </c>
      <c r="K3838" s="18">
        <f t="shared" si="119"/>
        <v>0</v>
      </c>
      <c r="L3838" s="27">
        <v>10716.57</v>
      </c>
      <c r="M3838" s="36">
        <v>227.81</v>
      </c>
      <c r="T3838" s="41">
        <v>0</v>
      </c>
      <c r="U3838" s="41">
        <v>0</v>
      </c>
      <c r="V3838" s="42" t="s">
        <v>113</v>
      </c>
      <c r="W3838" s="42">
        <v>0</v>
      </c>
      <c r="X3838" s="42">
        <v>0</v>
      </c>
    </row>
    <row r="3839" spans="1:24">
      <c r="A3839" s="27" t="s">
        <v>7055</v>
      </c>
      <c r="B3839" s="28" t="s">
        <v>5102</v>
      </c>
      <c r="C3839" s="27" t="s">
        <v>7056</v>
      </c>
      <c r="D3839" s="27" t="s">
        <v>5104</v>
      </c>
      <c r="E3839" s="29">
        <v>39417</v>
      </c>
      <c r="F3839" s="27">
        <v>15</v>
      </c>
      <c r="G3839" s="18">
        <v>11300</v>
      </c>
      <c r="H3839" s="27">
        <f t="shared" si="118"/>
        <v>0</v>
      </c>
      <c r="I3839" s="18">
        <v>9963.2999999999993</v>
      </c>
      <c r="J3839" s="27">
        <v>11300</v>
      </c>
      <c r="K3839" s="18">
        <f t="shared" si="119"/>
        <v>0</v>
      </c>
      <c r="L3839" s="27">
        <v>10156.219999999999</v>
      </c>
      <c r="M3839" s="36">
        <v>192.92</v>
      </c>
      <c r="T3839" s="41">
        <v>0</v>
      </c>
      <c r="U3839" s="41">
        <v>0</v>
      </c>
      <c r="V3839" s="42" t="s">
        <v>113</v>
      </c>
      <c r="W3839" s="42">
        <v>0</v>
      </c>
      <c r="X3839" s="42">
        <v>0</v>
      </c>
    </row>
    <row r="3840" spans="1:24">
      <c r="A3840" s="27" t="s">
        <v>7057</v>
      </c>
      <c r="B3840" s="28" t="s">
        <v>5102</v>
      </c>
      <c r="C3840" s="27" t="s">
        <v>7058</v>
      </c>
      <c r="D3840" s="27" t="s">
        <v>5104</v>
      </c>
      <c r="E3840" s="29">
        <v>39417</v>
      </c>
      <c r="F3840" s="27">
        <v>15</v>
      </c>
      <c r="G3840" s="18">
        <v>17000</v>
      </c>
      <c r="H3840" s="27">
        <f t="shared" si="118"/>
        <v>0</v>
      </c>
      <c r="I3840" s="18">
        <v>15617.14</v>
      </c>
      <c r="J3840" s="27">
        <v>17000</v>
      </c>
      <c r="K3840" s="18">
        <f t="shared" si="119"/>
        <v>0</v>
      </c>
      <c r="L3840" s="27">
        <v>15750.36</v>
      </c>
      <c r="M3840" s="36">
        <v>133.22</v>
      </c>
      <c r="T3840" s="41">
        <v>0</v>
      </c>
      <c r="U3840" s="41">
        <v>0</v>
      </c>
      <c r="V3840" s="42" t="s">
        <v>113</v>
      </c>
      <c r="W3840" s="42">
        <v>0</v>
      </c>
      <c r="X3840" s="42">
        <v>0</v>
      </c>
    </row>
    <row r="3841" spans="1:24">
      <c r="A3841" s="27" t="s">
        <v>7059</v>
      </c>
      <c r="B3841" s="28" t="s">
        <v>5102</v>
      </c>
      <c r="C3841" s="27" t="s">
        <v>7060</v>
      </c>
      <c r="D3841" s="27" t="s">
        <v>5104</v>
      </c>
      <c r="E3841" s="29">
        <v>39417</v>
      </c>
      <c r="F3841" s="27">
        <v>15</v>
      </c>
      <c r="G3841" s="18">
        <v>13100</v>
      </c>
      <c r="H3841" s="27">
        <f t="shared" si="118"/>
        <v>0</v>
      </c>
      <c r="I3841" s="18">
        <v>11567.06</v>
      </c>
      <c r="J3841" s="27">
        <v>13100</v>
      </c>
      <c r="K3841" s="18">
        <f t="shared" si="119"/>
        <v>0</v>
      </c>
      <c r="L3841" s="27">
        <v>11786.55</v>
      </c>
      <c r="M3841" s="36">
        <v>219.49</v>
      </c>
      <c r="T3841" s="41">
        <v>0</v>
      </c>
      <c r="U3841" s="41">
        <v>0</v>
      </c>
      <c r="V3841" s="42" t="s">
        <v>113</v>
      </c>
      <c r="W3841" s="42">
        <v>0</v>
      </c>
      <c r="X3841" s="42">
        <v>0</v>
      </c>
    </row>
    <row r="3842" spans="1:24">
      <c r="A3842" s="27" t="s">
        <v>7061</v>
      </c>
      <c r="B3842" s="28" t="s">
        <v>5102</v>
      </c>
      <c r="C3842" s="27" t="s">
        <v>7062</v>
      </c>
      <c r="D3842" s="27" t="s">
        <v>5104</v>
      </c>
      <c r="E3842" s="29">
        <v>39417</v>
      </c>
      <c r="F3842" s="27">
        <v>15</v>
      </c>
      <c r="G3842" s="18">
        <v>9100</v>
      </c>
      <c r="H3842" s="27">
        <f t="shared" si="118"/>
        <v>0</v>
      </c>
      <c r="I3842" s="18">
        <v>8000.35</v>
      </c>
      <c r="J3842" s="27">
        <v>9100</v>
      </c>
      <c r="K3842" s="18">
        <f t="shared" si="119"/>
        <v>0</v>
      </c>
      <c r="L3842" s="27">
        <v>8161.51</v>
      </c>
      <c r="M3842" s="36">
        <v>161.16</v>
      </c>
      <c r="T3842" s="41">
        <v>0</v>
      </c>
      <c r="U3842" s="41">
        <v>0</v>
      </c>
      <c r="V3842" s="42" t="s">
        <v>113</v>
      </c>
      <c r="W3842" s="42">
        <v>0</v>
      </c>
      <c r="X3842" s="42">
        <v>0</v>
      </c>
    </row>
    <row r="3843" spans="1:24">
      <c r="A3843" s="27" t="s">
        <v>7063</v>
      </c>
      <c r="B3843" s="28" t="s">
        <v>5102</v>
      </c>
      <c r="C3843" s="27" t="s">
        <v>7064</v>
      </c>
      <c r="D3843" s="27" t="s">
        <v>5104</v>
      </c>
      <c r="E3843" s="29">
        <v>39417</v>
      </c>
      <c r="F3843" s="27">
        <v>15</v>
      </c>
      <c r="G3843" s="18">
        <v>8500</v>
      </c>
      <c r="H3843" s="27">
        <f t="shared" si="118"/>
        <v>0</v>
      </c>
      <c r="I3843" s="18">
        <v>7527.01</v>
      </c>
      <c r="J3843" s="27">
        <v>8500</v>
      </c>
      <c r="K3843" s="18">
        <f t="shared" si="119"/>
        <v>0</v>
      </c>
      <c r="L3843" s="27">
        <v>7664.01</v>
      </c>
      <c r="M3843" s="36">
        <v>137</v>
      </c>
      <c r="T3843" s="41">
        <v>0</v>
      </c>
      <c r="U3843" s="41">
        <v>0</v>
      </c>
      <c r="V3843" s="42" t="s">
        <v>113</v>
      </c>
      <c r="W3843" s="42">
        <v>0</v>
      </c>
      <c r="X3843" s="42">
        <v>0</v>
      </c>
    </row>
    <row r="3844" spans="1:24">
      <c r="A3844" s="27" t="s">
        <v>7065</v>
      </c>
      <c r="B3844" s="28" t="s">
        <v>5102</v>
      </c>
      <c r="C3844" s="27" t="s">
        <v>7066</v>
      </c>
      <c r="D3844" s="27" t="s">
        <v>5104</v>
      </c>
      <c r="E3844" s="29">
        <v>39417</v>
      </c>
      <c r="F3844" s="27">
        <v>15</v>
      </c>
      <c r="G3844" s="18">
        <v>26400</v>
      </c>
      <c r="H3844" s="27">
        <f t="shared" si="118"/>
        <v>0</v>
      </c>
      <c r="I3844" s="18">
        <v>23310.71</v>
      </c>
      <c r="J3844" s="27">
        <v>26400</v>
      </c>
      <c r="K3844" s="18">
        <f t="shared" si="119"/>
        <v>0</v>
      </c>
      <c r="L3844" s="27">
        <v>23753.03</v>
      </c>
      <c r="M3844" s="36">
        <v>442.32</v>
      </c>
      <c r="T3844" s="41">
        <v>0</v>
      </c>
      <c r="U3844" s="41">
        <v>0</v>
      </c>
      <c r="V3844" s="42" t="s">
        <v>113</v>
      </c>
      <c r="W3844" s="42">
        <v>0</v>
      </c>
      <c r="X3844" s="42">
        <v>0</v>
      </c>
    </row>
    <row r="3845" spans="1:24">
      <c r="A3845" s="27" t="s">
        <v>7067</v>
      </c>
      <c r="B3845" s="28" t="s">
        <v>5102</v>
      </c>
      <c r="C3845" s="27" t="s">
        <v>7068</v>
      </c>
      <c r="D3845" s="27" t="s">
        <v>5104</v>
      </c>
      <c r="E3845" s="29">
        <v>39417</v>
      </c>
      <c r="F3845" s="27">
        <v>15</v>
      </c>
      <c r="G3845" s="18">
        <v>9600</v>
      </c>
      <c r="H3845" s="27">
        <f t="shared" si="118"/>
        <v>0</v>
      </c>
      <c r="I3845" s="18">
        <v>8427.7000000000007</v>
      </c>
      <c r="J3845" s="27">
        <v>9600</v>
      </c>
      <c r="K3845" s="18">
        <f t="shared" si="119"/>
        <v>0</v>
      </c>
      <c r="L3845" s="27">
        <v>8600.7800000000007</v>
      </c>
      <c r="M3845" s="36">
        <v>173.08</v>
      </c>
      <c r="T3845" s="41">
        <v>0</v>
      </c>
      <c r="U3845" s="41">
        <v>0</v>
      </c>
      <c r="V3845" s="42" t="s">
        <v>113</v>
      </c>
      <c r="W3845" s="42">
        <v>0</v>
      </c>
      <c r="X3845" s="42">
        <v>0</v>
      </c>
    </row>
    <row r="3846" spans="1:24">
      <c r="A3846" s="27" t="s">
        <v>7069</v>
      </c>
      <c r="B3846" s="28" t="s">
        <v>5102</v>
      </c>
      <c r="C3846" s="27" t="s">
        <v>7070</v>
      </c>
      <c r="D3846" s="27" t="s">
        <v>5104</v>
      </c>
      <c r="E3846" s="29">
        <v>39417</v>
      </c>
      <c r="F3846" s="27">
        <v>15</v>
      </c>
      <c r="G3846" s="18">
        <v>13300</v>
      </c>
      <c r="H3846" s="27">
        <f t="shared" ref="H3846:H3909" si="120">IFERROR(IF(ROUND((G3846-I3846)/G3846,2)&lt;=0.05,G3846,0),0)</f>
        <v>0</v>
      </c>
      <c r="I3846" s="18">
        <v>11709.76</v>
      </c>
      <c r="J3846" s="27">
        <v>13300</v>
      </c>
      <c r="K3846" s="18">
        <f t="shared" ref="K3846:K3909" si="121">IFERROR(IF(ROUND((J3846-L3846)/J3846,2)&lt;=0.05,J3846,0),0)</f>
        <v>0</v>
      </c>
      <c r="L3846" s="27">
        <v>11941.07</v>
      </c>
      <c r="M3846" s="36">
        <v>231.31</v>
      </c>
      <c r="T3846" s="41">
        <v>0</v>
      </c>
      <c r="U3846" s="41">
        <v>0</v>
      </c>
      <c r="V3846" s="42" t="s">
        <v>113</v>
      </c>
      <c r="W3846" s="42">
        <v>0</v>
      </c>
      <c r="X3846" s="42">
        <v>0</v>
      </c>
    </row>
    <row r="3847" spans="1:24">
      <c r="A3847" s="27" t="s">
        <v>7071</v>
      </c>
      <c r="B3847" s="28" t="s">
        <v>5102</v>
      </c>
      <c r="C3847" s="27" t="s">
        <v>7072</v>
      </c>
      <c r="D3847" s="27" t="s">
        <v>5104</v>
      </c>
      <c r="E3847" s="29">
        <v>39417</v>
      </c>
      <c r="F3847" s="27">
        <v>15</v>
      </c>
      <c r="G3847" s="18">
        <v>41300</v>
      </c>
      <c r="H3847" s="27">
        <f t="shared" si="120"/>
        <v>0</v>
      </c>
      <c r="I3847" s="18">
        <v>36256.660000000003</v>
      </c>
      <c r="J3847" s="27">
        <v>41300</v>
      </c>
      <c r="K3847" s="18">
        <f t="shared" si="121"/>
        <v>0</v>
      </c>
      <c r="L3847" s="27">
        <v>37001.25</v>
      </c>
      <c r="M3847" s="36">
        <v>744.59</v>
      </c>
      <c r="T3847" s="41">
        <v>0</v>
      </c>
      <c r="U3847" s="41">
        <v>0</v>
      </c>
      <c r="V3847" s="42" t="s">
        <v>113</v>
      </c>
      <c r="W3847" s="42">
        <v>0</v>
      </c>
      <c r="X3847" s="42">
        <v>0</v>
      </c>
    </row>
    <row r="3848" spans="1:24">
      <c r="A3848" s="27" t="s">
        <v>7073</v>
      </c>
      <c r="B3848" s="28" t="s">
        <v>5102</v>
      </c>
      <c r="C3848" s="27" t="s">
        <v>7074</v>
      </c>
      <c r="D3848" s="27" t="s">
        <v>5104</v>
      </c>
      <c r="E3848" s="29">
        <v>39417</v>
      </c>
      <c r="F3848" s="27">
        <v>15</v>
      </c>
      <c r="G3848" s="18">
        <v>6400</v>
      </c>
      <c r="H3848" s="27">
        <f t="shared" si="120"/>
        <v>0</v>
      </c>
      <c r="I3848" s="18">
        <v>5651.09</v>
      </c>
      <c r="J3848" s="27">
        <v>6400</v>
      </c>
      <c r="K3848" s="18">
        <f t="shared" si="121"/>
        <v>0</v>
      </c>
      <c r="L3848" s="27">
        <v>5758.32</v>
      </c>
      <c r="M3848" s="36">
        <v>107.23</v>
      </c>
      <c r="T3848" s="41">
        <v>0</v>
      </c>
      <c r="U3848" s="41">
        <v>0</v>
      </c>
      <c r="V3848" s="42" t="s">
        <v>113</v>
      </c>
      <c r="W3848" s="42">
        <v>0</v>
      </c>
      <c r="X3848" s="42">
        <v>0</v>
      </c>
    </row>
    <row r="3849" spans="1:24">
      <c r="A3849" s="27" t="s">
        <v>7075</v>
      </c>
      <c r="B3849" s="28" t="s">
        <v>5102</v>
      </c>
      <c r="C3849" s="27" t="s">
        <v>7076</v>
      </c>
      <c r="D3849" s="27" t="s">
        <v>5104</v>
      </c>
      <c r="E3849" s="29">
        <v>39417</v>
      </c>
      <c r="F3849" s="27">
        <v>15</v>
      </c>
      <c r="G3849" s="18">
        <v>10400</v>
      </c>
      <c r="H3849" s="27">
        <f t="shared" si="120"/>
        <v>0</v>
      </c>
      <c r="I3849" s="18">
        <v>9209.51</v>
      </c>
      <c r="J3849" s="27">
        <v>10400</v>
      </c>
      <c r="K3849" s="18">
        <f t="shared" si="121"/>
        <v>0</v>
      </c>
      <c r="L3849" s="27">
        <v>9377.1299999999992</v>
      </c>
      <c r="M3849" s="36">
        <v>167.62</v>
      </c>
      <c r="T3849" s="41">
        <v>0</v>
      </c>
      <c r="U3849" s="41">
        <v>0</v>
      </c>
      <c r="V3849" s="42" t="s">
        <v>113</v>
      </c>
      <c r="W3849" s="42">
        <v>0</v>
      </c>
      <c r="X3849" s="42">
        <v>0</v>
      </c>
    </row>
    <row r="3850" spans="1:24">
      <c r="A3850" s="27" t="s">
        <v>7077</v>
      </c>
      <c r="B3850" s="28" t="s">
        <v>5102</v>
      </c>
      <c r="C3850" s="27" t="s">
        <v>7078</v>
      </c>
      <c r="D3850" s="27" t="s">
        <v>5104</v>
      </c>
      <c r="E3850" s="29">
        <v>39417</v>
      </c>
      <c r="F3850" s="27">
        <v>15</v>
      </c>
      <c r="G3850" s="18">
        <v>72000</v>
      </c>
      <c r="H3850" s="27">
        <f t="shared" si="120"/>
        <v>0</v>
      </c>
      <c r="I3850" s="18">
        <v>65776.28</v>
      </c>
      <c r="J3850" s="27">
        <v>72000</v>
      </c>
      <c r="K3850" s="18">
        <f t="shared" si="121"/>
        <v>0</v>
      </c>
      <c r="L3850" s="27">
        <v>66432.210000000006</v>
      </c>
      <c r="M3850" s="36">
        <v>655.93</v>
      </c>
      <c r="T3850" s="41">
        <v>0</v>
      </c>
      <c r="U3850" s="41">
        <v>0</v>
      </c>
      <c r="V3850" s="42" t="s">
        <v>113</v>
      </c>
      <c r="W3850" s="42">
        <v>0</v>
      </c>
      <c r="X3850" s="42">
        <v>0</v>
      </c>
    </row>
    <row r="3851" spans="1:24">
      <c r="A3851" s="27" t="s">
        <v>7079</v>
      </c>
      <c r="B3851" s="28" t="s">
        <v>5102</v>
      </c>
      <c r="C3851" s="27" t="s">
        <v>7080</v>
      </c>
      <c r="D3851" s="27" t="s">
        <v>5104</v>
      </c>
      <c r="E3851" s="29">
        <v>39417</v>
      </c>
      <c r="F3851" s="27">
        <v>15</v>
      </c>
      <c r="G3851" s="18">
        <v>16100</v>
      </c>
      <c r="H3851" s="27">
        <f t="shared" si="120"/>
        <v>0</v>
      </c>
      <c r="I3851" s="18">
        <v>14113.44</v>
      </c>
      <c r="J3851" s="27">
        <v>16100</v>
      </c>
      <c r="K3851" s="18">
        <f t="shared" si="121"/>
        <v>0</v>
      </c>
      <c r="L3851" s="27">
        <v>14408.83</v>
      </c>
      <c r="M3851" s="36">
        <v>295.39</v>
      </c>
      <c r="T3851" s="41">
        <v>0</v>
      </c>
      <c r="U3851" s="41">
        <v>0</v>
      </c>
      <c r="V3851" s="42" t="s">
        <v>113</v>
      </c>
      <c r="W3851" s="42">
        <v>0</v>
      </c>
      <c r="X3851" s="42">
        <v>0</v>
      </c>
    </row>
    <row r="3852" spans="1:24">
      <c r="A3852" s="27" t="s">
        <v>7081</v>
      </c>
      <c r="B3852" s="28" t="s">
        <v>5102</v>
      </c>
      <c r="C3852" s="27" t="s">
        <v>7082</v>
      </c>
      <c r="D3852" s="27" t="s">
        <v>5104</v>
      </c>
      <c r="E3852" s="29">
        <v>39479</v>
      </c>
      <c r="F3852" s="27">
        <v>15</v>
      </c>
      <c r="G3852" s="18">
        <v>14821.53</v>
      </c>
      <c r="H3852" s="27">
        <f t="shared" si="120"/>
        <v>0</v>
      </c>
      <c r="I3852" s="18">
        <v>12292.51</v>
      </c>
      <c r="J3852" s="27">
        <v>14821.53</v>
      </c>
      <c r="K3852" s="18">
        <f t="shared" si="121"/>
        <v>0</v>
      </c>
      <c r="L3852" s="27">
        <v>12721.62</v>
      </c>
      <c r="M3852" s="36">
        <v>429.11</v>
      </c>
      <c r="T3852" s="41">
        <v>0</v>
      </c>
      <c r="U3852" s="41">
        <v>0</v>
      </c>
      <c r="V3852" s="42" t="s">
        <v>113</v>
      </c>
      <c r="W3852" s="42">
        <v>0</v>
      </c>
      <c r="X3852" s="42">
        <v>0</v>
      </c>
    </row>
    <row r="3853" spans="1:24">
      <c r="A3853" s="27" t="s">
        <v>7083</v>
      </c>
      <c r="B3853" s="28" t="s">
        <v>5102</v>
      </c>
      <c r="C3853" s="27" t="s">
        <v>7084</v>
      </c>
      <c r="D3853" s="27" t="s">
        <v>5104</v>
      </c>
      <c r="E3853" s="29">
        <v>39479</v>
      </c>
      <c r="F3853" s="27">
        <v>15</v>
      </c>
      <c r="G3853" s="18">
        <v>15503.06</v>
      </c>
      <c r="H3853" s="27">
        <f t="shared" si="120"/>
        <v>0</v>
      </c>
      <c r="I3853" s="18">
        <v>12857.76</v>
      </c>
      <c r="J3853" s="27">
        <v>15503.06</v>
      </c>
      <c r="K3853" s="18">
        <f t="shared" si="121"/>
        <v>0</v>
      </c>
      <c r="L3853" s="27">
        <v>13306.6</v>
      </c>
      <c r="M3853" s="36">
        <v>448.84</v>
      </c>
      <c r="T3853" s="41">
        <v>0</v>
      </c>
      <c r="U3853" s="41">
        <v>0</v>
      </c>
      <c r="V3853" s="42" t="s">
        <v>113</v>
      </c>
      <c r="W3853" s="42">
        <v>0</v>
      </c>
      <c r="X3853" s="42">
        <v>0</v>
      </c>
    </row>
    <row r="3854" spans="1:24">
      <c r="A3854" s="27" t="s">
        <v>7085</v>
      </c>
      <c r="B3854" s="28" t="s">
        <v>5102</v>
      </c>
      <c r="C3854" s="27" t="s">
        <v>7086</v>
      </c>
      <c r="D3854" s="27" t="s">
        <v>5104</v>
      </c>
      <c r="E3854" s="29">
        <v>39479</v>
      </c>
      <c r="F3854" s="27">
        <v>15</v>
      </c>
      <c r="G3854" s="18">
        <v>8720.83</v>
      </c>
      <c r="H3854" s="27">
        <f t="shared" si="120"/>
        <v>0</v>
      </c>
      <c r="I3854" s="18">
        <v>7232.77</v>
      </c>
      <c r="J3854" s="27">
        <v>8720.83</v>
      </c>
      <c r="K3854" s="18">
        <f t="shared" si="121"/>
        <v>0</v>
      </c>
      <c r="L3854" s="27">
        <v>7485.25</v>
      </c>
      <c r="M3854" s="36">
        <v>252.48</v>
      </c>
      <c r="T3854" s="41">
        <v>0</v>
      </c>
      <c r="U3854" s="41">
        <v>0</v>
      </c>
      <c r="V3854" s="42" t="s">
        <v>113</v>
      </c>
      <c r="W3854" s="42">
        <v>0</v>
      </c>
      <c r="X3854" s="42">
        <v>0</v>
      </c>
    </row>
    <row r="3855" spans="1:24">
      <c r="A3855" s="27" t="s">
        <v>7087</v>
      </c>
      <c r="B3855" s="28" t="s">
        <v>5102</v>
      </c>
      <c r="C3855" s="27" t="s">
        <v>7088</v>
      </c>
      <c r="D3855" s="27" t="s">
        <v>5104</v>
      </c>
      <c r="E3855" s="29">
        <v>39479</v>
      </c>
      <c r="F3855" s="27">
        <v>15</v>
      </c>
      <c r="G3855" s="18">
        <v>8515.69</v>
      </c>
      <c r="H3855" s="27">
        <f t="shared" si="120"/>
        <v>0</v>
      </c>
      <c r="I3855" s="18">
        <v>7062.66</v>
      </c>
      <c r="J3855" s="27">
        <v>8515.69</v>
      </c>
      <c r="K3855" s="18">
        <f t="shared" si="121"/>
        <v>0</v>
      </c>
      <c r="L3855" s="27">
        <v>7309.2</v>
      </c>
      <c r="M3855" s="36">
        <v>246.54</v>
      </c>
      <c r="T3855" s="41">
        <v>0</v>
      </c>
      <c r="U3855" s="41">
        <v>0</v>
      </c>
      <c r="V3855" s="42" t="s">
        <v>113</v>
      </c>
      <c r="W3855" s="42">
        <v>0</v>
      </c>
      <c r="X3855" s="42">
        <v>0</v>
      </c>
    </row>
    <row r="3856" spans="1:24">
      <c r="A3856" s="27" t="s">
        <v>7089</v>
      </c>
      <c r="B3856" s="28" t="s">
        <v>5102</v>
      </c>
      <c r="C3856" s="27" t="s">
        <v>7090</v>
      </c>
      <c r="D3856" s="27" t="s">
        <v>5104</v>
      </c>
      <c r="E3856" s="29">
        <v>39479</v>
      </c>
      <c r="F3856" s="27">
        <v>15</v>
      </c>
      <c r="G3856" s="18">
        <v>14629.03</v>
      </c>
      <c r="H3856" s="27">
        <f t="shared" si="120"/>
        <v>0</v>
      </c>
      <c r="I3856" s="18">
        <v>12132.85</v>
      </c>
      <c r="J3856" s="27">
        <v>14629.03</v>
      </c>
      <c r="K3856" s="18">
        <f t="shared" si="121"/>
        <v>0</v>
      </c>
      <c r="L3856" s="27">
        <v>12556.39</v>
      </c>
      <c r="M3856" s="36">
        <v>423.54</v>
      </c>
      <c r="T3856" s="41">
        <v>0</v>
      </c>
      <c r="U3856" s="41">
        <v>0</v>
      </c>
      <c r="V3856" s="42" t="s">
        <v>113</v>
      </c>
      <c r="W3856" s="42">
        <v>0</v>
      </c>
      <c r="X3856" s="42">
        <v>0</v>
      </c>
    </row>
    <row r="3857" spans="1:24">
      <c r="A3857" s="27" t="s">
        <v>7091</v>
      </c>
      <c r="B3857" s="28" t="s">
        <v>5102</v>
      </c>
      <c r="C3857" s="27" t="s">
        <v>7092</v>
      </c>
      <c r="D3857" s="27" t="s">
        <v>5104</v>
      </c>
      <c r="E3857" s="29">
        <v>39479</v>
      </c>
      <c r="F3857" s="27">
        <v>15</v>
      </c>
      <c r="G3857" s="18">
        <v>15880.28</v>
      </c>
      <c r="H3857" s="27">
        <f t="shared" si="120"/>
        <v>0</v>
      </c>
      <c r="I3857" s="18">
        <v>13170.62</v>
      </c>
      <c r="J3857" s="27">
        <v>15880.28</v>
      </c>
      <c r="K3857" s="18">
        <f t="shared" si="121"/>
        <v>0</v>
      </c>
      <c r="L3857" s="27">
        <v>13630.38</v>
      </c>
      <c r="M3857" s="36">
        <v>459.76</v>
      </c>
      <c r="T3857" s="41">
        <v>0</v>
      </c>
      <c r="U3857" s="41">
        <v>0</v>
      </c>
      <c r="V3857" s="42" t="s">
        <v>113</v>
      </c>
      <c r="W3857" s="42">
        <v>0</v>
      </c>
      <c r="X3857" s="42">
        <v>0</v>
      </c>
    </row>
    <row r="3858" spans="1:24">
      <c r="A3858" s="27" t="s">
        <v>7093</v>
      </c>
      <c r="B3858" s="28" t="s">
        <v>5102</v>
      </c>
      <c r="C3858" s="27" t="s">
        <v>7094</v>
      </c>
      <c r="D3858" s="27" t="s">
        <v>5104</v>
      </c>
      <c r="E3858" s="29">
        <v>37773</v>
      </c>
      <c r="F3858" s="27">
        <v>15</v>
      </c>
      <c r="G3858" s="18">
        <v>16221.67</v>
      </c>
      <c r="H3858" s="27">
        <f t="shared" si="120"/>
        <v>16221.67</v>
      </c>
      <c r="I3858" s="18">
        <v>15410.59</v>
      </c>
      <c r="J3858" s="27">
        <v>16221.67</v>
      </c>
      <c r="K3858" s="18">
        <f t="shared" si="121"/>
        <v>16221.67</v>
      </c>
      <c r="L3858" s="27">
        <v>15410.59</v>
      </c>
      <c r="M3858" s="36">
        <v>0</v>
      </c>
      <c r="T3858" s="41">
        <v>0</v>
      </c>
      <c r="U3858" s="41">
        <v>0</v>
      </c>
      <c r="V3858" s="42" t="s">
        <v>113</v>
      </c>
      <c r="W3858" s="42">
        <v>16221.67</v>
      </c>
      <c r="X3858" s="42">
        <v>16221.67</v>
      </c>
    </row>
    <row r="3859" spans="1:24">
      <c r="A3859" s="27" t="s">
        <v>7095</v>
      </c>
      <c r="B3859" s="28" t="s">
        <v>5102</v>
      </c>
      <c r="C3859" s="27" t="s">
        <v>7096</v>
      </c>
      <c r="D3859" s="27" t="s">
        <v>5104</v>
      </c>
      <c r="E3859" s="29">
        <v>35704</v>
      </c>
      <c r="F3859" s="27">
        <v>15</v>
      </c>
      <c r="G3859" s="18">
        <v>23492.45</v>
      </c>
      <c r="H3859" s="27">
        <f t="shared" si="120"/>
        <v>23492.45</v>
      </c>
      <c r="I3859" s="18">
        <v>22317.83</v>
      </c>
      <c r="J3859" s="27">
        <v>23492.45</v>
      </c>
      <c r="K3859" s="18">
        <f t="shared" si="121"/>
        <v>23492.45</v>
      </c>
      <c r="L3859" s="27">
        <v>22317.83</v>
      </c>
      <c r="M3859" s="36">
        <v>0</v>
      </c>
      <c r="T3859" s="41">
        <v>0</v>
      </c>
      <c r="U3859" s="41">
        <v>0</v>
      </c>
      <c r="V3859" s="42" t="s">
        <v>113</v>
      </c>
      <c r="W3859" s="42">
        <v>23492.45</v>
      </c>
      <c r="X3859" s="42">
        <v>23492.45</v>
      </c>
    </row>
    <row r="3860" spans="1:24">
      <c r="A3860" s="27" t="s">
        <v>7097</v>
      </c>
      <c r="B3860" s="28" t="s">
        <v>5102</v>
      </c>
      <c r="C3860" s="27" t="s">
        <v>7098</v>
      </c>
      <c r="D3860" s="27" t="s">
        <v>5104</v>
      </c>
      <c r="E3860" s="29">
        <v>38078</v>
      </c>
      <c r="F3860" s="27">
        <v>15</v>
      </c>
      <c r="G3860" s="18">
        <v>8636.85</v>
      </c>
      <c r="H3860" s="27">
        <f t="shared" si="120"/>
        <v>8636.85</v>
      </c>
      <c r="I3860" s="18">
        <v>8205.01</v>
      </c>
      <c r="J3860" s="27">
        <v>8636.85</v>
      </c>
      <c r="K3860" s="18">
        <f t="shared" si="121"/>
        <v>8636.85</v>
      </c>
      <c r="L3860" s="27">
        <v>8205.01</v>
      </c>
      <c r="M3860" s="36">
        <v>0</v>
      </c>
      <c r="T3860" s="41">
        <v>0</v>
      </c>
      <c r="U3860" s="41">
        <v>0</v>
      </c>
      <c r="V3860" s="42" t="s">
        <v>113</v>
      </c>
      <c r="W3860" s="42">
        <v>8636.85</v>
      </c>
      <c r="X3860" s="42">
        <v>8636.85</v>
      </c>
    </row>
    <row r="3861" spans="1:24">
      <c r="A3861" s="27" t="s">
        <v>7099</v>
      </c>
      <c r="B3861" s="28" t="s">
        <v>5102</v>
      </c>
      <c r="C3861" s="27" t="s">
        <v>7100</v>
      </c>
      <c r="D3861" s="27" t="s">
        <v>5104</v>
      </c>
      <c r="E3861" s="29">
        <v>38078</v>
      </c>
      <c r="F3861" s="27">
        <v>15</v>
      </c>
      <c r="G3861" s="18">
        <v>87400.46</v>
      </c>
      <c r="H3861" s="27">
        <f t="shared" si="120"/>
        <v>87400.46</v>
      </c>
      <c r="I3861" s="18">
        <v>83030.44</v>
      </c>
      <c r="J3861" s="27">
        <v>87400.46</v>
      </c>
      <c r="K3861" s="18">
        <f t="shared" si="121"/>
        <v>87400.46</v>
      </c>
      <c r="L3861" s="27">
        <v>83030.44</v>
      </c>
      <c r="M3861" s="36">
        <v>0</v>
      </c>
      <c r="T3861" s="41">
        <v>0</v>
      </c>
      <c r="U3861" s="41">
        <v>0</v>
      </c>
      <c r="V3861" s="42" t="s">
        <v>113</v>
      </c>
      <c r="W3861" s="42">
        <v>87400.46</v>
      </c>
      <c r="X3861" s="42">
        <v>87400.46</v>
      </c>
    </row>
    <row r="3862" spans="1:24">
      <c r="A3862" s="27" t="s">
        <v>7101</v>
      </c>
      <c r="B3862" s="28" t="s">
        <v>5102</v>
      </c>
      <c r="C3862" s="27" t="s">
        <v>7102</v>
      </c>
      <c r="D3862" s="27" t="s">
        <v>5104</v>
      </c>
      <c r="E3862" s="29">
        <v>34608</v>
      </c>
      <c r="F3862" s="27">
        <v>15</v>
      </c>
      <c r="G3862" s="18">
        <v>53228.49</v>
      </c>
      <c r="H3862" s="27">
        <f t="shared" si="120"/>
        <v>53228.49</v>
      </c>
      <c r="I3862" s="18">
        <v>50567.07</v>
      </c>
      <c r="J3862" s="27">
        <v>53228.49</v>
      </c>
      <c r="K3862" s="18">
        <f t="shared" si="121"/>
        <v>53228.49</v>
      </c>
      <c r="L3862" s="27">
        <v>50567.07</v>
      </c>
      <c r="M3862" s="36">
        <v>0</v>
      </c>
      <c r="T3862" s="41">
        <v>0</v>
      </c>
      <c r="U3862" s="41">
        <v>0</v>
      </c>
      <c r="V3862" s="42" t="s">
        <v>113</v>
      </c>
      <c r="W3862" s="42">
        <v>53228.49</v>
      </c>
      <c r="X3862" s="42">
        <v>53228.49</v>
      </c>
    </row>
    <row r="3863" spans="1:24">
      <c r="A3863" s="27" t="s">
        <v>7103</v>
      </c>
      <c r="B3863" s="28" t="s">
        <v>5102</v>
      </c>
      <c r="C3863" s="27" t="s">
        <v>7104</v>
      </c>
      <c r="D3863" s="27" t="s">
        <v>5104</v>
      </c>
      <c r="E3863" s="29">
        <v>38078</v>
      </c>
      <c r="F3863" s="27">
        <v>15</v>
      </c>
      <c r="G3863" s="18">
        <v>52428.959999999999</v>
      </c>
      <c r="H3863" s="27">
        <f t="shared" si="120"/>
        <v>52428.959999999999</v>
      </c>
      <c r="I3863" s="18">
        <v>49807.51</v>
      </c>
      <c r="J3863" s="27">
        <v>52428.959999999999</v>
      </c>
      <c r="K3863" s="18">
        <f t="shared" si="121"/>
        <v>52428.959999999999</v>
      </c>
      <c r="L3863" s="27">
        <v>49807.51</v>
      </c>
      <c r="M3863" s="36">
        <v>0</v>
      </c>
      <c r="T3863" s="41">
        <v>0</v>
      </c>
      <c r="U3863" s="41">
        <v>0</v>
      </c>
      <c r="V3863" s="42" t="s">
        <v>113</v>
      </c>
      <c r="W3863" s="42">
        <v>52428.959999999999</v>
      </c>
      <c r="X3863" s="42">
        <v>52428.959999999999</v>
      </c>
    </row>
    <row r="3864" spans="1:24">
      <c r="A3864" s="27" t="s">
        <v>7105</v>
      </c>
      <c r="B3864" s="28" t="s">
        <v>5102</v>
      </c>
      <c r="C3864" s="27" t="s">
        <v>7104</v>
      </c>
      <c r="D3864" s="27" t="s">
        <v>5104</v>
      </c>
      <c r="E3864" s="29">
        <v>38078</v>
      </c>
      <c r="F3864" s="27">
        <v>15</v>
      </c>
      <c r="G3864" s="18">
        <v>11492.25</v>
      </c>
      <c r="H3864" s="27">
        <f t="shared" si="120"/>
        <v>11492.25</v>
      </c>
      <c r="I3864" s="18">
        <v>10917.64</v>
      </c>
      <c r="J3864" s="27">
        <v>11492.25</v>
      </c>
      <c r="K3864" s="18">
        <f t="shared" si="121"/>
        <v>11492.25</v>
      </c>
      <c r="L3864" s="27">
        <v>10917.64</v>
      </c>
      <c r="M3864" s="36">
        <v>0</v>
      </c>
      <c r="T3864" s="41">
        <v>0</v>
      </c>
      <c r="U3864" s="41">
        <v>0</v>
      </c>
      <c r="V3864" s="42" t="s">
        <v>113</v>
      </c>
      <c r="W3864" s="42">
        <v>11492.25</v>
      </c>
      <c r="X3864" s="42">
        <v>11492.25</v>
      </c>
    </row>
    <row r="3865" spans="1:24">
      <c r="A3865" s="27" t="s">
        <v>7106</v>
      </c>
      <c r="B3865" s="28" t="s">
        <v>5102</v>
      </c>
      <c r="C3865" s="27" t="s">
        <v>7107</v>
      </c>
      <c r="D3865" s="27" t="s">
        <v>5104</v>
      </c>
      <c r="E3865" s="29">
        <v>38078</v>
      </c>
      <c r="F3865" s="27">
        <v>15</v>
      </c>
      <c r="G3865" s="18">
        <v>40710.550000000003</v>
      </c>
      <c r="H3865" s="27">
        <f t="shared" si="120"/>
        <v>40710.550000000003</v>
      </c>
      <c r="I3865" s="18">
        <v>38675.019999999997</v>
      </c>
      <c r="J3865" s="27">
        <v>40710.550000000003</v>
      </c>
      <c r="K3865" s="18">
        <f t="shared" si="121"/>
        <v>40710.550000000003</v>
      </c>
      <c r="L3865" s="27">
        <v>38675.019999999997</v>
      </c>
      <c r="M3865" s="36">
        <v>0</v>
      </c>
      <c r="T3865" s="41">
        <v>0</v>
      </c>
      <c r="U3865" s="41">
        <v>0</v>
      </c>
      <c r="V3865" s="42" t="s">
        <v>113</v>
      </c>
      <c r="W3865" s="42">
        <v>40710.550000000003</v>
      </c>
      <c r="X3865" s="42">
        <v>40710.550000000003</v>
      </c>
    </row>
    <row r="3866" spans="1:24">
      <c r="A3866" s="27" t="s">
        <v>7108</v>
      </c>
      <c r="B3866" s="28" t="s">
        <v>5102</v>
      </c>
      <c r="C3866" s="27" t="s">
        <v>7109</v>
      </c>
      <c r="D3866" s="27" t="s">
        <v>230</v>
      </c>
      <c r="E3866" s="29">
        <v>35462</v>
      </c>
      <c r="F3866" s="27">
        <v>15</v>
      </c>
      <c r="G3866" s="18">
        <v>19112.5</v>
      </c>
      <c r="H3866" s="27">
        <f t="shared" si="120"/>
        <v>19112.5</v>
      </c>
      <c r="I3866" s="18">
        <v>18156.87</v>
      </c>
      <c r="J3866" s="27">
        <v>19112.5</v>
      </c>
      <c r="K3866" s="18">
        <f t="shared" si="121"/>
        <v>19112.5</v>
      </c>
      <c r="L3866" s="27">
        <v>18156.87</v>
      </c>
      <c r="M3866" s="36">
        <v>0</v>
      </c>
      <c r="T3866" s="41">
        <v>0</v>
      </c>
      <c r="U3866" s="41">
        <v>0</v>
      </c>
      <c r="V3866" s="42" t="s">
        <v>113</v>
      </c>
      <c r="W3866" s="42">
        <v>19112.5</v>
      </c>
      <c r="X3866" s="42">
        <v>19112.5</v>
      </c>
    </row>
    <row r="3867" spans="1:24">
      <c r="A3867" s="27" t="s">
        <v>7110</v>
      </c>
      <c r="B3867" s="28" t="s">
        <v>5102</v>
      </c>
      <c r="C3867" s="27" t="s">
        <v>7111</v>
      </c>
      <c r="D3867" s="27" t="s">
        <v>5104</v>
      </c>
      <c r="E3867" s="29">
        <v>36495</v>
      </c>
      <c r="F3867" s="27">
        <v>15</v>
      </c>
      <c r="G3867" s="18">
        <v>115660</v>
      </c>
      <c r="H3867" s="27">
        <f t="shared" si="120"/>
        <v>115660</v>
      </c>
      <c r="I3867" s="18">
        <v>109877</v>
      </c>
      <c r="J3867" s="27">
        <v>115660</v>
      </c>
      <c r="K3867" s="18">
        <f t="shared" si="121"/>
        <v>115660</v>
      </c>
      <c r="L3867" s="27">
        <v>109877</v>
      </c>
      <c r="M3867" s="36">
        <v>0</v>
      </c>
      <c r="T3867" s="41">
        <v>0</v>
      </c>
      <c r="U3867" s="41">
        <v>0</v>
      </c>
      <c r="V3867" s="42" t="s">
        <v>113</v>
      </c>
      <c r="W3867" s="42">
        <v>115660</v>
      </c>
      <c r="X3867" s="42">
        <v>115660</v>
      </c>
    </row>
    <row r="3868" spans="1:24">
      <c r="A3868" s="27" t="s">
        <v>7112</v>
      </c>
      <c r="B3868" s="28" t="s">
        <v>5102</v>
      </c>
      <c r="C3868" s="27" t="s">
        <v>7113</v>
      </c>
      <c r="D3868" s="27" t="s">
        <v>5104</v>
      </c>
      <c r="E3868" s="29">
        <v>36495</v>
      </c>
      <c r="F3868" s="27">
        <v>15</v>
      </c>
      <c r="G3868" s="18">
        <v>100050</v>
      </c>
      <c r="H3868" s="27">
        <f t="shared" si="120"/>
        <v>100050</v>
      </c>
      <c r="I3868" s="18">
        <v>95047.5</v>
      </c>
      <c r="J3868" s="27">
        <v>100050</v>
      </c>
      <c r="K3868" s="18">
        <f t="shared" si="121"/>
        <v>100050</v>
      </c>
      <c r="L3868" s="27">
        <v>95047.5</v>
      </c>
      <c r="M3868" s="36">
        <v>0</v>
      </c>
      <c r="T3868" s="41">
        <v>0</v>
      </c>
      <c r="U3868" s="41">
        <v>0</v>
      </c>
      <c r="V3868" s="42" t="s">
        <v>113</v>
      </c>
      <c r="W3868" s="42">
        <v>100050</v>
      </c>
      <c r="X3868" s="42">
        <v>100050</v>
      </c>
    </row>
    <row r="3869" spans="1:24">
      <c r="A3869" s="27" t="s">
        <v>7114</v>
      </c>
      <c r="B3869" s="28" t="s">
        <v>5102</v>
      </c>
      <c r="C3869" s="27" t="s">
        <v>7115</v>
      </c>
      <c r="D3869" s="27" t="s">
        <v>5104</v>
      </c>
      <c r="E3869" s="29">
        <v>36495</v>
      </c>
      <c r="F3869" s="27">
        <v>15</v>
      </c>
      <c r="G3869" s="18">
        <v>50030</v>
      </c>
      <c r="H3869" s="27">
        <f t="shared" si="120"/>
        <v>50030</v>
      </c>
      <c r="I3869" s="18">
        <v>47528.5</v>
      </c>
      <c r="J3869" s="27">
        <v>50030</v>
      </c>
      <c r="K3869" s="18">
        <f t="shared" si="121"/>
        <v>50030</v>
      </c>
      <c r="L3869" s="27">
        <v>47528.5</v>
      </c>
      <c r="M3869" s="36">
        <v>0</v>
      </c>
      <c r="T3869" s="41">
        <v>0</v>
      </c>
      <c r="U3869" s="41">
        <v>0</v>
      </c>
      <c r="V3869" s="42" t="s">
        <v>113</v>
      </c>
      <c r="W3869" s="42">
        <v>50030</v>
      </c>
      <c r="X3869" s="42">
        <v>50030</v>
      </c>
    </row>
    <row r="3870" spans="1:24">
      <c r="A3870" s="27" t="s">
        <v>7116</v>
      </c>
      <c r="B3870" s="28" t="s">
        <v>5102</v>
      </c>
      <c r="C3870" s="27" t="s">
        <v>7117</v>
      </c>
      <c r="D3870" s="27" t="s">
        <v>5104</v>
      </c>
      <c r="E3870" s="29">
        <v>36495</v>
      </c>
      <c r="F3870" s="27">
        <v>15</v>
      </c>
      <c r="G3870" s="18">
        <v>19170</v>
      </c>
      <c r="H3870" s="27">
        <f t="shared" si="120"/>
        <v>19170</v>
      </c>
      <c r="I3870" s="18">
        <v>18211.5</v>
      </c>
      <c r="J3870" s="27">
        <v>19170</v>
      </c>
      <c r="K3870" s="18">
        <f t="shared" si="121"/>
        <v>19170</v>
      </c>
      <c r="L3870" s="27">
        <v>18211.5</v>
      </c>
      <c r="M3870" s="36">
        <v>0</v>
      </c>
      <c r="T3870" s="41">
        <v>0</v>
      </c>
      <c r="U3870" s="41">
        <v>0</v>
      </c>
      <c r="V3870" s="42" t="s">
        <v>113</v>
      </c>
      <c r="W3870" s="42">
        <v>19170</v>
      </c>
      <c r="X3870" s="42">
        <v>19170</v>
      </c>
    </row>
    <row r="3871" spans="1:24">
      <c r="A3871" s="27" t="s">
        <v>7118</v>
      </c>
      <c r="B3871" s="28" t="s">
        <v>5102</v>
      </c>
      <c r="C3871" s="27" t="s">
        <v>7119</v>
      </c>
      <c r="D3871" s="27" t="s">
        <v>5104</v>
      </c>
      <c r="E3871" s="29">
        <v>36495</v>
      </c>
      <c r="F3871" s="27">
        <v>15</v>
      </c>
      <c r="G3871" s="18">
        <v>13424.26</v>
      </c>
      <c r="H3871" s="27">
        <f t="shared" si="120"/>
        <v>13424.26</v>
      </c>
      <c r="I3871" s="18">
        <v>12753.05</v>
      </c>
      <c r="J3871" s="27">
        <v>13424.26</v>
      </c>
      <c r="K3871" s="18">
        <f t="shared" si="121"/>
        <v>13424.26</v>
      </c>
      <c r="L3871" s="27">
        <v>12753.05</v>
      </c>
      <c r="M3871" s="36">
        <v>0</v>
      </c>
      <c r="T3871" s="41">
        <v>0</v>
      </c>
      <c r="U3871" s="41">
        <v>0</v>
      </c>
      <c r="V3871" s="42" t="s">
        <v>113</v>
      </c>
      <c r="W3871" s="42">
        <v>13424.26</v>
      </c>
      <c r="X3871" s="42">
        <v>13424.26</v>
      </c>
    </row>
    <row r="3872" spans="1:24">
      <c r="A3872" s="27" t="s">
        <v>7120</v>
      </c>
      <c r="B3872" s="28" t="s">
        <v>5102</v>
      </c>
      <c r="C3872" s="27" t="s">
        <v>7121</v>
      </c>
      <c r="D3872" s="27" t="s">
        <v>5104</v>
      </c>
      <c r="E3872" s="29">
        <v>36495</v>
      </c>
      <c r="F3872" s="27">
        <v>15</v>
      </c>
      <c r="G3872" s="18">
        <v>93460</v>
      </c>
      <c r="H3872" s="27">
        <f t="shared" si="120"/>
        <v>93460</v>
      </c>
      <c r="I3872" s="18">
        <v>88787</v>
      </c>
      <c r="J3872" s="27">
        <v>93460</v>
      </c>
      <c r="K3872" s="18">
        <f t="shared" si="121"/>
        <v>93460</v>
      </c>
      <c r="L3872" s="27">
        <v>88787</v>
      </c>
      <c r="M3872" s="36">
        <v>0</v>
      </c>
      <c r="T3872" s="41">
        <v>0</v>
      </c>
      <c r="U3872" s="41">
        <v>0</v>
      </c>
      <c r="V3872" s="42" t="s">
        <v>113</v>
      </c>
      <c r="W3872" s="42">
        <v>93460</v>
      </c>
      <c r="X3872" s="42">
        <v>93460</v>
      </c>
    </row>
    <row r="3873" spans="1:24">
      <c r="A3873" s="27" t="s">
        <v>7122</v>
      </c>
      <c r="B3873" s="28" t="s">
        <v>5102</v>
      </c>
      <c r="C3873" s="27" t="s">
        <v>7123</v>
      </c>
      <c r="D3873" s="27" t="s">
        <v>5104</v>
      </c>
      <c r="E3873" s="29">
        <v>36495</v>
      </c>
      <c r="F3873" s="27">
        <v>15</v>
      </c>
      <c r="G3873" s="18">
        <v>105450</v>
      </c>
      <c r="H3873" s="27">
        <f t="shared" si="120"/>
        <v>105450</v>
      </c>
      <c r="I3873" s="18">
        <v>100177.5</v>
      </c>
      <c r="J3873" s="27">
        <v>105450</v>
      </c>
      <c r="K3873" s="18">
        <f t="shared" si="121"/>
        <v>105450</v>
      </c>
      <c r="L3873" s="27">
        <v>100177.5</v>
      </c>
      <c r="M3873" s="36">
        <v>0</v>
      </c>
      <c r="T3873" s="41">
        <v>0</v>
      </c>
      <c r="U3873" s="41">
        <v>0</v>
      </c>
      <c r="V3873" s="42" t="s">
        <v>113</v>
      </c>
      <c r="W3873" s="42">
        <v>105450</v>
      </c>
      <c r="X3873" s="42">
        <v>105450</v>
      </c>
    </row>
    <row r="3874" spans="1:24">
      <c r="A3874" s="27" t="s">
        <v>7124</v>
      </c>
      <c r="B3874" s="28" t="s">
        <v>5102</v>
      </c>
      <c r="C3874" s="27" t="s">
        <v>7125</v>
      </c>
      <c r="D3874" s="27" t="s">
        <v>5104</v>
      </c>
      <c r="E3874" s="29">
        <v>36495</v>
      </c>
      <c r="F3874" s="27">
        <v>15</v>
      </c>
      <c r="G3874" s="18">
        <v>110240</v>
      </c>
      <c r="H3874" s="27">
        <f t="shared" si="120"/>
        <v>110240</v>
      </c>
      <c r="I3874" s="18">
        <v>104728</v>
      </c>
      <c r="J3874" s="27">
        <v>110240</v>
      </c>
      <c r="K3874" s="18">
        <f t="shared" si="121"/>
        <v>110240</v>
      </c>
      <c r="L3874" s="27">
        <v>104728</v>
      </c>
      <c r="M3874" s="36">
        <v>0</v>
      </c>
      <c r="T3874" s="41">
        <v>0</v>
      </c>
      <c r="U3874" s="41">
        <v>0</v>
      </c>
      <c r="V3874" s="42" t="s">
        <v>113</v>
      </c>
      <c r="W3874" s="42">
        <v>110240</v>
      </c>
      <c r="X3874" s="42">
        <v>110240</v>
      </c>
    </row>
    <row r="3875" spans="1:24">
      <c r="A3875" s="27" t="s">
        <v>7126</v>
      </c>
      <c r="B3875" s="28" t="s">
        <v>5102</v>
      </c>
      <c r="C3875" s="27" t="s">
        <v>7127</v>
      </c>
      <c r="D3875" s="27" t="s">
        <v>5104</v>
      </c>
      <c r="E3875" s="29">
        <v>36495</v>
      </c>
      <c r="F3875" s="27">
        <v>15</v>
      </c>
      <c r="G3875" s="18">
        <v>83880</v>
      </c>
      <c r="H3875" s="27">
        <f t="shared" si="120"/>
        <v>83880</v>
      </c>
      <c r="I3875" s="18">
        <v>79686</v>
      </c>
      <c r="J3875" s="27">
        <v>83880</v>
      </c>
      <c r="K3875" s="18">
        <f t="shared" si="121"/>
        <v>83880</v>
      </c>
      <c r="L3875" s="27">
        <v>79686</v>
      </c>
      <c r="M3875" s="36">
        <v>0</v>
      </c>
      <c r="T3875" s="41">
        <v>0</v>
      </c>
      <c r="U3875" s="41">
        <v>0</v>
      </c>
      <c r="V3875" s="42" t="s">
        <v>113</v>
      </c>
      <c r="W3875" s="42">
        <v>83880</v>
      </c>
      <c r="X3875" s="42">
        <v>83880</v>
      </c>
    </row>
    <row r="3876" spans="1:24">
      <c r="A3876" s="27" t="s">
        <v>7128</v>
      </c>
      <c r="B3876" s="28" t="s">
        <v>5102</v>
      </c>
      <c r="C3876" s="27" t="s">
        <v>7129</v>
      </c>
      <c r="D3876" s="27" t="s">
        <v>5104</v>
      </c>
      <c r="E3876" s="29">
        <v>36495</v>
      </c>
      <c r="F3876" s="27">
        <v>15</v>
      </c>
      <c r="G3876" s="18">
        <v>34891.699999999997</v>
      </c>
      <c r="H3876" s="27">
        <f t="shared" si="120"/>
        <v>34891.699999999997</v>
      </c>
      <c r="I3876" s="18">
        <v>33147.11</v>
      </c>
      <c r="J3876" s="27">
        <v>34891.699999999997</v>
      </c>
      <c r="K3876" s="18">
        <f t="shared" si="121"/>
        <v>34891.699999999997</v>
      </c>
      <c r="L3876" s="27">
        <v>33147.11</v>
      </c>
      <c r="M3876" s="36">
        <v>0</v>
      </c>
      <c r="T3876" s="41">
        <v>0</v>
      </c>
      <c r="U3876" s="41">
        <v>0</v>
      </c>
      <c r="V3876" s="42" t="s">
        <v>113</v>
      </c>
      <c r="W3876" s="42">
        <v>34891.699999999997</v>
      </c>
      <c r="X3876" s="42">
        <v>34891.699999999997</v>
      </c>
    </row>
    <row r="3877" spans="1:24">
      <c r="A3877" s="27" t="s">
        <v>7130</v>
      </c>
      <c r="B3877" s="28" t="s">
        <v>5102</v>
      </c>
      <c r="C3877" s="27" t="s">
        <v>7131</v>
      </c>
      <c r="D3877" s="27" t="s">
        <v>5104</v>
      </c>
      <c r="E3877" s="29">
        <v>36495</v>
      </c>
      <c r="F3877" s="27">
        <v>15</v>
      </c>
      <c r="G3877" s="18">
        <v>67100</v>
      </c>
      <c r="H3877" s="27">
        <f t="shared" si="120"/>
        <v>67100</v>
      </c>
      <c r="I3877" s="18">
        <v>63745</v>
      </c>
      <c r="J3877" s="27">
        <v>67100</v>
      </c>
      <c r="K3877" s="18">
        <f t="shared" si="121"/>
        <v>67100</v>
      </c>
      <c r="L3877" s="27">
        <v>63745</v>
      </c>
      <c r="M3877" s="36">
        <v>0</v>
      </c>
      <c r="T3877" s="41">
        <v>0</v>
      </c>
      <c r="U3877" s="41">
        <v>0</v>
      </c>
      <c r="V3877" s="42" t="s">
        <v>113</v>
      </c>
      <c r="W3877" s="42">
        <v>67100</v>
      </c>
      <c r="X3877" s="42">
        <v>67100</v>
      </c>
    </row>
    <row r="3878" spans="1:24">
      <c r="A3878" s="27" t="s">
        <v>7132</v>
      </c>
      <c r="B3878" s="28" t="s">
        <v>5102</v>
      </c>
      <c r="C3878" s="27" t="s">
        <v>7133</v>
      </c>
      <c r="D3878" s="27" t="s">
        <v>5104</v>
      </c>
      <c r="E3878" s="29">
        <v>36495</v>
      </c>
      <c r="F3878" s="27">
        <v>15</v>
      </c>
      <c r="G3878" s="18">
        <v>45636.7</v>
      </c>
      <c r="H3878" s="27">
        <f t="shared" si="120"/>
        <v>45636.7</v>
      </c>
      <c r="I3878" s="18">
        <v>43354.86</v>
      </c>
      <c r="J3878" s="27">
        <v>45636.7</v>
      </c>
      <c r="K3878" s="18">
        <f t="shared" si="121"/>
        <v>45636.7</v>
      </c>
      <c r="L3878" s="27">
        <v>43354.86</v>
      </c>
      <c r="M3878" s="36">
        <v>0</v>
      </c>
      <c r="T3878" s="41">
        <v>0</v>
      </c>
      <c r="U3878" s="41">
        <v>0</v>
      </c>
      <c r="V3878" s="42" t="s">
        <v>113</v>
      </c>
      <c r="W3878" s="42">
        <v>45636.7</v>
      </c>
      <c r="X3878" s="42">
        <v>45636.7</v>
      </c>
    </row>
    <row r="3879" spans="1:24">
      <c r="A3879" s="27" t="s">
        <v>7134</v>
      </c>
      <c r="B3879" s="28" t="s">
        <v>5102</v>
      </c>
      <c r="C3879" s="27" t="s">
        <v>7135</v>
      </c>
      <c r="D3879" s="27" t="s">
        <v>5104</v>
      </c>
      <c r="E3879" s="29">
        <v>36495</v>
      </c>
      <c r="F3879" s="27">
        <v>15</v>
      </c>
      <c r="G3879" s="18">
        <v>12000</v>
      </c>
      <c r="H3879" s="27">
        <f t="shared" si="120"/>
        <v>12000</v>
      </c>
      <c r="I3879" s="18">
        <v>11400</v>
      </c>
      <c r="J3879" s="27">
        <v>12000</v>
      </c>
      <c r="K3879" s="18">
        <f t="shared" si="121"/>
        <v>12000</v>
      </c>
      <c r="L3879" s="27">
        <v>11400</v>
      </c>
      <c r="M3879" s="36">
        <v>0</v>
      </c>
      <c r="T3879" s="41">
        <v>0</v>
      </c>
      <c r="U3879" s="41">
        <v>0</v>
      </c>
      <c r="V3879" s="42" t="s">
        <v>113</v>
      </c>
      <c r="W3879" s="42">
        <v>12000</v>
      </c>
      <c r="X3879" s="42">
        <v>12000</v>
      </c>
    </row>
    <row r="3880" spans="1:24">
      <c r="A3880" s="27" t="s">
        <v>7136</v>
      </c>
      <c r="B3880" s="28" t="s">
        <v>5102</v>
      </c>
      <c r="C3880" s="27" t="s">
        <v>7137</v>
      </c>
      <c r="D3880" s="27" t="s">
        <v>5104</v>
      </c>
      <c r="E3880" s="29">
        <v>36495</v>
      </c>
      <c r="F3880" s="27">
        <v>15</v>
      </c>
      <c r="G3880" s="18">
        <v>88670</v>
      </c>
      <c r="H3880" s="27">
        <f t="shared" si="120"/>
        <v>88670</v>
      </c>
      <c r="I3880" s="18">
        <v>84236.5</v>
      </c>
      <c r="J3880" s="27">
        <v>88670</v>
      </c>
      <c r="K3880" s="18">
        <f t="shared" si="121"/>
        <v>88670</v>
      </c>
      <c r="L3880" s="27">
        <v>84236.5</v>
      </c>
      <c r="M3880" s="36">
        <v>0</v>
      </c>
      <c r="T3880" s="41">
        <v>0</v>
      </c>
      <c r="U3880" s="41">
        <v>0</v>
      </c>
      <c r="V3880" s="42" t="s">
        <v>113</v>
      </c>
      <c r="W3880" s="42">
        <v>88670</v>
      </c>
      <c r="X3880" s="42">
        <v>88670</v>
      </c>
    </row>
    <row r="3881" spans="1:24">
      <c r="A3881" s="27" t="s">
        <v>7138</v>
      </c>
      <c r="B3881" s="28" t="s">
        <v>5102</v>
      </c>
      <c r="C3881" s="27" t="s">
        <v>7139</v>
      </c>
      <c r="D3881" s="27" t="s">
        <v>5104</v>
      </c>
      <c r="E3881" s="29">
        <v>36495</v>
      </c>
      <c r="F3881" s="27">
        <v>15</v>
      </c>
      <c r="G3881" s="18">
        <v>62300</v>
      </c>
      <c r="H3881" s="27">
        <f t="shared" si="120"/>
        <v>62300</v>
      </c>
      <c r="I3881" s="18">
        <v>59185</v>
      </c>
      <c r="J3881" s="27">
        <v>62300</v>
      </c>
      <c r="K3881" s="18">
        <f t="shared" si="121"/>
        <v>62300</v>
      </c>
      <c r="L3881" s="27">
        <v>59185</v>
      </c>
      <c r="M3881" s="36">
        <v>0</v>
      </c>
      <c r="T3881" s="41">
        <v>0</v>
      </c>
      <c r="U3881" s="41">
        <v>0</v>
      </c>
      <c r="V3881" s="42" t="s">
        <v>113</v>
      </c>
      <c r="W3881" s="42">
        <v>62300</v>
      </c>
      <c r="X3881" s="42">
        <v>62300</v>
      </c>
    </row>
    <row r="3882" spans="1:24">
      <c r="A3882" s="27" t="s">
        <v>7140</v>
      </c>
      <c r="B3882" s="28" t="s">
        <v>5102</v>
      </c>
      <c r="C3882" s="27" t="s">
        <v>7141</v>
      </c>
      <c r="D3882" s="27" t="s">
        <v>5104</v>
      </c>
      <c r="E3882" s="29">
        <v>36495</v>
      </c>
      <c r="F3882" s="27">
        <v>15</v>
      </c>
      <c r="G3882" s="18">
        <v>21570</v>
      </c>
      <c r="H3882" s="27">
        <f t="shared" si="120"/>
        <v>21570</v>
      </c>
      <c r="I3882" s="18">
        <v>20491.5</v>
      </c>
      <c r="J3882" s="27">
        <v>21570</v>
      </c>
      <c r="K3882" s="18">
        <f t="shared" si="121"/>
        <v>21570</v>
      </c>
      <c r="L3882" s="27">
        <v>20491.5</v>
      </c>
      <c r="M3882" s="36">
        <v>0</v>
      </c>
      <c r="T3882" s="41">
        <v>0</v>
      </c>
      <c r="U3882" s="41">
        <v>0</v>
      </c>
      <c r="V3882" s="42" t="s">
        <v>113</v>
      </c>
      <c r="W3882" s="42">
        <v>21570</v>
      </c>
      <c r="X3882" s="42">
        <v>21570</v>
      </c>
    </row>
    <row r="3883" spans="1:24">
      <c r="A3883" s="27" t="s">
        <v>7142</v>
      </c>
      <c r="B3883" s="28" t="s">
        <v>5102</v>
      </c>
      <c r="C3883" s="27" t="s">
        <v>7143</v>
      </c>
      <c r="D3883" s="27" t="s">
        <v>5104</v>
      </c>
      <c r="E3883" s="29">
        <v>36495</v>
      </c>
      <c r="F3883" s="27">
        <v>15</v>
      </c>
      <c r="G3883" s="18">
        <v>50300</v>
      </c>
      <c r="H3883" s="27">
        <f t="shared" si="120"/>
        <v>50300</v>
      </c>
      <c r="I3883" s="18">
        <v>47785</v>
      </c>
      <c r="J3883" s="27">
        <v>50300</v>
      </c>
      <c r="K3883" s="18">
        <f t="shared" si="121"/>
        <v>50300</v>
      </c>
      <c r="L3883" s="27">
        <v>47785</v>
      </c>
      <c r="M3883" s="36">
        <v>0</v>
      </c>
      <c r="T3883" s="41">
        <v>0</v>
      </c>
      <c r="U3883" s="41">
        <v>0</v>
      </c>
      <c r="V3883" s="42" t="s">
        <v>113</v>
      </c>
      <c r="W3883" s="42">
        <v>50300</v>
      </c>
      <c r="X3883" s="42">
        <v>50300</v>
      </c>
    </row>
    <row r="3884" spans="1:24">
      <c r="A3884" s="27" t="s">
        <v>7144</v>
      </c>
      <c r="B3884" s="28" t="s">
        <v>5102</v>
      </c>
      <c r="C3884" s="27" t="s">
        <v>7145</v>
      </c>
      <c r="D3884" s="27" t="s">
        <v>5104</v>
      </c>
      <c r="E3884" s="29">
        <v>36495</v>
      </c>
      <c r="F3884" s="27">
        <v>15</v>
      </c>
      <c r="G3884" s="18">
        <v>57500</v>
      </c>
      <c r="H3884" s="27">
        <f t="shared" si="120"/>
        <v>57500</v>
      </c>
      <c r="I3884" s="18">
        <v>54625</v>
      </c>
      <c r="J3884" s="27">
        <v>57500</v>
      </c>
      <c r="K3884" s="18">
        <f t="shared" si="121"/>
        <v>57500</v>
      </c>
      <c r="L3884" s="27">
        <v>54625</v>
      </c>
      <c r="M3884" s="36">
        <v>0</v>
      </c>
      <c r="T3884" s="41">
        <v>0</v>
      </c>
      <c r="U3884" s="41">
        <v>0</v>
      </c>
      <c r="V3884" s="42" t="s">
        <v>113</v>
      </c>
      <c r="W3884" s="42">
        <v>57500</v>
      </c>
      <c r="X3884" s="42">
        <v>57500</v>
      </c>
    </row>
    <row r="3885" spans="1:24">
      <c r="A3885" s="27" t="s">
        <v>7146</v>
      </c>
      <c r="B3885" s="28" t="s">
        <v>5102</v>
      </c>
      <c r="C3885" s="27" t="s">
        <v>7147</v>
      </c>
      <c r="D3885" s="27" t="s">
        <v>5104</v>
      </c>
      <c r="E3885" s="29">
        <v>36495</v>
      </c>
      <c r="F3885" s="27">
        <v>15</v>
      </c>
      <c r="G3885" s="18">
        <v>47900</v>
      </c>
      <c r="H3885" s="27">
        <f t="shared" si="120"/>
        <v>47900</v>
      </c>
      <c r="I3885" s="18">
        <v>45505</v>
      </c>
      <c r="J3885" s="27">
        <v>47900</v>
      </c>
      <c r="K3885" s="18">
        <f t="shared" si="121"/>
        <v>47900</v>
      </c>
      <c r="L3885" s="27">
        <v>45505</v>
      </c>
      <c r="M3885" s="36">
        <v>0</v>
      </c>
      <c r="T3885" s="41">
        <v>0</v>
      </c>
      <c r="U3885" s="41">
        <v>0</v>
      </c>
      <c r="V3885" s="42" t="s">
        <v>113</v>
      </c>
      <c r="W3885" s="42">
        <v>47900</v>
      </c>
      <c r="X3885" s="42">
        <v>47900</v>
      </c>
    </row>
    <row r="3886" spans="1:24">
      <c r="A3886" s="27" t="s">
        <v>7148</v>
      </c>
      <c r="B3886" s="28" t="s">
        <v>5102</v>
      </c>
      <c r="C3886" s="27" t="s">
        <v>7149</v>
      </c>
      <c r="D3886" s="27" t="s">
        <v>5104</v>
      </c>
      <c r="E3886" s="29">
        <v>36495</v>
      </c>
      <c r="F3886" s="27">
        <v>15</v>
      </c>
      <c r="G3886" s="18">
        <v>38350</v>
      </c>
      <c r="H3886" s="27">
        <f t="shared" si="120"/>
        <v>38350</v>
      </c>
      <c r="I3886" s="18">
        <v>36432.5</v>
      </c>
      <c r="J3886" s="27">
        <v>38350</v>
      </c>
      <c r="K3886" s="18">
        <f t="shared" si="121"/>
        <v>38350</v>
      </c>
      <c r="L3886" s="27">
        <v>36432.5</v>
      </c>
      <c r="M3886" s="36">
        <v>0</v>
      </c>
      <c r="T3886" s="41">
        <v>0</v>
      </c>
      <c r="U3886" s="41">
        <v>0</v>
      </c>
      <c r="V3886" s="42" t="s">
        <v>113</v>
      </c>
      <c r="W3886" s="42">
        <v>38350</v>
      </c>
      <c r="X3886" s="42">
        <v>38350</v>
      </c>
    </row>
    <row r="3887" spans="1:24">
      <c r="A3887" s="27" t="s">
        <v>7150</v>
      </c>
      <c r="B3887" s="28" t="s">
        <v>5102</v>
      </c>
      <c r="C3887" s="27" t="s">
        <v>7151</v>
      </c>
      <c r="D3887" s="27" t="s">
        <v>5104</v>
      </c>
      <c r="E3887" s="29">
        <v>36495</v>
      </c>
      <c r="F3887" s="27">
        <v>15</v>
      </c>
      <c r="G3887" s="18">
        <v>16260</v>
      </c>
      <c r="H3887" s="27">
        <f t="shared" si="120"/>
        <v>16260</v>
      </c>
      <c r="I3887" s="18">
        <v>15447</v>
      </c>
      <c r="J3887" s="27">
        <v>16260</v>
      </c>
      <c r="K3887" s="18">
        <f t="shared" si="121"/>
        <v>16260</v>
      </c>
      <c r="L3887" s="27">
        <v>15447</v>
      </c>
      <c r="M3887" s="36">
        <v>0</v>
      </c>
      <c r="T3887" s="41">
        <v>0</v>
      </c>
      <c r="U3887" s="41">
        <v>0</v>
      </c>
      <c r="V3887" s="42" t="s">
        <v>113</v>
      </c>
      <c r="W3887" s="42">
        <v>16260</v>
      </c>
      <c r="X3887" s="42">
        <v>16260</v>
      </c>
    </row>
    <row r="3888" spans="1:24">
      <c r="A3888" s="27" t="s">
        <v>7152</v>
      </c>
      <c r="B3888" s="28" t="s">
        <v>5102</v>
      </c>
      <c r="C3888" s="27" t="s">
        <v>7153</v>
      </c>
      <c r="D3888" s="27" t="s">
        <v>5104</v>
      </c>
      <c r="E3888" s="29">
        <v>36495</v>
      </c>
      <c r="F3888" s="27">
        <v>15</v>
      </c>
      <c r="G3888" s="18">
        <v>18230</v>
      </c>
      <c r="H3888" s="27">
        <f t="shared" si="120"/>
        <v>18230</v>
      </c>
      <c r="I3888" s="18">
        <v>17318.5</v>
      </c>
      <c r="J3888" s="27">
        <v>18230</v>
      </c>
      <c r="K3888" s="18">
        <f t="shared" si="121"/>
        <v>18230</v>
      </c>
      <c r="L3888" s="27">
        <v>17318.5</v>
      </c>
      <c r="M3888" s="36">
        <v>0</v>
      </c>
      <c r="T3888" s="41">
        <v>0</v>
      </c>
      <c r="U3888" s="41">
        <v>0</v>
      </c>
      <c r="V3888" s="42" t="s">
        <v>113</v>
      </c>
      <c r="W3888" s="42">
        <v>18230</v>
      </c>
      <c r="X3888" s="42">
        <v>18230</v>
      </c>
    </row>
    <row r="3889" spans="1:24">
      <c r="A3889" s="27" t="s">
        <v>7154</v>
      </c>
      <c r="B3889" s="28" t="s">
        <v>5102</v>
      </c>
      <c r="C3889" s="27" t="s">
        <v>7155</v>
      </c>
      <c r="D3889" s="27" t="s">
        <v>5104</v>
      </c>
      <c r="E3889" s="29">
        <v>36495</v>
      </c>
      <c r="F3889" s="27">
        <v>15</v>
      </c>
      <c r="G3889" s="18">
        <v>20420</v>
      </c>
      <c r="H3889" s="27">
        <f t="shared" si="120"/>
        <v>20420</v>
      </c>
      <c r="I3889" s="18">
        <v>19399</v>
      </c>
      <c r="J3889" s="27">
        <v>20420</v>
      </c>
      <c r="K3889" s="18">
        <f t="shared" si="121"/>
        <v>20420</v>
      </c>
      <c r="L3889" s="27">
        <v>19399</v>
      </c>
      <c r="M3889" s="36">
        <v>0</v>
      </c>
      <c r="T3889" s="41">
        <v>0</v>
      </c>
      <c r="U3889" s="41">
        <v>0</v>
      </c>
      <c r="V3889" s="42" t="s">
        <v>113</v>
      </c>
      <c r="W3889" s="42">
        <v>20420</v>
      </c>
      <c r="X3889" s="42">
        <v>20420</v>
      </c>
    </row>
    <row r="3890" spans="1:24">
      <c r="A3890" s="27" t="s">
        <v>7156</v>
      </c>
      <c r="B3890" s="28" t="s">
        <v>5102</v>
      </c>
      <c r="C3890" s="27" t="s">
        <v>7157</v>
      </c>
      <c r="D3890" s="27" t="s">
        <v>5104</v>
      </c>
      <c r="E3890" s="29">
        <v>36495</v>
      </c>
      <c r="F3890" s="27">
        <v>15</v>
      </c>
      <c r="G3890" s="18">
        <v>14170</v>
      </c>
      <c r="H3890" s="27">
        <f t="shared" si="120"/>
        <v>14170</v>
      </c>
      <c r="I3890" s="18">
        <v>13461.5</v>
      </c>
      <c r="J3890" s="27">
        <v>14170</v>
      </c>
      <c r="K3890" s="18">
        <f t="shared" si="121"/>
        <v>14170</v>
      </c>
      <c r="L3890" s="27">
        <v>13461.5</v>
      </c>
      <c r="M3890" s="36">
        <v>0</v>
      </c>
      <c r="T3890" s="41">
        <v>0</v>
      </c>
      <c r="U3890" s="41">
        <v>0</v>
      </c>
      <c r="V3890" s="42" t="s">
        <v>113</v>
      </c>
      <c r="W3890" s="42">
        <v>14170</v>
      </c>
      <c r="X3890" s="42">
        <v>14170</v>
      </c>
    </row>
    <row r="3891" spans="1:24">
      <c r="A3891" s="27" t="s">
        <v>7158</v>
      </c>
      <c r="B3891" s="28" t="s">
        <v>5102</v>
      </c>
      <c r="C3891" s="27" t="s">
        <v>7159</v>
      </c>
      <c r="D3891" s="27" t="s">
        <v>5104</v>
      </c>
      <c r="E3891" s="29">
        <v>36495</v>
      </c>
      <c r="F3891" s="27">
        <v>15</v>
      </c>
      <c r="G3891" s="18">
        <v>26821.19</v>
      </c>
      <c r="H3891" s="27">
        <f t="shared" si="120"/>
        <v>26821.19</v>
      </c>
      <c r="I3891" s="18">
        <v>25480.13</v>
      </c>
      <c r="J3891" s="27">
        <v>26821.19</v>
      </c>
      <c r="K3891" s="18">
        <f t="shared" si="121"/>
        <v>26821.19</v>
      </c>
      <c r="L3891" s="27">
        <v>25480.13</v>
      </c>
      <c r="M3891" s="36">
        <v>0</v>
      </c>
      <c r="T3891" s="41">
        <v>0</v>
      </c>
      <c r="U3891" s="41">
        <v>0</v>
      </c>
      <c r="V3891" s="42" t="s">
        <v>113</v>
      </c>
      <c r="W3891" s="42">
        <v>26821.19</v>
      </c>
      <c r="X3891" s="42">
        <v>26821.19</v>
      </c>
    </row>
    <row r="3892" spans="1:24">
      <c r="A3892" s="27" t="s">
        <v>7160</v>
      </c>
      <c r="B3892" s="28" t="s">
        <v>5102</v>
      </c>
      <c r="C3892" s="27" t="s">
        <v>7161</v>
      </c>
      <c r="D3892" s="27" t="s">
        <v>5104</v>
      </c>
      <c r="E3892" s="29">
        <v>36495</v>
      </c>
      <c r="F3892" s="27">
        <v>15</v>
      </c>
      <c r="G3892" s="18">
        <v>18390.259999999998</v>
      </c>
      <c r="H3892" s="27">
        <f t="shared" si="120"/>
        <v>18390.259999999998</v>
      </c>
      <c r="I3892" s="18">
        <v>17470.75</v>
      </c>
      <c r="J3892" s="27">
        <v>18390.259999999998</v>
      </c>
      <c r="K3892" s="18">
        <f t="shared" si="121"/>
        <v>18390.259999999998</v>
      </c>
      <c r="L3892" s="27">
        <v>17470.75</v>
      </c>
      <c r="M3892" s="36">
        <v>0</v>
      </c>
      <c r="T3892" s="41">
        <v>0</v>
      </c>
      <c r="U3892" s="41">
        <v>0</v>
      </c>
      <c r="V3892" s="42" t="s">
        <v>113</v>
      </c>
      <c r="W3892" s="42">
        <v>18390.259999999998</v>
      </c>
      <c r="X3892" s="42">
        <v>18390.259999999998</v>
      </c>
    </row>
    <row r="3893" spans="1:24">
      <c r="A3893" s="27" t="s">
        <v>7162</v>
      </c>
      <c r="B3893" s="28" t="s">
        <v>5102</v>
      </c>
      <c r="C3893" s="27" t="s">
        <v>7163</v>
      </c>
      <c r="D3893" s="27" t="s">
        <v>5104</v>
      </c>
      <c r="E3893" s="29">
        <v>37226</v>
      </c>
      <c r="F3893" s="27">
        <v>15</v>
      </c>
      <c r="G3893" s="18">
        <v>12992.14</v>
      </c>
      <c r="H3893" s="27">
        <f t="shared" si="120"/>
        <v>12992.14</v>
      </c>
      <c r="I3893" s="18">
        <v>12342.53</v>
      </c>
      <c r="J3893" s="27">
        <v>12992.14</v>
      </c>
      <c r="K3893" s="18">
        <f t="shared" si="121"/>
        <v>12992.14</v>
      </c>
      <c r="L3893" s="27">
        <v>12342.53</v>
      </c>
      <c r="M3893" s="36">
        <v>0</v>
      </c>
      <c r="T3893" s="41">
        <v>0</v>
      </c>
      <c r="U3893" s="41">
        <v>0</v>
      </c>
      <c r="V3893" s="42" t="s">
        <v>113</v>
      </c>
      <c r="W3893" s="42">
        <v>12992.14</v>
      </c>
      <c r="X3893" s="42">
        <v>12992.14</v>
      </c>
    </row>
    <row r="3894" spans="1:24">
      <c r="A3894" s="27" t="s">
        <v>7164</v>
      </c>
      <c r="B3894" s="28" t="s">
        <v>5102</v>
      </c>
      <c r="C3894" s="27" t="s">
        <v>7165</v>
      </c>
      <c r="D3894" s="27" t="s">
        <v>5104</v>
      </c>
      <c r="E3894" s="29">
        <v>39417</v>
      </c>
      <c r="F3894" s="27">
        <v>15</v>
      </c>
      <c r="G3894" s="18">
        <v>23218.11</v>
      </c>
      <c r="H3894" s="27">
        <f t="shared" si="120"/>
        <v>0</v>
      </c>
      <c r="I3894" s="18">
        <v>19802.7</v>
      </c>
      <c r="J3894" s="27">
        <v>23218.11</v>
      </c>
      <c r="K3894" s="18">
        <f t="shared" si="121"/>
        <v>0</v>
      </c>
      <c r="L3894" s="27">
        <v>20366.330000000002</v>
      </c>
      <c r="M3894" s="36">
        <v>563.63</v>
      </c>
      <c r="T3894" s="41">
        <v>0</v>
      </c>
      <c r="U3894" s="41">
        <v>0</v>
      </c>
      <c r="V3894" s="42" t="s">
        <v>113</v>
      </c>
      <c r="W3894" s="42">
        <v>0</v>
      </c>
      <c r="X3894" s="42">
        <v>0</v>
      </c>
    </row>
    <row r="3895" spans="1:24">
      <c r="A3895" s="27" t="s">
        <v>7166</v>
      </c>
      <c r="B3895" s="28" t="s">
        <v>5102</v>
      </c>
      <c r="C3895" s="27" t="s">
        <v>7167</v>
      </c>
      <c r="D3895" s="27" t="s">
        <v>5104</v>
      </c>
      <c r="E3895" s="29">
        <v>39417</v>
      </c>
      <c r="F3895" s="27">
        <v>15</v>
      </c>
      <c r="G3895" s="18">
        <v>27610.720000000001</v>
      </c>
      <c r="H3895" s="27">
        <f t="shared" si="120"/>
        <v>0</v>
      </c>
      <c r="I3895" s="18">
        <v>23549.15</v>
      </c>
      <c r="J3895" s="27">
        <v>27610.720000000001</v>
      </c>
      <c r="K3895" s="18">
        <f t="shared" si="121"/>
        <v>0</v>
      </c>
      <c r="L3895" s="27">
        <v>24219.41</v>
      </c>
      <c r="M3895" s="36">
        <v>670.26</v>
      </c>
      <c r="T3895" s="41">
        <v>0</v>
      </c>
      <c r="U3895" s="41">
        <v>0</v>
      </c>
      <c r="V3895" s="42" t="s">
        <v>113</v>
      </c>
      <c r="W3895" s="42">
        <v>0</v>
      </c>
      <c r="X3895" s="42">
        <v>0</v>
      </c>
    </row>
    <row r="3896" spans="1:24">
      <c r="A3896" s="27" t="s">
        <v>7168</v>
      </c>
      <c r="B3896" s="28" t="s">
        <v>5102</v>
      </c>
      <c r="C3896" s="27" t="s">
        <v>7169</v>
      </c>
      <c r="D3896" s="27" t="s">
        <v>5104</v>
      </c>
      <c r="E3896" s="29">
        <v>39417</v>
      </c>
      <c r="F3896" s="27">
        <v>15</v>
      </c>
      <c r="G3896" s="18">
        <v>28238.240000000002</v>
      </c>
      <c r="H3896" s="27">
        <f t="shared" si="120"/>
        <v>0</v>
      </c>
      <c r="I3896" s="18">
        <v>24084.37</v>
      </c>
      <c r="J3896" s="27">
        <v>28238.240000000002</v>
      </c>
      <c r="K3896" s="18">
        <f t="shared" si="121"/>
        <v>0</v>
      </c>
      <c r="L3896" s="27">
        <v>24769.86</v>
      </c>
      <c r="M3896" s="36">
        <v>685.49</v>
      </c>
      <c r="T3896" s="41">
        <v>0</v>
      </c>
      <c r="U3896" s="41">
        <v>0</v>
      </c>
      <c r="V3896" s="42" t="s">
        <v>113</v>
      </c>
      <c r="W3896" s="42">
        <v>0</v>
      </c>
      <c r="X3896" s="42">
        <v>0</v>
      </c>
    </row>
    <row r="3897" spans="1:24">
      <c r="A3897" s="27" t="s">
        <v>7170</v>
      </c>
      <c r="B3897" s="28" t="s">
        <v>5102</v>
      </c>
      <c r="C3897" s="27" t="s">
        <v>7171</v>
      </c>
      <c r="D3897" s="27" t="s">
        <v>5104</v>
      </c>
      <c r="E3897" s="29">
        <v>39417</v>
      </c>
      <c r="F3897" s="27">
        <v>15</v>
      </c>
      <c r="G3897" s="18">
        <v>52875.99</v>
      </c>
      <c r="H3897" s="27">
        <f t="shared" si="120"/>
        <v>0</v>
      </c>
      <c r="I3897" s="18">
        <v>45093.52</v>
      </c>
      <c r="J3897" s="27">
        <v>52875.99</v>
      </c>
      <c r="K3897" s="18">
        <f t="shared" si="121"/>
        <v>0</v>
      </c>
      <c r="L3897" s="27">
        <v>46378.19</v>
      </c>
      <c r="M3897" s="36">
        <v>1284.67</v>
      </c>
      <c r="T3897" s="41">
        <v>0</v>
      </c>
      <c r="U3897" s="41">
        <v>0</v>
      </c>
      <c r="V3897" s="42" t="s">
        <v>113</v>
      </c>
      <c r="W3897" s="42">
        <v>0</v>
      </c>
      <c r="X3897" s="42">
        <v>0</v>
      </c>
    </row>
    <row r="3898" spans="1:24">
      <c r="A3898" s="27" t="s">
        <v>7172</v>
      </c>
      <c r="B3898" s="28" t="s">
        <v>5102</v>
      </c>
      <c r="C3898" s="27" t="s">
        <v>7173</v>
      </c>
      <c r="D3898" s="27" t="s">
        <v>5104</v>
      </c>
      <c r="E3898" s="29">
        <v>39417</v>
      </c>
      <c r="F3898" s="27">
        <v>15</v>
      </c>
      <c r="G3898" s="18">
        <v>8106.26</v>
      </c>
      <c r="H3898" s="27">
        <f t="shared" si="120"/>
        <v>0</v>
      </c>
      <c r="I3898" s="18">
        <v>6913.82</v>
      </c>
      <c r="J3898" s="27">
        <v>8106.26</v>
      </c>
      <c r="K3898" s="18">
        <f t="shared" si="121"/>
        <v>0</v>
      </c>
      <c r="L3898" s="27">
        <v>7110.6</v>
      </c>
      <c r="M3898" s="36">
        <v>196.78</v>
      </c>
      <c r="T3898" s="41">
        <v>0</v>
      </c>
      <c r="U3898" s="41">
        <v>0</v>
      </c>
      <c r="V3898" s="42" t="s">
        <v>113</v>
      </c>
      <c r="W3898" s="42">
        <v>0</v>
      </c>
      <c r="X3898" s="42">
        <v>0</v>
      </c>
    </row>
    <row r="3899" spans="1:24">
      <c r="A3899" s="27" t="s">
        <v>7174</v>
      </c>
      <c r="B3899" s="28" t="s">
        <v>5102</v>
      </c>
      <c r="C3899" s="27" t="s">
        <v>7175</v>
      </c>
      <c r="D3899" s="27" t="s">
        <v>5104</v>
      </c>
      <c r="E3899" s="29">
        <v>39417</v>
      </c>
      <c r="F3899" s="27">
        <v>15</v>
      </c>
      <c r="G3899" s="18">
        <v>7216.44</v>
      </c>
      <c r="H3899" s="27">
        <f t="shared" si="120"/>
        <v>0</v>
      </c>
      <c r="I3899" s="18">
        <v>6154.89</v>
      </c>
      <c r="J3899" s="27">
        <v>7216.44</v>
      </c>
      <c r="K3899" s="18">
        <f t="shared" si="121"/>
        <v>0</v>
      </c>
      <c r="L3899" s="27">
        <v>6330.07</v>
      </c>
      <c r="M3899" s="36">
        <v>175.18</v>
      </c>
      <c r="T3899" s="41">
        <v>0</v>
      </c>
      <c r="U3899" s="41">
        <v>0</v>
      </c>
      <c r="V3899" s="42" t="s">
        <v>113</v>
      </c>
      <c r="W3899" s="42">
        <v>0</v>
      </c>
      <c r="X3899" s="42">
        <v>0</v>
      </c>
    </row>
    <row r="3900" spans="1:24">
      <c r="A3900" s="27" t="s">
        <v>7176</v>
      </c>
      <c r="B3900" s="28" t="s">
        <v>5102</v>
      </c>
      <c r="C3900" s="27" t="s">
        <v>7177</v>
      </c>
      <c r="D3900" s="27" t="s">
        <v>5104</v>
      </c>
      <c r="E3900" s="29">
        <v>39417</v>
      </c>
      <c r="F3900" s="27">
        <v>15</v>
      </c>
      <c r="G3900" s="18">
        <v>16629.189999999999</v>
      </c>
      <c r="H3900" s="27">
        <f t="shared" si="120"/>
        <v>0</v>
      </c>
      <c r="I3900" s="18">
        <v>14183.03</v>
      </c>
      <c r="J3900" s="27">
        <v>16629.189999999999</v>
      </c>
      <c r="K3900" s="18">
        <f t="shared" si="121"/>
        <v>0</v>
      </c>
      <c r="L3900" s="27">
        <v>14586.71</v>
      </c>
      <c r="M3900" s="36">
        <v>403.68</v>
      </c>
      <c r="T3900" s="41">
        <v>0</v>
      </c>
      <c r="U3900" s="41">
        <v>0</v>
      </c>
      <c r="V3900" s="42" t="s">
        <v>113</v>
      </c>
      <c r="W3900" s="42">
        <v>0</v>
      </c>
      <c r="X3900" s="42">
        <v>0</v>
      </c>
    </row>
    <row r="3901" spans="1:24">
      <c r="A3901" s="27" t="s">
        <v>7178</v>
      </c>
      <c r="B3901" s="28" t="s">
        <v>5102</v>
      </c>
      <c r="C3901" s="27" t="s">
        <v>7179</v>
      </c>
      <c r="D3901" s="27" t="s">
        <v>5104</v>
      </c>
      <c r="E3901" s="29">
        <v>39417</v>
      </c>
      <c r="F3901" s="27">
        <v>15</v>
      </c>
      <c r="G3901" s="18">
        <v>69654.320000000007</v>
      </c>
      <c r="H3901" s="27">
        <f t="shared" si="120"/>
        <v>0</v>
      </c>
      <c r="I3901" s="18">
        <v>59408.1</v>
      </c>
      <c r="J3901" s="27">
        <v>69654.320000000007</v>
      </c>
      <c r="K3901" s="18">
        <f t="shared" si="121"/>
        <v>0</v>
      </c>
      <c r="L3901" s="27">
        <v>61098.98</v>
      </c>
      <c r="M3901" s="36">
        <v>1690.88</v>
      </c>
      <c r="T3901" s="41">
        <v>0</v>
      </c>
      <c r="U3901" s="41">
        <v>0</v>
      </c>
      <c r="V3901" s="42" t="s">
        <v>113</v>
      </c>
      <c r="W3901" s="42">
        <v>0</v>
      </c>
      <c r="X3901" s="42">
        <v>0</v>
      </c>
    </row>
    <row r="3902" spans="1:24">
      <c r="A3902" s="27" t="s">
        <v>7180</v>
      </c>
      <c r="B3902" s="28" t="s">
        <v>5102</v>
      </c>
      <c r="C3902" s="27" t="s">
        <v>7181</v>
      </c>
      <c r="D3902" s="27" t="s">
        <v>5104</v>
      </c>
      <c r="E3902" s="29">
        <v>39417</v>
      </c>
      <c r="F3902" s="27">
        <v>15</v>
      </c>
      <c r="G3902" s="18">
        <v>52711.38</v>
      </c>
      <c r="H3902" s="27">
        <f t="shared" si="120"/>
        <v>0</v>
      </c>
      <c r="I3902" s="18">
        <v>44957.5</v>
      </c>
      <c r="J3902" s="27">
        <v>52711.38</v>
      </c>
      <c r="K3902" s="18">
        <f t="shared" si="121"/>
        <v>0</v>
      </c>
      <c r="L3902" s="27">
        <v>46237.08</v>
      </c>
      <c r="M3902" s="36">
        <v>1279.58</v>
      </c>
      <c r="T3902" s="41">
        <v>0</v>
      </c>
      <c r="U3902" s="41">
        <v>0</v>
      </c>
      <c r="V3902" s="42" t="s">
        <v>113</v>
      </c>
      <c r="W3902" s="42">
        <v>0</v>
      </c>
      <c r="X3902" s="42">
        <v>0</v>
      </c>
    </row>
    <row r="3903" spans="1:24">
      <c r="A3903" s="27" t="s">
        <v>7182</v>
      </c>
      <c r="B3903" s="28" t="s">
        <v>5102</v>
      </c>
      <c r="C3903" s="27" t="s">
        <v>7183</v>
      </c>
      <c r="D3903" s="27" t="s">
        <v>5104</v>
      </c>
      <c r="E3903" s="29">
        <v>39417</v>
      </c>
      <c r="F3903" s="27">
        <v>15</v>
      </c>
      <c r="G3903" s="18">
        <v>67144.259999999995</v>
      </c>
      <c r="H3903" s="27">
        <f t="shared" si="120"/>
        <v>0</v>
      </c>
      <c r="I3903" s="18">
        <v>57267.28</v>
      </c>
      <c r="J3903" s="27">
        <v>67144.259999999995</v>
      </c>
      <c r="K3903" s="18">
        <f t="shared" si="121"/>
        <v>0</v>
      </c>
      <c r="L3903" s="27">
        <v>58897.22</v>
      </c>
      <c r="M3903" s="36">
        <v>1629.94</v>
      </c>
      <c r="T3903" s="41">
        <v>0</v>
      </c>
      <c r="U3903" s="41">
        <v>0</v>
      </c>
      <c r="V3903" s="42" t="s">
        <v>113</v>
      </c>
      <c r="W3903" s="42">
        <v>0</v>
      </c>
      <c r="X3903" s="42">
        <v>0</v>
      </c>
    </row>
    <row r="3904" spans="1:24">
      <c r="A3904" s="27" t="s">
        <v>7184</v>
      </c>
      <c r="B3904" s="28" t="s">
        <v>5102</v>
      </c>
      <c r="C3904" s="27" t="s">
        <v>7185</v>
      </c>
      <c r="D3904" s="27" t="s">
        <v>5104</v>
      </c>
      <c r="E3904" s="29">
        <v>39417</v>
      </c>
      <c r="F3904" s="27">
        <v>15</v>
      </c>
      <c r="G3904" s="18">
        <v>22904.35</v>
      </c>
      <c r="H3904" s="27">
        <f t="shared" si="120"/>
        <v>0</v>
      </c>
      <c r="I3904" s="18">
        <v>19535.11</v>
      </c>
      <c r="J3904" s="27">
        <v>22904.35</v>
      </c>
      <c r="K3904" s="18">
        <f t="shared" si="121"/>
        <v>0</v>
      </c>
      <c r="L3904" s="27">
        <v>20091.12</v>
      </c>
      <c r="M3904" s="36">
        <v>556.01</v>
      </c>
      <c r="T3904" s="41">
        <v>0</v>
      </c>
      <c r="U3904" s="41">
        <v>0</v>
      </c>
      <c r="V3904" s="42" t="s">
        <v>113</v>
      </c>
      <c r="W3904" s="42">
        <v>0</v>
      </c>
      <c r="X3904" s="42">
        <v>0</v>
      </c>
    </row>
    <row r="3905" spans="1:24">
      <c r="A3905" s="27" t="s">
        <v>7186</v>
      </c>
      <c r="B3905" s="28" t="s">
        <v>5102</v>
      </c>
      <c r="C3905" s="27" t="s">
        <v>7187</v>
      </c>
      <c r="D3905" s="27" t="s">
        <v>5104</v>
      </c>
      <c r="E3905" s="29">
        <v>39417</v>
      </c>
      <c r="F3905" s="27">
        <v>15</v>
      </c>
      <c r="G3905" s="18">
        <v>11295.3</v>
      </c>
      <c r="H3905" s="27">
        <f t="shared" si="120"/>
        <v>0</v>
      </c>
      <c r="I3905" s="18">
        <v>9633.75</v>
      </c>
      <c r="J3905" s="27">
        <v>11295.3</v>
      </c>
      <c r="K3905" s="18">
        <f t="shared" si="121"/>
        <v>0</v>
      </c>
      <c r="L3905" s="27">
        <v>9907.9500000000007</v>
      </c>
      <c r="M3905" s="36">
        <v>274.2</v>
      </c>
      <c r="T3905" s="41">
        <v>0</v>
      </c>
      <c r="U3905" s="41">
        <v>0</v>
      </c>
      <c r="V3905" s="42" t="s">
        <v>113</v>
      </c>
      <c r="W3905" s="42">
        <v>0</v>
      </c>
      <c r="X3905" s="42">
        <v>0</v>
      </c>
    </row>
    <row r="3906" spans="1:24">
      <c r="A3906" s="27" t="s">
        <v>7188</v>
      </c>
      <c r="B3906" s="28" t="s">
        <v>5102</v>
      </c>
      <c r="C3906" s="27" t="s">
        <v>7189</v>
      </c>
      <c r="D3906" s="27" t="s">
        <v>5104</v>
      </c>
      <c r="E3906" s="29">
        <v>39417</v>
      </c>
      <c r="F3906" s="27">
        <v>15</v>
      </c>
      <c r="G3906" s="18">
        <v>5459.39</v>
      </c>
      <c r="H3906" s="27">
        <f t="shared" si="120"/>
        <v>0</v>
      </c>
      <c r="I3906" s="18">
        <v>4668.92</v>
      </c>
      <c r="J3906" s="27">
        <v>5459.39</v>
      </c>
      <c r="K3906" s="18">
        <f t="shared" si="121"/>
        <v>0</v>
      </c>
      <c r="L3906" s="27">
        <v>4798.3</v>
      </c>
      <c r="M3906" s="36">
        <v>129.38</v>
      </c>
      <c r="T3906" s="41">
        <v>0</v>
      </c>
      <c r="U3906" s="41">
        <v>0</v>
      </c>
      <c r="V3906" s="42" t="s">
        <v>113</v>
      </c>
      <c r="W3906" s="42">
        <v>0</v>
      </c>
      <c r="X3906" s="42">
        <v>0</v>
      </c>
    </row>
    <row r="3907" spans="1:24">
      <c r="A3907" s="27" t="s">
        <v>7190</v>
      </c>
      <c r="B3907" s="28" t="s">
        <v>5102</v>
      </c>
      <c r="C3907" s="27" t="s">
        <v>7191</v>
      </c>
      <c r="D3907" s="27" t="s">
        <v>5104</v>
      </c>
      <c r="E3907" s="29">
        <v>39417</v>
      </c>
      <c r="F3907" s="27">
        <v>15</v>
      </c>
      <c r="G3907" s="18">
        <v>9726.5</v>
      </c>
      <c r="H3907" s="27">
        <f t="shared" si="120"/>
        <v>0</v>
      </c>
      <c r="I3907" s="18">
        <v>8295.7099999999991</v>
      </c>
      <c r="J3907" s="27">
        <v>9726.5</v>
      </c>
      <c r="K3907" s="18">
        <f t="shared" si="121"/>
        <v>0</v>
      </c>
      <c r="L3907" s="27">
        <v>8531.83</v>
      </c>
      <c r="M3907" s="36">
        <v>236.12</v>
      </c>
      <c r="T3907" s="41">
        <v>0</v>
      </c>
      <c r="U3907" s="41">
        <v>0</v>
      </c>
      <c r="V3907" s="42" t="s">
        <v>113</v>
      </c>
      <c r="W3907" s="42">
        <v>0</v>
      </c>
      <c r="X3907" s="42">
        <v>0</v>
      </c>
    </row>
    <row r="3908" spans="1:24">
      <c r="A3908" s="27" t="s">
        <v>7192</v>
      </c>
      <c r="B3908" s="28" t="s">
        <v>5102</v>
      </c>
      <c r="C3908" s="27" t="s">
        <v>7193</v>
      </c>
      <c r="D3908" s="27" t="s">
        <v>5104</v>
      </c>
      <c r="E3908" s="29">
        <v>39417</v>
      </c>
      <c r="F3908" s="27">
        <v>15</v>
      </c>
      <c r="G3908" s="18">
        <v>15060.39</v>
      </c>
      <c r="H3908" s="27">
        <f t="shared" si="120"/>
        <v>0</v>
      </c>
      <c r="I3908" s="18">
        <v>12844.99</v>
      </c>
      <c r="J3908" s="27">
        <v>15060.39</v>
      </c>
      <c r="K3908" s="18">
        <f t="shared" si="121"/>
        <v>0</v>
      </c>
      <c r="L3908" s="27">
        <v>13210.59</v>
      </c>
      <c r="M3908" s="36">
        <v>365.6</v>
      </c>
      <c r="T3908" s="41">
        <v>0</v>
      </c>
      <c r="U3908" s="41">
        <v>0</v>
      </c>
      <c r="V3908" s="42" t="s">
        <v>113</v>
      </c>
      <c r="W3908" s="42">
        <v>0</v>
      </c>
      <c r="X3908" s="42">
        <v>0</v>
      </c>
    </row>
    <row r="3909" spans="1:24">
      <c r="A3909" s="27" t="s">
        <v>7194</v>
      </c>
      <c r="B3909" s="28" t="s">
        <v>5102</v>
      </c>
      <c r="C3909" s="27" t="s">
        <v>7195</v>
      </c>
      <c r="D3909" s="27" t="s">
        <v>5104</v>
      </c>
      <c r="E3909" s="29">
        <v>39417</v>
      </c>
      <c r="F3909" s="27">
        <v>15</v>
      </c>
      <c r="G3909" s="18">
        <v>9726.5</v>
      </c>
      <c r="H3909" s="27">
        <f t="shared" si="120"/>
        <v>0</v>
      </c>
      <c r="I3909" s="18">
        <v>8295.7099999999991</v>
      </c>
      <c r="J3909" s="27">
        <v>9726.5</v>
      </c>
      <c r="K3909" s="18">
        <f t="shared" si="121"/>
        <v>0</v>
      </c>
      <c r="L3909" s="27">
        <v>8531.83</v>
      </c>
      <c r="M3909" s="36">
        <v>236.12</v>
      </c>
      <c r="T3909" s="41">
        <v>0</v>
      </c>
      <c r="U3909" s="41">
        <v>0</v>
      </c>
      <c r="V3909" s="42" t="s">
        <v>113</v>
      </c>
      <c r="W3909" s="42">
        <v>0</v>
      </c>
      <c r="X3909" s="42">
        <v>0</v>
      </c>
    </row>
    <row r="3910" spans="1:24">
      <c r="A3910" s="27" t="s">
        <v>7196</v>
      </c>
      <c r="B3910" s="28" t="s">
        <v>5102</v>
      </c>
      <c r="C3910" s="27" t="s">
        <v>7197</v>
      </c>
      <c r="D3910" s="27" t="s">
        <v>5104</v>
      </c>
      <c r="E3910" s="29">
        <v>39417</v>
      </c>
      <c r="F3910" s="27">
        <v>15</v>
      </c>
      <c r="G3910" s="18">
        <v>111384.16</v>
      </c>
      <c r="H3910" s="27">
        <f t="shared" ref="H3910:H3973" si="122">IFERROR(IF(ROUND((G3910-I3910)/G3910,2)&lt;=0.05,G3910,0),0)</f>
        <v>0</v>
      </c>
      <c r="I3910" s="18">
        <v>94999.45</v>
      </c>
      <c r="J3910" s="27">
        <v>111384.16</v>
      </c>
      <c r="K3910" s="18">
        <f t="shared" ref="K3910:K3973" si="123">IFERROR(IF(ROUND((J3910-L3910)/J3910,2)&lt;=0.05,J3910,0),0)</f>
        <v>0</v>
      </c>
      <c r="L3910" s="27">
        <v>97703.33</v>
      </c>
      <c r="M3910" s="36">
        <v>2703.88</v>
      </c>
      <c r="T3910" s="41">
        <v>0</v>
      </c>
      <c r="U3910" s="41">
        <v>0</v>
      </c>
      <c r="V3910" s="42" t="s">
        <v>113</v>
      </c>
      <c r="W3910" s="42">
        <v>0</v>
      </c>
      <c r="X3910" s="42">
        <v>0</v>
      </c>
    </row>
    <row r="3911" spans="1:24">
      <c r="A3911" s="27" t="s">
        <v>7198</v>
      </c>
      <c r="B3911" s="28" t="s">
        <v>5102</v>
      </c>
      <c r="C3911" s="27" t="s">
        <v>7199</v>
      </c>
      <c r="D3911" s="27" t="s">
        <v>5104</v>
      </c>
      <c r="E3911" s="29">
        <v>39417</v>
      </c>
      <c r="F3911" s="27">
        <v>15</v>
      </c>
      <c r="G3911" s="18">
        <v>5020.13</v>
      </c>
      <c r="H3911" s="27">
        <f t="shared" si="122"/>
        <v>0</v>
      </c>
      <c r="I3911" s="18">
        <v>4281.66</v>
      </c>
      <c r="J3911" s="27">
        <v>5020.13</v>
      </c>
      <c r="K3911" s="18">
        <f t="shared" si="123"/>
        <v>0</v>
      </c>
      <c r="L3911" s="27">
        <v>4403.53</v>
      </c>
      <c r="M3911" s="36">
        <v>121.87</v>
      </c>
      <c r="T3911" s="41">
        <v>0</v>
      </c>
      <c r="U3911" s="41">
        <v>0</v>
      </c>
      <c r="V3911" s="42" t="s">
        <v>113</v>
      </c>
      <c r="W3911" s="42">
        <v>0</v>
      </c>
      <c r="X3911" s="42">
        <v>0</v>
      </c>
    </row>
    <row r="3912" spans="1:24">
      <c r="A3912" s="27" t="s">
        <v>7200</v>
      </c>
      <c r="B3912" s="28" t="s">
        <v>5102</v>
      </c>
      <c r="C3912" s="27" t="s">
        <v>7199</v>
      </c>
      <c r="D3912" s="27" t="s">
        <v>5104</v>
      </c>
      <c r="E3912" s="29">
        <v>39417</v>
      </c>
      <c r="F3912" s="27">
        <v>15</v>
      </c>
      <c r="G3912" s="18">
        <v>246879.98</v>
      </c>
      <c r="H3912" s="27">
        <f t="shared" si="122"/>
        <v>0</v>
      </c>
      <c r="I3912" s="18">
        <v>210582.06</v>
      </c>
      <c r="J3912" s="27">
        <v>246879.98</v>
      </c>
      <c r="K3912" s="18">
        <f t="shared" si="123"/>
        <v>0</v>
      </c>
      <c r="L3912" s="27">
        <v>216570.54</v>
      </c>
      <c r="M3912" s="36">
        <v>5988.48</v>
      </c>
      <c r="T3912" s="41">
        <v>0</v>
      </c>
      <c r="U3912" s="41">
        <v>0</v>
      </c>
      <c r="V3912" s="42" t="s">
        <v>113</v>
      </c>
      <c r="W3912" s="42">
        <v>0</v>
      </c>
      <c r="X3912" s="42">
        <v>0</v>
      </c>
    </row>
    <row r="3913" spans="1:24">
      <c r="A3913" s="27" t="s">
        <v>7201</v>
      </c>
      <c r="B3913" s="28" t="s">
        <v>5102</v>
      </c>
      <c r="C3913" s="27" t="s">
        <v>7202</v>
      </c>
      <c r="D3913" s="27" t="s">
        <v>5104</v>
      </c>
      <c r="E3913" s="29">
        <v>39417</v>
      </c>
      <c r="F3913" s="27">
        <v>15</v>
      </c>
      <c r="G3913" s="18">
        <v>16315.43</v>
      </c>
      <c r="H3913" s="27">
        <f t="shared" si="122"/>
        <v>0</v>
      </c>
      <c r="I3913" s="18">
        <v>13915.41</v>
      </c>
      <c r="J3913" s="27">
        <v>16315.43</v>
      </c>
      <c r="K3913" s="18">
        <f t="shared" si="123"/>
        <v>0</v>
      </c>
      <c r="L3913" s="27">
        <v>14311.47</v>
      </c>
      <c r="M3913" s="36">
        <v>396.06</v>
      </c>
      <c r="T3913" s="41">
        <v>0</v>
      </c>
      <c r="U3913" s="41">
        <v>0</v>
      </c>
      <c r="V3913" s="42" t="s">
        <v>113</v>
      </c>
      <c r="W3913" s="42">
        <v>0</v>
      </c>
      <c r="X3913" s="42">
        <v>0</v>
      </c>
    </row>
    <row r="3914" spans="1:24">
      <c r="A3914" s="27" t="s">
        <v>7203</v>
      </c>
      <c r="B3914" s="28" t="s">
        <v>5102</v>
      </c>
      <c r="C3914" s="27" t="s">
        <v>7204</v>
      </c>
      <c r="D3914" s="27" t="s">
        <v>5104</v>
      </c>
      <c r="E3914" s="29">
        <v>39417</v>
      </c>
      <c r="F3914" s="27">
        <v>15</v>
      </c>
      <c r="G3914" s="18">
        <v>146525.07999999999</v>
      </c>
      <c r="H3914" s="27">
        <f t="shared" si="122"/>
        <v>0</v>
      </c>
      <c r="I3914" s="18">
        <v>124971.13</v>
      </c>
      <c r="J3914" s="27">
        <v>146525.07999999999</v>
      </c>
      <c r="K3914" s="18">
        <f t="shared" si="123"/>
        <v>0</v>
      </c>
      <c r="L3914" s="27">
        <v>128528.06</v>
      </c>
      <c r="M3914" s="36">
        <v>3556.93</v>
      </c>
      <c r="T3914" s="41">
        <v>0</v>
      </c>
      <c r="U3914" s="41">
        <v>0</v>
      </c>
      <c r="V3914" s="42" t="s">
        <v>113</v>
      </c>
      <c r="W3914" s="42">
        <v>0</v>
      </c>
      <c r="X3914" s="42">
        <v>0</v>
      </c>
    </row>
    <row r="3915" spans="1:24">
      <c r="A3915" s="27" t="s">
        <v>7205</v>
      </c>
      <c r="B3915" s="28" t="s">
        <v>5102</v>
      </c>
      <c r="C3915" s="27" t="s">
        <v>7206</v>
      </c>
      <c r="D3915" s="27" t="s">
        <v>5104</v>
      </c>
      <c r="E3915" s="29">
        <v>39417</v>
      </c>
      <c r="F3915" s="27">
        <v>15</v>
      </c>
      <c r="G3915" s="18">
        <v>187871.23</v>
      </c>
      <c r="H3915" s="27">
        <f t="shared" si="122"/>
        <v>0</v>
      </c>
      <c r="I3915" s="18">
        <v>161743.82</v>
      </c>
      <c r="J3915" s="27">
        <v>187871.23</v>
      </c>
      <c r="K3915" s="18">
        <f t="shared" si="123"/>
        <v>0</v>
      </c>
      <c r="L3915" s="27">
        <v>165927.28</v>
      </c>
      <c r="M3915" s="36">
        <v>4183.46</v>
      </c>
      <c r="T3915" s="41">
        <v>0</v>
      </c>
      <c r="U3915" s="41">
        <v>0</v>
      </c>
      <c r="V3915" s="42" t="s">
        <v>113</v>
      </c>
      <c r="W3915" s="42">
        <v>0</v>
      </c>
      <c r="X3915" s="42">
        <v>0</v>
      </c>
    </row>
    <row r="3916" spans="1:24">
      <c r="A3916" s="27" t="s">
        <v>7207</v>
      </c>
      <c r="B3916" s="28" t="s">
        <v>5102</v>
      </c>
      <c r="C3916" s="27" t="s">
        <v>7208</v>
      </c>
      <c r="D3916" s="27" t="s">
        <v>5104</v>
      </c>
      <c r="E3916" s="29">
        <v>36069</v>
      </c>
      <c r="F3916" s="27">
        <v>15</v>
      </c>
      <c r="G3916" s="18">
        <v>18822.919999999998</v>
      </c>
      <c r="H3916" s="27">
        <f t="shared" si="122"/>
        <v>18822.919999999998</v>
      </c>
      <c r="I3916" s="18">
        <v>17881.77</v>
      </c>
      <c r="J3916" s="27">
        <v>18822.919999999998</v>
      </c>
      <c r="K3916" s="18">
        <f t="shared" si="123"/>
        <v>18822.919999999998</v>
      </c>
      <c r="L3916" s="27">
        <v>17881.77</v>
      </c>
      <c r="M3916" s="36">
        <v>0</v>
      </c>
      <c r="T3916" s="41">
        <v>0</v>
      </c>
      <c r="U3916" s="41">
        <v>0</v>
      </c>
      <c r="V3916" s="42" t="s">
        <v>113</v>
      </c>
      <c r="W3916" s="42">
        <v>18822.919999999998</v>
      </c>
      <c r="X3916" s="42">
        <v>18822.919999999998</v>
      </c>
    </row>
    <row r="3917" spans="1:24">
      <c r="A3917" s="27" t="s">
        <v>7209</v>
      </c>
      <c r="B3917" s="28" t="s">
        <v>5102</v>
      </c>
      <c r="C3917" s="27" t="s">
        <v>7210</v>
      </c>
      <c r="D3917" s="27" t="s">
        <v>230</v>
      </c>
      <c r="E3917" s="29">
        <v>38443</v>
      </c>
      <c r="F3917" s="27">
        <v>15</v>
      </c>
      <c r="G3917" s="18">
        <v>3041316.14</v>
      </c>
      <c r="H3917" s="27">
        <f t="shared" si="122"/>
        <v>3041316.14</v>
      </c>
      <c r="I3917" s="18">
        <v>2889250.33</v>
      </c>
      <c r="J3917" s="27">
        <v>3041316.14</v>
      </c>
      <c r="K3917" s="18">
        <f t="shared" si="123"/>
        <v>3041316.14</v>
      </c>
      <c r="L3917" s="27">
        <v>2889250.33</v>
      </c>
      <c r="M3917" s="36">
        <v>0</v>
      </c>
      <c r="T3917" s="41">
        <v>0</v>
      </c>
      <c r="U3917" s="41">
        <v>0</v>
      </c>
      <c r="V3917" s="42" t="s">
        <v>113</v>
      </c>
      <c r="W3917" s="42">
        <v>3041316.14</v>
      </c>
      <c r="X3917" s="42">
        <v>3041316.14</v>
      </c>
    </row>
    <row r="3918" spans="1:24">
      <c r="A3918" s="27" t="s">
        <v>7211</v>
      </c>
      <c r="B3918" s="28" t="s">
        <v>5102</v>
      </c>
      <c r="C3918" s="27" t="s">
        <v>7212</v>
      </c>
      <c r="D3918" s="27" t="s">
        <v>5104</v>
      </c>
      <c r="E3918" s="29">
        <v>38443</v>
      </c>
      <c r="F3918" s="27">
        <v>15</v>
      </c>
      <c r="G3918" s="18">
        <v>10823.49</v>
      </c>
      <c r="H3918" s="27">
        <f t="shared" si="122"/>
        <v>10823.49</v>
      </c>
      <c r="I3918" s="18">
        <v>10282.32</v>
      </c>
      <c r="J3918" s="27">
        <v>10823.49</v>
      </c>
      <c r="K3918" s="18">
        <f t="shared" si="123"/>
        <v>10823.49</v>
      </c>
      <c r="L3918" s="27">
        <v>10282.32</v>
      </c>
      <c r="M3918" s="36">
        <v>0</v>
      </c>
      <c r="T3918" s="41">
        <v>0</v>
      </c>
      <c r="U3918" s="41">
        <v>0</v>
      </c>
      <c r="V3918" s="42" t="s">
        <v>113</v>
      </c>
      <c r="W3918" s="42">
        <v>10823.49</v>
      </c>
      <c r="X3918" s="42">
        <v>10823.49</v>
      </c>
    </row>
    <row r="3919" spans="1:24">
      <c r="A3919" s="27" t="s">
        <v>7213</v>
      </c>
      <c r="B3919" s="28" t="s">
        <v>5102</v>
      </c>
      <c r="C3919" s="27" t="s">
        <v>7212</v>
      </c>
      <c r="D3919" s="27" t="s">
        <v>5104</v>
      </c>
      <c r="E3919" s="29">
        <v>38443</v>
      </c>
      <c r="F3919" s="27">
        <v>15</v>
      </c>
      <c r="G3919" s="18">
        <v>13055.98</v>
      </c>
      <c r="H3919" s="27">
        <f t="shared" si="122"/>
        <v>13055.98</v>
      </c>
      <c r="I3919" s="18">
        <v>12403.18</v>
      </c>
      <c r="J3919" s="27">
        <v>13055.98</v>
      </c>
      <c r="K3919" s="18">
        <f t="shared" si="123"/>
        <v>13055.98</v>
      </c>
      <c r="L3919" s="27">
        <v>12403.18</v>
      </c>
      <c r="M3919" s="36">
        <v>0</v>
      </c>
      <c r="T3919" s="41">
        <v>0</v>
      </c>
      <c r="U3919" s="41">
        <v>0</v>
      </c>
      <c r="V3919" s="42" t="s">
        <v>113</v>
      </c>
      <c r="W3919" s="42">
        <v>13055.98</v>
      </c>
      <c r="X3919" s="42">
        <v>13055.98</v>
      </c>
    </row>
    <row r="3920" spans="1:24">
      <c r="A3920" s="27" t="s">
        <v>7214</v>
      </c>
      <c r="B3920" s="28" t="s">
        <v>5102</v>
      </c>
      <c r="C3920" s="27" t="s">
        <v>5611</v>
      </c>
      <c r="D3920" s="27" t="s">
        <v>5104</v>
      </c>
      <c r="E3920" s="29">
        <v>38443</v>
      </c>
      <c r="F3920" s="27">
        <v>15</v>
      </c>
      <c r="G3920" s="18">
        <v>640229.28</v>
      </c>
      <c r="H3920" s="27">
        <f t="shared" si="122"/>
        <v>640229.28</v>
      </c>
      <c r="I3920" s="18">
        <v>608217.81999999995</v>
      </c>
      <c r="J3920" s="27">
        <v>640229.28</v>
      </c>
      <c r="K3920" s="18">
        <f t="shared" si="123"/>
        <v>640229.28</v>
      </c>
      <c r="L3920" s="27">
        <v>608217.81999999995</v>
      </c>
      <c r="M3920" s="36">
        <v>0</v>
      </c>
      <c r="T3920" s="41">
        <v>0</v>
      </c>
      <c r="U3920" s="41">
        <v>0</v>
      </c>
      <c r="V3920" s="42" t="s">
        <v>113</v>
      </c>
      <c r="W3920" s="42">
        <v>640229.28</v>
      </c>
      <c r="X3920" s="42">
        <v>640229.28</v>
      </c>
    </row>
    <row r="3921" spans="1:24">
      <c r="A3921" s="27" t="s">
        <v>7215</v>
      </c>
      <c r="B3921" s="28" t="s">
        <v>5102</v>
      </c>
      <c r="C3921" s="27" t="s">
        <v>7216</v>
      </c>
      <c r="D3921" s="27" t="s">
        <v>5104</v>
      </c>
      <c r="E3921" s="29">
        <v>38443</v>
      </c>
      <c r="F3921" s="27">
        <v>15</v>
      </c>
      <c r="G3921" s="18">
        <v>27617.06</v>
      </c>
      <c r="H3921" s="27">
        <f t="shared" si="122"/>
        <v>27617.06</v>
      </c>
      <c r="I3921" s="18">
        <v>26236.21</v>
      </c>
      <c r="J3921" s="27">
        <v>27617.06</v>
      </c>
      <c r="K3921" s="18">
        <f t="shared" si="123"/>
        <v>27617.06</v>
      </c>
      <c r="L3921" s="27">
        <v>26236.21</v>
      </c>
      <c r="M3921" s="36">
        <v>0</v>
      </c>
      <c r="T3921" s="41">
        <v>0</v>
      </c>
      <c r="U3921" s="41">
        <v>0</v>
      </c>
      <c r="V3921" s="42" t="s">
        <v>113</v>
      </c>
      <c r="W3921" s="42">
        <v>27617.06</v>
      </c>
      <c r="X3921" s="42">
        <v>27617.06</v>
      </c>
    </row>
    <row r="3922" spans="1:24">
      <c r="A3922" s="27" t="s">
        <v>7217</v>
      </c>
      <c r="B3922" s="28" t="s">
        <v>5102</v>
      </c>
      <c r="C3922" s="27" t="s">
        <v>7216</v>
      </c>
      <c r="D3922" s="27" t="s">
        <v>5104</v>
      </c>
      <c r="E3922" s="29">
        <v>38443</v>
      </c>
      <c r="F3922" s="27">
        <v>15</v>
      </c>
      <c r="G3922" s="18">
        <v>20430.98</v>
      </c>
      <c r="H3922" s="27">
        <f t="shared" si="122"/>
        <v>20430.98</v>
      </c>
      <c r="I3922" s="18">
        <v>19409.43</v>
      </c>
      <c r="J3922" s="27">
        <v>20430.98</v>
      </c>
      <c r="K3922" s="18">
        <f t="shared" si="123"/>
        <v>20430.98</v>
      </c>
      <c r="L3922" s="27">
        <v>19409.43</v>
      </c>
      <c r="M3922" s="36">
        <v>0</v>
      </c>
      <c r="T3922" s="41">
        <v>0</v>
      </c>
      <c r="U3922" s="41">
        <v>0</v>
      </c>
      <c r="V3922" s="42" t="s">
        <v>113</v>
      </c>
      <c r="W3922" s="42">
        <v>20430.98</v>
      </c>
      <c r="X3922" s="42">
        <v>20430.98</v>
      </c>
    </row>
    <row r="3923" spans="1:24">
      <c r="A3923" s="27" t="s">
        <v>7218</v>
      </c>
      <c r="B3923" s="28" t="s">
        <v>5102</v>
      </c>
      <c r="C3923" s="27" t="s">
        <v>7219</v>
      </c>
      <c r="D3923" s="27" t="s">
        <v>5104</v>
      </c>
      <c r="E3923" s="29">
        <v>37226</v>
      </c>
      <c r="F3923" s="27">
        <v>15</v>
      </c>
      <c r="G3923" s="18">
        <v>1272811.6299999999</v>
      </c>
      <c r="H3923" s="27">
        <f t="shared" si="122"/>
        <v>0</v>
      </c>
      <c r="I3923" s="18">
        <v>1132116.47</v>
      </c>
      <c r="J3923" s="27">
        <v>1272811.6299999999</v>
      </c>
      <c r="K3923" s="18">
        <f t="shared" si="123"/>
        <v>0</v>
      </c>
      <c r="L3923" s="27">
        <v>1151380.1200000001</v>
      </c>
      <c r="M3923" s="36">
        <v>19263.650000000001</v>
      </c>
      <c r="T3923" s="41">
        <v>0</v>
      </c>
      <c r="U3923" s="41">
        <v>0</v>
      </c>
      <c r="V3923" s="42" t="s">
        <v>124</v>
      </c>
      <c r="W3923" s="42">
        <v>1272811.6299999999</v>
      </c>
      <c r="X3923" s="42">
        <v>1272811.6299999999</v>
      </c>
    </row>
    <row r="3924" spans="1:24">
      <c r="A3924" s="27" t="s">
        <v>7220</v>
      </c>
      <c r="B3924" s="28" t="s">
        <v>5102</v>
      </c>
      <c r="C3924" s="27" t="s">
        <v>7221</v>
      </c>
      <c r="D3924" s="27" t="s">
        <v>5104</v>
      </c>
      <c r="E3924" s="29">
        <v>38078</v>
      </c>
      <c r="F3924" s="27">
        <v>15</v>
      </c>
      <c r="G3924" s="18">
        <v>397882.54</v>
      </c>
      <c r="H3924" s="27">
        <f t="shared" si="122"/>
        <v>397882.54</v>
      </c>
      <c r="I3924" s="18">
        <v>377988.41</v>
      </c>
      <c r="J3924" s="27">
        <v>397882.54</v>
      </c>
      <c r="K3924" s="18">
        <f t="shared" si="123"/>
        <v>397882.54</v>
      </c>
      <c r="L3924" s="27">
        <v>377988.41</v>
      </c>
      <c r="M3924" s="36">
        <v>0</v>
      </c>
      <c r="T3924" s="41">
        <v>0</v>
      </c>
      <c r="U3924" s="41">
        <v>0</v>
      </c>
      <c r="V3924" s="42" t="s">
        <v>113</v>
      </c>
      <c r="W3924" s="42">
        <v>397882.54</v>
      </c>
      <c r="X3924" s="42">
        <v>397882.54</v>
      </c>
    </row>
    <row r="3925" spans="1:24">
      <c r="A3925" s="27" t="s">
        <v>7222</v>
      </c>
      <c r="B3925" s="28" t="s">
        <v>5102</v>
      </c>
      <c r="C3925" s="27" t="s">
        <v>7223</v>
      </c>
      <c r="D3925" s="27" t="s">
        <v>5104</v>
      </c>
      <c r="E3925" s="29">
        <v>37226</v>
      </c>
      <c r="F3925" s="27">
        <v>15</v>
      </c>
      <c r="G3925" s="18">
        <v>172344.57</v>
      </c>
      <c r="H3925" s="27">
        <f t="shared" si="122"/>
        <v>172344.57</v>
      </c>
      <c r="I3925" s="18">
        <v>163727.34</v>
      </c>
      <c r="J3925" s="27">
        <v>172344.57</v>
      </c>
      <c r="K3925" s="18">
        <f t="shared" si="123"/>
        <v>172344.57</v>
      </c>
      <c r="L3925" s="27">
        <v>163727.34</v>
      </c>
      <c r="M3925" s="36">
        <v>0</v>
      </c>
      <c r="T3925" s="41">
        <v>0</v>
      </c>
      <c r="U3925" s="41">
        <v>0</v>
      </c>
      <c r="V3925" s="42" t="s">
        <v>113</v>
      </c>
      <c r="W3925" s="42">
        <v>172344.57</v>
      </c>
      <c r="X3925" s="42">
        <v>172344.57</v>
      </c>
    </row>
    <row r="3926" spans="1:24">
      <c r="A3926" s="27" t="s">
        <v>7224</v>
      </c>
      <c r="B3926" s="28" t="s">
        <v>5102</v>
      </c>
      <c r="C3926" s="27" t="s">
        <v>7225</v>
      </c>
      <c r="D3926" s="27" t="s">
        <v>5104</v>
      </c>
      <c r="E3926" s="29">
        <v>38078</v>
      </c>
      <c r="F3926" s="27">
        <v>15</v>
      </c>
      <c r="G3926" s="18">
        <v>5044.0600000000004</v>
      </c>
      <c r="H3926" s="27">
        <f t="shared" si="122"/>
        <v>5044.0600000000004</v>
      </c>
      <c r="I3926" s="18">
        <v>4791.8599999999997</v>
      </c>
      <c r="J3926" s="27">
        <v>5044.0600000000004</v>
      </c>
      <c r="K3926" s="18">
        <f t="shared" si="123"/>
        <v>5044.0600000000004</v>
      </c>
      <c r="L3926" s="27">
        <v>4791.8599999999997</v>
      </c>
      <c r="M3926" s="36">
        <v>0</v>
      </c>
      <c r="T3926" s="41">
        <v>0</v>
      </c>
      <c r="U3926" s="41">
        <v>0</v>
      </c>
      <c r="V3926" s="42" t="s">
        <v>113</v>
      </c>
      <c r="W3926" s="42">
        <v>5044.0600000000004</v>
      </c>
      <c r="X3926" s="42">
        <v>5044.0600000000004</v>
      </c>
    </row>
    <row r="3927" spans="1:24">
      <c r="A3927" s="27" t="s">
        <v>7226</v>
      </c>
      <c r="B3927" s="28" t="s">
        <v>5102</v>
      </c>
      <c r="C3927" s="27" t="s">
        <v>5530</v>
      </c>
      <c r="D3927" s="27" t="s">
        <v>5104</v>
      </c>
      <c r="E3927" s="29">
        <v>37226</v>
      </c>
      <c r="F3927" s="27">
        <v>15</v>
      </c>
      <c r="G3927" s="18">
        <v>147290.57999999999</v>
      </c>
      <c r="H3927" s="27">
        <f t="shared" si="122"/>
        <v>147290.57999999999</v>
      </c>
      <c r="I3927" s="18">
        <v>139926.04999999999</v>
      </c>
      <c r="J3927" s="27">
        <v>147290.57999999999</v>
      </c>
      <c r="K3927" s="18">
        <f t="shared" si="123"/>
        <v>147290.57999999999</v>
      </c>
      <c r="L3927" s="27">
        <v>139926.04999999999</v>
      </c>
      <c r="M3927" s="36">
        <v>0</v>
      </c>
      <c r="T3927" s="41">
        <v>0</v>
      </c>
      <c r="U3927" s="41">
        <v>0</v>
      </c>
      <c r="V3927" s="42" t="s">
        <v>113</v>
      </c>
      <c r="W3927" s="42">
        <v>147290.57999999999</v>
      </c>
      <c r="X3927" s="42">
        <v>147290.57999999999</v>
      </c>
    </row>
    <row r="3928" spans="1:24">
      <c r="A3928" s="27" t="s">
        <v>7227</v>
      </c>
      <c r="B3928" s="28" t="s">
        <v>5102</v>
      </c>
      <c r="C3928" s="27" t="s">
        <v>5530</v>
      </c>
      <c r="D3928" s="27" t="s">
        <v>5104</v>
      </c>
      <c r="E3928" s="29">
        <v>37226</v>
      </c>
      <c r="F3928" s="27">
        <v>15</v>
      </c>
      <c r="G3928" s="18">
        <v>120145.53</v>
      </c>
      <c r="H3928" s="27">
        <f t="shared" si="122"/>
        <v>120145.53</v>
      </c>
      <c r="I3928" s="18">
        <v>114138.25</v>
      </c>
      <c r="J3928" s="27">
        <v>120145.53</v>
      </c>
      <c r="K3928" s="18">
        <f t="shared" si="123"/>
        <v>120145.53</v>
      </c>
      <c r="L3928" s="27">
        <v>114138.25</v>
      </c>
      <c r="M3928" s="36">
        <v>0</v>
      </c>
      <c r="T3928" s="41">
        <v>0</v>
      </c>
      <c r="U3928" s="41">
        <v>0</v>
      </c>
      <c r="V3928" s="42" t="s">
        <v>113</v>
      </c>
      <c r="W3928" s="42">
        <v>120145.53</v>
      </c>
      <c r="X3928" s="42">
        <v>120145.53</v>
      </c>
    </row>
    <row r="3929" spans="1:24">
      <c r="A3929" s="27" t="s">
        <v>7228</v>
      </c>
      <c r="B3929" s="28" t="s">
        <v>5102</v>
      </c>
      <c r="C3929" s="27" t="s">
        <v>7229</v>
      </c>
      <c r="D3929" s="27" t="s">
        <v>5104</v>
      </c>
      <c r="E3929" s="29">
        <v>38078</v>
      </c>
      <c r="F3929" s="27">
        <v>15</v>
      </c>
      <c r="G3929" s="18">
        <v>15588.95</v>
      </c>
      <c r="H3929" s="27">
        <f t="shared" si="122"/>
        <v>15588.95</v>
      </c>
      <c r="I3929" s="18">
        <v>14809.5</v>
      </c>
      <c r="J3929" s="27">
        <v>15588.95</v>
      </c>
      <c r="K3929" s="18">
        <f t="shared" si="123"/>
        <v>15588.95</v>
      </c>
      <c r="L3929" s="27">
        <v>14809.5</v>
      </c>
      <c r="M3929" s="36">
        <v>0</v>
      </c>
      <c r="T3929" s="41">
        <v>0</v>
      </c>
      <c r="U3929" s="41">
        <v>0</v>
      </c>
      <c r="V3929" s="42" t="s">
        <v>113</v>
      </c>
      <c r="W3929" s="42">
        <v>15588.95</v>
      </c>
      <c r="X3929" s="42">
        <v>15588.95</v>
      </c>
    </row>
    <row r="3930" spans="1:24">
      <c r="A3930" s="27" t="s">
        <v>7230</v>
      </c>
      <c r="B3930" s="28" t="s">
        <v>5102</v>
      </c>
      <c r="C3930" s="27" t="s">
        <v>7229</v>
      </c>
      <c r="D3930" s="27" t="s">
        <v>5104</v>
      </c>
      <c r="E3930" s="29">
        <v>38078</v>
      </c>
      <c r="F3930" s="27">
        <v>15</v>
      </c>
      <c r="G3930" s="18">
        <v>8241.2900000000009</v>
      </c>
      <c r="H3930" s="27">
        <f t="shared" si="122"/>
        <v>8241.2900000000009</v>
      </c>
      <c r="I3930" s="18">
        <v>7829.23</v>
      </c>
      <c r="J3930" s="27">
        <v>8241.2900000000009</v>
      </c>
      <c r="K3930" s="18">
        <f t="shared" si="123"/>
        <v>8241.2900000000009</v>
      </c>
      <c r="L3930" s="27">
        <v>7829.23</v>
      </c>
      <c r="M3930" s="36">
        <v>0</v>
      </c>
      <c r="T3930" s="41">
        <v>0</v>
      </c>
      <c r="U3930" s="41">
        <v>0</v>
      </c>
      <c r="V3930" s="42" t="s">
        <v>113</v>
      </c>
      <c r="W3930" s="42">
        <v>8241.2900000000009</v>
      </c>
      <c r="X3930" s="42">
        <v>8241.2900000000009</v>
      </c>
    </row>
    <row r="3931" spans="1:24">
      <c r="A3931" s="27" t="s">
        <v>7231</v>
      </c>
      <c r="B3931" s="28" t="s">
        <v>5102</v>
      </c>
      <c r="C3931" s="27" t="s">
        <v>7232</v>
      </c>
      <c r="D3931" s="27" t="s">
        <v>5104</v>
      </c>
      <c r="E3931" s="29">
        <v>37226</v>
      </c>
      <c r="F3931" s="27">
        <v>15</v>
      </c>
      <c r="G3931" s="18">
        <v>466112.54</v>
      </c>
      <c r="H3931" s="27">
        <f t="shared" si="122"/>
        <v>466112.54</v>
      </c>
      <c r="I3931" s="18">
        <v>442806.91</v>
      </c>
      <c r="J3931" s="27">
        <v>466112.54</v>
      </c>
      <c r="K3931" s="18">
        <f t="shared" si="123"/>
        <v>466112.54</v>
      </c>
      <c r="L3931" s="27">
        <v>442806.91</v>
      </c>
      <c r="M3931" s="36">
        <v>0</v>
      </c>
      <c r="T3931" s="41">
        <v>0</v>
      </c>
      <c r="U3931" s="41">
        <v>0</v>
      </c>
      <c r="V3931" s="42" t="s">
        <v>113</v>
      </c>
      <c r="W3931" s="42">
        <v>466112.54</v>
      </c>
      <c r="X3931" s="42">
        <v>466112.54</v>
      </c>
    </row>
    <row r="3932" spans="1:24">
      <c r="A3932" s="27" t="s">
        <v>7233</v>
      </c>
      <c r="B3932" s="28" t="s">
        <v>5102</v>
      </c>
      <c r="C3932" s="27" t="s">
        <v>7234</v>
      </c>
      <c r="D3932" s="27" t="s">
        <v>5104</v>
      </c>
      <c r="E3932" s="29">
        <v>38078</v>
      </c>
      <c r="F3932" s="27">
        <v>15</v>
      </c>
      <c r="G3932" s="18">
        <v>5222.79</v>
      </c>
      <c r="H3932" s="27">
        <f t="shared" si="122"/>
        <v>5222.79</v>
      </c>
      <c r="I3932" s="18">
        <v>4961.6499999999996</v>
      </c>
      <c r="J3932" s="27">
        <v>5222.79</v>
      </c>
      <c r="K3932" s="18">
        <f t="shared" si="123"/>
        <v>5222.79</v>
      </c>
      <c r="L3932" s="27">
        <v>4961.6499999999996</v>
      </c>
      <c r="M3932" s="36">
        <v>0</v>
      </c>
      <c r="T3932" s="41">
        <v>0</v>
      </c>
      <c r="U3932" s="41">
        <v>0</v>
      </c>
      <c r="V3932" s="42" t="s">
        <v>113</v>
      </c>
      <c r="W3932" s="42">
        <v>5222.79</v>
      </c>
      <c r="X3932" s="42">
        <v>5222.79</v>
      </c>
    </row>
    <row r="3933" spans="1:24">
      <c r="A3933" s="27" t="s">
        <v>7235</v>
      </c>
      <c r="B3933" s="28" t="s">
        <v>5102</v>
      </c>
      <c r="C3933" s="27" t="s">
        <v>7234</v>
      </c>
      <c r="D3933" s="27" t="s">
        <v>5104</v>
      </c>
      <c r="E3933" s="29">
        <v>38078</v>
      </c>
      <c r="F3933" s="27">
        <v>15</v>
      </c>
      <c r="G3933" s="18">
        <v>39200.730000000003</v>
      </c>
      <c r="H3933" s="27">
        <f t="shared" si="122"/>
        <v>39200.730000000003</v>
      </c>
      <c r="I3933" s="18">
        <v>37240.69</v>
      </c>
      <c r="J3933" s="27">
        <v>39200.730000000003</v>
      </c>
      <c r="K3933" s="18">
        <f t="shared" si="123"/>
        <v>39200.730000000003</v>
      </c>
      <c r="L3933" s="27">
        <v>37240.69</v>
      </c>
      <c r="M3933" s="36">
        <v>0</v>
      </c>
      <c r="T3933" s="41">
        <v>0</v>
      </c>
      <c r="U3933" s="41">
        <v>0</v>
      </c>
      <c r="V3933" s="42" t="s">
        <v>113</v>
      </c>
      <c r="W3933" s="42">
        <v>39200.730000000003</v>
      </c>
      <c r="X3933" s="42">
        <v>39200.730000000003</v>
      </c>
    </row>
    <row r="3934" spans="1:24">
      <c r="A3934" s="27" t="s">
        <v>7236</v>
      </c>
      <c r="B3934" s="28" t="s">
        <v>5102</v>
      </c>
      <c r="C3934" s="27" t="s">
        <v>7234</v>
      </c>
      <c r="D3934" s="27" t="s">
        <v>5104</v>
      </c>
      <c r="E3934" s="29">
        <v>38078</v>
      </c>
      <c r="F3934" s="27">
        <v>15</v>
      </c>
      <c r="G3934" s="18">
        <v>5858.27</v>
      </c>
      <c r="H3934" s="27">
        <f t="shared" si="122"/>
        <v>5858.27</v>
      </c>
      <c r="I3934" s="18">
        <v>5565.36</v>
      </c>
      <c r="J3934" s="27">
        <v>5858.27</v>
      </c>
      <c r="K3934" s="18">
        <f t="shared" si="123"/>
        <v>5858.27</v>
      </c>
      <c r="L3934" s="27">
        <v>5565.36</v>
      </c>
      <c r="M3934" s="36">
        <v>0</v>
      </c>
      <c r="T3934" s="41">
        <v>0</v>
      </c>
      <c r="U3934" s="41">
        <v>0</v>
      </c>
      <c r="V3934" s="42" t="s">
        <v>113</v>
      </c>
      <c r="W3934" s="42">
        <v>5858.27</v>
      </c>
      <c r="X3934" s="42">
        <v>5858.27</v>
      </c>
    </row>
    <row r="3935" spans="1:24">
      <c r="A3935" s="27" t="s">
        <v>7237</v>
      </c>
      <c r="B3935" s="28" t="s">
        <v>5102</v>
      </c>
      <c r="C3935" s="27" t="s">
        <v>7234</v>
      </c>
      <c r="D3935" s="27" t="s">
        <v>5104</v>
      </c>
      <c r="E3935" s="29">
        <v>38078</v>
      </c>
      <c r="F3935" s="27">
        <v>15</v>
      </c>
      <c r="G3935" s="18">
        <v>21665.65</v>
      </c>
      <c r="H3935" s="27">
        <f t="shared" si="122"/>
        <v>21665.65</v>
      </c>
      <c r="I3935" s="18">
        <v>20582.37</v>
      </c>
      <c r="J3935" s="27">
        <v>21665.65</v>
      </c>
      <c r="K3935" s="18">
        <f t="shared" si="123"/>
        <v>21665.65</v>
      </c>
      <c r="L3935" s="27">
        <v>20582.37</v>
      </c>
      <c r="M3935" s="36">
        <v>0</v>
      </c>
      <c r="T3935" s="41">
        <v>0</v>
      </c>
      <c r="U3935" s="41">
        <v>0</v>
      </c>
      <c r="V3935" s="42" t="s">
        <v>113</v>
      </c>
      <c r="W3935" s="42">
        <v>21665.65</v>
      </c>
      <c r="X3935" s="42">
        <v>21665.65</v>
      </c>
    </row>
    <row r="3936" spans="1:24">
      <c r="A3936" s="27" t="s">
        <v>7238</v>
      </c>
      <c r="B3936" s="28" t="s">
        <v>5102</v>
      </c>
      <c r="C3936" s="27" t="s">
        <v>7239</v>
      </c>
      <c r="D3936" s="27" t="s">
        <v>5104</v>
      </c>
      <c r="E3936" s="29">
        <v>38078</v>
      </c>
      <c r="F3936" s="27">
        <v>15</v>
      </c>
      <c r="G3936" s="18">
        <v>5421.38</v>
      </c>
      <c r="H3936" s="27">
        <f t="shared" si="122"/>
        <v>5421.38</v>
      </c>
      <c r="I3936" s="18">
        <v>5150.3100000000004</v>
      </c>
      <c r="J3936" s="27">
        <v>5421.38</v>
      </c>
      <c r="K3936" s="18">
        <f t="shared" si="123"/>
        <v>5421.38</v>
      </c>
      <c r="L3936" s="27">
        <v>5150.3100000000004</v>
      </c>
      <c r="M3936" s="36">
        <v>0</v>
      </c>
      <c r="T3936" s="41">
        <v>0</v>
      </c>
      <c r="U3936" s="41">
        <v>0</v>
      </c>
      <c r="V3936" s="42" t="s">
        <v>113</v>
      </c>
      <c r="W3936" s="42">
        <v>5421.38</v>
      </c>
      <c r="X3936" s="42">
        <v>5421.38</v>
      </c>
    </row>
    <row r="3937" spans="1:24">
      <c r="A3937" s="27" t="s">
        <v>7240</v>
      </c>
      <c r="B3937" s="28" t="s">
        <v>5102</v>
      </c>
      <c r="C3937" s="27" t="s">
        <v>7241</v>
      </c>
      <c r="D3937" s="27" t="s">
        <v>5104</v>
      </c>
      <c r="E3937" s="29">
        <v>38078</v>
      </c>
      <c r="F3937" s="27">
        <v>15</v>
      </c>
      <c r="G3937" s="18">
        <v>8142</v>
      </c>
      <c r="H3937" s="27">
        <f t="shared" si="122"/>
        <v>8142</v>
      </c>
      <c r="I3937" s="18">
        <v>7734.9</v>
      </c>
      <c r="J3937" s="27">
        <v>8142</v>
      </c>
      <c r="K3937" s="18">
        <f t="shared" si="123"/>
        <v>8142</v>
      </c>
      <c r="L3937" s="27">
        <v>7734.9</v>
      </c>
      <c r="M3937" s="36">
        <v>0</v>
      </c>
      <c r="T3937" s="41">
        <v>0</v>
      </c>
      <c r="U3937" s="41">
        <v>0</v>
      </c>
      <c r="V3937" s="42" t="s">
        <v>113</v>
      </c>
      <c r="W3937" s="42">
        <v>8142</v>
      </c>
      <c r="X3937" s="42">
        <v>8142</v>
      </c>
    </row>
    <row r="3938" spans="1:24">
      <c r="A3938" s="27" t="s">
        <v>7242</v>
      </c>
      <c r="B3938" s="28" t="s">
        <v>5102</v>
      </c>
      <c r="C3938" s="27" t="s">
        <v>7243</v>
      </c>
      <c r="D3938" s="27" t="s">
        <v>5104</v>
      </c>
      <c r="E3938" s="29">
        <v>38078</v>
      </c>
      <c r="F3938" s="27">
        <v>15</v>
      </c>
      <c r="G3938" s="18">
        <v>21486.92</v>
      </c>
      <c r="H3938" s="27">
        <f t="shared" si="122"/>
        <v>21486.92</v>
      </c>
      <c r="I3938" s="18">
        <v>20412.57</v>
      </c>
      <c r="J3938" s="27">
        <v>21486.92</v>
      </c>
      <c r="K3938" s="18">
        <f t="shared" si="123"/>
        <v>21486.92</v>
      </c>
      <c r="L3938" s="27">
        <v>20412.57</v>
      </c>
      <c r="M3938" s="36">
        <v>0</v>
      </c>
      <c r="T3938" s="41">
        <v>0</v>
      </c>
      <c r="U3938" s="41">
        <v>0</v>
      </c>
      <c r="V3938" s="42" t="s">
        <v>113</v>
      </c>
      <c r="W3938" s="42">
        <v>21486.92</v>
      </c>
      <c r="X3938" s="42">
        <v>21486.92</v>
      </c>
    </row>
    <row r="3939" spans="1:24">
      <c r="A3939" s="27" t="s">
        <v>7244</v>
      </c>
      <c r="B3939" s="28" t="s">
        <v>5102</v>
      </c>
      <c r="C3939" s="27" t="s">
        <v>7223</v>
      </c>
      <c r="D3939" s="27" t="s">
        <v>5104</v>
      </c>
      <c r="E3939" s="29">
        <v>37226</v>
      </c>
      <c r="F3939" s="27">
        <v>15</v>
      </c>
      <c r="G3939" s="18">
        <v>248913.47</v>
      </c>
      <c r="H3939" s="27">
        <f t="shared" si="122"/>
        <v>248913.47</v>
      </c>
      <c r="I3939" s="18">
        <v>236467.8</v>
      </c>
      <c r="J3939" s="27">
        <v>248913.47</v>
      </c>
      <c r="K3939" s="18">
        <f t="shared" si="123"/>
        <v>248913.47</v>
      </c>
      <c r="L3939" s="27">
        <v>236467.8</v>
      </c>
      <c r="M3939" s="36">
        <v>0</v>
      </c>
      <c r="T3939" s="41">
        <v>0</v>
      </c>
      <c r="U3939" s="41">
        <v>0</v>
      </c>
      <c r="V3939" s="42" t="s">
        <v>113</v>
      </c>
      <c r="W3939" s="42">
        <v>248913.47</v>
      </c>
      <c r="X3939" s="42">
        <v>248913.47</v>
      </c>
    </row>
    <row r="3940" spans="1:24">
      <c r="A3940" s="27" t="s">
        <v>7245</v>
      </c>
      <c r="B3940" s="28" t="s">
        <v>5102</v>
      </c>
      <c r="C3940" s="27" t="s">
        <v>7223</v>
      </c>
      <c r="D3940" s="27" t="s">
        <v>5104</v>
      </c>
      <c r="E3940" s="29">
        <v>37226</v>
      </c>
      <c r="F3940" s="27">
        <v>15</v>
      </c>
      <c r="G3940" s="18">
        <v>395765.18</v>
      </c>
      <c r="H3940" s="27">
        <f t="shared" si="122"/>
        <v>395765.18</v>
      </c>
      <c r="I3940" s="18">
        <v>375976.92</v>
      </c>
      <c r="J3940" s="27">
        <v>395765.18</v>
      </c>
      <c r="K3940" s="18">
        <f t="shared" si="123"/>
        <v>395765.18</v>
      </c>
      <c r="L3940" s="27">
        <v>375976.92</v>
      </c>
      <c r="M3940" s="36">
        <v>0</v>
      </c>
      <c r="T3940" s="41">
        <v>0</v>
      </c>
      <c r="U3940" s="41">
        <v>0</v>
      </c>
      <c r="V3940" s="42" t="s">
        <v>113</v>
      </c>
      <c r="W3940" s="42">
        <v>395765.18</v>
      </c>
      <c r="X3940" s="42">
        <v>395765.18</v>
      </c>
    </row>
    <row r="3941" spans="1:24">
      <c r="A3941" s="27" t="s">
        <v>7246</v>
      </c>
      <c r="B3941" s="28" t="s">
        <v>5102</v>
      </c>
      <c r="C3941" s="27" t="s">
        <v>7247</v>
      </c>
      <c r="D3941" s="27" t="s">
        <v>5104</v>
      </c>
      <c r="E3941" s="29">
        <v>38078</v>
      </c>
      <c r="F3941" s="27">
        <v>15</v>
      </c>
      <c r="G3941" s="18">
        <v>15787.53</v>
      </c>
      <c r="H3941" s="27">
        <f t="shared" si="122"/>
        <v>15787.53</v>
      </c>
      <c r="I3941" s="18">
        <v>14998.15</v>
      </c>
      <c r="J3941" s="27">
        <v>15787.53</v>
      </c>
      <c r="K3941" s="18">
        <f t="shared" si="123"/>
        <v>15787.53</v>
      </c>
      <c r="L3941" s="27">
        <v>14998.15</v>
      </c>
      <c r="M3941" s="36">
        <v>0</v>
      </c>
      <c r="T3941" s="41">
        <v>0</v>
      </c>
      <c r="U3941" s="41">
        <v>0</v>
      </c>
      <c r="V3941" s="42" t="s">
        <v>113</v>
      </c>
      <c r="W3941" s="42">
        <v>15787.53</v>
      </c>
      <c r="X3941" s="42">
        <v>15787.53</v>
      </c>
    </row>
    <row r="3942" spans="1:24">
      <c r="A3942" s="27" t="s">
        <v>7248</v>
      </c>
      <c r="B3942" s="28" t="s">
        <v>5102</v>
      </c>
      <c r="C3942" s="27" t="s">
        <v>5530</v>
      </c>
      <c r="D3942" s="27" t="s">
        <v>5104</v>
      </c>
      <c r="E3942" s="29">
        <v>37226</v>
      </c>
      <c r="F3942" s="27">
        <v>15</v>
      </c>
      <c r="G3942" s="18">
        <v>148000.51</v>
      </c>
      <c r="H3942" s="27">
        <f t="shared" si="122"/>
        <v>148000.51</v>
      </c>
      <c r="I3942" s="18">
        <v>140600.48000000001</v>
      </c>
      <c r="J3942" s="27">
        <v>148000.51</v>
      </c>
      <c r="K3942" s="18">
        <f t="shared" si="123"/>
        <v>148000.51</v>
      </c>
      <c r="L3942" s="27">
        <v>140600.48000000001</v>
      </c>
      <c r="M3942" s="36">
        <v>0</v>
      </c>
      <c r="T3942" s="41">
        <v>0</v>
      </c>
      <c r="U3942" s="41">
        <v>0</v>
      </c>
      <c r="V3942" s="42" t="s">
        <v>113</v>
      </c>
      <c r="W3942" s="42">
        <v>148000.51</v>
      </c>
      <c r="X3942" s="42">
        <v>148000.51</v>
      </c>
    </row>
    <row r="3943" spans="1:24">
      <c r="A3943" s="27" t="s">
        <v>7249</v>
      </c>
      <c r="B3943" s="28" t="s">
        <v>5102</v>
      </c>
      <c r="C3943" s="27" t="s">
        <v>7250</v>
      </c>
      <c r="D3943" s="27" t="s">
        <v>5104</v>
      </c>
      <c r="E3943" s="29">
        <v>38078</v>
      </c>
      <c r="F3943" s="27">
        <v>15</v>
      </c>
      <c r="G3943" s="18">
        <v>22320.98</v>
      </c>
      <c r="H3943" s="27">
        <f t="shared" si="122"/>
        <v>22320.98</v>
      </c>
      <c r="I3943" s="18">
        <v>21204.93</v>
      </c>
      <c r="J3943" s="27">
        <v>22320.98</v>
      </c>
      <c r="K3943" s="18">
        <f t="shared" si="123"/>
        <v>22320.98</v>
      </c>
      <c r="L3943" s="27">
        <v>21204.93</v>
      </c>
      <c r="M3943" s="36">
        <v>0</v>
      </c>
      <c r="T3943" s="41">
        <v>0</v>
      </c>
      <c r="U3943" s="41">
        <v>0</v>
      </c>
      <c r="V3943" s="42" t="s">
        <v>113</v>
      </c>
      <c r="W3943" s="42">
        <v>22320.98</v>
      </c>
      <c r="X3943" s="42">
        <v>22320.98</v>
      </c>
    </row>
    <row r="3944" spans="1:24">
      <c r="A3944" s="27" t="s">
        <v>7251</v>
      </c>
      <c r="B3944" s="28" t="s">
        <v>5102</v>
      </c>
      <c r="C3944" s="27" t="s">
        <v>7250</v>
      </c>
      <c r="D3944" s="27" t="s">
        <v>5104</v>
      </c>
      <c r="E3944" s="29">
        <v>38078</v>
      </c>
      <c r="F3944" s="27">
        <v>15</v>
      </c>
      <c r="G3944" s="18">
        <v>105826.08</v>
      </c>
      <c r="H3944" s="27">
        <f t="shared" si="122"/>
        <v>105826.08</v>
      </c>
      <c r="I3944" s="18">
        <v>100534.78</v>
      </c>
      <c r="J3944" s="27">
        <v>105826.08</v>
      </c>
      <c r="K3944" s="18">
        <f t="shared" si="123"/>
        <v>105826.08</v>
      </c>
      <c r="L3944" s="27">
        <v>100534.78</v>
      </c>
      <c r="M3944" s="36">
        <v>0</v>
      </c>
      <c r="T3944" s="41">
        <v>0</v>
      </c>
      <c r="U3944" s="41">
        <v>0</v>
      </c>
      <c r="V3944" s="42" t="s">
        <v>113</v>
      </c>
      <c r="W3944" s="42">
        <v>105826.08</v>
      </c>
      <c r="X3944" s="42">
        <v>105826.08</v>
      </c>
    </row>
    <row r="3945" spans="1:24">
      <c r="A3945" s="27" t="s">
        <v>7252</v>
      </c>
      <c r="B3945" s="28" t="s">
        <v>5102</v>
      </c>
      <c r="C3945" s="27" t="s">
        <v>5530</v>
      </c>
      <c r="D3945" s="27" t="s">
        <v>5104</v>
      </c>
      <c r="E3945" s="29">
        <v>37226</v>
      </c>
      <c r="F3945" s="27">
        <v>15</v>
      </c>
      <c r="G3945" s="18">
        <v>129516.58</v>
      </c>
      <c r="H3945" s="27">
        <f t="shared" si="122"/>
        <v>129516.58</v>
      </c>
      <c r="I3945" s="18">
        <v>123040.75</v>
      </c>
      <c r="J3945" s="27">
        <v>129516.58</v>
      </c>
      <c r="K3945" s="18">
        <f t="shared" si="123"/>
        <v>129516.58</v>
      </c>
      <c r="L3945" s="27">
        <v>123040.75</v>
      </c>
      <c r="M3945" s="36">
        <v>0</v>
      </c>
      <c r="T3945" s="41">
        <v>0</v>
      </c>
      <c r="U3945" s="41">
        <v>0</v>
      </c>
      <c r="V3945" s="42" t="s">
        <v>113</v>
      </c>
      <c r="W3945" s="42">
        <v>129516.58</v>
      </c>
      <c r="X3945" s="42">
        <v>129516.58</v>
      </c>
    </row>
    <row r="3946" spans="1:24">
      <c r="A3946" s="27" t="s">
        <v>7253</v>
      </c>
      <c r="B3946" s="28" t="s">
        <v>5102</v>
      </c>
      <c r="C3946" s="27" t="s">
        <v>5530</v>
      </c>
      <c r="D3946" s="27" t="s">
        <v>5104</v>
      </c>
      <c r="E3946" s="29">
        <v>37226</v>
      </c>
      <c r="F3946" s="27">
        <v>15</v>
      </c>
      <c r="G3946" s="18">
        <v>166871.67000000001</v>
      </c>
      <c r="H3946" s="27">
        <f t="shared" si="122"/>
        <v>166871.67000000001</v>
      </c>
      <c r="I3946" s="18">
        <v>158528.09</v>
      </c>
      <c r="J3946" s="27">
        <v>166871.67000000001</v>
      </c>
      <c r="K3946" s="18">
        <f t="shared" si="123"/>
        <v>166871.67000000001</v>
      </c>
      <c r="L3946" s="27">
        <v>158528.09</v>
      </c>
      <c r="M3946" s="36">
        <v>0</v>
      </c>
      <c r="T3946" s="41">
        <v>0</v>
      </c>
      <c r="U3946" s="41">
        <v>0</v>
      </c>
      <c r="V3946" s="42" t="s">
        <v>113</v>
      </c>
      <c r="W3946" s="42">
        <v>166871.67000000001</v>
      </c>
      <c r="X3946" s="42">
        <v>166871.67000000001</v>
      </c>
    </row>
    <row r="3947" spans="1:24">
      <c r="A3947" s="27" t="s">
        <v>7254</v>
      </c>
      <c r="B3947" s="28" t="s">
        <v>5102</v>
      </c>
      <c r="C3947" s="27" t="s">
        <v>7232</v>
      </c>
      <c r="D3947" s="27" t="s">
        <v>5104</v>
      </c>
      <c r="E3947" s="29">
        <v>37226</v>
      </c>
      <c r="F3947" s="27">
        <v>15</v>
      </c>
      <c r="G3947" s="18">
        <v>235592.65</v>
      </c>
      <c r="H3947" s="27">
        <f t="shared" si="122"/>
        <v>235592.65</v>
      </c>
      <c r="I3947" s="18">
        <v>223813.02</v>
      </c>
      <c r="J3947" s="27">
        <v>235592.65</v>
      </c>
      <c r="K3947" s="18">
        <f t="shared" si="123"/>
        <v>235592.65</v>
      </c>
      <c r="L3947" s="27">
        <v>223813.02</v>
      </c>
      <c r="M3947" s="36">
        <v>0</v>
      </c>
      <c r="T3947" s="41">
        <v>0</v>
      </c>
      <c r="U3947" s="41">
        <v>0</v>
      </c>
      <c r="V3947" s="42" t="s">
        <v>113</v>
      </c>
      <c r="W3947" s="42">
        <v>235592.65</v>
      </c>
      <c r="X3947" s="42">
        <v>235592.65</v>
      </c>
    </row>
    <row r="3948" spans="1:24">
      <c r="A3948" s="27" t="s">
        <v>7255</v>
      </c>
      <c r="B3948" s="28" t="s">
        <v>5102</v>
      </c>
      <c r="C3948" s="27" t="s">
        <v>7256</v>
      </c>
      <c r="D3948" s="27" t="s">
        <v>5104</v>
      </c>
      <c r="E3948" s="29">
        <v>38078</v>
      </c>
      <c r="F3948" s="27">
        <v>15</v>
      </c>
      <c r="G3948" s="18">
        <v>22131.4</v>
      </c>
      <c r="H3948" s="27">
        <f t="shared" si="122"/>
        <v>22131.4</v>
      </c>
      <c r="I3948" s="18">
        <v>21024.83</v>
      </c>
      <c r="J3948" s="27">
        <v>22131.4</v>
      </c>
      <c r="K3948" s="18">
        <f t="shared" si="123"/>
        <v>22131.4</v>
      </c>
      <c r="L3948" s="27">
        <v>21024.83</v>
      </c>
      <c r="M3948" s="36">
        <v>0</v>
      </c>
      <c r="T3948" s="41">
        <v>0</v>
      </c>
      <c r="U3948" s="41">
        <v>0</v>
      </c>
      <c r="V3948" s="42" t="s">
        <v>113</v>
      </c>
      <c r="W3948" s="42">
        <v>22131.4</v>
      </c>
      <c r="X3948" s="42">
        <v>22131.4</v>
      </c>
    </row>
    <row r="3949" spans="1:24">
      <c r="A3949" s="27" t="s">
        <v>7257</v>
      </c>
      <c r="B3949" s="28" t="s">
        <v>5102</v>
      </c>
      <c r="C3949" s="27" t="s">
        <v>7256</v>
      </c>
      <c r="D3949" s="27" t="s">
        <v>5104</v>
      </c>
      <c r="E3949" s="29">
        <v>38078</v>
      </c>
      <c r="F3949" s="27">
        <v>15</v>
      </c>
      <c r="G3949" s="18">
        <v>91944.97</v>
      </c>
      <c r="H3949" s="27">
        <f t="shared" si="122"/>
        <v>91944.97</v>
      </c>
      <c r="I3949" s="18">
        <v>87347.72</v>
      </c>
      <c r="J3949" s="27">
        <v>91944.97</v>
      </c>
      <c r="K3949" s="18">
        <f t="shared" si="123"/>
        <v>91944.97</v>
      </c>
      <c r="L3949" s="27">
        <v>87347.72</v>
      </c>
      <c r="M3949" s="36">
        <v>0</v>
      </c>
      <c r="T3949" s="41">
        <v>0</v>
      </c>
      <c r="U3949" s="41">
        <v>0</v>
      </c>
      <c r="V3949" s="42" t="s">
        <v>113</v>
      </c>
      <c r="W3949" s="42">
        <v>91944.97</v>
      </c>
      <c r="X3949" s="42">
        <v>91944.97</v>
      </c>
    </row>
    <row r="3950" spans="1:24">
      <c r="A3950" s="27" t="s">
        <v>7258</v>
      </c>
      <c r="B3950" s="28" t="s">
        <v>5102</v>
      </c>
      <c r="C3950" s="27" t="s">
        <v>7256</v>
      </c>
      <c r="D3950" s="27" t="s">
        <v>5104</v>
      </c>
      <c r="E3950" s="29">
        <v>38078</v>
      </c>
      <c r="F3950" s="27">
        <v>15</v>
      </c>
      <c r="G3950" s="18">
        <v>30145.24</v>
      </c>
      <c r="H3950" s="27">
        <f t="shared" si="122"/>
        <v>30145.24</v>
      </c>
      <c r="I3950" s="18">
        <v>28637.98</v>
      </c>
      <c r="J3950" s="27">
        <v>30145.24</v>
      </c>
      <c r="K3950" s="18">
        <f t="shared" si="123"/>
        <v>30145.24</v>
      </c>
      <c r="L3950" s="27">
        <v>28637.98</v>
      </c>
      <c r="M3950" s="36">
        <v>0</v>
      </c>
      <c r="T3950" s="41">
        <v>0</v>
      </c>
      <c r="U3950" s="41">
        <v>0</v>
      </c>
      <c r="V3950" s="42" t="s">
        <v>113</v>
      </c>
      <c r="W3950" s="42">
        <v>30145.24</v>
      </c>
      <c r="X3950" s="42">
        <v>30145.24</v>
      </c>
    </row>
    <row r="3951" spans="1:24">
      <c r="A3951" s="27" t="s">
        <v>7259</v>
      </c>
      <c r="B3951" s="28" t="s">
        <v>5102</v>
      </c>
      <c r="C3951" s="27" t="s">
        <v>7232</v>
      </c>
      <c r="D3951" s="27" t="s">
        <v>5104</v>
      </c>
      <c r="E3951" s="29">
        <v>37226</v>
      </c>
      <c r="F3951" s="27">
        <v>15</v>
      </c>
      <c r="G3951" s="18">
        <v>147380.94</v>
      </c>
      <c r="H3951" s="27">
        <f t="shared" si="122"/>
        <v>147380.94</v>
      </c>
      <c r="I3951" s="18">
        <v>140011.89000000001</v>
      </c>
      <c r="J3951" s="27">
        <v>147380.94</v>
      </c>
      <c r="K3951" s="18">
        <f t="shared" si="123"/>
        <v>147380.94</v>
      </c>
      <c r="L3951" s="27">
        <v>140011.89000000001</v>
      </c>
      <c r="M3951" s="36">
        <v>0</v>
      </c>
      <c r="T3951" s="41">
        <v>0</v>
      </c>
      <c r="U3951" s="41">
        <v>0</v>
      </c>
      <c r="V3951" s="42" t="s">
        <v>113</v>
      </c>
      <c r="W3951" s="42">
        <v>147380.94</v>
      </c>
      <c r="X3951" s="42">
        <v>147380.94</v>
      </c>
    </row>
    <row r="3952" spans="1:24">
      <c r="A3952" s="27" t="s">
        <v>7260</v>
      </c>
      <c r="B3952" s="28" t="s">
        <v>5102</v>
      </c>
      <c r="C3952" s="27" t="s">
        <v>5530</v>
      </c>
      <c r="D3952" s="27" t="s">
        <v>5104</v>
      </c>
      <c r="E3952" s="29">
        <v>37226</v>
      </c>
      <c r="F3952" s="27">
        <v>15</v>
      </c>
      <c r="G3952" s="18">
        <v>137906.63</v>
      </c>
      <c r="H3952" s="27">
        <f t="shared" si="122"/>
        <v>137906.63</v>
      </c>
      <c r="I3952" s="18">
        <v>131011.3</v>
      </c>
      <c r="J3952" s="27">
        <v>137906.63</v>
      </c>
      <c r="K3952" s="18">
        <f t="shared" si="123"/>
        <v>137906.63</v>
      </c>
      <c r="L3952" s="27">
        <v>131011.3</v>
      </c>
      <c r="M3952" s="36">
        <v>0</v>
      </c>
      <c r="T3952" s="41">
        <v>0</v>
      </c>
      <c r="U3952" s="41">
        <v>0</v>
      </c>
      <c r="V3952" s="42" t="s">
        <v>113</v>
      </c>
      <c r="W3952" s="42">
        <v>137906.63</v>
      </c>
      <c r="X3952" s="42">
        <v>137906.63</v>
      </c>
    </row>
    <row r="3953" spans="1:24">
      <c r="A3953" s="27" t="s">
        <v>7261</v>
      </c>
      <c r="B3953" s="28" t="s">
        <v>5102</v>
      </c>
      <c r="C3953" s="27" t="s">
        <v>7262</v>
      </c>
      <c r="D3953" s="27" t="s">
        <v>5104</v>
      </c>
      <c r="E3953" s="29">
        <v>37742</v>
      </c>
      <c r="F3953" s="27">
        <v>15</v>
      </c>
      <c r="G3953" s="18">
        <v>613439.88</v>
      </c>
      <c r="H3953" s="27">
        <f t="shared" si="122"/>
        <v>613439.88</v>
      </c>
      <c r="I3953" s="18">
        <v>582767.89</v>
      </c>
      <c r="J3953" s="27">
        <v>613439.88</v>
      </c>
      <c r="K3953" s="18">
        <f t="shared" si="123"/>
        <v>613439.88</v>
      </c>
      <c r="L3953" s="27">
        <v>582767.89</v>
      </c>
      <c r="M3953" s="36">
        <v>0</v>
      </c>
      <c r="T3953" s="41">
        <v>0</v>
      </c>
      <c r="U3953" s="41">
        <v>0</v>
      </c>
      <c r="V3953" s="42" t="s">
        <v>113</v>
      </c>
      <c r="W3953" s="42">
        <v>613439.88</v>
      </c>
      <c r="X3953" s="42">
        <v>613439.88</v>
      </c>
    </row>
    <row r="3954" spans="1:24">
      <c r="A3954" s="27" t="s">
        <v>7263</v>
      </c>
      <c r="B3954" s="28" t="s">
        <v>5102</v>
      </c>
      <c r="C3954" s="27" t="s">
        <v>7264</v>
      </c>
      <c r="D3954" s="27" t="s">
        <v>5104</v>
      </c>
      <c r="E3954" s="29">
        <v>38078</v>
      </c>
      <c r="F3954" s="27">
        <v>15</v>
      </c>
      <c r="G3954" s="18">
        <v>12115.32</v>
      </c>
      <c r="H3954" s="27">
        <f t="shared" si="122"/>
        <v>12115.32</v>
      </c>
      <c r="I3954" s="18">
        <v>11509.55</v>
      </c>
      <c r="J3954" s="27">
        <v>12115.32</v>
      </c>
      <c r="K3954" s="18">
        <f t="shared" si="123"/>
        <v>12115.32</v>
      </c>
      <c r="L3954" s="27">
        <v>11509.55</v>
      </c>
      <c r="M3954" s="36">
        <v>0</v>
      </c>
      <c r="T3954" s="41">
        <v>0</v>
      </c>
      <c r="U3954" s="41">
        <v>0</v>
      </c>
      <c r="V3954" s="42" t="s">
        <v>113</v>
      </c>
      <c r="W3954" s="42">
        <v>12115.32</v>
      </c>
      <c r="X3954" s="42">
        <v>12115.32</v>
      </c>
    </row>
    <row r="3955" spans="1:24">
      <c r="A3955" s="27" t="s">
        <v>7265</v>
      </c>
      <c r="B3955" s="28" t="s">
        <v>5102</v>
      </c>
      <c r="C3955" s="27" t="s">
        <v>7264</v>
      </c>
      <c r="D3955" s="27" t="s">
        <v>5104</v>
      </c>
      <c r="E3955" s="29">
        <v>38078</v>
      </c>
      <c r="F3955" s="27">
        <v>15</v>
      </c>
      <c r="G3955" s="18">
        <v>25424.240000000002</v>
      </c>
      <c r="H3955" s="27">
        <f t="shared" si="122"/>
        <v>25424.240000000002</v>
      </c>
      <c r="I3955" s="18">
        <v>24153.03</v>
      </c>
      <c r="J3955" s="27">
        <v>25424.240000000002</v>
      </c>
      <c r="K3955" s="18">
        <f t="shared" si="123"/>
        <v>25424.240000000002</v>
      </c>
      <c r="L3955" s="27">
        <v>24153.03</v>
      </c>
      <c r="M3955" s="36">
        <v>0</v>
      </c>
      <c r="T3955" s="41">
        <v>0</v>
      </c>
      <c r="U3955" s="41">
        <v>0</v>
      </c>
      <c r="V3955" s="42" t="s">
        <v>113</v>
      </c>
      <c r="W3955" s="42">
        <v>25424.240000000002</v>
      </c>
      <c r="X3955" s="42">
        <v>25424.240000000002</v>
      </c>
    </row>
    <row r="3956" spans="1:24">
      <c r="A3956" s="27" t="s">
        <v>7266</v>
      </c>
      <c r="B3956" s="28" t="s">
        <v>5102</v>
      </c>
      <c r="C3956" s="27" t="s">
        <v>7267</v>
      </c>
      <c r="D3956" s="27" t="s">
        <v>5104</v>
      </c>
      <c r="E3956" s="29">
        <v>38078</v>
      </c>
      <c r="F3956" s="27">
        <v>15</v>
      </c>
      <c r="G3956" s="18">
        <v>42682.85</v>
      </c>
      <c r="H3956" s="27">
        <f t="shared" si="122"/>
        <v>42682.85</v>
      </c>
      <c r="I3956" s="18">
        <v>40548.71</v>
      </c>
      <c r="J3956" s="27">
        <v>42682.85</v>
      </c>
      <c r="K3956" s="18">
        <f t="shared" si="123"/>
        <v>42682.85</v>
      </c>
      <c r="L3956" s="27">
        <v>40548.71</v>
      </c>
      <c r="M3956" s="36">
        <v>0</v>
      </c>
      <c r="T3956" s="41">
        <v>0</v>
      </c>
      <c r="U3956" s="41">
        <v>0</v>
      </c>
      <c r="V3956" s="42" t="s">
        <v>113</v>
      </c>
      <c r="W3956" s="42">
        <v>42682.85</v>
      </c>
      <c r="X3956" s="42">
        <v>42682.85</v>
      </c>
    </row>
    <row r="3957" spans="1:24">
      <c r="A3957" s="27" t="s">
        <v>7268</v>
      </c>
      <c r="B3957" s="28" t="s">
        <v>5102</v>
      </c>
      <c r="C3957" s="27" t="s">
        <v>7267</v>
      </c>
      <c r="D3957" s="27" t="s">
        <v>5104</v>
      </c>
      <c r="E3957" s="29">
        <v>38078</v>
      </c>
      <c r="F3957" s="27">
        <v>15</v>
      </c>
      <c r="G3957" s="18">
        <v>88661.62</v>
      </c>
      <c r="H3957" s="27">
        <f t="shared" si="122"/>
        <v>88661.62</v>
      </c>
      <c r="I3957" s="18">
        <v>84228.54</v>
      </c>
      <c r="J3957" s="27">
        <v>88661.62</v>
      </c>
      <c r="K3957" s="18">
        <f t="shared" si="123"/>
        <v>88661.62</v>
      </c>
      <c r="L3957" s="27">
        <v>84228.54</v>
      </c>
      <c r="M3957" s="36">
        <v>0</v>
      </c>
      <c r="T3957" s="41">
        <v>0</v>
      </c>
      <c r="U3957" s="41">
        <v>0</v>
      </c>
      <c r="V3957" s="42" t="s">
        <v>113</v>
      </c>
      <c r="W3957" s="42">
        <v>88661.62</v>
      </c>
      <c r="X3957" s="42">
        <v>88661.62</v>
      </c>
    </row>
    <row r="3958" spans="1:24">
      <c r="A3958" s="27" t="s">
        <v>7269</v>
      </c>
      <c r="B3958" s="28" t="s">
        <v>5102</v>
      </c>
      <c r="C3958" s="27" t="s">
        <v>7267</v>
      </c>
      <c r="D3958" s="27" t="s">
        <v>5104</v>
      </c>
      <c r="E3958" s="29">
        <v>38078</v>
      </c>
      <c r="F3958" s="27">
        <v>15</v>
      </c>
      <c r="G3958" s="18">
        <v>10988.44</v>
      </c>
      <c r="H3958" s="27">
        <f t="shared" si="122"/>
        <v>10988.44</v>
      </c>
      <c r="I3958" s="18">
        <v>10439.02</v>
      </c>
      <c r="J3958" s="27">
        <v>10988.44</v>
      </c>
      <c r="K3958" s="18">
        <f t="shared" si="123"/>
        <v>10988.44</v>
      </c>
      <c r="L3958" s="27">
        <v>10439.02</v>
      </c>
      <c r="M3958" s="36">
        <v>0</v>
      </c>
      <c r="T3958" s="41">
        <v>0</v>
      </c>
      <c r="U3958" s="41">
        <v>0</v>
      </c>
      <c r="V3958" s="42" t="s">
        <v>113</v>
      </c>
      <c r="W3958" s="42">
        <v>10988.44</v>
      </c>
      <c r="X3958" s="42">
        <v>10988.44</v>
      </c>
    </row>
    <row r="3959" spans="1:24">
      <c r="A3959" s="27" t="s">
        <v>7270</v>
      </c>
      <c r="B3959" s="28" t="s">
        <v>5102</v>
      </c>
      <c r="C3959" s="27" t="s">
        <v>7271</v>
      </c>
      <c r="D3959" s="27" t="s">
        <v>5104</v>
      </c>
      <c r="E3959" s="29">
        <v>38078</v>
      </c>
      <c r="F3959" s="27">
        <v>15</v>
      </c>
      <c r="G3959" s="18">
        <v>13013.65</v>
      </c>
      <c r="H3959" s="27">
        <f t="shared" si="122"/>
        <v>13013.65</v>
      </c>
      <c r="I3959" s="18">
        <v>12362.97</v>
      </c>
      <c r="J3959" s="27">
        <v>13013.65</v>
      </c>
      <c r="K3959" s="18">
        <f t="shared" si="123"/>
        <v>13013.65</v>
      </c>
      <c r="L3959" s="27">
        <v>12362.97</v>
      </c>
      <c r="M3959" s="36">
        <v>0</v>
      </c>
      <c r="T3959" s="41">
        <v>0</v>
      </c>
      <c r="U3959" s="41">
        <v>0</v>
      </c>
      <c r="V3959" s="42" t="s">
        <v>113</v>
      </c>
      <c r="W3959" s="42">
        <v>13013.65</v>
      </c>
      <c r="X3959" s="42">
        <v>13013.65</v>
      </c>
    </row>
    <row r="3960" spans="1:24">
      <c r="A3960" s="27" t="s">
        <v>7272</v>
      </c>
      <c r="B3960" s="28" t="s">
        <v>5102</v>
      </c>
      <c r="C3960" s="27" t="s">
        <v>7271</v>
      </c>
      <c r="D3960" s="27" t="s">
        <v>5104</v>
      </c>
      <c r="E3960" s="29">
        <v>38078</v>
      </c>
      <c r="F3960" s="27">
        <v>15</v>
      </c>
      <c r="G3960" s="18">
        <v>174217.05</v>
      </c>
      <c r="H3960" s="27">
        <f t="shared" si="122"/>
        <v>174217.05</v>
      </c>
      <c r="I3960" s="18">
        <v>165506.20000000001</v>
      </c>
      <c r="J3960" s="27">
        <v>174217.05</v>
      </c>
      <c r="K3960" s="18">
        <f t="shared" si="123"/>
        <v>174217.05</v>
      </c>
      <c r="L3960" s="27">
        <v>165506.20000000001</v>
      </c>
      <c r="M3960" s="36">
        <v>0</v>
      </c>
      <c r="T3960" s="41">
        <v>0</v>
      </c>
      <c r="U3960" s="41">
        <v>0</v>
      </c>
      <c r="V3960" s="42" t="s">
        <v>113</v>
      </c>
      <c r="W3960" s="42">
        <v>174217.05</v>
      </c>
      <c r="X3960" s="42">
        <v>174217.05</v>
      </c>
    </row>
    <row r="3961" spans="1:24">
      <c r="A3961" s="27" t="s">
        <v>7273</v>
      </c>
      <c r="B3961" s="28" t="s">
        <v>5102</v>
      </c>
      <c r="C3961" s="27" t="s">
        <v>7274</v>
      </c>
      <c r="D3961" s="27" t="s">
        <v>5104</v>
      </c>
      <c r="E3961" s="29">
        <v>38078</v>
      </c>
      <c r="F3961" s="27">
        <v>15</v>
      </c>
      <c r="G3961" s="18">
        <v>6871.03</v>
      </c>
      <c r="H3961" s="27">
        <f t="shared" si="122"/>
        <v>6871.03</v>
      </c>
      <c r="I3961" s="18">
        <v>6527.48</v>
      </c>
      <c r="J3961" s="27">
        <v>6871.03</v>
      </c>
      <c r="K3961" s="18">
        <f t="shared" si="123"/>
        <v>6871.03</v>
      </c>
      <c r="L3961" s="27">
        <v>6527.48</v>
      </c>
      <c r="M3961" s="36">
        <v>0</v>
      </c>
      <c r="T3961" s="41">
        <v>0</v>
      </c>
      <c r="U3961" s="41">
        <v>0</v>
      </c>
      <c r="V3961" s="42" t="s">
        <v>113</v>
      </c>
      <c r="W3961" s="42">
        <v>6871.03</v>
      </c>
      <c r="X3961" s="42">
        <v>6871.03</v>
      </c>
    </row>
    <row r="3962" spans="1:24">
      <c r="A3962" s="27" t="s">
        <v>7275</v>
      </c>
      <c r="B3962" s="28" t="s">
        <v>5102</v>
      </c>
      <c r="C3962" s="27" t="s">
        <v>7274</v>
      </c>
      <c r="D3962" s="27" t="s">
        <v>5104</v>
      </c>
      <c r="E3962" s="29">
        <v>38078</v>
      </c>
      <c r="F3962" s="27">
        <v>15</v>
      </c>
      <c r="G3962" s="18">
        <v>32157.35</v>
      </c>
      <c r="H3962" s="27">
        <f t="shared" si="122"/>
        <v>32157.35</v>
      </c>
      <c r="I3962" s="18">
        <v>30549.48</v>
      </c>
      <c r="J3962" s="27">
        <v>32157.35</v>
      </c>
      <c r="K3962" s="18">
        <f t="shared" si="123"/>
        <v>32157.35</v>
      </c>
      <c r="L3962" s="27">
        <v>30549.48</v>
      </c>
      <c r="M3962" s="36">
        <v>0</v>
      </c>
      <c r="T3962" s="41">
        <v>0</v>
      </c>
      <c r="U3962" s="41">
        <v>0</v>
      </c>
      <c r="V3962" s="42" t="s">
        <v>113</v>
      </c>
      <c r="W3962" s="42">
        <v>32157.35</v>
      </c>
      <c r="X3962" s="42">
        <v>32157.35</v>
      </c>
    </row>
    <row r="3963" spans="1:24">
      <c r="A3963" s="27" t="s">
        <v>7276</v>
      </c>
      <c r="B3963" s="28" t="s">
        <v>5102</v>
      </c>
      <c r="C3963" s="27" t="s">
        <v>7277</v>
      </c>
      <c r="D3963" s="27" t="s">
        <v>5104</v>
      </c>
      <c r="E3963" s="29">
        <v>38078</v>
      </c>
      <c r="F3963" s="27">
        <v>15</v>
      </c>
      <c r="G3963" s="18">
        <v>112757.2</v>
      </c>
      <c r="H3963" s="27">
        <f t="shared" si="122"/>
        <v>112757.2</v>
      </c>
      <c r="I3963" s="18">
        <v>107119.34</v>
      </c>
      <c r="J3963" s="27">
        <v>112757.2</v>
      </c>
      <c r="K3963" s="18">
        <f t="shared" si="123"/>
        <v>112757.2</v>
      </c>
      <c r="L3963" s="27">
        <v>107119.34</v>
      </c>
      <c r="M3963" s="36">
        <v>0</v>
      </c>
      <c r="T3963" s="41">
        <v>0</v>
      </c>
      <c r="U3963" s="41">
        <v>0</v>
      </c>
      <c r="V3963" s="42" t="s">
        <v>113</v>
      </c>
      <c r="W3963" s="42">
        <v>112757.2</v>
      </c>
      <c r="X3963" s="42">
        <v>112757.2</v>
      </c>
    </row>
    <row r="3964" spans="1:24">
      <c r="A3964" s="27" t="s">
        <v>7278</v>
      </c>
      <c r="B3964" s="28" t="s">
        <v>5102</v>
      </c>
      <c r="C3964" s="27" t="s">
        <v>7279</v>
      </c>
      <c r="D3964" s="27" t="s">
        <v>5104</v>
      </c>
      <c r="E3964" s="29">
        <v>38078</v>
      </c>
      <c r="F3964" s="27">
        <v>15</v>
      </c>
      <c r="G3964" s="18">
        <v>105054.51</v>
      </c>
      <c r="H3964" s="27">
        <f t="shared" si="122"/>
        <v>105054.51</v>
      </c>
      <c r="I3964" s="18">
        <v>99801.78</v>
      </c>
      <c r="J3964" s="27">
        <v>105054.51</v>
      </c>
      <c r="K3964" s="18">
        <f t="shared" si="123"/>
        <v>105054.51</v>
      </c>
      <c r="L3964" s="27">
        <v>99801.78</v>
      </c>
      <c r="M3964" s="36">
        <v>0</v>
      </c>
      <c r="T3964" s="41">
        <v>0</v>
      </c>
      <c r="U3964" s="41">
        <v>0</v>
      </c>
      <c r="V3964" s="42" t="s">
        <v>113</v>
      </c>
      <c r="W3964" s="42">
        <v>105054.51</v>
      </c>
      <c r="X3964" s="42">
        <v>105054.51</v>
      </c>
    </row>
    <row r="3965" spans="1:24">
      <c r="A3965" s="27" t="s">
        <v>7280</v>
      </c>
      <c r="B3965" s="28" t="s">
        <v>5102</v>
      </c>
      <c r="C3965" s="27" t="s">
        <v>7281</v>
      </c>
      <c r="D3965" s="27" t="s">
        <v>5104</v>
      </c>
      <c r="E3965" s="29">
        <v>38078</v>
      </c>
      <c r="F3965" s="27">
        <v>15</v>
      </c>
      <c r="G3965" s="18">
        <v>47684.37</v>
      </c>
      <c r="H3965" s="27">
        <f t="shared" si="122"/>
        <v>47684.37</v>
      </c>
      <c r="I3965" s="18">
        <v>45300.15</v>
      </c>
      <c r="J3965" s="27">
        <v>47684.37</v>
      </c>
      <c r="K3965" s="18">
        <f t="shared" si="123"/>
        <v>47684.37</v>
      </c>
      <c r="L3965" s="27">
        <v>45300.15</v>
      </c>
      <c r="M3965" s="36">
        <v>0</v>
      </c>
      <c r="T3965" s="41">
        <v>0</v>
      </c>
      <c r="U3965" s="41">
        <v>0</v>
      </c>
      <c r="V3965" s="42" t="s">
        <v>113</v>
      </c>
      <c r="W3965" s="42">
        <v>47684.37</v>
      </c>
      <c r="X3965" s="42">
        <v>47684.37</v>
      </c>
    </row>
    <row r="3966" spans="1:24">
      <c r="A3966" s="27" t="s">
        <v>7282</v>
      </c>
      <c r="B3966" s="28" t="s">
        <v>5102</v>
      </c>
      <c r="C3966" s="27" t="s">
        <v>7281</v>
      </c>
      <c r="D3966" s="27" t="s">
        <v>5104</v>
      </c>
      <c r="E3966" s="29">
        <v>38078</v>
      </c>
      <c r="F3966" s="27">
        <v>15</v>
      </c>
      <c r="G3966" s="18">
        <v>79019.81</v>
      </c>
      <c r="H3966" s="27">
        <f t="shared" si="122"/>
        <v>79019.81</v>
      </c>
      <c r="I3966" s="18">
        <v>75068.820000000007</v>
      </c>
      <c r="J3966" s="27">
        <v>79019.81</v>
      </c>
      <c r="K3966" s="18">
        <f t="shared" si="123"/>
        <v>79019.81</v>
      </c>
      <c r="L3966" s="27">
        <v>75068.820000000007</v>
      </c>
      <c r="M3966" s="36">
        <v>0</v>
      </c>
      <c r="T3966" s="41">
        <v>0</v>
      </c>
      <c r="U3966" s="41">
        <v>0</v>
      </c>
      <c r="V3966" s="42" t="s">
        <v>113</v>
      </c>
      <c r="W3966" s="42">
        <v>79019.81</v>
      </c>
      <c r="X3966" s="42">
        <v>79019.81</v>
      </c>
    </row>
    <row r="3967" spans="1:24">
      <c r="A3967" s="27" t="s">
        <v>7283</v>
      </c>
      <c r="B3967" s="28" t="s">
        <v>5102</v>
      </c>
      <c r="C3967" s="27" t="s">
        <v>7284</v>
      </c>
      <c r="D3967" s="27" t="s">
        <v>5104</v>
      </c>
      <c r="E3967" s="29">
        <v>38078</v>
      </c>
      <c r="F3967" s="27">
        <v>15</v>
      </c>
      <c r="G3967" s="18">
        <v>10852.8</v>
      </c>
      <c r="H3967" s="27">
        <f t="shared" si="122"/>
        <v>10852.8</v>
      </c>
      <c r="I3967" s="18">
        <v>10310.16</v>
      </c>
      <c r="J3967" s="27">
        <v>10852.8</v>
      </c>
      <c r="K3967" s="18">
        <f t="shared" si="123"/>
        <v>10852.8</v>
      </c>
      <c r="L3967" s="27">
        <v>10310.16</v>
      </c>
      <c r="M3967" s="36">
        <v>0</v>
      </c>
      <c r="T3967" s="41">
        <v>0</v>
      </c>
      <c r="U3967" s="41">
        <v>0</v>
      </c>
      <c r="V3967" s="42" t="s">
        <v>113</v>
      </c>
      <c r="W3967" s="42">
        <v>10852.8</v>
      </c>
      <c r="X3967" s="42">
        <v>10852.8</v>
      </c>
    </row>
    <row r="3968" spans="1:24">
      <c r="A3968" s="27" t="s">
        <v>7285</v>
      </c>
      <c r="B3968" s="28" t="s">
        <v>5102</v>
      </c>
      <c r="C3968" s="27" t="s">
        <v>7284</v>
      </c>
      <c r="D3968" s="27" t="s">
        <v>5104</v>
      </c>
      <c r="E3968" s="29">
        <v>38078</v>
      </c>
      <c r="F3968" s="27">
        <v>15</v>
      </c>
      <c r="G3968" s="18">
        <v>114534.73</v>
      </c>
      <c r="H3968" s="27">
        <f t="shared" si="122"/>
        <v>114534.73</v>
      </c>
      <c r="I3968" s="18">
        <v>108807.99</v>
      </c>
      <c r="J3968" s="27">
        <v>114534.73</v>
      </c>
      <c r="K3968" s="18">
        <f t="shared" si="123"/>
        <v>114534.73</v>
      </c>
      <c r="L3968" s="27">
        <v>108807.99</v>
      </c>
      <c r="M3968" s="36">
        <v>0</v>
      </c>
      <c r="T3968" s="41">
        <v>0</v>
      </c>
      <c r="U3968" s="41">
        <v>0</v>
      </c>
      <c r="V3968" s="42" t="s">
        <v>113</v>
      </c>
      <c r="W3968" s="42">
        <v>114534.73</v>
      </c>
      <c r="X3968" s="42">
        <v>114534.73</v>
      </c>
    </row>
    <row r="3969" spans="1:24">
      <c r="A3969" s="27" t="s">
        <v>7286</v>
      </c>
      <c r="B3969" s="28" t="s">
        <v>5102</v>
      </c>
      <c r="C3969" s="27" t="s">
        <v>7284</v>
      </c>
      <c r="D3969" s="27" t="s">
        <v>5104</v>
      </c>
      <c r="E3969" s="29">
        <v>38078</v>
      </c>
      <c r="F3969" s="27">
        <v>15</v>
      </c>
      <c r="G3969" s="18">
        <v>12191.42</v>
      </c>
      <c r="H3969" s="27">
        <f t="shared" si="122"/>
        <v>12191.42</v>
      </c>
      <c r="I3969" s="18">
        <v>11581.85</v>
      </c>
      <c r="J3969" s="27">
        <v>12191.42</v>
      </c>
      <c r="K3969" s="18">
        <f t="shared" si="123"/>
        <v>12191.42</v>
      </c>
      <c r="L3969" s="27">
        <v>11581.85</v>
      </c>
      <c r="M3969" s="36">
        <v>0</v>
      </c>
      <c r="T3969" s="41">
        <v>0</v>
      </c>
      <c r="U3969" s="41">
        <v>0</v>
      </c>
      <c r="V3969" s="42" t="s">
        <v>113</v>
      </c>
      <c r="W3969" s="42">
        <v>12191.42</v>
      </c>
      <c r="X3969" s="42">
        <v>12191.42</v>
      </c>
    </row>
    <row r="3970" spans="1:24">
      <c r="A3970" s="27" t="s">
        <v>7287</v>
      </c>
      <c r="B3970" s="28" t="s">
        <v>5102</v>
      </c>
      <c r="C3970" s="27" t="s">
        <v>7288</v>
      </c>
      <c r="D3970" s="27" t="s">
        <v>5104</v>
      </c>
      <c r="E3970" s="29">
        <v>38078</v>
      </c>
      <c r="F3970" s="27">
        <v>15</v>
      </c>
      <c r="G3970" s="18">
        <v>70311.649999999994</v>
      </c>
      <c r="H3970" s="27">
        <f t="shared" si="122"/>
        <v>70311.649999999994</v>
      </c>
      <c r="I3970" s="18">
        <v>66796.070000000007</v>
      </c>
      <c r="J3970" s="27">
        <v>70311.649999999994</v>
      </c>
      <c r="K3970" s="18">
        <f t="shared" si="123"/>
        <v>70311.649999999994</v>
      </c>
      <c r="L3970" s="27">
        <v>66796.070000000007</v>
      </c>
      <c r="M3970" s="36">
        <v>0</v>
      </c>
      <c r="T3970" s="41">
        <v>0</v>
      </c>
      <c r="U3970" s="41">
        <v>0</v>
      </c>
      <c r="V3970" s="42" t="s">
        <v>113</v>
      </c>
      <c r="W3970" s="42">
        <v>70311.649999999994</v>
      </c>
      <c r="X3970" s="42">
        <v>70311.649999999994</v>
      </c>
    </row>
    <row r="3971" spans="1:24">
      <c r="A3971" s="27" t="s">
        <v>7289</v>
      </c>
      <c r="B3971" s="28" t="s">
        <v>5102</v>
      </c>
      <c r="C3971" s="27" t="s">
        <v>7290</v>
      </c>
      <c r="D3971" s="27" t="s">
        <v>5104</v>
      </c>
      <c r="E3971" s="29">
        <v>39539</v>
      </c>
      <c r="F3971" s="27">
        <v>15</v>
      </c>
      <c r="G3971" s="18">
        <v>662110.44999999995</v>
      </c>
      <c r="H3971" s="27">
        <f t="shared" si="122"/>
        <v>0</v>
      </c>
      <c r="I3971" s="18">
        <v>541607.06000000006</v>
      </c>
      <c r="J3971" s="27">
        <v>662110.44999999995</v>
      </c>
      <c r="K3971" s="18">
        <f t="shared" si="123"/>
        <v>0</v>
      </c>
      <c r="L3971" s="27">
        <v>561775.80000000005</v>
      </c>
      <c r="M3971" s="36">
        <v>20168.740000000002</v>
      </c>
      <c r="T3971" s="41">
        <v>0</v>
      </c>
      <c r="U3971" s="41">
        <v>0</v>
      </c>
      <c r="V3971" s="42" t="s">
        <v>113</v>
      </c>
      <c r="W3971" s="42">
        <v>0</v>
      </c>
      <c r="X3971" s="42">
        <v>0</v>
      </c>
    </row>
    <row r="3972" spans="1:24">
      <c r="A3972" s="27" t="s">
        <v>7291</v>
      </c>
      <c r="B3972" s="28" t="s">
        <v>5102</v>
      </c>
      <c r="C3972" s="27" t="s">
        <v>7292</v>
      </c>
      <c r="D3972" s="27" t="s">
        <v>5104</v>
      </c>
      <c r="E3972" s="29">
        <v>38078</v>
      </c>
      <c r="F3972" s="27">
        <v>15</v>
      </c>
      <c r="G3972" s="18">
        <v>20853.8</v>
      </c>
      <c r="H3972" s="27">
        <f t="shared" si="122"/>
        <v>20853.8</v>
      </c>
      <c r="I3972" s="18">
        <v>19811.11</v>
      </c>
      <c r="J3972" s="27">
        <v>20853.8</v>
      </c>
      <c r="K3972" s="18">
        <f t="shared" si="123"/>
        <v>20853.8</v>
      </c>
      <c r="L3972" s="27">
        <v>19811.11</v>
      </c>
      <c r="M3972" s="36">
        <v>0</v>
      </c>
      <c r="T3972" s="41">
        <v>0</v>
      </c>
      <c r="U3972" s="41">
        <v>0</v>
      </c>
      <c r="V3972" s="42" t="s">
        <v>113</v>
      </c>
      <c r="W3972" s="42">
        <v>20853.8</v>
      </c>
      <c r="X3972" s="42">
        <v>20853.8</v>
      </c>
    </row>
    <row r="3973" spans="1:24">
      <c r="A3973" s="27" t="s">
        <v>7293</v>
      </c>
      <c r="B3973" s="28" t="s">
        <v>5102</v>
      </c>
      <c r="C3973" s="27" t="s">
        <v>7292</v>
      </c>
      <c r="D3973" s="27" t="s">
        <v>5104</v>
      </c>
      <c r="E3973" s="29">
        <v>38078</v>
      </c>
      <c r="F3973" s="27">
        <v>15</v>
      </c>
      <c r="G3973" s="18">
        <v>34277.199999999997</v>
      </c>
      <c r="H3973" s="27">
        <f t="shared" si="122"/>
        <v>34277.199999999997</v>
      </c>
      <c r="I3973" s="18">
        <v>32563.34</v>
      </c>
      <c r="J3973" s="27">
        <v>34277.199999999997</v>
      </c>
      <c r="K3973" s="18">
        <f t="shared" si="123"/>
        <v>34277.199999999997</v>
      </c>
      <c r="L3973" s="27">
        <v>32563.34</v>
      </c>
      <c r="M3973" s="36">
        <v>0</v>
      </c>
      <c r="T3973" s="41">
        <v>0</v>
      </c>
      <c r="U3973" s="41">
        <v>0</v>
      </c>
      <c r="V3973" s="42" t="s">
        <v>113</v>
      </c>
      <c r="W3973" s="42">
        <v>34277.199999999997</v>
      </c>
      <c r="X3973" s="42">
        <v>34277.199999999997</v>
      </c>
    </row>
    <row r="3974" spans="1:24">
      <c r="A3974" s="27" t="s">
        <v>7294</v>
      </c>
      <c r="B3974" s="28" t="s">
        <v>5102</v>
      </c>
      <c r="C3974" s="27" t="s">
        <v>7295</v>
      </c>
      <c r="D3974" s="27" t="s">
        <v>5104</v>
      </c>
      <c r="E3974" s="29">
        <v>38078</v>
      </c>
      <c r="F3974" s="27">
        <v>15</v>
      </c>
      <c r="G3974" s="18">
        <v>107200.14</v>
      </c>
      <c r="H3974" s="27">
        <f t="shared" ref="H3974:H4037" si="124">IFERROR(IF(ROUND((G3974-I3974)/G3974,2)&lt;=0.05,G3974,0),0)</f>
        <v>107200.14</v>
      </c>
      <c r="I3974" s="18">
        <v>101840.13</v>
      </c>
      <c r="J3974" s="27">
        <v>107200.14</v>
      </c>
      <c r="K3974" s="18">
        <f t="shared" ref="K3974:K4037" si="125">IFERROR(IF(ROUND((J3974-L3974)/J3974,2)&lt;=0.05,J3974,0),0)</f>
        <v>107200.14</v>
      </c>
      <c r="L3974" s="27">
        <v>101840.13</v>
      </c>
      <c r="M3974" s="36">
        <v>0</v>
      </c>
      <c r="T3974" s="41">
        <v>0</v>
      </c>
      <c r="U3974" s="41">
        <v>0</v>
      </c>
      <c r="V3974" s="42" t="s">
        <v>113</v>
      </c>
      <c r="W3974" s="42">
        <v>107200.14</v>
      </c>
      <c r="X3974" s="42">
        <v>107200.14</v>
      </c>
    </row>
    <row r="3975" spans="1:24">
      <c r="A3975" s="27" t="s">
        <v>7296</v>
      </c>
      <c r="B3975" s="28" t="s">
        <v>5102</v>
      </c>
      <c r="C3975" s="27" t="s">
        <v>7297</v>
      </c>
      <c r="D3975" s="27" t="s">
        <v>5104</v>
      </c>
      <c r="E3975" s="29">
        <v>39539</v>
      </c>
      <c r="F3975" s="27">
        <v>15</v>
      </c>
      <c r="G3975" s="18">
        <v>1029664.72</v>
      </c>
      <c r="H3975" s="27">
        <f t="shared" si="124"/>
        <v>0</v>
      </c>
      <c r="I3975" s="18">
        <v>842266.85</v>
      </c>
      <c r="J3975" s="27">
        <v>1029664.72</v>
      </c>
      <c r="K3975" s="18">
        <f t="shared" si="125"/>
        <v>0</v>
      </c>
      <c r="L3975" s="27">
        <v>873631.76</v>
      </c>
      <c r="M3975" s="36">
        <v>31364.91</v>
      </c>
      <c r="T3975" s="41">
        <v>0</v>
      </c>
      <c r="U3975" s="41">
        <v>0</v>
      </c>
      <c r="V3975" s="42" t="s">
        <v>113</v>
      </c>
      <c r="W3975" s="42">
        <v>0</v>
      </c>
      <c r="X3975" s="42">
        <v>0</v>
      </c>
    </row>
    <row r="3976" spans="1:24">
      <c r="A3976" s="27" t="s">
        <v>7298</v>
      </c>
      <c r="B3976" s="28" t="s">
        <v>5102</v>
      </c>
      <c r="C3976" s="27" t="s">
        <v>7299</v>
      </c>
      <c r="D3976" s="27" t="s">
        <v>5104</v>
      </c>
      <c r="E3976" s="29">
        <v>37226</v>
      </c>
      <c r="F3976" s="27">
        <v>15</v>
      </c>
      <c r="G3976" s="18">
        <v>489360.34</v>
      </c>
      <c r="H3976" s="27">
        <f t="shared" si="124"/>
        <v>489360.34</v>
      </c>
      <c r="I3976" s="18">
        <v>464892.32</v>
      </c>
      <c r="J3976" s="27">
        <v>489360.34</v>
      </c>
      <c r="K3976" s="18">
        <f t="shared" si="125"/>
        <v>489360.34</v>
      </c>
      <c r="L3976" s="27">
        <v>464892.32</v>
      </c>
      <c r="M3976" s="36">
        <v>0</v>
      </c>
      <c r="T3976" s="41">
        <v>0</v>
      </c>
      <c r="U3976" s="41">
        <v>0</v>
      </c>
      <c r="V3976" s="42" t="s">
        <v>113</v>
      </c>
      <c r="W3976" s="42">
        <v>489360.34</v>
      </c>
      <c r="X3976" s="42">
        <v>489360.34</v>
      </c>
    </row>
    <row r="3977" spans="1:24">
      <c r="A3977" s="27" t="s">
        <v>7300</v>
      </c>
      <c r="B3977" s="28" t="s">
        <v>5102</v>
      </c>
      <c r="C3977" s="27" t="s">
        <v>7301</v>
      </c>
      <c r="D3977" s="27" t="s">
        <v>5104</v>
      </c>
      <c r="E3977" s="29">
        <v>37226</v>
      </c>
      <c r="F3977" s="27">
        <v>15</v>
      </c>
      <c r="G3977" s="18">
        <v>17038.84</v>
      </c>
      <c r="H3977" s="27">
        <f t="shared" si="124"/>
        <v>17038.84</v>
      </c>
      <c r="I3977" s="18">
        <v>16186.9</v>
      </c>
      <c r="J3977" s="27">
        <v>17038.84</v>
      </c>
      <c r="K3977" s="18">
        <f t="shared" si="125"/>
        <v>17038.84</v>
      </c>
      <c r="L3977" s="27">
        <v>16186.9</v>
      </c>
      <c r="M3977" s="36">
        <v>0</v>
      </c>
      <c r="T3977" s="41">
        <v>0</v>
      </c>
      <c r="U3977" s="41">
        <v>0</v>
      </c>
      <c r="V3977" s="42" t="s">
        <v>113</v>
      </c>
      <c r="W3977" s="42">
        <v>17038.84</v>
      </c>
      <c r="X3977" s="42">
        <v>17038.84</v>
      </c>
    </row>
    <row r="3978" spans="1:24">
      <c r="A3978" s="27" t="s">
        <v>7302</v>
      </c>
      <c r="B3978" s="28" t="s">
        <v>5102</v>
      </c>
      <c r="C3978" s="27" t="s">
        <v>7303</v>
      </c>
      <c r="D3978" s="27" t="s">
        <v>5104</v>
      </c>
      <c r="E3978" s="29">
        <v>39417</v>
      </c>
      <c r="F3978" s="27">
        <v>15</v>
      </c>
      <c r="G3978" s="18">
        <v>63021.03</v>
      </c>
      <c r="H3978" s="27">
        <f t="shared" si="124"/>
        <v>0</v>
      </c>
      <c r="I3978" s="18">
        <v>52064.72</v>
      </c>
      <c r="J3978" s="27">
        <v>63021.03</v>
      </c>
      <c r="K3978" s="18">
        <f t="shared" si="125"/>
        <v>0</v>
      </c>
      <c r="L3978" s="27">
        <v>54016.04</v>
      </c>
      <c r="M3978" s="36">
        <v>1951.32</v>
      </c>
      <c r="T3978" s="41">
        <v>0</v>
      </c>
      <c r="U3978" s="41">
        <v>0</v>
      </c>
      <c r="V3978" s="42" t="s">
        <v>113</v>
      </c>
      <c r="W3978" s="42">
        <v>0</v>
      </c>
      <c r="X3978" s="42">
        <v>0</v>
      </c>
    </row>
    <row r="3979" spans="1:24">
      <c r="A3979" s="27" t="s">
        <v>7304</v>
      </c>
      <c r="B3979" s="28" t="s">
        <v>5102</v>
      </c>
      <c r="C3979" s="27" t="s">
        <v>7303</v>
      </c>
      <c r="D3979" s="27" t="s">
        <v>5104</v>
      </c>
      <c r="E3979" s="29">
        <v>39417</v>
      </c>
      <c r="F3979" s="27">
        <v>15</v>
      </c>
      <c r="G3979" s="18">
        <v>51501.48</v>
      </c>
      <c r="H3979" s="27">
        <f t="shared" si="124"/>
        <v>0</v>
      </c>
      <c r="I3979" s="18">
        <v>43417.74</v>
      </c>
      <c r="J3979" s="27">
        <v>51501.48</v>
      </c>
      <c r="K3979" s="18">
        <f t="shared" si="125"/>
        <v>0</v>
      </c>
      <c r="L3979" s="27">
        <v>44794.91</v>
      </c>
      <c r="M3979" s="36">
        <v>1377.17</v>
      </c>
      <c r="T3979" s="41">
        <v>0</v>
      </c>
      <c r="U3979" s="41">
        <v>0</v>
      </c>
      <c r="V3979" s="42" t="s">
        <v>113</v>
      </c>
      <c r="W3979" s="42">
        <v>0</v>
      </c>
      <c r="X3979" s="42">
        <v>0</v>
      </c>
    </row>
    <row r="3980" spans="1:24">
      <c r="A3980" s="27" t="s">
        <v>7305</v>
      </c>
      <c r="B3980" s="28" t="s">
        <v>5102</v>
      </c>
      <c r="C3980" s="27" t="s">
        <v>7306</v>
      </c>
      <c r="D3980" s="27" t="s">
        <v>5104</v>
      </c>
      <c r="E3980" s="29">
        <v>38078</v>
      </c>
      <c r="F3980" s="27">
        <v>15</v>
      </c>
      <c r="G3980" s="18">
        <v>15969.7</v>
      </c>
      <c r="H3980" s="27">
        <f t="shared" si="124"/>
        <v>15969.7</v>
      </c>
      <c r="I3980" s="18">
        <v>15171.21</v>
      </c>
      <c r="J3980" s="27">
        <v>15969.7</v>
      </c>
      <c r="K3980" s="18">
        <f t="shared" si="125"/>
        <v>15969.7</v>
      </c>
      <c r="L3980" s="27">
        <v>15171.21</v>
      </c>
      <c r="M3980" s="36">
        <v>0</v>
      </c>
      <c r="T3980" s="41">
        <v>0</v>
      </c>
      <c r="U3980" s="41">
        <v>0</v>
      </c>
      <c r="V3980" s="42" t="s">
        <v>113</v>
      </c>
      <c r="W3980" s="42">
        <v>15969.7</v>
      </c>
      <c r="X3980" s="42">
        <v>15969.7</v>
      </c>
    </row>
    <row r="3981" spans="1:24">
      <c r="A3981" s="27" t="s">
        <v>7307</v>
      </c>
      <c r="B3981" s="28" t="s">
        <v>5102</v>
      </c>
      <c r="C3981" s="27" t="s">
        <v>7306</v>
      </c>
      <c r="D3981" s="27" t="s">
        <v>5104</v>
      </c>
      <c r="E3981" s="29">
        <v>38078</v>
      </c>
      <c r="F3981" s="27">
        <v>15</v>
      </c>
      <c r="G3981" s="18">
        <v>67432.94</v>
      </c>
      <c r="H3981" s="27">
        <f t="shared" si="124"/>
        <v>67432.94</v>
      </c>
      <c r="I3981" s="18">
        <v>64061.29</v>
      </c>
      <c r="J3981" s="27">
        <v>67432.94</v>
      </c>
      <c r="K3981" s="18">
        <f t="shared" si="125"/>
        <v>67432.94</v>
      </c>
      <c r="L3981" s="27">
        <v>64061.29</v>
      </c>
      <c r="M3981" s="36">
        <v>0</v>
      </c>
      <c r="T3981" s="41">
        <v>0</v>
      </c>
      <c r="U3981" s="41">
        <v>0</v>
      </c>
      <c r="V3981" s="42" t="s">
        <v>113</v>
      </c>
      <c r="W3981" s="42">
        <v>67432.94</v>
      </c>
      <c r="X3981" s="42">
        <v>67432.94</v>
      </c>
    </row>
    <row r="3982" spans="1:24">
      <c r="A3982" s="27" t="s">
        <v>7308</v>
      </c>
      <c r="B3982" s="28" t="s">
        <v>5102</v>
      </c>
      <c r="C3982" s="27" t="s">
        <v>7306</v>
      </c>
      <c r="D3982" s="27" t="s">
        <v>5104</v>
      </c>
      <c r="E3982" s="29">
        <v>38078</v>
      </c>
      <c r="F3982" s="27">
        <v>15</v>
      </c>
      <c r="G3982" s="18">
        <v>5339.17</v>
      </c>
      <c r="H3982" s="27">
        <f t="shared" si="124"/>
        <v>5339.17</v>
      </c>
      <c r="I3982" s="18">
        <v>5072.21</v>
      </c>
      <c r="J3982" s="27">
        <v>5339.17</v>
      </c>
      <c r="K3982" s="18">
        <f t="shared" si="125"/>
        <v>5339.17</v>
      </c>
      <c r="L3982" s="27">
        <v>5072.21</v>
      </c>
      <c r="M3982" s="36">
        <v>0</v>
      </c>
      <c r="T3982" s="41">
        <v>0</v>
      </c>
      <c r="U3982" s="41">
        <v>0</v>
      </c>
      <c r="V3982" s="42" t="s">
        <v>113</v>
      </c>
      <c r="W3982" s="42">
        <v>5339.17</v>
      </c>
      <c r="X3982" s="42">
        <v>5339.17</v>
      </c>
    </row>
    <row r="3983" spans="1:24">
      <c r="A3983" s="27" t="s">
        <v>7309</v>
      </c>
      <c r="B3983" s="28" t="s">
        <v>5102</v>
      </c>
      <c r="C3983" s="27" t="s">
        <v>7310</v>
      </c>
      <c r="D3983" s="27" t="s">
        <v>5104</v>
      </c>
      <c r="E3983" s="29">
        <v>39417</v>
      </c>
      <c r="F3983" s="27">
        <v>15</v>
      </c>
      <c r="G3983" s="18">
        <v>15167.22</v>
      </c>
      <c r="H3983" s="27">
        <f t="shared" si="124"/>
        <v>0</v>
      </c>
      <c r="I3983" s="18">
        <v>12936.1</v>
      </c>
      <c r="J3983" s="27">
        <v>15167.22</v>
      </c>
      <c r="K3983" s="18">
        <f t="shared" si="125"/>
        <v>0</v>
      </c>
      <c r="L3983" s="27">
        <v>13304.29</v>
      </c>
      <c r="M3983" s="36">
        <v>368.19</v>
      </c>
      <c r="T3983" s="41">
        <v>0</v>
      </c>
      <c r="U3983" s="41">
        <v>0</v>
      </c>
      <c r="V3983" s="42" t="s">
        <v>113</v>
      </c>
      <c r="W3983" s="42">
        <v>0</v>
      </c>
      <c r="X3983" s="42">
        <v>0</v>
      </c>
    </row>
    <row r="3984" spans="1:24">
      <c r="A3984" s="27" t="s">
        <v>7311</v>
      </c>
      <c r="B3984" s="28" t="s">
        <v>5102</v>
      </c>
      <c r="C3984" s="27" t="s">
        <v>7312</v>
      </c>
      <c r="D3984" s="27" t="s">
        <v>5104</v>
      </c>
      <c r="E3984" s="29">
        <v>39417</v>
      </c>
      <c r="F3984" s="27">
        <v>15</v>
      </c>
      <c r="G3984" s="18">
        <v>14970.24</v>
      </c>
      <c r="H3984" s="27">
        <f t="shared" si="124"/>
        <v>0</v>
      </c>
      <c r="I3984" s="18">
        <v>12768.11</v>
      </c>
      <c r="J3984" s="27">
        <v>14970.24</v>
      </c>
      <c r="K3984" s="18">
        <f t="shared" si="125"/>
        <v>0</v>
      </c>
      <c r="L3984" s="27">
        <v>13131.52</v>
      </c>
      <c r="M3984" s="36">
        <v>363.41</v>
      </c>
      <c r="T3984" s="41">
        <v>0</v>
      </c>
      <c r="U3984" s="41">
        <v>0</v>
      </c>
      <c r="V3984" s="42" t="s">
        <v>113</v>
      </c>
      <c r="W3984" s="42">
        <v>0</v>
      </c>
      <c r="X3984" s="42">
        <v>0</v>
      </c>
    </row>
    <row r="3985" spans="1:24">
      <c r="A3985" s="27" t="s">
        <v>7313</v>
      </c>
      <c r="B3985" s="28" t="s">
        <v>5102</v>
      </c>
      <c r="C3985" s="27" t="s">
        <v>7299</v>
      </c>
      <c r="D3985" s="27" t="s">
        <v>5104</v>
      </c>
      <c r="E3985" s="29">
        <v>37226</v>
      </c>
      <c r="F3985" s="27">
        <v>15</v>
      </c>
      <c r="G3985" s="18">
        <v>120568.95</v>
      </c>
      <c r="H3985" s="27">
        <f t="shared" si="124"/>
        <v>120568.95</v>
      </c>
      <c r="I3985" s="18">
        <v>114540.5</v>
      </c>
      <c r="J3985" s="27">
        <v>120568.95</v>
      </c>
      <c r="K3985" s="18">
        <f t="shared" si="125"/>
        <v>120568.95</v>
      </c>
      <c r="L3985" s="27">
        <v>114540.5</v>
      </c>
      <c r="M3985" s="36">
        <v>0</v>
      </c>
      <c r="T3985" s="41">
        <v>0</v>
      </c>
      <c r="U3985" s="41">
        <v>0</v>
      </c>
      <c r="V3985" s="42" t="s">
        <v>113</v>
      </c>
      <c r="W3985" s="42">
        <v>120568.95</v>
      </c>
      <c r="X3985" s="42">
        <v>120568.95</v>
      </c>
    </row>
    <row r="3986" spans="1:24">
      <c r="A3986" s="27" t="s">
        <v>7314</v>
      </c>
      <c r="B3986" s="28" t="s">
        <v>5102</v>
      </c>
      <c r="C3986" s="27" t="s">
        <v>7315</v>
      </c>
      <c r="D3986" s="27" t="s">
        <v>5104</v>
      </c>
      <c r="E3986" s="29">
        <v>38078</v>
      </c>
      <c r="F3986" s="27">
        <v>15</v>
      </c>
      <c r="G3986" s="18">
        <v>5482.62</v>
      </c>
      <c r="H3986" s="27">
        <f t="shared" si="124"/>
        <v>5482.62</v>
      </c>
      <c r="I3986" s="18">
        <v>5208.49</v>
      </c>
      <c r="J3986" s="27">
        <v>5482.62</v>
      </c>
      <c r="K3986" s="18">
        <f t="shared" si="125"/>
        <v>5482.62</v>
      </c>
      <c r="L3986" s="27">
        <v>5208.49</v>
      </c>
      <c r="M3986" s="36">
        <v>0</v>
      </c>
      <c r="T3986" s="41">
        <v>0</v>
      </c>
      <c r="U3986" s="41">
        <v>0</v>
      </c>
      <c r="V3986" s="42" t="s">
        <v>113</v>
      </c>
      <c r="W3986" s="42">
        <v>5482.62</v>
      </c>
      <c r="X3986" s="42">
        <v>5482.62</v>
      </c>
    </row>
    <row r="3987" spans="1:24">
      <c r="A3987" s="27" t="s">
        <v>7316</v>
      </c>
      <c r="B3987" s="28" t="s">
        <v>5102</v>
      </c>
      <c r="C3987" s="27" t="s">
        <v>7315</v>
      </c>
      <c r="D3987" s="27" t="s">
        <v>5104</v>
      </c>
      <c r="E3987" s="29">
        <v>38078</v>
      </c>
      <c r="F3987" s="27">
        <v>15</v>
      </c>
      <c r="G3987" s="18">
        <v>53598.92</v>
      </c>
      <c r="H3987" s="27">
        <f t="shared" si="124"/>
        <v>53598.92</v>
      </c>
      <c r="I3987" s="18">
        <v>50918.97</v>
      </c>
      <c r="J3987" s="27">
        <v>53598.92</v>
      </c>
      <c r="K3987" s="18">
        <f t="shared" si="125"/>
        <v>53598.92</v>
      </c>
      <c r="L3987" s="27">
        <v>50918.97</v>
      </c>
      <c r="M3987" s="36">
        <v>0</v>
      </c>
      <c r="T3987" s="41">
        <v>0</v>
      </c>
      <c r="U3987" s="41">
        <v>0</v>
      </c>
      <c r="V3987" s="42" t="s">
        <v>113</v>
      </c>
      <c r="W3987" s="42">
        <v>53598.92</v>
      </c>
      <c r="X3987" s="42">
        <v>53598.92</v>
      </c>
    </row>
    <row r="3988" spans="1:24">
      <c r="A3988" s="27" t="s">
        <v>7317</v>
      </c>
      <c r="B3988" s="28" t="s">
        <v>5102</v>
      </c>
      <c r="C3988" s="27" t="s">
        <v>7318</v>
      </c>
      <c r="D3988" s="27" t="s">
        <v>5104</v>
      </c>
      <c r="E3988" s="29">
        <v>38078</v>
      </c>
      <c r="F3988" s="27">
        <v>15</v>
      </c>
      <c r="G3988" s="18">
        <v>15733.47</v>
      </c>
      <c r="H3988" s="27">
        <f t="shared" si="124"/>
        <v>15733.47</v>
      </c>
      <c r="I3988" s="18">
        <v>14946.8</v>
      </c>
      <c r="J3988" s="27">
        <v>15733.47</v>
      </c>
      <c r="K3988" s="18">
        <f t="shared" si="125"/>
        <v>15733.47</v>
      </c>
      <c r="L3988" s="27">
        <v>14946.8</v>
      </c>
      <c r="M3988" s="36">
        <v>0</v>
      </c>
      <c r="T3988" s="41">
        <v>0</v>
      </c>
      <c r="U3988" s="41">
        <v>0</v>
      </c>
      <c r="V3988" s="42" t="s">
        <v>113</v>
      </c>
      <c r="W3988" s="42">
        <v>15733.47</v>
      </c>
      <c r="X3988" s="42">
        <v>15733.47</v>
      </c>
    </row>
    <row r="3989" spans="1:24">
      <c r="A3989" s="27" t="s">
        <v>7319</v>
      </c>
      <c r="B3989" s="28" t="s">
        <v>5102</v>
      </c>
      <c r="C3989" s="27" t="s">
        <v>7318</v>
      </c>
      <c r="D3989" s="27" t="s">
        <v>5104</v>
      </c>
      <c r="E3989" s="29">
        <v>38078</v>
      </c>
      <c r="F3989" s="27">
        <v>15</v>
      </c>
      <c r="G3989" s="18">
        <v>149863.39000000001</v>
      </c>
      <c r="H3989" s="27">
        <f t="shared" si="124"/>
        <v>149863.39000000001</v>
      </c>
      <c r="I3989" s="18">
        <v>142370.22</v>
      </c>
      <c r="J3989" s="27">
        <v>149863.39000000001</v>
      </c>
      <c r="K3989" s="18">
        <f t="shared" si="125"/>
        <v>149863.39000000001</v>
      </c>
      <c r="L3989" s="27">
        <v>142370.22</v>
      </c>
      <c r="M3989" s="36">
        <v>0</v>
      </c>
      <c r="T3989" s="41">
        <v>0</v>
      </c>
      <c r="U3989" s="41">
        <v>0</v>
      </c>
      <c r="V3989" s="42" t="s">
        <v>113</v>
      </c>
      <c r="W3989" s="42">
        <v>149863.39000000001</v>
      </c>
      <c r="X3989" s="42">
        <v>149863.39000000001</v>
      </c>
    </row>
    <row r="3990" spans="1:24">
      <c r="A3990" s="27" t="s">
        <v>7320</v>
      </c>
      <c r="B3990" s="28" t="s">
        <v>5102</v>
      </c>
      <c r="C3990" s="27" t="s">
        <v>7321</v>
      </c>
      <c r="D3990" s="27" t="s">
        <v>5104</v>
      </c>
      <c r="E3990" s="29">
        <v>37226</v>
      </c>
      <c r="F3990" s="27">
        <v>15</v>
      </c>
      <c r="G3990" s="18">
        <v>5379.3</v>
      </c>
      <c r="H3990" s="27">
        <f t="shared" si="124"/>
        <v>5379.3</v>
      </c>
      <c r="I3990" s="18">
        <v>5110.33</v>
      </c>
      <c r="J3990" s="27">
        <v>5379.3</v>
      </c>
      <c r="K3990" s="18">
        <f t="shared" si="125"/>
        <v>5379.3</v>
      </c>
      <c r="L3990" s="27">
        <v>5110.33</v>
      </c>
      <c r="M3990" s="36">
        <v>0</v>
      </c>
      <c r="T3990" s="41">
        <v>0</v>
      </c>
      <c r="U3990" s="41">
        <v>0</v>
      </c>
      <c r="V3990" s="42" t="s">
        <v>113</v>
      </c>
      <c r="W3990" s="42">
        <v>5379.3</v>
      </c>
      <c r="X3990" s="42">
        <v>5379.3</v>
      </c>
    </row>
    <row r="3991" spans="1:24">
      <c r="A3991" s="27" t="s">
        <v>7322</v>
      </c>
      <c r="B3991" s="28" t="s">
        <v>5102</v>
      </c>
      <c r="C3991" s="27" t="s">
        <v>7323</v>
      </c>
      <c r="D3991" s="27" t="s">
        <v>5104</v>
      </c>
      <c r="E3991" s="29">
        <v>37226</v>
      </c>
      <c r="F3991" s="27">
        <v>15</v>
      </c>
      <c r="G3991" s="18">
        <v>38835.879999999997</v>
      </c>
      <c r="H3991" s="27">
        <f t="shared" si="124"/>
        <v>38835.879999999997</v>
      </c>
      <c r="I3991" s="18">
        <v>36894.089999999997</v>
      </c>
      <c r="J3991" s="27">
        <v>38835.879999999997</v>
      </c>
      <c r="K3991" s="18">
        <f t="shared" si="125"/>
        <v>38835.879999999997</v>
      </c>
      <c r="L3991" s="27">
        <v>36894.089999999997</v>
      </c>
      <c r="M3991" s="36">
        <v>0</v>
      </c>
      <c r="T3991" s="41">
        <v>0</v>
      </c>
      <c r="U3991" s="41">
        <v>0</v>
      </c>
      <c r="V3991" s="42" t="s">
        <v>113</v>
      </c>
      <c r="W3991" s="42">
        <v>38835.879999999997</v>
      </c>
      <c r="X3991" s="42">
        <v>38835.879999999997</v>
      </c>
    </row>
    <row r="3992" spans="1:24">
      <c r="A3992" s="27" t="s">
        <v>7324</v>
      </c>
      <c r="B3992" s="28" t="s">
        <v>5102</v>
      </c>
      <c r="C3992" s="27" t="s">
        <v>7325</v>
      </c>
      <c r="D3992" s="27" t="s">
        <v>5104</v>
      </c>
      <c r="E3992" s="29">
        <v>39417</v>
      </c>
      <c r="F3992" s="27">
        <v>15</v>
      </c>
      <c r="G3992" s="18">
        <v>127669.57</v>
      </c>
      <c r="H3992" s="27">
        <f t="shared" si="124"/>
        <v>0</v>
      </c>
      <c r="I3992" s="18">
        <v>108889.27</v>
      </c>
      <c r="J3992" s="27">
        <v>127669.57</v>
      </c>
      <c r="K3992" s="18">
        <f t="shared" si="125"/>
        <v>0</v>
      </c>
      <c r="L3992" s="27">
        <v>111988.48</v>
      </c>
      <c r="M3992" s="36">
        <v>3099.21</v>
      </c>
      <c r="T3992" s="41">
        <v>0</v>
      </c>
      <c r="U3992" s="41">
        <v>0</v>
      </c>
      <c r="V3992" s="42" t="s">
        <v>113</v>
      </c>
      <c r="W3992" s="42">
        <v>0</v>
      </c>
      <c r="X3992" s="42">
        <v>0</v>
      </c>
    </row>
    <row r="3993" spans="1:24">
      <c r="A3993" s="27" t="s">
        <v>7326</v>
      </c>
      <c r="B3993" s="28" t="s">
        <v>5102</v>
      </c>
      <c r="C3993" s="27" t="s">
        <v>7327</v>
      </c>
      <c r="D3993" s="27" t="s">
        <v>5104</v>
      </c>
      <c r="E3993" s="29">
        <v>39417</v>
      </c>
      <c r="F3993" s="27">
        <v>15</v>
      </c>
      <c r="G3993" s="18">
        <v>139675.20000000001</v>
      </c>
      <c r="H3993" s="27">
        <f t="shared" si="124"/>
        <v>0</v>
      </c>
      <c r="I3993" s="18">
        <v>119128.86</v>
      </c>
      <c r="J3993" s="27">
        <v>139675.20000000001</v>
      </c>
      <c r="K3993" s="18">
        <f t="shared" si="125"/>
        <v>0</v>
      </c>
      <c r="L3993" s="27">
        <v>122519.51</v>
      </c>
      <c r="M3993" s="36">
        <v>3390.65</v>
      </c>
      <c r="T3993" s="41">
        <v>0</v>
      </c>
      <c r="U3993" s="41">
        <v>0</v>
      </c>
      <c r="V3993" s="42" t="s">
        <v>113</v>
      </c>
      <c r="W3993" s="42">
        <v>0</v>
      </c>
      <c r="X3993" s="42">
        <v>0</v>
      </c>
    </row>
    <row r="3994" spans="1:24">
      <c r="A3994" s="27" t="s">
        <v>7328</v>
      </c>
      <c r="B3994" s="28" t="s">
        <v>5102</v>
      </c>
      <c r="C3994" s="27" t="s">
        <v>7329</v>
      </c>
      <c r="D3994" s="27" t="s">
        <v>5104</v>
      </c>
      <c r="E3994" s="29">
        <v>39417</v>
      </c>
      <c r="F3994" s="27">
        <v>15</v>
      </c>
      <c r="G3994" s="18">
        <v>305993.51</v>
      </c>
      <c r="H3994" s="27">
        <f t="shared" si="124"/>
        <v>0</v>
      </c>
      <c r="I3994" s="18">
        <v>261968.97</v>
      </c>
      <c r="J3994" s="27">
        <v>305993.51</v>
      </c>
      <c r="K3994" s="18">
        <f t="shared" si="125"/>
        <v>0</v>
      </c>
      <c r="L3994" s="27">
        <v>269150.19</v>
      </c>
      <c r="M3994" s="36">
        <v>7181.22</v>
      </c>
      <c r="T3994" s="41">
        <v>0</v>
      </c>
      <c r="U3994" s="41">
        <v>0</v>
      </c>
      <c r="V3994" s="42" t="s">
        <v>113</v>
      </c>
      <c r="W3994" s="42">
        <v>0</v>
      </c>
      <c r="X3994" s="42">
        <v>0</v>
      </c>
    </row>
    <row r="3995" spans="1:24">
      <c r="A3995" s="27" t="s">
        <v>7330</v>
      </c>
      <c r="B3995" s="28" t="s">
        <v>5102</v>
      </c>
      <c r="C3995" s="27" t="s">
        <v>7299</v>
      </c>
      <c r="D3995" s="27" t="s">
        <v>5104</v>
      </c>
      <c r="E3995" s="29">
        <v>37226</v>
      </c>
      <c r="F3995" s="27">
        <v>15</v>
      </c>
      <c r="G3995" s="18">
        <v>211825.27</v>
      </c>
      <c r="H3995" s="27">
        <f t="shared" si="124"/>
        <v>211825.27</v>
      </c>
      <c r="I3995" s="18">
        <v>201234.01</v>
      </c>
      <c r="J3995" s="27">
        <v>211825.27</v>
      </c>
      <c r="K3995" s="18">
        <f t="shared" si="125"/>
        <v>211825.27</v>
      </c>
      <c r="L3995" s="27">
        <v>201234.01</v>
      </c>
      <c r="M3995" s="36">
        <v>0</v>
      </c>
      <c r="T3995" s="41">
        <v>0</v>
      </c>
      <c r="U3995" s="41">
        <v>0</v>
      </c>
      <c r="V3995" s="42" t="s">
        <v>113</v>
      </c>
      <c r="W3995" s="42">
        <v>211825.27</v>
      </c>
      <c r="X3995" s="42">
        <v>211825.27</v>
      </c>
    </row>
    <row r="3996" spans="1:24">
      <c r="A3996" s="27" t="s">
        <v>7331</v>
      </c>
      <c r="B3996" s="28" t="s">
        <v>5102</v>
      </c>
      <c r="C3996" s="27" t="s">
        <v>7332</v>
      </c>
      <c r="D3996" s="27" t="s">
        <v>5104</v>
      </c>
      <c r="E3996" s="29">
        <v>38078</v>
      </c>
      <c r="F3996" s="27">
        <v>15</v>
      </c>
      <c r="G3996" s="18">
        <v>6805.46</v>
      </c>
      <c r="H3996" s="27">
        <f t="shared" si="124"/>
        <v>6805.46</v>
      </c>
      <c r="I3996" s="18">
        <v>6465.19</v>
      </c>
      <c r="J3996" s="27">
        <v>6805.46</v>
      </c>
      <c r="K3996" s="18">
        <f t="shared" si="125"/>
        <v>6805.46</v>
      </c>
      <c r="L3996" s="27">
        <v>6465.19</v>
      </c>
      <c r="M3996" s="36">
        <v>0</v>
      </c>
      <c r="T3996" s="41">
        <v>0</v>
      </c>
      <c r="U3996" s="41">
        <v>0</v>
      </c>
      <c r="V3996" s="42" t="s">
        <v>113</v>
      </c>
      <c r="W3996" s="42">
        <v>6805.46</v>
      </c>
      <c r="X3996" s="42">
        <v>6805.46</v>
      </c>
    </row>
    <row r="3997" spans="1:24">
      <c r="A3997" s="27" t="s">
        <v>7333</v>
      </c>
      <c r="B3997" s="28" t="s">
        <v>5102</v>
      </c>
      <c r="C3997" s="27" t="s">
        <v>7334</v>
      </c>
      <c r="D3997" s="27" t="s">
        <v>5104</v>
      </c>
      <c r="E3997" s="29">
        <v>39417</v>
      </c>
      <c r="F3997" s="27">
        <v>15</v>
      </c>
      <c r="G3997" s="18">
        <v>8526.2800000000007</v>
      </c>
      <c r="H3997" s="27">
        <f t="shared" si="124"/>
        <v>0</v>
      </c>
      <c r="I3997" s="18">
        <v>7272.06</v>
      </c>
      <c r="J3997" s="27">
        <v>8526.2800000000007</v>
      </c>
      <c r="K3997" s="18">
        <f t="shared" si="125"/>
        <v>0</v>
      </c>
      <c r="L3997" s="27">
        <v>7479.04</v>
      </c>
      <c r="M3997" s="36">
        <v>206.98</v>
      </c>
      <c r="T3997" s="41">
        <v>0</v>
      </c>
      <c r="U3997" s="41">
        <v>0</v>
      </c>
      <c r="V3997" s="42" t="s">
        <v>113</v>
      </c>
      <c r="W3997" s="42">
        <v>0</v>
      </c>
      <c r="X3997" s="42">
        <v>0</v>
      </c>
    </row>
    <row r="3998" spans="1:24">
      <c r="A3998" s="27" t="s">
        <v>7335</v>
      </c>
      <c r="B3998" s="28" t="s">
        <v>5102</v>
      </c>
      <c r="C3998" s="27" t="s">
        <v>7336</v>
      </c>
      <c r="D3998" s="27" t="s">
        <v>5104</v>
      </c>
      <c r="E3998" s="29">
        <v>39417</v>
      </c>
      <c r="F3998" s="27">
        <v>15</v>
      </c>
      <c r="G3998" s="18">
        <v>13535.13</v>
      </c>
      <c r="H3998" s="27">
        <f t="shared" si="124"/>
        <v>0</v>
      </c>
      <c r="I3998" s="18">
        <v>11544.09</v>
      </c>
      <c r="J3998" s="27">
        <v>13535.13</v>
      </c>
      <c r="K3998" s="18">
        <f t="shared" si="125"/>
        <v>0</v>
      </c>
      <c r="L3998" s="27">
        <v>11872.66</v>
      </c>
      <c r="M3998" s="36">
        <v>328.57</v>
      </c>
      <c r="T3998" s="41">
        <v>0</v>
      </c>
      <c r="U3998" s="41">
        <v>0</v>
      </c>
      <c r="V3998" s="42" t="s">
        <v>113</v>
      </c>
      <c r="W3998" s="42">
        <v>0</v>
      </c>
      <c r="X3998" s="42">
        <v>0</v>
      </c>
    </row>
    <row r="3999" spans="1:24">
      <c r="A3999" s="27" t="s">
        <v>7337</v>
      </c>
      <c r="B3999" s="28" t="s">
        <v>5102</v>
      </c>
      <c r="C3999" s="27" t="s">
        <v>7338</v>
      </c>
      <c r="D3999" s="27" t="s">
        <v>5104</v>
      </c>
      <c r="E3999" s="29">
        <v>39417</v>
      </c>
      <c r="F3999" s="27">
        <v>15</v>
      </c>
      <c r="G3999" s="18">
        <v>51495.38</v>
      </c>
      <c r="H3999" s="27">
        <f t="shared" si="124"/>
        <v>0</v>
      </c>
      <c r="I3999" s="18">
        <v>43920.36</v>
      </c>
      <c r="J3999" s="27">
        <v>51495.38</v>
      </c>
      <c r="K3999" s="18">
        <f t="shared" si="125"/>
        <v>0</v>
      </c>
      <c r="L3999" s="27">
        <v>45170.42</v>
      </c>
      <c r="M3999" s="36">
        <v>1250.06</v>
      </c>
      <c r="T3999" s="41">
        <v>0</v>
      </c>
      <c r="U3999" s="41">
        <v>0</v>
      </c>
      <c r="V3999" s="42" t="s">
        <v>113</v>
      </c>
      <c r="W3999" s="42">
        <v>0</v>
      </c>
      <c r="X3999" s="42">
        <v>0</v>
      </c>
    </row>
    <row r="4000" spans="1:24">
      <c r="A4000" s="27" t="s">
        <v>7339</v>
      </c>
      <c r="B4000" s="28" t="s">
        <v>5102</v>
      </c>
      <c r="C4000" s="27" t="s">
        <v>7340</v>
      </c>
      <c r="D4000" s="27" t="s">
        <v>5104</v>
      </c>
      <c r="E4000" s="29">
        <v>39417</v>
      </c>
      <c r="F4000" s="27">
        <v>15</v>
      </c>
      <c r="G4000" s="18">
        <v>29574.67</v>
      </c>
      <c r="H4000" s="27">
        <f t="shared" si="124"/>
        <v>0</v>
      </c>
      <c r="I4000" s="18">
        <v>25224.2</v>
      </c>
      <c r="J4000" s="27">
        <v>29574.67</v>
      </c>
      <c r="K4000" s="18">
        <f t="shared" si="125"/>
        <v>0</v>
      </c>
      <c r="L4000" s="27">
        <v>25942.14</v>
      </c>
      <c r="M4000" s="36">
        <v>717.94</v>
      </c>
      <c r="T4000" s="41">
        <v>0</v>
      </c>
      <c r="U4000" s="41">
        <v>0</v>
      </c>
      <c r="V4000" s="42" t="s">
        <v>113</v>
      </c>
      <c r="W4000" s="42">
        <v>0</v>
      </c>
      <c r="X4000" s="42">
        <v>0</v>
      </c>
    </row>
    <row r="4001" spans="1:24">
      <c r="A4001" s="27" t="s">
        <v>7341</v>
      </c>
      <c r="B4001" s="28" t="s">
        <v>5102</v>
      </c>
      <c r="C4001" s="27" t="s">
        <v>7342</v>
      </c>
      <c r="D4001" s="27" t="s">
        <v>5104</v>
      </c>
      <c r="E4001" s="29">
        <v>39417</v>
      </c>
      <c r="F4001" s="27">
        <v>15</v>
      </c>
      <c r="G4001" s="18">
        <v>74109.11</v>
      </c>
      <c r="H4001" s="27">
        <f t="shared" si="124"/>
        <v>0</v>
      </c>
      <c r="I4001" s="18">
        <v>63615.95</v>
      </c>
      <c r="J4001" s="27">
        <v>74109.11</v>
      </c>
      <c r="K4001" s="18">
        <f t="shared" si="125"/>
        <v>0</v>
      </c>
      <c r="L4001" s="27">
        <v>65312.88</v>
      </c>
      <c r="M4001" s="36">
        <v>1696.93</v>
      </c>
      <c r="T4001" s="41">
        <v>0</v>
      </c>
      <c r="U4001" s="41">
        <v>0</v>
      </c>
      <c r="V4001" s="42" t="s">
        <v>113</v>
      </c>
      <c r="W4001" s="42">
        <v>0</v>
      </c>
      <c r="X4001" s="42">
        <v>0</v>
      </c>
    </row>
    <row r="4002" spans="1:24">
      <c r="A4002" s="27" t="s">
        <v>7343</v>
      </c>
      <c r="B4002" s="28" t="s">
        <v>5102</v>
      </c>
      <c r="C4002" s="27" t="s">
        <v>7299</v>
      </c>
      <c r="D4002" s="27" t="s">
        <v>5104</v>
      </c>
      <c r="E4002" s="29">
        <v>37226</v>
      </c>
      <c r="F4002" s="27">
        <v>15</v>
      </c>
      <c r="G4002" s="18">
        <v>65973.17</v>
      </c>
      <c r="H4002" s="27">
        <f t="shared" si="124"/>
        <v>65973.17</v>
      </c>
      <c r="I4002" s="18">
        <v>62674.51</v>
      </c>
      <c r="J4002" s="27">
        <v>65973.17</v>
      </c>
      <c r="K4002" s="18">
        <f t="shared" si="125"/>
        <v>65973.17</v>
      </c>
      <c r="L4002" s="27">
        <v>62674.51</v>
      </c>
      <c r="M4002" s="36">
        <v>0</v>
      </c>
      <c r="T4002" s="41">
        <v>0</v>
      </c>
      <c r="U4002" s="41">
        <v>0</v>
      </c>
      <c r="V4002" s="42" t="s">
        <v>113</v>
      </c>
      <c r="W4002" s="42">
        <v>65973.17</v>
      </c>
      <c r="X4002" s="42">
        <v>65973.17</v>
      </c>
    </row>
    <row r="4003" spans="1:24">
      <c r="A4003" s="27" t="s">
        <v>7344</v>
      </c>
      <c r="B4003" s="28" t="s">
        <v>5102</v>
      </c>
      <c r="C4003" s="27" t="s">
        <v>7345</v>
      </c>
      <c r="D4003" s="27" t="s">
        <v>5104</v>
      </c>
      <c r="E4003" s="29">
        <v>38078</v>
      </c>
      <c r="F4003" s="27">
        <v>15</v>
      </c>
      <c r="G4003" s="18">
        <v>31333.77</v>
      </c>
      <c r="H4003" s="27">
        <f t="shared" si="124"/>
        <v>31333.77</v>
      </c>
      <c r="I4003" s="18">
        <v>29767.08</v>
      </c>
      <c r="J4003" s="27">
        <v>31333.77</v>
      </c>
      <c r="K4003" s="18">
        <f t="shared" si="125"/>
        <v>31333.77</v>
      </c>
      <c r="L4003" s="27">
        <v>29767.08</v>
      </c>
      <c r="M4003" s="36">
        <v>0</v>
      </c>
      <c r="T4003" s="41">
        <v>0</v>
      </c>
      <c r="U4003" s="41">
        <v>0</v>
      </c>
      <c r="V4003" s="42" t="s">
        <v>113</v>
      </c>
      <c r="W4003" s="42">
        <v>31333.77</v>
      </c>
      <c r="X4003" s="42">
        <v>31333.77</v>
      </c>
    </row>
    <row r="4004" spans="1:24">
      <c r="A4004" s="27" t="s">
        <v>7346</v>
      </c>
      <c r="B4004" s="28" t="s">
        <v>5102</v>
      </c>
      <c r="C4004" s="27" t="s">
        <v>7347</v>
      </c>
      <c r="D4004" s="27" t="s">
        <v>5104</v>
      </c>
      <c r="E4004" s="29">
        <v>39417</v>
      </c>
      <c r="F4004" s="27">
        <v>15</v>
      </c>
      <c r="G4004" s="18">
        <v>31263.040000000001</v>
      </c>
      <c r="H4004" s="27">
        <f t="shared" si="124"/>
        <v>0</v>
      </c>
      <c r="I4004" s="18">
        <v>26664.23</v>
      </c>
      <c r="J4004" s="27">
        <v>31263.040000000001</v>
      </c>
      <c r="K4004" s="18">
        <f t="shared" si="125"/>
        <v>0</v>
      </c>
      <c r="L4004" s="27">
        <v>27423.15</v>
      </c>
      <c r="M4004" s="36">
        <v>758.92</v>
      </c>
      <c r="T4004" s="41">
        <v>0</v>
      </c>
      <c r="U4004" s="41">
        <v>0</v>
      </c>
      <c r="V4004" s="42" t="s">
        <v>113</v>
      </c>
      <c r="W4004" s="42">
        <v>0</v>
      </c>
      <c r="X4004" s="42">
        <v>0</v>
      </c>
    </row>
    <row r="4005" spans="1:24">
      <c r="A4005" s="27" t="s">
        <v>7348</v>
      </c>
      <c r="B4005" s="28" t="s">
        <v>5102</v>
      </c>
      <c r="C4005" s="27" t="s">
        <v>7349</v>
      </c>
      <c r="D4005" s="27" t="s">
        <v>5104</v>
      </c>
      <c r="E4005" s="29">
        <v>39417</v>
      </c>
      <c r="F4005" s="27">
        <v>15</v>
      </c>
      <c r="G4005" s="18">
        <v>23440.25</v>
      </c>
      <c r="H4005" s="27">
        <f t="shared" si="124"/>
        <v>0</v>
      </c>
      <c r="I4005" s="18">
        <v>19992.18</v>
      </c>
      <c r="J4005" s="27">
        <v>23440.25</v>
      </c>
      <c r="K4005" s="18">
        <f t="shared" si="125"/>
        <v>0</v>
      </c>
      <c r="L4005" s="27">
        <v>20561.2</v>
      </c>
      <c r="M4005" s="36">
        <v>569.02</v>
      </c>
      <c r="T4005" s="41">
        <v>0</v>
      </c>
      <c r="U4005" s="41">
        <v>0</v>
      </c>
      <c r="V4005" s="42" t="s">
        <v>113</v>
      </c>
      <c r="W4005" s="42">
        <v>0</v>
      </c>
      <c r="X4005" s="42">
        <v>0</v>
      </c>
    </row>
    <row r="4006" spans="1:24">
      <c r="A4006" s="27" t="s">
        <v>7350</v>
      </c>
      <c r="B4006" s="28" t="s">
        <v>5102</v>
      </c>
      <c r="C4006" s="27" t="s">
        <v>7351</v>
      </c>
      <c r="D4006" s="27" t="s">
        <v>5104</v>
      </c>
      <c r="E4006" s="29">
        <v>39417</v>
      </c>
      <c r="F4006" s="27">
        <v>15</v>
      </c>
      <c r="G4006" s="18">
        <v>85431.69</v>
      </c>
      <c r="H4006" s="27">
        <f t="shared" si="124"/>
        <v>0</v>
      </c>
      <c r="I4006" s="18">
        <v>72864.61</v>
      </c>
      <c r="J4006" s="27">
        <v>85431.69</v>
      </c>
      <c r="K4006" s="18">
        <f t="shared" si="125"/>
        <v>0</v>
      </c>
      <c r="L4006" s="27">
        <v>74938.490000000005</v>
      </c>
      <c r="M4006" s="36">
        <v>2073.88</v>
      </c>
      <c r="T4006" s="41">
        <v>0</v>
      </c>
      <c r="U4006" s="41">
        <v>0</v>
      </c>
      <c r="V4006" s="42" t="s">
        <v>113</v>
      </c>
      <c r="W4006" s="42">
        <v>0</v>
      </c>
      <c r="X4006" s="42">
        <v>0</v>
      </c>
    </row>
    <row r="4007" spans="1:24">
      <c r="A4007" s="27" t="s">
        <v>7352</v>
      </c>
      <c r="B4007" s="28" t="s">
        <v>5102</v>
      </c>
      <c r="C4007" s="27" t="s">
        <v>7353</v>
      </c>
      <c r="D4007" s="27" t="s">
        <v>5104</v>
      </c>
      <c r="E4007" s="29">
        <v>38078</v>
      </c>
      <c r="F4007" s="27">
        <v>15</v>
      </c>
      <c r="G4007" s="18">
        <v>59989.98</v>
      </c>
      <c r="H4007" s="27">
        <f t="shared" si="124"/>
        <v>59989.98</v>
      </c>
      <c r="I4007" s="18">
        <v>56990.48</v>
      </c>
      <c r="J4007" s="27">
        <v>59989.98</v>
      </c>
      <c r="K4007" s="18">
        <f t="shared" si="125"/>
        <v>59989.98</v>
      </c>
      <c r="L4007" s="27">
        <v>56990.48</v>
      </c>
      <c r="M4007" s="36">
        <v>0</v>
      </c>
      <c r="T4007" s="41">
        <v>0</v>
      </c>
      <c r="U4007" s="41">
        <v>0</v>
      </c>
      <c r="V4007" s="42" t="s">
        <v>113</v>
      </c>
      <c r="W4007" s="42">
        <v>59989.98</v>
      </c>
      <c r="X4007" s="42">
        <v>59989.98</v>
      </c>
    </row>
    <row r="4008" spans="1:24">
      <c r="A4008" s="27" t="s">
        <v>7354</v>
      </c>
      <c r="B4008" s="28" t="s">
        <v>5102</v>
      </c>
      <c r="C4008" s="27" t="s">
        <v>7299</v>
      </c>
      <c r="D4008" s="27" t="s">
        <v>5104</v>
      </c>
      <c r="E4008" s="29">
        <v>37226</v>
      </c>
      <c r="F4008" s="27">
        <v>15</v>
      </c>
      <c r="G4008" s="18">
        <v>128338.25</v>
      </c>
      <c r="H4008" s="27">
        <f t="shared" si="124"/>
        <v>128338.25</v>
      </c>
      <c r="I4008" s="18">
        <v>121921.34</v>
      </c>
      <c r="J4008" s="27">
        <v>128338.25</v>
      </c>
      <c r="K4008" s="18">
        <f t="shared" si="125"/>
        <v>128338.25</v>
      </c>
      <c r="L4008" s="27">
        <v>121921.34</v>
      </c>
      <c r="M4008" s="36">
        <v>0</v>
      </c>
      <c r="T4008" s="41">
        <v>0</v>
      </c>
      <c r="U4008" s="41">
        <v>0</v>
      </c>
      <c r="V4008" s="42" t="s">
        <v>113</v>
      </c>
      <c r="W4008" s="42">
        <v>128338.25</v>
      </c>
      <c r="X4008" s="42">
        <v>128338.25</v>
      </c>
    </row>
    <row r="4009" spans="1:24">
      <c r="A4009" s="27" t="s">
        <v>7355</v>
      </c>
      <c r="B4009" s="28" t="s">
        <v>5102</v>
      </c>
      <c r="C4009" s="27" t="s">
        <v>7356</v>
      </c>
      <c r="D4009" s="27" t="s">
        <v>5104</v>
      </c>
      <c r="E4009" s="29">
        <v>38078</v>
      </c>
      <c r="F4009" s="27">
        <v>15</v>
      </c>
      <c r="G4009" s="18">
        <v>8797.68</v>
      </c>
      <c r="H4009" s="27">
        <f t="shared" si="124"/>
        <v>8797.68</v>
      </c>
      <c r="I4009" s="18">
        <v>8357.7999999999993</v>
      </c>
      <c r="J4009" s="27">
        <v>8797.68</v>
      </c>
      <c r="K4009" s="18">
        <f t="shared" si="125"/>
        <v>8797.68</v>
      </c>
      <c r="L4009" s="27">
        <v>8357.7999999999993</v>
      </c>
      <c r="M4009" s="36">
        <v>0</v>
      </c>
      <c r="T4009" s="41">
        <v>0</v>
      </c>
      <c r="U4009" s="41">
        <v>0</v>
      </c>
      <c r="V4009" s="42" t="s">
        <v>113</v>
      </c>
      <c r="W4009" s="42">
        <v>8797.68</v>
      </c>
      <c r="X4009" s="42">
        <v>8797.68</v>
      </c>
    </row>
    <row r="4010" spans="1:24">
      <c r="A4010" s="27" t="s">
        <v>7357</v>
      </c>
      <c r="B4010" s="28" t="s">
        <v>5102</v>
      </c>
      <c r="C4010" s="27" t="s">
        <v>7301</v>
      </c>
      <c r="D4010" s="27" t="s">
        <v>5104</v>
      </c>
      <c r="E4010" s="29">
        <v>37226</v>
      </c>
      <c r="F4010" s="27">
        <v>15</v>
      </c>
      <c r="G4010" s="18">
        <v>126025.71</v>
      </c>
      <c r="H4010" s="27">
        <f t="shared" si="124"/>
        <v>126025.71</v>
      </c>
      <c r="I4010" s="18">
        <v>119724.42</v>
      </c>
      <c r="J4010" s="27">
        <v>126025.71</v>
      </c>
      <c r="K4010" s="18">
        <f t="shared" si="125"/>
        <v>126025.71</v>
      </c>
      <c r="L4010" s="27">
        <v>119724.42</v>
      </c>
      <c r="M4010" s="36">
        <v>0</v>
      </c>
      <c r="T4010" s="41">
        <v>0</v>
      </c>
      <c r="U4010" s="41">
        <v>0</v>
      </c>
      <c r="V4010" s="42" t="s">
        <v>113</v>
      </c>
      <c r="W4010" s="42">
        <v>126025.71</v>
      </c>
      <c r="X4010" s="42">
        <v>126025.71</v>
      </c>
    </row>
    <row r="4011" spans="1:24">
      <c r="A4011" s="27" t="s">
        <v>7358</v>
      </c>
      <c r="B4011" s="28" t="s">
        <v>5102</v>
      </c>
      <c r="C4011" s="27" t="s">
        <v>7359</v>
      </c>
      <c r="D4011" s="27" t="s">
        <v>5104</v>
      </c>
      <c r="E4011" s="29">
        <v>38078</v>
      </c>
      <c r="F4011" s="27">
        <v>15</v>
      </c>
      <c r="G4011" s="18">
        <v>30584.69</v>
      </c>
      <c r="H4011" s="27">
        <f t="shared" si="124"/>
        <v>30584.69</v>
      </c>
      <c r="I4011" s="18">
        <v>29055.46</v>
      </c>
      <c r="J4011" s="27">
        <v>30584.69</v>
      </c>
      <c r="K4011" s="18">
        <f t="shared" si="125"/>
        <v>30584.69</v>
      </c>
      <c r="L4011" s="27">
        <v>29055.46</v>
      </c>
      <c r="M4011" s="36">
        <v>0</v>
      </c>
      <c r="T4011" s="41">
        <v>0</v>
      </c>
      <c r="U4011" s="41">
        <v>0</v>
      </c>
      <c r="V4011" s="42" t="s">
        <v>113</v>
      </c>
      <c r="W4011" s="42">
        <v>30584.69</v>
      </c>
      <c r="X4011" s="42">
        <v>30584.69</v>
      </c>
    </row>
    <row r="4012" spans="1:24">
      <c r="A4012" s="27" t="s">
        <v>7360</v>
      </c>
      <c r="B4012" s="28" t="s">
        <v>5102</v>
      </c>
      <c r="C4012" s="27" t="s">
        <v>7301</v>
      </c>
      <c r="D4012" s="27" t="s">
        <v>5104</v>
      </c>
      <c r="E4012" s="29">
        <v>37226</v>
      </c>
      <c r="F4012" s="27">
        <v>15</v>
      </c>
      <c r="G4012" s="18">
        <v>184307.45</v>
      </c>
      <c r="H4012" s="27">
        <f t="shared" si="124"/>
        <v>184307.45</v>
      </c>
      <c r="I4012" s="18">
        <v>175092.08</v>
      </c>
      <c r="J4012" s="27">
        <v>184307.45</v>
      </c>
      <c r="K4012" s="18">
        <f t="shared" si="125"/>
        <v>184307.45</v>
      </c>
      <c r="L4012" s="27">
        <v>175092.08</v>
      </c>
      <c r="M4012" s="36">
        <v>0</v>
      </c>
      <c r="T4012" s="41">
        <v>0</v>
      </c>
      <c r="U4012" s="41">
        <v>0</v>
      </c>
      <c r="V4012" s="42" t="s">
        <v>113</v>
      </c>
      <c r="W4012" s="42">
        <v>184307.45</v>
      </c>
      <c r="X4012" s="42">
        <v>184307.45</v>
      </c>
    </row>
    <row r="4013" spans="1:24">
      <c r="A4013" s="27" t="s">
        <v>7361</v>
      </c>
      <c r="B4013" s="28" t="s">
        <v>5102</v>
      </c>
      <c r="C4013" s="27" t="s">
        <v>7362</v>
      </c>
      <c r="D4013" s="27" t="s">
        <v>5104</v>
      </c>
      <c r="E4013" s="29">
        <v>38078</v>
      </c>
      <c r="F4013" s="27">
        <v>15</v>
      </c>
      <c r="G4013" s="18">
        <v>6598.26</v>
      </c>
      <c r="H4013" s="27">
        <f t="shared" si="124"/>
        <v>6598.26</v>
      </c>
      <c r="I4013" s="18">
        <v>6268.35</v>
      </c>
      <c r="J4013" s="27">
        <v>6598.26</v>
      </c>
      <c r="K4013" s="18">
        <f t="shared" si="125"/>
        <v>6598.26</v>
      </c>
      <c r="L4013" s="27">
        <v>6268.35</v>
      </c>
      <c r="M4013" s="36">
        <v>0</v>
      </c>
      <c r="T4013" s="41">
        <v>0</v>
      </c>
      <c r="U4013" s="41">
        <v>0</v>
      </c>
      <c r="V4013" s="42" t="s">
        <v>113</v>
      </c>
      <c r="W4013" s="42">
        <v>6598.26</v>
      </c>
      <c r="X4013" s="42">
        <v>6598.26</v>
      </c>
    </row>
    <row r="4014" spans="1:24">
      <c r="A4014" s="27" t="s">
        <v>7363</v>
      </c>
      <c r="B4014" s="28" t="s">
        <v>5102</v>
      </c>
      <c r="C4014" s="27" t="s">
        <v>7364</v>
      </c>
      <c r="D4014" s="27" t="s">
        <v>5104</v>
      </c>
      <c r="E4014" s="29">
        <v>39417</v>
      </c>
      <c r="F4014" s="27">
        <v>15</v>
      </c>
      <c r="G4014" s="18">
        <v>8301.17</v>
      </c>
      <c r="H4014" s="27">
        <f t="shared" si="124"/>
        <v>0</v>
      </c>
      <c r="I4014" s="18">
        <v>7080.07</v>
      </c>
      <c r="J4014" s="27">
        <v>8301.17</v>
      </c>
      <c r="K4014" s="18">
        <f t="shared" si="125"/>
        <v>0</v>
      </c>
      <c r="L4014" s="27">
        <v>7281.58</v>
      </c>
      <c r="M4014" s="36">
        <v>201.51</v>
      </c>
      <c r="T4014" s="41">
        <v>0</v>
      </c>
      <c r="U4014" s="41">
        <v>0</v>
      </c>
      <c r="V4014" s="42" t="s">
        <v>113</v>
      </c>
      <c r="W4014" s="42">
        <v>0</v>
      </c>
      <c r="X4014" s="42">
        <v>0</v>
      </c>
    </row>
    <row r="4015" spans="1:24">
      <c r="A4015" s="27" t="s">
        <v>7365</v>
      </c>
      <c r="B4015" s="28" t="s">
        <v>5102</v>
      </c>
      <c r="C4015" s="27" t="s">
        <v>7366</v>
      </c>
      <c r="D4015" s="27" t="s">
        <v>5104</v>
      </c>
      <c r="E4015" s="29">
        <v>38078</v>
      </c>
      <c r="F4015" s="27">
        <v>15</v>
      </c>
      <c r="G4015" s="18">
        <v>83912.66</v>
      </c>
      <c r="H4015" s="27">
        <f t="shared" si="124"/>
        <v>83912.66</v>
      </c>
      <c r="I4015" s="18">
        <v>79717.03</v>
      </c>
      <c r="J4015" s="27">
        <v>83912.66</v>
      </c>
      <c r="K4015" s="18">
        <f t="shared" si="125"/>
        <v>83912.66</v>
      </c>
      <c r="L4015" s="27">
        <v>79717.03</v>
      </c>
      <c r="M4015" s="36">
        <v>0</v>
      </c>
      <c r="T4015" s="41">
        <v>0</v>
      </c>
      <c r="U4015" s="41">
        <v>0</v>
      </c>
      <c r="V4015" s="42" t="s">
        <v>113</v>
      </c>
      <c r="W4015" s="42">
        <v>83912.66</v>
      </c>
      <c r="X4015" s="42">
        <v>83912.66</v>
      </c>
    </row>
    <row r="4016" spans="1:24">
      <c r="A4016" s="27" t="s">
        <v>7367</v>
      </c>
      <c r="B4016" s="28" t="s">
        <v>5102</v>
      </c>
      <c r="C4016" s="27" t="s">
        <v>7368</v>
      </c>
      <c r="D4016" s="27" t="s">
        <v>5104</v>
      </c>
      <c r="E4016" s="29">
        <v>39417</v>
      </c>
      <c r="F4016" s="27">
        <v>15</v>
      </c>
      <c r="G4016" s="18">
        <v>6640.93</v>
      </c>
      <c r="H4016" s="27">
        <f t="shared" si="124"/>
        <v>0</v>
      </c>
      <c r="I4016" s="18">
        <v>5664.04</v>
      </c>
      <c r="J4016" s="27">
        <v>6640.93</v>
      </c>
      <c r="K4016" s="18">
        <f t="shared" si="125"/>
        <v>0</v>
      </c>
      <c r="L4016" s="27">
        <v>5825.25</v>
      </c>
      <c r="M4016" s="36">
        <v>161.21</v>
      </c>
      <c r="T4016" s="41">
        <v>0</v>
      </c>
      <c r="U4016" s="41">
        <v>0</v>
      </c>
      <c r="V4016" s="42" t="s">
        <v>113</v>
      </c>
      <c r="W4016" s="42">
        <v>0</v>
      </c>
      <c r="X4016" s="42">
        <v>0</v>
      </c>
    </row>
    <row r="4017" spans="1:24">
      <c r="A4017" s="27" t="s">
        <v>7369</v>
      </c>
      <c r="B4017" s="28" t="s">
        <v>5102</v>
      </c>
      <c r="C4017" s="27" t="s">
        <v>7370</v>
      </c>
      <c r="D4017" s="27" t="s">
        <v>5104</v>
      </c>
      <c r="E4017" s="29">
        <v>38078</v>
      </c>
      <c r="F4017" s="27">
        <v>15</v>
      </c>
      <c r="G4017" s="18">
        <v>9212.06</v>
      </c>
      <c r="H4017" s="27">
        <f t="shared" si="124"/>
        <v>9212.06</v>
      </c>
      <c r="I4017" s="18">
        <v>8751.4599999999991</v>
      </c>
      <c r="J4017" s="27">
        <v>9212.06</v>
      </c>
      <c r="K4017" s="18">
        <f t="shared" si="125"/>
        <v>9212.06</v>
      </c>
      <c r="L4017" s="27">
        <v>8751.4599999999991</v>
      </c>
      <c r="M4017" s="36">
        <v>0</v>
      </c>
      <c r="T4017" s="41">
        <v>0</v>
      </c>
      <c r="U4017" s="41">
        <v>0</v>
      </c>
      <c r="V4017" s="42" t="s">
        <v>113</v>
      </c>
      <c r="W4017" s="42">
        <v>9212.06</v>
      </c>
      <c r="X4017" s="42">
        <v>9212.06</v>
      </c>
    </row>
    <row r="4018" spans="1:24">
      <c r="A4018" s="27" t="s">
        <v>7371</v>
      </c>
      <c r="B4018" s="28" t="s">
        <v>5102</v>
      </c>
      <c r="C4018" s="27" t="s">
        <v>7372</v>
      </c>
      <c r="D4018" s="27" t="s">
        <v>5104</v>
      </c>
      <c r="E4018" s="29">
        <v>37226</v>
      </c>
      <c r="F4018" s="27">
        <v>15</v>
      </c>
      <c r="G4018" s="18">
        <v>147721.98000000001</v>
      </c>
      <c r="H4018" s="27">
        <f t="shared" si="124"/>
        <v>147721.98000000001</v>
      </c>
      <c r="I4018" s="18">
        <v>140335.88</v>
      </c>
      <c r="J4018" s="27">
        <v>147721.98000000001</v>
      </c>
      <c r="K4018" s="18">
        <f t="shared" si="125"/>
        <v>147721.98000000001</v>
      </c>
      <c r="L4018" s="27">
        <v>140335.88</v>
      </c>
      <c r="M4018" s="36">
        <v>0</v>
      </c>
      <c r="T4018" s="41">
        <v>0</v>
      </c>
      <c r="U4018" s="41">
        <v>0</v>
      </c>
      <c r="V4018" s="42" t="s">
        <v>113</v>
      </c>
      <c r="W4018" s="42">
        <v>147721.98000000001</v>
      </c>
      <c r="X4018" s="42">
        <v>147721.98000000001</v>
      </c>
    </row>
    <row r="4019" spans="1:24">
      <c r="A4019" s="27" t="s">
        <v>7373</v>
      </c>
      <c r="B4019" s="28" t="s">
        <v>5102</v>
      </c>
      <c r="C4019" s="27" t="s">
        <v>7299</v>
      </c>
      <c r="D4019" s="27" t="s">
        <v>5104</v>
      </c>
      <c r="E4019" s="29">
        <v>37226</v>
      </c>
      <c r="F4019" s="27">
        <v>15</v>
      </c>
      <c r="G4019" s="18">
        <v>85989</v>
      </c>
      <c r="H4019" s="27">
        <f t="shared" si="124"/>
        <v>85989</v>
      </c>
      <c r="I4019" s="18">
        <v>81689.55</v>
      </c>
      <c r="J4019" s="27">
        <v>85989</v>
      </c>
      <c r="K4019" s="18">
        <f t="shared" si="125"/>
        <v>85989</v>
      </c>
      <c r="L4019" s="27">
        <v>81689.55</v>
      </c>
      <c r="M4019" s="36">
        <v>0</v>
      </c>
      <c r="T4019" s="41">
        <v>0</v>
      </c>
      <c r="U4019" s="41">
        <v>0</v>
      </c>
      <c r="V4019" s="42" t="s">
        <v>113</v>
      </c>
      <c r="W4019" s="42">
        <v>85989</v>
      </c>
      <c r="X4019" s="42">
        <v>85989</v>
      </c>
    </row>
    <row r="4020" spans="1:24">
      <c r="A4020" s="27" t="s">
        <v>7374</v>
      </c>
      <c r="B4020" s="28" t="s">
        <v>5102</v>
      </c>
      <c r="C4020" s="27" t="s">
        <v>7375</v>
      </c>
      <c r="D4020" s="27" t="s">
        <v>5104</v>
      </c>
      <c r="E4020" s="29">
        <v>38078</v>
      </c>
      <c r="F4020" s="27">
        <v>15</v>
      </c>
      <c r="G4020" s="18">
        <v>30654.17</v>
      </c>
      <c r="H4020" s="27">
        <f t="shared" si="124"/>
        <v>30654.17</v>
      </c>
      <c r="I4020" s="18">
        <v>29121.46</v>
      </c>
      <c r="J4020" s="27">
        <v>30654.17</v>
      </c>
      <c r="K4020" s="18">
        <f t="shared" si="125"/>
        <v>30654.17</v>
      </c>
      <c r="L4020" s="27">
        <v>29121.46</v>
      </c>
      <c r="M4020" s="36">
        <v>0</v>
      </c>
      <c r="T4020" s="41">
        <v>0</v>
      </c>
      <c r="U4020" s="41">
        <v>0</v>
      </c>
      <c r="V4020" s="42" t="s">
        <v>113</v>
      </c>
      <c r="W4020" s="42">
        <v>30654.17</v>
      </c>
      <c r="X4020" s="42">
        <v>30654.17</v>
      </c>
    </row>
    <row r="4021" spans="1:24">
      <c r="A4021" s="27" t="s">
        <v>7376</v>
      </c>
      <c r="B4021" s="28" t="s">
        <v>5102</v>
      </c>
      <c r="C4021" s="27" t="s">
        <v>7375</v>
      </c>
      <c r="D4021" s="27" t="s">
        <v>5104</v>
      </c>
      <c r="E4021" s="29">
        <v>38078</v>
      </c>
      <c r="F4021" s="27">
        <v>15</v>
      </c>
      <c r="G4021" s="18">
        <v>5573.49</v>
      </c>
      <c r="H4021" s="27">
        <f t="shared" si="124"/>
        <v>5573.49</v>
      </c>
      <c r="I4021" s="18">
        <v>5294.82</v>
      </c>
      <c r="J4021" s="27">
        <v>5573.49</v>
      </c>
      <c r="K4021" s="18">
        <f t="shared" si="125"/>
        <v>5573.49</v>
      </c>
      <c r="L4021" s="27">
        <v>5294.82</v>
      </c>
      <c r="M4021" s="36">
        <v>0</v>
      </c>
      <c r="T4021" s="41">
        <v>0</v>
      </c>
      <c r="U4021" s="41">
        <v>0</v>
      </c>
      <c r="V4021" s="42" t="s">
        <v>113</v>
      </c>
      <c r="W4021" s="42">
        <v>5573.49</v>
      </c>
      <c r="X4021" s="42">
        <v>5573.49</v>
      </c>
    </row>
    <row r="4022" spans="1:24">
      <c r="A4022" s="27" t="s">
        <v>7377</v>
      </c>
      <c r="B4022" s="28" t="s">
        <v>5102</v>
      </c>
      <c r="C4022" s="27" t="s">
        <v>7378</v>
      </c>
      <c r="D4022" s="27" t="s">
        <v>5104</v>
      </c>
      <c r="E4022" s="29">
        <v>38078</v>
      </c>
      <c r="F4022" s="27">
        <v>15</v>
      </c>
      <c r="G4022" s="18">
        <v>36761.800000000003</v>
      </c>
      <c r="H4022" s="27">
        <f t="shared" si="124"/>
        <v>36761.800000000003</v>
      </c>
      <c r="I4022" s="18">
        <v>34923.71</v>
      </c>
      <c r="J4022" s="27">
        <v>36761.800000000003</v>
      </c>
      <c r="K4022" s="18">
        <f t="shared" si="125"/>
        <v>36761.800000000003</v>
      </c>
      <c r="L4022" s="27">
        <v>34923.71</v>
      </c>
      <c r="M4022" s="36">
        <v>0</v>
      </c>
      <c r="T4022" s="41">
        <v>0</v>
      </c>
      <c r="U4022" s="41">
        <v>0</v>
      </c>
      <c r="V4022" s="42" t="s">
        <v>113</v>
      </c>
      <c r="W4022" s="42">
        <v>36761.800000000003</v>
      </c>
      <c r="X4022" s="42">
        <v>36761.800000000003</v>
      </c>
    </row>
    <row r="4023" spans="1:24">
      <c r="A4023" s="27" t="s">
        <v>7379</v>
      </c>
      <c r="B4023" s="28" t="s">
        <v>5102</v>
      </c>
      <c r="C4023" s="27" t="s">
        <v>7375</v>
      </c>
      <c r="D4023" s="27" t="s">
        <v>5104</v>
      </c>
      <c r="E4023" s="29">
        <v>38078</v>
      </c>
      <c r="F4023" s="27">
        <v>15</v>
      </c>
      <c r="G4023" s="18">
        <v>155632.88</v>
      </c>
      <c r="H4023" s="27">
        <f t="shared" si="124"/>
        <v>155632.88</v>
      </c>
      <c r="I4023" s="18">
        <v>147851.24</v>
      </c>
      <c r="J4023" s="27">
        <v>155632.88</v>
      </c>
      <c r="K4023" s="18">
        <f t="shared" si="125"/>
        <v>155632.88</v>
      </c>
      <c r="L4023" s="27">
        <v>147851.24</v>
      </c>
      <c r="M4023" s="36">
        <v>0</v>
      </c>
      <c r="T4023" s="41">
        <v>0</v>
      </c>
      <c r="U4023" s="41">
        <v>0</v>
      </c>
      <c r="V4023" s="42" t="s">
        <v>113</v>
      </c>
      <c r="W4023" s="42">
        <v>155632.88</v>
      </c>
      <c r="X4023" s="42">
        <v>155632.88</v>
      </c>
    </row>
    <row r="4024" spans="1:24">
      <c r="A4024" s="27" t="s">
        <v>7380</v>
      </c>
      <c r="B4024" s="28" t="s">
        <v>5102</v>
      </c>
      <c r="C4024" s="27" t="s">
        <v>7375</v>
      </c>
      <c r="D4024" s="27" t="s">
        <v>5104</v>
      </c>
      <c r="E4024" s="29">
        <v>38078</v>
      </c>
      <c r="F4024" s="27">
        <v>15</v>
      </c>
      <c r="G4024" s="18">
        <v>9498.9500000000007</v>
      </c>
      <c r="H4024" s="27">
        <f t="shared" si="124"/>
        <v>9498.9500000000007</v>
      </c>
      <c r="I4024" s="18">
        <v>9024</v>
      </c>
      <c r="J4024" s="27">
        <v>9498.9500000000007</v>
      </c>
      <c r="K4024" s="18">
        <f t="shared" si="125"/>
        <v>9498.9500000000007</v>
      </c>
      <c r="L4024" s="27">
        <v>9024</v>
      </c>
      <c r="M4024" s="36">
        <v>0</v>
      </c>
      <c r="T4024" s="41">
        <v>0</v>
      </c>
      <c r="U4024" s="41">
        <v>0</v>
      </c>
      <c r="V4024" s="42" t="s">
        <v>113</v>
      </c>
      <c r="W4024" s="42">
        <v>9498.9500000000007</v>
      </c>
      <c r="X4024" s="42">
        <v>9498.9500000000007</v>
      </c>
    </row>
    <row r="4025" spans="1:24">
      <c r="A4025" s="27" t="s">
        <v>7381</v>
      </c>
      <c r="B4025" s="28" t="s">
        <v>5102</v>
      </c>
      <c r="C4025" s="27" t="s">
        <v>7382</v>
      </c>
      <c r="D4025" s="27" t="s">
        <v>5104</v>
      </c>
      <c r="E4025" s="29">
        <v>38078</v>
      </c>
      <c r="F4025" s="27">
        <v>15</v>
      </c>
      <c r="G4025" s="18">
        <v>47080.34</v>
      </c>
      <c r="H4025" s="27">
        <f t="shared" si="124"/>
        <v>47080.34</v>
      </c>
      <c r="I4025" s="18">
        <v>44726.32</v>
      </c>
      <c r="J4025" s="27">
        <v>47080.34</v>
      </c>
      <c r="K4025" s="18">
        <f t="shared" si="125"/>
        <v>47080.34</v>
      </c>
      <c r="L4025" s="27">
        <v>44726.32</v>
      </c>
      <c r="M4025" s="36">
        <v>0</v>
      </c>
      <c r="T4025" s="41">
        <v>0</v>
      </c>
      <c r="U4025" s="41">
        <v>0</v>
      </c>
      <c r="V4025" s="42" t="s">
        <v>113</v>
      </c>
      <c r="W4025" s="42">
        <v>47080.34</v>
      </c>
      <c r="X4025" s="42">
        <v>47080.34</v>
      </c>
    </row>
    <row r="4026" spans="1:24">
      <c r="A4026" s="27" t="s">
        <v>7383</v>
      </c>
      <c r="B4026" s="28" t="s">
        <v>5102</v>
      </c>
      <c r="C4026" s="27" t="s">
        <v>7382</v>
      </c>
      <c r="D4026" s="27" t="s">
        <v>5104</v>
      </c>
      <c r="E4026" s="29">
        <v>38078</v>
      </c>
      <c r="F4026" s="27">
        <v>15</v>
      </c>
      <c r="G4026" s="18">
        <v>11857.74</v>
      </c>
      <c r="H4026" s="27">
        <f t="shared" si="124"/>
        <v>11857.74</v>
      </c>
      <c r="I4026" s="18">
        <v>11264.85</v>
      </c>
      <c r="J4026" s="27">
        <v>11857.74</v>
      </c>
      <c r="K4026" s="18">
        <f t="shared" si="125"/>
        <v>11857.74</v>
      </c>
      <c r="L4026" s="27">
        <v>11264.85</v>
      </c>
      <c r="M4026" s="36">
        <v>0</v>
      </c>
      <c r="T4026" s="41">
        <v>0</v>
      </c>
      <c r="U4026" s="41">
        <v>0</v>
      </c>
      <c r="V4026" s="42" t="s">
        <v>113</v>
      </c>
      <c r="W4026" s="42">
        <v>11857.74</v>
      </c>
      <c r="X4026" s="42">
        <v>11857.74</v>
      </c>
    </row>
    <row r="4027" spans="1:24">
      <c r="A4027" s="27" t="s">
        <v>7384</v>
      </c>
      <c r="B4027" s="28" t="s">
        <v>5102</v>
      </c>
      <c r="C4027" s="27" t="s">
        <v>7385</v>
      </c>
      <c r="D4027" s="27" t="s">
        <v>5104</v>
      </c>
      <c r="E4027" s="29">
        <v>39417</v>
      </c>
      <c r="F4027" s="27">
        <v>15</v>
      </c>
      <c r="G4027" s="18">
        <v>1944949.52</v>
      </c>
      <c r="H4027" s="27">
        <f t="shared" si="124"/>
        <v>0</v>
      </c>
      <c r="I4027" s="18">
        <v>1589893.26</v>
      </c>
      <c r="J4027" s="27">
        <v>1944949.52</v>
      </c>
      <c r="K4027" s="18">
        <f t="shared" si="125"/>
        <v>0</v>
      </c>
      <c r="L4027" s="27">
        <v>1654345.46</v>
      </c>
      <c r="M4027" s="36">
        <v>64452.2</v>
      </c>
      <c r="T4027" s="41">
        <v>0</v>
      </c>
      <c r="U4027" s="41">
        <v>0</v>
      </c>
      <c r="V4027" s="42" t="s">
        <v>113</v>
      </c>
      <c r="W4027" s="42">
        <v>0</v>
      </c>
      <c r="X4027" s="42">
        <v>0</v>
      </c>
    </row>
    <row r="4028" spans="1:24">
      <c r="A4028" s="27" t="s">
        <v>7386</v>
      </c>
      <c r="B4028" s="28" t="s">
        <v>5102</v>
      </c>
      <c r="C4028" s="27" t="s">
        <v>7387</v>
      </c>
      <c r="D4028" s="27" t="s">
        <v>5104</v>
      </c>
      <c r="E4028" s="29">
        <v>38078</v>
      </c>
      <c r="F4028" s="27">
        <v>15</v>
      </c>
      <c r="G4028" s="18">
        <v>710402.78</v>
      </c>
      <c r="H4028" s="27">
        <f t="shared" si="124"/>
        <v>710402.78</v>
      </c>
      <c r="I4028" s="18">
        <v>674882.64</v>
      </c>
      <c r="J4028" s="27">
        <v>710402.78</v>
      </c>
      <c r="K4028" s="18">
        <f t="shared" si="125"/>
        <v>710402.78</v>
      </c>
      <c r="L4028" s="27">
        <v>674882.64</v>
      </c>
      <c r="M4028" s="36">
        <v>0</v>
      </c>
      <c r="T4028" s="41">
        <v>0</v>
      </c>
      <c r="U4028" s="41">
        <v>0</v>
      </c>
      <c r="V4028" s="42" t="s">
        <v>113</v>
      </c>
      <c r="W4028" s="42">
        <v>710402.78</v>
      </c>
      <c r="X4028" s="42">
        <v>710402.78</v>
      </c>
    </row>
    <row r="4029" spans="1:24">
      <c r="A4029" s="27" t="s">
        <v>7388</v>
      </c>
      <c r="B4029" s="28" t="s">
        <v>5102</v>
      </c>
      <c r="C4029" s="27" t="s">
        <v>7389</v>
      </c>
      <c r="D4029" s="27" t="s">
        <v>5104</v>
      </c>
      <c r="E4029" s="29">
        <v>38078</v>
      </c>
      <c r="F4029" s="27">
        <v>15</v>
      </c>
      <c r="G4029" s="18">
        <v>45711.23</v>
      </c>
      <c r="H4029" s="27">
        <f t="shared" si="124"/>
        <v>45711.23</v>
      </c>
      <c r="I4029" s="18">
        <v>43425.67</v>
      </c>
      <c r="J4029" s="27">
        <v>45711.23</v>
      </c>
      <c r="K4029" s="18">
        <f t="shared" si="125"/>
        <v>45711.23</v>
      </c>
      <c r="L4029" s="27">
        <v>43425.67</v>
      </c>
      <c r="M4029" s="36">
        <v>0</v>
      </c>
      <c r="T4029" s="41">
        <v>0</v>
      </c>
      <c r="U4029" s="41">
        <v>0</v>
      </c>
      <c r="V4029" s="42" t="s">
        <v>113</v>
      </c>
      <c r="W4029" s="42">
        <v>45711.23</v>
      </c>
      <c r="X4029" s="42">
        <v>45711.23</v>
      </c>
    </row>
    <row r="4030" spans="1:24">
      <c r="A4030" s="27" t="s">
        <v>7390</v>
      </c>
      <c r="B4030" s="28" t="s">
        <v>5102</v>
      </c>
      <c r="C4030" s="27" t="s">
        <v>7391</v>
      </c>
      <c r="D4030" s="27" t="s">
        <v>5104</v>
      </c>
      <c r="E4030" s="29">
        <v>38078</v>
      </c>
      <c r="F4030" s="27">
        <v>15</v>
      </c>
      <c r="G4030" s="18">
        <v>58838.86</v>
      </c>
      <c r="H4030" s="27">
        <f t="shared" si="124"/>
        <v>58838.86</v>
      </c>
      <c r="I4030" s="18">
        <v>55896.92</v>
      </c>
      <c r="J4030" s="27">
        <v>58838.86</v>
      </c>
      <c r="K4030" s="18">
        <f t="shared" si="125"/>
        <v>58838.86</v>
      </c>
      <c r="L4030" s="27">
        <v>55896.92</v>
      </c>
      <c r="M4030" s="36">
        <v>0</v>
      </c>
      <c r="T4030" s="41">
        <v>0</v>
      </c>
      <c r="U4030" s="41">
        <v>0</v>
      </c>
      <c r="V4030" s="42" t="s">
        <v>113</v>
      </c>
      <c r="W4030" s="42">
        <v>58838.86</v>
      </c>
      <c r="X4030" s="42">
        <v>58838.86</v>
      </c>
    </row>
    <row r="4031" spans="1:24">
      <c r="A4031" s="27" t="s">
        <v>7392</v>
      </c>
      <c r="B4031" s="28" t="s">
        <v>5102</v>
      </c>
      <c r="C4031" s="27" t="s">
        <v>7391</v>
      </c>
      <c r="D4031" s="27" t="s">
        <v>5104</v>
      </c>
      <c r="E4031" s="29">
        <v>38078</v>
      </c>
      <c r="F4031" s="27">
        <v>15</v>
      </c>
      <c r="G4031" s="18">
        <v>183520.16</v>
      </c>
      <c r="H4031" s="27">
        <f t="shared" si="124"/>
        <v>183520.16</v>
      </c>
      <c r="I4031" s="18">
        <v>174344.15</v>
      </c>
      <c r="J4031" s="27">
        <v>183520.16</v>
      </c>
      <c r="K4031" s="18">
        <f t="shared" si="125"/>
        <v>183520.16</v>
      </c>
      <c r="L4031" s="27">
        <v>174344.15</v>
      </c>
      <c r="M4031" s="36">
        <v>0</v>
      </c>
      <c r="T4031" s="41">
        <v>0</v>
      </c>
      <c r="U4031" s="41">
        <v>0</v>
      </c>
      <c r="V4031" s="42" t="s">
        <v>113</v>
      </c>
      <c r="W4031" s="42">
        <v>183520.16</v>
      </c>
      <c r="X4031" s="42">
        <v>183520.16</v>
      </c>
    </row>
    <row r="4032" spans="1:24">
      <c r="A4032" s="27" t="s">
        <v>7393</v>
      </c>
      <c r="B4032" s="28" t="s">
        <v>5102</v>
      </c>
      <c r="C4032" s="27" t="s">
        <v>7394</v>
      </c>
      <c r="D4032" s="27" t="s">
        <v>5104</v>
      </c>
      <c r="E4032" s="29">
        <v>38078</v>
      </c>
      <c r="F4032" s="27">
        <v>15</v>
      </c>
      <c r="G4032" s="18">
        <v>72496.31</v>
      </c>
      <c r="H4032" s="27">
        <f t="shared" si="124"/>
        <v>72496.31</v>
      </c>
      <c r="I4032" s="18">
        <v>68871.490000000005</v>
      </c>
      <c r="J4032" s="27">
        <v>72496.31</v>
      </c>
      <c r="K4032" s="18">
        <f t="shared" si="125"/>
        <v>72496.31</v>
      </c>
      <c r="L4032" s="27">
        <v>68871.490000000005</v>
      </c>
      <c r="M4032" s="36">
        <v>0</v>
      </c>
      <c r="T4032" s="41">
        <v>0</v>
      </c>
      <c r="U4032" s="41">
        <v>0</v>
      </c>
      <c r="V4032" s="42" t="s">
        <v>113</v>
      </c>
      <c r="W4032" s="42">
        <v>72496.31</v>
      </c>
      <c r="X4032" s="42">
        <v>72496.31</v>
      </c>
    </row>
    <row r="4033" spans="1:24">
      <c r="A4033" s="27" t="s">
        <v>7395</v>
      </c>
      <c r="B4033" s="28" t="s">
        <v>5102</v>
      </c>
      <c r="C4033" s="27" t="s">
        <v>7394</v>
      </c>
      <c r="D4033" s="27" t="s">
        <v>5104</v>
      </c>
      <c r="E4033" s="29">
        <v>38078</v>
      </c>
      <c r="F4033" s="27">
        <v>15</v>
      </c>
      <c r="G4033" s="18">
        <v>25982.71</v>
      </c>
      <c r="H4033" s="27">
        <f t="shared" si="124"/>
        <v>25982.71</v>
      </c>
      <c r="I4033" s="18">
        <v>24683.57</v>
      </c>
      <c r="J4033" s="27">
        <v>25982.71</v>
      </c>
      <c r="K4033" s="18">
        <f t="shared" si="125"/>
        <v>25982.71</v>
      </c>
      <c r="L4033" s="27">
        <v>24683.57</v>
      </c>
      <c r="M4033" s="36">
        <v>0</v>
      </c>
      <c r="T4033" s="41">
        <v>0</v>
      </c>
      <c r="U4033" s="41">
        <v>0</v>
      </c>
      <c r="V4033" s="42" t="s">
        <v>113</v>
      </c>
      <c r="W4033" s="42">
        <v>25982.71</v>
      </c>
      <c r="X4033" s="42">
        <v>25982.71</v>
      </c>
    </row>
    <row r="4034" spans="1:24">
      <c r="A4034" s="27" t="s">
        <v>7396</v>
      </c>
      <c r="B4034" s="28" t="s">
        <v>5102</v>
      </c>
      <c r="C4034" s="27" t="s">
        <v>7397</v>
      </c>
      <c r="D4034" s="27" t="s">
        <v>5104</v>
      </c>
      <c r="E4034" s="29">
        <v>38078</v>
      </c>
      <c r="F4034" s="27">
        <v>15</v>
      </c>
      <c r="G4034" s="18">
        <v>46800.3</v>
      </c>
      <c r="H4034" s="27">
        <f t="shared" si="124"/>
        <v>46800.3</v>
      </c>
      <c r="I4034" s="18">
        <v>44460.28</v>
      </c>
      <c r="J4034" s="27">
        <v>46800.3</v>
      </c>
      <c r="K4034" s="18">
        <f t="shared" si="125"/>
        <v>46800.3</v>
      </c>
      <c r="L4034" s="27">
        <v>44460.28</v>
      </c>
      <c r="M4034" s="36">
        <v>0</v>
      </c>
      <c r="T4034" s="41">
        <v>0</v>
      </c>
      <c r="U4034" s="41">
        <v>0</v>
      </c>
      <c r="V4034" s="42" t="s">
        <v>113</v>
      </c>
      <c r="W4034" s="42">
        <v>46800.3</v>
      </c>
      <c r="X4034" s="42">
        <v>46800.3</v>
      </c>
    </row>
    <row r="4035" spans="1:24">
      <c r="A4035" s="27" t="s">
        <v>7398</v>
      </c>
      <c r="B4035" s="28" t="s">
        <v>5102</v>
      </c>
      <c r="C4035" s="27" t="s">
        <v>7397</v>
      </c>
      <c r="D4035" s="27" t="s">
        <v>5104</v>
      </c>
      <c r="E4035" s="29">
        <v>38078</v>
      </c>
      <c r="F4035" s="27">
        <v>15</v>
      </c>
      <c r="G4035" s="18">
        <v>7358.54</v>
      </c>
      <c r="H4035" s="27">
        <f t="shared" si="124"/>
        <v>7358.54</v>
      </c>
      <c r="I4035" s="18">
        <v>6990.61</v>
      </c>
      <c r="J4035" s="27">
        <v>7358.54</v>
      </c>
      <c r="K4035" s="18">
        <f t="shared" si="125"/>
        <v>7358.54</v>
      </c>
      <c r="L4035" s="27">
        <v>6990.61</v>
      </c>
      <c r="M4035" s="36">
        <v>0</v>
      </c>
      <c r="T4035" s="41">
        <v>0</v>
      </c>
      <c r="U4035" s="41">
        <v>0</v>
      </c>
      <c r="V4035" s="42" t="s">
        <v>113</v>
      </c>
      <c r="W4035" s="42">
        <v>7358.54</v>
      </c>
      <c r="X4035" s="42">
        <v>7358.54</v>
      </c>
    </row>
    <row r="4036" spans="1:24">
      <c r="A4036" s="27" t="s">
        <v>7399</v>
      </c>
      <c r="B4036" s="28" t="s">
        <v>5102</v>
      </c>
      <c r="C4036" s="27" t="s">
        <v>7397</v>
      </c>
      <c r="D4036" s="27" t="s">
        <v>5104</v>
      </c>
      <c r="E4036" s="29">
        <v>38078</v>
      </c>
      <c r="F4036" s="27">
        <v>15</v>
      </c>
      <c r="G4036" s="18">
        <v>70270.31</v>
      </c>
      <c r="H4036" s="27">
        <f t="shared" si="124"/>
        <v>70270.31</v>
      </c>
      <c r="I4036" s="18">
        <v>66756.789999999994</v>
      </c>
      <c r="J4036" s="27">
        <v>70270.31</v>
      </c>
      <c r="K4036" s="18">
        <f t="shared" si="125"/>
        <v>70270.31</v>
      </c>
      <c r="L4036" s="27">
        <v>66756.789999999994</v>
      </c>
      <c r="M4036" s="36">
        <v>0</v>
      </c>
      <c r="T4036" s="41">
        <v>0</v>
      </c>
      <c r="U4036" s="41">
        <v>0</v>
      </c>
      <c r="V4036" s="42" t="s">
        <v>113</v>
      </c>
      <c r="W4036" s="42">
        <v>70270.31</v>
      </c>
      <c r="X4036" s="42">
        <v>70270.31</v>
      </c>
    </row>
    <row r="4037" spans="1:24">
      <c r="A4037" s="27" t="s">
        <v>7400</v>
      </c>
      <c r="B4037" s="28" t="s">
        <v>5102</v>
      </c>
      <c r="C4037" s="27" t="s">
        <v>7397</v>
      </c>
      <c r="D4037" s="27" t="s">
        <v>5104</v>
      </c>
      <c r="E4037" s="29">
        <v>38078</v>
      </c>
      <c r="F4037" s="27">
        <v>15</v>
      </c>
      <c r="G4037" s="18">
        <v>6191.01</v>
      </c>
      <c r="H4037" s="27">
        <f t="shared" si="124"/>
        <v>6191.01</v>
      </c>
      <c r="I4037" s="18">
        <v>5881.46</v>
      </c>
      <c r="J4037" s="27">
        <v>6191.01</v>
      </c>
      <c r="K4037" s="18">
        <f t="shared" si="125"/>
        <v>6191.01</v>
      </c>
      <c r="L4037" s="27">
        <v>5881.46</v>
      </c>
      <c r="M4037" s="36">
        <v>0</v>
      </c>
      <c r="T4037" s="41">
        <v>0</v>
      </c>
      <c r="U4037" s="41">
        <v>0</v>
      </c>
      <c r="V4037" s="42" t="s">
        <v>113</v>
      </c>
      <c r="W4037" s="42">
        <v>6191.01</v>
      </c>
      <c r="X4037" s="42">
        <v>6191.01</v>
      </c>
    </row>
    <row r="4038" spans="1:24">
      <c r="A4038" s="27" t="s">
        <v>7401</v>
      </c>
      <c r="B4038" s="28" t="s">
        <v>5102</v>
      </c>
      <c r="C4038" s="27" t="s">
        <v>7397</v>
      </c>
      <c r="D4038" s="27" t="s">
        <v>5104</v>
      </c>
      <c r="E4038" s="29">
        <v>38078</v>
      </c>
      <c r="F4038" s="27">
        <v>15</v>
      </c>
      <c r="G4038" s="18">
        <v>5037.3</v>
      </c>
      <c r="H4038" s="27">
        <f t="shared" ref="H4038:H4101" si="126">IFERROR(IF(ROUND((G4038-I4038)/G4038,2)&lt;=0.05,G4038,0),0)</f>
        <v>5037.3</v>
      </c>
      <c r="I4038" s="18">
        <v>4785.43</v>
      </c>
      <c r="J4038" s="27">
        <v>5037.3</v>
      </c>
      <c r="K4038" s="18">
        <f t="shared" ref="K4038:K4101" si="127">IFERROR(IF(ROUND((J4038-L4038)/J4038,2)&lt;=0.05,J4038,0),0)</f>
        <v>5037.3</v>
      </c>
      <c r="L4038" s="27">
        <v>4785.43</v>
      </c>
      <c r="M4038" s="36">
        <v>0</v>
      </c>
      <c r="T4038" s="41">
        <v>0</v>
      </c>
      <c r="U4038" s="41">
        <v>0</v>
      </c>
      <c r="V4038" s="42" t="s">
        <v>113</v>
      </c>
      <c r="W4038" s="42">
        <v>5037.3</v>
      </c>
      <c r="X4038" s="42">
        <v>5037.3</v>
      </c>
    </row>
    <row r="4039" spans="1:24">
      <c r="A4039" s="27" t="s">
        <v>7402</v>
      </c>
      <c r="B4039" s="28" t="s">
        <v>5102</v>
      </c>
      <c r="C4039" s="27" t="s">
        <v>7403</v>
      </c>
      <c r="D4039" s="27" t="s">
        <v>5104</v>
      </c>
      <c r="E4039" s="29">
        <v>38078</v>
      </c>
      <c r="F4039" s="27">
        <v>15</v>
      </c>
      <c r="G4039" s="18">
        <v>96618.63</v>
      </c>
      <c r="H4039" s="27">
        <f t="shared" si="126"/>
        <v>96618.63</v>
      </c>
      <c r="I4039" s="18">
        <v>91787.7</v>
      </c>
      <c r="J4039" s="27">
        <v>96618.63</v>
      </c>
      <c r="K4039" s="18">
        <f t="shared" si="127"/>
        <v>96618.63</v>
      </c>
      <c r="L4039" s="27">
        <v>91787.7</v>
      </c>
      <c r="M4039" s="36">
        <v>0</v>
      </c>
      <c r="T4039" s="41">
        <v>0</v>
      </c>
      <c r="U4039" s="41">
        <v>0</v>
      </c>
      <c r="V4039" s="42" t="s">
        <v>113</v>
      </c>
      <c r="W4039" s="42">
        <v>96618.63</v>
      </c>
      <c r="X4039" s="42">
        <v>96618.63</v>
      </c>
    </row>
    <row r="4040" spans="1:24">
      <c r="A4040" s="27" t="s">
        <v>7404</v>
      </c>
      <c r="B4040" s="28" t="s">
        <v>5102</v>
      </c>
      <c r="C4040" s="27" t="s">
        <v>7403</v>
      </c>
      <c r="D4040" s="27" t="s">
        <v>5104</v>
      </c>
      <c r="E4040" s="29">
        <v>38078</v>
      </c>
      <c r="F4040" s="27">
        <v>15</v>
      </c>
      <c r="G4040" s="18">
        <v>6938.47</v>
      </c>
      <c r="H4040" s="27">
        <f t="shared" si="126"/>
        <v>6938.47</v>
      </c>
      <c r="I4040" s="18">
        <v>6591.55</v>
      </c>
      <c r="J4040" s="27">
        <v>6938.47</v>
      </c>
      <c r="K4040" s="18">
        <f t="shared" si="127"/>
        <v>6938.47</v>
      </c>
      <c r="L4040" s="27">
        <v>6591.55</v>
      </c>
      <c r="M4040" s="36">
        <v>0</v>
      </c>
      <c r="T4040" s="41">
        <v>0</v>
      </c>
      <c r="U4040" s="41">
        <v>0</v>
      </c>
      <c r="V4040" s="42" t="s">
        <v>113</v>
      </c>
      <c r="W4040" s="42">
        <v>6938.47</v>
      </c>
      <c r="X4040" s="42">
        <v>6938.47</v>
      </c>
    </row>
    <row r="4041" spans="1:24">
      <c r="A4041" s="27" t="s">
        <v>7405</v>
      </c>
      <c r="B4041" s="28" t="s">
        <v>5102</v>
      </c>
      <c r="C4041" s="27" t="s">
        <v>7406</v>
      </c>
      <c r="D4041" s="27" t="s">
        <v>5104</v>
      </c>
      <c r="E4041" s="29">
        <v>39417</v>
      </c>
      <c r="F4041" s="27">
        <v>15</v>
      </c>
      <c r="G4041" s="18">
        <v>12260.75</v>
      </c>
      <c r="H4041" s="27">
        <f t="shared" si="126"/>
        <v>0</v>
      </c>
      <c r="I4041" s="18">
        <v>10457.17</v>
      </c>
      <c r="J4041" s="27">
        <v>12260.75</v>
      </c>
      <c r="K4041" s="18">
        <f t="shared" si="127"/>
        <v>0</v>
      </c>
      <c r="L4041" s="27">
        <v>10754.81</v>
      </c>
      <c r="M4041" s="36">
        <v>297.64</v>
      </c>
      <c r="T4041" s="41">
        <v>0</v>
      </c>
      <c r="U4041" s="41">
        <v>0</v>
      </c>
      <c r="V4041" s="42" t="s">
        <v>113</v>
      </c>
      <c r="W4041" s="42">
        <v>0</v>
      </c>
      <c r="X4041" s="42">
        <v>0</v>
      </c>
    </row>
    <row r="4042" spans="1:24">
      <c r="A4042" s="27" t="s">
        <v>7407</v>
      </c>
      <c r="B4042" s="28" t="s">
        <v>5102</v>
      </c>
      <c r="C4042" s="27" t="s">
        <v>7408</v>
      </c>
      <c r="D4042" s="27" t="s">
        <v>5104</v>
      </c>
      <c r="E4042" s="29">
        <v>39417</v>
      </c>
      <c r="F4042" s="27">
        <v>15</v>
      </c>
      <c r="G4042" s="18">
        <v>100484.82</v>
      </c>
      <c r="H4042" s="27">
        <f t="shared" si="126"/>
        <v>0</v>
      </c>
      <c r="I4042" s="18">
        <v>85703.42</v>
      </c>
      <c r="J4042" s="27">
        <v>100484.82</v>
      </c>
      <c r="K4042" s="18">
        <f t="shared" si="127"/>
        <v>0</v>
      </c>
      <c r="L4042" s="27">
        <v>88142.71</v>
      </c>
      <c r="M4042" s="36">
        <v>2439.29</v>
      </c>
      <c r="T4042" s="41">
        <v>0</v>
      </c>
      <c r="U4042" s="41">
        <v>0</v>
      </c>
      <c r="V4042" s="42" t="s">
        <v>113</v>
      </c>
      <c r="W4042" s="42">
        <v>0</v>
      </c>
      <c r="X4042" s="42">
        <v>0</v>
      </c>
    </row>
    <row r="4043" spans="1:24">
      <c r="A4043" s="27" t="s">
        <v>7409</v>
      </c>
      <c r="B4043" s="28" t="s">
        <v>5102</v>
      </c>
      <c r="C4043" s="27" t="s">
        <v>7410</v>
      </c>
      <c r="D4043" s="27" t="s">
        <v>5104</v>
      </c>
      <c r="E4043" s="29">
        <v>38078</v>
      </c>
      <c r="F4043" s="27">
        <v>15</v>
      </c>
      <c r="G4043" s="18">
        <v>44092.35</v>
      </c>
      <c r="H4043" s="27">
        <f t="shared" si="126"/>
        <v>44092.35</v>
      </c>
      <c r="I4043" s="18">
        <v>41887.730000000003</v>
      </c>
      <c r="J4043" s="27">
        <v>44092.35</v>
      </c>
      <c r="K4043" s="18">
        <f t="shared" si="127"/>
        <v>44092.35</v>
      </c>
      <c r="L4043" s="27">
        <v>41887.730000000003</v>
      </c>
      <c r="M4043" s="36">
        <v>0</v>
      </c>
      <c r="T4043" s="41">
        <v>0</v>
      </c>
      <c r="U4043" s="41">
        <v>0</v>
      </c>
      <c r="V4043" s="42" t="s">
        <v>113</v>
      </c>
      <c r="W4043" s="42">
        <v>44092.35</v>
      </c>
      <c r="X4043" s="42">
        <v>44092.35</v>
      </c>
    </row>
    <row r="4044" spans="1:24">
      <c r="A4044" s="27" t="s">
        <v>7411</v>
      </c>
      <c r="B4044" s="28" t="s">
        <v>5102</v>
      </c>
      <c r="C4044" s="27" t="s">
        <v>7412</v>
      </c>
      <c r="D4044" s="27" t="s">
        <v>5104</v>
      </c>
      <c r="E4044" s="29">
        <v>39417</v>
      </c>
      <c r="F4044" s="27">
        <v>15</v>
      </c>
      <c r="G4044" s="18">
        <v>9861.91</v>
      </c>
      <c r="H4044" s="27">
        <f t="shared" si="126"/>
        <v>0</v>
      </c>
      <c r="I4044" s="18">
        <v>8411.2000000000007</v>
      </c>
      <c r="J4044" s="27">
        <v>9861.91</v>
      </c>
      <c r="K4044" s="18">
        <f t="shared" si="127"/>
        <v>0</v>
      </c>
      <c r="L4044" s="27">
        <v>8650.6</v>
      </c>
      <c r="M4044" s="36">
        <v>239.4</v>
      </c>
      <c r="T4044" s="41">
        <v>0</v>
      </c>
      <c r="U4044" s="41">
        <v>0</v>
      </c>
      <c r="V4044" s="42" t="s">
        <v>113</v>
      </c>
      <c r="W4044" s="42">
        <v>0</v>
      </c>
      <c r="X4044" s="42">
        <v>0</v>
      </c>
    </row>
    <row r="4045" spans="1:24">
      <c r="A4045" s="27" t="s">
        <v>7413</v>
      </c>
      <c r="B4045" s="28" t="s">
        <v>5102</v>
      </c>
      <c r="C4045" s="27" t="s">
        <v>7414</v>
      </c>
      <c r="D4045" s="27" t="s">
        <v>5104</v>
      </c>
      <c r="E4045" s="29">
        <v>39417</v>
      </c>
      <c r="F4045" s="27">
        <v>15</v>
      </c>
      <c r="G4045" s="18">
        <v>32517.63</v>
      </c>
      <c r="H4045" s="27">
        <f t="shared" si="126"/>
        <v>0</v>
      </c>
      <c r="I4045" s="18">
        <v>27734.25</v>
      </c>
      <c r="J4045" s="27">
        <v>32517.63</v>
      </c>
      <c r="K4045" s="18">
        <f t="shared" si="127"/>
        <v>0</v>
      </c>
      <c r="L4045" s="27">
        <v>28523.63</v>
      </c>
      <c r="M4045" s="36">
        <v>789.38</v>
      </c>
      <c r="T4045" s="41">
        <v>0</v>
      </c>
      <c r="U4045" s="41">
        <v>0</v>
      </c>
      <c r="V4045" s="42" t="s">
        <v>113</v>
      </c>
      <c r="W4045" s="42">
        <v>0</v>
      </c>
      <c r="X4045" s="42">
        <v>0</v>
      </c>
    </row>
    <row r="4046" spans="1:24">
      <c r="A4046" s="27" t="s">
        <v>7415</v>
      </c>
      <c r="B4046" s="28" t="s">
        <v>5102</v>
      </c>
      <c r="C4046" s="27" t="s">
        <v>7416</v>
      </c>
      <c r="D4046" s="27" t="s">
        <v>5104</v>
      </c>
      <c r="E4046" s="29">
        <v>38078</v>
      </c>
      <c r="F4046" s="27">
        <v>15</v>
      </c>
      <c r="G4046" s="18">
        <v>54806.39</v>
      </c>
      <c r="H4046" s="27">
        <f t="shared" si="126"/>
        <v>54806.39</v>
      </c>
      <c r="I4046" s="18">
        <v>52066.07</v>
      </c>
      <c r="J4046" s="27">
        <v>54806.39</v>
      </c>
      <c r="K4046" s="18">
        <f t="shared" si="127"/>
        <v>54806.39</v>
      </c>
      <c r="L4046" s="27">
        <v>52066.07</v>
      </c>
      <c r="M4046" s="36">
        <v>0</v>
      </c>
      <c r="T4046" s="41">
        <v>0</v>
      </c>
      <c r="U4046" s="41">
        <v>0</v>
      </c>
      <c r="V4046" s="42" t="s">
        <v>113</v>
      </c>
      <c r="W4046" s="42">
        <v>54806.39</v>
      </c>
      <c r="X4046" s="42">
        <v>54806.39</v>
      </c>
    </row>
    <row r="4047" spans="1:24">
      <c r="A4047" s="27" t="s">
        <v>7417</v>
      </c>
      <c r="B4047" s="28" t="s">
        <v>5102</v>
      </c>
      <c r="C4047" s="27" t="s">
        <v>7416</v>
      </c>
      <c r="D4047" s="27" t="s">
        <v>5104</v>
      </c>
      <c r="E4047" s="29">
        <v>38078</v>
      </c>
      <c r="F4047" s="27">
        <v>15</v>
      </c>
      <c r="G4047" s="18">
        <v>56433.99</v>
      </c>
      <c r="H4047" s="27">
        <f t="shared" si="126"/>
        <v>56433.99</v>
      </c>
      <c r="I4047" s="18">
        <v>53612.29</v>
      </c>
      <c r="J4047" s="27">
        <v>56433.99</v>
      </c>
      <c r="K4047" s="18">
        <f t="shared" si="127"/>
        <v>56433.99</v>
      </c>
      <c r="L4047" s="27">
        <v>53612.29</v>
      </c>
      <c r="M4047" s="36">
        <v>0</v>
      </c>
      <c r="T4047" s="41">
        <v>0</v>
      </c>
      <c r="U4047" s="41">
        <v>0</v>
      </c>
      <c r="V4047" s="42" t="s">
        <v>113</v>
      </c>
      <c r="W4047" s="42">
        <v>56433.99</v>
      </c>
      <c r="X4047" s="42">
        <v>56433.99</v>
      </c>
    </row>
    <row r="4048" spans="1:24">
      <c r="A4048" s="27" t="s">
        <v>7418</v>
      </c>
      <c r="B4048" s="28" t="s">
        <v>5102</v>
      </c>
      <c r="C4048" s="27" t="s">
        <v>7419</v>
      </c>
      <c r="D4048" s="27" t="s">
        <v>5104</v>
      </c>
      <c r="E4048" s="29">
        <v>38078</v>
      </c>
      <c r="F4048" s="27">
        <v>15</v>
      </c>
      <c r="G4048" s="18">
        <v>16100.48</v>
      </c>
      <c r="H4048" s="27">
        <f t="shared" si="126"/>
        <v>16100.48</v>
      </c>
      <c r="I4048" s="18">
        <v>15295.46</v>
      </c>
      <c r="J4048" s="27">
        <v>16100.48</v>
      </c>
      <c r="K4048" s="18">
        <f t="shared" si="127"/>
        <v>16100.48</v>
      </c>
      <c r="L4048" s="27">
        <v>15295.46</v>
      </c>
      <c r="M4048" s="36">
        <v>0</v>
      </c>
      <c r="T4048" s="41">
        <v>0</v>
      </c>
      <c r="U4048" s="41">
        <v>0</v>
      </c>
      <c r="V4048" s="42" t="s">
        <v>113</v>
      </c>
      <c r="W4048" s="42">
        <v>16100.48</v>
      </c>
      <c r="X4048" s="42">
        <v>16100.48</v>
      </c>
    </row>
    <row r="4049" spans="1:24">
      <c r="A4049" s="27" t="s">
        <v>7420</v>
      </c>
      <c r="B4049" s="28" t="s">
        <v>5102</v>
      </c>
      <c r="C4049" s="27" t="s">
        <v>7419</v>
      </c>
      <c r="D4049" s="27" t="s">
        <v>5104</v>
      </c>
      <c r="E4049" s="29">
        <v>38078</v>
      </c>
      <c r="F4049" s="27">
        <v>15</v>
      </c>
      <c r="G4049" s="18">
        <v>37600.99</v>
      </c>
      <c r="H4049" s="27">
        <f t="shared" si="126"/>
        <v>37600.99</v>
      </c>
      <c r="I4049" s="18">
        <v>35720.94</v>
      </c>
      <c r="J4049" s="27">
        <v>37600.99</v>
      </c>
      <c r="K4049" s="18">
        <f t="shared" si="127"/>
        <v>37600.99</v>
      </c>
      <c r="L4049" s="27">
        <v>35720.94</v>
      </c>
      <c r="M4049" s="36">
        <v>0</v>
      </c>
      <c r="T4049" s="41">
        <v>0</v>
      </c>
      <c r="U4049" s="41">
        <v>0</v>
      </c>
      <c r="V4049" s="42" t="s">
        <v>113</v>
      </c>
      <c r="W4049" s="42">
        <v>37600.99</v>
      </c>
      <c r="X4049" s="42">
        <v>37600.99</v>
      </c>
    </row>
    <row r="4050" spans="1:24">
      <c r="A4050" s="27" t="s">
        <v>7421</v>
      </c>
      <c r="B4050" s="28" t="s">
        <v>5102</v>
      </c>
      <c r="C4050" s="27" t="s">
        <v>7422</v>
      </c>
      <c r="D4050" s="27" t="s">
        <v>5104</v>
      </c>
      <c r="E4050" s="29">
        <v>38078</v>
      </c>
      <c r="F4050" s="27">
        <v>15</v>
      </c>
      <c r="G4050" s="18">
        <v>42885.55</v>
      </c>
      <c r="H4050" s="27">
        <f t="shared" si="126"/>
        <v>42885.55</v>
      </c>
      <c r="I4050" s="18">
        <v>40741.269999999997</v>
      </c>
      <c r="J4050" s="27">
        <v>42885.55</v>
      </c>
      <c r="K4050" s="18">
        <f t="shared" si="127"/>
        <v>42885.55</v>
      </c>
      <c r="L4050" s="27">
        <v>40741.269999999997</v>
      </c>
      <c r="M4050" s="36">
        <v>0</v>
      </c>
      <c r="T4050" s="41">
        <v>0</v>
      </c>
      <c r="U4050" s="41">
        <v>0</v>
      </c>
      <c r="V4050" s="42" t="s">
        <v>113</v>
      </c>
      <c r="W4050" s="42">
        <v>42885.55</v>
      </c>
      <c r="X4050" s="42">
        <v>42885.55</v>
      </c>
    </row>
    <row r="4051" spans="1:24">
      <c r="A4051" s="27" t="s">
        <v>7423</v>
      </c>
      <c r="B4051" s="28" t="s">
        <v>5102</v>
      </c>
      <c r="C4051" s="27" t="s">
        <v>7422</v>
      </c>
      <c r="D4051" s="27" t="s">
        <v>5104</v>
      </c>
      <c r="E4051" s="29">
        <v>38078</v>
      </c>
      <c r="F4051" s="27">
        <v>15</v>
      </c>
      <c r="G4051" s="18">
        <v>22752.59</v>
      </c>
      <c r="H4051" s="27">
        <f t="shared" si="126"/>
        <v>22752.59</v>
      </c>
      <c r="I4051" s="18">
        <v>21614.959999999999</v>
      </c>
      <c r="J4051" s="27">
        <v>22752.59</v>
      </c>
      <c r="K4051" s="18">
        <f t="shared" si="127"/>
        <v>22752.59</v>
      </c>
      <c r="L4051" s="27">
        <v>21614.959999999999</v>
      </c>
      <c r="M4051" s="36">
        <v>0</v>
      </c>
      <c r="T4051" s="41">
        <v>0</v>
      </c>
      <c r="U4051" s="41">
        <v>0</v>
      </c>
      <c r="V4051" s="42" t="s">
        <v>113</v>
      </c>
      <c r="W4051" s="42">
        <v>22752.59</v>
      </c>
      <c r="X4051" s="42">
        <v>22752.59</v>
      </c>
    </row>
    <row r="4052" spans="1:24">
      <c r="A4052" s="27" t="s">
        <v>7424</v>
      </c>
      <c r="B4052" s="28" t="s">
        <v>5102</v>
      </c>
      <c r="C4052" s="27" t="s">
        <v>7425</v>
      </c>
      <c r="D4052" s="27" t="s">
        <v>5104</v>
      </c>
      <c r="E4052" s="29">
        <v>38078</v>
      </c>
      <c r="F4052" s="27">
        <v>15</v>
      </c>
      <c r="G4052" s="18">
        <v>6534.38</v>
      </c>
      <c r="H4052" s="27">
        <f t="shared" si="126"/>
        <v>6534.38</v>
      </c>
      <c r="I4052" s="18">
        <v>6207.66</v>
      </c>
      <c r="J4052" s="27">
        <v>6534.38</v>
      </c>
      <c r="K4052" s="18">
        <f t="shared" si="127"/>
        <v>6534.38</v>
      </c>
      <c r="L4052" s="27">
        <v>6207.66</v>
      </c>
      <c r="M4052" s="36">
        <v>0</v>
      </c>
      <c r="T4052" s="41">
        <v>0</v>
      </c>
      <c r="U4052" s="41">
        <v>0</v>
      </c>
      <c r="V4052" s="42" t="s">
        <v>113</v>
      </c>
      <c r="W4052" s="42">
        <v>6534.38</v>
      </c>
      <c r="X4052" s="42">
        <v>6534.38</v>
      </c>
    </row>
    <row r="4053" spans="1:24">
      <c r="A4053" s="27" t="s">
        <v>7426</v>
      </c>
      <c r="B4053" s="28" t="s">
        <v>5102</v>
      </c>
      <c r="C4053" s="27" t="s">
        <v>7427</v>
      </c>
      <c r="D4053" s="27" t="s">
        <v>5104</v>
      </c>
      <c r="E4053" s="29">
        <v>38078</v>
      </c>
      <c r="F4053" s="27">
        <v>15</v>
      </c>
      <c r="G4053" s="18">
        <v>27314.89</v>
      </c>
      <c r="H4053" s="27">
        <f t="shared" si="126"/>
        <v>27314.89</v>
      </c>
      <c r="I4053" s="18">
        <v>25949.15</v>
      </c>
      <c r="J4053" s="27">
        <v>27314.89</v>
      </c>
      <c r="K4053" s="18">
        <f t="shared" si="127"/>
        <v>27314.89</v>
      </c>
      <c r="L4053" s="27">
        <v>25949.15</v>
      </c>
      <c r="M4053" s="36">
        <v>0</v>
      </c>
      <c r="T4053" s="41">
        <v>0</v>
      </c>
      <c r="U4053" s="41">
        <v>0</v>
      </c>
      <c r="V4053" s="42" t="s">
        <v>113</v>
      </c>
      <c r="W4053" s="42">
        <v>27314.89</v>
      </c>
      <c r="X4053" s="42">
        <v>27314.89</v>
      </c>
    </row>
    <row r="4054" spans="1:24">
      <c r="A4054" s="27" t="s">
        <v>7428</v>
      </c>
      <c r="B4054" s="28" t="s">
        <v>5102</v>
      </c>
      <c r="C4054" s="27" t="s">
        <v>7427</v>
      </c>
      <c r="D4054" s="27" t="s">
        <v>5104</v>
      </c>
      <c r="E4054" s="29">
        <v>38078</v>
      </c>
      <c r="F4054" s="27">
        <v>15</v>
      </c>
      <c r="G4054" s="18">
        <v>13922.35</v>
      </c>
      <c r="H4054" s="27">
        <f t="shared" si="126"/>
        <v>13922.35</v>
      </c>
      <c r="I4054" s="18">
        <v>13226.23</v>
      </c>
      <c r="J4054" s="27">
        <v>13922.35</v>
      </c>
      <c r="K4054" s="18">
        <f t="shared" si="127"/>
        <v>13922.35</v>
      </c>
      <c r="L4054" s="27">
        <v>13226.23</v>
      </c>
      <c r="M4054" s="36">
        <v>0</v>
      </c>
      <c r="T4054" s="41">
        <v>0</v>
      </c>
      <c r="U4054" s="41">
        <v>0</v>
      </c>
      <c r="V4054" s="42" t="s">
        <v>113</v>
      </c>
      <c r="W4054" s="42">
        <v>13922.35</v>
      </c>
      <c r="X4054" s="42">
        <v>13922.35</v>
      </c>
    </row>
    <row r="4055" spans="1:24">
      <c r="A4055" s="27" t="s">
        <v>7429</v>
      </c>
      <c r="B4055" s="28" t="s">
        <v>5102</v>
      </c>
      <c r="C4055" s="27" t="s">
        <v>7427</v>
      </c>
      <c r="D4055" s="27" t="s">
        <v>5104</v>
      </c>
      <c r="E4055" s="29">
        <v>38078</v>
      </c>
      <c r="F4055" s="27">
        <v>15</v>
      </c>
      <c r="G4055" s="18">
        <v>125249.99</v>
      </c>
      <c r="H4055" s="27">
        <f t="shared" si="126"/>
        <v>125249.99</v>
      </c>
      <c r="I4055" s="18">
        <v>118987.49</v>
      </c>
      <c r="J4055" s="27">
        <v>125249.99</v>
      </c>
      <c r="K4055" s="18">
        <f t="shared" si="127"/>
        <v>125249.99</v>
      </c>
      <c r="L4055" s="27">
        <v>118987.49</v>
      </c>
      <c r="M4055" s="36">
        <v>0</v>
      </c>
      <c r="T4055" s="41">
        <v>0</v>
      </c>
      <c r="U4055" s="41">
        <v>0</v>
      </c>
      <c r="V4055" s="42" t="s">
        <v>113</v>
      </c>
      <c r="W4055" s="42">
        <v>125249.99</v>
      </c>
      <c r="X4055" s="42">
        <v>125249.99</v>
      </c>
    </row>
    <row r="4056" spans="1:24">
      <c r="A4056" s="27" t="s">
        <v>7430</v>
      </c>
      <c r="B4056" s="28" t="s">
        <v>5102</v>
      </c>
      <c r="C4056" s="27" t="s">
        <v>7427</v>
      </c>
      <c r="D4056" s="27" t="s">
        <v>5104</v>
      </c>
      <c r="E4056" s="29">
        <v>38078</v>
      </c>
      <c r="F4056" s="27">
        <v>15</v>
      </c>
      <c r="G4056" s="18">
        <v>6142.25</v>
      </c>
      <c r="H4056" s="27">
        <f t="shared" si="126"/>
        <v>6142.25</v>
      </c>
      <c r="I4056" s="18">
        <v>5835.14</v>
      </c>
      <c r="J4056" s="27">
        <v>6142.25</v>
      </c>
      <c r="K4056" s="18">
        <f t="shared" si="127"/>
        <v>6142.25</v>
      </c>
      <c r="L4056" s="27">
        <v>5835.14</v>
      </c>
      <c r="M4056" s="36">
        <v>0</v>
      </c>
      <c r="T4056" s="41">
        <v>0</v>
      </c>
      <c r="U4056" s="41">
        <v>0</v>
      </c>
      <c r="V4056" s="42" t="s">
        <v>113</v>
      </c>
      <c r="W4056" s="42">
        <v>6142.25</v>
      </c>
      <c r="X4056" s="42">
        <v>6142.25</v>
      </c>
    </row>
    <row r="4057" spans="1:24">
      <c r="A4057" s="27" t="s">
        <v>7431</v>
      </c>
      <c r="B4057" s="28" t="s">
        <v>5102</v>
      </c>
      <c r="C4057" s="27" t="s">
        <v>7432</v>
      </c>
      <c r="D4057" s="27" t="s">
        <v>5104</v>
      </c>
      <c r="E4057" s="29">
        <v>38078</v>
      </c>
      <c r="F4057" s="27">
        <v>15</v>
      </c>
      <c r="G4057" s="18">
        <v>88361.31</v>
      </c>
      <c r="H4057" s="27">
        <f t="shared" si="126"/>
        <v>88361.31</v>
      </c>
      <c r="I4057" s="18">
        <v>83943.24</v>
      </c>
      <c r="J4057" s="27">
        <v>88361.31</v>
      </c>
      <c r="K4057" s="18">
        <f t="shared" si="127"/>
        <v>88361.31</v>
      </c>
      <c r="L4057" s="27">
        <v>83943.24</v>
      </c>
      <c r="M4057" s="36">
        <v>0</v>
      </c>
      <c r="T4057" s="41">
        <v>0</v>
      </c>
      <c r="U4057" s="41">
        <v>0</v>
      </c>
      <c r="V4057" s="42" t="s">
        <v>113</v>
      </c>
      <c r="W4057" s="42">
        <v>88361.31</v>
      </c>
      <c r="X4057" s="42">
        <v>88361.31</v>
      </c>
    </row>
    <row r="4058" spans="1:24">
      <c r="A4058" s="27" t="s">
        <v>7433</v>
      </c>
      <c r="B4058" s="28" t="s">
        <v>5102</v>
      </c>
      <c r="C4058" s="27" t="s">
        <v>7432</v>
      </c>
      <c r="D4058" s="27" t="s">
        <v>5104</v>
      </c>
      <c r="E4058" s="29">
        <v>38078</v>
      </c>
      <c r="F4058" s="27">
        <v>15</v>
      </c>
      <c r="G4058" s="18">
        <v>126078.71</v>
      </c>
      <c r="H4058" s="27">
        <f t="shared" si="126"/>
        <v>126078.71</v>
      </c>
      <c r="I4058" s="18">
        <v>119774.77</v>
      </c>
      <c r="J4058" s="27">
        <v>126078.71</v>
      </c>
      <c r="K4058" s="18">
        <f t="shared" si="127"/>
        <v>126078.71</v>
      </c>
      <c r="L4058" s="27">
        <v>119774.77</v>
      </c>
      <c r="M4058" s="36">
        <v>0</v>
      </c>
      <c r="T4058" s="41">
        <v>0</v>
      </c>
      <c r="U4058" s="41">
        <v>0</v>
      </c>
      <c r="V4058" s="42" t="s">
        <v>113</v>
      </c>
      <c r="W4058" s="42">
        <v>126078.71</v>
      </c>
      <c r="X4058" s="42">
        <v>126078.71</v>
      </c>
    </row>
    <row r="4059" spans="1:24">
      <c r="A4059" s="27" t="s">
        <v>7434</v>
      </c>
      <c r="B4059" s="28" t="s">
        <v>5102</v>
      </c>
      <c r="C4059" s="27" t="s">
        <v>7435</v>
      </c>
      <c r="D4059" s="27" t="s">
        <v>5104</v>
      </c>
      <c r="E4059" s="29">
        <v>39417</v>
      </c>
      <c r="F4059" s="27">
        <v>15</v>
      </c>
      <c r="G4059" s="18">
        <v>21056.5</v>
      </c>
      <c r="H4059" s="27">
        <f t="shared" si="126"/>
        <v>0</v>
      </c>
      <c r="I4059" s="18">
        <v>17959.07</v>
      </c>
      <c r="J4059" s="27">
        <v>21056.5</v>
      </c>
      <c r="K4059" s="18">
        <f t="shared" si="127"/>
        <v>0</v>
      </c>
      <c r="L4059" s="27">
        <v>18470.22</v>
      </c>
      <c r="M4059" s="36">
        <v>511.15</v>
      </c>
      <c r="T4059" s="41">
        <v>0</v>
      </c>
      <c r="U4059" s="41">
        <v>0</v>
      </c>
      <c r="V4059" s="42" t="s">
        <v>113</v>
      </c>
      <c r="W4059" s="42">
        <v>0</v>
      </c>
      <c r="X4059" s="42">
        <v>0</v>
      </c>
    </row>
    <row r="4060" spans="1:24">
      <c r="A4060" s="27" t="s">
        <v>7436</v>
      </c>
      <c r="B4060" s="28" t="s">
        <v>5102</v>
      </c>
      <c r="C4060" s="27" t="s">
        <v>7437</v>
      </c>
      <c r="D4060" s="27" t="s">
        <v>5104</v>
      </c>
      <c r="E4060" s="29">
        <v>39417</v>
      </c>
      <c r="F4060" s="27">
        <v>15</v>
      </c>
      <c r="G4060" s="18">
        <v>390443.94</v>
      </c>
      <c r="H4060" s="27">
        <f t="shared" si="126"/>
        <v>0</v>
      </c>
      <c r="I4060" s="18">
        <v>333879.17</v>
      </c>
      <c r="J4060" s="27">
        <v>390443.94</v>
      </c>
      <c r="K4060" s="18">
        <f t="shared" si="127"/>
        <v>0</v>
      </c>
      <c r="L4060" s="27">
        <v>343139.81</v>
      </c>
      <c r="M4060" s="36">
        <v>9260.64</v>
      </c>
      <c r="T4060" s="41">
        <v>0</v>
      </c>
      <c r="U4060" s="41">
        <v>0</v>
      </c>
      <c r="V4060" s="42" t="s">
        <v>113</v>
      </c>
      <c r="W4060" s="42">
        <v>0</v>
      </c>
      <c r="X4060" s="42">
        <v>0</v>
      </c>
    </row>
    <row r="4061" spans="1:24">
      <c r="A4061" s="27" t="s">
        <v>7438</v>
      </c>
      <c r="B4061" s="28" t="s">
        <v>5102</v>
      </c>
      <c r="C4061" s="27" t="s">
        <v>7439</v>
      </c>
      <c r="D4061" s="27" t="s">
        <v>5104</v>
      </c>
      <c r="E4061" s="29">
        <v>38078</v>
      </c>
      <c r="F4061" s="27">
        <v>15</v>
      </c>
      <c r="G4061" s="18">
        <v>25725.45</v>
      </c>
      <c r="H4061" s="27">
        <f t="shared" si="126"/>
        <v>25725.45</v>
      </c>
      <c r="I4061" s="18">
        <v>24439.18</v>
      </c>
      <c r="J4061" s="27">
        <v>25725.45</v>
      </c>
      <c r="K4061" s="18">
        <f t="shared" si="127"/>
        <v>25725.45</v>
      </c>
      <c r="L4061" s="27">
        <v>24439.18</v>
      </c>
      <c r="M4061" s="36">
        <v>0</v>
      </c>
      <c r="T4061" s="41">
        <v>0</v>
      </c>
      <c r="U4061" s="41">
        <v>0</v>
      </c>
      <c r="V4061" s="42" t="s">
        <v>113</v>
      </c>
      <c r="W4061" s="42">
        <v>25725.45</v>
      </c>
      <c r="X4061" s="42">
        <v>25725.45</v>
      </c>
    </row>
    <row r="4062" spans="1:24">
      <c r="A4062" s="27" t="s">
        <v>7440</v>
      </c>
      <c r="B4062" s="28" t="s">
        <v>5102</v>
      </c>
      <c r="C4062" s="27" t="s">
        <v>7439</v>
      </c>
      <c r="D4062" s="27" t="s">
        <v>5104</v>
      </c>
      <c r="E4062" s="29">
        <v>38078</v>
      </c>
      <c r="F4062" s="27">
        <v>15</v>
      </c>
      <c r="G4062" s="18">
        <v>34367.379999999997</v>
      </c>
      <c r="H4062" s="27">
        <f t="shared" si="126"/>
        <v>34367.379999999997</v>
      </c>
      <c r="I4062" s="18">
        <v>32649.01</v>
      </c>
      <c r="J4062" s="27">
        <v>34367.379999999997</v>
      </c>
      <c r="K4062" s="18">
        <f t="shared" si="127"/>
        <v>34367.379999999997</v>
      </c>
      <c r="L4062" s="27">
        <v>32649.01</v>
      </c>
      <c r="M4062" s="36">
        <v>0</v>
      </c>
      <c r="T4062" s="41">
        <v>0</v>
      </c>
      <c r="U4062" s="41">
        <v>0</v>
      </c>
      <c r="V4062" s="42" t="s">
        <v>113</v>
      </c>
      <c r="W4062" s="42">
        <v>34367.379999999997</v>
      </c>
      <c r="X4062" s="42">
        <v>34367.379999999997</v>
      </c>
    </row>
    <row r="4063" spans="1:24">
      <c r="A4063" s="27" t="s">
        <v>7441</v>
      </c>
      <c r="B4063" s="28" t="s">
        <v>5102</v>
      </c>
      <c r="C4063" s="27" t="s">
        <v>7442</v>
      </c>
      <c r="D4063" s="27" t="s">
        <v>5104</v>
      </c>
      <c r="E4063" s="29">
        <v>39417</v>
      </c>
      <c r="F4063" s="27">
        <v>15</v>
      </c>
      <c r="G4063" s="18">
        <v>13060.36</v>
      </c>
      <c r="H4063" s="27">
        <f t="shared" si="126"/>
        <v>0</v>
      </c>
      <c r="I4063" s="18">
        <v>11139.16</v>
      </c>
      <c r="J4063" s="27">
        <v>13060.36</v>
      </c>
      <c r="K4063" s="18">
        <f t="shared" si="127"/>
        <v>0</v>
      </c>
      <c r="L4063" s="27">
        <v>11456.21</v>
      </c>
      <c r="M4063" s="36">
        <v>317.05</v>
      </c>
      <c r="T4063" s="41">
        <v>0</v>
      </c>
      <c r="U4063" s="41">
        <v>0</v>
      </c>
      <c r="V4063" s="42" t="s">
        <v>113</v>
      </c>
      <c r="W4063" s="42">
        <v>0</v>
      </c>
      <c r="X4063" s="42">
        <v>0</v>
      </c>
    </row>
    <row r="4064" spans="1:24">
      <c r="A4064" s="27" t="s">
        <v>7443</v>
      </c>
      <c r="B4064" s="28" t="s">
        <v>5102</v>
      </c>
      <c r="C4064" s="27" t="s">
        <v>7444</v>
      </c>
      <c r="D4064" s="27" t="s">
        <v>5104</v>
      </c>
      <c r="E4064" s="29">
        <v>39417</v>
      </c>
      <c r="F4064" s="27">
        <v>15</v>
      </c>
      <c r="G4064" s="18">
        <v>22122.65</v>
      </c>
      <c r="H4064" s="27">
        <f t="shared" si="126"/>
        <v>0</v>
      </c>
      <c r="I4064" s="18">
        <v>18868.400000000001</v>
      </c>
      <c r="J4064" s="27">
        <v>22122.65</v>
      </c>
      <c r="K4064" s="18">
        <f t="shared" si="127"/>
        <v>0</v>
      </c>
      <c r="L4064" s="27">
        <v>19405.43</v>
      </c>
      <c r="M4064" s="36">
        <v>537.03</v>
      </c>
      <c r="T4064" s="41">
        <v>0</v>
      </c>
      <c r="U4064" s="41">
        <v>0</v>
      </c>
      <c r="V4064" s="42" t="s">
        <v>113</v>
      </c>
      <c r="W4064" s="42">
        <v>0</v>
      </c>
      <c r="X4064" s="42">
        <v>0</v>
      </c>
    </row>
    <row r="4065" spans="1:24">
      <c r="A4065" s="27" t="s">
        <v>7445</v>
      </c>
      <c r="B4065" s="28" t="s">
        <v>5102</v>
      </c>
      <c r="C4065" s="27" t="s">
        <v>7446</v>
      </c>
      <c r="D4065" s="27" t="s">
        <v>5104</v>
      </c>
      <c r="E4065" s="29">
        <v>39417</v>
      </c>
      <c r="F4065" s="27">
        <v>15</v>
      </c>
      <c r="G4065" s="18">
        <v>178846.98</v>
      </c>
      <c r="H4065" s="27">
        <f t="shared" si="126"/>
        <v>0</v>
      </c>
      <c r="I4065" s="18">
        <v>152538.45000000001</v>
      </c>
      <c r="J4065" s="27">
        <v>178846.98</v>
      </c>
      <c r="K4065" s="18">
        <f t="shared" si="127"/>
        <v>0</v>
      </c>
      <c r="L4065" s="27">
        <v>156880</v>
      </c>
      <c r="M4065" s="36">
        <v>4341.55</v>
      </c>
      <c r="T4065" s="41">
        <v>0</v>
      </c>
      <c r="U4065" s="41">
        <v>0</v>
      </c>
      <c r="V4065" s="42" t="s">
        <v>113</v>
      </c>
      <c r="W4065" s="42">
        <v>0</v>
      </c>
      <c r="X4065" s="42">
        <v>0</v>
      </c>
    </row>
    <row r="4066" spans="1:24">
      <c r="A4066" s="27" t="s">
        <v>7447</v>
      </c>
      <c r="B4066" s="28" t="s">
        <v>5102</v>
      </c>
      <c r="C4066" s="27" t="s">
        <v>7448</v>
      </c>
      <c r="D4066" s="27" t="s">
        <v>5104</v>
      </c>
      <c r="E4066" s="29">
        <v>38078</v>
      </c>
      <c r="F4066" s="27">
        <v>15</v>
      </c>
      <c r="G4066" s="18">
        <v>49037.29</v>
      </c>
      <c r="H4066" s="27">
        <f t="shared" si="126"/>
        <v>49037.29</v>
      </c>
      <c r="I4066" s="18">
        <v>46585.43</v>
      </c>
      <c r="J4066" s="27">
        <v>49037.29</v>
      </c>
      <c r="K4066" s="18">
        <f t="shared" si="127"/>
        <v>49037.29</v>
      </c>
      <c r="L4066" s="27">
        <v>46585.43</v>
      </c>
      <c r="M4066" s="36">
        <v>0</v>
      </c>
      <c r="T4066" s="41">
        <v>0</v>
      </c>
      <c r="U4066" s="41">
        <v>0</v>
      </c>
      <c r="V4066" s="42" t="s">
        <v>113</v>
      </c>
      <c r="W4066" s="42">
        <v>49037.29</v>
      </c>
      <c r="X4066" s="42">
        <v>49037.29</v>
      </c>
    </row>
    <row r="4067" spans="1:24">
      <c r="A4067" s="27" t="s">
        <v>7449</v>
      </c>
      <c r="B4067" s="28" t="s">
        <v>5102</v>
      </c>
      <c r="C4067" s="27" t="s">
        <v>7448</v>
      </c>
      <c r="D4067" s="27" t="s">
        <v>5104</v>
      </c>
      <c r="E4067" s="29">
        <v>38078</v>
      </c>
      <c r="F4067" s="27">
        <v>15</v>
      </c>
      <c r="G4067" s="18">
        <v>102728.39</v>
      </c>
      <c r="H4067" s="27">
        <f t="shared" si="126"/>
        <v>102728.39</v>
      </c>
      <c r="I4067" s="18">
        <v>97591.97</v>
      </c>
      <c r="J4067" s="27">
        <v>102728.39</v>
      </c>
      <c r="K4067" s="18">
        <f t="shared" si="127"/>
        <v>102728.39</v>
      </c>
      <c r="L4067" s="27">
        <v>97591.97</v>
      </c>
      <c r="M4067" s="36">
        <v>0</v>
      </c>
      <c r="T4067" s="41">
        <v>0</v>
      </c>
      <c r="U4067" s="41">
        <v>0</v>
      </c>
      <c r="V4067" s="42" t="s">
        <v>113</v>
      </c>
      <c r="W4067" s="42">
        <v>102728.39</v>
      </c>
      <c r="X4067" s="42">
        <v>102728.39</v>
      </c>
    </row>
    <row r="4068" spans="1:24">
      <c r="A4068" s="27" t="s">
        <v>7450</v>
      </c>
      <c r="B4068" s="28" t="s">
        <v>5102</v>
      </c>
      <c r="C4068" s="27" t="s">
        <v>7448</v>
      </c>
      <c r="D4068" s="27" t="s">
        <v>5104</v>
      </c>
      <c r="E4068" s="29">
        <v>38078</v>
      </c>
      <c r="F4068" s="27">
        <v>15</v>
      </c>
      <c r="G4068" s="18">
        <v>5736.02</v>
      </c>
      <c r="H4068" s="27">
        <f t="shared" si="126"/>
        <v>5736.02</v>
      </c>
      <c r="I4068" s="18">
        <v>5449.22</v>
      </c>
      <c r="J4068" s="27">
        <v>5736.02</v>
      </c>
      <c r="K4068" s="18">
        <f t="shared" si="127"/>
        <v>5736.02</v>
      </c>
      <c r="L4068" s="27">
        <v>5449.22</v>
      </c>
      <c r="M4068" s="36">
        <v>0</v>
      </c>
      <c r="T4068" s="41">
        <v>0</v>
      </c>
      <c r="U4068" s="41">
        <v>0</v>
      </c>
      <c r="V4068" s="42" t="s">
        <v>113</v>
      </c>
      <c r="W4068" s="42">
        <v>5736.02</v>
      </c>
      <c r="X4068" s="42">
        <v>5736.02</v>
      </c>
    </row>
    <row r="4069" spans="1:24">
      <c r="A4069" s="27" t="s">
        <v>7451</v>
      </c>
      <c r="B4069" s="28" t="s">
        <v>5102</v>
      </c>
      <c r="C4069" s="27" t="s">
        <v>7452</v>
      </c>
      <c r="D4069" s="27" t="s">
        <v>5104</v>
      </c>
      <c r="E4069" s="29">
        <v>38078</v>
      </c>
      <c r="F4069" s="27">
        <v>15</v>
      </c>
      <c r="G4069" s="18">
        <v>14687.64</v>
      </c>
      <c r="H4069" s="27">
        <f t="shared" si="126"/>
        <v>14687.64</v>
      </c>
      <c r="I4069" s="18">
        <v>13953.26</v>
      </c>
      <c r="J4069" s="27">
        <v>14687.64</v>
      </c>
      <c r="K4069" s="18">
        <f t="shared" si="127"/>
        <v>14687.64</v>
      </c>
      <c r="L4069" s="27">
        <v>13953.26</v>
      </c>
      <c r="M4069" s="36">
        <v>0</v>
      </c>
      <c r="T4069" s="41">
        <v>0</v>
      </c>
      <c r="U4069" s="41">
        <v>0</v>
      </c>
      <c r="V4069" s="42" t="s">
        <v>113</v>
      </c>
      <c r="W4069" s="42">
        <v>14687.64</v>
      </c>
      <c r="X4069" s="42">
        <v>14687.64</v>
      </c>
    </row>
    <row r="4070" spans="1:24">
      <c r="A4070" s="27" t="s">
        <v>7453</v>
      </c>
      <c r="B4070" s="28" t="s">
        <v>5102</v>
      </c>
      <c r="C4070" s="27" t="s">
        <v>7452</v>
      </c>
      <c r="D4070" s="27" t="s">
        <v>5104</v>
      </c>
      <c r="E4070" s="29">
        <v>38078</v>
      </c>
      <c r="F4070" s="27">
        <v>15</v>
      </c>
      <c r="G4070" s="18">
        <v>57450.12</v>
      </c>
      <c r="H4070" s="27">
        <f t="shared" si="126"/>
        <v>57450.12</v>
      </c>
      <c r="I4070" s="18">
        <v>54577.61</v>
      </c>
      <c r="J4070" s="27">
        <v>57450.12</v>
      </c>
      <c r="K4070" s="18">
        <f t="shared" si="127"/>
        <v>57450.12</v>
      </c>
      <c r="L4070" s="27">
        <v>54577.61</v>
      </c>
      <c r="M4070" s="36">
        <v>0</v>
      </c>
      <c r="T4070" s="41">
        <v>0</v>
      </c>
      <c r="U4070" s="41">
        <v>0</v>
      </c>
      <c r="V4070" s="42" t="s">
        <v>113</v>
      </c>
      <c r="W4070" s="42">
        <v>57450.12</v>
      </c>
      <c r="X4070" s="42">
        <v>57450.12</v>
      </c>
    </row>
    <row r="4071" spans="1:24">
      <c r="A4071" s="27" t="s">
        <v>7454</v>
      </c>
      <c r="B4071" s="28" t="s">
        <v>5102</v>
      </c>
      <c r="C4071" s="27" t="s">
        <v>7455</v>
      </c>
      <c r="D4071" s="27" t="s">
        <v>5104</v>
      </c>
      <c r="E4071" s="29">
        <v>38078</v>
      </c>
      <c r="F4071" s="27">
        <v>15</v>
      </c>
      <c r="G4071" s="18">
        <v>50332.39</v>
      </c>
      <c r="H4071" s="27">
        <f t="shared" si="126"/>
        <v>50332.39</v>
      </c>
      <c r="I4071" s="18">
        <v>47815.77</v>
      </c>
      <c r="J4071" s="27">
        <v>50332.39</v>
      </c>
      <c r="K4071" s="18">
        <f t="shared" si="127"/>
        <v>50332.39</v>
      </c>
      <c r="L4071" s="27">
        <v>47815.77</v>
      </c>
      <c r="M4071" s="36">
        <v>0</v>
      </c>
      <c r="T4071" s="41">
        <v>0</v>
      </c>
      <c r="U4071" s="41">
        <v>0</v>
      </c>
      <c r="V4071" s="42" t="s">
        <v>113</v>
      </c>
      <c r="W4071" s="42">
        <v>50332.39</v>
      </c>
      <c r="X4071" s="42">
        <v>50332.39</v>
      </c>
    </row>
    <row r="4072" spans="1:24">
      <c r="A4072" s="27" t="s">
        <v>7456</v>
      </c>
      <c r="B4072" s="28" t="s">
        <v>5102</v>
      </c>
      <c r="C4072" s="27" t="s">
        <v>7455</v>
      </c>
      <c r="D4072" s="27" t="s">
        <v>5104</v>
      </c>
      <c r="E4072" s="29">
        <v>38078</v>
      </c>
      <c r="F4072" s="27">
        <v>15</v>
      </c>
      <c r="G4072" s="18">
        <v>7504.48</v>
      </c>
      <c r="H4072" s="27">
        <f t="shared" si="126"/>
        <v>7504.48</v>
      </c>
      <c r="I4072" s="18">
        <v>7129.26</v>
      </c>
      <c r="J4072" s="27">
        <v>7504.48</v>
      </c>
      <c r="K4072" s="18">
        <f t="shared" si="127"/>
        <v>7504.48</v>
      </c>
      <c r="L4072" s="27">
        <v>7129.26</v>
      </c>
      <c r="M4072" s="36">
        <v>0</v>
      </c>
      <c r="T4072" s="41">
        <v>0</v>
      </c>
      <c r="U4072" s="41">
        <v>0</v>
      </c>
      <c r="V4072" s="42" t="s">
        <v>113</v>
      </c>
      <c r="W4072" s="42">
        <v>7504.48</v>
      </c>
      <c r="X4072" s="42">
        <v>7504.48</v>
      </c>
    </row>
    <row r="4073" spans="1:24">
      <c r="A4073" s="27" t="s">
        <v>7457</v>
      </c>
      <c r="B4073" s="28" t="s">
        <v>5102</v>
      </c>
      <c r="C4073" s="27" t="s">
        <v>7455</v>
      </c>
      <c r="D4073" s="27" t="s">
        <v>5104</v>
      </c>
      <c r="E4073" s="29">
        <v>38078</v>
      </c>
      <c r="F4073" s="27">
        <v>15</v>
      </c>
      <c r="G4073" s="18">
        <v>181846.47</v>
      </c>
      <c r="H4073" s="27">
        <f t="shared" si="126"/>
        <v>181846.47</v>
      </c>
      <c r="I4073" s="18">
        <v>172754.15</v>
      </c>
      <c r="J4073" s="27">
        <v>181846.47</v>
      </c>
      <c r="K4073" s="18">
        <f t="shared" si="127"/>
        <v>181846.47</v>
      </c>
      <c r="L4073" s="27">
        <v>172754.15</v>
      </c>
      <c r="M4073" s="36">
        <v>0</v>
      </c>
      <c r="T4073" s="41">
        <v>0</v>
      </c>
      <c r="U4073" s="41">
        <v>0</v>
      </c>
      <c r="V4073" s="42" t="s">
        <v>113</v>
      </c>
      <c r="W4073" s="42">
        <v>181846.47</v>
      </c>
      <c r="X4073" s="42">
        <v>181846.47</v>
      </c>
    </row>
    <row r="4074" spans="1:24">
      <c r="A4074" s="27" t="s">
        <v>7458</v>
      </c>
      <c r="B4074" s="28" t="s">
        <v>5102</v>
      </c>
      <c r="C4074" s="27" t="s">
        <v>7459</v>
      </c>
      <c r="D4074" s="27" t="s">
        <v>5104</v>
      </c>
      <c r="E4074" s="29">
        <v>39417</v>
      </c>
      <c r="F4074" s="27">
        <v>15</v>
      </c>
      <c r="G4074" s="18">
        <v>16525.349999999999</v>
      </c>
      <c r="H4074" s="27">
        <f t="shared" si="126"/>
        <v>0</v>
      </c>
      <c r="I4074" s="18">
        <v>14094.46</v>
      </c>
      <c r="J4074" s="27">
        <v>16525.349999999999</v>
      </c>
      <c r="K4074" s="18">
        <f t="shared" si="127"/>
        <v>0</v>
      </c>
      <c r="L4074" s="27">
        <v>14495.62</v>
      </c>
      <c r="M4074" s="36">
        <v>401.16</v>
      </c>
      <c r="T4074" s="41">
        <v>0</v>
      </c>
      <c r="U4074" s="41">
        <v>0</v>
      </c>
      <c r="V4074" s="42" t="s">
        <v>113</v>
      </c>
      <c r="W4074" s="42">
        <v>0</v>
      </c>
      <c r="X4074" s="42">
        <v>0</v>
      </c>
    </row>
    <row r="4075" spans="1:24">
      <c r="A4075" s="27" t="s">
        <v>7460</v>
      </c>
      <c r="B4075" s="28" t="s">
        <v>5102</v>
      </c>
      <c r="C4075" s="27" t="s">
        <v>7461</v>
      </c>
      <c r="D4075" s="27" t="s">
        <v>5104</v>
      </c>
      <c r="E4075" s="29">
        <v>39417</v>
      </c>
      <c r="F4075" s="27">
        <v>15</v>
      </c>
      <c r="G4075" s="18">
        <v>58371.82</v>
      </c>
      <c r="H4075" s="27">
        <f t="shared" si="126"/>
        <v>0</v>
      </c>
      <c r="I4075" s="18">
        <v>49785.279999999999</v>
      </c>
      <c r="J4075" s="27">
        <v>58371.82</v>
      </c>
      <c r="K4075" s="18">
        <f t="shared" si="127"/>
        <v>0</v>
      </c>
      <c r="L4075" s="27">
        <v>51202.27</v>
      </c>
      <c r="M4075" s="36">
        <v>1416.99</v>
      </c>
      <c r="T4075" s="41">
        <v>0</v>
      </c>
      <c r="U4075" s="41">
        <v>0</v>
      </c>
      <c r="V4075" s="42" t="s">
        <v>113</v>
      </c>
      <c r="W4075" s="42">
        <v>0</v>
      </c>
      <c r="X4075" s="42">
        <v>0</v>
      </c>
    </row>
    <row r="4076" spans="1:24">
      <c r="A4076" s="27" t="s">
        <v>7462</v>
      </c>
      <c r="B4076" s="28" t="s">
        <v>5102</v>
      </c>
      <c r="C4076" s="27" t="s">
        <v>7463</v>
      </c>
      <c r="D4076" s="27" t="s">
        <v>5104</v>
      </c>
      <c r="E4076" s="29">
        <v>38078</v>
      </c>
      <c r="F4076" s="27">
        <v>15</v>
      </c>
      <c r="G4076" s="18">
        <v>51627.49</v>
      </c>
      <c r="H4076" s="27">
        <f t="shared" si="126"/>
        <v>51627.49</v>
      </c>
      <c r="I4076" s="18">
        <v>49046.12</v>
      </c>
      <c r="J4076" s="27">
        <v>51627.49</v>
      </c>
      <c r="K4076" s="18">
        <f t="shared" si="127"/>
        <v>51627.49</v>
      </c>
      <c r="L4076" s="27">
        <v>49046.12</v>
      </c>
      <c r="M4076" s="36">
        <v>0</v>
      </c>
      <c r="T4076" s="41">
        <v>0</v>
      </c>
      <c r="U4076" s="41">
        <v>0</v>
      </c>
      <c r="V4076" s="42" t="s">
        <v>113</v>
      </c>
      <c r="W4076" s="42">
        <v>51627.49</v>
      </c>
      <c r="X4076" s="42">
        <v>51627.49</v>
      </c>
    </row>
    <row r="4077" spans="1:24">
      <c r="A4077" s="27" t="s">
        <v>7464</v>
      </c>
      <c r="B4077" s="28" t="s">
        <v>5102</v>
      </c>
      <c r="C4077" s="27" t="s">
        <v>7463</v>
      </c>
      <c r="D4077" s="27" t="s">
        <v>5104</v>
      </c>
      <c r="E4077" s="29">
        <v>38078</v>
      </c>
      <c r="F4077" s="27">
        <v>15</v>
      </c>
      <c r="G4077" s="18">
        <v>52804.86</v>
      </c>
      <c r="H4077" s="27">
        <f t="shared" si="126"/>
        <v>52804.86</v>
      </c>
      <c r="I4077" s="18">
        <v>50164.62</v>
      </c>
      <c r="J4077" s="27">
        <v>52804.86</v>
      </c>
      <c r="K4077" s="18">
        <f t="shared" si="127"/>
        <v>52804.86</v>
      </c>
      <c r="L4077" s="27">
        <v>50164.62</v>
      </c>
      <c r="M4077" s="36">
        <v>0</v>
      </c>
      <c r="T4077" s="41">
        <v>0</v>
      </c>
      <c r="U4077" s="41">
        <v>0</v>
      </c>
      <c r="V4077" s="42" t="s">
        <v>113</v>
      </c>
      <c r="W4077" s="42">
        <v>52804.86</v>
      </c>
      <c r="X4077" s="42">
        <v>52804.86</v>
      </c>
    </row>
    <row r="4078" spans="1:24">
      <c r="A4078" s="27" t="s">
        <v>7465</v>
      </c>
      <c r="B4078" s="28" t="s">
        <v>5102</v>
      </c>
      <c r="C4078" s="27" t="s">
        <v>7463</v>
      </c>
      <c r="D4078" s="27" t="s">
        <v>5104</v>
      </c>
      <c r="E4078" s="29">
        <v>38078</v>
      </c>
      <c r="F4078" s="27">
        <v>15</v>
      </c>
      <c r="G4078" s="18">
        <v>140085.64000000001</v>
      </c>
      <c r="H4078" s="27">
        <f t="shared" si="126"/>
        <v>140085.64000000001</v>
      </c>
      <c r="I4078" s="18">
        <v>133081.35999999999</v>
      </c>
      <c r="J4078" s="27">
        <v>140085.64000000001</v>
      </c>
      <c r="K4078" s="18">
        <f t="shared" si="127"/>
        <v>140085.64000000001</v>
      </c>
      <c r="L4078" s="27">
        <v>133081.35999999999</v>
      </c>
      <c r="M4078" s="36">
        <v>0</v>
      </c>
      <c r="T4078" s="41">
        <v>0</v>
      </c>
      <c r="U4078" s="41">
        <v>0</v>
      </c>
      <c r="V4078" s="42" t="s">
        <v>113</v>
      </c>
      <c r="W4078" s="42">
        <v>140085.64000000001</v>
      </c>
      <c r="X4078" s="42">
        <v>140085.64000000001</v>
      </c>
    </row>
    <row r="4079" spans="1:24">
      <c r="A4079" s="27" t="s">
        <v>7466</v>
      </c>
      <c r="B4079" s="28" t="s">
        <v>5102</v>
      </c>
      <c r="C4079" s="27" t="s">
        <v>7467</v>
      </c>
      <c r="D4079" s="27" t="s">
        <v>5104</v>
      </c>
      <c r="E4079" s="29">
        <v>38078</v>
      </c>
      <c r="F4079" s="27">
        <v>15</v>
      </c>
      <c r="G4079" s="18">
        <v>14299.43</v>
      </c>
      <c r="H4079" s="27">
        <f t="shared" si="126"/>
        <v>14299.43</v>
      </c>
      <c r="I4079" s="18">
        <v>13584.46</v>
      </c>
      <c r="J4079" s="27">
        <v>14299.43</v>
      </c>
      <c r="K4079" s="18">
        <f t="shared" si="127"/>
        <v>14299.43</v>
      </c>
      <c r="L4079" s="27">
        <v>13584.46</v>
      </c>
      <c r="M4079" s="36">
        <v>0</v>
      </c>
      <c r="T4079" s="41">
        <v>0</v>
      </c>
      <c r="U4079" s="41">
        <v>0</v>
      </c>
      <c r="V4079" s="42" t="s">
        <v>113</v>
      </c>
      <c r="W4079" s="42">
        <v>14299.43</v>
      </c>
      <c r="X4079" s="42">
        <v>14299.43</v>
      </c>
    </row>
    <row r="4080" spans="1:24">
      <c r="A4080" s="27" t="s">
        <v>7468</v>
      </c>
      <c r="B4080" s="28" t="s">
        <v>5102</v>
      </c>
      <c r="C4080" s="27" t="s">
        <v>7469</v>
      </c>
      <c r="D4080" s="27" t="s">
        <v>5104</v>
      </c>
      <c r="E4080" s="29">
        <v>39417</v>
      </c>
      <c r="F4080" s="27">
        <v>15</v>
      </c>
      <c r="G4080" s="18">
        <v>10128.44</v>
      </c>
      <c r="H4080" s="27">
        <f t="shared" si="126"/>
        <v>0</v>
      </c>
      <c r="I4080" s="18">
        <v>8638.5400000000009</v>
      </c>
      <c r="J4080" s="27">
        <v>10128.44</v>
      </c>
      <c r="K4080" s="18">
        <f t="shared" si="127"/>
        <v>0</v>
      </c>
      <c r="L4080" s="27">
        <v>8884.41</v>
      </c>
      <c r="M4080" s="36">
        <v>245.87</v>
      </c>
      <c r="T4080" s="41">
        <v>0</v>
      </c>
      <c r="U4080" s="41">
        <v>0</v>
      </c>
      <c r="V4080" s="42" t="s">
        <v>113</v>
      </c>
      <c r="W4080" s="42">
        <v>0</v>
      </c>
      <c r="X4080" s="42">
        <v>0</v>
      </c>
    </row>
    <row r="4081" spans="1:24">
      <c r="A4081" s="27" t="s">
        <v>7470</v>
      </c>
      <c r="B4081" s="28" t="s">
        <v>5102</v>
      </c>
      <c r="C4081" s="27" t="s">
        <v>7471</v>
      </c>
      <c r="D4081" s="27" t="s">
        <v>5104</v>
      </c>
      <c r="E4081" s="29">
        <v>39417</v>
      </c>
      <c r="F4081" s="27">
        <v>15</v>
      </c>
      <c r="G4081" s="18">
        <v>10128.44</v>
      </c>
      <c r="H4081" s="27">
        <f t="shared" si="126"/>
        <v>0</v>
      </c>
      <c r="I4081" s="18">
        <v>8638.5400000000009</v>
      </c>
      <c r="J4081" s="27">
        <v>10128.44</v>
      </c>
      <c r="K4081" s="18">
        <f t="shared" si="127"/>
        <v>0</v>
      </c>
      <c r="L4081" s="27">
        <v>8884.41</v>
      </c>
      <c r="M4081" s="36">
        <v>245.87</v>
      </c>
      <c r="T4081" s="41">
        <v>0</v>
      </c>
      <c r="U4081" s="41">
        <v>0</v>
      </c>
      <c r="V4081" s="42" t="s">
        <v>113</v>
      </c>
      <c r="W4081" s="42">
        <v>0</v>
      </c>
      <c r="X4081" s="42">
        <v>0</v>
      </c>
    </row>
    <row r="4082" spans="1:24">
      <c r="A4082" s="27" t="s">
        <v>7472</v>
      </c>
      <c r="B4082" s="28" t="s">
        <v>5102</v>
      </c>
      <c r="C4082" s="27" t="s">
        <v>7473</v>
      </c>
      <c r="D4082" s="27" t="s">
        <v>5104</v>
      </c>
      <c r="E4082" s="29">
        <v>39417</v>
      </c>
      <c r="F4082" s="27">
        <v>15</v>
      </c>
      <c r="G4082" s="18">
        <v>2252867.38</v>
      </c>
      <c r="H4082" s="27">
        <f t="shared" si="126"/>
        <v>0</v>
      </c>
      <c r="I4082" s="18">
        <v>1717563.99</v>
      </c>
      <c r="J4082" s="27">
        <v>2252867.38</v>
      </c>
      <c r="K4082" s="18">
        <f t="shared" si="127"/>
        <v>0</v>
      </c>
      <c r="L4082" s="27">
        <v>1823229</v>
      </c>
      <c r="M4082" s="36">
        <v>105665.01</v>
      </c>
      <c r="T4082" s="41">
        <v>0</v>
      </c>
      <c r="U4082" s="41">
        <v>0</v>
      </c>
      <c r="V4082" s="42" t="s">
        <v>113</v>
      </c>
      <c r="W4082" s="42">
        <v>0</v>
      </c>
      <c r="X4082" s="42">
        <v>0</v>
      </c>
    </row>
    <row r="4083" spans="1:24">
      <c r="A4083" s="27" t="s">
        <v>7474</v>
      </c>
      <c r="B4083" s="28" t="s">
        <v>5102</v>
      </c>
      <c r="C4083" s="27" t="s">
        <v>7475</v>
      </c>
      <c r="D4083" s="27" t="s">
        <v>5104</v>
      </c>
      <c r="E4083" s="29">
        <v>39417</v>
      </c>
      <c r="F4083" s="27">
        <v>15</v>
      </c>
      <c r="G4083" s="18">
        <v>6271.26</v>
      </c>
      <c r="H4083" s="27">
        <f t="shared" si="126"/>
        <v>0</v>
      </c>
      <c r="I4083" s="18">
        <v>5348.76</v>
      </c>
      <c r="J4083" s="27">
        <v>6271.26</v>
      </c>
      <c r="K4083" s="18">
        <f t="shared" si="127"/>
        <v>0</v>
      </c>
      <c r="L4083" s="27">
        <v>5501</v>
      </c>
      <c r="M4083" s="36">
        <v>152.24</v>
      </c>
      <c r="T4083" s="41">
        <v>0</v>
      </c>
      <c r="U4083" s="41">
        <v>0</v>
      </c>
      <c r="V4083" s="42" t="s">
        <v>113</v>
      </c>
      <c r="W4083" s="42">
        <v>0</v>
      </c>
      <c r="X4083" s="42">
        <v>0</v>
      </c>
    </row>
    <row r="4084" spans="1:24">
      <c r="A4084" s="27" t="s">
        <v>7476</v>
      </c>
      <c r="B4084" s="28" t="s">
        <v>5102</v>
      </c>
      <c r="C4084" s="27" t="s">
        <v>7477</v>
      </c>
      <c r="D4084" s="27" t="s">
        <v>5104</v>
      </c>
      <c r="E4084" s="29">
        <v>39417</v>
      </c>
      <c r="F4084" s="27">
        <v>15</v>
      </c>
      <c r="G4084" s="18">
        <v>29553.98</v>
      </c>
      <c r="H4084" s="27">
        <f t="shared" si="126"/>
        <v>0</v>
      </c>
      <c r="I4084" s="18">
        <v>25324.41</v>
      </c>
      <c r="J4084" s="27">
        <v>29553.98</v>
      </c>
      <c r="K4084" s="18">
        <f t="shared" si="127"/>
        <v>0</v>
      </c>
      <c r="L4084" s="27">
        <v>26012.38</v>
      </c>
      <c r="M4084" s="36">
        <v>687.97</v>
      </c>
      <c r="T4084" s="41">
        <v>0</v>
      </c>
      <c r="U4084" s="41">
        <v>0</v>
      </c>
      <c r="V4084" s="42" t="s">
        <v>113</v>
      </c>
      <c r="W4084" s="42">
        <v>0</v>
      </c>
      <c r="X4084" s="42">
        <v>0</v>
      </c>
    </row>
    <row r="4085" spans="1:24">
      <c r="A4085" s="27" t="s">
        <v>7478</v>
      </c>
      <c r="B4085" s="28" t="s">
        <v>5102</v>
      </c>
      <c r="C4085" s="27" t="s">
        <v>7479</v>
      </c>
      <c r="D4085" s="27" t="s">
        <v>5104</v>
      </c>
      <c r="E4085" s="29">
        <v>39417</v>
      </c>
      <c r="F4085" s="27">
        <v>15</v>
      </c>
      <c r="G4085" s="18">
        <v>6853.84</v>
      </c>
      <c r="H4085" s="27">
        <f t="shared" si="126"/>
        <v>0</v>
      </c>
      <c r="I4085" s="18">
        <v>5845.64</v>
      </c>
      <c r="J4085" s="27">
        <v>6853.84</v>
      </c>
      <c r="K4085" s="18">
        <f t="shared" si="127"/>
        <v>0</v>
      </c>
      <c r="L4085" s="27">
        <v>6012.02</v>
      </c>
      <c r="M4085" s="36">
        <v>166.38</v>
      </c>
      <c r="T4085" s="41">
        <v>0</v>
      </c>
      <c r="U4085" s="41">
        <v>0</v>
      </c>
      <c r="V4085" s="42" t="s">
        <v>113</v>
      </c>
      <c r="W4085" s="42">
        <v>0</v>
      </c>
      <c r="X4085" s="42">
        <v>0</v>
      </c>
    </row>
    <row r="4086" spans="1:24">
      <c r="A4086" s="27" t="s">
        <v>7480</v>
      </c>
      <c r="B4086" s="28" t="s">
        <v>5102</v>
      </c>
      <c r="C4086" s="27" t="s">
        <v>7481</v>
      </c>
      <c r="D4086" s="27" t="s">
        <v>5104</v>
      </c>
      <c r="E4086" s="29">
        <v>38078</v>
      </c>
      <c r="F4086" s="27">
        <v>15</v>
      </c>
      <c r="G4086" s="18">
        <v>10335.700000000001</v>
      </c>
      <c r="H4086" s="27">
        <f t="shared" si="126"/>
        <v>10335.700000000001</v>
      </c>
      <c r="I4086" s="18">
        <v>9818.91</v>
      </c>
      <c r="J4086" s="27">
        <v>10335.700000000001</v>
      </c>
      <c r="K4086" s="18">
        <f t="shared" si="127"/>
        <v>10335.700000000001</v>
      </c>
      <c r="L4086" s="27">
        <v>9818.91</v>
      </c>
      <c r="M4086" s="36">
        <v>0</v>
      </c>
      <c r="T4086" s="41">
        <v>0</v>
      </c>
      <c r="U4086" s="41">
        <v>0</v>
      </c>
      <c r="V4086" s="42" t="s">
        <v>113</v>
      </c>
      <c r="W4086" s="42">
        <v>10335.700000000001</v>
      </c>
      <c r="X4086" s="42">
        <v>10335.700000000001</v>
      </c>
    </row>
    <row r="4087" spans="1:24">
      <c r="A4087" s="27" t="s">
        <v>7482</v>
      </c>
      <c r="B4087" s="28" t="s">
        <v>5102</v>
      </c>
      <c r="C4087" s="27" t="s">
        <v>7483</v>
      </c>
      <c r="D4087" s="27" t="s">
        <v>5104</v>
      </c>
      <c r="E4087" s="29">
        <v>38078</v>
      </c>
      <c r="F4087" s="27">
        <v>15</v>
      </c>
      <c r="G4087" s="18">
        <v>20135.03</v>
      </c>
      <c r="H4087" s="27">
        <f t="shared" si="126"/>
        <v>20135.03</v>
      </c>
      <c r="I4087" s="18">
        <v>19128.28</v>
      </c>
      <c r="J4087" s="27">
        <v>20135.03</v>
      </c>
      <c r="K4087" s="18">
        <f t="shared" si="127"/>
        <v>20135.03</v>
      </c>
      <c r="L4087" s="27">
        <v>19128.28</v>
      </c>
      <c r="M4087" s="36">
        <v>0</v>
      </c>
      <c r="T4087" s="41">
        <v>0</v>
      </c>
      <c r="U4087" s="41">
        <v>0</v>
      </c>
      <c r="V4087" s="42" t="s">
        <v>113</v>
      </c>
      <c r="W4087" s="42">
        <v>20135.03</v>
      </c>
      <c r="X4087" s="42">
        <v>20135.03</v>
      </c>
    </row>
    <row r="4088" spans="1:24">
      <c r="A4088" s="27" t="s">
        <v>7484</v>
      </c>
      <c r="B4088" s="28" t="s">
        <v>5102</v>
      </c>
      <c r="C4088" s="27" t="s">
        <v>7485</v>
      </c>
      <c r="D4088" s="27" t="s">
        <v>5104</v>
      </c>
      <c r="E4088" s="29">
        <v>38078</v>
      </c>
      <c r="F4088" s="27">
        <v>15</v>
      </c>
      <c r="G4088" s="18">
        <v>32636.9</v>
      </c>
      <c r="H4088" s="27">
        <f t="shared" si="126"/>
        <v>32636.9</v>
      </c>
      <c r="I4088" s="18">
        <v>31005.05</v>
      </c>
      <c r="J4088" s="27">
        <v>32636.9</v>
      </c>
      <c r="K4088" s="18">
        <f t="shared" si="127"/>
        <v>32636.9</v>
      </c>
      <c r="L4088" s="27">
        <v>31005.05</v>
      </c>
      <c r="M4088" s="36">
        <v>0</v>
      </c>
      <c r="T4088" s="41">
        <v>0</v>
      </c>
      <c r="U4088" s="41">
        <v>0</v>
      </c>
      <c r="V4088" s="42" t="s">
        <v>113</v>
      </c>
      <c r="W4088" s="42">
        <v>32636.9</v>
      </c>
      <c r="X4088" s="42">
        <v>32636.9</v>
      </c>
    </row>
    <row r="4089" spans="1:24">
      <c r="A4089" s="27" t="s">
        <v>7486</v>
      </c>
      <c r="B4089" s="28" t="s">
        <v>5102</v>
      </c>
      <c r="C4089" s="27" t="s">
        <v>7487</v>
      </c>
      <c r="D4089" s="27" t="s">
        <v>5104</v>
      </c>
      <c r="E4089" s="29">
        <v>38078</v>
      </c>
      <c r="F4089" s="27">
        <v>15</v>
      </c>
      <c r="G4089" s="18">
        <v>116766.67</v>
      </c>
      <c r="H4089" s="27">
        <f t="shared" si="126"/>
        <v>116766.67</v>
      </c>
      <c r="I4089" s="18">
        <v>110928.34</v>
      </c>
      <c r="J4089" s="27">
        <v>116766.67</v>
      </c>
      <c r="K4089" s="18">
        <f t="shared" si="127"/>
        <v>116766.67</v>
      </c>
      <c r="L4089" s="27">
        <v>110928.34</v>
      </c>
      <c r="M4089" s="36">
        <v>0</v>
      </c>
      <c r="T4089" s="41">
        <v>0</v>
      </c>
      <c r="U4089" s="41">
        <v>0</v>
      </c>
      <c r="V4089" s="42" t="s">
        <v>113</v>
      </c>
      <c r="W4089" s="42">
        <v>116766.67</v>
      </c>
      <c r="X4089" s="42">
        <v>116766.67</v>
      </c>
    </row>
    <row r="4090" spans="1:24">
      <c r="A4090" s="27" t="s">
        <v>7488</v>
      </c>
      <c r="B4090" s="28" t="s">
        <v>5102</v>
      </c>
      <c r="C4090" s="27" t="s">
        <v>7489</v>
      </c>
      <c r="D4090" s="27" t="s">
        <v>5104</v>
      </c>
      <c r="E4090" s="29">
        <v>38078</v>
      </c>
      <c r="F4090" s="27">
        <v>15</v>
      </c>
      <c r="G4090" s="18">
        <v>12584.39</v>
      </c>
      <c r="H4090" s="27">
        <f t="shared" si="126"/>
        <v>12584.39</v>
      </c>
      <c r="I4090" s="18">
        <v>11955.17</v>
      </c>
      <c r="J4090" s="27">
        <v>12584.39</v>
      </c>
      <c r="K4090" s="18">
        <f t="shared" si="127"/>
        <v>12584.39</v>
      </c>
      <c r="L4090" s="27">
        <v>11955.17</v>
      </c>
      <c r="M4090" s="36">
        <v>0</v>
      </c>
      <c r="T4090" s="41">
        <v>0</v>
      </c>
      <c r="U4090" s="41">
        <v>0</v>
      </c>
      <c r="V4090" s="42" t="s">
        <v>113</v>
      </c>
      <c r="W4090" s="42">
        <v>12584.39</v>
      </c>
      <c r="X4090" s="42">
        <v>12584.39</v>
      </c>
    </row>
    <row r="4091" spans="1:24">
      <c r="A4091" s="27" t="s">
        <v>7490</v>
      </c>
      <c r="B4091" s="28" t="s">
        <v>5102</v>
      </c>
      <c r="C4091" s="27" t="s">
        <v>7491</v>
      </c>
      <c r="D4091" s="27" t="s">
        <v>5104</v>
      </c>
      <c r="E4091" s="29">
        <v>39417</v>
      </c>
      <c r="F4091" s="27">
        <v>15</v>
      </c>
      <c r="G4091" s="18">
        <v>11492.87</v>
      </c>
      <c r="H4091" s="27">
        <f t="shared" si="126"/>
        <v>0</v>
      </c>
      <c r="I4091" s="18">
        <v>9802.27</v>
      </c>
      <c r="J4091" s="27">
        <v>11492.87</v>
      </c>
      <c r="K4091" s="18">
        <f t="shared" si="127"/>
        <v>0</v>
      </c>
      <c r="L4091" s="27">
        <v>10081.26</v>
      </c>
      <c r="M4091" s="36">
        <v>278.99</v>
      </c>
      <c r="T4091" s="41">
        <v>0</v>
      </c>
      <c r="U4091" s="41">
        <v>0</v>
      </c>
      <c r="V4091" s="42" t="s">
        <v>113</v>
      </c>
      <c r="W4091" s="42">
        <v>0</v>
      </c>
      <c r="X4091" s="42">
        <v>0</v>
      </c>
    </row>
    <row r="4092" spans="1:24">
      <c r="A4092" s="27" t="s">
        <v>7492</v>
      </c>
      <c r="B4092" s="28" t="s">
        <v>5102</v>
      </c>
      <c r="C4092" s="27" t="s">
        <v>7493</v>
      </c>
      <c r="D4092" s="27" t="s">
        <v>5104</v>
      </c>
      <c r="E4092" s="29">
        <v>39417</v>
      </c>
      <c r="F4092" s="27">
        <v>15</v>
      </c>
      <c r="G4092" s="18">
        <v>80638.95</v>
      </c>
      <c r="H4092" s="27">
        <f t="shared" si="126"/>
        <v>0</v>
      </c>
      <c r="I4092" s="18">
        <v>68897.52</v>
      </c>
      <c r="J4092" s="27">
        <v>80638.95</v>
      </c>
      <c r="K4092" s="18">
        <f t="shared" si="127"/>
        <v>0</v>
      </c>
      <c r="L4092" s="27">
        <v>70824.89</v>
      </c>
      <c r="M4092" s="36">
        <v>1927.37</v>
      </c>
      <c r="T4092" s="41">
        <v>0</v>
      </c>
      <c r="U4092" s="41">
        <v>0</v>
      </c>
      <c r="V4092" s="42" t="s">
        <v>113</v>
      </c>
      <c r="W4092" s="42">
        <v>0</v>
      </c>
      <c r="X4092" s="42">
        <v>0</v>
      </c>
    </row>
    <row r="4093" spans="1:24">
      <c r="A4093" s="27" t="s">
        <v>7494</v>
      </c>
      <c r="B4093" s="28" t="s">
        <v>5102</v>
      </c>
      <c r="C4093" s="27" t="s">
        <v>7495</v>
      </c>
      <c r="D4093" s="27" t="s">
        <v>5104</v>
      </c>
      <c r="E4093" s="29">
        <v>38078</v>
      </c>
      <c r="F4093" s="27">
        <v>15</v>
      </c>
      <c r="G4093" s="18">
        <v>27496.44</v>
      </c>
      <c r="H4093" s="27">
        <f t="shared" si="126"/>
        <v>27496.44</v>
      </c>
      <c r="I4093" s="18">
        <v>26121.62</v>
      </c>
      <c r="J4093" s="27">
        <v>27496.44</v>
      </c>
      <c r="K4093" s="18">
        <f t="shared" si="127"/>
        <v>27496.44</v>
      </c>
      <c r="L4093" s="27">
        <v>26121.62</v>
      </c>
      <c r="M4093" s="36">
        <v>0</v>
      </c>
      <c r="T4093" s="41">
        <v>0</v>
      </c>
      <c r="U4093" s="41">
        <v>0</v>
      </c>
      <c r="V4093" s="42" t="s">
        <v>113</v>
      </c>
      <c r="W4093" s="42">
        <v>27496.44</v>
      </c>
      <c r="X4093" s="42">
        <v>27496.44</v>
      </c>
    </row>
    <row r="4094" spans="1:24">
      <c r="A4094" s="27" t="s">
        <v>7496</v>
      </c>
      <c r="B4094" s="28" t="s">
        <v>5102</v>
      </c>
      <c r="C4094" s="27" t="s">
        <v>7497</v>
      </c>
      <c r="D4094" s="27" t="s">
        <v>5104</v>
      </c>
      <c r="E4094" s="29">
        <v>38078</v>
      </c>
      <c r="F4094" s="27">
        <v>15</v>
      </c>
      <c r="G4094" s="18">
        <v>2722634.76</v>
      </c>
      <c r="H4094" s="27">
        <f t="shared" si="126"/>
        <v>2722634.76</v>
      </c>
      <c r="I4094" s="18">
        <v>2586503.02</v>
      </c>
      <c r="J4094" s="27">
        <v>2722634.76</v>
      </c>
      <c r="K4094" s="18">
        <f t="shared" si="127"/>
        <v>2722634.76</v>
      </c>
      <c r="L4094" s="27">
        <v>2586503.02</v>
      </c>
      <c r="M4094" s="36">
        <v>0</v>
      </c>
      <c r="T4094" s="41">
        <v>0</v>
      </c>
      <c r="U4094" s="41">
        <v>0</v>
      </c>
      <c r="V4094" s="42" t="s">
        <v>113</v>
      </c>
      <c r="W4094" s="42">
        <v>2722634.76</v>
      </c>
      <c r="X4094" s="42">
        <v>2722634.76</v>
      </c>
    </row>
    <row r="4095" spans="1:24">
      <c r="A4095" s="27" t="s">
        <v>7498</v>
      </c>
      <c r="B4095" s="28" t="s">
        <v>5102</v>
      </c>
      <c r="C4095" s="27" t="s">
        <v>7499</v>
      </c>
      <c r="D4095" s="27" t="s">
        <v>230</v>
      </c>
      <c r="E4095" s="29">
        <v>40268</v>
      </c>
      <c r="F4095" s="27">
        <v>15</v>
      </c>
      <c r="G4095" s="18">
        <v>76091.61</v>
      </c>
      <c r="H4095" s="27">
        <f t="shared" si="126"/>
        <v>0</v>
      </c>
      <c r="I4095" s="18">
        <v>64981.599999999999</v>
      </c>
      <c r="J4095" s="27">
        <v>76091.61</v>
      </c>
      <c r="K4095" s="18">
        <f t="shared" si="127"/>
        <v>0</v>
      </c>
      <c r="L4095" s="27">
        <v>66807.960000000006</v>
      </c>
      <c r="M4095" s="36">
        <v>1826.36</v>
      </c>
      <c r="T4095" s="41">
        <v>0</v>
      </c>
      <c r="U4095" s="41">
        <v>0</v>
      </c>
      <c r="V4095" s="42" t="s">
        <v>113</v>
      </c>
      <c r="W4095" s="42">
        <v>0</v>
      </c>
      <c r="X4095" s="42">
        <v>0</v>
      </c>
    </row>
    <row r="4096" spans="1:24">
      <c r="A4096" s="27" t="s">
        <v>7500</v>
      </c>
      <c r="B4096" s="28" t="s">
        <v>5102</v>
      </c>
      <c r="C4096" s="27" t="s">
        <v>7501</v>
      </c>
      <c r="D4096" s="27" t="s">
        <v>230</v>
      </c>
      <c r="E4096" s="29">
        <v>40268</v>
      </c>
      <c r="F4096" s="27">
        <v>15</v>
      </c>
      <c r="G4096" s="18">
        <v>78257.240000000005</v>
      </c>
      <c r="H4096" s="27">
        <f t="shared" si="126"/>
        <v>0</v>
      </c>
      <c r="I4096" s="18">
        <v>66745.539999999994</v>
      </c>
      <c r="J4096" s="27">
        <v>78257.240000000005</v>
      </c>
      <c r="K4096" s="18">
        <f t="shared" si="127"/>
        <v>0</v>
      </c>
      <c r="L4096" s="27">
        <v>68645.25</v>
      </c>
      <c r="M4096" s="36">
        <v>1899.71</v>
      </c>
      <c r="T4096" s="41">
        <v>0</v>
      </c>
      <c r="U4096" s="41">
        <v>0</v>
      </c>
      <c r="V4096" s="42" t="s">
        <v>113</v>
      </c>
      <c r="W4096" s="42">
        <v>0</v>
      </c>
      <c r="X4096" s="42">
        <v>0</v>
      </c>
    </row>
    <row r="4097" spans="1:24">
      <c r="A4097" s="27" t="s">
        <v>7502</v>
      </c>
      <c r="B4097" s="28" t="s">
        <v>5102</v>
      </c>
      <c r="C4097" s="27" t="s">
        <v>7503</v>
      </c>
      <c r="D4097" s="27" t="s">
        <v>230</v>
      </c>
      <c r="E4097" s="29">
        <v>39417</v>
      </c>
      <c r="F4097" s="27">
        <v>15</v>
      </c>
      <c r="G4097" s="18">
        <v>578749.13</v>
      </c>
      <c r="H4097" s="27">
        <f t="shared" si="126"/>
        <v>0</v>
      </c>
      <c r="I4097" s="18">
        <v>496442.21</v>
      </c>
      <c r="J4097" s="27">
        <v>578749.13</v>
      </c>
      <c r="K4097" s="18">
        <f t="shared" si="127"/>
        <v>0</v>
      </c>
      <c r="L4097" s="27">
        <v>509784.58</v>
      </c>
      <c r="M4097" s="36">
        <v>13342.37</v>
      </c>
      <c r="T4097" s="41">
        <v>0</v>
      </c>
      <c r="U4097" s="41">
        <v>0</v>
      </c>
      <c r="V4097" s="42" t="s">
        <v>113</v>
      </c>
      <c r="W4097" s="42">
        <v>0</v>
      </c>
      <c r="X4097" s="42">
        <v>0</v>
      </c>
    </row>
    <row r="4098" spans="1:24">
      <c r="A4098" s="27" t="s">
        <v>7504</v>
      </c>
      <c r="B4098" s="28" t="s">
        <v>5102</v>
      </c>
      <c r="C4098" s="27" t="s">
        <v>7505</v>
      </c>
      <c r="D4098" s="27" t="s">
        <v>5104</v>
      </c>
      <c r="E4098" s="29">
        <v>39417</v>
      </c>
      <c r="F4098" s="27">
        <v>15</v>
      </c>
      <c r="G4098" s="18">
        <v>305743.8</v>
      </c>
      <c r="H4098" s="27">
        <f t="shared" si="126"/>
        <v>0</v>
      </c>
      <c r="I4098" s="18">
        <v>262410.71000000002</v>
      </c>
      <c r="J4098" s="27">
        <v>305743.8</v>
      </c>
      <c r="K4098" s="18">
        <f t="shared" si="127"/>
        <v>0</v>
      </c>
      <c r="L4098" s="27">
        <v>269422.19</v>
      </c>
      <c r="M4098" s="36">
        <v>7011.48</v>
      </c>
      <c r="T4098" s="41">
        <v>0</v>
      </c>
      <c r="U4098" s="41">
        <v>0</v>
      </c>
      <c r="V4098" s="42" t="s">
        <v>113</v>
      </c>
      <c r="W4098" s="42">
        <v>0</v>
      </c>
      <c r="X4098" s="42">
        <v>0</v>
      </c>
    </row>
    <row r="4099" spans="1:24">
      <c r="A4099" s="27" t="s">
        <v>7506</v>
      </c>
      <c r="B4099" s="28" t="s">
        <v>5102</v>
      </c>
      <c r="C4099" s="27" t="s">
        <v>7507</v>
      </c>
      <c r="D4099" s="27" t="s">
        <v>230</v>
      </c>
      <c r="E4099" s="29">
        <v>39417</v>
      </c>
      <c r="F4099" s="27">
        <v>15</v>
      </c>
      <c r="G4099" s="18">
        <v>336811.37</v>
      </c>
      <c r="H4099" s="27">
        <f t="shared" si="126"/>
        <v>0</v>
      </c>
      <c r="I4099" s="18">
        <v>277394.84000000003</v>
      </c>
      <c r="J4099" s="27">
        <v>336811.37</v>
      </c>
      <c r="K4099" s="18">
        <f t="shared" si="127"/>
        <v>0</v>
      </c>
      <c r="L4099" s="27">
        <v>288038.83</v>
      </c>
      <c r="M4099" s="36">
        <v>10643.99</v>
      </c>
      <c r="T4099" s="41">
        <v>0</v>
      </c>
      <c r="U4099" s="41">
        <v>0</v>
      </c>
      <c r="V4099" s="42" t="s">
        <v>113</v>
      </c>
      <c r="W4099" s="42">
        <v>0</v>
      </c>
      <c r="X4099" s="42">
        <v>0</v>
      </c>
    </row>
    <row r="4100" spans="1:24">
      <c r="A4100" s="27" t="s">
        <v>7508</v>
      </c>
      <c r="B4100" s="28" t="s">
        <v>5102</v>
      </c>
      <c r="C4100" s="27" t="s">
        <v>7509</v>
      </c>
      <c r="D4100" s="27" t="s">
        <v>5104</v>
      </c>
      <c r="E4100" s="29">
        <v>37226</v>
      </c>
      <c r="F4100" s="27">
        <v>15</v>
      </c>
      <c r="G4100" s="18">
        <v>44240.45</v>
      </c>
      <c r="H4100" s="27">
        <f t="shared" si="126"/>
        <v>44240.45</v>
      </c>
      <c r="I4100" s="18">
        <v>42028.43</v>
      </c>
      <c r="J4100" s="27">
        <v>44240.45</v>
      </c>
      <c r="K4100" s="18">
        <f t="shared" si="127"/>
        <v>44240.45</v>
      </c>
      <c r="L4100" s="27">
        <v>42028.43</v>
      </c>
      <c r="M4100" s="36">
        <v>0</v>
      </c>
      <c r="T4100" s="41">
        <v>0</v>
      </c>
      <c r="U4100" s="41">
        <v>0</v>
      </c>
      <c r="V4100" s="42" t="s">
        <v>113</v>
      </c>
      <c r="W4100" s="42">
        <v>44240.45</v>
      </c>
      <c r="X4100" s="42">
        <v>44240.45</v>
      </c>
    </row>
    <row r="4101" spans="1:24">
      <c r="A4101" s="27" t="s">
        <v>7510</v>
      </c>
      <c r="B4101" s="28" t="s">
        <v>5102</v>
      </c>
      <c r="C4101" s="27" t="s">
        <v>7511</v>
      </c>
      <c r="D4101" s="27" t="s">
        <v>5104</v>
      </c>
      <c r="E4101" s="29">
        <v>37226</v>
      </c>
      <c r="F4101" s="27">
        <v>15</v>
      </c>
      <c r="G4101" s="18">
        <v>44240.45</v>
      </c>
      <c r="H4101" s="27">
        <f t="shared" si="126"/>
        <v>44240.45</v>
      </c>
      <c r="I4101" s="18">
        <v>42028.43</v>
      </c>
      <c r="J4101" s="27">
        <v>44240.45</v>
      </c>
      <c r="K4101" s="18">
        <f t="shared" si="127"/>
        <v>44240.45</v>
      </c>
      <c r="L4101" s="27">
        <v>42028.43</v>
      </c>
      <c r="M4101" s="36">
        <v>0</v>
      </c>
      <c r="T4101" s="41">
        <v>0</v>
      </c>
      <c r="U4101" s="41">
        <v>0</v>
      </c>
      <c r="V4101" s="42" t="s">
        <v>113</v>
      </c>
      <c r="W4101" s="42">
        <v>44240.45</v>
      </c>
      <c r="X4101" s="42">
        <v>44240.45</v>
      </c>
    </row>
    <row r="4102" spans="1:24">
      <c r="A4102" s="27" t="s">
        <v>7512</v>
      </c>
      <c r="B4102" s="28" t="s">
        <v>5102</v>
      </c>
      <c r="C4102" s="27" t="s">
        <v>7513</v>
      </c>
      <c r="D4102" s="27" t="s">
        <v>5104</v>
      </c>
      <c r="E4102" s="29">
        <v>37226</v>
      </c>
      <c r="F4102" s="27">
        <v>15</v>
      </c>
      <c r="G4102" s="18">
        <v>44240.45</v>
      </c>
      <c r="H4102" s="27">
        <f t="shared" ref="H4102:H4165" si="128">IFERROR(IF(ROUND((G4102-I4102)/G4102,2)&lt;=0.05,G4102,0),0)</f>
        <v>44240.45</v>
      </c>
      <c r="I4102" s="18">
        <v>42028.43</v>
      </c>
      <c r="J4102" s="27">
        <v>44240.45</v>
      </c>
      <c r="K4102" s="18">
        <f t="shared" ref="K4102:K4165" si="129">IFERROR(IF(ROUND((J4102-L4102)/J4102,2)&lt;=0.05,J4102,0),0)</f>
        <v>44240.45</v>
      </c>
      <c r="L4102" s="27">
        <v>42028.43</v>
      </c>
      <c r="M4102" s="36">
        <v>0</v>
      </c>
      <c r="T4102" s="41">
        <v>0</v>
      </c>
      <c r="U4102" s="41">
        <v>0</v>
      </c>
      <c r="V4102" s="42" t="s">
        <v>113</v>
      </c>
      <c r="W4102" s="42">
        <v>44240.45</v>
      </c>
      <c r="X4102" s="42">
        <v>44240.45</v>
      </c>
    </row>
    <row r="4103" spans="1:24">
      <c r="A4103" s="27" t="s">
        <v>7514</v>
      </c>
      <c r="B4103" s="28" t="s">
        <v>5102</v>
      </c>
      <c r="C4103" s="27" t="s">
        <v>7515</v>
      </c>
      <c r="D4103" s="27" t="s">
        <v>5104</v>
      </c>
      <c r="E4103" s="29">
        <v>37226</v>
      </c>
      <c r="F4103" s="27">
        <v>15</v>
      </c>
      <c r="G4103" s="18">
        <v>44240.45</v>
      </c>
      <c r="H4103" s="27">
        <f t="shared" si="128"/>
        <v>44240.45</v>
      </c>
      <c r="I4103" s="18">
        <v>42028.43</v>
      </c>
      <c r="J4103" s="27">
        <v>44240.45</v>
      </c>
      <c r="K4103" s="18">
        <f t="shared" si="129"/>
        <v>44240.45</v>
      </c>
      <c r="L4103" s="27">
        <v>42028.43</v>
      </c>
      <c r="M4103" s="36">
        <v>0</v>
      </c>
      <c r="T4103" s="41">
        <v>0</v>
      </c>
      <c r="U4103" s="41">
        <v>0</v>
      </c>
      <c r="V4103" s="42" t="s">
        <v>113</v>
      </c>
      <c r="W4103" s="42">
        <v>44240.45</v>
      </c>
      <c r="X4103" s="42">
        <v>44240.45</v>
      </c>
    </row>
    <row r="4104" spans="1:24">
      <c r="A4104" s="27" t="s">
        <v>7516</v>
      </c>
      <c r="B4104" s="28" t="s">
        <v>5102</v>
      </c>
      <c r="C4104" s="27" t="s">
        <v>7517</v>
      </c>
      <c r="D4104" s="27" t="s">
        <v>5104</v>
      </c>
      <c r="E4104" s="29">
        <v>37226</v>
      </c>
      <c r="F4104" s="27">
        <v>15</v>
      </c>
      <c r="G4104" s="18">
        <v>44240.45</v>
      </c>
      <c r="H4104" s="27">
        <f t="shared" si="128"/>
        <v>44240.45</v>
      </c>
      <c r="I4104" s="18">
        <v>42028.43</v>
      </c>
      <c r="J4104" s="27">
        <v>44240.45</v>
      </c>
      <c r="K4104" s="18">
        <f t="shared" si="129"/>
        <v>44240.45</v>
      </c>
      <c r="L4104" s="27">
        <v>42028.43</v>
      </c>
      <c r="M4104" s="36">
        <v>0</v>
      </c>
      <c r="T4104" s="41">
        <v>0</v>
      </c>
      <c r="U4104" s="41">
        <v>0</v>
      </c>
      <c r="V4104" s="42" t="s">
        <v>113</v>
      </c>
      <c r="W4104" s="42">
        <v>44240.45</v>
      </c>
      <c r="X4104" s="42">
        <v>44240.45</v>
      </c>
    </row>
    <row r="4105" spans="1:24">
      <c r="A4105" s="27" t="s">
        <v>7518</v>
      </c>
      <c r="B4105" s="28" t="s">
        <v>5102</v>
      </c>
      <c r="C4105" s="27" t="s">
        <v>7519</v>
      </c>
      <c r="D4105" s="27" t="s">
        <v>5104</v>
      </c>
      <c r="E4105" s="29">
        <v>37226</v>
      </c>
      <c r="F4105" s="27">
        <v>15</v>
      </c>
      <c r="G4105" s="18">
        <v>44240.45</v>
      </c>
      <c r="H4105" s="27">
        <f t="shared" si="128"/>
        <v>44240.45</v>
      </c>
      <c r="I4105" s="18">
        <v>42028.43</v>
      </c>
      <c r="J4105" s="27">
        <v>44240.45</v>
      </c>
      <c r="K4105" s="18">
        <f t="shared" si="129"/>
        <v>44240.45</v>
      </c>
      <c r="L4105" s="27">
        <v>42028.43</v>
      </c>
      <c r="M4105" s="36">
        <v>0</v>
      </c>
      <c r="T4105" s="41">
        <v>0</v>
      </c>
      <c r="U4105" s="41">
        <v>0</v>
      </c>
      <c r="V4105" s="42" t="s">
        <v>113</v>
      </c>
      <c r="W4105" s="42">
        <v>44240.45</v>
      </c>
      <c r="X4105" s="42">
        <v>44240.45</v>
      </c>
    </row>
    <row r="4106" spans="1:24">
      <c r="A4106" s="27" t="s">
        <v>7520</v>
      </c>
      <c r="B4106" s="28" t="s">
        <v>5102</v>
      </c>
      <c r="C4106" s="27" t="s">
        <v>7521</v>
      </c>
      <c r="D4106" s="27" t="s">
        <v>5104</v>
      </c>
      <c r="E4106" s="29">
        <v>37226</v>
      </c>
      <c r="F4106" s="27">
        <v>15</v>
      </c>
      <c r="G4106" s="18">
        <v>44240.45</v>
      </c>
      <c r="H4106" s="27">
        <f t="shared" si="128"/>
        <v>44240.45</v>
      </c>
      <c r="I4106" s="18">
        <v>42028.43</v>
      </c>
      <c r="J4106" s="27">
        <v>44240.45</v>
      </c>
      <c r="K4106" s="18">
        <f t="shared" si="129"/>
        <v>44240.45</v>
      </c>
      <c r="L4106" s="27">
        <v>42028.43</v>
      </c>
      <c r="M4106" s="36">
        <v>0</v>
      </c>
      <c r="T4106" s="41">
        <v>0</v>
      </c>
      <c r="U4106" s="41">
        <v>0</v>
      </c>
      <c r="V4106" s="42" t="s">
        <v>113</v>
      </c>
      <c r="W4106" s="42">
        <v>44240.45</v>
      </c>
      <c r="X4106" s="42">
        <v>44240.45</v>
      </c>
    </row>
    <row r="4107" spans="1:24">
      <c r="A4107" s="27" t="s">
        <v>7522</v>
      </c>
      <c r="B4107" s="28" t="s">
        <v>5102</v>
      </c>
      <c r="C4107" s="27" t="s">
        <v>7523</v>
      </c>
      <c r="D4107" s="27" t="s">
        <v>5104</v>
      </c>
      <c r="E4107" s="29">
        <v>37226</v>
      </c>
      <c r="F4107" s="27">
        <v>15</v>
      </c>
      <c r="G4107" s="18">
        <v>44240.45</v>
      </c>
      <c r="H4107" s="27">
        <f t="shared" si="128"/>
        <v>44240.45</v>
      </c>
      <c r="I4107" s="18">
        <v>42028.43</v>
      </c>
      <c r="J4107" s="27">
        <v>44240.45</v>
      </c>
      <c r="K4107" s="18">
        <f t="shared" si="129"/>
        <v>44240.45</v>
      </c>
      <c r="L4107" s="27">
        <v>42028.43</v>
      </c>
      <c r="M4107" s="36">
        <v>0</v>
      </c>
      <c r="T4107" s="41">
        <v>0</v>
      </c>
      <c r="U4107" s="41">
        <v>0</v>
      </c>
      <c r="V4107" s="42" t="s">
        <v>113</v>
      </c>
      <c r="W4107" s="42">
        <v>44240.45</v>
      </c>
      <c r="X4107" s="42">
        <v>44240.45</v>
      </c>
    </row>
    <row r="4108" spans="1:24">
      <c r="A4108" s="27" t="s">
        <v>7524</v>
      </c>
      <c r="B4108" s="28" t="s">
        <v>5102</v>
      </c>
      <c r="C4108" s="27" t="s">
        <v>7525</v>
      </c>
      <c r="D4108" s="27" t="s">
        <v>5104</v>
      </c>
      <c r="E4108" s="29">
        <v>37226</v>
      </c>
      <c r="F4108" s="27">
        <v>15</v>
      </c>
      <c r="G4108" s="18">
        <v>44240.45</v>
      </c>
      <c r="H4108" s="27">
        <f t="shared" si="128"/>
        <v>44240.45</v>
      </c>
      <c r="I4108" s="18">
        <v>42028.43</v>
      </c>
      <c r="J4108" s="27">
        <v>44240.45</v>
      </c>
      <c r="K4108" s="18">
        <f t="shared" si="129"/>
        <v>44240.45</v>
      </c>
      <c r="L4108" s="27">
        <v>42028.43</v>
      </c>
      <c r="M4108" s="36">
        <v>0</v>
      </c>
      <c r="T4108" s="41">
        <v>0</v>
      </c>
      <c r="U4108" s="41">
        <v>0</v>
      </c>
      <c r="V4108" s="42" t="s">
        <v>113</v>
      </c>
      <c r="W4108" s="42">
        <v>44240.45</v>
      </c>
      <c r="X4108" s="42">
        <v>44240.45</v>
      </c>
    </row>
    <row r="4109" spans="1:24">
      <c r="A4109" s="27" t="s">
        <v>7526</v>
      </c>
      <c r="B4109" s="28" t="s">
        <v>5102</v>
      </c>
      <c r="C4109" s="27" t="s">
        <v>7527</v>
      </c>
      <c r="D4109" s="27" t="s">
        <v>5104</v>
      </c>
      <c r="E4109" s="29">
        <v>37226</v>
      </c>
      <c r="F4109" s="27">
        <v>15</v>
      </c>
      <c r="G4109" s="18">
        <v>44240.45</v>
      </c>
      <c r="H4109" s="27">
        <f t="shared" si="128"/>
        <v>44240.45</v>
      </c>
      <c r="I4109" s="18">
        <v>42028.43</v>
      </c>
      <c r="J4109" s="27">
        <v>44240.45</v>
      </c>
      <c r="K4109" s="18">
        <f t="shared" si="129"/>
        <v>44240.45</v>
      </c>
      <c r="L4109" s="27">
        <v>42028.43</v>
      </c>
      <c r="M4109" s="36">
        <v>0</v>
      </c>
      <c r="T4109" s="41">
        <v>0</v>
      </c>
      <c r="U4109" s="41">
        <v>0</v>
      </c>
      <c r="V4109" s="42" t="s">
        <v>113</v>
      </c>
      <c r="W4109" s="42">
        <v>44240.45</v>
      </c>
      <c r="X4109" s="42">
        <v>44240.45</v>
      </c>
    </row>
    <row r="4110" spans="1:24">
      <c r="A4110" s="27" t="s">
        <v>7528</v>
      </c>
      <c r="B4110" s="28" t="s">
        <v>5102</v>
      </c>
      <c r="C4110" s="27" t="s">
        <v>7529</v>
      </c>
      <c r="D4110" s="27" t="s">
        <v>5104</v>
      </c>
      <c r="E4110" s="29">
        <v>37226</v>
      </c>
      <c r="F4110" s="27">
        <v>15</v>
      </c>
      <c r="G4110" s="18">
        <v>44240.45</v>
      </c>
      <c r="H4110" s="27">
        <f t="shared" si="128"/>
        <v>44240.45</v>
      </c>
      <c r="I4110" s="18">
        <v>42028.43</v>
      </c>
      <c r="J4110" s="27">
        <v>44240.45</v>
      </c>
      <c r="K4110" s="18">
        <f t="shared" si="129"/>
        <v>44240.45</v>
      </c>
      <c r="L4110" s="27">
        <v>42028.43</v>
      </c>
      <c r="M4110" s="36">
        <v>0</v>
      </c>
      <c r="T4110" s="41">
        <v>0</v>
      </c>
      <c r="U4110" s="41">
        <v>0</v>
      </c>
      <c r="V4110" s="42" t="s">
        <v>113</v>
      </c>
      <c r="W4110" s="42">
        <v>44240.45</v>
      </c>
      <c r="X4110" s="42">
        <v>44240.45</v>
      </c>
    </row>
    <row r="4111" spans="1:24">
      <c r="A4111" s="27" t="s">
        <v>7530</v>
      </c>
      <c r="B4111" s="28" t="s">
        <v>5102</v>
      </c>
      <c r="C4111" s="27" t="s">
        <v>7531</v>
      </c>
      <c r="D4111" s="27" t="s">
        <v>5104</v>
      </c>
      <c r="E4111" s="29">
        <v>37226</v>
      </c>
      <c r="F4111" s="27">
        <v>15</v>
      </c>
      <c r="G4111" s="18">
        <v>44240.45</v>
      </c>
      <c r="H4111" s="27">
        <f t="shared" si="128"/>
        <v>44240.45</v>
      </c>
      <c r="I4111" s="18">
        <v>42028.43</v>
      </c>
      <c r="J4111" s="27">
        <v>44240.45</v>
      </c>
      <c r="K4111" s="18">
        <f t="shared" si="129"/>
        <v>44240.45</v>
      </c>
      <c r="L4111" s="27">
        <v>42028.43</v>
      </c>
      <c r="M4111" s="36">
        <v>0</v>
      </c>
      <c r="T4111" s="41">
        <v>0</v>
      </c>
      <c r="U4111" s="41">
        <v>0</v>
      </c>
      <c r="V4111" s="42" t="s">
        <v>113</v>
      </c>
      <c r="W4111" s="42">
        <v>44240.45</v>
      </c>
      <c r="X4111" s="42">
        <v>44240.45</v>
      </c>
    </row>
    <row r="4112" spans="1:24">
      <c r="A4112" s="27" t="s">
        <v>7532</v>
      </c>
      <c r="B4112" s="28" t="s">
        <v>5102</v>
      </c>
      <c r="C4112" s="27" t="s">
        <v>7533</v>
      </c>
      <c r="D4112" s="27" t="s">
        <v>5104</v>
      </c>
      <c r="E4112" s="29">
        <v>37226</v>
      </c>
      <c r="F4112" s="27">
        <v>15</v>
      </c>
      <c r="G4112" s="18">
        <v>44240.45</v>
      </c>
      <c r="H4112" s="27">
        <f t="shared" si="128"/>
        <v>44240.45</v>
      </c>
      <c r="I4112" s="18">
        <v>42028.43</v>
      </c>
      <c r="J4112" s="27">
        <v>44240.45</v>
      </c>
      <c r="K4112" s="18">
        <f t="shared" si="129"/>
        <v>44240.45</v>
      </c>
      <c r="L4112" s="27">
        <v>42028.43</v>
      </c>
      <c r="M4112" s="36">
        <v>0</v>
      </c>
      <c r="T4112" s="41">
        <v>0</v>
      </c>
      <c r="U4112" s="41">
        <v>0</v>
      </c>
      <c r="V4112" s="42" t="s">
        <v>113</v>
      </c>
      <c r="W4112" s="42">
        <v>44240.45</v>
      </c>
      <c r="X4112" s="42">
        <v>44240.45</v>
      </c>
    </row>
    <row r="4113" spans="1:24">
      <c r="A4113" s="27" t="s">
        <v>7534</v>
      </c>
      <c r="B4113" s="28" t="s">
        <v>5102</v>
      </c>
      <c r="C4113" s="27" t="s">
        <v>7535</v>
      </c>
      <c r="D4113" s="27" t="s">
        <v>5104</v>
      </c>
      <c r="E4113" s="29">
        <v>37226</v>
      </c>
      <c r="F4113" s="27">
        <v>15</v>
      </c>
      <c r="G4113" s="18">
        <v>44240.45</v>
      </c>
      <c r="H4113" s="27">
        <f t="shared" si="128"/>
        <v>44240.45</v>
      </c>
      <c r="I4113" s="18">
        <v>42028.43</v>
      </c>
      <c r="J4113" s="27">
        <v>44240.45</v>
      </c>
      <c r="K4113" s="18">
        <f t="shared" si="129"/>
        <v>44240.45</v>
      </c>
      <c r="L4113" s="27">
        <v>42028.43</v>
      </c>
      <c r="M4113" s="36">
        <v>0</v>
      </c>
      <c r="T4113" s="41">
        <v>0</v>
      </c>
      <c r="U4113" s="41">
        <v>0</v>
      </c>
      <c r="V4113" s="42" t="s">
        <v>113</v>
      </c>
      <c r="W4113" s="42">
        <v>44240.45</v>
      </c>
      <c r="X4113" s="42">
        <v>44240.45</v>
      </c>
    </row>
    <row r="4114" spans="1:24">
      <c r="A4114" s="27" t="s">
        <v>7536</v>
      </c>
      <c r="B4114" s="28" t="s">
        <v>5102</v>
      </c>
      <c r="C4114" s="27" t="s">
        <v>7537</v>
      </c>
      <c r="D4114" s="27" t="s">
        <v>5104</v>
      </c>
      <c r="E4114" s="29">
        <v>37226</v>
      </c>
      <c r="F4114" s="27">
        <v>15</v>
      </c>
      <c r="G4114" s="18">
        <v>44240.45</v>
      </c>
      <c r="H4114" s="27">
        <f t="shared" si="128"/>
        <v>44240.45</v>
      </c>
      <c r="I4114" s="18">
        <v>42028.43</v>
      </c>
      <c r="J4114" s="27">
        <v>44240.45</v>
      </c>
      <c r="K4114" s="18">
        <f t="shared" si="129"/>
        <v>44240.45</v>
      </c>
      <c r="L4114" s="27">
        <v>42028.43</v>
      </c>
      <c r="M4114" s="36">
        <v>0</v>
      </c>
      <c r="T4114" s="41">
        <v>0</v>
      </c>
      <c r="U4114" s="41">
        <v>0</v>
      </c>
      <c r="V4114" s="42" t="s">
        <v>113</v>
      </c>
      <c r="W4114" s="42">
        <v>44240.45</v>
      </c>
      <c r="X4114" s="42">
        <v>44240.45</v>
      </c>
    </row>
    <row r="4115" spans="1:24">
      <c r="A4115" s="27" t="s">
        <v>7538</v>
      </c>
      <c r="B4115" s="28" t="s">
        <v>5102</v>
      </c>
      <c r="C4115" s="27" t="s">
        <v>7539</v>
      </c>
      <c r="D4115" s="27" t="s">
        <v>5104</v>
      </c>
      <c r="E4115" s="29">
        <v>37226</v>
      </c>
      <c r="F4115" s="27">
        <v>15</v>
      </c>
      <c r="G4115" s="18">
        <v>44240.45</v>
      </c>
      <c r="H4115" s="27">
        <f t="shared" si="128"/>
        <v>44240.45</v>
      </c>
      <c r="I4115" s="18">
        <v>42028.43</v>
      </c>
      <c r="J4115" s="27">
        <v>44240.45</v>
      </c>
      <c r="K4115" s="18">
        <f t="shared" si="129"/>
        <v>44240.45</v>
      </c>
      <c r="L4115" s="27">
        <v>42028.43</v>
      </c>
      <c r="M4115" s="36">
        <v>0</v>
      </c>
      <c r="T4115" s="41">
        <v>0</v>
      </c>
      <c r="U4115" s="41">
        <v>0</v>
      </c>
      <c r="V4115" s="42" t="s">
        <v>113</v>
      </c>
      <c r="W4115" s="42">
        <v>44240.45</v>
      </c>
      <c r="X4115" s="42">
        <v>44240.45</v>
      </c>
    </row>
    <row r="4116" spans="1:24">
      <c r="A4116" s="27" t="s">
        <v>7540</v>
      </c>
      <c r="B4116" s="28" t="s">
        <v>5102</v>
      </c>
      <c r="C4116" s="27" t="s">
        <v>7541</v>
      </c>
      <c r="D4116" s="27" t="s">
        <v>5104</v>
      </c>
      <c r="E4116" s="29">
        <v>37226</v>
      </c>
      <c r="F4116" s="27">
        <v>15</v>
      </c>
      <c r="G4116" s="18">
        <v>44240.45</v>
      </c>
      <c r="H4116" s="27">
        <f t="shared" si="128"/>
        <v>44240.45</v>
      </c>
      <c r="I4116" s="18">
        <v>42028.43</v>
      </c>
      <c r="J4116" s="27">
        <v>44240.45</v>
      </c>
      <c r="K4116" s="18">
        <f t="shared" si="129"/>
        <v>44240.45</v>
      </c>
      <c r="L4116" s="27">
        <v>42028.43</v>
      </c>
      <c r="M4116" s="36">
        <v>0</v>
      </c>
      <c r="T4116" s="41">
        <v>0</v>
      </c>
      <c r="U4116" s="41">
        <v>0</v>
      </c>
      <c r="V4116" s="42" t="s">
        <v>113</v>
      </c>
      <c r="W4116" s="42">
        <v>44240.45</v>
      </c>
      <c r="X4116" s="42">
        <v>44240.45</v>
      </c>
    </row>
    <row r="4117" spans="1:24">
      <c r="A4117" s="27" t="s">
        <v>7542</v>
      </c>
      <c r="B4117" s="28" t="s">
        <v>5102</v>
      </c>
      <c r="C4117" s="27" t="s">
        <v>7543</v>
      </c>
      <c r="D4117" s="27" t="s">
        <v>5104</v>
      </c>
      <c r="E4117" s="29">
        <v>37226</v>
      </c>
      <c r="F4117" s="27">
        <v>15</v>
      </c>
      <c r="G4117" s="18">
        <v>44240.45</v>
      </c>
      <c r="H4117" s="27">
        <f t="shared" si="128"/>
        <v>44240.45</v>
      </c>
      <c r="I4117" s="18">
        <v>42028.43</v>
      </c>
      <c r="J4117" s="27">
        <v>44240.45</v>
      </c>
      <c r="K4117" s="18">
        <f t="shared" si="129"/>
        <v>44240.45</v>
      </c>
      <c r="L4117" s="27">
        <v>42028.43</v>
      </c>
      <c r="M4117" s="36">
        <v>0</v>
      </c>
      <c r="T4117" s="41">
        <v>0</v>
      </c>
      <c r="U4117" s="41">
        <v>0</v>
      </c>
      <c r="V4117" s="42" t="s">
        <v>113</v>
      </c>
      <c r="W4117" s="42">
        <v>44240.45</v>
      </c>
      <c r="X4117" s="42">
        <v>44240.45</v>
      </c>
    </row>
    <row r="4118" spans="1:24">
      <c r="A4118" s="27" t="s">
        <v>7544</v>
      </c>
      <c r="B4118" s="28" t="s">
        <v>5102</v>
      </c>
      <c r="C4118" s="27" t="s">
        <v>7545</v>
      </c>
      <c r="D4118" s="27" t="s">
        <v>5104</v>
      </c>
      <c r="E4118" s="29">
        <v>37226</v>
      </c>
      <c r="F4118" s="27">
        <v>15</v>
      </c>
      <c r="G4118" s="18">
        <v>44240.45</v>
      </c>
      <c r="H4118" s="27">
        <f t="shared" si="128"/>
        <v>44240.45</v>
      </c>
      <c r="I4118" s="18">
        <v>42028.43</v>
      </c>
      <c r="J4118" s="27">
        <v>44240.45</v>
      </c>
      <c r="K4118" s="18">
        <f t="shared" si="129"/>
        <v>44240.45</v>
      </c>
      <c r="L4118" s="27">
        <v>42028.43</v>
      </c>
      <c r="M4118" s="36">
        <v>0</v>
      </c>
      <c r="T4118" s="41">
        <v>0</v>
      </c>
      <c r="U4118" s="41">
        <v>0</v>
      </c>
      <c r="V4118" s="42" t="s">
        <v>113</v>
      </c>
      <c r="W4118" s="42">
        <v>44240.45</v>
      </c>
      <c r="X4118" s="42">
        <v>44240.45</v>
      </c>
    </row>
    <row r="4119" spans="1:24">
      <c r="A4119" s="27" t="s">
        <v>7546</v>
      </c>
      <c r="B4119" s="28" t="s">
        <v>5102</v>
      </c>
      <c r="C4119" s="27" t="s">
        <v>7547</v>
      </c>
      <c r="D4119" s="27" t="s">
        <v>5104</v>
      </c>
      <c r="E4119" s="29">
        <v>40179</v>
      </c>
      <c r="F4119" s="27">
        <v>15</v>
      </c>
      <c r="G4119" s="18">
        <v>94496.77</v>
      </c>
      <c r="H4119" s="27">
        <f t="shared" si="128"/>
        <v>0</v>
      </c>
      <c r="I4119" s="18">
        <v>66415.78</v>
      </c>
      <c r="J4119" s="27">
        <v>94496.77</v>
      </c>
      <c r="K4119" s="18">
        <f t="shared" si="129"/>
        <v>0</v>
      </c>
      <c r="L4119" s="27">
        <v>70363.3</v>
      </c>
      <c r="M4119" s="36">
        <v>3947.52</v>
      </c>
      <c r="T4119" s="41">
        <v>0</v>
      </c>
      <c r="U4119" s="41">
        <v>0</v>
      </c>
      <c r="V4119" s="42" t="s">
        <v>113</v>
      </c>
      <c r="W4119" s="42">
        <v>0</v>
      </c>
      <c r="X4119" s="42">
        <v>0</v>
      </c>
    </row>
    <row r="4120" spans="1:24">
      <c r="A4120" s="27" t="s">
        <v>7548</v>
      </c>
      <c r="B4120" s="28" t="s">
        <v>5102</v>
      </c>
      <c r="C4120" s="27" t="s">
        <v>7549</v>
      </c>
      <c r="D4120" s="27" t="s">
        <v>5104</v>
      </c>
      <c r="E4120" s="29">
        <v>40179</v>
      </c>
      <c r="F4120" s="27">
        <v>15</v>
      </c>
      <c r="G4120" s="18">
        <v>21395.87</v>
      </c>
      <c r="H4120" s="27">
        <f t="shared" si="128"/>
        <v>0</v>
      </c>
      <c r="I4120" s="18">
        <v>15037.79</v>
      </c>
      <c r="J4120" s="27">
        <v>21395.87</v>
      </c>
      <c r="K4120" s="18">
        <f t="shared" si="129"/>
        <v>0</v>
      </c>
      <c r="L4120" s="27">
        <v>15931.59</v>
      </c>
      <c r="M4120" s="36">
        <v>893.8</v>
      </c>
      <c r="T4120" s="41">
        <v>0</v>
      </c>
      <c r="U4120" s="41">
        <v>0</v>
      </c>
      <c r="V4120" s="42" t="s">
        <v>113</v>
      </c>
      <c r="W4120" s="42">
        <v>0</v>
      </c>
      <c r="X4120" s="42">
        <v>0</v>
      </c>
    </row>
    <row r="4121" spans="1:24">
      <c r="A4121" s="27" t="s">
        <v>7550</v>
      </c>
      <c r="B4121" s="28" t="s">
        <v>5102</v>
      </c>
      <c r="C4121" s="27" t="s">
        <v>7551</v>
      </c>
      <c r="D4121" s="27" t="s">
        <v>5104</v>
      </c>
      <c r="E4121" s="29">
        <v>40179</v>
      </c>
      <c r="F4121" s="27">
        <v>15</v>
      </c>
      <c r="G4121" s="18">
        <v>45902.42</v>
      </c>
      <c r="H4121" s="27">
        <f t="shared" si="128"/>
        <v>0</v>
      </c>
      <c r="I4121" s="18">
        <v>32261.89</v>
      </c>
      <c r="J4121" s="27">
        <v>45902.42</v>
      </c>
      <c r="K4121" s="18">
        <f t="shared" si="129"/>
        <v>0</v>
      </c>
      <c r="L4121" s="27">
        <v>34179.42</v>
      </c>
      <c r="M4121" s="36">
        <v>1917.53</v>
      </c>
      <c r="T4121" s="41">
        <v>0</v>
      </c>
      <c r="U4121" s="41">
        <v>0</v>
      </c>
      <c r="V4121" s="42" t="s">
        <v>113</v>
      </c>
      <c r="W4121" s="42">
        <v>0</v>
      </c>
      <c r="X4121" s="42">
        <v>0</v>
      </c>
    </row>
    <row r="4122" spans="1:24">
      <c r="A4122" s="27" t="s">
        <v>7552</v>
      </c>
      <c r="B4122" s="28" t="s">
        <v>5102</v>
      </c>
      <c r="C4122" s="27" t="s">
        <v>7553</v>
      </c>
      <c r="D4122" s="27" t="s">
        <v>5104</v>
      </c>
      <c r="E4122" s="29">
        <v>40179</v>
      </c>
      <c r="F4122" s="27">
        <v>15</v>
      </c>
      <c r="G4122" s="18">
        <v>10368.93</v>
      </c>
      <c r="H4122" s="27">
        <f t="shared" si="128"/>
        <v>0</v>
      </c>
      <c r="I4122" s="18">
        <v>7287.66</v>
      </c>
      <c r="J4122" s="27">
        <v>10368.93</v>
      </c>
      <c r="K4122" s="18">
        <f t="shared" si="129"/>
        <v>0</v>
      </c>
      <c r="L4122" s="27">
        <v>7720.81</v>
      </c>
      <c r="M4122" s="36">
        <v>433.15</v>
      </c>
      <c r="T4122" s="41">
        <v>0</v>
      </c>
      <c r="U4122" s="41">
        <v>0</v>
      </c>
      <c r="V4122" s="42" t="s">
        <v>113</v>
      </c>
      <c r="W4122" s="42">
        <v>0</v>
      </c>
      <c r="X4122" s="42">
        <v>0</v>
      </c>
    </row>
    <row r="4123" spans="1:24">
      <c r="A4123" s="27" t="s">
        <v>7554</v>
      </c>
      <c r="B4123" s="28" t="s">
        <v>5102</v>
      </c>
      <c r="C4123" s="27" t="s">
        <v>7555</v>
      </c>
      <c r="D4123" s="27" t="s">
        <v>5104</v>
      </c>
      <c r="E4123" s="29">
        <v>40179</v>
      </c>
      <c r="F4123" s="27">
        <v>15</v>
      </c>
      <c r="G4123" s="18">
        <v>25895.11</v>
      </c>
      <c r="H4123" s="27">
        <f t="shared" si="128"/>
        <v>0</v>
      </c>
      <c r="I4123" s="18">
        <v>18081.97</v>
      </c>
      <c r="J4123" s="27">
        <v>25895.11</v>
      </c>
      <c r="K4123" s="18">
        <f t="shared" si="129"/>
        <v>0</v>
      </c>
      <c r="L4123" s="27">
        <v>19168.37</v>
      </c>
      <c r="M4123" s="36">
        <v>1086.4000000000001</v>
      </c>
      <c r="T4123" s="41">
        <v>0</v>
      </c>
      <c r="U4123" s="41">
        <v>0</v>
      </c>
      <c r="V4123" s="42" t="s">
        <v>113</v>
      </c>
      <c r="W4123" s="42">
        <v>0</v>
      </c>
      <c r="X4123" s="42">
        <v>0</v>
      </c>
    </row>
    <row r="4124" spans="1:24">
      <c r="A4124" s="27" t="s">
        <v>7556</v>
      </c>
      <c r="B4124" s="28" t="s">
        <v>5102</v>
      </c>
      <c r="C4124" s="27" t="s">
        <v>7557</v>
      </c>
      <c r="D4124" s="27" t="s">
        <v>5104</v>
      </c>
      <c r="E4124" s="29">
        <v>40908</v>
      </c>
      <c r="F4124" s="27">
        <v>15</v>
      </c>
      <c r="G4124" s="18">
        <v>130953.73</v>
      </c>
      <c r="H4124" s="27">
        <f t="shared" si="128"/>
        <v>0</v>
      </c>
      <c r="I4124" s="18">
        <v>70355.039999999994</v>
      </c>
      <c r="J4124" s="27">
        <v>130953.73</v>
      </c>
      <c r="K4124" s="18">
        <f t="shared" si="129"/>
        <v>0</v>
      </c>
      <c r="L4124" s="27">
        <v>77111.42</v>
      </c>
      <c r="M4124" s="36">
        <v>6756.38</v>
      </c>
      <c r="T4124" s="41">
        <v>0</v>
      </c>
      <c r="U4124" s="41">
        <v>0</v>
      </c>
      <c r="V4124" s="42" t="s">
        <v>113</v>
      </c>
      <c r="W4124" s="42">
        <v>0</v>
      </c>
      <c r="X4124" s="42">
        <v>0</v>
      </c>
    </row>
    <row r="4125" spans="1:24">
      <c r="A4125" s="27" t="s">
        <v>7558</v>
      </c>
      <c r="B4125" s="28" t="s">
        <v>5102</v>
      </c>
      <c r="C4125" s="27" t="s">
        <v>7559</v>
      </c>
      <c r="D4125" s="27" t="s">
        <v>5104</v>
      </c>
      <c r="E4125" s="29">
        <v>40908</v>
      </c>
      <c r="F4125" s="27">
        <v>15</v>
      </c>
      <c r="G4125" s="18">
        <v>85251.53</v>
      </c>
      <c r="H4125" s="27">
        <f t="shared" si="128"/>
        <v>0</v>
      </c>
      <c r="I4125" s="18">
        <v>45801.49</v>
      </c>
      <c r="J4125" s="27">
        <v>85251.53</v>
      </c>
      <c r="K4125" s="18">
        <f t="shared" si="129"/>
        <v>0</v>
      </c>
      <c r="L4125" s="27">
        <v>50199.92</v>
      </c>
      <c r="M4125" s="36">
        <v>4398.43</v>
      </c>
      <c r="T4125" s="41">
        <v>0</v>
      </c>
      <c r="U4125" s="41">
        <v>0</v>
      </c>
      <c r="V4125" s="42" t="s">
        <v>113</v>
      </c>
      <c r="W4125" s="42">
        <v>0</v>
      </c>
      <c r="X4125" s="42">
        <v>0</v>
      </c>
    </row>
    <row r="4126" spans="1:24">
      <c r="A4126" s="27" t="s">
        <v>7560</v>
      </c>
      <c r="B4126" s="28" t="s">
        <v>5102</v>
      </c>
      <c r="C4126" s="27" t="s">
        <v>7561</v>
      </c>
      <c r="D4126" s="27" t="s">
        <v>5104</v>
      </c>
      <c r="E4126" s="29">
        <v>40908</v>
      </c>
      <c r="F4126" s="27">
        <v>15</v>
      </c>
      <c r="G4126" s="18">
        <v>56216.62</v>
      </c>
      <c r="H4126" s="27">
        <f t="shared" si="128"/>
        <v>0</v>
      </c>
      <c r="I4126" s="18">
        <v>30202.46</v>
      </c>
      <c r="J4126" s="27">
        <v>56216.62</v>
      </c>
      <c r="K4126" s="18">
        <f t="shared" si="129"/>
        <v>0</v>
      </c>
      <c r="L4126" s="27">
        <v>33102.879999999997</v>
      </c>
      <c r="M4126" s="36">
        <v>2900.42</v>
      </c>
      <c r="T4126" s="41">
        <v>0</v>
      </c>
      <c r="U4126" s="41">
        <v>0</v>
      </c>
      <c r="V4126" s="42" t="s">
        <v>113</v>
      </c>
      <c r="W4126" s="42">
        <v>0</v>
      </c>
      <c r="X4126" s="42">
        <v>0</v>
      </c>
    </row>
    <row r="4127" spans="1:24">
      <c r="A4127" s="27" t="s">
        <v>7562</v>
      </c>
      <c r="B4127" s="28" t="s">
        <v>5102</v>
      </c>
      <c r="C4127" s="27" t="s">
        <v>7563</v>
      </c>
      <c r="D4127" s="27" t="s">
        <v>5104</v>
      </c>
      <c r="E4127" s="29">
        <v>40908</v>
      </c>
      <c r="F4127" s="27">
        <v>15</v>
      </c>
      <c r="G4127" s="18">
        <v>130270.07</v>
      </c>
      <c r="H4127" s="27">
        <f t="shared" si="128"/>
        <v>0</v>
      </c>
      <c r="I4127" s="18">
        <v>69987.740000000005</v>
      </c>
      <c r="J4127" s="27">
        <v>130270.07</v>
      </c>
      <c r="K4127" s="18">
        <f t="shared" si="129"/>
        <v>0</v>
      </c>
      <c r="L4127" s="27">
        <v>76708.84</v>
      </c>
      <c r="M4127" s="36">
        <v>6721.1</v>
      </c>
      <c r="T4127" s="41">
        <v>0</v>
      </c>
      <c r="U4127" s="41">
        <v>0</v>
      </c>
      <c r="V4127" s="42" t="s">
        <v>113</v>
      </c>
      <c r="W4127" s="42">
        <v>0</v>
      </c>
      <c r="X4127" s="42">
        <v>0</v>
      </c>
    </row>
    <row r="4128" spans="1:24">
      <c r="A4128" s="27" t="s">
        <v>7564</v>
      </c>
      <c r="B4128" s="28" t="s">
        <v>5102</v>
      </c>
      <c r="C4128" s="27" t="s">
        <v>7565</v>
      </c>
      <c r="D4128" s="27" t="s">
        <v>5104</v>
      </c>
      <c r="E4128" s="29">
        <v>40908</v>
      </c>
      <c r="F4128" s="27">
        <v>15</v>
      </c>
      <c r="G4128" s="18">
        <v>75782.94</v>
      </c>
      <c r="H4128" s="27">
        <f t="shared" si="128"/>
        <v>0</v>
      </c>
      <c r="I4128" s="18">
        <v>40714.46</v>
      </c>
      <c r="J4128" s="27">
        <v>75782.94</v>
      </c>
      <c r="K4128" s="18">
        <f t="shared" si="129"/>
        <v>0</v>
      </c>
      <c r="L4128" s="27">
        <v>44624.38</v>
      </c>
      <c r="M4128" s="36">
        <v>3909.92</v>
      </c>
      <c r="T4128" s="41">
        <v>0</v>
      </c>
      <c r="U4128" s="41">
        <v>0</v>
      </c>
      <c r="V4128" s="42" t="s">
        <v>113</v>
      </c>
      <c r="W4128" s="42">
        <v>0</v>
      </c>
      <c r="X4128" s="42">
        <v>0</v>
      </c>
    </row>
    <row r="4129" spans="1:24">
      <c r="A4129" s="27" t="s">
        <v>7566</v>
      </c>
      <c r="B4129" s="28" t="s">
        <v>5102</v>
      </c>
      <c r="C4129" s="27" t="s">
        <v>7567</v>
      </c>
      <c r="D4129" s="27" t="s">
        <v>5104</v>
      </c>
      <c r="E4129" s="29">
        <v>40908</v>
      </c>
      <c r="F4129" s="27">
        <v>15</v>
      </c>
      <c r="G4129" s="18">
        <v>86003.54</v>
      </c>
      <c r="H4129" s="27">
        <f t="shared" si="128"/>
        <v>0</v>
      </c>
      <c r="I4129" s="18">
        <v>46205.51</v>
      </c>
      <c r="J4129" s="27">
        <v>86003.54</v>
      </c>
      <c r="K4129" s="18">
        <f t="shared" si="129"/>
        <v>0</v>
      </c>
      <c r="L4129" s="27">
        <v>50642.74</v>
      </c>
      <c r="M4129" s="36">
        <v>4437.2299999999996</v>
      </c>
      <c r="T4129" s="41">
        <v>0</v>
      </c>
      <c r="U4129" s="41">
        <v>0</v>
      </c>
      <c r="V4129" s="42" t="s">
        <v>113</v>
      </c>
      <c r="W4129" s="42">
        <v>0</v>
      </c>
      <c r="X4129" s="42">
        <v>0</v>
      </c>
    </row>
    <row r="4130" spans="1:24">
      <c r="A4130" s="27" t="s">
        <v>7568</v>
      </c>
      <c r="B4130" s="28" t="s">
        <v>5102</v>
      </c>
      <c r="C4130" s="27" t="s">
        <v>7569</v>
      </c>
      <c r="D4130" s="27" t="s">
        <v>5104</v>
      </c>
      <c r="E4130" s="29">
        <v>40908</v>
      </c>
      <c r="F4130" s="27">
        <v>15</v>
      </c>
      <c r="G4130" s="18">
        <v>26035.02</v>
      </c>
      <c r="H4130" s="27">
        <f t="shared" si="128"/>
        <v>0</v>
      </c>
      <c r="I4130" s="18">
        <v>13987.34</v>
      </c>
      <c r="J4130" s="27">
        <v>26035.02</v>
      </c>
      <c r="K4130" s="18">
        <f t="shared" si="129"/>
        <v>0</v>
      </c>
      <c r="L4130" s="27">
        <v>15330.58</v>
      </c>
      <c r="M4130" s="36">
        <v>1343.24</v>
      </c>
      <c r="T4130" s="41">
        <v>0</v>
      </c>
      <c r="U4130" s="41">
        <v>0</v>
      </c>
      <c r="V4130" s="42" t="s">
        <v>113</v>
      </c>
      <c r="W4130" s="42">
        <v>0</v>
      </c>
      <c r="X4130" s="42">
        <v>0</v>
      </c>
    </row>
    <row r="4131" spans="1:24">
      <c r="A4131" s="27" t="s">
        <v>7570</v>
      </c>
      <c r="B4131" s="28" t="s">
        <v>5102</v>
      </c>
      <c r="C4131" s="27" t="s">
        <v>7571</v>
      </c>
      <c r="D4131" s="27" t="s">
        <v>5104</v>
      </c>
      <c r="E4131" s="29">
        <v>40908</v>
      </c>
      <c r="F4131" s="27">
        <v>15</v>
      </c>
      <c r="G4131" s="18">
        <v>114614.42</v>
      </c>
      <c r="H4131" s="27">
        <f t="shared" si="128"/>
        <v>0</v>
      </c>
      <c r="I4131" s="18">
        <v>61576.74</v>
      </c>
      <c r="J4131" s="27">
        <v>114614.42</v>
      </c>
      <c r="K4131" s="18">
        <f t="shared" si="129"/>
        <v>0</v>
      </c>
      <c r="L4131" s="27">
        <v>67490.11</v>
      </c>
      <c r="M4131" s="36">
        <v>5913.37</v>
      </c>
      <c r="T4131" s="41">
        <v>0</v>
      </c>
      <c r="U4131" s="41">
        <v>0</v>
      </c>
      <c r="V4131" s="42" t="s">
        <v>113</v>
      </c>
      <c r="W4131" s="42">
        <v>0</v>
      </c>
      <c r="X4131" s="42">
        <v>0</v>
      </c>
    </row>
    <row r="4132" spans="1:24">
      <c r="A4132" s="27" t="s">
        <v>7572</v>
      </c>
      <c r="B4132" s="28" t="s">
        <v>5102</v>
      </c>
      <c r="C4132" s="27" t="s">
        <v>7573</v>
      </c>
      <c r="D4132" s="27" t="s">
        <v>5104</v>
      </c>
      <c r="E4132" s="29">
        <v>40908</v>
      </c>
      <c r="F4132" s="27">
        <v>15</v>
      </c>
      <c r="G4132" s="18">
        <v>75235.89</v>
      </c>
      <c r="H4132" s="27">
        <f t="shared" si="128"/>
        <v>0</v>
      </c>
      <c r="I4132" s="18">
        <v>40420.58</v>
      </c>
      <c r="J4132" s="27">
        <v>75235.89</v>
      </c>
      <c r="K4132" s="18">
        <f t="shared" si="129"/>
        <v>0</v>
      </c>
      <c r="L4132" s="27">
        <v>44302.27</v>
      </c>
      <c r="M4132" s="36">
        <v>3881.69</v>
      </c>
      <c r="T4132" s="41">
        <v>0</v>
      </c>
      <c r="U4132" s="41">
        <v>0</v>
      </c>
      <c r="V4132" s="42" t="s">
        <v>113</v>
      </c>
      <c r="W4132" s="42">
        <v>0</v>
      </c>
      <c r="X4132" s="42">
        <v>0</v>
      </c>
    </row>
    <row r="4133" spans="1:24">
      <c r="A4133" s="27" t="s">
        <v>7574</v>
      </c>
      <c r="B4133" s="28" t="s">
        <v>5102</v>
      </c>
      <c r="C4133" s="27" t="s">
        <v>7575</v>
      </c>
      <c r="D4133" s="27" t="s">
        <v>5104</v>
      </c>
      <c r="E4133" s="29">
        <v>40908</v>
      </c>
      <c r="F4133" s="27">
        <v>15</v>
      </c>
      <c r="G4133" s="18">
        <v>100565.35</v>
      </c>
      <c r="H4133" s="27">
        <f t="shared" si="128"/>
        <v>0</v>
      </c>
      <c r="I4133" s="18">
        <v>54028.85</v>
      </c>
      <c r="J4133" s="27">
        <v>100565.35</v>
      </c>
      <c r="K4133" s="18">
        <f t="shared" si="129"/>
        <v>0</v>
      </c>
      <c r="L4133" s="27">
        <v>59217.38</v>
      </c>
      <c r="M4133" s="36">
        <v>5188.53</v>
      </c>
      <c r="T4133" s="41">
        <v>0</v>
      </c>
      <c r="U4133" s="41">
        <v>0</v>
      </c>
      <c r="V4133" s="42" t="s">
        <v>113</v>
      </c>
      <c r="W4133" s="42">
        <v>0</v>
      </c>
      <c r="X4133" s="42">
        <v>0</v>
      </c>
    </row>
    <row r="4134" spans="1:24">
      <c r="A4134" s="27" t="s">
        <v>7576</v>
      </c>
      <c r="B4134" s="28" t="s">
        <v>5102</v>
      </c>
      <c r="C4134" s="27" t="s">
        <v>7577</v>
      </c>
      <c r="D4134" s="27" t="s">
        <v>5104</v>
      </c>
      <c r="E4134" s="29">
        <v>40908</v>
      </c>
      <c r="F4134" s="27">
        <v>15</v>
      </c>
      <c r="G4134" s="18">
        <v>65493.96</v>
      </c>
      <c r="H4134" s="27">
        <f t="shared" si="128"/>
        <v>0</v>
      </c>
      <c r="I4134" s="18">
        <v>35186.71</v>
      </c>
      <c r="J4134" s="27">
        <v>65493.96</v>
      </c>
      <c r="K4134" s="18">
        <f t="shared" si="129"/>
        <v>0</v>
      </c>
      <c r="L4134" s="27">
        <v>38565.78</v>
      </c>
      <c r="M4134" s="36">
        <v>3379.07</v>
      </c>
      <c r="T4134" s="41">
        <v>0</v>
      </c>
      <c r="U4134" s="41">
        <v>0</v>
      </c>
      <c r="V4134" s="42" t="s">
        <v>113</v>
      </c>
      <c r="W4134" s="42">
        <v>0</v>
      </c>
      <c r="X4134" s="42">
        <v>0</v>
      </c>
    </row>
    <row r="4135" spans="1:24">
      <c r="A4135" s="27" t="s">
        <v>7578</v>
      </c>
      <c r="B4135" s="28" t="s">
        <v>5102</v>
      </c>
      <c r="C4135" s="27" t="s">
        <v>7579</v>
      </c>
      <c r="D4135" s="27" t="s">
        <v>5104</v>
      </c>
      <c r="E4135" s="29">
        <v>40908</v>
      </c>
      <c r="F4135" s="27">
        <v>15</v>
      </c>
      <c r="G4135" s="18">
        <v>10345.06</v>
      </c>
      <c r="H4135" s="27">
        <f t="shared" si="128"/>
        <v>0</v>
      </c>
      <c r="I4135" s="18">
        <v>5557.9</v>
      </c>
      <c r="J4135" s="27">
        <v>10345.06</v>
      </c>
      <c r="K4135" s="18">
        <f t="shared" si="129"/>
        <v>0</v>
      </c>
      <c r="L4135" s="27">
        <v>6091.64</v>
      </c>
      <c r="M4135" s="36">
        <v>533.74</v>
      </c>
      <c r="T4135" s="41">
        <v>0</v>
      </c>
      <c r="U4135" s="41">
        <v>0</v>
      </c>
      <c r="V4135" s="42" t="s">
        <v>113</v>
      </c>
      <c r="W4135" s="42">
        <v>0</v>
      </c>
      <c r="X4135" s="42">
        <v>0</v>
      </c>
    </row>
    <row r="4136" spans="1:24">
      <c r="A4136" s="27" t="s">
        <v>7580</v>
      </c>
      <c r="B4136" s="28" t="s">
        <v>5102</v>
      </c>
      <c r="C4136" s="27" t="s">
        <v>7581</v>
      </c>
      <c r="D4136" s="27" t="s">
        <v>5104</v>
      </c>
      <c r="E4136" s="29">
        <v>40908</v>
      </c>
      <c r="F4136" s="27">
        <v>15</v>
      </c>
      <c r="G4136" s="18">
        <v>65904.149999999994</v>
      </c>
      <c r="H4136" s="27">
        <f t="shared" si="128"/>
        <v>0</v>
      </c>
      <c r="I4136" s="18">
        <v>35407.089999999997</v>
      </c>
      <c r="J4136" s="27">
        <v>65904.149999999994</v>
      </c>
      <c r="K4136" s="18">
        <f t="shared" si="129"/>
        <v>0</v>
      </c>
      <c r="L4136" s="27">
        <v>38807.32</v>
      </c>
      <c r="M4136" s="36">
        <v>3400.23</v>
      </c>
      <c r="T4136" s="41">
        <v>0</v>
      </c>
      <c r="U4136" s="41">
        <v>0</v>
      </c>
      <c r="V4136" s="42" t="s">
        <v>113</v>
      </c>
      <c r="W4136" s="42">
        <v>0</v>
      </c>
      <c r="X4136" s="42">
        <v>0</v>
      </c>
    </row>
    <row r="4137" spans="1:24">
      <c r="A4137" s="27" t="s">
        <v>7582</v>
      </c>
      <c r="B4137" s="28" t="s">
        <v>5102</v>
      </c>
      <c r="C4137" s="27" t="s">
        <v>7583</v>
      </c>
      <c r="D4137" s="27" t="s">
        <v>5104</v>
      </c>
      <c r="E4137" s="29">
        <v>40908</v>
      </c>
      <c r="F4137" s="27">
        <v>15</v>
      </c>
      <c r="G4137" s="18">
        <v>93010.99</v>
      </c>
      <c r="H4137" s="27">
        <f t="shared" si="128"/>
        <v>0</v>
      </c>
      <c r="I4137" s="18">
        <v>49970.27</v>
      </c>
      <c r="J4137" s="27">
        <v>93010.99</v>
      </c>
      <c r="K4137" s="18">
        <f t="shared" si="129"/>
        <v>0</v>
      </c>
      <c r="L4137" s="27">
        <v>54769.04</v>
      </c>
      <c r="M4137" s="36">
        <v>4798.7700000000004</v>
      </c>
      <c r="T4137" s="41">
        <v>0</v>
      </c>
      <c r="U4137" s="41">
        <v>0</v>
      </c>
      <c r="V4137" s="42" t="s">
        <v>113</v>
      </c>
      <c r="W4137" s="42">
        <v>0</v>
      </c>
      <c r="X4137" s="42">
        <v>0</v>
      </c>
    </row>
    <row r="4138" spans="1:24">
      <c r="A4138" s="27" t="s">
        <v>7584</v>
      </c>
      <c r="B4138" s="28" t="s">
        <v>5102</v>
      </c>
      <c r="C4138" s="27" t="s">
        <v>7585</v>
      </c>
      <c r="D4138" s="27" t="s">
        <v>5104</v>
      </c>
      <c r="E4138" s="29">
        <v>40908</v>
      </c>
      <c r="F4138" s="27">
        <v>15</v>
      </c>
      <c r="G4138" s="18">
        <v>23061.13</v>
      </c>
      <c r="H4138" s="27">
        <f t="shared" si="128"/>
        <v>0</v>
      </c>
      <c r="I4138" s="18">
        <v>12389.62</v>
      </c>
      <c r="J4138" s="27">
        <v>23061.13</v>
      </c>
      <c r="K4138" s="18">
        <f t="shared" si="129"/>
        <v>0</v>
      </c>
      <c r="L4138" s="27">
        <v>13579.43</v>
      </c>
      <c r="M4138" s="36">
        <v>1189.81</v>
      </c>
      <c r="T4138" s="41">
        <v>0</v>
      </c>
      <c r="U4138" s="41">
        <v>0</v>
      </c>
      <c r="V4138" s="42" t="s">
        <v>113</v>
      </c>
      <c r="W4138" s="42">
        <v>0</v>
      </c>
      <c r="X4138" s="42">
        <v>0</v>
      </c>
    </row>
    <row r="4139" spans="1:24">
      <c r="A4139" s="27" t="s">
        <v>7586</v>
      </c>
      <c r="B4139" s="28" t="s">
        <v>5102</v>
      </c>
      <c r="C4139" s="27" t="s">
        <v>7587</v>
      </c>
      <c r="D4139" s="27" t="s">
        <v>5104</v>
      </c>
      <c r="E4139" s="29">
        <v>40908</v>
      </c>
      <c r="F4139" s="27">
        <v>15</v>
      </c>
      <c r="G4139" s="18">
        <v>147224.54999999999</v>
      </c>
      <c r="H4139" s="27">
        <f t="shared" si="128"/>
        <v>0</v>
      </c>
      <c r="I4139" s="18">
        <v>79096.570000000007</v>
      </c>
      <c r="J4139" s="27">
        <v>147224.54999999999</v>
      </c>
      <c r="K4139" s="18">
        <f t="shared" si="129"/>
        <v>0</v>
      </c>
      <c r="L4139" s="27">
        <v>86692.41</v>
      </c>
      <c r="M4139" s="36">
        <v>7595.84</v>
      </c>
      <c r="T4139" s="41">
        <v>0</v>
      </c>
      <c r="U4139" s="41">
        <v>0</v>
      </c>
      <c r="V4139" s="42" t="s">
        <v>113</v>
      </c>
      <c r="W4139" s="42">
        <v>0</v>
      </c>
      <c r="X4139" s="42">
        <v>0</v>
      </c>
    </row>
    <row r="4140" spans="1:24">
      <c r="A4140" s="27" t="s">
        <v>7588</v>
      </c>
      <c r="B4140" s="28" t="s">
        <v>5102</v>
      </c>
      <c r="C4140" s="27" t="s">
        <v>7589</v>
      </c>
      <c r="D4140" s="27" t="s">
        <v>5104</v>
      </c>
      <c r="E4140" s="29">
        <v>40908</v>
      </c>
      <c r="F4140" s="27">
        <v>15</v>
      </c>
      <c r="G4140" s="18">
        <v>106342.23</v>
      </c>
      <c r="H4140" s="27">
        <f t="shared" si="128"/>
        <v>0</v>
      </c>
      <c r="I4140" s="18">
        <v>57132.5</v>
      </c>
      <c r="J4140" s="27">
        <v>106342.23</v>
      </c>
      <c r="K4140" s="18">
        <f t="shared" si="129"/>
        <v>0</v>
      </c>
      <c r="L4140" s="27">
        <v>62619.08</v>
      </c>
      <c r="M4140" s="36">
        <v>5486.58</v>
      </c>
      <c r="T4140" s="41">
        <v>0</v>
      </c>
      <c r="U4140" s="41">
        <v>0</v>
      </c>
      <c r="V4140" s="42" t="s">
        <v>113</v>
      </c>
      <c r="W4140" s="42">
        <v>0</v>
      </c>
      <c r="X4140" s="42">
        <v>0</v>
      </c>
    </row>
    <row r="4141" spans="1:24">
      <c r="A4141" s="27" t="s">
        <v>7590</v>
      </c>
      <c r="B4141" s="28" t="s">
        <v>5102</v>
      </c>
      <c r="C4141" s="27" t="s">
        <v>7591</v>
      </c>
      <c r="D4141" s="27" t="s">
        <v>5104</v>
      </c>
      <c r="E4141" s="29">
        <v>40908</v>
      </c>
      <c r="F4141" s="27">
        <v>15</v>
      </c>
      <c r="G4141" s="18">
        <v>77833.89</v>
      </c>
      <c r="H4141" s="27">
        <f t="shared" si="128"/>
        <v>0</v>
      </c>
      <c r="I4141" s="18">
        <v>41816.36</v>
      </c>
      <c r="J4141" s="27">
        <v>77833.89</v>
      </c>
      <c r="K4141" s="18">
        <f t="shared" si="129"/>
        <v>0</v>
      </c>
      <c r="L4141" s="27">
        <v>45832.09</v>
      </c>
      <c r="M4141" s="36">
        <v>4015.73</v>
      </c>
      <c r="T4141" s="41">
        <v>0</v>
      </c>
      <c r="U4141" s="41">
        <v>0</v>
      </c>
      <c r="V4141" s="42" t="s">
        <v>113</v>
      </c>
      <c r="W4141" s="42">
        <v>0</v>
      </c>
      <c r="X4141" s="42">
        <v>0</v>
      </c>
    </row>
    <row r="4142" spans="1:24">
      <c r="A4142" s="27" t="s">
        <v>7592</v>
      </c>
      <c r="B4142" s="28" t="s">
        <v>5102</v>
      </c>
      <c r="C4142" s="27" t="s">
        <v>7593</v>
      </c>
      <c r="D4142" s="27" t="s">
        <v>5104</v>
      </c>
      <c r="E4142" s="29">
        <v>40908</v>
      </c>
      <c r="F4142" s="27">
        <v>15</v>
      </c>
      <c r="G4142" s="18">
        <v>57666.13</v>
      </c>
      <c r="H4142" s="27">
        <f t="shared" si="128"/>
        <v>0</v>
      </c>
      <c r="I4142" s="18">
        <v>30981.19</v>
      </c>
      <c r="J4142" s="27">
        <v>57666.13</v>
      </c>
      <c r="K4142" s="18">
        <f t="shared" si="129"/>
        <v>0</v>
      </c>
      <c r="L4142" s="27">
        <v>33956.39</v>
      </c>
      <c r="M4142" s="36">
        <v>2975.2</v>
      </c>
      <c r="T4142" s="41">
        <v>0</v>
      </c>
      <c r="U4142" s="41">
        <v>0</v>
      </c>
      <c r="V4142" s="42" t="s">
        <v>113</v>
      </c>
      <c r="W4142" s="42">
        <v>0</v>
      </c>
      <c r="X4142" s="42">
        <v>0</v>
      </c>
    </row>
    <row r="4143" spans="1:24">
      <c r="A4143" s="27" t="s">
        <v>7594</v>
      </c>
      <c r="B4143" s="28" t="s">
        <v>5102</v>
      </c>
      <c r="C4143" s="27" t="s">
        <v>7595</v>
      </c>
      <c r="D4143" s="27" t="s">
        <v>5104</v>
      </c>
      <c r="E4143" s="29">
        <v>40908</v>
      </c>
      <c r="F4143" s="27">
        <v>15</v>
      </c>
      <c r="G4143" s="18">
        <v>91951.33</v>
      </c>
      <c r="H4143" s="27">
        <f t="shared" si="128"/>
        <v>0</v>
      </c>
      <c r="I4143" s="18">
        <v>49400.959999999999</v>
      </c>
      <c r="J4143" s="27">
        <v>91951.33</v>
      </c>
      <c r="K4143" s="18">
        <f t="shared" si="129"/>
        <v>0</v>
      </c>
      <c r="L4143" s="27">
        <v>54145.06</v>
      </c>
      <c r="M4143" s="36">
        <v>4744.1000000000004</v>
      </c>
      <c r="T4143" s="41">
        <v>0</v>
      </c>
      <c r="U4143" s="41">
        <v>0</v>
      </c>
      <c r="V4143" s="42" t="s">
        <v>113</v>
      </c>
      <c r="W4143" s="42">
        <v>0</v>
      </c>
      <c r="X4143" s="42">
        <v>0</v>
      </c>
    </row>
    <row r="4144" spans="1:24">
      <c r="A4144" s="27" t="s">
        <v>7596</v>
      </c>
      <c r="B4144" s="28" t="s">
        <v>5102</v>
      </c>
      <c r="C4144" s="27" t="s">
        <v>7597</v>
      </c>
      <c r="D4144" s="27" t="s">
        <v>5104</v>
      </c>
      <c r="E4144" s="29">
        <v>40908</v>
      </c>
      <c r="F4144" s="27">
        <v>15</v>
      </c>
      <c r="G4144" s="18">
        <v>30205.3</v>
      </c>
      <c r="H4144" s="27">
        <f t="shared" si="128"/>
        <v>0</v>
      </c>
      <c r="I4144" s="18">
        <v>16227.83</v>
      </c>
      <c r="J4144" s="27">
        <v>30205.3</v>
      </c>
      <c r="K4144" s="18">
        <f t="shared" si="129"/>
        <v>0</v>
      </c>
      <c r="L4144" s="27">
        <v>17786.23</v>
      </c>
      <c r="M4144" s="36">
        <v>1558.4</v>
      </c>
      <c r="T4144" s="41">
        <v>0</v>
      </c>
      <c r="U4144" s="41">
        <v>0</v>
      </c>
      <c r="V4144" s="42" t="s">
        <v>113</v>
      </c>
      <c r="W4144" s="42">
        <v>0</v>
      </c>
      <c r="X4144" s="42">
        <v>0</v>
      </c>
    </row>
    <row r="4145" spans="1:24">
      <c r="A4145" s="27" t="s">
        <v>7598</v>
      </c>
      <c r="B4145" s="28" t="s">
        <v>5102</v>
      </c>
      <c r="C4145" s="27" t="s">
        <v>7599</v>
      </c>
      <c r="D4145" s="27" t="s">
        <v>5104</v>
      </c>
      <c r="E4145" s="29">
        <v>40908</v>
      </c>
      <c r="F4145" s="27">
        <v>15</v>
      </c>
      <c r="G4145" s="18">
        <v>71391.759999999995</v>
      </c>
      <c r="H4145" s="27">
        <f t="shared" si="128"/>
        <v>0</v>
      </c>
      <c r="I4145" s="18">
        <v>38355.32</v>
      </c>
      <c r="J4145" s="27">
        <v>71391.759999999995</v>
      </c>
      <c r="K4145" s="18">
        <f t="shared" si="129"/>
        <v>0</v>
      </c>
      <c r="L4145" s="27">
        <v>42038.68</v>
      </c>
      <c r="M4145" s="36">
        <v>3683.36</v>
      </c>
      <c r="T4145" s="41">
        <v>0</v>
      </c>
      <c r="U4145" s="41">
        <v>0</v>
      </c>
      <c r="V4145" s="42" t="s">
        <v>113</v>
      </c>
      <c r="W4145" s="42">
        <v>0</v>
      </c>
      <c r="X4145" s="42">
        <v>0</v>
      </c>
    </row>
    <row r="4146" spans="1:24">
      <c r="A4146" s="27" t="s">
        <v>7600</v>
      </c>
      <c r="B4146" s="28" t="s">
        <v>5102</v>
      </c>
      <c r="C4146" s="27" t="s">
        <v>7601</v>
      </c>
      <c r="D4146" s="27" t="s">
        <v>5104</v>
      </c>
      <c r="E4146" s="29">
        <v>40908</v>
      </c>
      <c r="F4146" s="27">
        <v>15</v>
      </c>
      <c r="G4146" s="18">
        <v>17077.97</v>
      </c>
      <c r="H4146" s="27">
        <f t="shared" si="128"/>
        <v>0</v>
      </c>
      <c r="I4146" s="18">
        <v>9184.4699999999993</v>
      </c>
      <c r="J4146" s="27">
        <v>17077.97</v>
      </c>
      <c r="K4146" s="18">
        <f t="shared" si="129"/>
        <v>0</v>
      </c>
      <c r="L4146" s="27">
        <v>10064.42</v>
      </c>
      <c r="M4146" s="36">
        <v>879.95</v>
      </c>
      <c r="T4146" s="41">
        <v>0</v>
      </c>
      <c r="U4146" s="41">
        <v>0</v>
      </c>
      <c r="V4146" s="42" t="s">
        <v>113</v>
      </c>
      <c r="W4146" s="42">
        <v>0</v>
      </c>
      <c r="X4146" s="42">
        <v>0</v>
      </c>
    </row>
    <row r="4147" spans="1:24">
      <c r="A4147" s="27" t="s">
        <v>7602</v>
      </c>
      <c r="B4147" s="28" t="s">
        <v>5102</v>
      </c>
      <c r="C4147" s="27" t="s">
        <v>7603</v>
      </c>
      <c r="D4147" s="27" t="s">
        <v>5104</v>
      </c>
      <c r="E4147" s="29">
        <v>40908</v>
      </c>
      <c r="F4147" s="27">
        <v>15</v>
      </c>
      <c r="G4147" s="18">
        <v>14212.73</v>
      </c>
      <c r="H4147" s="27">
        <f t="shared" si="128"/>
        <v>0</v>
      </c>
      <c r="I4147" s="18">
        <v>7643.56</v>
      </c>
      <c r="J4147" s="27">
        <v>14212.73</v>
      </c>
      <c r="K4147" s="18">
        <f t="shared" si="129"/>
        <v>0</v>
      </c>
      <c r="L4147" s="27">
        <v>8375.8799999999992</v>
      </c>
      <c r="M4147" s="36">
        <v>732.32</v>
      </c>
      <c r="T4147" s="41">
        <v>0</v>
      </c>
      <c r="U4147" s="41">
        <v>0</v>
      </c>
      <c r="V4147" s="42" t="s">
        <v>113</v>
      </c>
      <c r="W4147" s="42">
        <v>0</v>
      </c>
      <c r="X4147" s="42">
        <v>0</v>
      </c>
    </row>
    <row r="4148" spans="1:24">
      <c r="A4148" s="27" t="s">
        <v>7604</v>
      </c>
      <c r="B4148" s="28" t="s">
        <v>5102</v>
      </c>
      <c r="C4148" s="27" t="s">
        <v>7605</v>
      </c>
      <c r="D4148" s="27" t="s">
        <v>5104</v>
      </c>
      <c r="E4148" s="29">
        <v>40908</v>
      </c>
      <c r="F4148" s="27">
        <v>15</v>
      </c>
      <c r="G4148" s="18">
        <v>32794.949999999997</v>
      </c>
      <c r="H4148" s="27">
        <f t="shared" si="128"/>
        <v>0</v>
      </c>
      <c r="I4148" s="18">
        <v>17637.07</v>
      </c>
      <c r="J4148" s="27">
        <v>32794.949999999997</v>
      </c>
      <c r="K4148" s="18">
        <f t="shared" si="129"/>
        <v>0</v>
      </c>
      <c r="L4148" s="27">
        <v>19326.84</v>
      </c>
      <c r="M4148" s="36">
        <v>1689.77</v>
      </c>
      <c r="T4148" s="41">
        <v>0</v>
      </c>
      <c r="U4148" s="41">
        <v>0</v>
      </c>
      <c r="V4148" s="42" t="s">
        <v>113</v>
      </c>
      <c r="W4148" s="42">
        <v>0</v>
      </c>
      <c r="X4148" s="42">
        <v>0</v>
      </c>
    </row>
    <row r="4149" spans="1:24">
      <c r="A4149" s="27" t="s">
        <v>7606</v>
      </c>
      <c r="B4149" s="28" t="s">
        <v>5102</v>
      </c>
      <c r="C4149" s="27" t="s">
        <v>7607</v>
      </c>
      <c r="D4149" s="27" t="s">
        <v>5104</v>
      </c>
      <c r="E4149" s="29">
        <v>40908</v>
      </c>
      <c r="F4149" s="27">
        <v>15</v>
      </c>
      <c r="G4149" s="18">
        <v>19435.419999999998</v>
      </c>
      <c r="H4149" s="27">
        <f t="shared" si="128"/>
        <v>0</v>
      </c>
      <c r="I4149" s="18">
        <v>10452.32</v>
      </c>
      <c r="J4149" s="27">
        <v>19435.419999999998</v>
      </c>
      <c r="K4149" s="18">
        <f t="shared" si="129"/>
        <v>0</v>
      </c>
      <c r="L4149" s="27">
        <v>11453.74</v>
      </c>
      <c r="M4149" s="36">
        <v>1001.42</v>
      </c>
      <c r="T4149" s="41">
        <v>0</v>
      </c>
      <c r="U4149" s="41">
        <v>0</v>
      </c>
      <c r="V4149" s="42" t="s">
        <v>113</v>
      </c>
      <c r="W4149" s="42">
        <v>0</v>
      </c>
      <c r="X4149" s="42">
        <v>0</v>
      </c>
    </row>
    <row r="4150" spans="1:24">
      <c r="A4150" s="27" t="s">
        <v>7608</v>
      </c>
      <c r="B4150" s="28" t="s">
        <v>5102</v>
      </c>
      <c r="C4150" s="27" t="s">
        <v>7609</v>
      </c>
      <c r="D4150" s="27" t="s">
        <v>5104</v>
      </c>
      <c r="E4150" s="29">
        <v>40908</v>
      </c>
      <c r="F4150" s="27">
        <v>15</v>
      </c>
      <c r="G4150" s="18">
        <v>22393.78</v>
      </c>
      <c r="H4150" s="27">
        <f t="shared" si="128"/>
        <v>0</v>
      </c>
      <c r="I4150" s="18">
        <v>12043.33</v>
      </c>
      <c r="J4150" s="27">
        <v>22393.78</v>
      </c>
      <c r="K4150" s="18">
        <f t="shared" si="129"/>
        <v>0</v>
      </c>
      <c r="L4150" s="27">
        <v>13197.18</v>
      </c>
      <c r="M4150" s="36">
        <v>1153.8499999999999</v>
      </c>
      <c r="T4150" s="41">
        <v>0</v>
      </c>
      <c r="U4150" s="41">
        <v>0</v>
      </c>
      <c r="V4150" s="42" t="s">
        <v>113</v>
      </c>
      <c r="W4150" s="42">
        <v>0</v>
      </c>
      <c r="X4150" s="42">
        <v>0</v>
      </c>
    </row>
    <row r="4151" spans="1:24">
      <c r="A4151" s="27" t="s">
        <v>7610</v>
      </c>
      <c r="B4151" s="28" t="s">
        <v>5102</v>
      </c>
      <c r="C4151" s="27" t="s">
        <v>7611</v>
      </c>
      <c r="D4151" s="27" t="s">
        <v>5104</v>
      </c>
      <c r="E4151" s="29">
        <v>40908</v>
      </c>
      <c r="F4151" s="27">
        <v>15</v>
      </c>
      <c r="G4151" s="18">
        <v>12085.73</v>
      </c>
      <c r="H4151" s="27">
        <f t="shared" si="128"/>
        <v>0</v>
      </c>
      <c r="I4151" s="18">
        <v>6499.65</v>
      </c>
      <c r="J4151" s="27">
        <v>12085.73</v>
      </c>
      <c r="K4151" s="18">
        <f t="shared" si="129"/>
        <v>0</v>
      </c>
      <c r="L4151" s="27">
        <v>7122.37</v>
      </c>
      <c r="M4151" s="36">
        <v>622.72</v>
      </c>
      <c r="T4151" s="41">
        <v>0</v>
      </c>
      <c r="U4151" s="41">
        <v>0</v>
      </c>
      <c r="V4151" s="42" t="s">
        <v>113</v>
      </c>
      <c r="W4151" s="42">
        <v>0</v>
      </c>
      <c r="X4151" s="42">
        <v>0</v>
      </c>
    </row>
    <row r="4152" spans="1:24">
      <c r="A4152" s="27" t="s">
        <v>7612</v>
      </c>
      <c r="B4152" s="28" t="s">
        <v>5102</v>
      </c>
      <c r="C4152" s="27" t="s">
        <v>7613</v>
      </c>
      <c r="D4152" s="27" t="s">
        <v>5104</v>
      </c>
      <c r="E4152" s="29">
        <v>40908</v>
      </c>
      <c r="F4152" s="27">
        <v>15</v>
      </c>
      <c r="G4152" s="18">
        <v>17262.87</v>
      </c>
      <c r="H4152" s="27">
        <f t="shared" si="128"/>
        <v>0</v>
      </c>
      <c r="I4152" s="18">
        <v>9283.92</v>
      </c>
      <c r="J4152" s="27">
        <v>17262.87</v>
      </c>
      <c r="K4152" s="18">
        <f t="shared" si="129"/>
        <v>0</v>
      </c>
      <c r="L4152" s="27">
        <v>10173.4</v>
      </c>
      <c r="M4152" s="36">
        <v>889.48</v>
      </c>
      <c r="T4152" s="41">
        <v>0</v>
      </c>
      <c r="U4152" s="41">
        <v>0</v>
      </c>
      <c r="V4152" s="42" t="s">
        <v>113</v>
      </c>
      <c r="W4152" s="42">
        <v>0</v>
      </c>
      <c r="X4152" s="42">
        <v>0</v>
      </c>
    </row>
    <row r="4153" spans="1:24">
      <c r="A4153" s="27" t="s">
        <v>7614</v>
      </c>
      <c r="B4153" s="28" t="s">
        <v>5102</v>
      </c>
      <c r="C4153" s="27" t="s">
        <v>7615</v>
      </c>
      <c r="D4153" s="27" t="s">
        <v>5104</v>
      </c>
      <c r="E4153" s="29">
        <v>40908</v>
      </c>
      <c r="F4153" s="27">
        <v>15</v>
      </c>
      <c r="G4153" s="18">
        <v>7353.72</v>
      </c>
      <c r="H4153" s="27">
        <f t="shared" si="128"/>
        <v>0</v>
      </c>
      <c r="I4153" s="18">
        <v>3954.71</v>
      </c>
      <c r="J4153" s="27">
        <v>7353.72</v>
      </c>
      <c r="K4153" s="18">
        <f t="shared" si="129"/>
        <v>0</v>
      </c>
      <c r="L4153" s="27">
        <v>4333.63</v>
      </c>
      <c r="M4153" s="36">
        <v>378.92</v>
      </c>
      <c r="T4153" s="41">
        <v>0</v>
      </c>
      <c r="U4153" s="41">
        <v>0</v>
      </c>
      <c r="V4153" s="42" t="s">
        <v>113</v>
      </c>
      <c r="W4153" s="42">
        <v>0</v>
      </c>
      <c r="X4153" s="42">
        <v>0</v>
      </c>
    </row>
    <row r="4154" spans="1:24">
      <c r="A4154" s="27" t="s">
        <v>7616</v>
      </c>
      <c r="B4154" s="28" t="s">
        <v>5102</v>
      </c>
      <c r="C4154" s="27" t="s">
        <v>7617</v>
      </c>
      <c r="D4154" s="27" t="s">
        <v>5104</v>
      </c>
      <c r="E4154" s="29">
        <v>40908</v>
      </c>
      <c r="F4154" s="27">
        <v>15</v>
      </c>
      <c r="G4154" s="18">
        <v>22856.02</v>
      </c>
      <c r="H4154" s="27">
        <f t="shared" si="128"/>
        <v>0</v>
      </c>
      <c r="I4154" s="18">
        <v>12291.91</v>
      </c>
      <c r="J4154" s="27">
        <v>22856.02</v>
      </c>
      <c r="K4154" s="18">
        <f t="shared" si="129"/>
        <v>0</v>
      </c>
      <c r="L4154" s="27">
        <v>13469.57</v>
      </c>
      <c r="M4154" s="36">
        <v>1177.6600000000001</v>
      </c>
      <c r="T4154" s="41">
        <v>0</v>
      </c>
      <c r="U4154" s="41">
        <v>0</v>
      </c>
      <c r="V4154" s="42" t="s">
        <v>113</v>
      </c>
      <c r="W4154" s="42">
        <v>0</v>
      </c>
      <c r="X4154" s="42">
        <v>0</v>
      </c>
    </row>
    <row r="4155" spans="1:24">
      <c r="A4155" s="27" t="s">
        <v>7618</v>
      </c>
      <c r="B4155" s="28" t="s">
        <v>5102</v>
      </c>
      <c r="C4155" s="27" t="s">
        <v>7619</v>
      </c>
      <c r="D4155" s="27" t="s">
        <v>5104</v>
      </c>
      <c r="E4155" s="29">
        <v>40908</v>
      </c>
      <c r="F4155" s="27">
        <v>15</v>
      </c>
      <c r="G4155" s="18">
        <v>23040.92</v>
      </c>
      <c r="H4155" s="27">
        <f t="shared" si="128"/>
        <v>0</v>
      </c>
      <c r="I4155" s="18">
        <v>12391.35</v>
      </c>
      <c r="J4155" s="27">
        <v>23040.92</v>
      </c>
      <c r="K4155" s="18">
        <f t="shared" si="129"/>
        <v>0</v>
      </c>
      <c r="L4155" s="27">
        <v>13578.54</v>
      </c>
      <c r="M4155" s="36">
        <v>1187.19</v>
      </c>
      <c r="T4155" s="41">
        <v>0</v>
      </c>
      <c r="U4155" s="41">
        <v>0</v>
      </c>
      <c r="V4155" s="42" t="s">
        <v>113</v>
      </c>
      <c r="W4155" s="42">
        <v>0</v>
      </c>
      <c r="X4155" s="42">
        <v>0</v>
      </c>
    </row>
    <row r="4156" spans="1:24">
      <c r="A4156" s="27" t="s">
        <v>7620</v>
      </c>
      <c r="B4156" s="28" t="s">
        <v>5102</v>
      </c>
      <c r="C4156" s="27" t="s">
        <v>7621</v>
      </c>
      <c r="D4156" s="27" t="s">
        <v>5104</v>
      </c>
      <c r="E4156" s="29">
        <v>40908</v>
      </c>
      <c r="F4156" s="27">
        <v>15</v>
      </c>
      <c r="G4156" s="18">
        <v>19019.39</v>
      </c>
      <c r="H4156" s="27">
        <f t="shared" si="128"/>
        <v>0</v>
      </c>
      <c r="I4156" s="18">
        <v>10228.57</v>
      </c>
      <c r="J4156" s="27">
        <v>19019.39</v>
      </c>
      <c r="K4156" s="18">
        <f t="shared" si="129"/>
        <v>0</v>
      </c>
      <c r="L4156" s="27">
        <v>11208.55</v>
      </c>
      <c r="M4156" s="36">
        <v>979.98</v>
      </c>
      <c r="T4156" s="41">
        <v>0</v>
      </c>
      <c r="U4156" s="41">
        <v>0</v>
      </c>
      <c r="V4156" s="42" t="s">
        <v>113</v>
      </c>
      <c r="W4156" s="42">
        <v>0</v>
      </c>
      <c r="X4156" s="42">
        <v>0</v>
      </c>
    </row>
    <row r="4157" spans="1:24">
      <c r="A4157" s="27" t="s">
        <v>7622</v>
      </c>
      <c r="B4157" s="28" t="s">
        <v>5102</v>
      </c>
      <c r="C4157" s="27" t="s">
        <v>7623</v>
      </c>
      <c r="D4157" s="27" t="s">
        <v>5104</v>
      </c>
      <c r="E4157" s="29">
        <v>40908</v>
      </c>
      <c r="F4157" s="27">
        <v>15</v>
      </c>
      <c r="G4157" s="18">
        <v>17725.11</v>
      </c>
      <c r="H4157" s="27">
        <f t="shared" si="128"/>
        <v>0</v>
      </c>
      <c r="I4157" s="18">
        <v>9532.51</v>
      </c>
      <c r="J4157" s="27">
        <v>17725.11</v>
      </c>
      <c r="K4157" s="18">
        <f t="shared" si="129"/>
        <v>0</v>
      </c>
      <c r="L4157" s="27">
        <v>10445.799999999999</v>
      </c>
      <c r="M4157" s="36">
        <v>913.29</v>
      </c>
      <c r="T4157" s="41">
        <v>0</v>
      </c>
      <c r="U4157" s="41">
        <v>0</v>
      </c>
      <c r="V4157" s="42" t="s">
        <v>113</v>
      </c>
      <c r="W4157" s="42">
        <v>0</v>
      </c>
      <c r="X4157" s="42">
        <v>0</v>
      </c>
    </row>
    <row r="4158" spans="1:24">
      <c r="A4158" s="27" t="s">
        <v>7624</v>
      </c>
      <c r="B4158" s="28" t="s">
        <v>5102</v>
      </c>
      <c r="C4158" s="27" t="s">
        <v>7625</v>
      </c>
      <c r="D4158" s="27" t="s">
        <v>5104</v>
      </c>
      <c r="E4158" s="29">
        <v>40908</v>
      </c>
      <c r="F4158" s="27">
        <v>15</v>
      </c>
      <c r="G4158" s="18">
        <v>21423.06</v>
      </c>
      <c r="H4158" s="27">
        <f t="shared" si="128"/>
        <v>0</v>
      </c>
      <c r="I4158" s="18">
        <v>11521.27</v>
      </c>
      <c r="J4158" s="27">
        <v>21423.06</v>
      </c>
      <c r="K4158" s="18">
        <f t="shared" si="129"/>
        <v>0</v>
      </c>
      <c r="L4158" s="27">
        <v>12625.1</v>
      </c>
      <c r="M4158" s="36">
        <v>1103.83</v>
      </c>
      <c r="T4158" s="41">
        <v>0</v>
      </c>
      <c r="U4158" s="41">
        <v>0</v>
      </c>
      <c r="V4158" s="42" t="s">
        <v>113</v>
      </c>
      <c r="W4158" s="42">
        <v>0</v>
      </c>
      <c r="X4158" s="42">
        <v>0</v>
      </c>
    </row>
    <row r="4159" spans="1:24">
      <c r="A4159" s="27" t="s">
        <v>7626</v>
      </c>
      <c r="B4159" s="28" t="s">
        <v>5102</v>
      </c>
      <c r="C4159" s="27" t="s">
        <v>7603</v>
      </c>
      <c r="D4159" s="27" t="s">
        <v>5104</v>
      </c>
      <c r="E4159" s="29">
        <v>40908</v>
      </c>
      <c r="F4159" s="27">
        <v>15</v>
      </c>
      <c r="G4159" s="18">
        <v>22717.35</v>
      </c>
      <c r="H4159" s="27">
        <f t="shared" si="128"/>
        <v>0</v>
      </c>
      <c r="I4159" s="18">
        <v>12217.33</v>
      </c>
      <c r="J4159" s="27">
        <v>22717.35</v>
      </c>
      <c r="K4159" s="18">
        <f t="shared" si="129"/>
        <v>0</v>
      </c>
      <c r="L4159" s="27">
        <v>13387.85</v>
      </c>
      <c r="M4159" s="36">
        <v>1170.52</v>
      </c>
      <c r="T4159" s="41">
        <v>0</v>
      </c>
      <c r="U4159" s="41">
        <v>0</v>
      </c>
      <c r="V4159" s="42" t="s">
        <v>113</v>
      </c>
      <c r="W4159" s="42">
        <v>0</v>
      </c>
      <c r="X4159" s="42">
        <v>0</v>
      </c>
    </row>
    <row r="4160" spans="1:24">
      <c r="A4160" s="27" t="s">
        <v>7627</v>
      </c>
      <c r="B4160" s="28" t="s">
        <v>5102</v>
      </c>
      <c r="C4160" s="27" t="s">
        <v>7628</v>
      </c>
      <c r="D4160" s="27" t="s">
        <v>5104</v>
      </c>
      <c r="E4160" s="29">
        <v>40908</v>
      </c>
      <c r="F4160" s="27">
        <v>15</v>
      </c>
      <c r="G4160" s="18">
        <v>24751.23</v>
      </c>
      <c r="H4160" s="27">
        <f t="shared" si="128"/>
        <v>0</v>
      </c>
      <c r="I4160" s="18">
        <v>13311.15</v>
      </c>
      <c r="J4160" s="27">
        <v>24751.23</v>
      </c>
      <c r="K4160" s="18">
        <f t="shared" si="129"/>
        <v>0</v>
      </c>
      <c r="L4160" s="27">
        <v>14586.47</v>
      </c>
      <c r="M4160" s="36">
        <v>1275.32</v>
      </c>
      <c r="T4160" s="41">
        <v>0</v>
      </c>
      <c r="U4160" s="41">
        <v>0</v>
      </c>
      <c r="V4160" s="42" t="s">
        <v>113</v>
      </c>
      <c r="W4160" s="42">
        <v>0</v>
      </c>
      <c r="X4160" s="42">
        <v>0</v>
      </c>
    </row>
    <row r="4161" spans="1:24">
      <c r="A4161" s="27" t="s">
        <v>7629</v>
      </c>
      <c r="B4161" s="28" t="s">
        <v>5102</v>
      </c>
      <c r="C4161" s="27" t="s">
        <v>7630</v>
      </c>
      <c r="D4161" s="27" t="s">
        <v>5104</v>
      </c>
      <c r="E4161" s="29">
        <v>40908</v>
      </c>
      <c r="F4161" s="27">
        <v>15</v>
      </c>
      <c r="G4161" s="18">
        <v>28950.47</v>
      </c>
      <c r="H4161" s="27">
        <f t="shared" si="128"/>
        <v>0</v>
      </c>
      <c r="I4161" s="18">
        <v>15569.28</v>
      </c>
      <c r="J4161" s="27">
        <v>28950.47</v>
      </c>
      <c r="K4161" s="18">
        <f t="shared" si="129"/>
        <v>0</v>
      </c>
      <c r="L4161" s="27">
        <v>17060.990000000002</v>
      </c>
      <c r="M4161" s="36">
        <v>1491.71</v>
      </c>
      <c r="T4161" s="41">
        <v>0</v>
      </c>
      <c r="U4161" s="41">
        <v>0</v>
      </c>
      <c r="V4161" s="42" t="s">
        <v>113</v>
      </c>
      <c r="W4161" s="42">
        <v>0</v>
      </c>
      <c r="X4161" s="42">
        <v>0</v>
      </c>
    </row>
    <row r="4162" spans="1:24">
      <c r="A4162" s="27" t="s">
        <v>7631</v>
      </c>
      <c r="B4162" s="28" t="s">
        <v>5102</v>
      </c>
      <c r="C4162" s="27" t="s">
        <v>7632</v>
      </c>
      <c r="D4162" s="27" t="s">
        <v>5104</v>
      </c>
      <c r="E4162" s="29">
        <v>40908</v>
      </c>
      <c r="F4162" s="27">
        <v>15</v>
      </c>
      <c r="G4162" s="18">
        <v>10602.68</v>
      </c>
      <c r="H4162" s="27">
        <f t="shared" si="128"/>
        <v>0</v>
      </c>
      <c r="I4162" s="18">
        <v>5698.68</v>
      </c>
      <c r="J4162" s="27">
        <v>10602.68</v>
      </c>
      <c r="K4162" s="18">
        <f t="shared" si="129"/>
        <v>0</v>
      </c>
      <c r="L4162" s="27">
        <v>6245.41</v>
      </c>
      <c r="M4162" s="36">
        <v>546.73</v>
      </c>
      <c r="T4162" s="41">
        <v>0</v>
      </c>
      <c r="U4162" s="41">
        <v>0</v>
      </c>
      <c r="V4162" s="42" t="s">
        <v>113</v>
      </c>
      <c r="W4162" s="42">
        <v>0</v>
      </c>
      <c r="X4162" s="42">
        <v>0</v>
      </c>
    </row>
    <row r="4163" spans="1:24">
      <c r="A4163" s="27" t="s">
        <v>7633</v>
      </c>
      <c r="B4163" s="28" t="s">
        <v>5102</v>
      </c>
      <c r="C4163" s="27" t="s">
        <v>7634</v>
      </c>
      <c r="D4163" s="27" t="s">
        <v>5104</v>
      </c>
      <c r="E4163" s="29">
        <v>40908</v>
      </c>
      <c r="F4163" s="27">
        <v>15</v>
      </c>
      <c r="G4163" s="18">
        <v>20135.2</v>
      </c>
      <c r="H4163" s="27">
        <f t="shared" si="128"/>
        <v>0</v>
      </c>
      <c r="I4163" s="18">
        <v>10822.24</v>
      </c>
      <c r="J4163" s="27">
        <v>20135.2</v>
      </c>
      <c r="K4163" s="18">
        <f t="shared" si="129"/>
        <v>0</v>
      </c>
      <c r="L4163" s="27">
        <v>11860.52</v>
      </c>
      <c r="M4163" s="36">
        <v>1038.28</v>
      </c>
      <c r="T4163" s="41">
        <v>0</v>
      </c>
      <c r="U4163" s="41">
        <v>0</v>
      </c>
      <c r="V4163" s="42" t="s">
        <v>113</v>
      </c>
      <c r="W4163" s="42">
        <v>0</v>
      </c>
      <c r="X4163" s="42">
        <v>0</v>
      </c>
    </row>
    <row r="4164" spans="1:24">
      <c r="A4164" s="27" t="s">
        <v>7635</v>
      </c>
      <c r="B4164" s="28" t="s">
        <v>5102</v>
      </c>
      <c r="C4164" s="27" t="s">
        <v>7636</v>
      </c>
      <c r="D4164" s="27" t="s">
        <v>5104</v>
      </c>
      <c r="E4164" s="29">
        <v>40908</v>
      </c>
      <c r="F4164" s="27">
        <v>15</v>
      </c>
      <c r="G4164" s="18">
        <v>47153.7</v>
      </c>
      <c r="H4164" s="27">
        <f t="shared" si="128"/>
        <v>0</v>
      </c>
      <c r="I4164" s="18">
        <v>25344.31</v>
      </c>
      <c r="J4164" s="27">
        <v>47153.7</v>
      </c>
      <c r="K4164" s="18">
        <f t="shared" si="129"/>
        <v>0</v>
      </c>
      <c r="L4164" s="27">
        <v>27775.77</v>
      </c>
      <c r="M4164" s="36">
        <v>2431.46</v>
      </c>
      <c r="T4164" s="41">
        <v>0</v>
      </c>
      <c r="U4164" s="41">
        <v>0</v>
      </c>
      <c r="V4164" s="42" t="s">
        <v>113</v>
      </c>
      <c r="W4164" s="42">
        <v>0</v>
      </c>
      <c r="X4164" s="42">
        <v>0</v>
      </c>
    </row>
    <row r="4165" spans="1:24">
      <c r="A4165" s="27" t="s">
        <v>7637</v>
      </c>
      <c r="B4165" s="28" t="s">
        <v>5102</v>
      </c>
      <c r="C4165" s="27" t="s">
        <v>7638</v>
      </c>
      <c r="D4165" s="27" t="s">
        <v>5104</v>
      </c>
      <c r="E4165" s="29">
        <v>40908</v>
      </c>
      <c r="F4165" s="27">
        <v>15</v>
      </c>
      <c r="G4165" s="18">
        <v>36374.22</v>
      </c>
      <c r="H4165" s="27">
        <f t="shared" si="128"/>
        <v>0</v>
      </c>
      <c r="I4165" s="18">
        <v>19559.71</v>
      </c>
      <c r="J4165" s="27">
        <v>36374.22</v>
      </c>
      <c r="K4165" s="18">
        <f t="shared" si="129"/>
        <v>0</v>
      </c>
      <c r="L4165" s="27">
        <v>21434.19</v>
      </c>
      <c r="M4165" s="36">
        <v>1874.48</v>
      </c>
      <c r="T4165" s="41">
        <v>0</v>
      </c>
      <c r="U4165" s="41">
        <v>0</v>
      </c>
      <c r="V4165" s="42" t="s">
        <v>113</v>
      </c>
      <c r="W4165" s="42">
        <v>0</v>
      </c>
      <c r="X4165" s="42">
        <v>0</v>
      </c>
    </row>
    <row r="4166" spans="1:24">
      <c r="A4166" s="27" t="s">
        <v>7639</v>
      </c>
      <c r="B4166" s="28" t="s">
        <v>5102</v>
      </c>
      <c r="C4166" s="27" t="s">
        <v>7640</v>
      </c>
      <c r="D4166" s="27" t="s">
        <v>5104</v>
      </c>
      <c r="E4166" s="29">
        <v>40908</v>
      </c>
      <c r="F4166" s="27">
        <v>15</v>
      </c>
      <c r="G4166" s="18">
        <v>34502.370000000003</v>
      </c>
      <c r="H4166" s="27">
        <f t="shared" ref="H4166:H4229" si="130">IFERROR(IF(ROUND((G4166-I4166)/G4166,2)&lt;=0.05,G4166,0),0)</f>
        <v>0</v>
      </c>
      <c r="I4166" s="18">
        <v>18553.16</v>
      </c>
      <c r="J4166" s="27">
        <v>34502.370000000003</v>
      </c>
      <c r="K4166" s="18">
        <f t="shared" ref="K4166:K4229" si="131">IFERROR(IF(ROUND((J4166-L4166)/J4166,2)&lt;=0.05,J4166,0),0)</f>
        <v>0</v>
      </c>
      <c r="L4166" s="27">
        <v>20331.169999999998</v>
      </c>
      <c r="M4166" s="36">
        <v>1778.01</v>
      </c>
      <c r="T4166" s="41">
        <v>0</v>
      </c>
      <c r="U4166" s="41">
        <v>0</v>
      </c>
      <c r="V4166" s="42" t="s">
        <v>113</v>
      </c>
      <c r="W4166" s="42">
        <v>0</v>
      </c>
      <c r="X4166" s="42">
        <v>0</v>
      </c>
    </row>
    <row r="4167" spans="1:24">
      <c r="A4167" s="27" t="s">
        <v>7641</v>
      </c>
      <c r="B4167" s="28" t="s">
        <v>5102</v>
      </c>
      <c r="C4167" s="27" t="s">
        <v>7642</v>
      </c>
      <c r="D4167" s="27" t="s">
        <v>5104</v>
      </c>
      <c r="E4167" s="29">
        <v>40908</v>
      </c>
      <c r="F4167" s="27">
        <v>15</v>
      </c>
      <c r="G4167" s="18">
        <v>120448.41</v>
      </c>
      <c r="H4167" s="27">
        <f t="shared" si="130"/>
        <v>0</v>
      </c>
      <c r="I4167" s="18">
        <v>64769.4</v>
      </c>
      <c r="J4167" s="27">
        <v>120448.41</v>
      </c>
      <c r="K4167" s="18">
        <f t="shared" si="131"/>
        <v>0</v>
      </c>
      <c r="L4167" s="27">
        <v>70976.47</v>
      </c>
      <c r="M4167" s="36">
        <v>6207.07</v>
      </c>
      <c r="T4167" s="41">
        <v>0</v>
      </c>
      <c r="U4167" s="41">
        <v>0</v>
      </c>
      <c r="V4167" s="42" t="s">
        <v>113</v>
      </c>
      <c r="W4167" s="42">
        <v>0</v>
      </c>
      <c r="X4167" s="42">
        <v>0</v>
      </c>
    </row>
    <row r="4168" spans="1:24">
      <c r="A4168" s="27" t="s">
        <v>7643</v>
      </c>
      <c r="B4168" s="28" t="s">
        <v>5102</v>
      </c>
      <c r="C4168" s="27" t="s">
        <v>7644</v>
      </c>
      <c r="D4168" s="27" t="s">
        <v>5104</v>
      </c>
      <c r="E4168" s="29">
        <v>40908</v>
      </c>
      <c r="F4168" s="27">
        <v>15</v>
      </c>
      <c r="G4168" s="18">
        <v>76983.41</v>
      </c>
      <c r="H4168" s="27">
        <f t="shared" si="130"/>
        <v>0</v>
      </c>
      <c r="I4168" s="18">
        <v>41396.720000000001</v>
      </c>
      <c r="J4168" s="27">
        <v>76983.41</v>
      </c>
      <c r="K4168" s="18">
        <f t="shared" si="131"/>
        <v>0</v>
      </c>
      <c r="L4168" s="27">
        <v>45363.91</v>
      </c>
      <c r="M4168" s="36">
        <v>3967.19</v>
      </c>
      <c r="T4168" s="41">
        <v>0</v>
      </c>
      <c r="U4168" s="41">
        <v>0</v>
      </c>
      <c r="V4168" s="42" t="s">
        <v>113</v>
      </c>
      <c r="W4168" s="42">
        <v>0</v>
      </c>
      <c r="X4168" s="42">
        <v>0</v>
      </c>
    </row>
    <row r="4169" spans="1:24">
      <c r="A4169" s="27" t="s">
        <v>7645</v>
      </c>
      <c r="B4169" s="28" t="s">
        <v>5102</v>
      </c>
      <c r="C4169" s="27" t="s">
        <v>7646</v>
      </c>
      <c r="D4169" s="27" t="s">
        <v>5104</v>
      </c>
      <c r="E4169" s="29">
        <v>40908</v>
      </c>
      <c r="F4169" s="27">
        <v>15</v>
      </c>
      <c r="G4169" s="18">
        <v>9641.85</v>
      </c>
      <c r="H4169" s="27">
        <f t="shared" si="130"/>
        <v>0</v>
      </c>
      <c r="I4169" s="18">
        <v>5184.76</v>
      </c>
      <c r="J4169" s="27">
        <v>9641.85</v>
      </c>
      <c r="K4169" s="18">
        <f t="shared" si="131"/>
        <v>0</v>
      </c>
      <c r="L4169" s="27">
        <v>5681.64</v>
      </c>
      <c r="M4169" s="36">
        <v>496.88</v>
      </c>
      <c r="T4169" s="41">
        <v>0</v>
      </c>
      <c r="U4169" s="41">
        <v>0</v>
      </c>
      <c r="V4169" s="42" t="s">
        <v>113</v>
      </c>
      <c r="W4169" s="42">
        <v>0</v>
      </c>
      <c r="X4169" s="42">
        <v>0</v>
      </c>
    </row>
    <row r="4170" spans="1:24">
      <c r="A4170" s="27" t="s">
        <v>7647</v>
      </c>
      <c r="B4170" s="28" t="s">
        <v>5102</v>
      </c>
      <c r="C4170" s="27" t="s">
        <v>7648</v>
      </c>
      <c r="D4170" s="27" t="s">
        <v>5104</v>
      </c>
      <c r="E4170" s="29">
        <v>40908</v>
      </c>
      <c r="F4170" s="27">
        <v>15</v>
      </c>
      <c r="G4170" s="18">
        <v>90656.74</v>
      </c>
      <c r="H4170" s="27">
        <f t="shared" si="130"/>
        <v>0</v>
      </c>
      <c r="I4170" s="18">
        <v>48749.37</v>
      </c>
      <c r="J4170" s="27">
        <v>90656.74</v>
      </c>
      <c r="K4170" s="18">
        <f t="shared" si="131"/>
        <v>0</v>
      </c>
      <c r="L4170" s="27">
        <v>53421.19</v>
      </c>
      <c r="M4170" s="36">
        <v>4671.82</v>
      </c>
      <c r="T4170" s="41">
        <v>0</v>
      </c>
      <c r="U4170" s="41">
        <v>0</v>
      </c>
      <c r="V4170" s="42" t="s">
        <v>113</v>
      </c>
      <c r="W4170" s="42">
        <v>0</v>
      </c>
      <c r="X4170" s="42">
        <v>0</v>
      </c>
    </row>
    <row r="4171" spans="1:24">
      <c r="A4171" s="27" t="s">
        <v>7649</v>
      </c>
      <c r="B4171" s="28" t="s">
        <v>5102</v>
      </c>
      <c r="C4171" s="27" t="s">
        <v>7650</v>
      </c>
      <c r="D4171" s="27" t="s">
        <v>5104</v>
      </c>
      <c r="E4171" s="29">
        <v>40908</v>
      </c>
      <c r="F4171" s="27">
        <v>15</v>
      </c>
      <c r="G4171" s="18">
        <v>42595.56</v>
      </c>
      <c r="H4171" s="27">
        <f t="shared" si="130"/>
        <v>0</v>
      </c>
      <c r="I4171" s="18">
        <v>22927.83</v>
      </c>
      <c r="J4171" s="27">
        <v>42595.56</v>
      </c>
      <c r="K4171" s="18">
        <f t="shared" si="131"/>
        <v>0</v>
      </c>
      <c r="L4171" s="27">
        <v>25120.07</v>
      </c>
      <c r="M4171" s="36">
        <v>2192.2399999999998</v>
      </c>
      <c r="T4171" s="41">
        <v>0</v>
      </c>
      <c r="U4171" s="41">
        <v>0</v>
      </c>
      <c r="V4171" s="42" t="s">
        <v>113</v>
      </c>
      <c r="W4171" s="42">
        <v>0</v>
      </c>
      <c r="X4171" s="42">
        <v>0</v>
      </c>
    </row>
    <row r="4172" spans="1:24">
      <c r="A4172" s="27" t="s">
        <v>7651</v>
      </c>
      <c r="B4172" s="28" t="s">
        <v>5102</v>
      </c>
      <c r="C4172" s="27" t="s">
        <v>7652</v>
      </c>
      <c r="D4172" s="27" t="s">
        <v>5104</v>
      </c>
      <c r="E4172" s="29">
        <v>40908</v>
      </c>
      <c r="F4172" s="27">
        <v>15</v>
      </c>
      <c r="G4172" s="18">
        <v>54446.12</v>
      </c>
      <c r="H4172" s="27">
        <f t="shared" si="130"/>
        <v>0</v>
      </c>
      <c r="I4172" s="18">
        <v>29306.639999999999</v>
      </c>
      <c r="J4172" s="27">
        <v>54446.12</v>
      </c>
      <c r="K4172" s="18">
        <f t="shared" si="131"/>
        <v>0</v>
      </c>
      <c r="L4172" s="27">
        <v>32108.79</v>
      </c>
      <c r="M4172" s="36">
        <v>2802.15</v>
      </c>
      <c r="T4172" s="41">
        <v>0</v>
      </c>
      <c r="U4172" s="41">
        <v>0</v>
      </c>
      <c r="V4172" s="42" t="s">
        <v>113</v>
      </c>
      <c r="W4172" s="42">
        <v>0</v>
      </c>
      <c r="X4172" s="42">
        <v>0</v>
      </c>
    </row>
    <row r="4173" spans="1:24">
      <c r="A4173" s="27" t="s">
        <v>7653</v>
      </c>
      <c r="B4173" s="28" t="s">
        <v>5102</v>
      </c>
      <c r="C4173" s="27" t="s">
        <v>7654</v>
      </c>
      <c r="D4173" s="27" t="s">
        <v>5104</v>
      </c>
      <c r="E4173" s="29">
        <v>40908</v>
      </c>
      <c r="F4173" s="27">
        <v>15</v>
      </c>
      <c r="G4173" s="18">
        <v>61751.37</v>
      </c>
      <c r="H4173" s="27">
        <f t="shared" si="130"/>
        <v>0</v>
      </c>
      <c r="I4173" s="18">
        <v>33108.36</v>
      </c>
      <c r="J4173" s="27">
        <v>61751.37</v>
      </c>
      <c r="K4173" s="18">
        <f t="shared" si="131"/>
        <v>0</v>
      </c>
      <c r="L4173" s="27">
        <v>36302.79</v>
      </c>
      <c r="M4173" s="36">
        <v>3194.43</v>
      </c>
      <c r="T4173" s="41">
        <v>0</v>
      </c>
      <c r="U4173" s="41">
        <v>0</v>
      </c>
      <c r="V4173" s="42" t="s">
        <v>113</v>
      </c>
      <c r="W4173" s="42">
        <v>0</v>
      </c>
      <c r="X4173" s="42">
        <v>0</v>
      </c>
    </row>
    <row r="4174" spans="1:24">
      <c r="A4174" s="27" t="s">
        <v>7655</v>
      </c>
      <c r="B4174" s="28" t="s">
        <v>5102</v>
      </c>
      <c r="C4174" s="27" t="s">
        <v>7656</v>
      </c>
      <c r="D4174" s="27" t="s">
        <v>5104</v>
      </c>
      <c r="E4174" s="29">
        <v>40908</v>
      </c>
      <c r="F4174" s="27">
        <v>15</v>
      </c>
      <c r="G4174" s="18">
        <v>50157.07</v>
      </c>
      <c r="H4174" s="27">
        <f t="shared" si="130"/>
        <v>0</v>
      </c>
      <c r="I4174" s="18">
        <v>26892.01</v>
      </c>
      <c r="J4174" s="27">
        <v>50157.07</v>
      </c>
      <c r="K4174" s="18">
        <f t="shared" si="131"/>
        <v>0</v>
      </c>
      <c r="L4174" s="27">
        <v>29486.66</v>
      </c>
      <c r="M4174" s="36">
        <v>2594.65</v>
      </c>
      <c r="T4174" s="41">
        <v>0</v>
      </c>
      <c r="U4174" s="41">
        <v>0</v>
      </c>
      <c r="V4174" s="42" t="s">
        <v>113</v>
      </c>
      <c r="W4174" s="42">
        <v>0</v>
      </c>
      <c r="X4174" s="42">
        <v>0</v>
      </c>
    </row>
    <row r="4175" spans="1:24">
      <c r="A4175" s="27" t="s">
        <v>7657</v>
      </c>
      <c r="B4175" s="28" t="s">
        <v>5102</v>
      </c>
      <c r="C4175" s="27" t="s">
        <v>7658</v>
      </c>
      <c r="D4175" s="27" t="s">
        <v>5104</v>
      </c>
      <c r="E4175" s="29">
        <v>40908</v>
      </c>
      <c r="F4175" s="27">
        <v>15</v>
      </c>
      <c r="G4175" s="18">
        <v>40486.15</v>
      </c>
      <c r="H4175" s="27">
        <f t="shared" si="130"/>
        <v>0</v>
      </c>
      <c r="I4175" s="18">
        <v>21706.880000000001</v>
      </c>
      <c r="J4175" s="27">
        <v>40486.15</v>
      </c>
      <c r="K4175" s="18">
        <f t="shared" si="131"/>
        <v>0</v>
      </c>
      <c r="L4175" s="27">
        <v>23801.25</v>
      </c>
      <c r="M4175" s="36">
        <v>2094.37</v>
      </c>
      <c r="T4175" s="41">
        <v>0</v>
      </c>
      <c r="U4175" s="41">
        <v>0</v>
      </c>
      <c r="V4175" s="42" t="s">
        <v>113</v>
      </c>
      <c r="W4175" s="42">
        <v>0</v>
      </c>
      <c r="X4175" s="42">
        <v>0</v>
      </c>
    </row>
    <row r="4176" spans="1:24">
      <c r="A4176" s="27" t="s">
        <v>7659</v>
      </c>
      <c r="B4176" s="28" t="s">
        <v>5102</v>
      </c>
      <c r="C4176" s="27" t="s">
        <v>7660</v>
      </c>
      <c r="D4176" s="27" t="s">
        <v>5104</v>
      </c>
      <c r="E4176" s="29">
        <v>40908</v>
      </c>
      <c r="F4176" s="27">
        <v>15</v>
      </c>
      <c r="G4176" s="18">
        <v>67176.399999999994</v>
      </c>
      <c r="H4176" s="27">
        <f t="shared" si="130"/>
        <v>0</v>
      </c>
      <c r="I4176" s="18">
        <v>36017.01</v>
      </c>
      <c r="J4176" s="27">
        <v>67176.399999999994</v>
      </c>
      <c r="K4176" s="18">
        <f t="shared" si="131"/>
        <v>0</v>
      </c>
      <c r="L4176" s="27">
        <v>39492.080000000002</v>
      </c>
      <c r="M4176" s="36">
        <v>3475.07</v>
      </c>
      <c r="T4176" s="41">
        <v>0</v>
      </c>
      <c r="U4176" s="41">
        <v>0</v>
      </c>
      <c r="V4176" s="42" t="s">
        <v>113</v>
      </c>
      <c r="W4176" s="42">
        <v>0</v>
      </c>
      <c r="X4176" s="42">
        <v>0</v>
      </c>
    </row>
    <row r="4177" spans="1:24">
      <c r="A4177" s="27" t="s">
        <v>7661</v>
      </c>
      <c r="B4177" s="28" t="s">
        <v>5102</v>
      </c>
      <c r="C4177" s="27" t="s">
        <v>7662</v>
      </c>
      <c r="D4177" s="27" t="s">
        <v>5104</v>
      </c>
      <c r="E4177" s="29">
        <v>40908</v>
      </c>
      <c r="F4177" s="27">
        <v>15</v>
      </c>
      <c r="G4177" s="18">
        <v>24755.39</v>
      </c>
      <c r="H4177" s="27">
        <f t="shared" si="130"/>
        <v>0</v>
      </c>
      <c r="I4177" s="18">
        <v>13272.74</v>
      </c>
      <c r="J4177" s="27">
        <v>24755.39</v>
      </c>
      <c r="K4177" s="18">
        <f t="shared" si="131"/>
        <v>0</v>
      </c>
      <c r="L4177" s="27">
        <v>14553.35</v>
      </c>
      <c r="M4177" s="36">
        <v>1280.6099999999999</v>
      </c>
      <c r="T4177" s="41">
        <v>0</v>
      </c>
      <c r="U4177" s="41">
        <v>0</v>
      </c>
      <c r="V4177" s="42" t="s">
        <v>113</v>
      </c>
      <c r="W4177" s="42">
        <v>0</v>
      </c>
      <c r="X4177" s="42">
        <v>0</v>
      </c>
    </row>
    <row r="4178" spans="1:24">
      <c r="A4178" s="27" t="s">
        <v>7663</v>
      </c>
      <c r="B4178" s="28" t="s">
        <v>5102</v>
      </c>
      <c r="C4178" s="27" t="s">
        <v>7664</v>
      </c>
      <c r="D4178" s="27" t="s">
        <v>5104</v>
      </c>
      <c r="E4178" s="29">
        <v>40908</v>
      </c>
      <c r="F4178" s="27">
        <v>15</v>
      </c>
      <c r="G4178" s="18">
        <v>91363.83</v>
      </c>
      <c r="H4178" s="27">
        <f t="shared" si="130"/>
        <v>0</v>
      </c>
      <c r="I4178" s="18">
        <v>48985.24</v>
      </c>
      <c r="J4178" s="27">
        <v>91363.83</v>
      </c>
      <c r="K4178" s="18">
        <f t="shared" si="131"/>
        <v>0</v>
      </c>
      <c r="L4178" s="27">
        <v>53711.54</v>
      </c>
      <c r="M4178" s="36">
        <v>4726.3</v>
      </c>
      <c r="T4178" s="41">
        <v>0</v>
      </c>
      <c r="U4178" s="41">
        <v>0</v>
      </c>
      <c r="V4178" s="42" t="s">
        <v>113</v>
      </c>
      <c r="W4178" s="42">
        <v>0</v>
      </c>
      <c r="X4178" s="42">
        <v>0</v>
      </c>
    </row>
    <row r="4179" spans="1:24">
      <c r="A4179" s="27" t="s">
        <v>7665</v>
      </c>
      <c r="B4179" s="28" t="s">
        <v>5102</v>
      </c>
      <c r="C4179" s="27" t="s">
        <v>7666</v>
      </c>
      <c r="D4179" s="27" t="s">
        <v>5104</v>
      </c>
      <c r="E4179" s="29">
        <v>40908</v>
      </c>
      <c r="F4179" s="27">
        <v>15</v>
      </c>
      <c r="G4179" s="18">
        <v>66569.27</v>
      </c>
      <c r="H4179" s="27">
        <f t="shared" si="130"/>
        <v>0</v>
      </c>
      <c r="I4179" s="18">
        <v>35691.5</v>
      </c>
      <c r="J4179" s="27">
        <v>66569.27</v>
      </c>
      <c r="K4179" s="18">
        <f t="shared" si="131"/>
        <v>0</v>
      </c>
      <c r="L4179" s="27">
        <v>39135.160000000003</v>
      </c>
      <c r="M4179" s="36">
        <v>3443.66</v>
      </c>
      <c r="T4179" s="41">
        <v>0</v>
      </c>
      <c r="U4179" s="41">
        <v>0</v>
      </c>
      <c r="V4179" s="42" t="s">
        <v>113</v>
      </c>
      <c r="W4179" s="42">
        <v>0</v>
      </c>
      <c r="X4179" s="42">
        <v>0</v>
      </c>
    </row>
    <row r="4180" spans="1:24">
      <c r="A4180" s="27" t="s">
        <v>7667</v>
      </c>
      <c r="B4180" s="28" t="s">
        <v>5102</v>
      </c>
      <c r="C4180" s="27" t="s">
        <v>7668</v>
      </c>
      <c r="D4180" s="27" t="s">
        <v>5104</v>
      </c>
      <c r="E4180" s="29">
        <v>40908</v>
      </c>
      <c r="F4180" s="27">
        <v>15</v>
      </c>
      <c r="G4180" s="18">
        <v>65217.91</v>
      </c>
      <c r="H4180" s="27">
        <f t="shared" si="130"/>
        <v>0</v>
      </c>
      <c r="I4180" s="18">
        <v>34966.959999999999</v>
      </c>
      <c r="J4180" s="27">
        <v>65217.91</v>
      </c>
      <c r="K4180" s="18">
        <f t="shared" si="131"/>
        <v>0</v>
      </c>
      <c r="L4180" s="27">
        <v>38340.720000000001</v>
      </c>
      <c r="M4180" s="36">
        <v>3373.76</v>
      </c>
      <c r="T4180" s="41">
        <v>0</v>
      </c>
      <c r="U4180" s="41">
        <v>0</v>
      </c>
      <c r="V4180" s="42" t="s">
        <v>113</v>
      </c>
      <c r="W4180" s="42">
        <v>0</v>
      </c>
      <c r="X4180" s="42">
        <v>0</v>
      </c>
    </row>
    <row r="4181" spans="1:24">
      <c r="A4181" s="27" t="s">
        <v>7669</v>
      </c>
      <c r="B4181" s="28" t="s">
        <v>5102</v>
      </c>
      <c r="C4181" s="27" t="s">
        <v>7670</v>
      </c>
      <c r="D4181" s="27" t="s">
        <v>5104</v>
      </c>
      <c r="E4181" s="29">
        <v>40908</v>
      </c>
      <c r="F4181" s="27">
        <v>15</v>
      </c>
      <c r="G4181" s="18">
        <v>56267.58</v>
      </c>
      <c r="H4181" s="27">
        <f t="shared" si="130"/>
        <v>0</v>
      </c>
      <c r="I4181" s="18">
        <v>30168.19</v>
      </c>
      <c r="J4181" s="27">
        <v>56267.58</v>
      </c>
      <c r="K4181" s="18">
        <f t="shared" si="131"/>
        <v>0</v>
      </c>
      <c r="L4181" s="27">
        <v>33078.94</v>
      </c>
      <c r="M4181" s="36">
        <v>2910.75</v>
      </c>
      <c r="T4181" s="41">
        <v>0</v>
      </c>
      <c r="U4181" s="41">
        <v>0</v>
      </c>
      <c r="V4181" s="42" t="s">
        <v>113</v>
      </c>
      <c r="W4181" s="42">
        <v>0</v>
      </c>
      <c r="X4181" s="42">
        <v>0</v>
      </c>
    </row>
    <row r="4182" spans="1:24">
      <c r="A4182" s="27" t="s">
        <v>7671</v>
      </c>
      <c r="B4182" s="28" t="s">
        <v>5102</v>
      </c>
      <c r="C4182" s="27" t="s">
        <v>7672</v>
      </c>
      <c r="D4182" s="27" t="s">
        <v>5104</v>
      </c>
      <c r="E4182" s="29">
        <v>40908</v>
      </c>
      <c r="F4182" s="27">
        <v>15</v>
      </c>
      <c r="G4182" s="18">
        <v>49359.51</v>
      </c>
      <c r="H4182" s="27">
        <f t="shared" si="130"/>
        <v>0</v>
      </c>
      <c r="I4182" s="18">
        <v>26464.52</v>
      </c>
      <c r="J4182" s="27">
        <v>49359.51</v>
      </c>
      <c r="K4182" s="18">
        <f t="shared" si="131"/>
        <v>0</v>
      </c>
      <c r="L4182" s="27">
        <v>29017.9</v>
      </c>
      <c r="M4182" s="36">
        <v>2553.38</v>
      </c>
      <c r="T4182" s="41">
        <v>0</v>
      </c>
      <c r="U4182" s="41">
        <v>0</v>
      </c>
      <c r="V4182" s="42" t="s">
        <v>113</v>
      </c>
      <c r="W4182" s="42">
        <v>0</v>
      </c>
      <c r="X4182" s="42">
        <v>0</v>
      </c>
    </row>
    <row r="4183" spans="1:24">
      <c r="A4183" s="27" t="s">
        <v>7673</v>
      </c>
      <c r="B4183" s="28" t="s">
        <v>5102</v>
      </c>
      <c r="C4183" s="27" t="s">
        <v>7674</v>
      </c>
      <c r="D4183" s="27" t="s">
        <v>5104</v>
      </c>
      <c r="E4183" s="29">
        <v>40908</v>
      </c>
      <c r="F4183" s="27">
        <v>15</v>
      </c>
      <c r="G4183" s="18">
        <v>35302.93</v>
      </c>
      <c r="H4183" s="27">
        <f t="shared" si="130"/>
        <v>0</v>
      </c>
      <c r="I4183" s="18">
        <v>18956.53</v>
      </c>
      <c r="J4183" s="27">
        <v>35302.93</v>
      </c>
      <c r="K4183" s="18">
        <f t="shared" si="131"/>
        <v>0</v>
      </c>
      <c r="L4183" s="27">
        <v>20779.189999999999</v>
      </c>
      <c r="M4183" s="36">
        <v>1822.66</v>
      </c>
      <c r="T4183" s="41">
        <v>0</v>
      </c>
      <c r="U4183" s="41">
        <v>0</v>
      </c>
      <c r="V4183" s="42" t="s">
        <v>113</v>
      </c>
      <c r="W4183" s="42">
        <v>0</v>
      </c>
      <c r="X4183" s="42">
        <v>0</v>
      </c>
    </row>
    <row r="4184" spans="1:24">
      <c r="A4184" s="27" t="s">
        <v>7675</v>
      </c>
      <c r="B4184" s="28" t="s">
        <v>5102</v>
      </c>
      <c r="C4184" s="27" t="s">
        <v>7676</v>
      </c>
      <c r="D4184" s="27" t="s">
        <v>5104</v>
      </c>
      <c r="E4184" s="29">
        <v>40908</v>
      </c>
      <c r="F4184" s="27">
        <v>15</v>
      </c>
      <c r="G4184" s="18">
        <v>67726.02</v>
      </c>
      <c r="H4184" s="27">
        <f t="shared" si="130"/>
        <v>0</v>
      </c>
      <c r="I4184" s="18">
        <v>36366.68</v>
      </c>
      <c r="J4184" s="27">
        <v>67726.02</v>
      </c>
      <c r="K4184" s="18">
        <f t="shared" si="131"/>
        <v>0</v>
      </c>
      <c r="L4184" s="27">
        <v>39863.31</v>
      </c>
      <c r="M4184" s="36">
        <v>3496.63</v>
      </c>
      <c r="T4184" s="41">
        <v>0</v>
      </c>
      <c r="U4184" s="41">
        <v>0</v>
      </c>
      <c r="V4184" s="42" t="s">
        <v>113</v>
      </c>
      <c r="W4184" s="42">
        <v>0</v>
      </c>
      <c r="X4184" s="42">
        <v>0</v>
      </c>
    </row>
    <row r="4185" spans="1:24">
      <c r="A4185" s="27" t="s">
        <v>7677</v>
      </c>
      <c r="B4185" s="28" t="s">
        <v>5102</v>
      </c>
      <c r="C4185" s="27" t="s">
        <v>7678</v>
      </c>
      <c r="D4185" s="27" t="s">
        <v>5104</v>
      </c>
      <c r="E4185" s="29">
        <v>40908</v>
      </c>
      <c r="F4185" s="27">
        <v>15</v>
      </c>
      <c r="G4185" s="18">
        <v>16560.29</v>
      </c>
      <c r="H4185" s="27">
        <f t="shared" si="130"/>
        <v>0</v>
      </c>
      <c r="I4185" s="18">
        <v>8892.3799999999992</v>
      </c>
      <c r="J4185" s="27">
        <v>16560.29</v>
      </c>
      <c r="K4185" s="18">
        <f t="shared" si="131"/>
        <v>0</v>
      </c>
      <c r="L4185" s="27">
        <v>9747.3700000000008</v>
      </c>
      <c r="M4185" s="36">
        <v>854.99</v>
      </c>
      <c r="T4185" s="41">
        <v>0</v>
      </c>
      <c r="U4185" s="41">
        <v>0</v>
      </c>
      <c r="V4185" s="42" t="s">
        <v>113</v>
      </c>
      <c r="W4185" s="42">
        <v>0</v>
      </c>
      <c r="X4185" s="42">
        <v>0</v>
      </c>
    </row>
    <row r="4186" spans="1:24">
      <c r="A4186" s="27" t="s">
        <v>7679</v>
      </c>
      <c r="B4186" s="28" t="s">
        <v>5102</v>
      </c>
      <c r="C4186" s="27" t="s">
        <v>7680</v>
      </c>
      <c r="D4186" s="27" t="s">
        <v>5104</v>
      </c>
      <c r="E4186" s="29">
        <v>40908</v>
      </c>
      <c r="F4186" s="27">
        <v>15</v>
      </c>
      <c r="G4186" s="18">
        <v>55958.38</v>
      </c>
      <c r="H4186" s="27">
        <f t="shared" si="130"/>
        <v>0</v>
      </c>
      <c r="I4186" s="18">
        <v>30047.82</v>
      </c>
      <c r="J4186" s="27">
        <v>55958.38</v>
      </c>
      <c r="K4186" s="18">
        <f t="shared" si="131"/>
        <v>0</v>
      </c>
      <c r="L4186" s="27">
        <v>32936.9</v>
      </c>
      <c r="M4186" s="36">
        <v>2889.08</v>
      </c>
      <c r="T4186" s="41">
        <v>0</v>
      </c>
      <c r="U4186" s="41">
        <v>0</v>
      </c>
      <c r="V4186" s="42" t="s">
        <v>113</v>
      </c>
      <c r="W4186" s="42">
        <v>0</v>
      </c>
      <c r="X4186" s="42">
        <v>0</v>
      </c>
    </row>
    <row r="4187" spans="1:24">
      <c r="A4187" s="27" t="s">
        <v>7681</v>
      </c>
      <c r="B4187" s="28" t="s">
        <v>5102</v>
      </c>
      <c r="C4187" s="27" t="s">
        <v>7682</v>
      </c>
      <c r="D4187" s="27" t="s">
        <v>5104</v>
      </c>
      <c r="E4187" s="29">
        <v>40908</v>
      </c>
      <c r="F4187" s="27">
        <v>15</v>
      </c>
      <c r="G4187" s="18">
        <v>49130.42</v>
      </c>
      <c r="H4187" s="27">
        <f t="shared" si="130"/>
        <v>0</v>
      </c>
      <c r="I4187" s="18">
        <v>21840.73</v>
      </c>
      <c r="J4187" s="27">
        <v>49130.42</v>
      </c>
      <c r="K4187" s="18">
        <f t="shared" si="131"/>
        <v>0</v>
      </c>
      <c r="L4187" s="27">
        <v>24944.880000000001</v>
      </c>
      <c r="M4187" s="36">
        <v>3104.15</v>
      </c>
      <c r="T4187" s="41">
        <v>0</v>
      </c>
      <c r="U4187" s="41">
        <v>0</v>
      </c>
      <c r="V4187" s="42" t="s">
        <v>113</v>
      </c>
      <c r="W4187" s="42">
        <v>0</v>
      </c>
      <c r="X4187" s="42">
        <v>0</v>
      </c>
    </row>
    <row r="4188" spans="1:24">
      <c r="A4188" s="27" t="s">
        <v>7683</v>
      </c>
      <c r="B4188" s="28" t="s">
        <v>5102</v>
      </c>
      <c r="C4188" s="27" t="s">
        <v>7684</v>
      </c>
      <c r="D4188" s="27" t="s">
        <v>5104</v>
      </c>
      <c r="E4188" s="29">
        <v>40512</v>
      </c>
      <c r="F4188" s="27">
        <v>15</v>
      </c>
      <c r="G4188" s="18">
        <v>46667.040000000001</v>
      </c>
      <c r="H4188" s="27">
        <f t="shared" si="130"/>
        <v>0</v>
      </c>
      <c r="I4188" s="18">
        <v>36053.94</v>
      </c>
      <c r="J4188" s="27">
        <v>46667.040000000001</v>
      </c>
      <c r="K4188" s="18">
        <f t="shared" si="131"/>
        <v>0</v>
      </c>
      <c r="L4188" s="27">
        <v>37251.01</v>
      </c>
      <c r="M4188" s="36">
        <v>1197.07</v>
      </c>
      <c r="T4188" s="41">
        <v>0</v>
      </c>
      <c r="U4188" s="41">
        <v>0</v>
      </c>
      <c r="V4188" s="42" t="s">
        <v>113</v>
      </c>
      <c r="W4188" s="42">
        <v>0</v>
      </c>
      <c r="X4188" s="42">
        <v>0</v>
      </c>
    </row>
    <row r="4189" spans="1:24">
      <c r="A4189" s="27" t="s">
        <v>7685</v>
      </c>
      <c r="B4189" s="28" t="s">
        <v>5102</v>
      </c>
      <c r="C4189" s="27" t="s">
        <v>7686</v>
      </c>
      <c r="D4189" s="27" t="s">
        <v>5104</v>
      </c>
      <c r="E4189" s="29">
        <v>40512</v>
      </c>
      <c r="F4189" s="27">
        <v>15</v>
      </c>
      <c r="G4189" s="18">
        <v>7086.89</v>
      </c>
      <c r="H4189" s="27">
        <f t="shared" si="130"/>
        <v>0</v>
      </c>
      <c r="I4189" s="18">
        <v>4423.6400000000003</v>
      </c>
      <c r="J4189" s="27">
        <v>7086.89</v>
      </c>
      <c r="K4189" s="18">
        <f t="shared" si="131"/>
        <v>0</v>
      </c>
      <c r="L4189" s="27">
        <v>4757.46</v>
      </c>
      <c r="M4189" s="36">
        <v>333.82</v>
      </c>
      <c r="T4189" s="41">
        <v>0</v>
      </c>
      <c r="U4189" s="41">
        <v>0</v>
      </c>
      <c r="V4189" s="42" t="s">
        <v>113</v>
      </c>
      <c r="W4189" s="42">
        <v>0</v>
      </c>
      <c r="X4189" s="42">
        <v>0</v>
      </c>
    </row>
    <row r="4190" spans="1:24">
      <c r="A4190" s="27" t="s">
        <v>7687</v>
      </c>
      <c r="B4190" s="28" t="s">
        <v>5102</v>
      </c>
      <c r="C4190" s="27" t="s">
        <v>7688</v>
      </c>
      <c r="D4190" s="27" t="s">
        <v>5104</v>
      </c>
      <c r="E4190" s="29">
        <v>40512</v>
      </c>
      <c r="F4190" s="27">
        <v>15</v>
      </c>
      <c r="G4190" s="18">
        <v>38887.019999999997</v>
      </c>
      <c r="H4190" s="27">
        <f t="shared" si="130"/>
        <v>0</v>
      </c>
      <c r="I4190" s="18">
        <v>28420.33</v>
      </c>
      <c r="J4190" s="27">
        <v>38887.019999999997</v>
      </c>
      <c r="K4190" s="18">
        <f t="shared" si="131"/>
        <v>0</v>
      </c>
      <c r="L4190" s="27">
        <v>29652.48</v>
      </c>
      <c r="M4190" s="36">
        <v>1232.1500000000001</v>
      </c>
      <c r="T4190" s="41">
        <v>0</v>
      </c>
      <c r="U4190" s="41">
        <v>0</v>
      </c>
      <c r="V4190" s="42" t="s">
        <v>113</v>
      </c>
      <c r="W4190" s="42">
        <v>0</v>
      </c>
      <c r="X4190" s="42">
        <v>0</v>
      </c>
    </row>
    <row r="4191" spans="1:24">
      <c r="A4191" s="27" t="s">
        <v>7689</v>
      </c>
      <c r="B4191" s="28" t="s">
        <v>5102</v>
      </c>
      <c r="C4191" s="27" t="s">
        <v>7690</v>
      </c>
      <c r="D4191" s="27" t="s">
        <v>5104</v>
      </c>
      <c r="E4191" s="29">
        <v>40512</v>
      </c>
      <c r="F4191" s="27">
        <v>15</v>
      </c>
      <c r="G4191" s="18">
        <v>14299.2</v>
      </c>
      <c r="H4191" s="27">
        <f t="shared" si="130"/>
        <v>0</v>
      </c>
      <c r="I4191" s="18">
        <v>8925.5499999999993</v>
      </c>
      <c r="J4191" s="27">
        <v>14299.2</v>
      </c>
      <c r="K4191" s="18">
        <f t="shared" si="131"/>
        <v>0</v>
      </c>
      <c r="L4191" s="27">
        <v>9599.1</v>
      </c>
      <c r="M4191" s="36">
        <v>673.55</v>
      </c>
      <c r="T4191" s="41">
        <v>0</v>
      </c>
      <c r="U4191" s="41">
        <v>0</v>
      </c>
      <c r="V4191" s="42" t="s">
        <v>113</v>
      </c>
      <c r="W4191" s="42">
        <v>0</v>
      </c>
      <c r="X4191" s="42">
        <v>0</v>
      </c>
    </row>
    <row r="4192" spans="1:24">
      <c r="A4192" s="27" t="s">
        <v>7691</v>
      </c>
      <c r="B4192" s="28" t="s">
        <v>5102</v>
      </c>
      <c r="C4192" s="27" t="s">
        <v>7692</v>
      </c>
      <c r="D4192" s="27" t="s">
        <v>230</v>
      </c>
      <c r="E4192" s="29">
        <v>40908</v>
      </c>
      <c r="F4192" s="27">
        <v>15</v>
      </c>
      <c r="G4192" s="18">
        <v>4129214.01</v>
      </c>
      <c r="H4192" s="27">
        <f t="shared" si="130"/>
        <v>0</v>
      </c>
      <c r="I4192" s="18">
        <v>2080103.35</v>
      </c>
      <c r="J4192" s="27">
        <v>4129214.01</v>
      </c>
      <c r="K4192" s="18">
        <f t="shared" si="131"/>
        <v>0</v>
      </c>
      <c r="L4192" s="27">
        <v>2310434.6</v>
      </c>
      <c r="M4192" s="36">
        <v>230331.25</v>
      </c>
      <c r="T4192" s="41">
        <v>0</v>
      </c>
      <c r="U4192" s="41">
        <v>0</v>
      </c>
      <c r="V4192" s="42" t="s">
        <v>113</v>
      </c>
      <c r="W4192" s="42">
        <v>0</v>
      </c>
      <c r="X4192" s="42">
        <v>0</v>
      </c>
    </row>
    <row r="4193" spans="1:24">
      <c r="A4193" s="27" t="s">
        <v>7693</v>
      </c>
      <c r="B4193" s="28" t="s">
        <v>5102</v>
      </c>
      <c r="C4193" s="27" t="s">
        <v>7694</v>
      </c>
      <c r="D4193" s="27" t="s">
        <v>5104</v>
      </c>
      <c r="E4193" s="29">
        <v>40908</v>
      </c>
      <c r="F4193" s="27">
        <v>15</v>
      </c>
      <c r="G4193" s="18">
        <v>156023.39000000001</v>
      </c>
      <c r="H4193" s="27">
        <f t="shared" si="130"/>
        <v>0</v>
      </c>
      <c r="I4193" s="18">
        <v>84473.02</v>
      </c>
      <c r="J4193" s="27">
        <v>156023.39000000001</v>
      </c>
      <c r="K4193" s="18">
        <f t="shared" si="131"/>
        <v>0</v>
      </c>
      <c r="L4193" s="27">
        <v>92441.67</v>
      </c>
      <c r="M4193" s="36">
        <v>7968.65</v>
      </c>
      <c r="T4193" s="41">
        <v>0</v>
      </c>
      <c r="U4193" s="41">
        <v>0</v>
      </c>
      <c r="V4193" s="42" t="s">
        <v>113</v>
      </c>
      <c r="W4193" s="42">
        <v>0</v>
      </c>
      <c r="X4193" s="42">
        <v>0</v>
      </c>
    </row>
    <row r="4194" spans="1:24">
      <c r="A4194" s="27" t="s">
        <v>7695</v>
      </c>
      <c r="B4194" s="28" t="s">
        <v>5102</v>
      </c>
      <c r="C4194" s="27" t="s">
        <v>7696</v>
      </c>
      <c r="D4194" s="27" t="s">
        <v>5104</v>
      </c>
      <c r="E4194" s="29">
        <v>40908</v>
      </c>
      <c r="F4194" s="27">
        <v>15</v>
      </c>
      <c r="G4194" s="18">
        <v>88276.75</v>
      </c>
      <c r="H4194" s="27">
        <f t="shared" si="130"/>
        <v>0</v>
      </c>
      <c r="I4194" s="18">
        <v>47805.55</v>
      </c>
      <c r="J4194" s="27">
        <v>88276.75</v>
      </c>
      <c r="K4194" s="18">
        <f t="shared" si="131"/>
        <v>0</v>
      </c>
      <c r="L4194" s="27">
        <v>52312.72</v>
      </c>
      <c r="M4194" s="36">
        <v>4507.17</v>
      </c>
      <c r="T4194" s="41">
        <v>0</v>
      </c>
      <c r="U4194" s="41">
        <v>0</v>
      </c>
      <c r="V4194" s="42" t="s">
        <v>113</v>
      </c>
      <c r="W4194" s="42">
        <v>0</v>
      </c>
      <c r="X4194" s="42">
        <v>0</v>
      </c>
    </row>
    <row r="4195" spans="1:24">
      <c r="A4195" s="27" t="s">
        <v>7697</v>
      </c>
      <c r="B4195" s="28" t="s">
        <v>5102</v>
      </c>
      <c r="C4195" s="27" t="s">
        <v>7698</v>
      </c>
      <c r="D4195" s="27" t="s">
        <v>230</v>
      </c>
      <c r="E4195" s="29">
        <v>40908</v>
      </c>
      <c r="F4195" s="27">
        <v>15</v>
      </c>
      <c r="G4195" s="18">
        <v>5893964.7599999998</v>
      </c>
      <c r="H4195" s="27">
        <f t="shared" si="130"/>
        <v>0</v>
      </c>
      <c r="I4195" s="18">
        <v>3216404.71</v>
      </c>
      <c r="J4195" s="27">
        <v>5893964.7599999998</v>
      </c>
      <c r="K4195" s="18">
        <f t="shared" si="131"/>
        <v>0</v>
      </c>
      <c r="L4195" s="27">
        <v>3514262.44</v>
      </c>
      <c r="M4195" s="36">
        <v>297857.73</v>
      </c>
      <c r="T4195" s="41">
        <v>0</v>
      </c>
      <c r="U4195" s="41">
        <v>0</v>
      </c>
      <c r="V4195" s="42" t="s">
        <v>113</v>
      </c>
      <c r="W4195" s="42">
        <v>0</v>
      </c>
      <c r="X4195" s="42">
        <v>0</v>
      </c>
    </row>
    <row r="4196" spans="1:24">
      <c r="A4196" s="27" t="s">
        <v>7699</v>
      </c>
      <c r="B4196" s="28" t="s">
        <v>5102</v>
      </c>
      <c r="C4196" s="27" t="s">
        <v>7700</v>
      </c>
      <c r="D4196" s="27" t="s">
        <v>5104</v>
      </c>
      <c r="E4196" s="29">
        <v>40908</v>
      </c>
      <c r="F4196" s="27">
        <v>15</v>
      </c>
      <c r="G4196" s="18">
        <v>617152.09</v>
      </c>
      <c r="H4196" s="27">
        <f t="shared" si="130"/>
        <v>0</v>
      </c>
      <c r="I4196" s="18">
        <v>334434.59000000003</v>
      </c>
      <c r="J4196" s="27">
        <v>617152.09</v>
      </c>
      <c r="K4196" s="18">
        <f t="shared" si="131"/>
        <v>0</v>
      </c>
      <c r="L4196" s="27">
        <v>365917.08</v>
      </c>
      <c r="M4196" s="36">
        <v>31482.49</v>
      </c>
      <c r="T4196" s="41">
        <v>0</v>
      </c>
      <c r="U4196" s="41">
        <v>0</v>
      </c>
      <c r="V4196" s="42" t="s">
        <v>113</v>
      </c>
      <c r="W4196" s="42">
        <v>0</v>
      </c>
      <c r="X4196" s="42">
        <v>0</v>
      </c>
    </row>
    <row r="4197" spans="1:24">
      <c r="A4197" s="27" t="s">
        <v>7701</v>
      </c>
      <c r="B4197" s="28" t="s">
        <v>5102</v>
      </c>
      <c r="C4197" s="27" t="s">
        <v>7702</v>
      </c>
      <c r="D4197" s="27" t="s">
        <v>5104</v>
      </c>
      <c r="E4197" s="29">
        <v>40908</v>
      </c>
      <c r="F4197" s="27">
        <v>15</v>
      </c>
      <c r="G4197" s="18">
        <v>888984.47</v>
      </c>
      <c r="H4197" s="27">
        <f t="shared" si="130"/>
        <v>0</v>
      </c>
      <c r="I4197" s="18">
        <v>484121.2</v>
      </c>
      <c r="J4197" s="27">
        <v>888984.47</v>
      </c>
      <c r="K4197" s="18">
        <f t="shared" si="131"/>
        <v>0</v>
      </c>
      <c r="L4197" s="27">
        <v>529172.96</v>
      </c>
      <c r="M4197" s="36">
        <v>45051.76</v>
      </c>
      <c r="T4197" s="41">
        <v>0</v>
      </c>
      <c r="U4197" s="41">
        <v>0</v>
      </c>
      <c r="V4197" s="42" t="s">
        <v>113</v>
      </c>
      <c r="W4197" s="42">
        <v>0</v>
      </c>
      <c r="X4197" s="42">
        <v>0</v>
      </c>
    </row>
    <row r="4198" spans="1:24">
      <c r="A4198" s="27" t="s">
        <v>7703</v>
      </c>
      <c r="B4198" s="28" t="s">
        <v>5102</v>
      </c>
      <c r="C4198" s="27" t="s">
        <v>7704</v>
      </c>
      <c r="D4198" s="27" t="s">
        <v>5104</v>
      </c>
      <c r="E4198" s="29">
        <v>40908</v>
      </c>
      <c r="F4198" s="27">
        <v>15</v>
      </c>
      <c r="G4198" s="18">
        <v>338040.15</v>
      </c>
      <c r="H4198" s="27">
        <f t="shared" si="130"/>
        <v>0</v>
      </c>
      <c r="I4198" s="18">
        <v>182962.33</v>
      </c>
      <c r="J4198" s="27">
        <v>338040.15</v>
      </c>
      <c r="K4198" s="18">
        <f t="shared" si="131"/>
        <v>0</v>
      </c>
      <c r="L4198" s="27">
        <v>200234.31</v>
      </c>
      <c r="M4198" s="36">
        <v>17271.98</v>
      </c>
      <c r="T4198" s="41">
        <v>0</v>
      </c>
      <c r="U4198" s="41">
        <v>0</v>
      </c>
      <c r="V4198" s="42" t="s">
        <v>113</v>
      </c>
      <c r="W4198" s="42">
        <v>0</v>
      </c>
      <c r="X4198" s="42">
        <v>0</v>
      </c>
    </row>
    <row r="4199" spans="1:24">
      <c r="A4199" s="27" t="s">
        <v>7705</v>
      </c>
      <c r="B4199" s="28" t="s">
        <v>5102</v>
      </c>
      <c r="C4199" s="27" t="s">
        <v>7706</v>
      </c>
      <c r="D4199" s="27" t="s">
        <v>5104</v>
      </c>
      <c r="E4199" s="29">
        <v>40908</v>
      </c>
      <c r="F4199" s="27">
        <v>15</v>
      </c>
      <c r="G4199" s="18">
        <v>609547.54</v>
      </c>
      <c r="H4199" s="27">
        <f t="shared" si="130"/>
        <v>0</v>
      </c>
      <c r="I4199" s="18">
        <v>329914.15999999997</v>
      </c>
      <c r="J4199" s="27">
        <v>609547.54</v>
      </c>
      <c r="K4199" s="18">
        <f t="shared" si="131"/>
        <v>0</v>
      </c>
      <c r="L4199" s="27">
        <v>361058.66</v>
      </c>
      <c r="M4199" s="36">
        <v>31144.5</v>
      </c>
      <c r="T4199" s="41">
        <v>0</v>
      </c>
      <c r="U4199" s="41">
        <v>0</v>
      </c>
      <c r="V4199" s="42" t="s">
        <v>113</v>
      </c>
      <c r="W4199" s="42">
        <v>0</v>
      </c>
      <c r="X4199" s="42">
        <v>0</v>
      </c>
    </row>
    <row r="4200" spans="1:24">
      <c r="A4200" s="27" t="s">
        <v>7707</v>
      </c>
      <c r="B4200" s="28" t="s">
        <v>5102</v>
      </c>
      <c r="C4200" s="27" t="s">
        <v>7708</v>
      </c>
      <c r="D4200" s="27" t="s">
        <v>5104</v>
      </c>
      <c r="E4200" s="29">
        <v>40908</v>
      </c>
      <c r="F4200" s="27">
        <v>15</v>
      </c>
      <c r="G4200" s="18">
        <v>208142.87</v>
      </c>
      <c r="H4200" s="27">
        <f t="shared" si="130"/>
        <v>0</v>
      </c>
      <c r="I4200" s="18">
        <v>112656.16</v>
      </c>
      <c r="J4200" s="27">
        <v>208142.87</v>
      </c>
      <c r="K4200" s="18">
        <f t="shared" si="131"/>
        <v>0</v>
      </c>
      <c r="L4200" s="27">
        <v>123291.11</v>
      </c>
      <c r="M4200" s="36">
        <v>10634.95</v>
      </c>
      <c r="T4200" s="41">
        <v>0</v>
      </c>
      <c r="U4200" s="41">
        <v>0</v>
      </c>
      <c r="V4200" s="42" t="s">
        <v>113</v>
      </c>
      <c r="W4200" s="42">
        <v>0</v>
      </c>
      <c r="X4200" s="42">
        <v>0</v>
      </c>
    </row>
    <row r="4201" spans="1:24">
      <c r="A4201" s="27" t="s">
        <v>7709</v>
      </c>
      <c r="B4201" s="28" t="s">
        <v>5102</v>
      </c>
      <c r="C4201" s="27" t="s">
        <v>7710</v>
      </c>
      <c r="D4201" s="27" t="s">
        <v>5104</v>
      </c>
      <c r="E4201" s="29">
        <v>40908</v>
      </c>
      <c r="F4201" s="27">
        <v>15</v>
      </c>
      <c r="G4201" s="18">
        <v>1818945.95</v>
      </c>
      <c r="H4201" s="27">
        <f t="shared" si="130"/>
        <v>0</v>
      </c>
      <c r="I4201" s="18">
        <v>1032555.09</v>
      </c>
      <c r="J4201" s="27">
        <v>1818945.95</v>
      </c>
      <c r="K4201" s="18">
        <f t="shared" si="131"/>
        <v>0</v>
      </c>
      <c r="L4201" s="27">
        <v>1119485.54</v>
      </c>
      <c r="M4201" s="36">
        <v>86930.45</v>
      </c>
      <c r="T4201" s="41">
        <v>0</v>
      </c>
      <c r="U4201" s="41">
        <v>0</v>
      </c>
      <c r="V4201" s="42" t="s">
        <v>113</v>
      </c>
      <c r="W4201" s="42">
        <v>0</v>
      </c>
      <c r="X4201" s="42">
        <v>0</v>
      </c>
    </row>
    <row r="4202" spans="1:24">
      <c r="A4202" s="27" t="s">
        <v>7711</v>
      </c>
      <c r="B4202" s="28" t="s">
        <v>5102</v>
      </c>
      <c r="C4202" s="27" t="s">
        <v>7712</v>
      </c>
      <c r="D4202" s="27" t="s">
        <v>5104</v>
      </c>
      <c r="E4202" s="29">
        <v>40908</v>
      </c>
      <c r="F4202" s="27">
        <v>15</v>
      </c>
      <c r="G4202" s="18">
        <v>140977.67000000001</v>
      </c>
      <c r="H4202" s="27">
        <f t="shared" si="130"/>
        <v>0</v>
      </c>
      <c r="I4202" s="18">
        <v>76353.78</v>
      </c>
      <c r="J4202" s="27">
        <v>140977.67000000001</v>
      </c>
      <c r="K4202" s="18">
        <f t="shared" si="131"/>
        <v>0</v>
      </c>
      <c r="L4202" s="27">
        <v>83550.66</v>
      </c>
      <c r="M4202" s="36">
        <v>7196.88</v>
      </c>
      <c r="T4202" s="41">
        <v>0</v>
      </c>
      <c r="U4202" s="41">
        <v>0</v>
      </c>
      <c r="V4202" s="42" t="s">
        <v>113</v>
      </c>
      <c r="W4202" s="42">
        <v>0</v>
      </c>
      <c r="X4202" s="42">
        <v>0</v>
      </c>
    </row>
    <row r="4203" spans="1:24">
      <c r="A4203" s="27" t="s">
        <v>7713</v>
      </c>
      <c r="B4203" s="28" t="s">
        <v>5102</v>
      </c>
      <c r="C4203" s="27" t="s">
        <v>7714</v>
      </c>
      <c r="D4203" s="27" t="s">
        <v>5104</v>
      </c>
      <c r="E4203" s="29">
        <v>40908</v>
      </c>
      <c r="F4203" s="27">
        <v>15</v>
      </c>
      <c r="G4203" s="18">
        <v>38386.92</v>
      </c>
      <c r="H4203" s="27">
        <f t="shared" si="130"/>
        <v>0</v>
      </c>
      <c r="I4203" s="18">
        <v>20790.419999999998</v>
      </c>
      <c r="J4203" s="27">
        <v>38386.92</v>
      </c>
      <c r="K4203" s="18">
        <f t="shared" si="131"/>
        <v>0</v>
      </c>
      <c r="L4203" s="27">
        <v>22750.06</v>
      </c>
      <c r="M4203" s="36">
        <v>1959.64</v>
      </c>
      <c r="T4203" s="41">
        <v>0</v>
      </c>
      <c r="U4203" s="41">
        <v>0</v>
      </c>
      <c r="V4203" s="42" t="s">
        <v>113</v>
      </c>
      <c r="W4203" s="42">
        <v>0</v>
      </c>
      <c r="X4203" s="42">
        <v>0</v>
      </c>
    </row>
    <row r="4204" spans="1:24">
      <c r="A4204" s="27" t="s">
        <v>7715</v>
      </c>
      <c r="B4204" s="28" t="s">
        <v>5102</v>
      </c>
      <c r="C4204" s="27" t="s">
        <v>7716</v>
      </c>
      <c r="D4204" s="27" t="s">
        <v>5104</v>
      </c>
      <c r="E4204" s="29">
        <v>40908</v>
      </c>
      <c r="F4204" s="27">
        <v>15</v>
      </c>
      <c r="G4204" s="18">
        <v>62592.28</v>
      </c>
      <c r="H4204" s="27">
        <f t="shared" si="130"/>
        <v>0</v>
      </c>
      <c r="I4204" s="18">
        <v>34744.300000000003</v>
      </c>
      <c r="J4204" s="27">
        <v>62592.28</v>
      </c>
      <c r="K4204" s="18">
        <f t="shared" si="131"/>
        <v>0</v>
      </c>
      <c r="L4204" s="27">
        <v>37834.1</v>
      </c>
      <c r="M4204" s="36">
        <v>3089.8</v>
      </c>
      <c r="T4204" s="41">
        <v>0</v>
      </c>
      <c r="U4204" s="41">
        <v>0</v>
      </c>
      <c r="V4204" s="42" t="s">
        <v>113</v>
      </c>
      <c r="W4204" s="42">
        <v>0</v>
      </c>
      <c r="X4204" s="42">
        <v>0</v>
      </c>
    </row>
    <row r="4205" spans="1:24">
      <c r="A4205" s="27" t="s">
        <v>7717</v>
      </c>
      <c r="B4205" s="28" t="s">
        <v>5102</v>
      </c>
      <c r="C4205" s="27" t="s">
        <v>7718</v>
      </c>
      <c r="D4205" s="27" t="s">
        <v>5104</v>
      </c>
      <c r="E4205" s="29">
        <v>40908</v>
      </c>
      <c r="F4205" s="27">
        <v>15</v>
      </c>
      <c r="G4205" s="18">
        <v>327626.42</v>
      </c>
      <c r="H4205" s="27">
        <f t="shared" si="130"/>
        <v>0</v>
      </c>
      <c r="I4205" s="18">
        <v>178813.8</v>
      </c>
      <c r="J4205" s="27">
        <v>327626.42</v>
      </c>
      <c r="K4205" s="18">
        <f t="shared" si="131"/>
        <v>0</v>
      </c>
      <c r="L4205" s="27">
        <v>195367.71</v>
      </c>
      <c r="M4205" s="36">
        <v>16553.91</v>
      </c>
      <c r="T4205" s="41">
        <v>0</v>
      </c>
      <c r="U4205" s="41">
        <v>0</v>
      </c>
      <c r="V4205" s="42" t="s">
        <v>113</v>
      </c>
      <c r="W4205" s="42">
        <v>0</v>
      </c>
      <c r="X4205" s="42">
        <v>0</v>
      </c>
    </row>
    <row r="4206" spans="1:24">
      <c r="A4206" s="27" t="s">
        <v>7719</v>
      </c>
      <c r="B4206" s="28" t="s">
        <v>5102</v>
      </c>
      <c r="C4206" s="27" t="s">
        <v>7720</v>
      </c>
      <c r="D4206" s="27" t="s">
        <v>5104</v>
      </c>
      <c r="E4206" s="29">
        <v>40908</v>
      </c>
      <c r="F4206" s="27">
        <v>15</v>
      </c>
      <c r="G4206" s="18">
        <v>102318.08</v>
      </c>
      <c r="H4206" s="27">
        <f t="shared" si="130"/>
        <v>0</v>
      </c>
      <c r="I4206" s="18">
        <v>55374.48</v>
      </c>
      <c r="J4206" s="27">
        <v>102318.08</v>
      </c>
      <c r="K4206" s="18">
        <f t="shared" si="131"/>
        <v>0</v>
      </c>
      <c r="L4206" s="27">
        <v>60602.94</v>
      </c>
      <c r="M4206" s="36">
        <v>5228.46</v>
      </c>
      <c r="T4206" s="41">
        <v>0</v>
      </c>
      <c r="U4206" s="41">
        <v>0</v>
      </c>
      <c r="V4206" s="42" t="s">
        <v>113</v>
      </c>
      <c r="W4206" s="42">
        <v>0</v>
      </c>
      <c r="X4206" s="42">
        <v>0</v>
      </c>
    </row>
    <row r="4207" spans="1:24">
      <c r="A4207" s="27" t="s">
        <v>7721</v>
      </c>
      <c r="B4207" s="28" t="s">
        <v>5102</v>
      </c>
      <c r="C4207" s="27" t="s">
        <v>7722</v>
      </c>
      <c r="D4207" s="27" t="s">
        <v>5104</v>
      </c>
      <c r="E4207" s="29">
        <v>40908</v>
      </c>
      <c r="F4207" s="27">
        <v>15</v>
      </c>
      <c r="G4207" s="18">
        <v>167093.67000000001</v>
      </c>
      <c r="H4207" s="27">
        <f t="shared" si="130"/>
        <v>0</v>
      </c>
      <c r="I4207" s="18">
        <v>90431.01</v>
      </c>
      <c r="J4207" s="27">
        <v>167093.67000000001</v>
      </c>
      <c r="K4207" s="18">
        <f t="shared" si="131"/>
        <v>0</v>
      </c>
      <c r="L4207" s="27">
        <v>98969.51</v>
      </c>
      <c r="M4207" s="36">
        <v>8538.5</v>
      </c>
      <c r="T4207" s="41">
        <v>0</v>
      </c>
      <c r="U4207" s="41">
        <v>0</v>
      </c>
      <c r="V4207" s="42" t="s">
        <v>113</v>
      </c>
      <c r="W4207" s="42">
        <v>0</v>
      </c>
      <c r="X4207" s="42">
        <v>0</v>
      </c>
    </row>
    <row r="4208" spans="1:24">
      <c r="A4208" s="27" t="s">
        <v>7723</v>
      </c>
      <c r="B4208" s="28" t="s">
        <v>5102</v>
      </c>
      <c r="C4208" s="27" t="s">
        <v>7724</v>
      </c>
      <c r="D4208" s="27" t="s">
        <v>5104</v>
      </c>
      <c r="E4208" s="29">
        <v>40908</v>
      </c>
      <c r="F4208" s="27">
        <v>15</v>
      </c>
      <c r="G4208" s="18">
        <v>80301.84</v>
      </c>
      <c r="H4208" s="27">
        <f t="shared" si="130"/>
        <v>0</v>
      </c>
      <c r="I4208" s="18">
        <v>43459.31</v>
      </c>
      <c r="J4208" s="27">
        <v>80301.84</v>
      </c>
      <c r="K4208" s="18">
        <f t="shared" si="131"/>
        <v>0</v>
      </c>
      <c r="L4208" s="27">
        <v>47562.74</v>
      </c>
      <c r="M4208" s="36">
        <v>4103.43</v>
      </c>
      <c r="T4208" s="41">
        <v>0</v>
      </c>
      <c r="U4208" s="41">
        <v>0</v>
      </c>
      <c r="V4208" s="42" t="s">
        <v>113</v>
      </c>
      <c r="W4208" s="42">
        <v>0</v>
      </c>
      <c r="X4208" s="42">
        <v>0</v>
      </c>
    </row>
    <row r="4209" spans="1:24">
      <c r="A4209" s="27" t="s">
        <v>7725</v>
      </c>
      <c r="B4209" s="28" t="s">
        <v>5102</v>
      </c>
      <c r="C4209" s="27" t="s">
        <v>7726</v>
      </c>
      <c r="D4209" s="27" t="s">
        <v>5104</v>
      </c>
      <c r="E4209" s="29">
        <v>40908</v>
      </c>
      <c r="F4209" s="27">
        <v>15</v>
      </c>
      <c r="G4209" s="18">
        <v>303227.98</v>
      </c>
      <c r="H4209" s="27">
        <f t="shared" si="130"/>
        <v>0</v>
      </c>
      <c r="I4209" s="18">
        <v>165832.63</v>
      </c>
      <c r="J4209" s="27">
        <v>303227.98</v>
      </c>
      <c r="K4209" s="18">
        <f t="shared" si="131"/>
        <v>0</v>
      </c>
      <c r="L4209" s="27">
        <v>181111.87</v>
      </c>
      <c r="M4209" s="36">
        <v>15279.24</v>
      </c>
      <c r="T4209" s="41">
        <v>0</v>
      </c>
      <c r="U4209" s="41">
        <v>0</v>
      </c>
      <c r="V4209" s="42" t="s">
        <v>113</v>
      </c>
      <c r="W4209" s="42">
        <v>0</v>
      </c>
      <c r="X4209" s="42">
        <v>0</v>
      </c>
    </row>
    <row r="4210" spans="1:24">
      <c r="A4210" s="27" t="s">
        <v>7727</v>
      </c>
      <c r="B4210" s="28" t="s">
        <v>5102</v>
      </c>
      <c r="C4210" s="27" t="s">
        <v>7728</v>
      </c>
      <c r="D4210" s="27" t="s">
        <v>5104</v>
      </c>
      <c r="E4210" s="29">
        <v>40908</v>
      </c>
      <c r="F4210" s="27">
        <v>15</v>
      </c>
      <c r="G4210" s="18">
        <v>234548.57</v>
      </c>
      <c r="H4210" s="27">
        <f t="shared" si="130"/>
        <v>0</v>
      </c>
      <c r="I4210" s="18">
        <v>126213.49</v>
      </c>
      <c r="J4210" s="27">
        <v>234548.57</v>
      </c>
      <c r="K4210" s="18">
        <f t="shared" si="131"/>
        <v>0</v>
      </c>
      <c r="L4210" s="27">
        <v>138289.45000000001</v>
      </c>
      <c r="M4210" s="36">
        <v>12075.96</v>
      </c>
      <c r="T4210" s="41">
        <v>0</v>
      </c>
      <c r="U4210" s="41">
        <v>0</v>
      </c>
      <c r="V4210" s="42" t="s">
        <v>113</v>
      </c>
      <c r="W4210" s="42">
        <v>0</v>
      </c>
      <c r="X4210" s="42">
        <v>0</v>
      </c>
    </row>
    <row r="4211" spans="1:24">
      <c r="A4211" s="27" t="s">
        <v>7729</v>
      </c>
      <c r="B4211" s="28" t="s">
        <v>5102</v>
      </c>
      <c r="C4211" s="27" t="s">
        <v>7730</v>
      </c>
      <c r="D4211" s="27" t="s">
        <v>5104</v>
      </c>
      <c r="E4211" s="29">
        <v>40908</v>
      </c>
      <c r="F4211" s="27">
        <v>15</v>
      </c>
      <c r="G4211" s="18">
        <v>419485.03</v>
      </c>
      <c r="H4211" s="27">
        <f t="shared" si="130"/>
        <v>0</v>
      </c>
      <c r="I4211" s="18">
        <v>229494.58</v>
      </c>
      <c r="J4211" s="27">
        <v>419485.03</v>
      </c>
      <c r="K4211" s="18">
        <f t="shared" si="131"/>
        <v>0</v>
      </c>
      <c r="L4211" s="27">
        <v>250621.61</v>
      </c>
      <c r="M4211" s="36">
        <v>21127.03</v>
      </c>
      <c r="T4211" s="41">
        <v>0</v>
      </c>
      <c r="U4211" s="41">
        <v>0</v>
      </c>
      <c r="V4211" s="42" t="s">
        <v>113</v>
      </c>
      <c r="W4211" s="42">
        <v>0</v>
      </c>
      <c r="X4211" s="42">
        <v>0</v>
      </c>
    </row>
    <row r="4212" spans="1:24">
      <c r="A4212" s="27" t="s">
        <v>7731</v>
      </c>
      <c r="B4212" s="28" t="s">
        <v>5102</v>
      </c>
      <c r="C4212" s="27" t="s">
        <v>7732</v>
      </c>
      <c r="D4212" s="27" t="s">
        <v>5104</v>
      </c>
      <c r="E4212" s="29">
        <v>40908</v>
      </c>
      <c r="F4212" s="27">
        <v>15</v>
      </c>
      <c r="G4212" s="18">
        <v>49929.09</v>
      </c>
      <c r="H4212" s="27">
        <f t="shared" si="130"/>
        <v>0</v>
      </c>
      <c r="I4212" s="18">
        <v>26927.119999999999</v>
      </c>
      <c r="J4212" s="27">
        <v>49929.09</v>
      </c>
      <c r="K4212" s="18">
        <f t="shared" si="131"/>
        <v>0</v>
      </c>
      <c r="L4212" s="27">
        <v>29490.31</v>
      </c>
      <c r="M4212" s="36">
        <v>2563.19</v>
      </c>
      <c r="T4212" s="41">
        <v>0</v>
      </c>
      <c r="U4212" s="41">
        <v>0</v>
      </c>
      <c r="V4212" s="42" t="s">
        <v>113</v>
      </c>
      <c r="W4212" s="42">
        <v>0</v>
      </c>
      <c r="X4212" s="42">
        <v>0</v>
      </c>
    </row>
    <row r="4213" spans="1:24">
      <c r="A4213" s="27" t="s">
        <v>7733</v>
      </c>
      <c r="B4213" s="28" t="s">
        <v>5102</v>
      </c>
      <c r="C4213" s="27" t="s">
        <v>7734</v>
      </c>
      <c r="D4213" s="27" t="s">
        <v>5104</v>
      </c>
      <c r="E4213" s="29">
        <v>40908</v>
      </c>
      <c r="F4213" s="27">
        <v>15</v>
      </c>
      <c r="G4213" s="18">
        <v>165263.60999999999</v>
      </c>
      <c r="H4213" s="27">
        <f t="shared" si="130"/>
        <v>0</v>
      </c>
      <c r="I4213" s="18">
        <v>91861.63</v>
      </c>
      <c r="J4213" s="27">
        <v>165263.60999999999</v>
      </c>
      <c r="K4213" s="18">
        <f t="shared" si="131"/>
        <v>0</v>
      </c>
      <c r="L4213" s="27">
        <v>100003.98</v>
      </c>
      <c r="M4213" s="36">
        <v>8142.35</v>
      </c>
      <c r="T4213" s="41">
        <v>0</v>
      </c>
      <c r="U4213" s="41">
        <v>0</v>
      </c>
      <c r="V4213" s="42" t="s">
        <v>113</v>
      </c>
      <c r="W4213" s="42">
        <v>0</v>
      </c>
      <c r="X4213" s="42">
        <v>0</v>
      </c>
    </row>
    <row r="4214" spans="1:24">
      <c r="A4214" s="27" t="s">
        <v>7735</v>
      </c>
      <c r="B4214" s="28" t="s">
        <v>5102</v>
      </c>
      <c r="C4214" s="27" t="s">
        <v>7736</v>
      </c>
      <c r="D4214" s="27" t="s">
        <v>5104</v>
      </c>
      <c r="E4214" s="29">
        <v>40908</v>
      </c>
      <c r="F4214" s="27">
        <v>15</v>
      </c>
      <c r="G4214" s="18">
        <v>100170.3</v>
      </c>
      <c r="H4214" s="27">
        <f t="shared" si="130"/>
        <v>0</v>
      </c>
      <c r="I4214" s="18">
        <v>54157.83</v>
      </c>
      <c r="J4214" s="27">
        <v>100170.3</v>
      </c>
      <c r="K4214" s="18">
        <f t="shared" si="131"/>
        <v>0</v>
      </c>
      <c r="L4214" s="27">
        <v>59283.32</v>
      </c>
      <c r="M4214" s="36">
        <v>5125.49</v>
      </c>
      <c r="T4214" s="41">
        <v>0</v>
      </c>
      <c r="U4214" s="41">
        <v>0</v>
      </c>
      <c r="V4214" s="42" t="s">
        <v>113</v>
      </c>
      <c r="W4214" s="42">
        <v>0</v>
      </c>
      <c r="X4214" s="42">
        <v>0</v>
      </c>
    </row>
    <row r="4215" spans="1:24">
      <c r="A4215" s="27" t="s">
        <v>7737</v>
      </c>
      <c r="B4215" s="28" t="s">
        <v>5102</v>
      </c>
      <c r="C4215" s="27" t="s">
        <v>7738</v>
      </c>
      <c r="D4215" s="27" t="s">
        <v>5104</v>
      </c>
      <c r="E4215" s="29">
        <v>40908</v>
      </c>
      <c r="F4215" s="27">
        <v>15</v>
      </c>
      <c r="G4215" s="18">
        <v>143154.71</v>
      </c>
      <c r="H4215" s="27">
        <f t="shared" si="130"/>
        <v>0</v>
      </c>
      <c r="I4215" s="18">
        <v>78505.94</v>
      </c>
      <c r="J4215" s="27">
        <v>143154.71</v>
      </c>
      <c r="K4215" s="18">
        <f t="shared" si="131"/>
        <v>0</v>
      </c>
      <c r="L4215" s="27">
        <v>85692.32</v>
      </c>
      <c r="M4215" s="36">
        <v>7186.38</v>
      </c>
      <c r="T4215" s="41">
        <v>0</v>
      </c>
      <c r="U4215" s="41">
        <v>0</v>
      </c>
      <c r="V4215" s="42" t="s">
        <v>113</v>
      </c>
      <c r="W4215" s="42">
        <v>0</v>
      </c>
      <c r="X4215" s="42">
        <v>0</v>
      </c>
    </row>
    <row r="4216" spans="1:24">
      <c r="A4216" s="27" t="s">
        <v>7739</v>
      </c>
      <c r="B4216" s="28" t="s">
        <v>5102</v>
      </c>
      <c r="C4216" s="27" t="s">
        <v>7740</v>
      </c>
      <c r="D4216" s="27" t="s">
        <v>5104</v>
      </c>
      <c r="E4216" s="29">
        <v>40908</v>
      </c>
      <c r="F4216" s="27">
        <v>15</v>
      </c>
      <c r="G4216" s="18">
        <v>79372.75</v>
      </c>
      <c r="H4216" s="27">
        <f t="shared" si="130"/>
        <v>0</v>
      </c>
      <c r="I4216" s="18">
        <v>43759.44</v>
      </c>
      <c r="J4216" s="27">
        <v>79372.75</v>
      </c>
      <c r="K4216" s="18">
        <f t="shared" si="131"/>
        <v>0</v>
      </c>
      <c r="L4216" s="27">
        <v>47715.02</v>
      </c>
      <c r="M4216" s="36">
        <v>3955.58</v>
      </c>
      <c r="T4216" s="41">
        <v>0</v>
      </c>
      <c r="U4216" s="41">
        <v>0</v>
      </c>
      <c r="V4216" s="42" t="s">
        <v>113</v>
      </c>
      <c r="W4216" s="42">
        <v>0</v>
      </c>
      <c r="X4216" s="42">
        <v>0</v>
      </c>
    </row>
    <row r="4217" spans="1:24">
      <c r="A4217" s="27" t="s">
        <v>7741</v>
      </c>
      <c r="B4217" s="28" t="s">
        <v>5102</v>
      </c>
      <c r="C4217" s="27" t="s">
        <v>7742</v>
      </c>
      <c r="D4217" s="27" t="s">
        <v>5104</v>
      </c>
      <c r="E4217" s="29">
        <v>40908</v>
      </c>
      <c r="F4217" s="27">
        <v>15</v>
      </c>
      <c r="G4217" s="18">
        <v>30784.87</v>
      </c>
      <c r="H4217" s="27">
        <f t="shared" si="130"/>
        <v>0</v>
      </c>
      <c r="I4217" s="18">
        <v>20959.25</v>
      </c>
      <c r="J4217" s="27">
        <v>30784.87</v>
      </c>
      <c r="K4217" s="18">
        <f t="shared" si="131"/>
        <v>0</v>
      </c>
      <c r="L4217" s="27">
        <v>21995.05</v>
      </c>
      <c r="M4217" s="36">
        <v>1035.8</v>
      </c>
      <c r="T4217" s="41">
        <v>0</v>
      </c>
      <c r="U4217" s="41">
        <v>0</v>
      </c>
      <c r="V4217" s="42" t="s">
        <v>113</v>
      </c>
      <c r="W4217" s="42">
        <v>0</v>
      </c>
      <c r="X4217" s="42">
        <v>0</v>
      </c>
    </row>
    <row r="4218" spans="1:24">
      <c r="A4218" s="27" t="s">
        <v>7743</v>
      </c>
      <c r="B4218" s="28" t="s">
        <v>5102</v>
      </c>
      <c r="C4218" s="27" t="s">
        <v>7744</v>
      </c>
      <c r="D4218" s="27" t="s">
        <v>5104</v>
      </c>
      <c r="E4218" s="29">
        <v>40908</v>
      </c>
      <c r="F4218" s="27">
        <v>15</v>
      </c>
      <c r="G4218" s="18">
        <v>80673.929999999993</v>
      </c>
      <c r="H4218" s="27">
        <f t="shared" si="130"/>
        <v>0</v>
      </c>
      <c r="I4218" s="18">
        <v>44476.800000000003</v>
      </c>
      <c r="J4218" s="27">
        <v>80673.929999999993</v>
      </c>
      <c r="K4218" s="18">
        <f t="shared" si="131"/>
        <v>0</v>
      </c>
      <c r="L4218" s="27">
        <v>48497.23</v>
      </c>
      <c r="M4218" s="36">
        <v>4020.43</v>
      </c>
      <c r="T4218" s="41">
        <v>0</v>
      </c>
      <c r="U4218" s="41">
        <v>0</v>
      </c>
      <c r="V4218" s="42" t="s">
        <v>113</v>
      </c>
      <c r="W4218" s="42">
        <v>0</v>
      </c>
      <c r="X4218" s="42">
        <v>0</v>
      </c>
    </row>
    <row r="4219" spans="1:24">
      <c r="A4219" s="27" t="s">
        <v>7745</v>
      </c>
      <c r="B4219" s="28" t="s">
        <v>5102</v>
      </c>
      <c r="C4219" s="27" t="s">
        <v>7746</v>
      </c>
      <c r="D4219" s="27" t="s">
        <v>5104</v>
      </c>
      <c r="E4219" s="29">
        <v>40908</v>
      </c>
      <c r="F4219" s="27">
        <v>15</v>
      </c>
      <c r="G4219" s="18">
        <v>61572.43</v>
      </c>
      <c r="H4219" s="27">
        <f t="shared" si="130"/>
        <v>0</v>
      </c>
      <c r="I4219" s="18">
        <v>33945.839999999997</v>
      </c>
      <c r="J4219" s="27">
        <v>61572.43</v>
      </c>
      <c r="K4219" s="18">
        <f t="shared" si="131"/>
        <v>0</v>
      </c>
      <c r="L4219" s="27">
        <v>37014.339999999997</v>
      </c>
      <c r="M4219" s="36">
        <v>3068.5</v>
      </c>
      <c r="T4219" s="41">
        <v>0</v>
      </c>
      <c r="U4219" s="41">
        <v>0</v>
      </c>
      <c r="V4219" s="42" t="s">
        <v>113</v>
      </c>
      <c r="W4219" s="42">
        <v>0</v>
      </c>
      <c r="X4219" s="42">
        <v>0</v>
      </c>
    </row>
    <row r="4220" spans="1:24">
      <c r="A4220" s="27" t="s">
        <v>7747</v>
      </c>
      <c r="B4220" s="28" t="s">
        <v>5102</v>
      </c>
      <c r="C4220" s="27" t="s">
        <v>7748</v>
      </c>
      <c r="D4220" s="27" t="s">
        <v>5104</v>
      </c>
      <c r="E4220" s="29">
        <v>40908</v>
      </c>
      <c r="F4220" s="27">
        <v>15</v>
      </c>
      <c r="G4220" s="18">
        <v>35444.480000000003</v>
      </c>
      <c r="H4220" s="27">
        <f t="shared" si="130"/>
        <v>0</v>
      </c>
      <c r="I4220" s="18">
        <v>19541.099999999999</v>
      </c>
      <c r="J4220" s="27">
        <v>35444.480000000003</v>
      </c>
      <c r="K4220" s="18">
        <f t="shared" si="131"/>
        <v>0</v>
      </c>
      <c r="L4220" s="27">
        <v>21307.5</v>
      </c>
      <c r="M4220" s="36">
        <v>1766.4</v>
      </c>
      <c r="T4220" s="41">
        <v>0</v>
      </c>
      <c r="U4220" s="41">
        <v>0</v>
      </c>
      <c r="V4220" s="42" t="s">
        <v>113</v>
      </c>
      <c r="W4220" s="42">
        <v>0</v>
      </c>
      <c r="X4220" s="42">
        <v>0</v>
      </c>
    </row>
    <row r="4221" spans="1:24">
      <c r="A4221" s="27" t="s">
        <v>7749</v>
      </c>
      <c r="B4221" s="28" t="s">
        <v>5102</v>
      </c>
      <c r="C4221" s="27" t="s">
        <v>7750</v>
      </c>
      <c r="D4221" s="27" t="s">
        <v>5104</v>
      </c>
      <c r="E4221" s="29">
        <v>40908</v>
      </c>
      <c r="F4221" s="27">
        <v>15</v>
      </c>
      <c r="G4221" s="18">
        <v>33518.720000000001</v>
      </c>
      <c r="H4221" s="27">
        <f t="shared" si="130"/>
        <v>0</v>
      </c>
      <c r="I4221" s="18">
        <v>18479.39</v>
      </c>
      <c r="J4221" s="27">
        <v>33518.720000000001</v>
      </c>
      <c r="K4221" s="18">
        <f t="shared" si="131"/>
        <v>0</v>
      </c>
      <c r="L4221" s="27">
        <v>20149.810000000001</v>
      </c>
      <c r="M4221" s="36">
        <v>1670.42</v>
      </c>
      <c r="T4221" s="41">
        <v>0</v>
      </c>
      <c r="U4221" s="41">
        <v>0</v>
      </c>
      <c r="V4221" s="42" t="s">
        <v>113</v>
      </c>
      <c r="W4221" s="42">
        <v>0</v>
      </c>
      <c r="X4221" s="42">
        <v>0</v>
      </c>
    </row>
    <row r="4222" spans="1:24">
      <c r="A4222" s="27" t="s">
        <v>7751</v>
      </c>
      <c r="B4222" s="28" t="s">
        <v>5102</v>
      </c>
      <c r="C4222" s="27" t="s">
        <v>7752</v>
      </c>
      <c r="D4222" s="27" t="s">
        <v>5104</v>
      </c>
      <c r="E4222" s="29">
        <v>40908</v>
      </c>
      <c r="F4222" s="27">
        <v>15</v>
      </c>
      <c r="G4222" s="18">
        <v>66360.820000000007</v>
      </c>
      <c r="H4222" s="27">
        <f t="shared" si="130"/>
        <v>0</v>
      </c>
      <c r="I4222" s="18">
        <v>36585.760000000002</v>
      </c>
      <c r="J4222" s="27">
        <v>66360.820000000007</v>
      </c>
      <c r="K4222" s="18">
        <f t="shared" si="131"/>
        <v>0</v>
      </c>
      <c r="L4222" s="27">
        <v>39892.89</v>
      </c>
      <c r="M4222" s="36">
        <v>3307.13</v>
      </c>
      <c r="T4222" s="41">
        <v>0</v>
      </c>
      <c r="U4222" s="41">
        <v>0</v>
      </c>
      <c r="V4222" s="42" t="s">
        <v>113</v>
      </c>
      <c r="W4222" s="42">
        <v>0</v>
      </c>
      <c r="X4222" s="42">
        <v>0</v>
      </c>
    </row>
    <row r="4223" spans="1:24">
      <c r="A4223" s="27" t="s">
        <v>7753</v>
      </c>
      <c r="B4223" s="28" t="s">
        <v>5102</v>
      </c>
      <c r="C4223" s="27" t="s">
        <v>7754</v>
      </c>
      <c r="D4223" s="27" t="s">
        <v>5104</v>
      </c>
      <c r="E4223" s="29">
        <v>40908</v>
      </c>
      <c r="F4223" s="27">
        <v>15</v>
      </c>
      <c r="G4223" s="18">
        <v>37329.39</v>
      </c>
      <c r="H4223" s="27">
        <f t="shared" si="130"/>
        <v>0</v>
      </c>
      <c r="I4223" s="18">
        <v>23292.44</v>
      </c>
      <c r="J4223" s="27">
        <v>37329.39</v>
      </c>
      <c r="K4223" s="18">
        <f t="shared" si="131"/>
        <v>0</v>
      </c>
      <c r="L4223" s="27">
        <v>24813.75</v>
      </c>
      <c r="M4223" s="36">
        <v>1521.31</v>
      </c>
      <c r="T4223" s="41">
        <v>0</v>
      </c>
      <c r="U4223" s="41">
        <v>0</v>
      </c>
      <c r="V4223" s="42" t="s">
        <v>113</v>
      </c>
      <c r="W4223" s="42">
        <v>0</v>
      </c>
      <c r="X4223" s="42">
        <v>0</v>
      </c>
    </row>
    <row r="4224" spans="1:24">
      <c r="A4224" s="27" t="s">
        <v>7755</v>
      </c>
      <c r="B4224" s="28" t="s">
        <v>5102</v>
      </c>
      <c r="C4224" s="27" t="s">
        <v>7756</v>
      </c>
      <c r="D4224" s="27" t="s">
        <v>5104</v>
      </c>
      <c r="E4224" s="29">
        <v>40908</v>
      </c>
      <c r="F4224" s="27">
        <v>15</v>
      </c>
      <c r="G4224" s="18">
        <v>146040.37</v>
      </c>
      <c r="H4224" s="27">
        <f t="shared" si="130"/>
        <v>0</v>
      </c>
      <c r="I4224" s="18">
        <v>82535.759999999995</v>
      </c>
      <c r="J4224" s="27">
        <v>146040.37</v>
      </c>
      <c r="K4224" s="18">
        <f t="shared" si="131"/>
        <v>0</v>
      </c>
      <c r="L4224" s="27">
        <v>89561.08</v>
      </c>
      <c r="M4224" s="36">
        <v>7025.32</v>
      </c>
      <c r="T4224" s="41">
        <v>0</v>
      </c>
      <c r="U4224" s="41">
        <v>0</v>
      </c>
      <c r="V4224" s="42" t="s">
        <v>113</v>
      </c>
      <c r="W4224" s="42">
        <v>0</v>
      </c>
      <c r="X4224" s="42">
        <v>0</v>
      </c>
    </row>
    <row r="4225" spans="1:24">
      <c r="A4225" s="27" t="s">
        <v>7757</v>
      </c>
      <c r="B4225" s="28" t="s">
        <v>5102</v>
      </c>
      <c r="C4225" s="27" t="s">
        <v>7756</v>
      </c>
      <c r="D4225" s="27" t="s">
        <v>5104</v>
      </c>
      <c r="E4225" s="29">
        <v>40908</v>
      </c>
      <c r="F4225" s="27">
        <v>15</v>
      </c>
      <c r="G4225" s="18">
        <v>8792.4599999999991</v>
      </c>
      <c r="H4225" s="27">
        <f t="shared" si="130"/>
        <v>0</v>
      </c>
      <c r="I4225" s="18">
        <v>5009.0200000000004</v>
      </c>
      <c r="J4225" s="27">
        <v>8792.4599999999991</v>
      </c>
      <c r="K4225" s="18">
        <f t="shared" si="131"/>
        <v>0</v>
      </c>
      <c r="L4225" s="27">
        <v>5427</v>
      </c>
      <c r="M4225" s="36">
        <v>417.98</v>
      </c>
      <c r="T4225" s="41">
        <v>0</v>
      </c>
      <c r="U4225" s="41">
        <v>0</v>
      </c>
      <c r="V4225" s="42" t="s">
        <v>113</v>
      </c>
      <c r="W4225" s="42">
        <v>0</v>
      </c>
      <c r="X4225" s="42">
        <v>0</v>
      </c>
    </row>
    <row r="4226" spans="1:24">
      <c r="A4226" s="27" t="s">
        <v>7758</v>
      </c>
      <c r="B4226" s="28" t="s">
        <v>5102</v>
      </c>
      <c r="C4226" s="27" t="s">
        <v>7759</v>
      </c>
      <c r="D4226" s="27" t="s">
        <v>5104</v>
      </c>
      <c r="E4226" s="29">
        <v>40908</v>
      </c>
      <c r="F4226" s="27">
        <v>15</v>
      </c>
      <c r="G4226" s="18">
        <v>8928.43</v>
      </c>
      <c r="H4226" s="27">
        <f t="shared" si="130"/>
        <v>0</v>
      </c>
      <c r="I4226" s="18">
        <v>5086.46</v>
      </c>
      <c r="J4226" s="27">
        <v>8928.43</v>
      </c>
      <c r="K4226" s="18">
        <f t="shared" si="131"/>
        <v>0</v>
      </c>
      <c r="L4226" s="27">
        <v>5510.9</v>
      </c>
      <c r="M4226" s="36">
        <v>424.44</v>
      </c>
      <c r="T4226" s="41">
        <v>0</v>
      </c>
      <c r="U4226" s="41">
        <v>0</v>
      </c>
      <c r="V4226" s="42" t="s">
        <v>113</v>
      </c>
      <c r="W4226" s="42">
        <v>0</v>
      </c>
      <c r="X4226" s="42">
        <v>0</v>
      </c>
    </row>
    <row r="4227" spans="1:24">
      <c r="A4227" s="27" t="s">
        <v>7760</v>
      </c>
      <c r="B4227" s="28" t="s">
        <v>5102</v>
      </c>
      <c r="C4227" s="27" t="s">
        <v>7761</v>
      </c>
      <c r="D4227" s="27" t="s">
        <v>5104</v>
      </c>
      <c r="E4227" s="29">
        <v>40908</v>
      </c>
      <c r="F4227" s="27">
        <v>15</v>
      </c>
      <c r="G4227" s="18">
        <v>21981.15</v>
      </c>
      <c r="H4227" s="27">
        <f t="shared" si="130"/>
        <v>0</v>
      </c>
      <c r="I4227" s="18">
        <v>12522.53</v>
      </c>
      <c r="J4227" s="27">
        <v>21981.15</v>
      </c>
      <c r="K4227" s="18">
        <f t="shared" si="131"/>
        <v>0</v>
      </c>
      <c r="L4227" s="27">
        <v>13567.48</v>
      </c>
      <c r="M4227" s="36">
        <v>1044.95</v>
      </c>
      <c r="T4227" s="41">
        <v>0</v>
      </c>
      <c r="U4227" s="41">
        <v>0</v>
      </c>
      <c r="V4227" s="42" t="s">
        <v>113</v>
      </c>
      <c r="W4227" s="42">
        <v>0</v>
      </c>
      <c r="X4227" s="42">
        <v>0</v>
      </c>
    </row>
    <row r="4228" spans="1:24">
      <c r="A4228" s="27" t="s">
        <v>7762</v>
      </c>
      <c r="B4228" s="28" t="s">
        <v>5102</v>
      </c>
      <c r="C4228" s="27" t="s">
        <v>7763</v>
      </c>
      <c r="D4228" s="27" t="s">
        <v>5104</v>
      </c>
      <c r="E4228" s="29">
        <v>40908</v>
      </c>
      <c r="F4228" s="27">
        <v>15</v>
      </c>
      <c r="G4228" s="18">
        <v>7659.41</v>
      </c>
      <c r="H4228" s="27">
        <f t="shared" si="130"/>
        <v>0</v>
      </c>
      <c r="I4228" s="18">
        <v>4363.5200000000004</v>
      </c>
      <c r="J4228" s="27">
        <v>7659.41</v>
      </c>
      <c r="K4228" s="18">
        <f t="shared" si="131"/>
        <v>0</v>
      </c>
      <c r="L4228" s="27">
        <v>4727.6400000000003</v>
      </c>
      <c r="M4228" s="36">
        <v>364.12</v>
      </c>
      <c r="T4228" s="41">
        <v>0</v>
      </c>
      <c r="U4228" s="41">
        <v>0</v>
      </c>
      <c r="V4228" s="42" t="s">
        <v>113</v>
      </c>
      <c r="W4228" s="42">
        <v>0</v>
      </c>
      <c r="X4228" s="42">
        <v>0</v>
      </c>
    </row>
    <row r="4229" spans="1:24">
      <c r="A4229" s="27" t="s">
        <v>7764</v>
      </c>
      <c r="B4229" s="28" t="s">
        <v>5102</v>
      </c>
      <c r="C4229" s="27" t="s">
        <v>7765</v>
      </c>
      <c r="D4229" s="27" t="s">
        <v>5104</v>
      </c>
      <c r="E4229" s="29">
        <v>40908</v>
      </c>
      <c r="F4229" s="27">
        <v>15</v>
      </c>
      <c r="G4229" s="18">
        <v>76487.320000000007</v>
      </c>
      <c r="H4229" s="27">
        <f t="shared" si="130"/>
        <v>0</v>
      </c>
      <c r="I4229" s="18">
        <v>43243.08</v>
      </c>
      <c r="J4229" s="27">
        <v>76487.320000000007</v>
      </c>
      <c r="K4229" s="18">
        <f t="shared" si="131"/>
        <v>0</v>
      </c>
      <c r="L4229" s="27">
        <v>46920.56</v>
      </c>
      <c r="M4229" s="36">
        <v>3677.48</v>
      </c>
      <c r="T4229" s="41">
        <v>0</v>
      </c>
      <c r="U4229" s="41">
        <v>0</v>
      </c>
      <c r="V4229" s="42" t="s">
        <v>113</v>
      </c>
      <c r="W4229" s="42">
        <v>0</v>
      </c>
      <c r="X4229" s="42">
        <v>0</v>
      </c>
    </row>
    <row r="4230" spans="1:24">
      <c r="A4230" s="27" t="s">
        <v>7766</v>
      </c>
      <c r="B4230" s="28" t="s">
        <v>5102</v>
      </c>
      <c r="C4230" s="27" t="s">
        <v>7765</v>
      </c>
      <c r="D4230" s="27" t="s">
        <v>5104</v>
      </c>
      <c r="E4230" s="29">
        <v>40908</v>
      </c>
      <c r="F4230" s="27">
        <v>15</v>
      </c>
      <c r="G4230" s="18">
        <v>57859.99</v>
      </c>
      <c r="H4230" s="27">
        <f t="shared" ref="H4230:H4293" si="132">IFERROR(IF(ROUND((G4230-I4230)/G4230,2)&lt;=0.05,G4230,0),0)</f>
        <v>0</v>
      </c>
      <c r="I4230" s="18">
        <v>32631.22</v>
      </c>
      <c r="J4230" s="27">
        <v>57859.99</v>
      </c>
      <c r="K4230" s="18">
        <f t="shared" ref="K4230:K4293" si="133">IFERROR(IF(ROUND((J4230-L4230)/J4230,2)&lt;=0.05,J4230,0),0)</f>
        <v>0</v>
      </c>
      <c r="L4230" s="27">
        <v>35423.19</v>
      </c>
      <c r="M4230" s="36">
        <v>2791.97</v>
      </c>
      <c r="T4230" s="41">
        <v>0</v>
      </c>
      <c r="U4230" s="41">
        <v>0</v>
      </c>
      <c r="V4230" s="42" t="s">
        <v>113</v>
      </c>
      <c r="W4230" s="42">
        <v>0</v>
      </c>
      <c r="X4230" s="42">
        <v>0</v>
      </c>
    </row>
    <row r="4231" spans="1:24">
      <c r="A4231" s="27" t="s">
        <v>7767</v>
      </c>
      <c r="B4231" s="28" t="s">
        <v>5102</v>
      </c>
      <c r="C4231" s="27" t="s">
        <v>7768</v>
      </c>
      <c r="D4231" s="27" t="s">
        <v>5104</v>
      </c>
      <c r="E4231" s="29">
        <v>40908</v>
      </c>
      <c r="F4231" s="27">
        <v>15</v>
      </c>
      <c r="G4231" s="18">
        <v>13687.23</v>
      </c>
      <c r="H4231" s="27">
        <f t="shared" si="132"/>
        <v>0</v>
      </c>
      <c r="I4231" s="18">
        <v>7797.53</v>
      </c>
      <c r="J4231" s="27">
        <v>13687.23</v>
      </c>
      <c r="K4231" s="18">
        <f t="shared" si="133"/>
        <v>0</v>
      </c>
      <c r="L4231" s="27">
        <v>8448.2000000000007</v>
      </c>
      <c r="M4231" s="36">
        <v>650.66999999999996</v>
      </c>
      <c r="T4231" s="41">
        <v>0</v>
      </c>
      <c r="U4231" s="41">
        <v>0</v>
      </c>
      <c r="V4231" s="42" t="s">
        <v>113</v>
      </c>
      <c r="W4231" s="42">
        <v>0</v>
      </c>
      <c r="X4231" s="42">
        <v>0</v>
      </c>
    </row>
    <row r="4232" spans="1:24">
      <c r="A4232" s="27" t="s">
        <v>7769</v>
      </c>
      <c r="B4232" s="28" t="s">
        <v>5102</v>
      </c>
      <c r="C4232" s="27" t="s">
        <v>7768</v>
      </c>
      <c r="D4232" s="27" t="s">
        <v>5104</v>
      </c>
      <c r="E4232" s="29">
        <v>40908</v>
      </c>
      <c r="F4232" s="27">
        <v>15</v>
      </c>
      <c r="G4232" s="18">
        <v>79931.78</v>
      </c>
      <c r="H4232" s="27">
        <f t="shared" si="132"/>
        <v>0</v>
      </c>
      <c r="I4232" s="18">
        <v>45205.37</v>
      </c>
      <c r="J4232" s="27">
        <v>79931.78</v>
      </c>
      <c r="K4232" s="18">
        <f t="shared" si="133"/>
        <v>0</v>
      </c>
      <c r="L4232" s="27">
        <v>49046.6</v>
      </c>
      <c r="M4232" s="36">
        <v>3841.23</v>
      </c>
      <c r="T4232" s="41">
        <v>0</v>
      </c>
      <c r="U4232" s="41">
        <v>0</v>
      </c>
      <c r="V4232" s="42" t="s">
        <v>113</v>
      </c>
      <c r="W4232" s="42">
        <v>0</v>
      </c>
      <c r="X4232" s="42">
        <v>0</v>
      </c>
    </row>
    <row r="4233" spans="1:24">
      <c r="A4233" s="27" t="s">
        <v>7770</v>
      </c>
      <c r="B4233" s="28" t="s">
        <v>5102</v>
      </c>
      <c r="C4233" s="27" t="s">
        <v>7771</v>
      </c>
      <c r="D4233" s="27" t="s">
        <v>5104</v>
      </c>
      <c r="E4233" s="29">
        <v>40908</v>
      </c>
      <c r="F4233" s="27">
        <v>15</v>
      </c>
      <c r="G4233" s="18">
        <v>64357.18</v>
      </c>
      <c r="H4233" s="27">
        <f t="shared" si="132"/>
        <v>0</v>
      </c>
      <c r="I4233" s="18">
        <v>36663.879999999997</v>
      </c>
      <c r="J4233" s="27">
        <v>64357.18</v>
      </c>
      <c r="K4233" s="18">
        <f t="shared" si="133"/>
        <v>0</v>
      </c>
      <c r="L4233" s="27">
        <v>39723.31</v>
      </c>
      <c r="M4233" s="36">
        <v>3059.43</v>
      </c>
      <c r="T4233" s="41">
        <v>0</v>
      </c>
      <c r="U4233" s="41">
        <v>0</v>
      </c>
      <c r="V4233" s="42" t="s">
        <v>113</v>
      </c>
      <c r="W4233" s="42">
        <v>0</v>
      </c>
      <c r="X4233" s="42">
        <v>0</v>
      </c>
    </row>
    <row r="4234" spans="1:24">
      <c r="A4234" s="27" t="s">
        <v>7772</v>
      </c>
      <c r="B4234" s="28" t="s">
        <v>5102</v>
      </c>
      <c r="C4234" s="27" t="s">
        <v>7771</v>
      </c>
      <c r="D4234" s="27" t="s">
        <v>5104</v>
      </c>
      <c r="E4234" s="29">
        <v>40908</v>
      </c>
      <c r="F4234" s="27">
        <v>15</v>
      </c>
      <c r="G4234" s="18">
        <v>56908.22</v>
      </c>
      <c r="H4234" s="27">
        <f t="shared" si="132"/>
        <v>0</v>
      </c>
      <c r="I4234" s="18">
        <v>32089</v>
      </c>
      <c r="J4234" s="27">
        <v>56908.22</v>
      </c>
      <c r="K4234" s="18">
        <f t="shared" si="133"/>
        <v>0</v>
      </c>
      <c r="L4234" s="27">
        <v>34835.730000000003</v>
      </c>
      <c r="M4234" s="36">
        <v>2746.73</v>
      </c>
      <c r="T4234" s="41">
        <v>0</v>
      </c>
      <c r="U4234" s="41">
        <v>0</v>
      </c>
      <c r="V4234" s="42" t="s">
        <v>113</v>
      </c>
      <c r="W4234" s="42">
        <v>0</v>
      </c>
      <c r="X4234" s="42">
        <v>0</v>
      </c>
    </row>
    <row r="4235" spans="1:24">
      <c r="A4235" s="27" t="s">
        <v>7773</v>
      </c>
      <c r="B4235" s="28" t="s">
        <v>5102</v>
      </c>
      <c r="C4235" s="27" t="s">
        <v>7774</v>
      </c>
      <c r="D4235" s="27" t="s">
        <v>5104</v>
      </c>
      <c r="E4235" s="29">
        <v>40908</v>
      </c>
      <c r="F4235" s="27">
        <v>15</v>
      </c>
      <c r="G4235" s="18">
        <v>24609.83</v>
      </c>
      <c r="H4235" s="27">
        <f t="shared" si="132"/>
        <v>0</v>
      </c>
      <c r="I4235" s="18">
        <v>14020.06</v>
      </c>
      <c r="J4235" s="27">
        <v>24609.83</v>
      </c>
      <c r="K4235" s="18">
        <f t="shared" si="133"/>
        <v>0</v>
      </c>
      <c r="L4235" s="27">
        <v>15189.97</v>
      </c>
      <c r="M4235" s="36">
        <v>1169.9100000000001</v>
      </c>
      <c r="T4235" s="41">
        <v>0</v>
      </c>
      <c r="U4235" s="41">
        <v>0</v>
      </c>
      <c r="V4235" s="42" t="s">
        <v>113</v>
      </c>
      <c r="W4235" s="42">
        <v>0</v>
      </c>
      <c r="X4235" s="42">
        <v>0</v>
      </c>
    </row>
    <row r="4236" spans="1:24">
      <c r="A4236" s="27" t="s">
        <v>7775</v>
      </c>
      <c r="B4236" s="28" t="s">
        <v>5102</v>
      </c>
      <c r="C4236" s="27" t="s">
        <v>7774</v>
      </c>
      <c r="D4236" s="27" t="s">
        <v>5104</v>
      </c>
      <c r="E4236" s="29">
        <v>40908</v>
      </c>
      <c r="F4236" s="27">
        <v>15</v>
      </c>
      <c r="G4236" s="18">
        <v>19261.84</v>
      </c>
      <c r="H4236" s="27">
        <f t="shared" si="132"/>
        <v>0</v>
      </c>
      <c r="I4236" s="18">
        <v>10973.34</v>
      </c>
      <c r="J4236" s="27">
        <v>19261.84</v>
      </c>
      <c r="K4236" s="18">
        <f t="shared" si="133"/>
        <v>0</v>
      </c>
      <c r="L4236" s="27">
        <v>11889.02</v>
      </c>
      <c r="M4236" s="36">
        <v>915.68</v>
      </c>
      <c r="T4236" s="41">
        <v>0</v>
      </c>
      <c r="U4236" s="41">
        <v>0</v>
      </c>
      <c r="V4236" s="42" t="s">
        <v>113</v>
      </c>
      <c r="W4236" s="42">
        <v>0</v>
      </c>
      <c r="X4236" s="42">
        <v>0</v>
      </c>
    </row>
    <row r="4237" spans="1:24">
      <c r="A4237" s="27" t="s">
        <v>7776</v>
      </c>
      <c r="B4237" s="28" t="s">
        <v>5102</v>
      </c>
      <c r="C4237" s="27" t="s">
        <v>7777</v>
      </c>
      <c r="D4237" s="27" t="s">
        <v>5104</v>
      </c>
      <c r="E4237" s="29">
        <v>40908</v>
      </c>
      <c r="F4237" s="27">
        <v>15</v>
      </c>
      <c r="G4237" s="18">
        <v>15228.17</v>
      </c>
      <c r="H4237" s="27">
        <f t="shared" si="132"/>
        <v>0</v>
      </c>
      <c r="I4237" s="18">
        <v>8675.3799999999992</v>
      </c>
      <c r="J4237" s="27">
        <v>15228.17</v>
      </c>
      <c r="K4237" s="18">
        <f t="shared" si="133"/>
        <v>0</v>
      </c>
      <c r="L4237" s="27">
        <v>9399.2999999999993</v>
      </c>
      <c r="M4237" s="36">
        <v>723.92</v>
      </c>
      <c r="T4237" s="41">
        <v>0</v>
      </c>
      <c r="U4237" s="41">
        <v>0</v>
      </c>
      <c r="V4237" s="42" t="s">
        <v>113</v>
      </c>
      <c r="W4237" s="42">
        <v>0</v>
      </c>
      <c r="X4237" s="42">
        <v>0</v>
      </c>
    </row>
    <row r="4238" spans="1:24">
      <c r="A4238" s="27" t="s">
        <v>7778</v>
      </c>
      <c r="B4238" s="28" t="s">
        <v>5102</v>
      </c>
      <c r="C4238" s="27" t="s">
        <v>7777</v>
      </c>
      <c r="D4238" s="27" t="s">
        <v>5104</v>
      </c>
      <c r="E4238" s="29">
        <v>40908</v>
      </c>
      <c r="F4238" s="27">
        <v>15</v>
      </c>
      <c r="G4238" s="18">
        <v>13660.68</v>
      </c>
      <c r="H4238" s="27">
        <f t="shared" si="132"/>
        <v>0</v>
      </c>
      <c r="I4238" s="18">
        <v>8117.27</v>
      </c>
      <c r="J4238" s="27">
        <v>13660.68</v>
      </c>
      <c r="K4238" s="18">
        <f t="shared" si="133"/>
        <v>0</v>
      </c>
      <c r="L4238" s="27">
        <v>8724.82</v>
      </c>
      <c r="M4238" s="36">
        <v>607.54999999999995</v>
      </c>
      <c r="T4238" s="41">
        <v>0</v>
      </c>
      <c r="U4238" s="41">
        <v>0</v>
      </c>
      <c r="V4238" s="42" t="s">
        <v>113</v>
      </c>
      <c r="W4238" s="42">
        <v>0</v>
      </c>
      <c r="X4238" s="42">
        <v>0</v>
      </c>
    </row>
    <row r="4239" spans="1:24">
      <c r="A4239" s="27" t="s">
        <v>7779</v>
      </c>
      <c r="B4239" s="28" t="s">
        <v>5102</v>
      </c>
      <c r="C4239" s="27" t="s">
        <v>7780</v>
      </c>
      <c r="D4239" s="27" t="s">
        <v>5104</v>
      </c>
      <c r="E4239" s="29">
        <v>40908</v>
      </c>
      <c r="F4239" s="27">
        <v>15</v>
      </c>
      <c r="G4239" s="18">
        <v>221632.16</v>
      </c>
      <c r="H4239" s="27">
        <f t="shared" si="132"/>
        <v>0</v>
      </c>
      <c r="I4239" s="18">
        <v>121455</v>
      </c>
      <c r="J4239" s="27">
        <v>221632.16</v>
      </c>
      <c r="K4239" s="18">
        <f t="shared" si="133"/>
        <v>0</v>
      </c>
      <c r="L4239" s="27">
        <v>132591.94</v>
      </c>
      <c r="M4239" s="36">
        <v>11136.94</v>
      </c>
      <c r="T4239" s="41">
        <v>0</v>
      </c>
      <c r="U4239" s="41">
        <v>0</v>
      </c>
      <c r="V4239" s="42" t="s">
        <v>113</v>
      </c>
      <c r="W4239" s="42">
        <v>0</v>
      </c>
      <c r="X4239" s="42">
        <v>0</v>
      </c>
    </row>
    <row r="4240" spans="1:24">
      <c r="A4240" s="27" t="s">
        <v>7781</v>
      </c>
      <c r="B4240" s="28" t="s">
        <v>5102</v>
      </c>
      <c r="C4240" s="27" t="s">
        <v>7782</v>
      </c>
      <c r="D4240" s="27" t="s">
        <v>5104</v>
      </c>
      <c r="E4240" s="29">
        <v>40908</v>
      </c>
      <c r="F4240" s="27">
        <v>15</v>
      </c>
      <c r="G4240" s="18">
        <v>168874.02</v>
      </c>
      <c r="H4240" s="27">
        <f t="shared" si="132"/>
        <v>0</v>
      </c>
      <c r="I4240" s="18">
        <v>91399.360000000001</v>
      </c>
      <c r="J4240" s="27">
        <v>168874.02</v>
      </c>
      <c r="K4240" s="18">
        <f t="shared" si="133"/>
        <v>0</v>
      </c>
      <c r="L4240" s="27">
        <v>100028.23</v>
      </c>
      <c r="M4240" s="36">
        <v>8628.8700000000008</v>
      </c>
      <c r="T4240" s="41">
        <v>0</v>
      </c>
      <c r="U4240" s="41">
        <v>0</v>
      </c>
      <c r="V4240" s="42" t="s">
        <v>113</v>
      </c>
      <c r="W4240" s="42">
        <v>0</v>
      </c>
      <c r="X4240" s="42">
        <v>0</v>
      </c>
    </row>
    <row r="4241" spans="1:24">
      <c r="A4241" s="27" t="s">
        <v>7783</v>
      </c>
      <c r="B4241" s="28" t="s">
        <v>5102</v>
      </c>
      <c r="C4241" s="27" t="s">
        <v>7784</v>
      </c>
      <c r="D4241" s="27" t="s">
        <v>5104</v>
      </c>
      <c r="E4241" s="29">
        <v>40908</v>
      </c>
      <c r="F4241" s="27">
        <v>15</v>
      </c>
      <c r="G4241" s="18">
        <v>140297.41</v>
      </c>
      <c r="H4241" s="27">
        <f t="shared" si="132"/>
        <v>0</v>
      </c>
      <c r="I4241" s="18">
        <v>75932.89</v>
      </c>
      <c r="J4241" s="27">
        <v>140297.41</v>
      </c>
      <c r="K4241" s="18">
        <f t="shared" si="133"/>
        <v>0</v>
      </c>
      <c r="L4241" s="27">
        <v>83101.600000000006</v>
      </c>
      <c r="M4241" s="36">
        <v>7168.71</v>
      </c>
      <c r="T4241" s="41">
        <v>0</v>
      </c>
      <c r="U4241" s="41">
        <v>0</v>
      </c>
      <c r="V4241" s="42" t="s">
        <v>113</v>
      </c>
      <c r="W4241" s="42">
        <v>0</v>
      </c>
      <c r="X4241" s="42">
        <v>0</v>
      </c>
    </row>
    <row r="4242" spans="1:24">
      <c r="A4242" s="27" t="s">
        <v>7785</v>
      </c>
      <c r="B4242" s="28" t="s">
        <v>5102</v>
      </c>
      <c r="C4242" s="27" t="s">
        <v>7786</v>
      </c>
      <c r="D4242" s="27" t="s">
        <v>5104</v>
      </c>
      <c r="E4242" s="29">
        <v>40908</v>
      </c>
      <c r="F4242" s="27">
        <v>15</v>
      </c>
      <c r="G4242" s="18">
        <v>243712.42</v>
      </c>
      <c r="H4242" s="27">
        <f t="shared" si="132"/>
        <v>0</v>
      </c>
      <c r="I4242" s="18">
        <v>131881.97</v>
      </c>
      <c r="J4242" s="27">
        <v>243712.42</v>
      </c>
      <c r="K4242" s="18">
        <f t="shared" si="133"/>
        <v>0</v>
      </c>
      <c r="L4242" s="27">
        <v>144337.57</v>
      </c>
      <c r="M4242" s="36">
        <v>12455.6</v>
      </c>
      <c r="T4242" s="41">
        <v>0</v>
      </c>
      <c r="U4242" s="41">
        <v>0</v>
      </c>
      <c r="V4242" s="42" t="s">
        <v>113</v>
      </c>
      <c r="W4242" s="42">
        <v>0</v>
      </c>
      <c r="X4242" s="42">
        <v>0</v>
      </c>
    </row>
    <row r="4243" spans="1:24">
      <c r="A4243" s="27" t="s">
        <v>7787</v>
      </c>
      <c r="B4243" s="28" t="s">
        <v>5102</v>
      </c>
      <c r="C4243" s="27" t="s">
        <v>7788</v>
      </c>
      <c r="D4243" s="27" t="s">
        <v>5104</v>
      </c>
      <c r="E4243" s="29">
        <v>40908</v>
      </c>
      <c r="F4243" s="27">
        <v>15</v>
      </c>
      <c r="G4243" s="18">
        <v>135113.75</v>
      </c>
      <c r="H4243" s="27">
        <f t="shared" si="132"/>
        <v>0</v>
      </c>
      <c r="I4243" s="18">
        <v>73131.11</v>
      </c>
      <c r="J4243" s="27">
        <v>135113.75</v>
      </c>
      <c r="K4243" s="18">
        <f t="shared" si="133"/>
        <v>0</v>
      </c>
      <c r="L4243" s="27">
        <v>80034.48</v>
      </c>
      <c r="M4243" s="36">
        <v>6903.37</v>
      </c>
      <c r="T4243" s="41">
        <v>0</v>
      </c>
      <c r="U4243" s="41">
        <v>0</v>
      </c>
      <c r="V4243" s="42" t="s">
        <v>113</v>
      </c>
      <c r="W4243" s="42">
        <v>0</v>
      </c>
      <c r="X4243" s="42">
        <v>0</v>
      </c>
    </row>
    <row r="4244" spans="1:24">
      <c r="A4244" s="27" t="s">
        <v>7789</v>
      </c>
      <c r="B4244" s="28" t="s">
        <v>5102</v>
      </c>
      <c r="C4244" s="27" t="s">
        <v>7790</v>
      </c>
      <c r="D4244" s="27" t="s">
        <v>5104</v>
      </c>
      <c r="E4244" s="29">
        <v>40908</v>
      </c>
      <c r="F4244" s="27">
        <v>15</v>
      </c>
      <c r="G4244" s="18">
        <v>189555.79</v>
      </c>
      <c r="H4244" s="27">
        <f t="shared" si="132"/>
        <v>0</v>
      </c>
      <c r="I4244" s="18">
        <v>102677.28</v>
      </c>
      <c r="J4244" s="27">
        <v>189555.79</v>
      </c>
      <c r="K4244" s="18">
        <f t="shared" si="133"/>
        <v>0</v>
      </c>
      <c r="L4244" s="27">
        <v>112352.37</v>
      </c>
      <c r="M4244" s="36">
        <v>9675.09</v>
      </c>
      <c r="T4244" s="41">
        <v>0</v>
      </c>
      <c r="U4244" s="41">
        <v>0</v>
      </c>
      <c r="V4244" s="42" t="s">
        <v>113</v>
      </c>
      <c r="W4244" s="42">
        <v>0</v>
      </c>
      <c r="X4244" s="42">
        <v>0</v>
      </c>
    </row>
    <row r="4245" spans="1:24">
      <c r="A4245" s="27" t="s">
        <v>7791</v>
      </c>
      <c r="B4245" s="28" t="s">
        <v>5102</v>
      </c>
      <c r="C4245" s="27" t="s">
        <v>7792</v>
      </c>
      <c r="D4245" s="27" t="s">
        <v>5104</v>
      </c>
      <c r="E4245" s="29">
        <v>40908</v>
      </c>
      <c r="F4245" s="27">
        <v>15</v>
      </c>
      <c r="G4245" s="18">
        <v>150399.45000000001</v>
      </c>
      <c r="H4245" s="27">
        <f t="shared" si="132"/>
        <v>0</v>
      </c>
      <c r="I4245" s="18">
        <v>81439.929999999993</v>
      </c>
      <c r="J4245" s="27">
        <v>150399.45000000001</v>
      </c>
      <c r="K4245" s="18">
        <f t="shared" si="133"/>
        <v>0</v>
      </c>
      <c r="L4245" s="27">
        <v>89119.87</v>
      </c>
      <c r="M4245" s="36">
        <v>7679.94</v>
      </c>
      <c r="T4245" s="41">
        <v>0</v>
      </c>
      <c r="U4245" s="41">
        <v>0</v>
      </c>
      <c r="V4245" s="42" t="s">
        <v>113</v>
      </c>
      <c r="W4245" s="42">
        <v>0</v>
      </c>
      <c r="X4245" s="42">
        <v>0</v>
      </c>
    </row>
    <row r="4246" spans="1:24">
      <c r="A4246" s="27" t="s">
        <v>7793</v>
      </c>
      <c r="B4246" s="28" t="s">
        <v>5102</v>
      </c>
      <c r="C4246" s="27" t="s">
        <v>7794</v>
      </c>
      <c r="D4246" s="27" t="s">
        <v>5104</v>
      </c>
      <c r="E4246" s="29">
        <v>40908</v>
      </c>
      <c r="F4246" s="27">
        <v>15</v>
      </c>
      <c r="G4246" s="18">
        <v>180600.82</v>
      </c>
      <c r="H4246" s="27">
        <f t="shared" si="132"/>
        <v>0</v>
      </c>
      <c r="I4246" s="18">
        <v>99597.89</v>
      </c>
      <c r="J4246" s="27">
        <v>180600.82</v>
      </c>
      <c r="K4246" s="18">
        <f t="shared" si="133"/>
        <v>0</v>
      </c>
      <c r="L4246" s="27">
        <v>108594.5</v>
      </c>
      <c r="M4246" s="36">
        <v>8996.61</v>
      </c>
      <c r="T4246" s="41">
        <v>0</v>
      </c>
      <c r="U4246" s="41">
        <v>0</v>
      </c>
      <c r="V4246" s="42" t="s">
        <v>113</v>
      </c>
      <c r="W4246" s="42">
        <v>0</v>
      </c>
      <c r="X4246" s="42">
        <v>0</v>
      </c>
    </row>
    <row r="4247" spans="1:24">
      <c r="A4247" s="27" t="s">
        <v>7795</v>
      </c>
      <c r="B4247" s="28" t="s">
        <v>5102</v>
      </c>
      <c r="C4247" s="27" t="s">
        <v>7796</v>
      </c>
      <c r="D4247" s="27" t="s">
        <v>5104</v>
      </c>
      <c r="E4247" s="29">
        <v>40908</v>
      </c>
      <c r="F4247" s="27">
        <v>15</v>
      </c>
      <c r="G4247" s="18">
        <v>161593.71</v>
      </c>
      <c r="H4247" s="27">
        <f t="shared" si="132"/>
        <v>0</v>
      </c>
      <c r="I4247" s="18">
        <v>86898.47</v>
      </c>
      <c r="J4247" s="27">
        <v>161593.71</v>
      </c>
      <c r="K4247" s="18">
        <f t="shared" si="133"/>
        <v>0</v>
      </c>
      <c r="L4247" s="27">
        <v>95225.41</v>
      </c>
      <c r="M4247" s="36">
        <v>8326.94</v>
      </c>
      <c r="T4247" s="41">
        <v>0</v>
      </c>
      <c r="U4247" s="41">
        <v>0</v>
      </c>
      <c r="V4247" s="42" t="s">
        <v>113</v>
      </c>
      <c r="W4247" s="42">
        <v>0</v>
      </c>
      <c r="X4247" s="42">
        <v>0</v>
      </c>
    </row>
    <row r="4248" spans="1:24">
      <c r="A4248" s="27" t="s">
        <v>7797</v>
      </c>
      <c r="B4248" s="28" t="s">
        <v>5102</v>
      </c>
      <c r="C4248" s="27" t="s">
        <v>7798</v>
      </c>
      <c r="D4248" s="27" t="s">
        <v>5104</v>
      </c>
      <c r="E4248" s="29">
        <v>40908</v>
      </c>
      <c r="F4248" s="27">
        <v>15</v>
      </c>
      <c r="G4248" s="18">
        <v>223414.59</v>
      </c>
      <c r="H4248" s="27">
        <f t="shared" si="132"/>
        <v>0</v>
      </c>
      <c r="I4248" s="18">
        <v>122094.35</v>
      </c>
      <c r="J4248" s="27">
        <v>223414.59</v>
      </c>
      <c r="K4248" s="18">
        <f t="shared" si="133"/>
        <v>0</v>
      </c>
      <c r="L4248" s="27">
        <v>133363.04</v>
      </c>
      <c r="M4248" s="36">
        <v>11268.69</v>
      </c>
      <c r="T4248" s="41">
        <v>0</v>
      </c>
      <c r="U4248" s="41">
        <v>0</v>
      </c>
      <c r="V4248" s="42" t="s">
        <v>113</v>
      </c>
      <c r="W4248" s="42">
        <v>0</v>
      </c>
      <c r="X4248" s="42">
        <v>0</v>
      </c>
    </row>
    <row r="4249" spans="1:24">
      <c r="A4249" s="27" t="s">
        <v>7799</v>
      </c>
      <c r="B4249" s="28" t="s">
        <v>5102</v>
      </c>
      <c r="C4249" s="27" t="s">
        <v>7800</v>
      </c>
      <c r="D4249" s="27" t="s">
        <v>5104</v>
      </c>
      <c r="E4249" s="29">
        <v>40908</v>
      </c>
      <c r="F4249" s="27">
        <v>15</v>
      </c>
      <c r="G4249" s="18">
        <v>248139.66</v>
      </c>
      <c r="H4249" s="27">
        <f t="shared" si="132"/>
        <v>0</v>
      </c>
      <c r="I4249" s="18">
        <v>134083.68</v>
      </c>
      <c r="J4249" s="27">
        <v>248139.66</v>
      </c>
      <c r="K4249" s="18">
        <f t="shared" si="133"/>
        <v>0</v>
      </c>
      <c r="L4249" s="27">
        <v>146789.81</v>
      </c>
      <c r="M4249" s="36">
        <v>12706.13</v>
      </c>
      <c r="T4249" s="41">
        <v>0</v>
      </c>
      <c r="U4249" s="41">
        <v>0</v>
      </c>
      <c r="V4249" s="42" t="s">
        <v>113</v>
      </c>
      <c r="W4249" s="42">
        <v>0</v>
      </c>
      <c r="X4249" s="42">
        <v>0</v>
      </c>
    </row>
    <row r="4250" spans="1:24">
      <c r="A4250" s="27" t="s">
        <v>7801</v>
      </c>
      <c r="B4250" s="28" t="s">
        <v>5102</v>
      </c>
      <c r="C4250" s="27" t="s">
        <v>7802</v>
      </c>
      <c r="D4250" s="27" t="s">
        <v>5104</v>
      </c>
      <c r="E4250" s="29">
        <v>40908</v>
      </c>
      <c r="F4250" s="27">
        <v>15</v>
      </c>
      <c r="G4250" s="18">
        <v>334125.83</v>
      </c>
      <c r="H4250" s="27">
        <f t="shared" si="132"/>
        <v>0</v>
      </c>
      <c r="I4250" s="18">
        <v>187425.58</v>
      </c>
      <c r="J4250" s="27">
        <v>334125.83</v>
      </c>
      <c r="K4250" s="18">
        <f t="shared" si="133"/>
        <v>0</v>
      </c>
      <c r="L4250" s="27">
        <v>203674.83</v>
      </c>
      <c r="M4250" s="36">
        <v>16249.25</v>
      </c>
      <c r="T4250" s="41">
        <v>0</v>
      </c>
      <c r="U4250" s="41">
        <v>0</v>
      </c>
      <c r="V4250" s="42" t="s">
        <v>113</v>
      </c>
      <c r="W4250" s="42">
        <v>0</v>
      </c>
      <c r="X4250" s="42">
        <v>0</v>
      </c>
    </row>
    <row r="4251" spans="1:24">
      <c r="A4251" s="27" t="s">
        <v>7803</v>
      </c>
      <c r="B4251" s="28" t="s">
        <v>5102</v>
      </c>
      <c r="C4251" s="27" t="s">
        <v>7804</v>
      </c>
      <c r="D4251" s="27" t="s">
        <v>5104</v>
      </c>
      <c r="E4251" s="29">
        <v>40908</v>
      </c>
      <c r="F4251" s="27">
        <v>15</v>
      </c>
      <c r="G4251" s="18">
        <v>61858.96</v>
      </c>
      <c r="H4251" s="27">
        <f t="shared" si="132"/>
        <v>0</v>
      </c>
      <c r="I4251" s="18">
        <v>33256.19</v>
      </c>
      <c r="J4251" s="27">
        <v>61858.96</v>
      </c>
      <c r="K4251" s="18">
        <f t="shared" si="133"/>
        <v>0</v>
      </c>
      <c r="L4251" s="27">
        <v>36444.92</v>
      </c>
      <c r="M4251" s="36">
        <v>3188.73</v>
      </c>
      <c r="T4251" s="41">
        <v>0</v>
      </c>
      <c r="U4251" s="41">
        <v>0</v>
      </c>
      <c r="V4251" s="42" t="s">
        <v>113</v>
      </c>
      <c r="W4251" s="42">
        <v>0</v>
      </c>
      <c r="X4251" s="42">
        <v>0</v>
      </c>
    </row>
    <row r="4252" spans="1:24">
      <c r="A4252" s="27" t="s">
        <v>7805</v>
      </c>
      <c r="B4252" s="28" t="s">
        <v>5102</v>
      </c>
      <c r="C4252" s="27" t="s">
        <v>7806</v>
      </c>
      <c r="D4252" s="27" t="s">
        <v>5104</v>
      </c>
      <c r="E4252" s="29">
        <v>40908</v>
      </c>
      <c r="F4252" s="27">
        <v>15</v>
      </c>
      <c r="G4252" s="18">
        <v>146404.20000000001</v>
      </c>
      <c r="H4252" s="27">
        <f t="shared" si="132"/>
        <v>0</v>
      </c>
      <c r="I4252" s="18">
        <v>79558.42</v>
      </c>
      <c r="J4252" s="27">
        <v>146404.20000000001</v>
      </c>
      <c r="K4252" s="18">
        <f t="shared" si="133"/>
        <v>0</v>
      </c>
      <c r="L4252" s="27">
        <v>86999.12</v>
      </c>
      <c r="M4252" s="36">
        <v>7440.7</v>
      </c>
      <c r="T4252" s="41">
        <v>0</v>
      </c>
      <c r="U4252" s="41">
        <v>0</v>
      </c>
      <c r="V4252" s="42" t="s">
        <v>113</v>
      </c>
      <c r="W4252" s="42">
        <v>0</v>
      </c>
      <c r="X4252" s="42">
        <v>0</v>
      </c>
    </row>
    <row r="4253" spans="1:24">
      <c r="A4253" s="27" t="s">
        <v>7807</v>
      </c>
      <c r="B4253" s="28" t="s">
        <v>5102</v>
      </c>
      <c r="C4253" s="27" t="s">
        <v>7808</v>
      </c>
      <c r="D4253" s="27" t="s">
        <v>5104</v>
      </c>
      <c r="E4253" s="29">
        <v>40908</v>
      </c>
      <c r="F4253" s="27">
        <v>15</v>
      </c>
      <c r="G4253" s="18">
        <v>208694.47</v>
      </c>
      <c r="H4253" s="27">
        <f t="shared" si="132"/>
        <v>0</v>
      </c>
      <c r="I4253" s="18">
        <v>113407.95</v>
      </c>
      <c r="J4253" s="27">
        <v>208694.47</v>
      </c>
      <c r="K4253" s="18">
        <f t="shared" si="133"/>
        <v>0</v>
      </c>
      <c r="L4253" s="27">
        <v>124014.43</v>
      </c>
      <c r="M4253" s="36">
        <v>10606.48</v>
      </c>
      <c r="T4253" s="41">
        <v>0</v>
      </c>
      <c r="U4253" s="41">
        <v>0</v>
      </c>
      <c r="V4253" s="42" t="s">
        <v>113</v>
      </c>
      <c r="W4253" s="42">
        <v>0</v>
      </c>
      <c r="X4253" s="42">
        <v>0</v>
      </c>
    </row>
    <row r="4254" spans="1:24">
      <c r="A4254" s="27" t="s">
        <v>7809</v>
      </c>
      <c r="B4254" s="28" t="s">
        <v>5102</v>
      </c>
      <c r="C4254" s="27" t="s">
        <v>7810</v>
      </c>
      <c r="D4254" s="27" t="s">
        <v>5104</v>
      </c>
      <c r="E4254" s="29">
        <v>40908</v>
      </c>
      <c r="F4254" s="27">
        <v>15</v>
      </c>
      <c r="G4254" s="18">
        <v>76073.64</v>
      </c>
      <c r="H4254" s="27">
        <f t="shared" si="132"/>
        <v>0</v>
      </c>
      <c r="I4254" s="18">
        <v>41339.64</v>
      </c>
      <c r="J4254" s="27">
        <v>76073.64</v>
      </c>
      <c r="K4254" s="18">
        <f t="shared" si="133"/>
        <v>0</v>
      </c>
      <c r="L4254" s="27">
        <v>45205.93</v>
      </c>
      <c r="M4254" s="36">
        <v>3866.29</v>
      </c>
      <c r="T4254" s="41">
        <v>0</v>
      </c>
      <c r="U4254" s="41">
        <v>0</v>
      </c>
      <c r="V4254" s="42" t="s">
        <v>113</v>
      </c>
      <c r="W4254" s="42">
        <v>0</v>
      </c>
      <c r="X4254" s="42">
        <v>0</v>
      </c>
    </row>
    <row r="4255" spans="1:24">
      <c r="A4255" s="27" t="s">
        <v>7811</v>
      </c>
      <c r="B4255" s="28" t="s">
        <v>5102</v>
      </c>
      <c r="C4255" s="27" t="s">
        <v>7812</v>
      </c>
      <c r="D4255" s="27" t="s">
        <v>5104</v>
      </c>
      <c r="E4255" s="29">
        <v>40908</v>
      </c>
      <c r="F4255" s="27">
        <v>15</v>
      </c>
      <c r="G4255" s="18">
        <v>392914.62</v>
      </c>
      <c r="H4255" s="27">
        <f t="shared" si="132"/>
        <v>0</v>
      </c>
      <c r="I4255" s="18">
        <v>214902.16</v>
      </c>
      <c r="J4255" s="27">
        <v>392914.62</v>
      </c>
      <c r="K4255" s="18">
        <f t="shared" si="133"/>
        <v>0</v>
      </c>
      <c r="L4255" s="27">
        <v>234698</v>
      </c>
      <c r="M4255" s="36">
        <v>19795.84</v>
      </c>
      <c r="T4255" s="41">
        <v>0</v>
      </c>
      <c r="U4255" s="41">
        <v>0</v>
      </c>
      <c r="V4255" s="42" t="s">
        <v>113</v>
      </c>
      <c r="W4255" s="42">
        <v>0</v>
      </c>
      <c r="X4255" s="42">
        <v>0</v>
      </c>
    </row>
    <row r="4256" spans="1:24">
      <c r="A4256" s="27" t="s">
        <v>7813</v>
      </c>
      <c r="B4256" s="28" t="s">
        <v>5102</v>
      </c>
      <c r="C4256" s="27" t="s">
        <v>7814</v>
      </c>
      <c r="D4256" s="27" t="s">
        <v>5104</v>
      </c>
      <c r="E4256" s="29">
        <v>40908</v>
      </c>
      <c r="F4256" s="27">
        <v>15</v>
      </c>
      <c r="G4256" s="18">
        <v>207945.68</v>
      </c>
      <c r="H4256" s="27">
        <f t="shared" si="132"/>
        <v>0</v>
      </c>
      <c r="I4256" s="18">
        <v>115632.48</v>
      </c>
      <c r="J4256" s="27">
        <v>207945.68</v>
      </c>
      <c r="K4256" s="18">
        <f t="shared" si="133"/>
        <v>0</v>
      </c>
      <c r="L4256" s="27">
        <v>125871.97</v>
      </c>
      <c r="M4256" s="36">
        <v>10239.49</v>
      </c>
      <c r="T4256" s="41">
        <v>0</v>
      </c>
      <c r="U4256" s="41">
        <v>0</v>
      </c>
      <c r="V4256" s="42" t="s">
        <v>113</v>
      </c>
      <c r="W4256" s="42">
        <v>0</v>
      </c>
      <c r="X4256" s="42">
        <v>0</v>
      </c>
    </row>
    <row r="4257" spans="1:24">
      <c r="A4257" s="27" t="s">
        <v>7815</v>
      </c>
      <c r="B4257" s="28" t="s">
        <v>5102</v>
      </c>
      <c r="C4257" s="27" t="s">
        <v>7816</v>
      </c>
      <c r="D4257" s="27" t="s">
        <v>5104</v>
      </c>
      <c r="E4257" s="29">
        <v>40908</v>
      </c>
      <c r="F4257" s="27">
        <v>15</v>
      </c>
      <c r="G4257" s="18">
        <v>140152.10999999999</v>
      </c>
      <c r="H4257" s="27">
        <f t="shared" si="132"/>
        <v>0</v>
      </c>
      <c r="I4257" s="18">
        <v>76123.350000000006</v>
      </c>
      <c r="J4257" s="27">
        <v>140152.10999999999</v>
      </c>
      <c r="K4257" s="18">
        <f t="shared" si="133"/>
        <v>0</v>
      </c>
      <c r="L4257" s="27">
        <v>83250.990000000005</v>
      </c>
      <c r="M4257" s="36">
        <v>7127.64</v>
      </c>
      <c r="T4257" s="41">
        <v>0</v>
      </c>
      <c r="U4257" s="41">
        <v>0</v>
      </c>
      <c r="V4257" s="42" t="s">
        <v>113</v>
      </c>
      <c r="W4257" s="42">
        <v>0</v>
      </c>
      <c r="X4257" s="42">
        <v>0</v>
      </c>
    </row>
    <row r="4258" spans="1:24">
      <c r="A4258" s="27" t="s">
        <v>7817</v>
      </c>
      <c r="B4258" s="28" t="s">
        <v>5102</v>
      </c>
      <c r="C4258" s="27" t="s">
        <v>7818</v>
      </c>
      <c r="D4258" s="27" t="s">
        <v>5104</v>
      </c>
      <c r="E4258" s="29">
        <v>40908</v>
      </c>
      <c r="F4258" s="27">
        <v>15</v>
      </c>
      <c r="G4258" s="18">
        <v>454418.74</v>
      </c>
      <c r="H4258" s="27">
        <f t="shared" si="132"/>
        <v>0</v>
      </c>
      <c r="I4258" s="18">
        <v>252250.95</v>
      </c>
      <c r="J4258" s="27">
        <v>454418.74</v>
      </c>
      <c r="K4258" s="18">
        <f t="shared" si="133"/>
        <v>0</v>
      </c>
      <c r="L4258" s="27">
        <v>274681.81</v>
      </c>
      <c r="M4258" s="36">
        <v>22430.86</v>
      </c>
      <c r="T4258" s="41">
        <v>0</v>
      </c>
      <c r="U4258" s="41">
        <v>0</v>
      </c>
      <c r="V4258" s="42" t="s">
        <v>113</v>
      </c>
      <c r="W4258" s="42">
        <v>0</v>
      </c>
      <c r="X4258" s="42">
        <v>0</v>
      </c>
    </row>
    <row r="4259" spans="1:24">
      <c r="A4259" s="27" t="s">
        <v>7819</v>
      </c>
      <c r="B4259" s="28" t="s">
        <v>5102</v>
      </c>
      <c r="C4259" s="27" t="s">
        <v>7820</v>
      </c>
      <c r="D4259" s="27" t="s">
        <v>5104</v>
      </c>
      <c r="E4259" s="29">
        <v>40908</v>
      </c>
      <c r="F4259" s="27">
        <v>15</v>
      </c>
      <c r="G4259" s="18">
        <v>149888.26999999999</v>
      </c>
      <c r="H4259" s="27">
        <f t="shared" si="132"/>
        <v>0</v>
      </c>
      <c r="I4259" s="18">
        <v>80463.02</v>
      </c>
      <c r="J4259" s="27">
        <v>149888.26999999999</v>
      </c>
      <c r="K4259" s="18">
        <f t="shared" si="133"/>
        <v>0</v>
      </c>
      <c r="L4259" s="27">
        <v>88204.38</v>
      </c>
      <c r="M4259" s="36">
        <v>7741.36</v>
      </c>
      <c r="T4259" s="41">
        <v>0</v>
      </c>
      <c r="U4259" s="41">
        <v>0</v>
      </c>
      <c r="V4259" s="42" t="s">
        <v>113</v>
      </c>
      <c r="W4259" s="42">
        <v>0</v>
      </c>
      <c r="X4259" s="42">
        <v>0</v>
      </c>
    </row>
    <row r="4260" spans="1:24">
      <c r="A4260" s="27" t="s">
        <v>7821</v>
      </c>
      <c r="B4260" s="28" t="s">
        <v>5102</v>
      </c>
      <c r="C4260" s="27" t="s">
        <v>7822</v>
      </c>
      <c r="D4260" s="27" t="s">
        <v>5104</v>
      </c>
      <c r="E4260" s="29">
        <v>40908</v>
      </c>
      <c r="F4260" s="27">
        <v>15</v>
      </c>
      <c r="G4260" s="18">
        <v>291236.57</v>
      </c>
      <c r="H4260" s="27">
        <f t="shared" si="132"/>
        <v>0</v>
      </c>
      <c r="I4260" s="18">
        <v>157788.71</v>
      </c>
      <c r="J4260" s="27">
        <v>291236.57</v>
      </c>
      <c r="K4260" s="18">
        <f t="shared" si="133"/>
        <v>0</v>
      </c>
      <c r="L4260" s="27">
        <v>172649.46</v>
      </c>
      <c r="M4260" s="36">
        <v>14860.75</v>
      </c>
      <c r="T4260" s="41">
        <v>0</v>
      </c>
      <c r="U4260" s="41">
        <v>0</v>
      </c>
      <c r="V4260" s="42" t="s">
        <v>113</v>
      </c>
      <c r="W4260" s="42">
        <v>0</v>
      </c>
      <c r="X4260" s="42">
        <v>0</v>
      </c>
    </row>
    <row r="4261" spans="1:24">
      <c r="A4261" s="27" t="s">
        <v>7823</v>
      </c>
      <c r="B4261" s="28" t="s">
        <v>5102</v>
      </c>
      <c r="C4261" s="27" t="s">
        <v>7824</v>
      </c>
      <c r="D4261" s="27" t="s">
        <v>5104</v>
      </c>
      <c r="E4261" s="29">
        <v>40908</v>
      </c>
      <c r="F4261" s="27">
        <v>15</v>
      </c>
      <c r="G4261" s="18">
        <v>1122650.22</v>
      </c>
      <c r="H4261" s="27">
        <f t="shared" si="132"/>
        <v>0</v>
      </c>
      <c r="I4261" s="18">
        <v>912872.65</v>
      </c>
      <c r="J4261" s="27">
        <v>1122650.22</v>
      </c>
      <c r="K4261" s="18">
        <f t="shared" si="133"/>
        <v>0</v>
      </c>
      <c r="L4261" s="27">
        <v>932078.28</v>
      </c>
      <c r="M4261" s="36">
        <v>19205.63</v>
      </c>
      <c r="T4261" s="41">
        <v>0</v>
      </c>
      <c r="U4261" s="41">
        <v>0</v>
      </c>
      <c r="V4261" s="42" t="s">
        <v>113</v>
      </c>
      <c r="W4261" s="42">
        <v>0</v>
      </c>
      <c r="X4261" s="42">
        <v>0</v>
      </c>
    </row>
    <row r="4262" spans="1:24">
      <c r="A4262" s="27" t="s">
        <v>7825</v>
      </c>
      <c r="B4262" s="28" t="s">
        <v>5102</v>
      </c>
      <c r="C4262" s="27" t="s">
        <v>7826</v>
      </c>
      <c r="D4262" s="27" t="s">
        <v>5104</v>
      </c>
      <c r="E4262" s="29">
        <v>40908</v>
      </c>
      <c r="F4262" s="27">
        <v>15</v>
      </c>
      <c r="G4262" s="18">
        <v>57154.85</v>
      </c>
      <c r="H4262" s="27">
        <f t="shared" si="132"/>
        <v>0</v>
      </c>
      <c r="I4262" s="18">
        <v>30882.43</v>
      </c>
      <c r="J4262" s="27">
        <v>57154.85</v>
      </c>
      <c r="K4262" s="18">
        <f t="shared" si="133"/>
        <v>0</v>
      </c>
      <c r="L4262" s="27">
        <v>33809.269999999997</v>
      </c>
      <c r="M4262" s="36">
        <v>2926.84</v>
      </c>
      <c r="T4262" s="41">
        <v>0</v>
      </c>
      <c r="U4262" s="41">
        <v>0</v>
      </c>
      <c r="V4262" s="42" t="s">
        <v>113</v>
      </c>
      <c r="W4262" s="42">
        <v>0</v>
      </c>
      <c r="X4262" s="42">
        <v>0</v>
      </c>
    </row>
    <row r="4263" spans="1:24">
      <c r="A4263" s="27" t="s">
        <v>7827</v>
      </c>
      <c r="B4263" s="28" t="s">
        <v>5102</v>
      </c>
      <c r="C4263" s="27" t="s">
        <v>7828</v>
      </c>
      <c r="D4263" s="27" t="s">
        <v>5104</v>
      </c>
      <c r="E4263" s="29">
        <v>40908</v>
      </c>
      <c r="F4263" s="27">
        <v>15</v>
      </c>
      <c r="G4263" s="18">
        <v>276284.94</v>
      </c>
      <c r="H4263" s="27">
        <f t="shared" si="132"/>
        <v>0</v>
      </c>
      <c r="I4263" s="18">
        <v>149284.82999999999</v>
      </c>
      <c r="J4263" s="27">
        <v>276284.94</v>
      </c>
      <c r="K4263" s="18">
        <f t="shared" si="133"/>
        <v>0</v>
      </c>
      <c r="L4263" s="27">
        <v>163433.06</v>
      </c>
      <c r="M4263" s="36">
        <v>14148.23</v>
      </c>
      <c r="T4263" s="41">
        <v>0</v>
      </c>
      <c r="U4263" s="41">
        <v>0</v>
      </c>
      <c r="V4263" s="42" t="s">
        <v>113</v>
      </c>
      <c r="W4263" s="42">
        <v>0</v>
      </c>
      <c r="X4263" s="42">
        <v>0</v>
      </c>
    </row>
    <row r="4264" spans="1:24">
      <c r="A4264" s="27" t="s">
        <v>7829</v>
      </c>
      <c r="B4264" s="28" t="s">
        <v>5102</v>
      </c>
      <c r="C4264" s="27" t="s">
        <v>7830</v>
      </c>
      <c r="D4264" s="27" t="s">
        <v>5104</v>
      </c>
      <c r="E4264" s="29">
        <v>40908</v>
      </c>
      <c r="F4264" s="27">
        <v>15</v>
      </c>
      <c r="G4264" s="18">
        <v>233875.01</v>
      </c>
      <c r="H4264" s="27">
        <f t="shared" si="132"/>
        <v>0</v>
      </c>
      <c r="I4264" s="18">
        <v>130778.76</v>
      </c>
      <c r="J4264" s="27">
        <v>233875.01</v>
      </c>
      <c r="K4264" s="18">
        <f t="shared" si="133"/>
        <v>0</v>
      </c>
      <c r="L4264" s="27">
        <v>142204.07</v>
      </c>
      <c r="M4264" s="36">
        <v>11425.31</v>
      </c>
      <c r="T4264" s="41">
        <v>0</v>
      </c>
      <c r="U4264" s="41">
        <v>0</v>
      </c>
      <c r="V4264" s="42" t="s">
        <v>113</v>
      </c>
      <c r="W4264" s="42">
        <v>0</v>
      </c>
      <c r="X4264" s="42">
        <v>0</v>
      </c>
    </row>
    <row r="4265" spans="1:24">
      <c r="A4265" s="27" t="s">
        <v>7831</v>
      </c>
      <c r="B4265" s="28" t="s">
        <v>5102</v>
      </c>
      <c r="C4265" s="27" t="s">
        <v>7832</v>
      </c>
      <c r="D4265" s="27" t="s">
        <v>5104</v>
      </c>
      <c r="E4265" s="29">
        <v>40908</v>
      </c>
      <c r="F4265" s="27">
        <v>15</v>
      </c>
      <c r="G4265" s="18">
        <v>51742.05</v>
      </c>
      <c r="H4265" s="27">
        <f t="shared" si="132"/>
        <v>0</v>
      </c>
      <c r="I4265" s="18">
        <v>27997.55</v>
      </c>
      <c r="J4265" s="27">
        <v>51742.05</v>
      </c>
      <c r="K4265" s="18">
        <f t="shared" si="133"/>
        <v>0</v>
      </c>
      <c r="L4265" s="27">
        <v>30642.23</v>
      </c>
      <c r="M4265" s="36">
        <v>2644.68</v>
      </c>
      <c r="T4265" s="41">
        <v>0</v>
      </c>
      <c r="U4265" s="41">
        <v>0</v>
      </c>
      <c r="V4265" s="42" t="s">
        <v>113</v>
      </c>
      <c r="W4265" s="42">
        <v>0</v>
      </c>
      <c r="X4265" s="42">
        <v>0</v>
      </c>
    </row>
    <row r="4266" spans="1:24">
      <c r="A4266" s="27" t="s">
        <v>7833</v>
      </c>
      <c r="B4266" s="28" t="s">
        <v>5102</v>
      </c>
      <c r="C4266" s="27" t="s">
        <v>7834</v>
      </c>
      <c r="D4266" s="27" t="s">
        <v>5104</v>
      </c>
      <c r="E4266" s="29">
        <v>40908</v>
      </c>
      <c r="F4266" s="27">
        <v>15</v>
      </c>
      <c r="G4266" s="18">
        <v>314609.56</v>
      </c>
      <c r="H4266" s="27">
        <f t="shared" si="132"/>
        <v>0</v>
      </c>
      <c r="I4266" s="18">
        <v>172386.14</v>
      </c>
      <c r="J4266" s="27">
        <v>314609.56</v>
      </c>
      <c r="K4266" s="18">
        <f t="shared" si="133"/>
        <v>0</v>
      </c>
      <c r="L4266" s="27">
        <v>188197.76000000001</v>
      </c>
      <c r="M4266" s="36">
        <v>15811.62</v>
      </c>
      <c r="T4266" s="41">
        <v>0</v>
      </c>
      <c r="U4266" s="41">
        <v>0</v>
      </c>
      <c r="V4266" s="42" t="s">
        <v>113</v>
      </c>
      <c r="W4266" s="42">
        <v>0</v>
      </c>
      <c r="X4266" s="42">
        <v>0</v>
      </c>
    </row>
    <row r="4267" spans="1:24">
      <c r="A4267" s="27" t="s">
        <v>7835</v>
      </c>
      <c r="B4267" s="28" t="s">
        <v>5102</v>
      </c>
      <c r="C4267" s="27" t="s">
        <v>7836</v>
      </c>
      <c r="D4267" s="27" t="s">
        <v>5104</v>
      </c>
      <c r="E4267" s="29">
        <v>40908</v>
      </c>
      <c r="F4267" s="27">
        <v>15</v>
      </c>
      <c r="G4267" s="18">
        <v>97221.1</v>
      </c>
      <c r="H4267" s="27">
        <f t="shared" si="132"/>
        <v>0</v>
      </c>
      <c r="I4267" s="18">
        <v>52733.08</v>
      </c>
      <c r="J4267" s="27">
        <v>97221.1</v>
      </c>
      <c r="K4267" s="18">
        <f t="shared" si="133"/>
        <v>0</v>
      </c>
      <c r="L4267" s="27">
        <v>57686.45</v>
      </c>
      <c r="M4267" s="36">
        <v>4953.37</v>
      </c>
      <c r="T4267" s="41">
        <v>0</v>
      </c>
      <c r="U4267" s="41">
        <v>0</v>
      </c>
      <c r="V4267" s="42" t="s">
        <v>113</v>
      </c>
      <c r="W4267" s="42">
        <v>0</v>
      </c>
      <c r="X4267" s="42">
        <v>0</v>
      </c>
    </row>
    <row r="4268" spans="1:24">
      <c r="A4268" s="27" t="s">
        <v>7837</v>
      </c>
      <c r="B4268" s="28" t="s">
        <v>5102</v>
      </c>
      <c r="C4268" s="27" t="s">
        <v>7838</v>
      </c>
      <c r="D4268" s="27" t="s">
        <v>5104</v>
      </c>
      <c r="E4268" s="29">
        <v>40908</v>
      </c>
      <c r="F4268" s="27">
        <v>15</v>
      </c>
      <c r="G4268" s="18">
        <v>199230.03</v>
      </c>
      <c r="H4268" s="27">
        <f t="shared" si="132"/>
        <v>0</v>
      </c>
      <c r="I4268" s="18">
        <v>110804.04</v>
      </c>
      <c r="J4268" s="27">
        <v>199230.03</v>
      </c>
      <c r="K4268" s="18">
        <f t="shared" si="133"/>
        <v>0</v>
      </c>
      <c r="L4268" s="27">
        <v>120612.1</v>
      </c>
      <c r="M4268" s="36">
        <v>9808.06</v>
      </c>
      <c r="T4268" s="41">
        <v>0</v>
      </c>
      <c r="U4268" s="41">
        <v>0</v>
      </c>
      <c r="V4268" s="42" t="s">
        <v>113</v>
      </c>
      <c r="W4268" s="42">
        <v>0</v>
      </c>
      <c r="X4268" s="42">
        <v>0</v>
      </c>
    </row>
    <row r="4269" spans="1:24">
      <c r="A4269" s="27" t="s">
        <v>7839</v>
      </c>
      <c r="B4269" s="28" t="s">
        <v>5102</v>
      </c>
      <c r="C4269" s="27" t="s">
        <v>7840</v>
      </c>
      <c r="D4269" s="27" t="s">
        <v>5104</v>
      </c>
      <c r="E4269" s="29">
        <v>40908</v>
      </c>
      <c r="F4269" s="27">
        <v>15</v>
      </c>
      <c r="G4269" s="18">
        <v>139171.70000000001</v>
      </c>
      <c r="H4269" s="27">
        <f t="shared" si="132"/>
        <v>0</v>
      </c>
      <c r="I4269" s="18">
        <v>74902</v>
      </c>
      <c r="J4269" s="27">
        <v>139171.70000000001</v>
      </c>
      <c r="K4269" s="18">
        <f t="shared" si="133"/>
        <v>0</v>
      </c>
      <c r="L4269" s="27">
        <v>82065.89</v>
      </c>
      <c r="M4269" s="36">
        <v>7163.89</v>
      </c>
      <c r="T4269" s="41">
        <v>0</v>
      </c>
      <c r="U4269" s="41">
        <v>0</v>
      </c>
      <c r="V4269" s="42" t="s">
        <v>113</v>
      </c>
      <c r="W4269" s="42">
        <v>0</v>
      </c>
      <c r="X4269" s="42">
        <v>0</v>
      </c>
    </row>
    <row r="4270" spans="1:24">
      <c r="A4270" s="27" t="s">
        <v>7841</v>
      </c>
      <c r="B4270" s="28" t="s">
        <v>5102</v>
      </c>
      <c r="C4270" s="27" t="s">
        <v>7842</v>
      </c>
      <c r="D4270" s="27" t="s">
        <v>5104</v>
      </c>
      <c r="E4270" s="29">
        <v>40908</v>
      </c>
      <c r="F4270" s="27">
        <v>15</v>
      </c>
      <c r="G4270" s="18">
        <v>44835.71</v>
      </c>
      <c r="H4270" s="27">
        <f t="shared" si="132"/>
        <v>0</v>
      </c>
      <c r="I4270" s="18">
        <v>24130.52</v>
      </c>
      <c r="J4270" s="27">
        <v>44835.71</v>
      </c>
      <c r="K4270" s="18">
        <f t="shared" si="133"/>
        <v>0</v>
      </c>
      <c r="L4270" s="27">
        <v>26438.45</v>
      </c>
      <c r="M4270" s="36">
        <v>2307.9299999999998</v>
      </c>
      <c r="T4270" s="41">
        <v>0</v>
      </c>
      <c r="U4270" s="41">
        <v>0</v>
      </c>
      <c r="V4270" s="42" t="s">
        <v>113</v>
      </c>
      <c r="W4270" s="42">
        <v>0</v>
      </c>
      <c r="X4270" s="42">
        <v>0</v>
      </c>
    </row>
    <row r="4271" spans="1:24">
      <c r="A4271" s="27" t="s">
        <v>7843</v>
      </c>
      <c r="B4271" s="28" t="s">
        <v>5102</v>
      </c>
      <c r="C4271" s="27" t="s">
        <v>7844</v>
      </c>
      <c r="D4271" s="27" t="s">
        <v>5104</v>
      </c>
      <c r="E4271" s="29">
        <v>40908</v>
      </c>
      <c r="F4271" s="27">
        <v>15</v>
      </c>
      <c r="G4271" s="18">
        <v>33069.81</v>
      </c>
      <c r="H4271" s="27">
        <f t="shared" si="132"/>
        <v>0</v>
      </c>
      <c r="I4271" s="18">
        <v>17798.12</v>
      </c>
      <c r="J4271" s="27">
        <v>33069.81</v>
      </c>
      <c r="K4271" s="18">
        <f t="shared" si="133"/>
        <v>0</v>
      </c>
      <c r="L4271" s="27">
        <v>19500.400000000001</v>
      </c>
      <c r="M4271" s="36">
        <v>1702.28</v>
      </c>
      <c r="T4271" s="41">
        <v>0</v>
      </c>
      <c r="U4271" s="41">
        <v>0</v>
      </c>
      <c r="V4271" s="42" t="s">
        <v>113</v>
      </c>
      <c r="W4271" s="42">
        <v>0</v>
      </c>
      <c r="X4271" s="42">
        <v>0</v>
      </c>
    </row>
    <row r="4272" spans="1:24">
      <c r="A4272" s="27" t="s">
        <v>7845</v>
      </c>
      <c r="B4272" s="28" t="s">
        <v>5102</v>
      </c>
      <c r="C4272" s="27" t="s">
        <v>7846</v>
      </c>
      <c r="D4272" s="27" t="s">
        <v>5104</v>
      </c>
      <c r="E4272" s="29">
        <v>40908</v>
      </c>
      <c r="F4272" s="27">
        <v>15</v>
      </c>
      <c r="G4272" s="18">
        <v>40658.47</v>
      </c>
      <c r="H4272" s="27">
        <f t="shared" si="132"/>
        <v>0</v>
      </c>
      <c r="I4272" s="18">
        <v>21882.32</v>
      </c>
      <c r="J4272" s="27">
        <v>40658.47</v>
      </c>
      <c r="K4272" s="18">
        <f t="shared" si="133"/>
        <v>0</v>
      </c>
      <c r="L4272" s="27">
        <v>23975.22</v>
      </c>
      <c r="M4272" s="36">
        <v>2092.9</v>
      </c>
      <c r="T4272" s="41">
        <v>0</v>
      </c>
      <c r="U4272" s="41">
        <v>0</v>
      </c>
      <c r="V4272" s="42" t="s">
        <v>113</v>
      </c>
      <c r="W4272" s="42">
        <v>0</v>
      </c>
      <c r="X4272" s="42">
        <v>0</v>
      </c>
    </row>
    <row r="4273" spans="1:24">
      <c r="A4273" s="27" t="s">
        <v>7847</v>
      </c>
      <c r="B4273" s="28" t="s">
        <v>5102</v>
      </c>
      <c r="C4273" s="27" t="s">
        <v>7848</v>
      </c>
      <c r="D4273" s="27" t="s">
        <v>5104</v>
      </c>
      <c r="E4273" s="29">
        <v>40908</v>
      </c>
      <c r="F4273" s="27">
        <v>15</v>
      </c>
      <c r="G4273" s="18">
        <v>102620.85</v>
      </c>
      <c r="H4273" s="27">
        <f t="shared" si="132"/>
        <v>0</v>
      </c>
      <c r="I4273" s="18">
        <v>55230.400000000001</v>
      </c>
      <c r="J4273" s="27">
        <v>102620.85</v>
      </c>
      <c r="K4273" s="18">
        <f t="shared" si="133"/>
        <v>0</v>
      </c>
      <c r="L4273" s="27">
        <v>60512.83</v>
      </c>
      <c r="M4273" s="36">
        <v>5282.43</v>
      </c>
      <c r="T4273" s="41">
        <v>0</v>
      </c>
      <c r="U4273" s="41">
        <v>0</v>
      </c>
      <c r="V4273" s="42" t="s">
        <v>113</v>
      </c>
      <c r="W4273" s="42">
        <v>0</v>
      </c>
      <c r="X4273" s="42">
        <v>0</v>
      </c>
    </row>
    <row r="4274" spans="1:24">
      <c r="A4274" s="27" t="s">
        <v>7849</v>
      </c>
      <c r="B4274" s="28" t="s">
        <v>5102</v>
      </c>
      <c r="C4274" s="27" t="s">
        <v>7850</v>
      </c>
      <c r="D4274" s="27" t="s">
        <v>5104</v>
      </c>
      <c r="E4274" s="29">
        <v>40908</v>
      </c>
      <c r="F4274" s="27">
        <v>15</v>
      </c>
      <c r="G4274" s="18">
        <v>17962.13</v>
      </c>
      <c r="H4274" s="27">
        <f t="shared" si="132"/>
        <v>0</v>
      </c>
      <c r="I4274" s="18">
        <v>9667.19</v>
      </c>
      <c r="J4274" s="27">
        <v>17962.13</v>
      </c>
      <c r="K4274" s="18">
        <f t="shared" si="133"/>
        <v>0</v>
      </c>
      <c r="L4274" s="27">
        <v>10591.79</v>
      </c>
      <c r="M4274" s="36">
        <v>924.6</v>
      </c>
      <c r="T4274" s="41">
        <v>0</v>
      </c>
      <c r="U4274" s="41">
        <v>0</v>
      </c>
      <c r="V4274" s="42" t="s">
        <v>113</v>
      </c>
      <c r="W4274" s="42">
        <v>0</v>
      </c>
      <c r="X4274" s="42">
        <v>0</v>
      </c>
    </row>
    <row r="4275" spans="1:24">
      <c r="A4275" s="27" t="s">
        <v>7851</v>
      </c>
      <c r="B4275" s="28" t="s">
        <v>5102</v>
      </c>
      <c r="C4275" s="27" t="s">
        <v>7852</v>
      </c>
      <c r="D4275" s="27" t="s">
        <v>5104</v>
      </c>
      <c r="E4275" s="29">
        <v>40908</v>
      </c>
      <c r="F4275" s="27">
        <v>15</v>
      </c>
      <c r="G4275" s="18">
        <v>152504.06</v>
      </c>
      <c r="H4275" s="27">
        <f t="shared" si="132"/>
        <v>0</v>
      </c>
      <c r="I4275" s="18">
        <v>82077.47</v>
      </c>
      <c r="J4275" s="27">
        <v>152504.06</v>
      </c>
      <c r="K4275" s="18">
        <f t="shared" si="133"/>
        <v>0</v>
      </c>
      <c r="L4275" s="27">
        <v>89927.64</v>
      </c>
      <c r="M4275" s="36">
        <v>7850.17</v>
      </c>
      <c r="T4275" s="41">
        <v>0</v>
      </c>
      <c r="U4275" s="41">
        <v>0</v>
      </c>
      <c r="V4275" s="42" t="s">
        <v>113</v>
      </c>
      <c r="W4275" s="42">
        <v>0</v>
      </c>
      <c r="X4275" s="42">
        <v>0</v>
      </c>
    </row>
    <row r="4276" spans="1:24">
      <c r="A4276" s="27" t="s">
        <v>7853</v>
      </c>
      <c r="B4276" s="28" t="s">
        <v>5102</v>
      </c>
      <c r="C4276" s="27" t="s">
        <v>7854</v>
      </c>
      <c r="D4276" s="27" t="s">
        <v>5104</v>
      </c>
      <c r="E4276" s="29">
        <v>40908</v>
      </c>
      <c r="F4276" s="27">
        <v>15</v>
      </c>
      <c r="G4276" s="18">
        <v>109513.31</v>
      </c>
      <c r="H4276" s="27">
        <f t="shared" si="132"/>
        <v>0</v>
      </c>
      <c r="I4276" s="18">
        <v>58939.91</v>
      </c>
      <c r="J4276" s="27">
        <v>109513.31</v>
      </c>
      <c r="K4276" s="18">
        <f t="shared" si="133"/>
        <v>0</v>
      </c>
      <c r="L4276" s="27">
        <v>64577.13</v>
      </c>
      <c r="M4276" s="36">
        <v>5637.22</v>
      </c>
      <c r="T4276" s="41">
        <v>0</v>
      </c>
      <c r="U4276" s="41">
        <v>0</v>
      </c>
      <c r="V4276" s="42" t="s">
        <v>113</v>
      </c>
      <c r="W4276" s="42">
        <v>0</v>
      </c>
      <c r="X4276" s="42">
        <v>0</v>
      </c>
    </row>
    <row r="4277" spans="1:24">
      <c r="A4277" s="27" t="s">
        <v>7855</v>
      </c>
      <c r="B4277" s="28" t="s">
        <v>5102</v>
      </c>
      <c r="C4277" s="27" t="s">
        <v>7856</v>
      </c>
      <c r="D4277" s="27" t="s">
        <v>5104</v>
      </c>
      <c r="E4277" s="29">
        <v>40908</v>
      </c>
      <c r="F4277" s="27">
        <v>15</v>
      </c>
      <c r="G4277" s="18">
        <v>92665.11</v>
      </c>
      <c r="H4277" s="27">
        <f t="shared" si="132"/>
        <v>0</v>
      </c>
      <c r="I4277" s="18">
        <v>49872.23</v>
      </c>
      <c r="J4277" s="27">
        <v>92665.11</v>
      </c>
      <c r="K4277" s="18">
        <f t="shared" si="133"/>
        <v>0</v>
      </c>
      <c r="L4277" s="27">
        <v>54642.18</v>
      </c>
      <c r="M4277" s="36">
        <v>4769.95</v>
      </c>
      <c r="T4277" s="41">
        <v>0</v>
      </c>
      <c r="U4277" s="41">
        <v>0</v>
      </c>
      <c r="V4277" s="42" t="s">
        <v>113</v>
      </c>
      <c r="W4277" s="42">
        <v>0</v>
      </c>
      <c r="X4277" s="42">
        <v>0</v>
      </c>
    </row>
    <row r="4278" spans="1:24">
      <c r="A4278" s="27" t="s">
        <v>7857</v>
      </c>
      <c r="B4278" s="28" t="s">
        <v>5102</v>
      </c>
      <c r="C4278" s="27" t="s">
        <v>7858</v>
      </c>
      <c r="D4278" s="27" t="s">
        <v>5104</v>
      </c>
      <c r="E4278" s="29">
        <v>40908</v>
      </c>
      <c r="F4278" s="27">
        <v>15</v>
      </c>
      <c r="G4278" s="18">
        <v>148779.35</v>
      </c>
      <c r="H4278" s="27">
        <f t="shared" si="132"/>
        <v>0</v>
      </c>
      <c r="I4278" s="18">
        <v>83707.98</v>
      </c>
      <c r="J4278" s="27">
        <v>148779.35</v>
      </c>
      <c r="K4278" s="18">
        <f t="shared" si="133"/>
        <v>0</v>
      </c>
      <c r="L4278" s="27">
        <v>90912.03</v>
      </c>
      <c r="M4278" s="36">
        <v>7204.05</v>
      </c>
      <c r="T4278" s="41">
        <v>0</v>
      </c>
      <c r="U4278" s="41">
        <v>0</v>
      </c>
      <c r="V4278" s="42" t="s">
        <v>113</v>
      </c>
      <c r="W4278" s="42">
        <v>0</v>
      </c>
      <c r="X4278" s="42">
        <v>0</v>
      </c>
    </row>
    <row r="4279" spans="1:24">
      <c r="A4279" s="27" t="s">
        <v>7859</v>
      </c>
      <c r="B4279" s="28" t="s">
        <v>5102</v>
      </c>
      <c r="C4279" s="27" t="s">
        <v>7860</v>
      </c>
      <c r="D4279" s="27" t="s">
        <v>230</v>
      </c>
      <c r="E4279" s="29">
        <v>40908</v>
      </c>
      <c r="F4279" s="27">
        <v>15</v>
      </c>
      <c r="G4279" s="18">
        <v>941258.21</v>
      </c>
      <c r="H4279" s="27">
        <f t="shared" si="132"/>
        <v>0</v>
      </c>
      <c r="I4279" s="18">
        <v>471639.69</v>
      </c>
      <c r="J4279" s="27">
        <v>941258.21</v>
      </c>
      <c r="K4279" s="18">
        <f t="shared" si="133"/>
        <v>0</v>
      </c>
      <c r="L4279" s="27">
        <v>524459.14</v>
      </c>
      <c r="M4279" s="36">
        <v>52819.45</v>
      </c>
      <c r="T4279" s="41">
        <v>0</v>
      </c>
      <c r="U4279" s="41">
        <v>0</v>
      </c>
      <c r="V4279" s="42" t="s">
        <v>113</v>
      </c>
      <c r="W4279" s="42">
        <v>0</v>
      </c>
      <c r="X4279" s="42">
        <v>0</v>
      </c>
    </row>
    <row r="4280" spans="1:24">
      <c r="A4280" s="27" t="s">
        <v>7861</v>
      </c>
      <c r="B4280" s="28" t="s">
        <v>5102</v>
      </c>
      <c r="C4280" s="27" t="s">
        <v>7862</v>
      </c>
      <c r="D4280" s="27" t="s">
        <v>230</v>
      </c>
      <c r="E4280" s="29">
        <v>40908</v>
      </c>
      <c r="F4280" s="27">
        <v>15</v>
      </c>
      <c r="G4280" s="18">
        <v>683687.07</v>
      </c>
      <c r="H4280" s="27">
        <f t="shared" si="132"/>
        <v>0</v>
      </c>
      <c r="I4280" s="18">
        <v>369243.7</v>
      </c>
      <c r="J4280" s="27">
        <v>683687.07</v>
      </c>
      <c r="K4280" s="18">
        <f t="shared" si="133"/>
        <v>0</v>
      </c>
      <c r="L4280" s="27">
        <v>404276.08</v>
      </c>
      <c r="M4280" s="36">
        <v>35032.379999999997</v>
      </c>
      <c r="T4280" s="41">
        <v>0</v>
      </c>
      <c r="U4280" s="41">
        <v>0</v>
      </c>
      <c r="V4280" s="42" t="s">
        <v>113</v>
      </c>
      <c r="W4280" s="42">
        <v>0</v>
      </c>
      <c r="X4280" s="42">
        <v>0</v>
      </c>
    </row>
    <row r="4281" spans="1:24">
      <c r="A4281" s="27" t="s">
        <v>7863</v>
      </c>
      <c r="B4281" s="28" t="s">
        <v>5102</v>
      </c>
      <c r="C4281" s="27" t="s">
        <v>7864</v>
      </c>
      <c r="D4281" s="27" t="s">
        <v>5104</v>
      </c>
      <c r="E4281" s="29">
        <v>40908</v>
      </c>
      <c r="F4281" s="27">
        <v>15</v>
      </c>
      <c r="G4281" s="18">
        <v>150900.87</v>
      </c>
      <c r="H4281" s="27">
        <f t="shared" si="132"/>
        <v>0</v>
      </c>
      <c r="I4281" s="18">
        <v>81595.600000000006</v>
      </c>
      <c r="J4281" s="27">
        <v>150900.87</v>
      </c>
      <c r="K4281" s="18">
        <f t="shared" si="133"/>
        <v>0</v>
      </c>
      <c r="L4281" s="27">
        <v>89315.63</v>
      </c>
      <c r="M4281" s="36">
        <v>7720.03</v>
      </c>
      <c r="T4281" s="41">
        <v>0</v>
      </c>
      <c r="U4281" s="41">
        <v>0</v>
      </c>
      <c r="V4281" s="42" t="s">
        <v>113</v>
      </c>
      <c r="W4281" s="42">
        <v>0</v>
      </c>
      <c r="X4281" s="42">
        <v>0</v>
      </c>
    </row>
    <row r="4282" spans="1:24">
      <c r="A4282" s="27" t="s">
        <v>7865</v>
      </c>
      <c r="B4282" s="28" t="s">
        <v>5102</v>
      </c>
      <c r="C4282" s="27" t="s">
        <v>7866</v>
      </c>
      <c r="D4282" s="27" t="s">
        <v>5104</v>
      </c>
      <c r="E4282" s="29">
        <v>40908</v>
      </c>
      <c r="F4282" s="27">
        <v>15</v>
      </c>
      <c r="G4282" s="18">
        <v>192644.66</v>
      </c>
      <c r="H4282" s="27">
        <f t="shared" si="132"/>
        <v>0</v>
      </c>
      <c r="I4282" s="18">
        <v>104167.44</v>
      </c>
      <c r="J4282" s="27">
        <v>192644.66</v>
      </c>
      <c r="K4282" s="18">
        <f t="shared" si="133"/>
        <v>0</v>
      </c>
      <c r="L4282" s="27">
        <v>114023.06</v>
      </c>
      <c r="M4282" s="36">
        <v>9855.6200000000008</v>
      </c>
      <c r="T4282" s="41">
        <v>0</v>
      </c>
      <c r="U4282" s="41">
        <v>0</v>
      </c>
      <c r="V4282" s="42" t="s">
        <v>113</v>
      </c>
      <c r="W4282" s="42">
        <v>0</v>
      </c>
      <c r="X4282" s="42">
        <v>0</v>
      </c>
    </row>
    <row r="4283" spans="1:24">
      <c r="A4283" s="27" t="s">
        <v>7867</v>
      </c>
      <c r="B4283" s="28" t="s">
        <v>5102</v>
      </c>
      <c r="C4283" s="27" t="s">
        <v>7868</v>
      </c>
      <c r="D4283" s="27" t="s">
        <v>5104</v>
      </c>
      <c r="E4283" s="29">
        <v>40908</v>
      </c>
      <c r="F4283" s="27">
        <v>15</v>
      </c>
      <c r="G4283" s="18">
        <v>150695.84</v>
      </c>
      <c r="H4283" s="27">
        <f t="shared" si="132"/>
        <v>0</v>
      </c>
      <c r="I4283" s="18">
        <v>81484.75</v>
      </c>
      <c r="J4283" s="27">
        <v>150695.84</v>
      </c>
      <c r="K4283" s="18">
        <f t="shared" si="133"/>
        <v>0</v>
      </c>
      <c r="L4283" s="27">
        <v>89194.29</v>
      </c>
      <c r="M4283" s="36">
        <v>7709.54</v>
      </c>
      <c r="T4283" s="41">
        <v>0</v>
      </c>
      <c r="U4283" s="41">
        <v>0</v>
      </c>
      <c r="V4283" s="42" t="s">
        <v>113</v>
      </c>
      <c r="W4283" s="42">
        <v>0</v>
      </c>
      <c r="X4283" s="42">
        <v>0</v>
      </c>
    </row>
    <row r="4284" spans="1:24">
      <c r="A4284" s="27" t="s">
        <v>7869</v>
      </c>
      <c r="B4284" s="28" t="s">
        <v>5102</v>
      </c>
      <c r="C4284" s="27" t="s">
        <v>7870</v>
      </c>
      <c r="D4284" s="27" t="s">
        <v>5104</v>
      </c>
      <c r="E4284" s="29">
        <v>40908</v>
      </c>
      <c r="F4284" s="27">
        <v>15</v>
      </c>
      <c r="G4284" s="18">
        <v>112109.51</v>
      </c>
      <c r="H4284" s="27">
        <f t="shared" si="132"/>
        <v>0</v>
      </c>
      <c r="I4284" s="18">
        <v>60620.22</v>
      </c>
      <c r="J4284" s="27">
        <v>112109.51</v>
      </c>
      <c r="K4284" s="18">
        <f t="shared" si="133"/>
        <v>0</v>
      </c>
      <c r="L4284" s="27">
        <v>66355.7</v>
      </c>
      <c r="M4284" s="36">
        <v>5735.48</v>
      </c>
      <c r="T4284" s="41">
        <v>0</v>
      </c>
      <c r="U4284" s="41">
        <v>0</v>
      </c>
      <c r="V4284" s="42" t="s">
        <v>113</v>
      </c>
      <c r="W4284" s="42">
        <v>0</v>
      </c>
      <c r="X4284" s="42">
        <v>0</v>
      </c>
    </row>
    <row r="4285" spans="1:24">
      <c r="A4285" s="27" t="s">
        <v>7871</v>
      </c>
      <c r="B4285" s="28" t="s">
        <v>5102</v>
      </c>
      <c r="C4285" s="27" t="s">
        <v>7872</v>
      </c>
      <c r="D4285" s="27" t="s">
        <v>5104</v>
      </c>
      <c r="E4285" s="29">
        <v>40908</v>
      </c>
      <c r="F4285" s="27">
        <v>15</v>
      </c>
      <c r="G4285" s="18">
        <v>64091.87</v>
      </c>
      <c r="H4285" s="27">
        <f t="shared" si="132"/>
        <v>0</v>
      </c>
      <c r="I4285" s="18">
        <v>34655.949999999997</v>
      </c>
      <c r="J4285" s="27">
        <v>64091.87</v>
      </c>
      <c r="K4285" s="18">
        <f t="shared" si="133"/>
        <v>0</v>
      </c>
      <c r="L4285" s="27">
        <v>37934.870000000003</v>
      </c>
      <c r="M4285" s="36">
        <v>3278.92</v>
      </c>
      <c r="T4285" s="41">
        <v>0</v>
      </c>
      <c r="U4285" s="41">
        <v>0</v>
      </c>
      <c r="V4285" s="42" t="s">
        <v>113</v>
      </c>
      <c r="W4285" s="42">
        <v>0</v>
      </c>
      <c r="X4285" s="42">
        <v>0</v>
      </c>
    </row>
    <row r="4286" spans="1:24">
      <c r="A4286" s="27" t="s">
        <v>7873</v>
      </c>
      <c r="B4286" s="28" t="s">
        <v>5102</v>
      </c>
      <c r="C4286" s="27" t="s">
        <v>7874</v>
      </c>
      <c r="D4286" s="27" t="s">
        <v>5104</v>
      </c>
      <c r="E4286" s="29">
        <v>40908</v>
      </c>
      <c r="F4286" s="27">
        <v>15</v>
      </c>
      <c r="G4286" s="18">
        <v>63968.85</v>
      </c>
      <c r="H4286" s="27">
        <f t="shared" si="132"/>
        <v>0</v>
      </c>
      <c r="I4286" s="18">
        <v>34589.43</v>
      </c>
      <c r="J4286" s="27">
        <v>63968.85</v>
      </c>
      <c r="K4286" s="18">
        <f t="shared" si="133"/>
        <v>0</v>
      </c>
      <c r="L4286" s="27">
        <v>37862.050000000003</v>
      </c>
      <c r="M4286" s="36">
        <v>3272.62</v>
      </c>
      <c r="T4286" s="41">
        <v>0</v>
      </c>
      <c r="U4286" s="41">
        <v>0</v>
      </c>
      <c r="V4286" s="42" t="s">
        <v>113</v>
      </c>
      <c r="W4286" s="42">
        <v>0</v>
      </c>
      <c r="X4286" s="42">
        <v>0</v>
      </c>
    </row>
    <row r="4287" spans="1:24">
      <c r="A4287" s="27" t="s">
        <v>7875</v>
      </c>
      <c r="B4287" s="28" t="s">
        <v>5102</v>
      </c>
      <c r="C4287" s="27" t="s">
        <v>7876</v>
      </c>
      <c r="D4287" s="27" t="s">
        <v>5104</v>
      </c>
      <c r="E4287" s="29">
        <v>40908</v>
      </c>
      <c r="F4287" s="27">
        <v>15</v>
      </c>
      <c r="G4287" s="18">
        <v>27801.84</v>
      </c>
      <c r="H4287" s="27">
        <f t="shared" si="132"/>
        <v>0</v>
      </c>
      <c r="I4287" s="18">
        <v>15033.11</v>
      </c>
      <c r="J4287" s="27">
        <v>27801.84</v>
      </c>
      <c r="K4287" s="18">
        <f t="shared" si="133"/>
        <v>0</v>
      </c>
      <c r="L4287" s="27">
        <v>16455.439999999999</v>
      </c>
      <c r="M4287" s="36">
        <v>1422.33</v>
      </c>
      <c r="T4287" s="41">
        <v>0</v>
      </c>
      <c r="U4287" s="41">
        <v>0</v>
      </c>
      <c r="V4287" s="42" t="s">
        <v>113</v>
      </c>
      <c r="W4287" s="42">
        <v>0</v>
      </c>
      <c r="X4287" s="42">
        <v>0</v>
      </c>
    </row>
    <row r="4288" spans="1:24">
      <c r="A4288" s="27" t="s">
        <v>7877</v>
      </c>
      <c r="B4288" s="28" t="s">
        <v>5102</v>
      </c>
      <c r="C4288" s="27" t="s">
        <v>7878</v>
      </c>
      <c r="D4288" s="27" t="s">
        <v>5104</v>
      </c>
      <c r="E4288" s="29">
        <v>40908</v>
      </c>
      <c r="F4288" s="27">
        <v>15</v>
      </c>
      <c r="G4288" s="18">
        <v>44204.11</v>
      </c>
      <c r="H4288" s="27">
        <f t="shared" si="132"/>
        <v>0</v>
      </c>
      <c r="I4288" s="18">
        <v>23902.19</v>
      </c>
      <c r="J4288" s="27">
        <v>44204.11</v>
      </c>
      <c r="K4288" s="18">
        <f t="shared" si="133"/>
        <v>0</v>
      </c>
      <c r="L4288" s="27">
        <v>26163.65</v>
      </c>
      <c r="M4288" s="36">
        <v>2261.46</v>
      </c>
      <c r="T4288" s="41">
        <v>0</v>
      </c>
      <c r="U4288" s="41">
        <v>0</v>
      </c>
      <c r="V4288" s="42" t="s">
        <v>113</v>
      </c>
      <c r="W4288" s="42">
        <v>0</v>
      </c>
      <c r="X4288" s="42">
        <v>0</v>
      </c>
    </row>
    <row r="4289" spans="1:24">
      <c r="A4289" s="27" t="s">
        <v>7879</v>
      </c>
      <c r="B4289" s="28" t="s">
        <v>5102</v>
      </c>
      <c r="C4289" s="27" t="s">
        <v>7880</v>
      </c>
      <c r="D4289" s="27" t="s">
        <v>5104</v>
      </c>
      <c r="E4289" s="29">
        <v>40908</v>
      </c>
      <c r="F4289" s="27">
        <v>15</v>
      </c>
      <c r="G4289" s="18">
        <v>64706.95</v>
      </c>
      <c r="H4289" s="27">
        <f t="shared" si="132"/>
        <v>0</v>
      </c>
      <c r="I4289" s="18">
        <v>34988.54</v>
      </c>
      <c r="J4289" s="27">
        <v>64706.95</v>
      </c>
      <c r="K4289" s="18">
        <f t="shared" si="133"/>
        <v>0</v>
      </c>
      <c r="L4289" s="27">
        <v>38298.92</v>
      </c>
      <c r="M4289" s="36">
        <v>3310.38</v>
      </c>
      <c r="T4289" s="41">
        <v>0</v>
      </c>
      <c r="U4289" s="41">
        <v>0</v>
      </c>
      <c r="V4289" s="42" t="s">
        <v>113</v>
      </c>
      <c r="W4289" s="42">
        <v>0</v>
      </c>
      <c r="X4289" s="42">
        <v>0</v>
      </c>
    </row>
    <row r="4290" spans="1:24">
      <c r="A4290" s="27" t="s">
        <v>7881</v>
      </c>
      <c r="B4290" s="28" t="s">
        <v>5102</v>
      </c>
      <c r="C4290" s="27" t="s">
        <v>7882</v>
      </c>
      <c r="D4290" s="27" t="s">
        <v>5104</v>
      </c>
      <c r="E4290" s="29">
        <v>40908</v>
      </c>
      <c r="F4290" s="27">
        <v>15</v>
      </c>
      <c r="G4290" s="18">
        <v>69094.570000000007</v>
      </c>
      <c r="H4290" s="27">
        <f t="shared" si="132"/>
        <v>0</v>
      </c>
      <c r="I4290" s="18">
        <v>37361.040000000001</v>
      </c>
      <c r="J4290" s="27">
        <v>69094.570000000007</v>
      </c>
      <c r="K4290" s="18">
        <f t="shared" si="133"/>
        <v>0</v>
      </c>
      <c r="L4290" s="27">
        <v>40895.89</v>
      </c>
      <c r="M4290" s="36">
        <v>3534.85</v>
      </c>
      <c r="T4290" s="41">
        <v>0</v>
      </c>
      <c r="U4290" s="41">
        <v>0</v>
      </c>
      <c r="V4290" s="42" t="s">
        <v>113</v>
      </c>
      <c r="W4290" s="42">
        <v>0</v>
      </c>
      <c r="X4290" s="42">
        <v>0</v>
      </c>
    </row>
    <row r="4291" spans="1:24">
      <c r="A4291" s="27" t="s">
        <v>7883</v>
      </c>
      <c r="B4291" s="28" t="s">
        <v>5102</v>
      </c>
      <c r="C4291" s="27" t="s">
        <v>7884</v>
      </c>
      <c r="D4291" s="27" t="s">
        <v>5104</v>
      </c>
      <c r="E4291" s="29">
        <v>40908</v>
      </c>
      <c r="F4291" s="27">
        <v>15</v>
      </c>
      <c r="G4291" s="18">
        <v>13326.85</v>
      </c>
      <c r="H4291" s="27">
        <f t="shared" si="132"/>
        <v>0</v>
      </c>
      <c r="I4291" s="18">
        <v>7206.14</v>
      </c>
      <c r="J4291" s="27">
        <v>13326.85</v>
      </c>
      <c r="K4291" s="18">
        <f t="shared" si="133"/>
        <v>0</v>
      </c>
      <c r="L4291" s="27">
        <v>7887.94</v>
      </c>
      <c r="M4291" s="36">
        <v>681.8</v>
      </c>
      <c r="T4291" s="41">
        <v>0</v>
      </c>
      <c r="U4291" s="41">
        <v>0</v>
      </c>
      <c r="V4291" s="42" t="s">
        <v>113</v>
      </c>
      <c r="W4291" s="42">
        <v>0</v>
      </c>
      <c r="X4291" s="42">
        <v>0</v>
      </c>
    </row>
    <row r="4292" spans="1:24">
      <c r="A4292" s="27" t="s">
        <v>7885</v>
      </c>
      <c r="B4292" s="28" t="s">
        <v>5102</v>
      </c>
      <c r="C4292" s="27" t="s">
        <v>7886</v>
      </c>
      <c r="D4292" s="27" t="s">
        <v>5104</v>
      </c>
      <c r="E4292" s="29">
        <v>40908</v>
      </c>
      <c r="F4292" s="27">
        <v>15</v>
      </c>
      <c r="G4292" s="18">
        <v>224465.07</v>
      </c>
      <c r="H4292" s="27">
        <f t="shared" si="132"/>
        <v>0</v>
      </c>
      <c r="I4292" s="18">
        <v>125904.19</v>
      </c>
      <c r="J4292" s="27">
        <v>224465.07</v>
      </c>
      <c r="K4292" s="18">
        <f t="shared" si="133"/>
        <v>0</v>
      </c>
      <c r="L4292" s="27">
        <v>136821.39000000001</v>
      </c>
      <c r="M4292" s="36">
        <v>10917.2</v>
      </c>
      <c r="T4292" s="41">
        <v>0</v>
      </c>
      <c r="U4292" s="41">
        <v>0</v>
      </c>
      <c r="V4292" s="42" t="s">
        <v>113</v>
      </c>
      <c r="W4292" s="42">
        <v>0</v>
      </c>
      <c r="X4292" s="42">
        <v>0</v>
      </c>
    </row>
    <row r="4293" spans="1:24">
      <c r="A4293" s="27" t="s">
        <v>7887</v>
      </c>
      <c r="B4293" s="28" t="s">
        <v>5102</v>
      </c>
      <c r="C4293" s="27" t="s">
        <v>7888</v>
      </c>
      <c r="D4293" s="27" t="s">
        <v>5104</v>
      </c>
      <c r="E4293" s="29">
        <v>40908</v>
      </c>
      <c r="F4293" s="27">
        <v>15</v>
      </c>
      <c r="G4293" s="18">
        <v>125863.75</v>
      </c>
      <c r="H4293" s="27">
        <f t="shared" si="132"/>
        <v>0</v>
      </c>
      <c r="I4293" s="18">
        <v>68116.960000000006</v>
      </c>
      <c r="J4293" s="27">
        <v>125863.75</v>
      </c>
      <c r="K4293" s="18">
        <f t="shared" si="133"/>
        <v>0</v>
      </c>
      <c r="L4293" s="27">
        <v>74548.66</v>
      </c>
      <c r="M4293" s="36">
        <v>6431.7</v>
      </c>
      <c r="T4293" s="41">
        <v>0</v>
      </c>
      <c r="U4293" s="41">
        <v>0</v>
      </c>
      <c r="V4293" s="42" t="s">
        <v>113</v>
      </c>
      <c r="W4293" s="42">
        <v>0</v>
      </c>
      <c r="X4293" s="42">
        <v>0</v>
      </c>
    </row>
    <row r="4294" spans="1:24">
      <c r="A4294" s="27" t="s">
        <v>7889</v>
      </c>
      <c r="B4294" s="28" t="s">
        <v>5102</v>
      </c>
      <c r="C4294" s="27" t="s">
        <v>7890</v>
      </c>
      <c r="D4294" s="27" t="s">
        <v>5104</v>
      </c>
      <c r="E4294" s="29">
        <v>40908</v>
      </c>
      <c r="F4294" s="27">
        <v>15</v>
      </c>
      <c r="G4294" s="18">
        <v>94492.3</v>
      </c>
      <c r="H4294" s="27">
        <f t="shared" ref="H4294:H4357" si="134">IFERROR(IF(ROUND((G4294-I4294)/G4294,2)&lt;=0.05,G4294,0),0)</f>
        <v>0</v>
      </c>
      <c r="I4294" s="18">
        <v>51138.85</v>
      </c>
      <c r="J4294" s="27">
        <v>94492.3</v>
      </c>
      <c r="K4294" s="18">
        <f t="shared" ref="K4294:K4357" si="135">IFERROR(IF(ROUND((J4294-L4294)/J4294,2)&lt;=0.05,J4294,0),0)</f>
        <v>0</v>
      </c>
      <c r="L4294" s="27">
        <v>55967.45</v>
      </c>
      <c r="M4294" s="36">
        <v>4828.6000000000004</v>
      </c>
      <c r="T4294" s="41">
        <v>0</v>
      </c>
      <c r="U4294" s="41">
        <v>0</v>
      </c>
      <c r="V4294" s="42" t="s">
        <v>113</v>
      </c>
      <c r="W4294" s="42">
        <v>0</v>
      </c>
      <c r="X4294" s="42">
        <v>0</v>
      </c>
    </row>
    <row r="4295" spans="1:24">
      <c r="A4295" s="27" t="s">
        <v>7891</v>
      </c>
      <c r="B4295" s="28" t="s">
        <v>5102</v>
      </c>
      <c r="C4295" s="27" t="s">
        <v>7892</v>
      </c>
      <c r="D4295" s="27" t="s">
        <v>5104</v>
      </c>
      <c r="E4295" s="29">
        <v>40908</v>
      </c>
      <c r="F4295" s="27">
        <v>15</v>
      </c>
      <c r="G4295" s="18">
        <v>70554.25</v>
      </c>
      <c r="H4295" s="27">
        <f t="shared" si="134"/>
        <v>0</v>
      </c>
      <c r="I4295" s="18">
        <v>38183.69</v>
      </c>
      <c r="J4295" s="27">
        <v>70554.25</v>
      </c>
      <c r="K4295" s="18">
        <f t="shared" si="135"/>
        <v>0</v>
      </c>
      <c r="L4295" s="27">
        <v>41789.050000000003</v>
      </c>
      <c r="M4295" s="36">
        <v>3605.36</v>
      </c>
      <c r="T4295" s="41">
        <v>0</v>
      </c>
      <c r="U4295" s="41">
        <v>0</v>
      </c>
      <c r="V4295" s="42" t="s">
        <v>113</v>
      </c>
      <c r="W4295" s="42">
        <v>0</v>
      </c>
      <c r="X4295" s="42">
        <v>0</v>
      </c>
    </row>
    <row r="4296" spans="1:24">
      <c r="A4296" s="27" t="s">
        <v>7893</v>
      </c>
      <c r="B4296" s="28" t="s">
        <v>5102</v>
      </c>
      <c r="C4296" s="27" t="s">
        <v>7894</v>
      </c>
      <c r="D4296" s="27" t="s">
        <v>5104</v>
      </c>
      <c r="E4296" s="29">
        <v>40908</v>
      </c>
      <c r="F4296" s="27">
        <v>15</v>
      </c>
      <c r="G4296" s="18">
        <v>54511.56</v>
      </c>
      <c r="H4296" s="27">
        <f t="shared" si="134"/>
        <v>0</v>
      </c>
      <c r="I4296" s="18">
        <v>29501.45</v>
      </c>
      <c r="J4296" s="27">
        <v>54511.56</v>
      </c>
      <c r="K4296" s="18">
        <f t="shared" si="135"/>
        <v>0</v>
      </c>
      <c r="L4296" s="27">
        <v>32287.02</v>
      </c>
      <c r="M4296" s="36">
        <v>2785.57</v>
      </c>
      <c r="T4296" s="41">
        <v>0</v>
      </c>
      <c r="U4296" s="41">
        <v>0</v>
      </c>
      <c r="V4296" s="42" t="s">
        <v>113</v>
      </c>
      <c r="W4296" s="42">
        <v>0</v>
      </c>
      <c r="X4296" s="42">
        <v>0</v>
      </c>
    </row>
    <row r="4297" spans="1:24">
      <c r="A4297" s="27" t="s">
        <v>7895</v>
      </c>
      <c r="B4297" s="28" t="s">
        <v>5102</v>
      </c>
      <c r="C4297" s="27" t="s">
        <v>7896</v>
      </c>
      <c r="D4297" s="27" t="s">
        <v>5104</v>
      </c>
      <c r="E4297" s="29">
        <v>40908</v>
      </c>
      <c r="F4297" s="27">
        <v>15</v>
      </c>
      <c r="G4297" s="18">
        <v>62238.93</v>
      </c>
      <c r="H4297" s="27">
        <f t="shared" si="134"/>
        <v>0</v>
      </c>
      <c r="I4297" s="18">
        <v>33683.47</v>
      </c>
      <c r="J4297" s="27">
        <v>62238.93</v>
      </c>
      <c r="K4297" s="18">
        <f t="shared" si="135"/>
        <v>0</v>
      </c>
      <c r="L4297" s="27">
        <v>36863.910000000003</v>
      </c>
      <c r="M4297" s="36">
        <v>3180.44</v>
      </c>
      <c r="T4297" s="41">
        <v>0</v>
      </c>
      <c r="U4297" s="41">
        <v>0</v>
      </c>
      <c r="V4297" s="42" t="s">
        <v>113</v>
      </c>
      <c r="W4297" s="42">
        <v>0</v>
      </c>
      <c r="X4297" s="42">
        <v>0</v>
      </c>
    </row>
    <row r="4298" spans="1:24">
      <c r="A4298" s="27" t="s">
        <v>7897</v>
      </c>
      <c r="B4298" s="28" t="s">
        <v>5102</v>
      </c>
      <c r="C4298" s="27" t="s">
        <v>7898</v>
      </c>
      <c r="D4298" s="27" t="s">
        <v>5104</v>
      </c>
      <c r="E4298" s="29">
        <v>40908</v>
      </c>
      <c r="F4298" s="27">
        <v>15</v>
      </c>
      <c r="G4298" s="18">
        <v>184784.95</v>
      </c>
      <c r="H4298" s="27">
        <f t="shared" si="134"/>
        <v>0</v>
      </c>
      <c r="I4298" s="18">
        <v>103858.46</v>
      </c>
      <c r="J4298" s="27">
        <v>184784.95</v>
      </c>
      <c r="K4298" s="18">
        <f t="shared" si="135"/>
        <v>0</v>
      </c>
      <c r="L4298" s="27">
        <v>112819.37</v>
      </c>
      <c r="M4298" s="36">
        <v>8960.91</v>
      </c>
      <c r="T4298" s="41">
        <v>0</v>
      </c>
      <c r="U4298" s="41">
        <v>0</v>
      </c>
      <c r="V4298" s="42" t="s">
        <v>113</v>
      </c>
      <c r="W4298" s="42">
        <v>0</v>
      </c>
      <c r="X4298" s="42">
        <v>0</v>
      </c>
    </row>
    <row r="4299" spans="1:24">
      <c r="A4299" s="27" t="s">
        <v>7899</v>
      </c>
      <c r="B4299" s="28" t="s">
        <v>5102</v>
      </c>
      <c r="C4299" s="27" t="s">
        <v>7900</v>
      </c>
      <c r="D4299" s="27" t="s">
        <v>5104</v>
      </c>
      <c r="E4299" s="29">
        <v>40908</v>
      </c>
      <c r="F4299" s="27">
        <v>15</v>
      </c>
      <c r="G4299" s="18">
        <v>196640.36</v>
      </c>
      <c r="H4299" s="27">
        <f t="shared" si="134"/>
        <v>0</v>
      </c>
      <c r="I4299" s="18">
        <v>106405.67</v>
      </c>
      <c r="J4299" s="27">
        <v>196640.36</v>
      </c>
      <c r="K4299" s="18">
        <f t="shared" si="135"/>
        <v>0</v>
      </c>
      <c r="L4299" s="27">
        <v>116456</v>
      </c>
      <c r="M4299" s="36">
        <v>10050.33</v>
      </c>
      <c r="T4299" s="41">
        <v>0</v>
      </c>
      <c r="U4299" s="41">
        <v>0</v>
      </c>
      <c r="V4299" s="42" t="s">
        <v>113</v>
      </c>
      <c r="W4299" s="42">
        <v>0</v>
      </c>
      <c r="X4299" s="42">
        <v>0</v>
      </c>
    </row>
    <row r="4300" spans="1:24">
      <c r="A4300" s="27" t="s">
        <v>7901</v>
      </c>
      <c r="B4300" s="28" t="s">
        <v>5102</v>
      </c>
      <c r="C4300" s="27" t="s">
        <v>7902</v>
      </c>
      <c r="D4300" s="27" t="s">
        <v>5104</v>
      </c>
      <c r="E4300" s="29">
        <v>40908</v>
      </c>
      <c r="F4300" s="27">
        <v>15</v>
      </c>
      <c r="G4300" s="18">
        <v>66806.240000000005</v>
      </c>
      <c r="H4300" s="27">
        <f t="shared" si="134"/>
        <v>0</v>
      </c>
      <c r="I4300" s="18">
        <v>36150.06</v>
      </c>
      <c r="J4300" s="27">
        <v>66806.240000000005</v>
      </c>
      <c r="K4300" s="18">
        <f t="shared" si="135"/>
        <v>0</v>
      </c>
      <c r="L4300" s="27">
        <v>39564.54</v>
      </c>
      <c r="M4300" s="36">
        <v>3414.48</v>
      </c>
      <c r="T4300" s="41">
        <v>0</v>
      </c>
      <c r="U4300" s="41">
        <v>0</v>
      </c>
      <c r="V4300" s="42" t="s">
        <v>113</v>
      </c>
      <c r="W4300" s="42">
        <v>0</v>
      </c>
      <c r="X4300" s="42">
        <v>0</v>
      </c>
    </row>
    <row r="4301" spans="1:24">
      <c r="A4301" s="27" t="s">
        <v>7903</v>
      </c>
      <c r="B4301" s="28" t="s">
        <v>5102</v>
      </c>
      <c r="C4301" s="27" t="s">
        <v>7904</v>
      </c>
      <c r="D4301" s="27" t="s">
        <v>5104</v>
      </c>
      <c r="E4301" s="29">
        <v>40908</v>
      </c>
      <c r="F4301" s="27">
        <v>15</v>
      </c>
      <c r="G4301" s="18">
        <v>237288.8</v>
      </c>
      <c r="H4301" s="27">
        <f t="shared" si="134"/>
        <v>0</v>
      </c>
      <c r="I4301" s="18">
        <v>131759.75</v>
      </c>
      <c r="J4301" s="27">
        <v>237288.8</v>
      </c>
      <c r="K4301" s="18">
        <f t="shared" si="135"/>
        <v>0</v>
      </c>
      <c r="L4301" s="27">
        <v>143467.82999999999</v>
      </c>
      <c r="M4301" s="36">
        <v>11708.08</v>
      </c>
      <c r="T4301" s="41">
        <v>0</v>
      </c>
      <c r="U4301" s="41">
        <v>0</v>
      </c>
      <c r="V4301" s="42" t="s">
        <v>113</v>
      </c>
      <c r="W4301" s="42">
        <v>0</v>
      </c>
      <c r="X4301" s="42">
        <v>0</v>
      </c>
    </row>
    <row r="4302" spans="1:24">
      <c r="A4302" s="27" t="s">
        <v>7905</v>
      </c>
      <c r="B4302" s="28" t="s">
        <v>5102</v>
      </c>
      <c r="C4302" s="27" t="s">
        <v>7906</v>
      </c>
      <c r="D4302" s="27" t="s">
        <v>5104</v>
      </c>
      <c r="E4302" s="29">
        <v>40908</v>
      </c>
      <c r="F4302" s="27">
        <v>15</v>
      </c>
      <c r="G4302" s="18">
        <v>343075.45</v>
      </c>
      <c r="H4302" s="27">
        <f t="shared" si="134"/>
        <v>0</v>
      </c>
      <c r="I4302" s="18">
        <v>184850.78</v>
      </c>
      <c r="J4302" s="27">
        <v>343075.45</v>
      </c>
      <c r="K4302" s="18">
        <f t="shared" si="135"/>
        <v>0</v>
      </c>
      <c r="L4302" s="27">
        <v>202484.64</v>
      </c>
      <c r="M4302" s="36">
        <v>17633.86</v>
      </c>
      <c r="T4302" s="41">
        <v>0</v>
      </c>
      <c r="U4302" s="41">
        <v>0</v>
      </c>
      <c r="V4302" s="42" t="s">
        <v>113</v>
      </c>
      <c r="W4302" s="42">
        <v>0</v>
      </c>
      <c r="X4302" s="42">
        <v>0</v>
      </c>
    </row>
    <row r="4303" spans="1:24">
      <c r="A4303" s="27" t="s">
        <v>7907</v>
      </c>
      <c r="B4303" s="28" t="s">
        <v>5102</v>
      </c>
      <c r="C4303" s="27" t="s">
        <v>7908</v>
      </c>
      <c r="D4303" s="27" t="s">
        <v>5104</v>
      </c>
      <c r="E4303" s="29">
        <v>41270</v>
      </c>
      <c r="F4303" s="27">
        <v>15</v>
      </c>
      <c r="G4303" s="18">
        <v>209154.01</v>
      </c>
      <c r="H4303" s="27">
        <f t="shared" si="134"/>
        <v>0</v>
      </c>
      <c r="I4303" s="18">
        <v>95448.42</v>
      </c>
      <c r="J4303" s="27">
        <v>209154.01</v>
      </c>
      <c r="K4303" s="18">
        <f t="shared" si="135"/>
        <v>0</v>
      </c>
      <c r="L4303" s="27">
        <v>106920.41</v>
      </c>
      <c r="M4303" s="36">
        <v>11471.99</v>
      </c>
      <c r="T4303" s="41">
        <v>0</v>
      </c>
      <c r="U4303" s="41">
        <v>0</v>
      </c>
      <c r="V4303" s="42" t="s">
        <v>113</v>
      </c>
      <c r="W4303" s="42">
        <v>0</v>
      </c>
      <c r="X4303" s="42">
        <v>0</v>
      </c>
    </row>
    <row r="4304" spans="1:24">
      <c r="A4304" s="27" t="s">
        <v>7909</v>
      </c>
      <c r="B4304" s="28" t="s">
        <v>5102</v>
      </c>
      <c r="C4304" s="27" t="s">
        <v>7910</v>
      </c>
      <c r="D4304" s="27" t="s">
        <v>5104</v>
      </c>
      <c r="E4304" s="29">
        <v>41270</v>
      </c>
      <c r="F4304" s="27">
        <v>15</v>
      </c>
      <c r="G4304" s="18">
        <v>230795.46</v>
      </c>
      <c r="H4304" s="27">
        <f t="shared" si="134"/>
        <v>0</v>
      </c>
      <c r="I4304" s="18">
        <v>105324.6</v>
      </c>
      <c r="J4304" s="27">
        <v>230795.46</v>
      </c>
      <c r="K4304" s="18">
        <f t="shared" si="135"/>
        <v>0</v>
      </c>
      <c r="L4304" s="27">
        <v>117983.61</v>
      </c>
      <c r="M4304" s="36">
        <v>12659.01</v>
      </c>
      <c r="T4304" s="41">
        <v>0</v>
      </c>
      <c r="U4304" s="41">
        <v>0</v>
      </c>
      <c r="V4304" s="42" t="s">
        <v>113</v>
      </c>
      <c r="W4304" s="42">
        <v>0</v>
      </c>
      <c r="X4304" s="42">
        <v>0</v>
      </c>
    </row>
    <row r="4305" spans="1:24">
      <c r="A4305" s="27" t="s">
        <v>7911</v>
      </c>
      <c r="B4305" s="28" t="s">
        <v>5102</v>
      </c>
      <c r="C4305" s="27" t="s">
        <v>7912</v>
      </c>
      <c r="D4305" s="27" t="s">
        <v>5104</v>
      </c>
      <c r="E4305" s="29">
        <v>41270</v>
      </c>
      <c r="F4305" s="27">
        <v>15</v>
      </c>
      <c r="G4305" s="18">
        <v>224861.52</v>
      </c>
      <c r="H4305" s="27">
        <f t="shared" si="134"/>
        <v>0</v>
      </c>
      <c r="I4305" s="18">
        <v>102616.62</v>
      </c>
      <c r="J4305" s="27">
        <v>224861.52</v>
      </c>
      <c r="K4305" s="18">
        <f t="shared" si="135"/>
        <v>0</v>
      </c>
      <c r="L4305" s="27">
        <v>114950.16</v>
      </c>
      <c r="M4305" s="36">
        <v>12333.54</v>
      </c>
      <c r="T4305" s="41">
        <v>0</v>
      </c>
      <c r="U4305" s="41">
        <v>0</v>
      </c>
      <c r="V4305" s="42" t="s">
        <v>113</v>
      </c>
      <c r="W4305" s="42">
        <v>0</v>
      </c>
      <c r="X4305" s="42">
        <v>0</v>
      </c>
    </row>
    <row r="4306" spans="1:24">
      <c r="A4306" s="27" t="s">
        <v>7913</v>
      </c>
      <c r="B4306" s="28" t="s">
        <v>5102</v>
      </c>
      <c r="C4306" s="27" t="s">
        <v>7914</v>
      </c>
      <c r="D4306" s="27" t="s">
        <v>5104</v>
      </c>
      <c r="E4306" s="29">
        <v>41270</v>
      </c>
      <c r="F4306" s="27">
        <v>15</v>
      </c>
      <c r="G4306" s="18">
        <v>148837.25</v>
      </c>
      <c r="H4306" s="27">
        <f t="shared" si="134"/>
        <v>0</v>
      </c>
      <c r="I4306" s="18">
        <v>67922.58</v>
      </c>
      <c r="J4306" s="27">
        <v>148837.25</v>
      </c>
      <c r="K4306" s="18">
        <f t="shared" si="135"/>
        <v>0</v>
      </c>
      <c r="L4306" s="27">
        <v>76086.23</v>
      </c>
      <c r="M4306" s="36">
        <v>8163.65</v>
      </c>
      <c r="T4306" s="41">
        <v>0</v>
      </c>
      <c r="U4306" s="41">
        <v>0</v>
      </c>
      <c r="V4306" s="42" t="s">
        <v>113</v>
      </c>
      <c r="W4306" s="42">
        <v>0</v>
      </c>
      <c r="X4306" s="42">
        <v>0</v>
      </c>
    </row>
    <row r="4307" spans="1:24">
      <c r="A4307" s="27" t="s">
        <v>7915</v>
      </c>
      <c r="B4307" s="28" t="s">
        <v>5102</v>
      </c>
      <c r="C4307" s="27" t="s">
        <v>7916</v>
      </c>
      <c r="D4307" s="27" t="s">
        <v>5104</v>
      </c>
      <c r="E4307" s="29">
        <v>41270</v>
      </c>
      <c r="F4307" s="27">
        <v>15</v>
      </c>
      <c r="G4307" s="18">
        <v>134316.53</v>
      </c>
      <c r="H4307" s="27">
        <f t="shared" si="134"/>
        <v>0</v>
      </c>
      <c r="I4307" s="18">
        <v>61295.97</v>
      </c>
      <c r="J4307" s="27">
        <v>134316.53</v>
      </c>
      <c r="K4307" s="18">
        <f t="shared" si="135"/>
        <v>0</v>
      </c>
      <c r="L4307" s="27">
        <v>68663.16</v>
      </c>
      <c r="M4307" s="36">
        <v>7367.19</v>
      </c>
      <c r="T4307" s="41">
        <v>0</v>
      </c>
      <c r="U4307" s="41">
        <v>0</v>
      </c>
      <c r="V4307" s="42" t="s">
        <v>113</v>
      </c>
      <c r="W4307" s="42">
        <v>0</v>
      </c>
      <c r="X4307" s="42">
        <v>0</v>
      </c>
    </row>
    <row r="4308" spans="1:24">
      <c r="A4308" s="27" t="s">
        <v>7917</v>
      </c>
      <c r="B4308" s="28" t="s">
        <v>5102</v>
      </c>
      <c r="C4308" s="27" t="s">
        <v>7918</v>
      </c>
      <c r="D4308" s="27" t="s">
        <v>5104</v>
      </c>
      <c r="E4308" s="29">
        <v>41270</v>
      </c>
      <c r="F4308" s="27">
        <v>15</v>
      </c>
      <c r="G4308" s="18">
        <v>221184.44</v>
      </c>
      <c r="H4308" s="27">
        <f t="shared" si="134"/>
        <v>0</v>
      </c>
      <c r="I4308" s="18">
        <v>106204.17</v>
      </c>
      <c r="J4308" s="27">
        <v>221184.44</v>
      </c>
      <c r="K4308" s="18">
        <f t="shared" si="135"/>
        <v>0</v>
      </c>
      <c r="L4308" s="27">
        <v>117750.95</v>
      </c>
      <c r="M4308" s="36">
        <v>11546.78</v>
      </c>
      <c r="T4308" s="41">
        <v>0</v>
      </c>
      <c r="U4308" s="41">
        <v>0</v>
      </c>
      <c r="V4308" s="42" t="s">
        <v>113</v>
      </c>
      <c r="W4308" s="42">
        <v>0</v>
      </c>
      <c r="X4308" s="42">
        <v>0</v>
      </c>
    </row>
    <row r="4309" spans="1:24">
      <c r="A4309" s="27" t="s">
        <v>7919</v>
      </c>
      <c r="B4309" s="28" t="s">
        <v>5102</v>
      </c>
      <c r="C4309" s="27" t="s">
        <v>7920</v>
      </c>
      <c r="D4309" s="27" t="s">
        <v>5104</v>
      </c>
      <c r="E4309" s="29">
        <v>41270</v>
      </c>
      <c r="F4309" s="27">
        <v>15</v>
      </c>
      <c r="G4309" s="18">
        <v>153241.15</v>
      </c>
      <c r="H4309" s="27">
        <f t="shared" si="134"/>
        <v>0</v>
      </c>
      <c r="I4309" s="18">
        <v>69945.440000000002</v>
      </c>
      <c r="J4309" s="27">
        <v>153241.15</v>
      </c>
      <c r="K4309" s="18">
        <f t="shared" si="135"/>
        <v>0</v>
      </c>
      <c r="L4309" s="27">
        <v>78349.179999999993</v>
      </c>
      <c r="M4309" s="36">
        <v>8403.74</v>
      </c>
      <c r="T4309" s="41">
        <v>0</v>
      </c>
      <c r="U4309" s="41">
        <v>0</v>
      </c>
      <c r="V4309" s="42" t="s">
        <v>113</v>
      </c>
      <c r="W4309" s="42">
        <v>0</v>
      </c>
      <c r="X4309" s="42">
        <v>0</v>
      </c>
    </row>
    <row r="4310" spans="1:24">
      <c r="A4310" s="27" t="s">
        <v>7921</v>
      </c>
      <c r="B4310" s="28" t="s">
        <v>5102</v>
      </c>
      <c r="C4310" s="27" t="s">
        <v>7922</v>
      </c>
      <c r="D4310" s="27" t="s">
        <v>5104</v>
      </c>
      <c r="E4310" s="29">
        <v>41270</v>
      </c>
      <c r="F4310" s="27">
        <v>15</v>
      </c>
      <c r="G4310" s="18">
        <v>132867.59</v>
      </c>
      <c r="H4310" s="27">
        <f t="shared" si="134"/>
        <v>0</v>
      </c>
      <c r="I4310" s="18">
        <v>60705.42</v>
      </c>
      <c r="J4310" s="27">
        <v>132867.59</v>
      </c>
      <c r="K4310" s="18">
        <f t="shared" si="135"/>
        <v>0</v>
      </c>
      <c r="L4310" s="27">
        <v>67985.289999999994</v>
      </c>
      <c r="M4310" s="36">
        <v>7279.87</v>
      </c>
      <c r="T4310" s="41">
        <v>0</v>
      </c>
      <c r="U4310" s="41">
        <v>0</v>
      </c>
      <c r="V4310" s="42" t="s">
        <v>113</v>
      </c>
      <c r="W4310" s="42">
        <v>0</v>
      </c>
      <c r="X4310" s="42">
        <v>0</v>
      </c>
    </row>
    <row r="4311" spans="1:24">
      <c r="A4311" s="27" t="s">
        <v>7923</v>
      </c>
      <c r="B4311" s="28" t="s">
        <v>5102</v>
      </c>
      <c r="C4311" s="27" t="s">
        <v>7924</v>
      </c>
      <c r="D4311" s="27" t="s">
        <v>5104</v>
      </c>
      <c r="E4311" s="29">
        <v>41270</v>
      </c>
      <c r="F4311" s="27">
        <v>15</v>
      </c>
      <c r="G4311" s="18">
        <v>350766.15</v>
      </c>
      <c r="H4311" s="27">
        <f t="shared" si="134"/>
        <v>0</v>
      </c>
      <c r="I4311" s="18">
        <v>160154.71</v>
      </c>
      <c r="J4311" s="27">
        <v>350766.15</v>
      </c>
      <c r="K4311" s="18">
        <f t="shared" si="135"/>
        <v>0</v>
      </c>
      <c r="L4311" s="27">
        <v>179385.06</v>
      </c>
      <c r="M4311" s="36">
        <v>19230.349999999999</v>
      </c>
      <c r="T4311" s="41">
        <v>0</v>
      </c>
      <c r="U4311" s="41">
        <v>0</v>
      </c>
      <c r="V4311" s="42" t="s">
        <v>113</v>
      </c>
      <c r="W4311" s="42">
        <v>0</v>
      </c>
      <c r="X4311" s="42">
        <v>0</v>
      </c>
    </row>
    <row r="4312" spans="1:24">
      <c r="A4312" s="27" t="s">
        <v>7925</v>
      </c>
      <c r="B4312" s="28" t="s">
        <v>5102</v>
      </c>
      <c r="C4312" s="27" t="s">
        <v>7926</v>
      </c>
      <c r="D4312" s="27" t="s">
        <v>5104</v>
      </c>
      <c r="E4312" s="29">
        <v>41270</v>
      </c>
      <c r="F4312" s="27">
        <v>15</v>
      </c>
      <c r="G4312" s="18">
        <v>261584.12</v>
      </c>
      <c r="H4312" s="27">
        <f t="shared" si="134"/>
        <v>0</v>
      </c>
      <c r="I4312" s="18">
        <v>119402.93</v>
      </c>
      <c r="J4312" s="27">
        <v>261584.12</v>
      </c>
      <c r="K4312" s="18">
        <f t="shared" si="135"/>
        <v>0</v>
      </c>
      <c r="L4312" s="27">
        <v>133747.59</v>
      </c>
      <c r="M4312" s="36">
        <v>14344.66</v>
      </c>
      <c r="T4312" s="41">
        <v>0</v>
      </c>
      <c r="U4312" s="41">
        <v>0</v>
      </c>
      <c r="V4312" s="42" t="s">
        <v>113</v>
      </c>
      <c r="W4312" s="42">
        <v>0</v>
      </c>
      <c r="X4312" s="42">
        <v>0</v>
      </c>
    </row>
    <row r="4313" spans="1:24">
      <c r="A4313" s="27" t="s">
        <v>7927</v>
      </c>
      <c r="B4313" s="28" t="s">
        <v>5102</v>
      </c>
      <c r="C4313" s="27" t="s">
        <v>7928</v>
      </c>
      <c r="D4313" s="27" t="s">
        <v>230</v>
      </c>
      <c r="E4313" s="29">
        <v>41270</v>
      </c>
      <c r="F4313" s="27">
        <v>15</v>
      </c>
      <c r="G4313" s="18">
        <v>978712.05</v>
      </c>
      <c r="H4313" s="27">
        <f t="shared" si="134"/>
        <v>0</v>
      </c>
      <c r="I4313" s="18">
        <v>264361.98</v>
      </c>
      <c r="J4313" s="27">
        <v>983846.84</v>
      </c>
      <c r="K4313" s="18">
        <f t="shared" si="135"/>
        <v>0</v>
      </c>
      <c r="L4313" s="27">
        <v>338583.86</v>
      </c>
      <c r="M4313" s="36">
        <v>74221.88</v>
      </c>
      <c r="N4313" s="18" t="s">
        <v>123</v>
      </c>
      <c r="O4313" s="19">
        <v>5134.79</v>
      </c>
      <c r="T4313" s="41">
        <v>0</v>
      </c>
      <c r="U4313" s="41">
        <v>0</v>
      </c>
      <c r="V4313" s="42" t="s">
        <v>113</v>
      </c>
      <c r="W4313" s="42">
        <v>0</v>
      </c>
      <c r="X4313" s="42">
        <v>0</v>
      </c>
    </row>
    <row r="4314" spans="1:24">
      <c r="A4314" s="27" t="s">
        <v>7929</v>
      </c>
      <c r="B4314" s="28" t="s">
        <v>5102</v>
      </c>
      <c r="C4314" s="27" t="s">
        <v>7930</v>
      </c>
      <c r="D4314" s="27" t="s">
        <v>5104</v>
      </c>
      <c r="E4314" s="29">
        <v>41270</v>
      </c>
      <c r="F4314" s="27">
        <v>15</v>
      </c>
      <c r="G4314" s="18">
        <v>53934.92</v>
      </c>
      <c r="H4314" s="27">
        <f t="shared" si="134"/>
        <v>0</v>
      </c>
      <c r="I4314" s="18">
        <v>24623.66</v>
      </c>
      <c r="J4314" s="27">
        <v>53934.92</v>
      </c>
      <c r="K4314" s="18">
        <f t="shared" si="135"/>
        <v>0</v>
      </c>
      <c r="L4314" s="27">
        <v>27580.83</v>
      </c>
      <c r="M4314" s="36">
        <v>2957.17</v>
      </c>
      <c r="T4314" s="41">
        <v>0</v>
      </c>
      <c r="U4314" s="41">
        <v>0</v>
      </c>
      <c r="V4314" s="42" t="s">
        <v>113</v>
      </c>
      <c r="W4314" s="42">
        <v>0</v>
      </c>
      <c r="X4314" s="42">
        <v>0</v>
      </c>
    </row>
    <row r="4315" spans="1:24">
      <c r="A4315" s="27" t="s">
        <v>7931</v>
      </c>
      <c r="B4315" s="28" t="s">
        <v>5102</v>
      </c>
      <c r="C4315" s="27" t="s">
        <v>7932</v>
      </c>
      <c r="D4315" s="27" t="s">
        <v>5104</v>
      </c>
      <c r="E4315" s="29">
        <v>41270</v>
      </c>
      <c r="F4315" s="27">
        <v>15</v>
      </c>
      <c r="G4315" s="18">
        <v>146643.71</v>
      </c>
      <c r="H4315" s="27">
        <f t="shared" si="134"/>
        <v>0</v>
      </c>
      <c r="I4315" s="18">
        <v>66949.27</v>
      </c>
      <c r="J4315" s="27">
        <v>146643.71</v>
      </c>
      <c r="K4315" s="18">
        <f t="shared" si="135"/>
        <v>0</v>
      </c>
      <c r="L4315" s="27">
        <v>74989.52</v>
      </c>
      <c r="M4315" s="36">
        <v>8040.25</v>
      </c>
      <c r="T4315" s="41">
        <v>0</v>
      </c>
      <c r="U4315" s="41">
        <v>0</v>
      </c>
      <c r="V4315" s="42" t="s">
        <v>113</v>
      </c>
      <c r="W4315" s="42">
        <v>0</v>
      </c>
      <c r="X4315" s="42">
        <v>0</v>
      </c>
    </row>
    <row r="4316" spans="1:24">
      <c r="A4316" s="27" t="s">
        <v>7933</v>
      </c>
      <c r="B4316" s="28" t="s">
        <v>5102</v>
      </c>
      <c r="C4316" s="27" t="s">
        <v>7934</v>
      </c>
      <c r="D4316" s="27" t="s">
        <v>5104</v>
      </c>
      <c r="E4316" s="29">
        <v>41270</v>
      </c>
      <c r="F4316" s="27">
        <v>15</v>
      </c>
      <c r="G4316" s="18">
        <v>87480.86</v>
      </c>
      <c r="H4316" s="27">
        <f t="shared" si="134"/>
        <v>0</v>
      </c>
      <c r="I4316" s="18">
        <v>39938.839999999997</v>
      </c>
      <c r="J4316" s="27">
        <v>87480.86</v>
      </c>
      <c r="K4316" s="18">
        <f t="shared" si="135"/>
        <v>0</v>
      </c>
      <c r="L4316" s="27">
        <v>44735.28</v>
      </c>
      <c r="M4316" s="36">
        <v>4796.4399999999996</v>
      </c>
      <c r="T4316" s="41">
        <v>0</v>
      </c>
      <c r="U4316" s="41">
        <v>0</v>
      </c>
      <c r="V4316" s="42" t="s">
        <v>113</v>
      </c>
      <c r="W4316" s="42">
        <v>0</v>
      </c>
      <c r="X4316" s="42">
        <v>0</v>
      </c>
    </row>
    <row r="4317" spans="1:24">
      <c r="A4317" s="27" t="s">
        <v>7935</v>
      </c>
      <c r="B4317" s="28" t="s">
        <v>5102</v>
      </c>
      <c r="C4317" s="27" t="s">
        <v>7936</v>
      </c>
      <c r="D4317" s="27" t="s">
        <v>5104</v>
      </c>
      <c r="E4317" s="29">
        <v>41270</v>
      </c>
      <c r="F4317" s="27">
        <v>15</v>
      </c>
      <c r="G4317" s="18">
        <v>129827.18</v>
      </c>
      <c r="H4317" s="27">
        <f t="shared" si="134"/>
        <v>0</v>
      </c>
      <c r="I4317" s="18">
        <v>59271.8</v>
      </c>
      <c r="J4317" s="27">
        <v>129827.18</v>
      </c>
      <c r="K4317" s="18">
        <f t="shared" si="135"/>
        <v>0</v>
      </c>
      <c r="L4317" s="27">
        <v>66390.02</v>
      </c>
      <c r="M4317" s="36">
        <v>7118.22</v>
      </c>
      <c r="T4317" s="41">
        <v>0</v>
      </c>
      <c r="U4317" s="41">
        <v>0</v>
      </c>
      <c r="V4317" s="42" t="s">
        <v>113</v>
      </c>
      <c r="W4317" s="42">
        <v>0</v>
      </c>
      <c r="X4317" s="42">
        <v>0</v>
      </c>
    </row>
    <row r="4318" spans="1:24">
      <c r="A4318" s="27" t="s">
        <v>7937</v>
      </c>
      <c r="B4318" s="28" t="s">
        <v>5102</v>
      </c>
      <c r="C4318" s="27" t="s">
        <v>7938</v>
      </c>
      <c r="D4318" s="27" t="s">
        <v>5104</v>
      </c>
      <c r="E4318" s="29">
        <v>41270</v>
      </c>
      <c r="F4318" s="27">
        <v>15</v>
      </c>
      <c r="G4318" s="18">
        <v>300432.28000000003</v>
      </c>
      <c r="H4318" s="27">
        <f t="shared" si="134"/>
        <v>0</v>
      </c>
      <c r="I4318" s="18">
        <v>137160.49</v>
      </c>
      <c r="J4318" s="27">
        <v>300432.28000000003</v>
      </c>
      <c r="K4318" s="18">
        <f t="shared" si="135"/>
        <v>0</v>
      </c>
      <c r="L4318" s="27">
        <v>153632.73000000001</v>
      </c>
      <c r="M4318" s="36">
        <v>16472.240000000002</v>
      </c>
      <c r="T4318" s="41">
        <v>0</v>
      </c>
      <c r="U4318" s="41">
        <v>0</v>
      </c>
      <c r="V4318" s="42" t="s">
        <v>113</v>
      </c>
      <c r="W4318" s="42">
        <v>0</v>
      </c>
      <c r="X4318" s="42">
        <v>0</v>
      </c>
    </row>
    <row r="4319" spans="1:24">
      <c r="A4319" s="27" t="s">
        <v>7939</v>
      </c>
      <c r="B4319" s="28" t="s">
        <v>5102</v>
      </c>
      <c r="C4319" s="27" t="s">
        <v>7940</v>
      </c>
      <c r="D4319" s="27" t="s">
        <v>5104</v>
      </c>
      <c r="E4319" s="29">
        <v>41270</v>
      </c>
      <c r="F4319" s="27">
        <v>15</v>
      </c>
      <c r="G4319" s="18">
        <v>493763.5</v>
      </c>
      <c r="H4319" s="27">
        <f t="shared" si="134"/>
        <v>0</v>
      </c>
      <c r="I4319" s="18">
        <v>228605.3</v>
      </c>
      <c r="J4319" s="27">
        <v>493763.5</v>
      </c>
      <c r="K4319" s="18">
        <f t="shared" si="135"/>
        <v>0</v>
      </c>
      <c r="L4319" s="27">
        <v>255324.19</v>
      </c>
      <c r="M4319" s="36">
        <v>26718.89</v>
      </c>
      <c r="T4319" s="41">
        <v>0</v>
      </c>
      <c r="U4319" s="41">
        <v>0</v>
      </c>
      <c r="V4319" s="42" t="s">
        <v>113</v>
      </c>
      <c r="W4319" s="42">
        <v>0</v>
      </c>
      <c r="X4319" s="42">
        <v>0</v>
      </c>
    </row>
    <row r="4320" spans="1:24">
      <c r="A4320" s="27" t="s">
        <v>7941</v>
      </c>
      <c r="B4320" s="28" t="s">
        <v>5102</v>
      </c>
      <c r="C4320" s="27" t="s">
        <v>7942</v>
      </c>
      <c r="D4320" s="27" t="s">
        <v>5104</v>
      </c>
      <c r="E4320" s="29">
        <v>41270</v>
      </c>
      <c r="F4320" s="27">
        <v>15</v>
      </c>
      <c r="G4320" s="18">
        <v>554393.48</v>
      </c>
      <c r="H4320" s="27">
        <f t="shared" si="134"/>
        <v>0</v>
      </c>
      <c r="I4320" s="18">
        <v>252824.31</v>
      </c>
      <c r="J4320" s="27">
        <v>554393.48</v>
      </c>
      <c r="K4320" s="18">
        <f t="shared" si="135"/>
        <v>0</v>
      </c>
      <c r="L4320" s="27">
        <v>283252.03000000003</v>
      </c>
      <c r="M4320" s="36">
        <v>30427.72</v>
      </c>
      <c r="T4320" s="41">
        <v>0</v>
      </c>
      <c r="U4320" s="41">
        <v>0</v>
      </c>
      <c r="V4320" s="42" t="s">
        <v>113</v>
      </c>
      <c r="W4320" s="42">
        <v>0</v>
      </c>
      <c r="X4320" s="42">
        <v>0</v>
      </c>
    </row>
    <row r="4321" spans="1:24">
      <c r="A4321" s="27" t="s">
        <v>7943</v>
      </c>
      <c r="B4321" s="28" t="s">
        <v>5102</v>
      </c>
      <c r="C4321" s="27" t="s">
        <v>7944</v>
      </c>
      <c r="D4321" s="27" t="s">
        <v>5104</v>
      </c>
      <c r="E4321" s="29">
        <v>41270</v>
      </c>
      <c r="F4321" s="27">
        <v>15</v>
      </c>
      <c r="G4321" s="18">
        <v>119707.63</v>
      </c>
      <c r="H4321" s="27">
        <f t="shared" si="134"/>
        <v>0</v>
      </c>
      <c r="I4321" s="18">
        <v>54591.18</v>
      </c>
      <c r="J4321" s="27">
        <v>119707.63</v>
      </c>
      <c r="K4321" s="18">
        <f t="shared" si="135"/>
        <v>0</v>
      </c>
      <c r="L4321" s="27">
        <v>61161.3</v>
      </c>
      <c r="M4321" s="36">
        <v>6570.12</v>
      </c>
      <c r="T4321" s="41">
        <v>0</v>
      </c>
      <c r="U4321" s="41">
        <v>0</v>
      </c>
      <c r="V4321" s="42" t="s">
        <v>113</v>
      </c>
      <c r="W4321" s="42">
        <v>0</v>
      </c>
      <c r="X4321" s="42">
        <v>0</v>
      </c>
    </row>
    <row r="4322" spans="1:24">
      <c r="A4322" s="27" t="s">
        <v>7945</v>
      </c>
      <c r="B4322" s="28" t="s">
        <v>5102</v>
      </c>
      <c r="C4322" s="27" t="s">
        <v>7946</v>
      </c>
      <c r="D4322" s="27" t="s">
        <v>5104</v>
      </c>
      <c r="E4322" s="29">
        <v>41270</v>
      </c>
      <c r="F4322" s="27">
        <v>15</v>
      </c>
      <c r="G4322" s="18">
        <v>132632.87</v>
      </c>
      <c r="H4322" s="27">
        <f t="shared" si="134"/>
        <v>0</v>
      </c>
      <c r="I4322" s="18">
        <v>60485.58</v>
      </c>
      <c r="J4322" s="27">
        <v>132632.87</v>
      </c>
      <c r="K4322" s="18">
        <f t="shared" si="135"/>
        <v>0</v>
      </c>
      <c r="L4322" s="27">
        <v>67765.100000000006</v>
      </c>
      <c r="M4322" s="36">
        <v>7279.52</v>
      </c>
      <c r="T4322" s="41">
        <v>0</v>
      </c>
      <c r="U4322" s="41">
        <v>0</v>
      </c>
      <c r="V4322" s="42" t="s">
        <v>113</v>
      </c>
      <c r="W4322" s="42">
        <v>0</v>
      </c>
      <c r="X4322" s="42">
        <v>0</v>
      </c>
    </row>
    <row r="4323" spans="1:24">
      <c r="A4323" s="27" t="s">
        <v>7947</v>
      </c>
      <c r="B4323" s="28" t="s">
        <v>5102</v>
      </c>
      <c r="C4323" s="27" t="s">
        <v>7948</v>
      </c>
      <c r="D4323" s="27" t="s">
        <v>5104</v>
      </c>
      <c r="E4323" s="29">
        <v>41270</v>
      </c>
      <c r="F4323" s="27">
        <v>15</v>
      </c>
      <c r="G4323" s="18">
        <v>461132.89</v>
      </c>
      <c r="H4323" s="27">
        <f t="shared" si="134"/>
        <v>0</v>
      </c>
      <c r="I4323" s="18">
        <v>210293.96</v>
      </c>
      <c r="J4323" s="27">
        <v>461132.89</v>
      </c>
      <c r="K4323" s="18">
        <f t="shared" si="135"/>
        <v>0</v>
      </c>
      <c r="L4323" s="27">
        <v>235603.1</v>
      </c>
      <c r="M4323" s="36">
        <v>25309.14</v>
      </c>
      <c r="T4323" s="41">
        <v>0</v>
      </c>
      <c r="U4323" s="41">
        <v>0</v>
      </c>
      <c r="V4323" s="42" t="s">
        <v>113</v>
      </c>
      <c r="W4323" s="42">
        <v>0</v>
      </c>
      <c r="X4323" s="42">
        <v>0</v>
      </c>
    </row>
    <row r="4324" spans="1:24">
      <c r="A4324" s="27" t="s">
        <v>7949</v>
      </c>
      <c r="B4324" s="28" t="s">
        <v>5102</v>
      </c>
      <c r="C4324" s="27" t="s">
        <v>7950</v>
      </c>
      <c r="D4324" s="27" t="s">
        <v>5104</v>
      </c>
      <c r="E4324" s="29">
        <v>41270</v>
      </c>
      <c r="F4324" s="27">
        <v>15</v>
      </c>
      <c r="G4324" s="18">
        <v>179959.14</v>
      </c>
      <c r="H4324" s="27">
        <f t="shared" si="134"/>
        <v>0</v>
      </c>
      <c r="I4324" s="18">
        <v>82068.14</v>
      </c>
      <c r="J4324" s="27">
        <v>179959.14</v>
      </c>
      <c r="K4324" s="18">
        <f t="shared" si="135"/>
        <v>0</v>
      </c>
      <c r="L4324" s="27">
        <v>91945.14</v>
      </c>
      <c r="M4324" s="36">
        <v>9877</v>
      </c>
      <c r="T4324" s="41">
        <v>0</v>
      </c>
      <c r="U4324" s="41">
        <v>0</v>
      </c>
      <c r="V4324" s="42" t="s">
        <v>113</v>
      </c>
      <c r="W4324" s="42">
        <v>0</v>
      </c>
      <c r="X4324" s="42">
        <v>0</v>
      </c>
    </row>
    <row r="4325" spans="1:24">
      <c r="A4325" s="27" t="s">
        <v>7951</v>
      </c>
      <c r="B4325" s="28" t="s">
        <v>5102</v>
      </c>
      <c r="C4325" s="27" t="s">
        <v>7952</v>
      </c>
      <c r="D4325" s="27" t="s">
        <v>5104</v>
      </c>
      <c r="E4325" s="29">
        <v>41270</v>
      </c>
      <c r="F4325" s="27">
        <v>15</v>
      </c>
      <c r="G4325" s="18">
        <v>104926.46</v>
      </c>
      <c r="H4325" s="27">
        <f t="shared" si="134"/>
        <v>0</v>
      </c>
      <c r="I4325" s="18">
        <v>47850.42</v>
      </c>
      <c r="J4325" s="27">
        <v>104926.46</v>
      </c>
      <c r="K4325" s="18">
        <f t="shared" si="135"/>
        <v>0</v>
      </c>
      <c r="L4325" s="27">
        <v>53609.279999999999</v>
      </c>
      <c r="M4325" s="36">
        <v>5758.86</v>
      </c>
      <c r="T4325" s="41">
        <v>0</v>
      </c>
      <c r="U4325" s="41">
        <v>0</v>
      </c>
      <c r="V4325" s="42" t="s">
        <v>113</v>
      </c>
      <c r="W4325" s="42">
        <v>0</v>
      </c>
      <c r="X4325" s="42">
        <v>0</v>
      </c>
    </row>
    <row r="4326" spans="1:24">
      <c r="A4326" s="27" t="s">
        <v>7953</v>
      </c>
      <c r="B4326" s="28" t="s">
        <v>5102</v>
      </c>
      <c r="C4326" s="27" t="s">
        <v>7954</v>
      </c>
      <c r="D4326" s="27" t="s">
        <v>5104</v>
      </c>
      <c r="E4326" s="29">
        <v>41270</v>
      </c>
      <c r="F4326" s="27">
        <v>15</v>
      </c>
      <c r="G4326" s="18">
        <v>91603.51</v>
      </c>
      <c r="H4326" s="27">
        <f t="shared" si="134"/>
        <v>0</v>
      </c>
      <c r="I4326" s="18">
        <v>41774.65</v>
      </c>
      <c r="J4326" s="27">
        <v>91603.51</v>
      </c>
      <c r="K4326" s="18">
        <f t="shared" si="135"/>
        <v>0</v>
      </c>
      <c r="L4326" s="27">
        <v>46802.28</v>
      </c>
      <c r="M4326" s="36">
        <v>5027.63</v>
      </c>
      <c r="T4326" s="41">
        <v>0</v>
      </c>
      <c r="U4326" s="41">
        <v>0</v>
      </c>
      <c r="V4326" s="42" t="s">
        <v>113</v>
      </c>
      <c r="W4326" s="42">
        <v>0</v>
      </c>
      <c r="X4326" s="42">
        <v>0</v>
      </c>
    </row>
    <row r="4327" spans="1:24">
      <c r="A4327" s="27" t="s">
        <v>7955</v>
      </c>
      <c r="B4327" s="28" t="s">
        <v>5102</v>
      </c>
      <c r="C4327" s="27" t="s">
        <v>7956</v>
      </c>
      <c r="D4327" s="27" t="s">
        <v>5104</v>
      </c>
      <c r="E4327" s="29">
        <v>41270</v>
      </c>
      <c r="F4327" s="27">
        <v>15</v>
      </c>
      <c r="G4327" s="18">
        <v>152451.57999999999</v>
      </c>
      <c r="H4327" s="27">
        <f t="shared" si="134"/>
        <v>0</v>
      </c>
      <c r="I4327" s="18">
        <v>69523.649999999994</v>
      </c>
      <c r="J4327" s="27">
        <v>152451.57999999999</v>
      </c>
      <c r="K4327" s="18">
        <f t="shared" si="135"/>
        <v>0</v>
      </c>
      <c r="L4327" s="27">
        <v>77890.91</v>
      </c>
      <c r="M4327" s="36">
        <v>8367.26</v>
      </c>
      <c r="T4327" s="41">
        <v>0</v>
      </c>
      <c r="U4327" s="41">
        <v>0</v>
      </c>
      <c r="V4327" s="42" t="s">
        <v>113</v>
      </c>
      <c r="W4327" s="42">
        <v>0</v>
      </c>
      <c r="X4327" s="42">
        <v>0</v>
      </c>
    </row>
    <row r="4328" spans="1:24">
      <c r="A4328" s="27" t="s">
        <v>7957</v>
      </c>
      <c r="B4328" s="28" t="s">
        <v>5102</v>
      </c>
      <c r="C4328" s="27" t="s">
        <v>7958</v>
      </c>
      <c r="D4328" s="27" t="s">
        <v>5104</v>
      </c>
      <c r="E4328" s="29">
        <v>41270</v>
      </c>
      <c r="F4328" s="27">
        <v>15</v>
      </c>
      <c r="G4328" s="18">
        <v>59257.27</v>
      </c>
      <c r="H4328" s="27">
        <f t="shared" si="134"/>
        <v>0</v>
      </c>
      <c r="I4328" s="18">
        <v>27023.57</v>
      </c>
      <c r="J4328" s="27">
        <v>59257.27</v>
      </c>
      <c r="K4328" s="18">
        <f t="shared" si="135"/>
        <v>0</v>
      </c>
      <c r="L4328" s="27">
        <v>30275.89</v>
      </c>
      <c r="M4328" s="36">
        <v>3252.32</v>
      </c>
      <c r="T4328" s="41">
        <v>0</v>
      </c>
      <c r="U4328" s="41">
        <v>0</v>
      </c>
      <c r="V4328" s="42" t="s">
        <v>113</v>
      </c>
      <c r="W4328" s="42">
        <v>0</v>
      </c>
      <c r="X4328" s="42">
        <v>0</v>
      </c>
    </row>
    <row r="4329" spans="1:24">
      <c r="A4329" s="27" t="s">
        <v>7959</v>
      </c>
      <c r="B4329" s="28" t="s">
        <v>5102</v>
      </c>
      <c r="C4329" s="27" t="s">
        <v>7960</v>
      </c>
      <c r="D4329" s="27" t="s">
        <v>5104</v>
      </c>
      <c r="E4329" s="29">
        <v>41270</v>
      </c>
      <c r="F4329" s="27">
        <v>15</v>
      </c>
      <c r="G4329" s="18">
        <v>280594.75</v>
      </c>
      <c r="H4329" s="27">
        <f t="shared" si="134"/>
        <v>0</v>
      </c>
      <c r="I4329" s="18">
        <v>132013.81</v>
      </c>
      <c r="J4329" s="27">
        <v>280594.75</v>
      </c>
      <c r="K4329" s="18">
        <f t="shared" si="135"/>
        <v>0</v>
      </c>
      <c r="L4329" s="27">
        <v>146963.94</v>
      </c>
      <c r="M4329" s="36">
        <v>14950.13</v>
      </c>
      <c r="T4329" s="41">
        <v>0</v>
      </c>
      <c r="U4329" s="41">
        <v>0</v>
      </c>
      <c r="V4329" s="42" t="s">
        <v>113</v>
      </c>
      <c r="W4329" s="42">
        <v>0</v>
      </c>
      <c r="X4329" s="42">
        <v>0</v>
      </c>
    </row>
    <row r="4330" spans="1:24">
      <c r="A4330" s="27" t="s">
        <v>7961</v>
      </c>
      <c r="B4330" s="28" t="s">
        <v>5102</v>
      </c>
      <c r="C4330" s="27" t="s">
        <v>7962</v>
      </c>
      <c r="D4330" s="27" t="s">
        <v>5104</v>
      </c>
      <c r="E4330" s="29">
        <v>41270</v>
      </c>
      <c r="F4330" s="27">
        <v>15</v>
      </c>
      <c r="G4330" s="18">
        <v>267113</v>
      </c>
      <c r="H4330" s="27">
        <f t="shared" si="134"/>
        <v>0</v>
      </c>
      <c r="I4330" s="18">
        <v>121813.43</v>
      </c>
      <c r="J4330" s="27">
        <v>267113</v>
      </c>
      <c r="K4330" s="18">
        <f t="shared" si="135"/>
        <v>0</v>
      </c>
      <c r="L4330" s="27">
        <v>136473.87</v>
      </c>
      <c r="M4330" s="36">
        <v>14660.44</v>
      </c>
      <c r="T4330" s="41">
        <v>0</v>
      </c>
      <c r="U4330" s="41">
        <v>0</v>
      </c>
      <c r="V4330" s="42" t="s">
        <v>113</v>
      </c>
      <c r="W4330" s="42">
        <v>0</v>
      </c>
      <c r="X4330" s="42">
        <v>0</v>
      </c>
    </row>
    <row r="4331" spans="1:24">
      <c r="A4331" s="27" t="s">
        <v>7963</v>
      </c>
      <c r="B4331" s="28" t="s">
        <v>5102</v>
      </c>
      <c r="C4331" s="27" t="s">
        <v>7964</v>
      </c>
      <c r="D4331" s="27" t="s">
        <v>230</v>
      </c>
      <c r="E4331" s="29">
        <v>41270</v>
      </c>
      <c r="F4331" s="27">
        <v>15</v>
      </c>
      <c r="G4331" s="18">
        <v>2341700.5699999998</v>
      </c>
      <c r="H4331" s="27">
        <f t="shared" si="134"/>
        <v>0</v>
      </c>
      <c r="I4331" s="18">
        <v>1070583.3500000001</v>
      </c>
      <c r="J4331" s="27">
        <v>2341700.5699999998</v>
      </c>
      <c r="K4331" s="18">
        <f t="shared" si="135"/>
        <v>0</v>
      </c>
      <c r="L4331" s="27">
        <v>1198809.1499999999</v>
      </c>
      <c r="M4331" s="36">
        <v>128225.8</v>
      </c>
      <c r="T4331" s="41">
        <v>0</v>
      </c>
      <c r="U4331" s="41">
        <v>0</v>
      </c>
      <c r="V4331" s="42" t="s">
        <v>113</v>
      </c>
      <c r="W4331" s="42">
        <v>0</v>
      </c>
      <c r="X4331" s="42">
        <v>0</v>
      </c>
    </row>
    <row r="4332" spans="1:24">
      <c r="A4332" s="27" t="s">
        <v>7965</v>
      </c>
      <c r="B4332" s="28" t="s">
        <v>5102</v>
      </c>
      <c r="C4332" s="27" t="s">
        <v>7966</v>
      </c>
      <c r="D4332" s="27" t="s">
        <v>5104</v>
      </c>
      <c r="E4332" s="29">
        <v>41270</v>
      </c>
      <c r="F4332" s="27">
        <v>15</v>
      </c>
      <c r="G4332" s="18">
        <v>327442.61</v>
      </c>
      <c r="H4332" s="27">
        <f t="shared" si="134"/>
        <v>0</v>
      </c>
      <c r="I4332" s="18">
        <v>149537.74</v>
      </c>
      <c r="J4332" s="27">
        <v>327442.61</v>
      </c>
      <c r="K4332" s="18">
        <f t="shared" si="135"/>
        <v>0</v>
      </c>
      <c r="L4332" s="27">
        <v>167485.82</v>
      </c>
      <c r="M4332" s="36">
        <v>17948.080000000002</v>
      </c>
      <c r="T4332" s="41">
        <v>0</v>
      </c>
      <c r="U4332" s="41">
        <v>0</v>
      </c>
      <c r="V4332" s="42" t="s">
        <v>113</v>
      </c>
      <c r="W4332" s="42">
        <v>0</v>
      </c>
      <c r="X4332" s="42">
        <v>0</v>
      </c>
    </row>
    <row r="4333" spans="1:24">
      <c r="A4333" s="27" t="s">
        <v>7967</v>
      </c>
      <c r="B4333" s="28" t="s">
        <v>5102</v>
      </c>
      <c r="C4333" s="27" t="s">
        <v>7968</v>
      </c>
      <c r="D4333" s="27" t="s">
        <v>5104</v>
      </c>
      <c r="E4333" s="29">
        <v>41270</v>
      </c>
      <c r="F4333" s="27">
        <v>15</v>
      </c>
      <c r="G4333" s="18">
        <v>85820.39</v>
      </c>
      <c r="H4333" s="27">
        <f t="shared" si="134"/>
        <v>0</v>
      </c>
      <c r="I4333" s="18">
        <v>39125.370000000003</v>
      </c>
      <c r="J4333" s="27">
        <v>85820.39</v>
      </c>
      <c r="K4333" s="18">
        <f t="shared" si="135"/>
        <v>0</v>
      </c>
      <c r="L4333" s="27">
        <v>43836.93</v>
      </c>
      <c r="M4333" s="36">
        <v>4711.5600000000004</v>
      </c>
      <c r="T4333" s="41">
        <v>0</v>
      </c>
      <c r="U4333" s="41">
        <v>0</v>
      </c>
      <c r="V4333" s="42" t="s">
        <v>113</v>
      </c>
      <c r="W4333" s="42">
        <v>0</v>
      </c>
      <c r="X4333" s="42">
        <v>0</v>
      </c>
    </row>
    <row r="4334" spans="1:24">
      <c r="A4334" s="27" t="s">
        <v>7969</v>
      </c>
      <c r="B4334" s="28" t="s">
        <v>5102</v>
      </c>
      <c r="C4334" s="27" t="s">
        <v>7970</v>
      </c>
      <c r="D4334" s="27" t="s">
        <v>5104</v>
      </c>
      <c r="E4334" s="29">
        <v>41270</v>
      </c>
      <c r="F4334" s="27">
        <v>15</v>
      </c>
      <c r="G4334" s="18">
        <v>42489.72</v>
      </c>
      <c r="H4334" s="27">
        <f t="shared" si="134"/>
        <v>0</v>
      </c>
      <c r="I4334" s="18">
        <v>19382.14</v>
      </c>
      <c r="J4334" s="27">
        <v>42489.72</v>
      </c>
      <c r="K4334" s="18">
        <f t="shared" si="135"/>
        <v>0</v>
      </c>
      <c r="L4334" s="27">
        <v>21713.59</v>
      </c>
      <c r="M4334" s="36">
        <v>2331.4499999999998</v>
      </c>
      <c r="T4334" s="41">
        <v>0</v>
      </c>
      <c r="U4334" s="41">
        <v>0</v>
      </c>
      <c r="V4334" s="42" t="s">
        <v>113</v>
      </c>
      <c r="W4334" s="42">
        <v>0</v>
      </c>
      <c r="X4334" s="42">
        <v>0</v>
      </c>
    </row>
    <row r="4335" spans="1:24">
      <c r="A4335" s="27" t="s">
        <v>7971</v>
      </c>
      <c r="B4335" s="28" t="s">
        <v>5102</v>
      </c>
      <c r="C4335" s="27" t="s">
        <v>7972</v>
      </c>
      <c r="D4335" s="27" t="s">
        <v>5104</v>
      </c>
      <c r="E4335" s="29">
        <v>41270</v>
      </c>
      <c r="F4335" s="27">
        <v>15</v>
      </c>
      <c r="G4335" s="18">
        <v>460025.76</v>
      </c>
      <c r="H4335" s="27">
        <f t="shared" si="134"/>
        <v>0</v>
      </c>
      <c r="I4335" s="18">
        <v>209779.56</v>
      </c>
      <c r="J4335" s="27">
        <v>460025.76</v>
      </c>
      <c r="K4335" s="18">
        <f t="shared" si="135"/>
        <v>0</v>
      </c>
      <c r="L4335" s="27">
        <v>235028.99</v>
      </c>
      <c r="M4335" s="36">
        <v>25249.43</v>
      </c>
      <c r="T4335" s="41">
        <v>0</v>
      </c>
      <c r="U4335" s="41">
        <v>0</v>
      </c>
      <c r="V4335" s="42" t="s">
        <v>113</v>
      </c>
      <c r="W4335" s="42">
        <v>0</v>
      </c>
      <c r="X4335" s="42">
        <v>0</v>
      </c>
    </row>
    <row r="4336" spans="1:24">
      <c r="A4336" s="27" t="s">
        <v>7973</v>
      </c>
      <c r="B4336" s="28" t="s">
        <v>5102</v>
      </c>
      <c r="C4336" s="27" t="s">
        <v>7974</v>
      </c>
      <c r="D4336" s="27" t="s">
        <v>5104</v>
      </c>
      <c r="E4336" s="29">
        <v>41270</v>
      </c>
      <c r="F4336" s="27">
        <v>15</v>
      </c>
      <c r="G4336" s="18">
        <v>67194.64</v>
      </c>
      <c r="H4336" s="27">
        <f t="shared" si="134"/>
        <v>0</v>
      </c>
      <c r="I4336" s="18">
        <v>30685.919999999998</v>
      </c>
      <c r="J4336" s="27">
        <v>67194.64</v>
      </c>
      <c r="K4336" s="18">
        <f t="shared" si="135"/>
        <v>0</v>
      </c>
      <c r="L4336" s="27">
        <v>34369.14</v>
      </c>
      <c r="M4336" s="36">
        <v>3683.22</v>
      </c>
      <c r="T4336" s="41">
        <v>0</v>
      </c>
      <c r="U4336" s="41">
        <v>0</v>
      </c>
      <c r="V4336" s="42" t="s">
        <v>113</v>
      </c>
      <c r="W4336" s="42">
        <v>0</v>
      </c>
      <c r="X4336" s="42">
        <v>0</v>
      </c>
    </row>
    <row r="4337" spans="1:24">
      <c r="A4337" s="27" t="s">
        <v>7975</v>
      </c>
      <c r="B4337" s="28" t="s">
        <v>5102</v>
      </c>
      <c r="C4337" s="27" t="s">
        <v>7976</v>
      </c>
      <c r="D4337" s="27" t="s">
        <v>5104</v>
      </c>
      <c r="E4337" s="29">
        <v>41270</v>
      </c>
      <c r="F4337" s="27">
        <v>15</v>
      </c>
      <c r="G4337" s="18">
        <v>218015.22</v>
      </c>
      <c r="H4337" s="27">
        <f t="shared" si="134"/>
        <v>0</v>
      </c>
      <c r="I4337" s="18">
        <v>99561.43</v>
      </c>
      <c r="J4337" s="27">
        <v>218015.22</v>
      </c>
      <c r="K4337" s="18">
        <f t="shared" si="135"/>
        <v>0</v>
      </c>
      <c r="L4337" s="27">
        <v>111511.77</v>
      </c>
      <c r="M4337" s="36">
        <v>11950.34</v>
      </c>
      <c r="T4337" s="41">
        <v>0</v>
      </c>
      <c r="U4337" s="41">
        <v>0</v>
      </c>
      <c r="V4337" s="42" t="s">
        <v>113</v>
      </c>
      <c r="W4337" s="42">
        <v>0</v>
      </c>
      <c r="X4337" s="42">
        <v>0</v>
      </c>
    </row>
    <row r="4338" spans="1:24">
      <c r="A4338" s="27" t="s">
        <v>7977</v>
      </c>
      <c r="B4338" s="28" t="s">
        <v>5102</v>
      </c>
      <c r="C4338" s="27" t="s">
        <v>7978</v>
      </c>
      <c r="D4338" s="27" t="s">
        <v>5104</v>
      </c>
      <c r="E4338" s="29">
        <v>41270</v>
      </c>
      <c r="F4338" s="27">
        <v>15</v>
      </c>
      <c r="G4338" s="18">
        <v>424704.1</v>
      </c>
      <c r="H4338" s="27">
        <f t="shared" si="134"/>
        <v>0</v>
      </c>
      <c r="I4338" s="18">
        <v>194971.46</v>
      </c>
      <c r="J4338" s="27">
        <v>424704.1</v>
      </c>
      <c r="K4338" s="18">
        <f t="shared" si="135"/>
        <v>0</v>
      </c>
      <c r="L4338" s="27">
        <v>218137.84</v>
      </c>
      <c r="M4338" s="36">
        <v>23166.38</v>
      </c>
      <c r="T4338" s="41">
        <v>0</v>
      </c>
      <c r="U4338" s="41">
        <v>0</v>
      </c>
      <c r="V4338" s="42" t="s">
        <v>113</v>
      </c>
      <c r="W4338" s="42">
        <v>0</v>
      </c>
      <c r="X4338" s="42">
        <v>0</v>
      </c>
    </row>
    <row r="4339" spans="1:24">
      <c r="A4339" s="27" t="s">
        <v>7979</v>
      </c>
      <c r="B4339" s="28" t="s">
        <v>5102</v>
      </c>
      <c r="C4339" s="27" t="s">
        <v>7980</v>
      </c>
      <c r="D4339" s="27" t="s">
        <v>5104</v>
      </c>
      <c r="E4339" s="29">
        <v>41270</v>
      </c>
      <c r="F4339" s="27">
        <v>15</v>
      </c>
      <c r="G4339" s="18">
        <v>403864.69</v>
      </c>
      <c r="H4339" s="27">
        <f t="shared" si="134"/>
        <v>0</v>
      </c>
      <c r="I4339" s="18">
        <v>184251.04</v>
      </c>
      <c r="J4339" s="27">
        <v>403864.69</v>
      </c>
      <c r="K4339" s="18">
        <f t="shared" si="135"/>
        <v>0</v>
      </c>
      <c r="L4339" s="27">
        <v>206408.86</v>
      </c>
      <c r="M4339" s="36">
        <v>22157.82</v>
      </c>
      <c r="T4339" s="41">
        <v>0</v>
      </c>
      <c r="U4339" s="41">
        <v>0</v>
      </c>
      <c r="V4339" s="42" t="s">
        <v>113</v>
      </c>
      <c r="W4339" s="42">
        <v>0</v>
      </c>
      <c r="X4339" s="42">
        <v>0</v>
      </c>
    </row>
    <row r="4340" spans="1:24">
      <c r="A4340" s="27" t="s">
        <v>7981</v>
      </c>
      <c r="B4340" s="28" t="s">
        <v>5102</v>
      </c>
      <c r="C4340" s="27" t="s">
        <v>7982</v>
      </c>
      <c r="D4340" s="27" t="s">
        <v>5104</v>
      </c>
      <c r="E4340" s="29">
        <v>41270</v>
      </c>
      <c r="F4340" s="27">
        <v>15</v>
      </c>
      <c r="G4340" s="18">
        <v>206152.95</v>
      </c>
      <c r="H4340" s="27">
        <f t="shared" si="134"/>
        <v>0</v>
      </c>
      <c r="I4340" s="18">
        <v>94051.05</v>
      </c>
      <c r="J4340" s="27">
        <v>206152.95</v>
      </c>
      <c r="K4340" s="18">
        <f t="shared" si="135"/>
        <v>0</v>
      </c>
      <c r="L4340" s="27">
        <v>105361.52</v>
      </c>
      <c r="M4340" s="36">
        <v>11310.47</v>
      </c>
      <c r="T4340" s="41">
        <v>0</v>
      </c>
      <c r="U4340" s="41">
        <v>0</v>
      </c>
      <c r="V4340" s="42" t="s">
        <v>113</v>
      </c>
      <c r="W4340" s="42">
        <v>0</v>
      </c>
      <c r="X4340" s="42">
        <v>0</v>
      </c>
    </row>
    <row r="4341" spans="1:24">
      <c r="A4341" s="27" t="s">
        <v>7983</v>
      </c>
      <c r="B4341" s="28" t="s">
        <v>5102</v>
      </c>
      <c r="C4341" s="27" t="s">
        <v>5732</v>
      </c>
      <c r="D4341" s="27" t="s">
        <v>5104</v>
      </c>
      <c r="E4341" s="29">
        <v>41270</v>
      </c>
      <c r="F4341" s="27">
        <v>15</v>
      </c>
      <c r="G4341" s="18">
        <v>73438.47</v>
      </c>
      <c r="H4341" s="27">
        <f t="shared" si="134"/>
        <v>0</v>
      </c>
      <c r="I4341" s="18">
        <v>33504.07</v>
      </c>
      <c r="J4341" s="27">
        <v>73438.47</v>
      </c>
      <c r="K4341" s="18">
        <f t="shared" si="135"/>
        <v>0</v>
      </c>
      <c r="L4341" s="27">
        <v>37533.230000000003</v>
      </c>
      <c r="M4341" s="36">
        <v>4029.16</v>
      </c>
      <c r="T4341" s="41">
        <v>0</v>
      </c>
      <c r="U4341" s="41">
        <v>0</v>
      </c>
      <c r="V4341" s="42" t="s">
        <v>113</v>
      </c>
      <c r="W4341" s="42">
        <v>0</v>
      </c>
      <c r="X4341" s="42">
        <v>0</v>
      </c>
    </row>
    <row r="4342" spans="1:24">
      <c r="A4342" s="27" t="s">
        <v>7984</v>
      </c>
      <c r="B4342" s="28" t="s">
        <v>5102</v>
      </c>
      <c r="C4342" s="27" t="s">
        <v>7985</v>
      </c>
      <c r="D4342" s="27" t="s">
        <v>5104</v>
      </c>
      <c r="E4342" s="29">
        <v>41270</v>
      </c>
      <c r="F4342" s="27">
        <v>15</v>
      </c>
      <c r="G4342" s="18">
        <v>269649.56</v>
      </c>
      <c r="H4342" s="27">
        <f t="shared" si="134"/>
        <v>0</v>
      </c>
      <c r="I4342" s="18">
        <v>123019.45</v>
      </c>
      <c r="J4342" s="27">
        <v>269649.56</v>
      </c>
      <c r="K4342" s="18">
        <f t="shared" si="135"/>
        <v>0</v>
      </c>
      <c r="L4342" s="27">
        <v>137813.63</v>
      </c>
      <c r="M4342" s="36">
        <v>14794.18</v>
      </c>
      <c r="T4342" s="41">
        <v>0</v>
      </c>
      <c r="U4342" s="41">
        <v>0</v>
      </c>
      <c r="V4342" s="42" t="s">
        <v>113</v>
      </c>
      <c r="W4342" s="42">
        <v>0</v>
      </c>
      <c r="X4342" s="42">
        <v>0</v>
      </c>
    </row>
    <row r="4343" spans="1:24">
      <c r="A4343" s="27" t="s">
        <v>7986</v>
      </c>
      <c r="B4343" s="28" t="s">
        <v>5102</v>
      </c>
      <c r="C4343" s="27" t="s">
        <v>7987</v>
      </c>
      <c r="D4343" s="27" t="s">
        <v>5104</v>
      </c>
      <c r="E4343" s="29">
        <v>41270</v>
      </c>
      <c r="F4343" s="27">
        <v>15</v>
      </c>
      <c r="G4343" s="18">
        <v>318796.12</v>
      </c>
      <c r="H4343" s="27">
        <f t="shared" si="134"/>
        <v>0</v>
      </c>
      <c r="I4343" s="18">
        <v>145441.09</v>
      </c>
      <c r="J4343" s="27">
        <v>318796.12</v>
      </c>
      <c r="K4343" s="18">
        <f t="shared" si="135"/>
        <v>0</v>
      </c>
      <c r="L4343" s="27">
        <v>162931.67000000001</v>
      </c>
      <c r="M4343" s="36">
        <v>17490.580000000002</v>
      </c>
      <c r="T4343" s="41">
        <v>0</v>
      </c>
      <c r="U4343" s="41">
        <v>0</v>
      </c>
      <c r="V4343" s="42" t="s">
        <v>113</v>
      </c>
      <c r="W4343" s="42">
        <v>0</v>
      </c>
      <c r="X4343" s="42">
        <v>0</v>
      </c>
    </row>
    <row r="4344" spans="1:24">
      <c r="A4344" s="27" t="s">
        <v>7988</v>
      </c>
      <c r="B4344" s="28" t="s">
        <v>5102</v>
      </c>
      <c r="C4344" s="27" t="s">
        <v>7989</v>
      </c>
      <c r="D4344" s="27" t="s">
        <v>5104</v>
      </c>
      <c r="E4344" s="29">
        <v>41270</v>
      </c>
      <c r="F4344" s="27">
        <v>15</v>
      </c>
      <c r="G4344" s="18">
        <v>28137.34</v>
      </c>
      <c r="H4344" s="27">
        <f t="shared" si="134"/>
        <v>0</v>
      </c>
      <c r="I4344" s="18">
        <v>12836.81</v>
      </c>
      <c r="J4344" s="27">
        <v>28137.34</v>
      </c>
      <c r="K4344" s="18">
        <f t="shared" si="135"/>
        <v>0</v>
      </c>
      <c r="L4344" s="27">
        <v>14380.55</v>
      </c>
      <c r="M4344" s="36">
        <v>1543.74</v>
      </c>
      <c r="T4344" s="41">
        <v>0</v>
      </c>
      <c r="U4344" s="41">
        <v>0</v>
      </c>
      <c r="V4344" s="42" t="s">
        <v>113</v>
      </c>
      <c r="W4344" s="42">
        <v>0</v>
      </c>
      <c r="X4344" s="42">
        <v>0</v>
      </c>
    </row>
    <row r="4345" spans="1:24">
      <c r="A4345" s="27" t="s">
        <v>7990</v>
      </c>
      <c r="B4345" s="28" t="s">
        <v>5102</v>
      </c>
      <c r="C4345" s="27" t="s">
        <v>7991</v>
      </c>
      <c r="D4345" s="27" t="s">
        <v>5104</v>
      </c>
      <c r="E4345" s="29">
        <v>41270</v>
      </c>
      <c r="F4345" s="27">
        <v>15</v>
      </c>
      <c r="G4345" s="18">
        <v>99418.62</v>
      </c>
      <c r="H4345" s="27">
        <f t="shared" si="134"/>
        <v>0</v>
      </c>
      <c r="I4345" s="18">
        <v>45356.74</v>
      </c>
      <c r="J4345" s="27">
        <v>99418.62</v>
      </c>
      <c r="K4345" s="18">
        <f t="shared" si="135"/>
        <v>0</v>
      </c>
      <c r="L4345" s="27">
        <v>50811.29</v>
      </c>
      <c r="M4345" s="36">
        <v>5454.55</v>
      </c>
      <c r="T4345" s="41">
        <v>0</v>
      </c>
      <c r="U4345" s="41">
        <v>0</v>
      </c>
      <c r="V4345" s="42" t="s">
        <v>113</v>
      </c>
      <c r="W4345" s="42">
        <v>0</v>
      </c>
      <c r="X4345" s="42">
        <v>0</v>
      </c>
    </row>
    <row r="4346" spans="1:24">
      <c r="A4346" s="27" t="s">
        <v>7992</v>
      </c>
      <c r="B4346" s="28" t="s">
        <v>5102</v>
      </c>
      <c r="C4346" s="27" t="s">
        <v>7993</v>
      </c>
      <c r="D4346" s="27" t="s">
        <v>5104</v>
      </c>
      <c r="E4346" s="29">
        <v>41270</v>
      </c>
      <c r="F4346" s="27">
        <v>15</v>
      </c>
      <c r="G4346" s="18">
        <v>232883.42</v>
      </c>
      <c r="H4346" s="27">
        <f t="shared" si="134"/>
        <v>0</v>
      </c>
      <c r="I4346" s="18">
        <v>106246.02</v>
      </c>
      <c r="J4346" s="27">
        <v>232883.42</v>
      </c>
      <c r="K4346" s="18">
        <f t="shared" si="135"/>
        <v>0</v>
      </c>
      <c r="L4346" s="27">
        <v>119023.05</v>
      </c>
      <c r="M4346" s="36">
        <v>12777.03</v>
      </c>
      <c r="T4346" s="41">
        <v>0</v>
      </c>
      <c r="U4346" s="41">
        <v>0</v>
      </c>
      <c r="V4346" s="42" t="s">
        <v>113</v>
      </c>
      <c r="W4346" s="42">
        <v>0</v>
      </c>
      <c r="X4346" s="42">
        <v>0</v>
      </c>
    </row>
    <row r="4347" spans="1:24">
      <c r="A4347" s="27" t="s">
        <v>7994</v>
      </c>
      <c r="B4347" s="28" t="s">
        <v>5102</v>
      </c>
      <c r="C4347" s="27" t="s">
        <v>7995</v>
      </c>
      <c r="D4347" s="27" t="s">
        <v>5104</v>
      </c>
      <c r="E4347" s="29">
        <v>41270</v>
      </c>
      <c r="F4347" s="27">
        <v>15</v>
      </c>
      <c r="G4347" s="18">
        <v>187488.5</v>
      </c>
      <c r="H4347" s="27">
        <f t="shared" si="134"/>
        <v>0</v>
      </c>
      <c r="I4347" s="18">
        <v>85535.98</v>
      </c>
      <c r="J4347" s="27">
        <v>187488.5</v>
      </c>
      <c r="K4347" s="18">
        <f t="shared" si="135"/>
        <v>0</v>
      </c>
      <c r="L4347" s="27">
        <v>95822.43</v>
      </c>
      <c r="M4347" s="36">
        <v>10286.450000000001</v>
      </c>
      <c r="T4347" s="41">
        <v>0</v>
      </c>
      <c r="U4347" s="41">
        <v>0</v>
      </c>
      <c r="V4347" s="42" t="s">
        <v>113</v>
      </c>
      <c r="W4347" s="42">
        <v>0</v>
      </c>
      <c r="X4347" s="42">
        <v>0</v>
      </c>
    </row>
    <row r="4348" spans="1:24">
      <c r="A4348" s="27" t="s">
        <v>7996</v>
      </c>
      <c r="B4348" s="28" t="s">
        <v>5102</v>
      </c>
      <c r="C4348" s="27" t="s">
        <v>7997</v>
      </c>
      <c r="D4348" s="27" t="s">
        <v>5104</v>
      </c>
      <c r="E4348" s="29">
        <v>41270</v>
      </c>
      <c r="F4348" s="27">
        <v>15</v>
      </c>
      <c r="G4348" s="18">
        <v>213656.25</v>
      </c>
      <c r="H4348" s="27">
        <f t="shared" si="134"/>
        <v>0</v>
      </c>
      <c r="I4348" s="18">
        <v>97474.22</v>
      </c>
      <c r="J4348" s="27">
        <v>213656.25</v>
      </c>
      <c r="K4348" s="18">
        <f t="shared" si="135"/>
        <v>0</v>
      </c>
      <c r="L4348" s="27">
        <v>109196.36</v>
      </c>
      <c r="M4348" s="36">
        <v>11722.14</v>
      </c>
      <c r="T4348" s="41">
        <v>0</v>
      </c>
      <c r="U4348" s="41">
        <v>0</v>
      </c>
      <c r="V4348" s="42" t="s">
        <v>113</v>
      </c>
      <c r="W4348" s="42">
        <v>0</v>
      </c>
      <c r="X4348" s="42">
        <v>0</v>
      </c>
    </row>
    <row r="4349" spans="1:24">
      <c r="A4349" s="27" t="s">
        <v>7998</v>
      </c>
      <c r="B4349" s="28" t="s">
        <v>5102</v>
      </c>
      <c r="C4349" s="27" t="s">
        <v>7999</v>
      </c>
      <c r="D4349" s="27" t="s">
        <v>5104</v>
      </c>
      <c r="E4349" s="29">
        <v>41270</v>
      </c>
      <c r="F4349" s="27">
        <v>15</v>
      </c>
      <c r="G4349" s="18">
        <v>538460.54</v>
      </c>
      <c r="H4349" s="27">
        <f t="shared" si="134"/>
        <v>0</v>
      </c>
      <c r="I4349" s="18">
        <v>266004.94</v>
      </c>
      <c r="J4349" s="27">
        <v>538460.54</v>
      </c>
      <c r="K4349" s="18">
        <f t="shared" si="135"/>
        <v>0</v>
      </c>
      <c r="L4349" s="27">
        <v>293286.34000000003</v>
      </c>
      <c r="M4349" s="36">
        <v>27281.4</v>
      </c>
      <c r="T4349" s="41">
        <v>0</v>
      </c>
      <c r="U4349" s="41">
        <v>0</v>
      </c>
      <c r="V4349" s="42" t="s">
        <v>113</v>
      </c>
      <c r="W4349" s="42">
        <v>0</v>
      </c>
      <c r="X4349" s="42">
        <v>0</v>
      </c>
    </row>
    <row r="4350" spans="1:24">
      <c r="A4350" s="27" t="s">
        <v>8000</v>
      </c>
      <c r="B4350" s="28" t="s">
        <v>5102</v>
      </c>
      <c r="C4350" s="27" t="s">
        <v>8001</v>
      </c>
      <c r="D4350" s="27" t="s">
        <v>5104</v>
      </c>
      <c r="E4350" s="29">
        <v>41270</v>
      </c>
      <c r="F4350" s="27">
        <v>15</v>
      </c>
      <c r="G4350" s="18">
        <v>131361.10999999999</v>
      </c>
      <c r="H4350" s="27">
        <f t="shared" si="134"/>
        <v>0</v>
      </c>
      <c r="I4350" s="18">
        <v>59893.32</v>
      </c>
      <c r="J4350" s="27">
        <v>131361.10999999999</v>
      </c>
      <c r="K4350" s="18">
        <f t="shared" si="135"/>
        <v>0</v>
      </c>
      <c r="L4350" s="27">
        <v>67104.399999999994</v>
      </c>
      <c r="M4350" s="36">
        <v>7211.08</v>
      </c>
      <c r="T4350" s="41">
        <v>0</v>
      </c>
      <c r="U4350" s="41">
        <v>0</v>
      </c>
      <c r="V4350" s="42" t="s">
        <v>113</v>
      </c>
      <c r="W4350" s="42">
        <v>0</v>
      </c>
      <c r="X4350" s="42">
        <v>0</v>
      </c>
    </row>
    <row r="4351" spans="1:24">
      <c r="A4351" s="27" t="s">
        <v>8002</v>
      </c>
      <c r="B4351" s="28" t="s">
        <v>5102</v>
      </c>
      <c r="C4351" s="27" t="s">
        <v>8003</v>
      </c>
      <c r="D4351" s="27" t="s">
        <v>5104</v>
      </c>
      <c r="E4351" s="29">
        <v>41270</v>
      </c>
      <c r="F4351" s="27">
        <v>15</v>
      </c>
      <c r="G4351" s="18">
        <v>427487.91</v>
      </c>
      <c r="H4351" s="27">
        <f t="shared" si="134"/>
        <v>0</v>
      </c>
      <c r="I4351" s="18">
        <v>194910.58</v>
      </c>
      <c r="J4351" s="27">
        <v>427487.91</v>
      </c>
      <c r="K4351" s="18">
        <f t="shared" si="135"/>
        <v>0</v>
      </c>
      <c r="L4351" s="27">
        <v>218377.57</v>
      </c>
      <c r="M4351" s="36">
        <v>23466.99</v>
      </c>
      <c r="T4351" s="41">
        <v>0</v>
      </c>
      <c r="U4351" s="41">
        <v>0</v>
      </c>
      <c r="V4351" s="42" t="s">
        <v>113</v>
      </c>
      <c r="W4351" s="42">
        <v>0</v>
      </c>
      <c r="X4351" s="42">
        <v>0</v>
      </c>
    </row>
    <row r="4352" spans="1:24">
      <c r="A4352" s="27" t="s">
        <v>8004</v>
      </c>
      <c r="B4352" s="28" t="s">
        <v>5102</v>
      </c>
      <c r="C4352" s="27" t="s">
        <v>8005</v>
      </c>
      <c r="D4352" s="27" t="s">
        <v>5104</v>
      </c>
      <c r="E4352" s="29">
        <v>41270</v>
      </c>
      <c r="F4352" s="27">
        <v>15</v>
      </c>
      <c r="G4352" s="18">
        <v>289807.01</v>
      </c>
      <c r="H4352" s="27">
        <f t="shared" si="134"/>
        <v>0</v>
      </c>
      <c r="I4352" s="18">
        <v>132135.79</v>
      </c>
      <c r="J4352" s="27">
        <v>289807.01</v>
      </c>
      <c r="K4352" s="18">
        <f t="shared" si="135"/>
        <v>0</v>
      </c>
      <c r="L4352" s="27">
        <v>148044.78</v>
      </c>
      <c r="M4352" s="36">
        <v>15908.99</v>
      </c>
      <c r="T4352" s="41">
        <v>0</v>
      </c>
      <c r="U4352" s="41">
        <v>0</v>
      </c>
      <c r="V4352" s="42" t="s">
        <v>113</v>
      </c>
      <c r="W4352" s="42">
        <v>0</v>
      </c>
      <c r="X4352" s="42">
        <v>0</v>
      </c>
    </row>
    <row r="4353" spans="1:24">
      <c r="A4353" s="27" t="s">
        <v>8006</v>
      </c>
      <c r="B4353" s="28" t="s">
        <v>5102</v>
      </c>
      <c r="C4353" s="27" t="s">
        <v>8007</v>
      </c>
      <c r="D4353" s="27" t="s">
        <v>5104</v>
      </c>
      <c r="E4353" s="29">
        <v>41270</v>
      </c>
      <c r="F4353" s="27">
        <v>15</v>
      </c>
      <c r="G4353" s="18">
        <v>209229.84</v>
      </c>
      <c r="H4353" s="27">
        <f t="shared" si="134"/>
        <v>0</v>
      </c>
      <c r="I4353" s="18">
        <v>95863.3</v>
      </c>
      <c r="J4353" s="27">
        <v>209229.84</v>
      </c>
      <c r="K4353" s="18">
        <f t="shared" si="135"/>
        <v>0</v>
      </c>
      <c r="L4353" s="27">
        <v>107297.19</v>
      </c>
      <c r="M4353" s="36">
        <v>11433.89</v>
      </c>
      <c r="T4353" s="41">
        <v>0</v>
      </c>
      <c r="U4353" s="41">
        <v>0</v>
      </c>
      <c r="V4353" s="42" t="s">
        <v>113</v>
      </c>
      <c r="W4353" s="42">
        <v>0</v>
      </c>
      <c r="X4353" s="42">
        <v>0</v>
      </c>
    </row>
    <row r="4354" spans="1:24">
      <c r="A4354" s="27" t="s">
        <v>8008</v>
      </c>
      <c r="B4354" s="28" t="s">
        <v>5102</v>
      </c>
      <c r="C4354" s="27" t="s">
        <v>8009</v>
      </c>
      <c r="D4354" s="27" t="s">
        <v>5104</v>
      </c>
      <c r="E4354" s="29">
        <v>41270</v>
      </c>
      <c r="F4354" s="27">
        <v>15</v>
      </c>
      <c r="G4354" s="18">
        <v>843198.64</v>
      </c>
      <c r="H4354" s="27">
        <f t="shared" si="134"/>
        <v>0</v>
      </c>
      <c r="I4354" s="18">
        <v>386979.56</v>
      </c>
      <c r="J4354" s="27">
        <v>843198.64</v>
      </c>
      <c r="K4354" s="18">
        <f t="shared" si="135"/>
        <v>0</v>
      </c>
      <c r="L4354" s="27">
        <v>432986.13</v>
      </c>
      <c r="M4354" s="36">
        <v>46006.57</v>
      </c>
      <c r="T4354" s="41">
        <v>0</v>
      </c>
      <c r="U4354" s="41">
        <v>0</v>
      </c>
      <c r="V4354" s="42" t="s">
        <v>113</v>
      </c>
      <c r="W4354" s="42">
        <v>0</v>
      </c>
      <c r="X4354" s="42">
        <v>0</v>
      </c>
    </row>
    <row r="4355" spans="1:24">
      <c r="A4355" s="27" t="s">
        <v>8010</v>
      </c>
      <c r="B4355" s="28" t="s">
        <v>5102</v>
      </c>
      <c r="C4355" s="27" t="s">
        <v>8011</v>
      </c>
      <c r="D4355" s="27" t="s">
        <v>5104</v>
      </c>
      <c r="E4355" s="29">
        <v>41270</v>
      </c>
      <c r="F4355" s="27">
        <v>15</v>
      </c>
      <c r="G4355" s="18">
        <v>613013.94999999995</v>
      </c>
      <c r="H4355" s="27">
        <f t="shared" si="134"/>
        <v>0</v>
      </c>
      <c r="I4355" s="18">
        <v>279534.88</v>
      </c>
      <c r="J4355" s="27">
        <v>613013.94999999995</v>
      </c>
      <c r="K4355" s="18">
        <f t="shared" si="135"/>
        <v>0</v>
      </c>
      <c r="L4355" s="27">
        <v>313182.48</v>
      </c>
      <c r="M4355" s="36">
        <v>33647.599999999999</v>
      </c>
      <c r="T4355" s="41">
        <v>0</v>
      </c>
      <c r="U4355" s="41">
        <v>0</v>
      </c>
      <c r="V4355" s="42" t="s">
        <v>113</v>
      </c>
      <c r="W4355" s="42">
        <v>0</v>
      </c>
      <c r="X4355" s="42">
        <v>0</v>
      </c>
    </row>
    <row r="4356" spans="1:24">
      <c r="A4356" s="27" t="s">
        <v>8012</v>
      </c>
      <c r="B4356" s="28" t="s">
        <v>5102</v>
      </c>
      <c r="C4356" s="27" t="s">
        <v>8013</v>
      </c>
      <c r="D4356" s="27" t="s">
        <v>5104</v>
      </c>
      <c r="E4356" s="29">
        <v>41270</v>
      </c>
      <c r="F4356" s="27">
        <v>15</v>
      </c>
      <c r="G4356" s="18">
        <v>207691.87</v>
      </c>
      <c r="H4356" s="27">
        <f t="shared" si="134"/>
        <v>0</v>
      </c>
      <c r="I4356" s="18">
        <v>99188.71</v>
      </c>
      <c r="J4356" s="27">
        <v>207691.87</v>
      </c>
      <c r="K4356" s="18">
        <f t="shared" si="135"/>
        <v>0</v>
      </c>
      <c r="L4356" s="27">
        <v>110090.77</v>
      </c>
      <c r="M4356" s="36">
        <v>10902.06</v>
      </c>
      <c r="T4356" s="41">
        <v>0</v>
      </c>
      <c r="U4356" s="41">
        <v>0</v>
      </c>
      <c r="V4356" s="42" t="s">
        <v>113</v>
      </c>
      <c r="W4356" s="42">
        <v>0</v>
      </c>
      <c r="X4356" s="42">
        <v>0</v>
      </c>
    </row>
    <row r="4357" spans="1:24">
      <c r="A4357" s="27" t="s">
        <v>8014</v>
      </c>
      <c r="B4357" s="28" t="s">
        <v>5102</v>
      </c>
      <c r="C4357" s="27" t="s">
        <v>8015</v>
      </c>
      <c r="D4357" s="27" t="s">
        <v>5104</v>
      </c>
      <c r="E4357" s="29">
        <v>41270</v>
      </c>
      <c r="F4357" s="27">
        <v>15</v>
      </c>
      <c r="G4357" s="18">
        <v>1551619.7</v>
      </c>
      <c r="H4357" s="27">
        <f t="shared" si="134"/>
        <v>0</v>
      </c>
      <c r="I4357" s="18">
        <v>708219.89</v>
      </c>
      <c r="J4357" s="27">
        <v>1551619.7</v>
      </c>
      <c r="K4357" s="18">
        <f t="shared" si="135"/>
        <v>0</v>
      </c>
      <c r="L4357" s="27">
        <v>793310.87</v>
      </c>
      <c r="M4357" s="36">
        <v>85090.98</v>
      </c>
      <c r="T4357" s="41">
        <v>0</v>
      </c>
      <c r="U4357" s="41">
        <v>0</v>
      </c>
      <c r="V4357" s="42" t="s">
        <v>113</v>
      </c>
      <c r="W4357" s="42">
        <v>0</v>
      </c>
      <c r="X4357" s="42">
        <v>0</v>
      </c>
    </row>
    <row r="4358" spans="1:24">
      <c r="A4358" s="27" t="s">
        <v>8016</v>
      </c>
      <c r="B4358" s="28" t="s">
        <v>5102</v>
      </c>
      <c r="C4358" s="27" t="s">
        <v>8017</v>
      </c>
      <c r="D4358" s="27" t="s">
        <v>5104</v>
      </c>
      <c r="E4358" s="29">
        <v>41270</v>
      </c>
      <c r="F4358" s="27">
        <v>15</v>
      </c>
      <c r="G4358" s="18">
        <v>330440.89</v>
      </c>
      <c r="H4358" s="27">
        <f t="shared" ref="H4358:H4421" si="136">IFERROR(IF(ROUND((G4358-I4358)/G4358,2)&lt;=0.05,G4358,0),0)</f>
        <v>0</v>
      </c>
      <c r="I4358" s="18">
        <v>150826.14000000001</v>
      </c>
      <c r="J4358" s="27">
        <v>330440.89</v>
      </c>
      <c r="K4358" s="18">
        <f t="shared" ref="K4358:K4421" si="137">IFERROR(IF(ROUND((J4358-L4358)/J4358,2)&lt;=0.05,J4358,0),0)</f>
        <v>0</v>
      </c>
      <c r="L4358" s="27">
        <v>168947.55</v>
      </c>
      <c r="M4358" s="36">
        <v>18121.41</v>
      </c>
      <c r="T4358" s="41">
        <v>0</v>
      </c>
      <c r="U4358" s="41">
        <v>0</v>
      </c>
      <c r="V4358" s="42" t="s">
        <v>113</v>
      </c>
      <c r="W4358" s="42">
        <v>0</v>
      </c>
      <c r="X4358" s="42">
        <v>0</v>
      </c>
    </row>
    <row r="4359" spans="1:24">
      <c r="A4359" s="27" t="s">
        <v>8018</v>
      </c>
      <c r="B4359" s="28" t="s">
        <v>5102</v>
      </c>
      <c r="C4359" s="27" t="s">
        <v>8019</v>
      </c>
      <c r="D4359" s="27" t="s">
        <v>5104</v>
      </c>
      <c r="E4359" s="29">
        <v>41270</v>
      </c>
      <c r="F4359" s="27">
        <v>15</v>
      </c>
      <c r="G4359" s="18">
        <v>126003.28</v>
      </c>
      <c r="H4359" s="27">
        <f t="shared" si="136"/>
        <v>0</v>
      </c>
      <c r="I4359" s="18">
        <v>56998.48</v>
      </c>
      <c r="J4359" s="27">
        <v>126003.28</v>
      </c>
      <c r="K4359" s="18">
        <f t="shared" si="137"/>
        <v>0</v>
      </c>
      <c r="L4359" s="27">
        <v>63965.66</v>
      </c>
      <c r="M4359" s="36">
        <v>6967.18</v>
      </c>
      <c r="T4359" s="41">
        <v>0</v>
      </c>
      <c r="U4359" s="41">
        <v>0</v>
      </c>
      <c r="V4359" s="42" t="s">
        <v>113</v>
      </c>
      <c r="W4359" s="42">
        <v>0</v>
      </c>
      <c r="X4359" s="42">
        <v>0</v>
      </c>
    </row>
    <row r="4360" spans="1:24">
      <c r="A4360" s="27" t="s">
        <v>8020</v>
      </c>
      <c r="B4360" s="28" t="s">
        <v>5102</v>
      </c>
      <c r="C4360" s="27" t="s">
        <v>8021</v>
      </c>
      <c r="D4360" s="27" t="s">
        <v>5104</v>
      </c>
      <c r="E4360" s="29">
        <v>40178</v>
      </c>
      <c r="F4360" s="27">
        <v>15</v>
      </c>
      <c r="G4360" s="18">
        <v>24529.53</v>
      </c>
      <c r="H4360" s="27">
        <f t="shared" si="136"/>
        <v>0</v>
      </c>
      <c r="I4360" s="18">
        <v>16393.57</v>
      </c>
      <c r="J4360" s="27">
        <v>24529.53</v>
      </c>
      <c r="K4360" s="18">
        <f t="shared" si="137"/>
        <v>0</v>
      </c>
      <c r="L4360" s="27">
        <v>17470.37</v>
      </c>
      <c r="M4360" s="36">
        <v>1076.8</v>
      </c>
      <c r="T4360" s="41">
        <v>0</v>
      </c>
      <c r="U4360" s="41">
        <v>0</v>
      </c>
      <c r="V4360" s="42" t="s">
        <v>113</v>
      </c>
      <c r="W4360" s="42">
        <v>0</v>
      </c>
      <c r="X4360" s="42">
        <v>0</v>
      </c>
    </row>
    <row r="4361" spans="1:24">
      <c r="A4361" s="27" t="s">
        <v>8022</v>
      </c>
      <c r="B4361" s="28" t="s">
        <v>5102</v>
      </c>
      <c r="C4361" s="27" t="s">
        <v>8023</v>
      </c>
      <c r="D4361" s="27" t="s">
        <v>5104</v>
      </c>
      <c r="E4361" s="29">
        <v>40178</v>
      </c>
      <c r="F4361" s="27">
        <v>15</v>
      </c>
      <c r="G4361" s="18">
        <v>47024.65</v>
      </c>
      <c r="H4361" s="27">
        <f t="shared" si="136"/>
        <v>0</v>
      </c>
      <c r="I4361" s="18">
        <v>31427.5</v>
      </c>
      <c r="J4361" s="27">
        <v>47024.65</v>
      </c>
      <c r="K4361" s="18">
        <f t="shared" si="137"/>
        <v>0</v>
      </c>
      <c r="L4361" s="27">
        <v>33491.800000000003</v>
      </c>
      <c r="M4361" s="36">
        <v>2064.3000000000002</v>
      </c>
      <c r="T4361" s="41">
        <v>0</v>
      </c>
      <c r="U4361" s="41">
        <v>0</v>
      </c>
      <c r="V4361" s="42" t="s">
        <v>113</v>
      </c>
      <c r="W4361" s="42">
        <v>0</v>
      </c>
      <c r="X4361" s="42">
        <v>0</v>
      </c>
    </row>
    <row r="4362" spans="1:24">
      <c r="A4362" s="27" t="s">
        <v>8024</v>
      </c>
      <c r="B4362" s="28" t="s">
        <v>5102</v>
      </c>
      <c r="C4362" s="27" t="s">
        <v>8025</v>
      </c>
      <c r="D4362" s="27" t="s">
        <v>5104</v>
      </c>
      <c r="E4362" s="29">
        <v>40178</v>
      </c>
      <c r="F4362" s="27">
        <v>15</v>
      </c>
      <c r="G4362" s="18">
        <v>36126.339999999997</v>
      </c>
      <c r="H4362" s="27">
        <f t="shared" si="136"/>
        <v>0</v>
      </c>
      <c r="I4362" s="18">
        <v>24143.94</v>
      </c>
      <c r="J4362" s="27">
        <v>36126.339999999997</v>
      </c>
      <c r="K4362" s="18">
        <f t="shared" si="137"/>
        <v>0</v>
      </c>
      <c r="L4362" s="27">
        <v>25729.82</v>
      </c>
      <c r="M4362" s="36">
        <v>1585.88</v>
      </c>
      <c r="T4362" s="41">
        <v>0</v>
      </c>
      <c r="U4362" s="41">
        <v>0</v>
      </c>
      <c r="V4362" s="42" t="s">
        <v>113</v>
      </c>
      <c r="W4362" s="42">
        <v>0</v>
      </c>
      <c r="X4362" s="42">
        <v>0</v>
      </c>
    </row>
    <row r="4363" spans="1:24">
      <c r="A4363" s="27" t="s">
        <v>8026</v>
      </c>
      <c r="B4363" s="28" t="s">
        <v>5102</v>
      </c>
      <c r="C4363" s="27" t="s">
        <v>8027</v>
      </c>
      <c r="D4363" s="27" t="s">
        <v>5104</v>
      </c>
      <c r="E4363" s="29">
        <v>40178</v>
      </c>
      <c r="F4363" s="27">
        <v>15</v>
      </c>
      <c r="G4363" s="18">
        <v>17497.29</v>
      </c>
      <c r="H4363" s="27">
        <f t="shared" si="136"/>
        <v>0</v>
      </c>
      <c r="I4363" s="18">
        <v>11693.79</v>
      </c>
      <c r="J4363" s="27">
        <v>17497.29</v>
      </c>
      <c r="K4363" s="18">
        <f t="shared" si="137"/>
        <v>0</v>
      </c>
      <c r="L4363" s="27">
        <v>12461.89</v>
      </c>
      <c r="M4363" s="36">
        <v>768.1</v>
      </c>
      <c r="T4363" s="41">
        <v>0</v>
      </c>
      <c r="U4363" s="41">
        <v>0</v>
      </c>
      <c r="V4363" s="42" t="s">
        <v>113</v>
      </c>
      <c r="W4363" s="42">
        <v>0</v>
      </c>
      <c r="X4363" s="42">
        <v>0</v>
      </c>
    </row>
    <row r="4364" spans="1:24">
      <c r="A4364" s="27" t="s">
        <v>8028</v>
      </c>
      <c r="B4364" s="28" t="s">
        <v>5102</v>
      </c>
      <c r="C4364" s="27" t="s">
        <v>8029</v>
      </c>
      <c r="D4364" s="27" t="s">
        <v>5104</v>
      </c>
      <c r="E4364" s="29">
        <v>40178</v>
      </c>
      <c r="F4364" s="27">
        <v>15</v>
      </c>
      <c r="G4364" s="18">
        <v>25962.34</v>
      </c>
      <c r="H4364" s="27">
        <f t="shared" si="136"/>
        <v>0</v>
      </c>
      <c r="I4364" s="18">
        <v>17351.150000000001</v>
      </c>
      <c r="J4364" s="27">
        <v>25962.34</v>
      </c>
      <c r="K4364" s="18">
        <f t="shared" si="137"/>
        <v>0</v>
      </c>
      <c r="L4364" s="27">
        <v>18490.849999999999</v>
      </c>
      <c r="M4364" s="36">
        <v>1139.7</v>
      </c>
      <c r="T4364" s="41">
        <v>0</v>
      </c>
      <c r="U4364" s="41">
        <v>0</v>
      </c>
      <c r="V4364" s="42" t="s">
        <v>113</v>
      </c>
      <c r="W4364" s="42">
        <v>0</v>
      </c>
      <c r="X4364" s="42">
        <v>0</v>
      </c>
    </row>
    <row r="4365" spans="1:24">
      <c r="A4365" s="27" t="s">
        <v>8030</v>
      </c>
      <c r="B4365" s="28" t="s">
        <v>5102</v>
      </c>
      <c r="C4365" s="27" t="s">
        <v>8031</v>
      </c>
      <c r="D4365" s="27" t="s">
        <v>5104</v>
      </c>
      <c r="E4365" s="29">
        <v>40056</v>
      </c>
      <c r="F4365" s="27">
        <v>15</v>
      </c>
      <c r="G4365" s="18">
        <v>33339.97</v>
      </c>
      <c r="H4365" s="27">
        <f t="shared" si="136"/>
        <v>0</v>
      </c>
      <c r="I4365" s="18">
        <v>22258.87</v>
      </c>
      <c r="J4365" s="27">
        <v>33339.97</v>
      </c>
      <c r="K4365" s="18">
        <f t="shared" si="137"/>
        <v>0</v>
      </c>
      <c r="L4365" s="27">
        <v>23726</v>
      </c>
      <c r="M4365" s="36">
        <v>1467.13</v>
      </c>
      <c r="T4365" s="41">
        <v>0</v>
      </c>
      <c r="U4365" s="41">
        <v>0</v>
      </c>
      <c r="V4365" s="42" t="s">
        <v>113</v>
      </c>
      <c r="W4365" s="42">
        <v>0</v>
      </c>
      <c r="X4365" s="42">
        <v>0</v>
      </c>
    </row>
    <row r="4366" spans="1:24">
      <c r="A4366" s="27" t="s">
        <v>8032</v>
      </c>
      <c r="B4366" s="28" t="s">
        <v>5102</v>
      </c>
      <c r="C4366" s="27" t="s">
        <v>8033</v>
      </c>
      <c r="D4366" s="27" t="s">
        <v>5104</v>
      </c>
      <c r="E4366" s="29">
        <v>40056</v>
      </c>
      <c r="F4366" s="27">
        <v>15</v>
      </c>
      <c r="G4366" s="18">
        <v>35369.53</v>
      </c>
      <c r="H4366" s="27">
        <f t="shared" si="136"/>
        <v>0</v>
      </c>
      <c r="I4366" s="18">
        <v>23613.88</v>
      </c>
      <c r="J4366" s="27">
        <v>35369.53</v>
      </c>
      <c r="K4366" s="18">
        <f t="shared" si="137"/>
        <v>0</v>
      </c>
      <c r="L4366" s="27">
        <v>25170.32</v>
      </c>
      <c r="M4366" s="36">
        <v>1556.44</v>
      </c>
      <c r="T4366" s="41">
        <v>0</v>
      </c>
      <c r="U4366" s="41">
        <v>0</v>
      </c>
      <c r="V4366" s="42" t="s">
        <v>113</v>
      </c>
      <c r="W4366" s="42">
        <v>0</v>
      </c>
      <c r="X4366" s="42">
        <v>0</v>
      </c>
    </row>
    <row r="4367" spans="1:24">
      <c r="A4367" s="27" t="s">
        <v>8034</v>
      </c>
      <c r="B4367" s="28" t="s">
        <v>5102</v>
      </c>
      <c r="C4367" s="27" t="s">
        <v>8035</v>
      </c>
      <c r="D4367" s="27" t="s">
        <v>5104</v>
      </c>
      <c r="E4367" s="29">
        <v>40056</v>
      </c>
      <c r="F4367" s="27">
        <v>15</v>
      </c>
      <c r="G4367" s="18">
        <v>55538.65</v>
      </c>
      <c r="H4367" s="27">
        <f t="shared" si="136"/>
        <v>0</v>
      </c>
      <c r="I4367" s="18">
        <v>37079.449999999997</v>
      </c>
      <c r="J4367" s="27">
        <v>55538.65</v>
      </c>
      <c r="K4367" s="18">
        <f t="shared" si="137"/>
        <v>0</v>
      </c>
      <c r="L4367" s="27">
        <v>39523.440000000002</v>
      </c>
      <c r="M4367" s="36">
        <v>2443.9899999999998</v>
      </c>
      <c r="T4367" s="41">
        <v>0</v>
      </c>
      <c r="U4367" s="41">
        <v>0</v>
      </c>
      <c r="V4367" s="42" t="s">
        <v>113</v>
      </c>
      <c r="W4367" s="42">
        <v>0</v>
      </c>
      <c r="X4367" s="42">
        <v>0</v>
      </c>
    </row>
    <row r="4368" spans="1:24">
      <c r="A4368" s="27" t="s">
        <v>8036</v>
      </c>
      <c r="B4368" s="28" t="s">
        <v>5102</v>
      </c>
      <c r="C4368" s="27" t="s">
        <v>8037</v>
      </c>
      <c r="D4368" s="27" t="s">
        <v>5104</v>
      </c>
      <c r="E4368" s="29">
        <v>40178</v>
      </c>
      <c r="F4368" s="27">
        <v>15</v>
      </c>
      <c r="G4368" s="18">
        <v>25554.91</v>
      </c>
      <c r="H4368" s="27">
        <f t="shared" si="136"/>
        <v>0</v>
      </c>
      <c r="I4368" s="18">
        <v>17069.63</v>
      </c>
      <c r="J4368" s="27">
        <v>25554.91</v>
      </c>
      <c r="K4368" s="18">
        <f t="shared" si="137"/>
        <v>0</v>
      </c>
      <c r="L4368" s="27">
        <v>18192.88</v>
      </c>
      <c r="M4368" s="36">
        <v>1123.25</v>
      </c>
      <c r="T4368" s="41">
        <v>0</v>
      </c>
      <c r="U4368" s="41">
        <v>0</v>
      </c>
      <c r="V4368" s="42" t="s">
        <v>113</v>
      </c>
      <c r="W4368" s="42">
        <v>0</v>
      </c>
      <c r="X4368" s="42">
        <v>0</v>
      </c>
    </row>
    <row r="4369" spans="1:24">
      <c r="A4369" s="27" t="s">
        <v>8038</v>
      </c>
      <c r="B4369" s="28" t="s">
        <v>5102</v>
      </c>
      <c r="C4369" s="27" t="s">
        <v>8039</v>
      </c>
      <c r="D4369" s="27" t="s">
        <v>5104</v>
      </c>
      <c r="E4369" s="29">
        <v>40178</v>
      </c>
      <c r="F4369" s="27">
        <v>15</v>
      </c>
      <c r="G4369" s="18">
        <v>48076.59</v>
      </c>
      <c r="H4369" s="27">
        <f t="shared" si="136"/>
        <v>0</v>
      </c>
      <c r="I4369" s="18">
        <v>32113.200000000001</v>
      </c>
      <c r="J4369" s="27">
        <v>48076.59</v>
      </c>
      <c r="K4369" s="18">
        <f t="shared" si="137"/>
        <v>0</v>
      </c>
      <c r="L4369" s="27">
        <v>34226.379999999997</v>
      </c>
      <c r="M4369" s="36">
        <v>2113.1799999999998</v>
      </c>
      <c r="T4369" s="41">
        <v>0</v>
      </c>
      <c r="U4369" s="41">
        <v>0</v>
      </c>
      <c r="V4369" s="42" t="s">
        <v>113</v>
      </c>
      <c r="W4369" s="42">
        <v>0</v>
      </c>
      <c r="X4369" s="42">
        <v>0</v>
      </c>
    </row>
    <row r="4370" spans="1:24">
      <c r="A4370" s="27" t="s">
        <v>8040</v>
      </c>
      <c r="B4370" s="28" t="s">
        <v>5102</v>
      </c>
      <c r="C4370" s="27" t="s">
        <v>8041</v>
      </c>
      <c r="D4370" s="27" t="s">
        <v>5104</v>
      </c>
      <c r="E4370" s="29">
        <v>40178</v>
      </c>
      <c r="F4370" s="27">
        <v>15</v>
      </c>
      <c r="G4370" s="18">
        <v>47166.62</v>
      </c>
      <c r="H4370" s="27">
        <f t="shared" si="136"/>
        <v>0</v>
      </c>
      <c r="I4370" s="18">
        <v>31505.37</v>
      </c>
      <c r="J4370" s="27">
        <v>47166.62</v>
      </c>
      <c r="K4370" s="18">
        <f t="shared" si="137"/>
        <v>0</v>
      </c>
      <c r="L4370" s="27">
        <v>33578.550000000003</v>
      </c>
      <c r="M4370" s="36">
        <v>2073.1799999999998</v>
      </c>
      <c r="T4370" s="41">
        <v>0</v>
      </c>
      <c r="U4370" s="41">
        <v>0</v>
      </c>
      <c r="V4370" s="42" t="s">
        <v>113</v>
      </c>
      <c r="W4370" s="42">
        <v>0</v>
      </c>
      <c r="X4370" s="42">
        <v>0</v>
      </c>
    </row>
    <row r="4371" spans="1:24">
      <c r="A4371" s="27" t="s">
        <v>8042</v>
      </c>
      <c r="B4371" s="28" t="s">
        <v>5102</v>
      </c>
      <c r="C4371" s="27" t="s">
        <v>8043</v>
      </c>
      <c r="D4371" s="27" t="s">
        <v>5104</v>
      </c>
      <c r="E4371" s="29">
        <v>40117</v>
      </c>
      <c r="F4371" s="27">
        <v>15</v>
      </c>
      <c r="G4371" s="18">
        <v>82759.63</v>
      </c>
      <c r="H4371" s="27">
        <f t="shared" si="136"/>
        <v>0</v>
      </c>
      <c r="I4371" s="18">
        <v>55267.1</v>
      </c>
      <c r="J4371" s="27">
        <v>82759.63</v>
      </c>
      <c r="K4371" s="18">
        <f t="shared" si="137"/>
        <v>0</v>
      </c>
      <c r="L4371" s="27">
        <v>58906.77</v>
      </c>
      <c r="M4371" s="36">
        <v>3639.67</v>
      </c>
      <c r="T4371" s="41">
        <v>0</v>
      </c>
      <c r="U4371" s="41">
        <v>0</v>
      </c>
      <c r="V4371" s="42" t="s">
        <v>113</v>
      </c>
      <c r="W4371" s="42">
        <v>0</v>
      </c>
      <c r="X4371" s="42">
        <v>0</v>
      </c>
    </row>
    <row r="4372" spans="1:24">
      <c r="A4372" s="27" t="s">
        <v>8044</v>
      </c>
      <c r="B4372" s="28" t="s">
        <v>5102</v>
      </c>
      <c r="C4372" s="27" t="s">
        <v>8045</v>
      </c>
      <c r="D4372" s="27" t="s">
        <v>5104</v>
      </c>
      <c r="E4372" s="29">
        <v>40117</v>
      </c>
      <c r="F4372" s="27">
        <v>15</v>
      </c>
      <c r="G4372" s="18">
        <v>51171.98</v>
      </c>
      <c r="H4372" s="27">
        <f t="shared" si="136"/>
        <v>0</v>
      </c>
      <c r="I4372" s="18">
        <v>34172.769999999997</v>
      </c>
      <c r="J4372" s="27">
        <v>51171.98</v>
      </c>
      <c r="K4372" s="18">
        <f t="shared" si="137"/>
        <v>0</v>
      </c>
      <c r="L4372" s="27">
        <v>36423.25</v>
      </c>
      <c r="M4372" s="36">
        <v>2250.48</v>
      </c>
      <c r="T4372" s="41">
        <v>0</v>
      </c>
      <c r="U4372" s="41">
        <v>0</v>
      </c>
      <c r="V4372" s="42" t="s">
        <v>113</v>
      </c>
      <c r="W4372" s="42">
        <v>0</v>
      </c>
      <c r="X4372" s="42">
        <v>0</v>
      </c>
    </row>
    <row r="4373" spans="1:24">
      <c r="A4373" s="27" t="s">
        <v>8046</v>
      </c>
      <c r="B4373" s="28" t="s">
        <v>5102</v>
      </c>
      <c r="C4373" s="27" t="s">
        <v>8047</v>
      </c>
      <c r="D4373" s="27" t="s">
        <v>5104</v>
      </c>
      <c r="E4373" s="29">
        <v>40117</v>
      </c>
      <c r="F4373" s="27">
        <v>15</v>
      </c>
      <c r="G4373" s="18">
        <v>30008.28</v>
      </c>
      <c r="H4373" s="27">
        <f t="shared" si="136"/>
        <v>0</v>
      </c>
      <c r="I4373" s="18">
        <v>20039.61</v>
      </c>
      <c r="J4373" s="27">
        <v>30008.28</v>
      </c>
      <c r="K4373" s="18">
        <f t="shared" si="137"/>
        <v>0</v>
      </c>
      <c r="L4373" s="27">
        <v>21359.34</v>
      </c>
      <c r="M4373" s="36">
        <v>1319.73</v>
      </c>
      <c r="T4373" s="41">
        <v>0</v>
      </c>
      <c r="U4373" s="41">
        <v>0</v>
      </c>
      <c r="V4373" s="42" t="s">
        <v>113</v>
      </c>
      <c r="W4373" s="42">
        <v>0</v>
      </c>
      <c r="X4373" s="42">
        <v>0</v>
      </c>
    </row>
    <row r="4374" spans="1:24">
      <c r="A4374" s="27" t="s">
        <v>8048</v>
      </c>
      <c r="B4374" s="28" t="s">
        <v>5102</v>
      </c>
      <c r="C4374" s="27" t="s">
        <v>8049</v>
      </c>
      <c r="D4374" s="27" t="s">
        <v>5104</v>
      </c>
      <c r="E4374" s="29">
        <v>40117</v>
      </c>
      <c r="F4374" s="27">
        <v>15</v>
      </c>
      <c r="G4374" s="18">
        <v>112767.9</v>
      </c>
      <c r="H4374" s="27">
        <f t="shared" si="136"/>
        <v>0</v>
      </c>
      <c r="I4374" s="18">
        <v>75306.7</v>
      </c>
      <c r="J4374" s="27">
        <v>112767.9</v>
      </c>
      <c r="K4374" s="18">
        <f t="shared" si="137"/>
        <v>0</v>
      </c>
      <c r="L4374" s="27">
        <v>80266.100000000006</v>
      </c>
      <c r="M4374" s="36">
        <v>4959.3999999999996</v>
      </c>
      <c r="T4374" s="41">
        <v>0</v>
      </c>
      <c r="U4374" s="41">
        <v>0</v>
      </c>
      <c r="V4374" s="42" t="s">
        <v>113</v>
      </c>
      <c r="W4374" s="42">
        <v>0</v>
      </c>
      <c r="X4374" s="42">
        <v>0</v>
      </c>
    </row>
    <row r="4375" spans="1:24">
      <c r="A4375" s="27" t="s">
        <v>8050</v>
      </c>
      <c r="B4375" s="28" t="s">
        <v>5102</v>
      </c>
      <c r="C4375" s="27" t="s">
        <v>8051</v>
      </c>
      <c r="D4375" s="27" t="s">
        <v>5104</v>
      </c>
      <c r="E4375" s="29">
        <v>40117</v>
      </c>
      <c r="F4375" s="27">
        <v>15</v>
      </c>
      <c r="G4375" s="18">
        <v>63238.84</v>
      </c>
      <c r="H4375" s="27">
        <f t="shared" si="136"/>
        <v>0</v>
      </c>
      <c r="I4375" s="18">
        <v>42231.07</v>
      </c>
      <c r="J4375" s="27">
        <v>63238.84</v>
      </c>
      <c r="K4375" s="18">
        <f t="shared" si="137"/>
        <v>0</v>
      </c>
      <c r="L4375" s="27">
        <v>45012.24</v>
      </c>
      <c r="M4375" s="36">
        <v>2781.17</v>
      </c>
      <c r="T4375" s="41">
        <v>0</v>
      </c>
      <c r="U4375" s="41">
        <v>0</v>
      </c>
      <c r="V4375" s="42" t="s">
        <v>113</v>
      </c>
      <c r="W4375" s="42">
        <v>0</v>
      </c>
      <c r="X4375" s="42">
        <v>0</v>
      </c>
    </row>
    <row r="4376" spans="1:24">
      <c r="A4376" s="27" t="s">
        <v>8052</v>
      </c>
      <c r="B4376" s="28" t="s">
        <v>5102</v>
      </c>
      <c r="C4376" s="27" t="s">
        <v>8053</v>
      </c>
      <c r="D4376" s="27" t="s">
        <v>5104</v>
      </c>
      <c r="E4376" s="29">
        <v>40178</v>
      </c>
      <c r="F4376" s="27">
        <v>15</v>
      </c>
      <c r="G4376" s="18">
        <v>18774.5</v>
      </c>
      <c r="H4376" s="27">
        <f t="shared" si="136"/>
        <v>0</v>
      </c>
      <c r="I4376" s="18">
        <v>12579.33</v>
      </c>
      <c r="J4376" s="27">
        <v>18774.5</v>
      </c>
      <c r="K4376" s="18">
        <f t="shared" si="137"/>
        <v>0</v>
      </c>
      <c r="L4376" s="27">
        <v>13398.52</v>
      </c>
      <c r="M4376" s="36">
        <v>819.19</v>
      </c>
      <c r="T4376" s="41">
        <v>0</v>
      </c>
      <c r="U4376" s="41">
        <v>0</v>
      </c>
      <c r="V4376" s="42" t="s">
        <v>113</v>
      </c>
      <c r="W4376" s="42">
        <v>0</v>
      </c>
      <c r="X4376" s="42">
        <v>0</v>
      </c>
    </row>
    <row r="4377" spans="1:24">
      <c r="A4377" s="27" t="s">
        <v>8054</v>
      </c>
      <c r="B4377" s="28" t="s">
        <v>5102</v>
      </c>
      <c r="C4377" s="27" t="s">
        <v>8055</v>
      </c>
      <c r="D4377" s="27" t="s">
        <v>5104</v>
      </c>
      <c r="E4377" s="29">
        <v>40178</v>
      </c>
      <c r="F4377" s="27">
        <v>15</v>
      </c>
      <c r="G4377" s="18">
        <v>21834.04</v>
      </c>
      <c r="H4377" s="27">
        <f t="shared" si="136"/>
        <v>0</v>
      </c>
      <c r="I4377" s="18">
        <v>14629.3</v>
      </c>
      <c r="J4377" s="27">
        <v>21834.04</v>
      </c>
      <c r="K4377" s="18">
        <f t="shared" si="137"/>
        <v>0</v>
      </c>
      <c r="L4377" s="27">
        <v>15581.98</v>
      </c>
      <c r="M4377" s="36">
        <v>952.68</v>
      </c>
      <c r="T4377" s="41">
        <v>0</v>
      </c>
      <c r="U4377" s="41">
        <v>0</v>
      </c>
      <c r="V4377" s="42" t="s">
        <v>113</v>
      </c>
      <c r="W4377" s="42">
        <v>0</v>
      </c>
      <c r="X4377" s="42">
        <v>0</v>
      </c>
    </row>
    <row r="4378" spans="1:24">
      <c r="A4378" s="27" t="s">
        <v>8056</v>
      </c>
      <c r="B4378" s="28" t="s">
        <v>5102</v>
      </c>
      <c r="C4378" s="27" t="s">
        <v>8057</v>
      </c>
      <c r="D4378" s="27" t="s">
        <v>5104</v>
      </c>
      <c r="E4378" s="29">
        <v>40178</v>
      </c>
      <c r="F4378" s="27">
        <v>15</v>
      </c>
      <c r="G4378" s="18">
        <v>41442.959999999999</v>
      </c>
      <c r="H4378" s="27">
        <f t="shared" si="136"/>
        <v>0</v>
      </c>
      <c r="I4378" s="18">
        <v>27767.71</v>
      </c>
      <c r="J4378" s="27">
        <v>41442.959999999999</v>
      </c>
      <c r="K4378" s="18">
        <f t="shared" si="137"/>
        <v>0</v>
      </c>
      <c r="L4378" s="27">
        <v>29575.99</v>
      </c>
      <c r="M4378" s="36">
        <v>1808.28</v>
      </c>
      <c r="T4378" s="41">
        <v>0</v>
      </c>
      <c r="U4378" s="41">
        <v>0</v>
      </c>
      <c r="V4378" s="42" t="s">
        <v>113</v>
      </c>
      <c r="W4378" s="42">
        <v>0</v>
      </c>
      <c r="X4378" s="42">
        <v>0</v>
      </c>
    </row>
    <row r="4379" spans="1:24">
      <c r="A4379" s="27" t="s">
        <v>8058</v>
      </c>
      <c r="B4379" s="28" t="s">
        <v>5102</v>
      </c>
      <c r="C4379" s="27" t="s">
        <v>8059</v>
      </c>
      <c r="D4379" s="27" t="s">
        <v>5104</v>
      </c>
      <c r="E4379" s="29">
        <v>40178</v>
      </c>
      <c r="F4379" s="27">
        <v>15</v>
      </c>
      <c r="G4379" s="18">
        <v>55628.14</v>
      </c>
      <c r="H4379" s="27">
        <f t="shared" si="136"/>
        <v>0</v>
      </c>
      <c r="I4379" s="18">
        <v>37272.080000000002</v>
      </c>
      <c r="J4379" s="27">
        <v>55628.14</v>
      </c>
      <c r="K4379" s="18">
        <f t="shared" si="137"/>
        <v>0</v>
      </c>
      <c r="L4379" s="27">
        <v>39699.300000000003</v>
      </c>
      <c r="M4379" s="36">
        <v>2427.2199999999998</v>
      </c>
      <c r="T4379" s="41">
        <v>0</v>
      </c>
      <c r="U4379" s="41">
        <v>0</v>
      </c>
      <c r="V4379" s="42" t="s">
        <v>113</v>
      </c>
      <c r="W4379" s="42">
        <v>0</v>
      </c>
      <c r="X4379" s="42">
        <v>0</v>
      </c>
    </row>
    <row r="4380" spans="1:24">
      <c r="A4380" s="27" t="s">
        <v>8060</v>
      </c>
      <c r="B4380" s="28" t="s">
        <v>5102</v>
      </c>
      <c r="C4380" s="27" t="s">
        <v>8061</v>
      </c>
      <c r="D4380" s="27" t="s">
        <v>5104</v>
      </c>
      <c r="E4380" s="29">
        <v>40178</v>
      </c>
      <c r="F4380" s="27">
        <v>15</v>
      </c>
      <c r="G4380" s="18">
        <v>37456.28</v>
      </c>
      <c r="H4380" s="27">
        <f t="shared" si="136"/>
        <v>0</v>
      </c>
      <c r="I4380" s="18">
        <v>25096.55</v>
      </c>
      <c r="J4380" s="27">
        <v>37456.28</v>
      </c>
      <c r="K4380" s="18">
        <f t="shared" si="137"/>
        <v>0</v>
      </c>
      <c r="L4380" s="27">
        <v>26730.880000000001</v>
      </c>
      <c r="M4380" s="36">
        <v>1634.33</v>
      </c>
      <c r="T4380" s="41">
        <v>0</v>
      </c>
      <c r="U4380" s="41">
        <v>0</v>
      </c>
      <c r="V4380" s="42" t="s">
        <v>113</v>
      </c>
      <c r="W4380" s="42">
        <v>0</v>
      </c>
      <c r="X4380" s="42">
        <v>0</v>
      </c>
    </row>
    <row r="4381" spans="1:24">
      <c r="A4381" s="27" t="s">
        <v>8062</v>
      </c>
      <c r="B4381" s="28" t="s">
        <v>5102</v>
      </c>
      <c r="C4381" s="27" t="s">
        <v>8063</v>
      </c>
      <c r="D4381" s="27" t="s">
        <v>5104</v>
      </c>
      <c r="E4381" s="29">
        <v>40178</v>
      </c>
      <c r="F4381" s="27">
        <v>15</v>
      </c>
      <c r="G4381" s="18">
        <v>23363.82</v>
      </c>
      <c r="H4381" s="27">
        <f t="shared" si="136"/>
        <v>0</v>
      </c>
      <c r="I4381" s="18">
        <v>15654.28</v>
      </c>
      <c r="J4381" s="27">
        <v>23363.82</v>
      </c>
      <c r="K4381" s="18">
        <f t="shared" si="137"/>
        <v>0</v>
      </c>
      <c r="L4381" s="27">
        <v>16673.71</v>
      </c>
      <c r="M4381" s="36">
        <v>1019.43</v>
      </c>
      <c r="T4381" s="41">
        <v>0</v>
      </c>
      <c r="U4381" s="41">
        <v>0</v>
      </c>
      <c r="V4381" s="42" t="s">
        <v>113</v>
      </c>
      <c r="W4381" s="42">
        <v>0</v>
      </c>
      <c r="X4381" s="42">
        <v>0</v>
      </c>
    </row>
    <row r="4382" spans="1:24">
      <c r="A4382" s="27" t="s">
        <v>8064</v>
      </c>
      <c r="B4382" s="28" t="s">
        <v>5102</v>
      </c>
      <c r="C4382" s="27" t="s">
        <v>8065</v>
      </c>
      <c r="D4382" s="27" t="s">
        <v>5104</v>
      </c>
      <c r="E4382" s="29">
        <v>40178</v>
      </c>
      <c r="F4382" s="27">
        <v>15</v>
      </c>
      <c r="G4382" s="18">
        <v>12469.97</v>
      </c>
      <c r="H4382" s="27">
        <f t="shared" si="136"/>
        <v>0</v>
      </c>
      <c r="I4382" s="18">
        <v>8355.16</v>
      </c>
      <c r="J4382" s="27">
        <v>12469.97</v>
      </c>
      <c r="K4382" s="18">
        <f t="shared" si="137"/>
        <v>0</v>
      </c>
      <c r="L4382" s="27">
        <v>8899.26</v>
      </c>
      <c r="M4382" s="36">
        <v>544.1</v>
      </c>
      <c r="T4382" s="41">
        <v>0</v>
      </c>
      <c r="U4382" s="41">
        <v>0</v>
      </c>
      <c r="V4382" s="42" t="s">
        <v>113</v>
      </c>
      <c r="W4382" s="42">
        <v>0</v>
      </c>
      <c r="X4382" s="42">
        <v>0</v>
      </c>
    </row>
    <row r="4383" spans="1:24">
      <c r="A4383" s="27" t="s">
        <v>8066</v>
      </c>
      <c r="B4383" s="28" t="s">
        <v>5102</v>
      </c>
      <c r="C4383" s="27" t="s">
        <v>8067</v>
      </c>
      <c r="D4383" s="27" t="s">
        <v>5104</v>
      </c>
      <c r="E4383" s="29">
        <v>40117</v>
      </c>
      <c r="F4383" s="27">
        <v>15</v>
      </c>
      <c r="G4383" s="18">
        <v>27182.33</v>
      </c>
      <c r="H4383" s="27">
        <f t="shared" si="136"/>
        <v>0</v>
      </c>
      <c r="I4383" s="18">
        <v>18162.39</v>
      </c>
      <c r="J4383" s="27">
        <v>27182.33</v>
      </c>
      <c r="K4383" s="18">
        <f t="shared" si="137"/>
        <v>0</v>
      </c>
      <c r="L4383" s="27">
        <v>19356.28</v>
      </c>
      <c r="M4383" s="36">
        <v>1193.8900000000001</v>
      </c>
      <c r="T4383" s="41">
        <v>0</v>
      </c>
      <c r="U4383" s="41">
        <v>0</v>
      </c>
      <c r="V4383" s="42" t="s">
        <v>113</v>
      </c>
      <c r="W4383" s="42">
        <v>0</v>
      </c>
      <c r="X4383" s="42">
        <v>0</v>
      </c>
    </row>
    <row r="4384" spans="1:24">
      <c r="A4384" s="27" t="s">
        <v>8068</v>
      </c>
      <c r="B4384" s="28" t="s">
        <v>5102</v>
      </c>
      <c r="C4384" s="27" t="s">
        <v>8069</v>
      </c>
      <c r="D4384" s="27" t="s">
        <v>5104</v>
      </c>
      <c r="E4384" s="29">
        <v>40117</v>
      </c>
      <c r="F4384" s="27">
        <v>15</v>
      </c>
      <c r="G4384" s="18">
        <v>27495.85</v>
      </c>
      <c r="H4384" s="27">
        <f t="shared" si="136"/>
        <v>0</v>
      </c>
      <c r="I4384" s="18">
        <v>18371.88</v>
      </c>
      <c r="J4384" s="27">
        <v>27495.85</v>
      </c>
      <c r="K4384" s="18">
        <f t="shared" si="137"/>
        <v>0</v>
      </c>
      <c r="L4384" s="27">
        <v>19579.54</v>
      </c>
      <c r="M4384" s="36">
        <v>1207.6600000000001</v>
      </c>
      <c r="T4384" s="41">
        <v>0</v>
      </c>
      <c r="U4384" s="41">
        <v>0</v>
      </c>
      <c r="V4384" s="42" t="s">
        <v>113</v>
      </c>
      <c r="W4384" s="42">
        <v>0</v>
      </c>
      <c r="X4384" s="42">
        <v>0</v>
      </c>
    </row>
    <row r="4385" spans="1:24">
      <c r="A4385" s="27" t="s">
        <v>8070</v>
      </c>
      <c r="B4385" s="28" t="s">
        <v>5102</v>
      </c>
      <c r="C4385" s="27" t="s">
        <v>8071</v>
      </c>
      <c r="D4385" s="27" t="s">
        <v>5104</v>
      </c>
      <c r="E4385" s="29">
        <v>40117</v>
      </c>
      <c r="F4385" s="27">
        <v>15</v>
      </c>
      <c r="G4385" s="18">
        <v>20428.810000000001</v>
      </c>
      <c r="H4385" s="27">
        <f t="shared" si="136"/>
        <v>0</v>
      </c>
      <c r="I4385" s="18">
        <v>13649.9</v>
      </c>
      <c r="J4385" s="27">
        <v>20428.810000000001</v>
      </c>
      <c r="K4385" s="18">
        <f t="shared" si="137"/>
        <v>0</v>
      </c>
      <c r="L4385" s="27">
        <v>14547.17</v>
      </c>
      <c r="M4385" s="36">
        <v>897.27</v>
      </c>
      <c r="T4385" s="41">
        <v>0</v>
      </c>
      <c r="U4385" s="41">
        <v>0</v>
      </c>
      <c r="V4385" s="42" t="s">
        <v>113</v>
      </c>
      <c r="W4385" s="42">
        <v>0</v>
      </c>
      <c r="X4385" s="42">
        <v>0</v>
      </c>
    </row>
    <row r="4386" spans="1:24">
      <c r="A4386" s="27" t="s">
        <v>8072</v>
      </c>
      <c r="B4386" s="28" t="s">
        <v>5102</v>
      </c>
      <c r="C4386" s="27" t="s">
        <v>8073</v>
      </c>
      <c r="D4386" s="27" t="s">
        <v>5104</v>
      </c>
      <c r="E4386" s="29">
        <v>40117</v>
      </c>
      <c r="F4386" s="27">
        <v>15</v>
      </c>
      <c r="G4386" s="18">
        <v>33427.61</v>
      </c>
      <c r="H4386" s="27">
        <f t="shared" si="136"/>
        <v>0</v>
      </c>
      <c r="I4386" s="18">
        <v>22335.29</v>
      </c>
      <c r="J4386" s="27">
        <v>33427.61</v>
      </c>
      <c r="K4386" s="18">
        <f t="shared" si="137"/>
        <v>0</v>
      </c>
      <c r="L4386" s="27">
        <v>23803.49</v>
      </c>
      <c r="M4386" s="36">
        <v>1468.2</v>
      </c>
      <c r="T4386" s="41">
        <v>0</v>
      </c>
      <c r="U4386" s="41">
        <v>0</v>
      </c>
      <c r="V4386" s="42" t="s">
        <v>113</v>
      </c>
      <c r="W4386" s="42">
        <v>0</v>
      </c>
      <c r="X4386" s="42">
        <v>0</v>
      </c>
    </row>
    <row r="4387" spans="1:24">
      <c r="A4387" s="27" t="s">
        <v>8074</v>
      </c>
      <c r="B4387" s="28" t="s">
        <v>5102</v>
      </c>
      <c r="C4387" s="27" t="s">
        <v>8075</v>
      </c>
      <c r="D4387" s="27" t="s">
        <v>5104</v>
      </c>
      <c r="E4387" s="29">
        <v>40178</v>
      </c>
      <c r="F4387" s="27">
        <v>15</v>
      </c>
      <c r="G4387" s="18">
        <v>78724.84</v>
      </c>
      <c r="H4387" s="27">
        <f t="shared" si="136"/>
        <v>0</v>
      </c>
      <c r="I4387" s="18">
        <v>52573.3</v>
      </c>
      <c r="J4387" s="27">
        <v>78724.84</v>
      </c>
      <c r="K4387" s="18">
        <f t="shared" si="137"/>
        <v>0</v>
      </c>
      <c r="L4387" s="27">
        <v>56035.42</v>
      </c>
      <c r="M4387" s="36">
        <v>3462.12</v>
      </c>
      <c r="T4387" s="41">
        <v>0</v>
      </c>
      <c r="U4387" s="41">
        <v>0</v>
      </c>
      <c r="V4387" s="42" t="s">
        <v>113</v>
      </c>
      <c r="W4387" s="42">
        <v>0</v>
      </c>
      <c r="X4387" s="42">
        <v>0</v>
      </c>
    </row>
    <row r="4388" spans="1:24">
      <c r="A4388" s="27" t="s">
        <v>8076</v>
      </c>
      <c r="B4388" s="28" t="s">
        <v>5102</v>
      </c>
      <c r="C4388" s="27" t="s">
        <v>8077</v>
      </c>
      <c r="D4388" s="27" t="s">
        <v>5104</v>
      </c>
      <c r="E4388" s="29">
        <v>40178</v>
      </c>
      <c r="F4388" s="27">
        <v>15</v>
      </c>
      <c r="G4388" s="18">
        <v>11208.1</v>
      </c>
      <c r="H4388" s="27">
        <f t="shared" si="136"/>
        <v>0</v>
      </c>
      <c r="I4388" s="18">
        <v>7484.89</v>
      </c>
      <c r="J4388" s="27">
        <v>11208.1</v>
      </c>
      <c r="K4388" s="18">
        <f t="shared" si="137"/>
        <v>0</v>
      </c>
      <c r="L4388" s="27">
        <v>7977.79</v>
      </c>
      <c r="M4388" s="36">
        <v>492.9</v>
      </c>
      <c r="T4388" s="41">
        <v>0</v>
      </c>
      <c r="U4388" s="41">
        <v>0</v>
      </c>
      <c r="V4388" s="42" t="s">
        <v>113</v>
      </c>
      <c r="W4388" s="42">
        <v>0</v>
      </c>
      <c r="X4388" s="42">
        <v>0</v>
      </c>
    </row>
    <row r="4389" spans="1:24">
      <c r="A4389" s="27" t="s">
        <v>8078</v>
      </c>
      <c r="B4389" s="28" t="s">
        <v>5102</v>
      </c>
      <c r="C4389" s="27" t="s">
        <v>8079</v>
      </c>
      <c r="D4389" s="27" t="s">
        <v>5104</v>
      </c>
      <c r="E4389" s="29">
        <v>40178</v>
      </c>
      <c r="F4389" s="27">
        <v>15</v>
      </c>
      <c r="G4389" s="18">
        <v>10430.51</v>
      </c>
      <c r="H4389" s="27">
        <f t="shared" si="136"/>
        <v>0</v>
      </c>
      <c r="I4389" s="18">
        <v>6965.6</v>
      </c>
      <c r="J4389" s="27">
        <v>10430.51</v>
      </c>
      <c r="K4389" s="18">
        <f t="shared" si="137"/>
        <v>0</v>
      </c>
      <c r="L4389" s="27">
        <v>7424.31</v>
      </c>
      <c r="M4389" s="36">
        <v>458.71</v>
      </c>
      <c r="T4389" s="41">
        <v>0</v>
      </c>
      <c r="U4389" s="41">
        <v>0</v>
      </c>
      <c r="V4389" s="42" t="s">
        <v>113</v>
      </c>
      <c r="W4389" s="42">
        <v>0</v>
      </c>
      <c r="X4389" s="42">
        <v>0</v>
      </c>
    </row>
    <row r="4390" spans="1:24">
      <c r="A4390" s="27" t="s">
        <v>8080</v>
      </c>
      <c r="B4390" s="28" t="s">
        <v>5102</v>
      </c>
      <c r="C4390" s="27" t="s">
        <v>8081</v>
      </c>
      <c r="D4390" s="27" t="s">
        <v>5104</v>
      </c>
      <c r="E4390" s="29">
        <v>40178</v>
      </c>
      <c r="F4390" s="27">
        <v>15</v>
      </c>
      <c r="G4390" s="18">
        <v>138309.51</v>
      </c>
      <c r="H4390" s="27">
        <f t="shared" si="136"/>
        <v>0</v>
      </c>
      <c r="I4390" s="18">
        <v>92364.56</v>
      </c>
      <c r="J4390" s="27">
        <v>138309.51</v>
      </c>
      <c r="K4390" s="18">
        <f t="shared" si="137"/>
        <v>0</v>
      </c>
      <c r="L4390" s="27">
        <v>98447.07</v>
      </c>
      <c r="M4390" s="36">
        <v>6082.51</v>
      </c>
      <c r="T4390" s="41">
        <v>0</v>
      </c>
      <c r="U4390" s="41">
        <v>0</v>
      </c>
      <c r="V4390" s="42" t="s">
        <v>113</v>
      </c>
      <c r="W4390" s="42">
        <v>0</v>
      </c>
      <c r="X4390" s="42">
        <v>0</v>
      </c>
    </row>
    <row r="4391" spans="1:24">
      <c r="A4391" s="27" t="s">
        <v>8082</v>
      </c>
      <c r="B4391" s="28" t="s">
        <v>5102</v>
      </c>
      <c r="C4391" s="27" t="s">
        <v>8083</v>
      </c>
      <c r="D4391" s="27" t="s">
        <v>5104</v>
      </c>
      <c r="E4391" s="29">
        <v>40178</v>
      </c>
      <c r="F4391" s="27">
        <v>15</v>
      </c>
      <c r="G4391" s="18">
        <v>33946.07</v>
      </c>
      <c r="H4391" s="27">
        <f t="shared" si="136"/>
        <v>0</v>
      </c>
      <c r="I4391" s="18">
        <v>22669.55</v>
      </c>
      <c r="J4391" s="27">
        <v>33946.07</v>
      </c>
      <c r="K4391" s="18">
        <f t="shared" si="137"/>
        <v>0</v>
      </c>
      <c r="L4391" s="27">
        <v>24162.42</v>
      </c>
      <c r="M4391" s="36">
        <v>1492.87</v>
      </c>
      <c r="T4391" s="41">
        <v>0</v>
      </c>
      <c r="U4391" s="41">
        <v>0</v>
      </c>
      <c r="V4391" s="42" t="s">
        <v>113</v>
      </c>
      <c r="W4391" s="42">
        <v>0</v>
      </c>
      <c r="X4391" s="42">
        <v>0</v>
      </c>
    </row>
    <row r="4392" spans="1:24">
      <c r="A4392" s="27" t="s">
        <v>8084</v>
      </c>
      <c r="B4392" s="28" t="s">
        <v>5102</v>
      </c>
      <c r="C4392" s="27" t="s">
        <v>8085</v>
      </c>
      <c r="D4392" s="27" t="s">
        <v>5104</v>
      </c>
      <c r="E4392" s="29">
        <v>40178</v>
      </c>
      <c r="F4392" s="27">
        <v>15</v>
      </c>
      <c r="G4392" s="18">
        <v>16999.849999999999</v>
      </c>
      <c r="H4392" s="27">
        <f t="shared" si="136"/>
        <v>0</v>
      </c>
      <c r="I4392" s="18">
        <v>11352.68</v>
      </c>
      <c r="J4392" s="27">
        <v>16999.849999999999</v>
      </c>
      <c r="K4392" s="18">
        <f t="shared" si="137"/>
        <v>0</v>
      </c>
      <c r="L4392" s="27">
        <v>12100.29</v>
      </c>
      <c r="M4392" s="36">
        <v>747.61</v>
      </c>
      <c r="T4392" s="41">
        <v>0</v>
      </c>
      <c r="U4392" s="41">
        <v>0</v>
      </c>
      <c r="V4392" s="42" t="s">
        <v>113</v>
      </c>
      <c r="W4392" s="42">
        <v>0</v>
      </c>
      <c r="X4392" s="42">
        <v>0</v>
      </c>
    </row>
    <row r="4393" spans="1:24">
      <c r="A4393" s="27" t="s">
        <v>8086</v>
      </c>
      <c r="B4393" s="28" t="s">
        <v>5102</v>
      </c>
      <c r="C4393" s="27" t="s">
        <v>8087</v>
      </c>
      <c r="D4393" s="27" t="s">
        <v>5104</v>
      </c>
      <c r="E4393" s="29">
        <v>40178</v>
      </c>
      <c r="F4393" s="27">
        <v>15</v>
      </c>
      <c r="G4393" s="18">
        <v>23569.19</v>
      </c>
      <c r="H4393" s="27">
        <f t="shared" si="136"/>
        <v>0</v>
      </c>
      <c r="I4393" s="18">
        <v>15739.75</v>
      </c>
      <c r="J4393" s="27">
        <v>23569.19</v>
      </c>
      <c r="K4393" s="18">
        <f t="shared" si="137"/>
        <v>0</v>
      </c>
      <c r="L4393" s="27">
        <v>16776.27</v>
      </c>
      <c r="M4393" s="36">
        <v>1036.52</v>
      </c>
      <c r="T4393" s="41">
        <v>0</v>
      </c>
      <c r="U4393" s="41">
        <v>0</v>
      </c>
      <c r="V4393" s="42" t="s">
        <v>113</v>
      </c>
      <c r="W4393" s="42">
        <v>0</v>
      </c>
      <c r="X4393" s="42">
        <v>0</v>
      </c>
    </row>
    <row r="4394" spans="1:24">
      <c r="A4394" s="27" t="s">
        <v>8088</v>
      </c>
      <c r="B4394" s="28" t="s">
        <v>5102</v>
      </c>
      <c r="C4394" s="27" t="s">
        <v>8089</v>
      </c>
      <c r="D4394" s="27" t="s">
        <v>5104</v>
      </c>
      <c r="E4394" s="29">
        <v>40178</v>
      </c>
      <c r="F4394" s="27">
        <v>15</v>
      </c>
      <c r="G4394" s="18">
        <v>18313.71</v>
      </c>
      <c r="H4394" s="27">
        <f t="shared" si="136"/>
        <v>0</v>
      </c>
      <c r="I4394" s="18">
        <v>12230.09</v>
      </c>
      <c r="J4394" s="27">
        <v>18313.71</v>
      </c>
      <c r="K4394" s="18">
        <f t="shared" si="137"/>
        <v>0</v>
      </c>
      <c r="L4394" s="27">
        <v>13035.48</v>
      </c>
      <c r="M4394" s="36">
        <v>805.39</v>
      </c>
      <c r="T4394" s="41">
        <v>0</v>
      </c>
      <c r="U4394" s="41">
        <v>0</v>
      </c>
      <c r="V4394" s="42" t="s">
        <v>113</v>
      </c>
      <c r="W4394" s="42">
        <v>0</v>
      </c>
      <c r="X4394" s="42">
        <v>0</v>
      </c>
    </row>
    <row r="4395" spans="1:24">
      <c r="A4395" s="27" t="s">
        <v>8090</v>
      </c>
      <c r="B4395" s="28" t="s">
        <v>5102</v>
      </c>
      <c r="C4395" s="27" t="s">
        <v>8091</v>
      </c>
      <c r="D4395" s="27" t="s">
        <v>5104</v>
      </c>
      <c r="E4395" s="29">
        <v>40178</v>
      </c>
      <c r="F4395" s="27">
        <v>15</v>
      </c>
      <c r="G4395" s="18">
        <v>12414.71</v>
      </c>
      <c r="H4395" s="27">
        <f t="shared" si="136"/>
        <v>0</v>
      </c>
      <c r="I4395" s="18">
        <v>8290.67</v>
      </c>
      <c r="J4395" s="27">
        <v>12414.71</v>
      </c>
      <c r="K4395" s="18">
        <f t="shared" si="137"/>
        <v>0</v>
      </c>
      <c r="L4395" s="27">
        <v>8836.64</v>
      </c>
      <c r="M4395" s="36">
        <v>545.97</v>
      </c>
      <c r="T4395" s="41">
        <v>0</v>
      </c>
      <c r="U4395" s="41">
        <v>0</v>
      </c>
      <c r="V4395" s="42" t="s">
        <v>113</v>
      </c>
      <c r="W4395" s="42">
        <v>0</v>
      </c>
      <c r="X4395" s="42">
        <v>0</v>
      </c>
    </row>
    <row r="4396" spans="1:24">
      <c r="A4396" s="27" t="s">
        <v>8092</v>
      </c>
      <c r="B4396" s="28" t="s">
        <v>5102</v>
      </c>
      <c r="C4396" s="27" t="s">
        <v>8093</v>
      </c>
      <c r="D4396" s="27" t="s">
        <v>5104</v>
      </c>
      <c r="E4396" s="29">
        <v>40178</v>
      </c>
      <c r="F4396" s="27">
        <v>15</v>
      </c>
      <c r="G4396" s="18">
        <v>48130.48</v>
      </c>
      <c r="H4396" s="27">
        <f t="shared" si="136"/>
        <v>0</v>
      </c>
      <c r="I4396" s="18">
        <v>32142.05</v>
      </c>
      <c r="J4396" s="27">
        <v>48130.48</v>
      </c>
      <c r="K4396" s="18">
        <f t="shared" si="137"/>
        <v>0</v>
      </c>
      <c r="L4396" s="27">
        <v>34258.71</v>
      </c>
      <c r="M4396" s="36">
        <v>2116.66</v>
      </c>
      <c r="T4396" s="41">
        <v>0</v>
      </c>
      <c r="U4396" s="41">
        <v>0</v>
      </c>
      <c r="V4396" s="42" t="s">
        <v>113</v>
      </c>
      <c r="W4396" s="42">
        <v>0</v>
      </c>
      <c r="X4396" s="42">
        <v>0</v>
      </c>
    </row>
    <row r="4397" spans="1:24">
      <c r="A4397" s="27" t="s">
        <v>8094</v>
      </c>
      <c r="B4397" s="28" t="s">
        <v>5102</v>
      </c>
      <c r="C4397" s="27" t="s">
        <v>8095</v>
      </c>
      <c r="D4397" s="27" t="s">
        <v>5104</v>
      </c>
      <c r="E4397" s="29">
        <v>40178</v>
      </c>
      <c r="F4397" s="27">
        <v>15</v>
      </c>
      <c r="G4397" s="18">
        <v>47728.27</v>
      </c>
      <c r="H4397" s="27">
        <f t="shared" si="136"/>
        <v>0</v>
      </c>
      <c r="I4397" s="18">
        <v>31873.46</v>
      </c>
      <c r="J4397" s="27">
        <v>47728.27</v>
      </c>
      <c r="K4397" s="18">
        <f t="shared" si="137"/>
        <v>0</v>
      </c>
      <c r="L4397" s="27">
        <v>33972.43</v>
      </c>
      <c r="M4397" s="36">
        <v>2098.9699999999998</v>
      </c>
      <c r="T4397" s="41">
        <v>0</v>
      </c>
      <c r="U4397" s="41">
        <v>0</v>
      </c>
      <c r="V4397" s="42" t="s">
        <v>113</v>
      </c>
      <c r="W4397" s="42">
        <v>0</v>
      </c>
      <c r="X4397" s="42">
        <v>0</v>
      </c>
    </row>
    <row r="4398" spans="1:24">
      <c r="A4398" s="27" t="s">
        <v>8096</v>
      </c>
      <c r="B4398" s="28" t="s">
        <v>5102</v>
      </c>
      <c r="C4398" s="27" t="s">
        <v>8097</v>
      </c>
      <c r="D4398" s="27" t="s">
        <v>5104</v>
      </c>
      <c r="E4398" s="29">
        <v>40178</v>
      </c>
      <c r="F4398" s="27">
        <v>15</v>
      </c>
      <c r="G4398" s="18">
        <v>51294.49</v>
      </c>
      <c r="H4398" s="27">
        <f t="shared" si="136"/>
        <v>0</v>
      </c>
      <c r="I4398" s="18">
        <v>34255.01</v>
      </c>
      <c r="J4398" s="27">
        <v>51294.49</v>
      </c>
      <c r="K4398" s="18">
        <f t="shared" si="137"/>
        <v>0</v>
      </c>
      <c r="L4398" s="27">
        <v>36510.82</v>
      </c>
      <c r="M4398" s="36">
        <v>2255.81</v>
      </c>
      <c r="T4398" s="41">
        <v>0</v>
      </c>
      <c r="U4398" s="41">
        <v>0</v>
      </c>
      <c r="V4398" s="42" t="s">
        <v>113</v>
      </c>
      <c r="W4398" s="42">
        <v>0</v>
      </c>
      <c r="X4398" s="42">
        <v>0</v>
      </c>
    </row>
    <row r="4399" spans="1:24">
      <c r="A4399" s="27" t="s">
        <v>8098</v>
      </c>
      <c r="B4399" s="28" t="s">
        <v>5102</v>
      </c>
      <c r="C4399" s="27" t="s">
        <v>8099</v>
      </c>
      <c r="D4399" s="27" t="s">
        <v>5104</v>
      </c>
      <c r="E4399" s="29">
        <v>40178</v>
      </c>
      <c r="F4399" s="27">
        <v>15</v>
      </c>
      <c r="G4399" s="18">
        <v>11905.26</v>
      </c>
      <c r="H4399" s="27">
        <f t="shared" si="136"/>
        <v>0</v>
      </c>
      <c r="I4399" s="18">
        <v>7950.46</v>
      </c>
      <c r="J4399" s="27">
        <v>11905.26</v>
      </c>
      <c r="K4399" s="18">
        <f t="shared" si="137"/>
        <v>0</v>
      </c>
      <c r="L4399" s="27">
        <v>8474.02</v>
      </c>
      <c r="M4399" s="36">
        <v>523.55999999999995</v>
      </c>
      <c r="T4399" s="41">
        <v>0</v>
      </c>
      <c r="U4399" s="41">
        <v>0</v>
      </c>
      <c r="V4399" s="42" t="s">
        <v>113</v>
      </c>
      <c r="W4399" s="42">
        <v>0</v>
      </c>
      <c r="X4399" s="42">
        <v>0</v>
      </c>
    </row>
    <row r="4400" spans="1:24">
      <c r="A4400" s="27" t="s">
        <v>8100</v>
      </c>
      <c r="B4400" s="28" t="s">
        <v>5102</v>
      </c>
      <c r="C4400" s="27" t="s">
        <v>8101</v>
      </c>
      <c r="D4400" s="27" t="s">
        <v>5104</v>
      </c>
      <c r="E4400" s="29">
        <v>40178</v>
      </c>
      <c r="F4400" s="27">
        <v>15</v>
      </c>
      <c r="G4400" s="18">
        <v>27894.07</v>
      </c>
      <c r="H4400" s="27">
        <f t="shared" si="136"/>
        <v>0</v>
      </c>
      <c r="I4400" s="18">
        <v>18627.95</v>
      </c>
      <c r="J4400" s="27">
        <v>27894.07</v>
      </c>
      <c r="K4400" s="18">
        <f t="shared" si="137"/>
        <v>0</v>
      </c>
      <c r="L4400" s="27">
        <v>19854.66</v>
      </c>
      <c r="M4400" s="36">
        <v>1226.71</v>
      </c>
      <c r="T4400" s="41">
        <v>0</v>
      </c>
      <c r="U4400" s="41">
        <v>0</v>
      </c>
      <c r="V4400" s="42" t="s">
        <v>113</v>
      </c>
      <c r="W4400" s="42">
        <v>0</v>
      </c>
      <c r="X4400" s="42">
        <v>0</v>
      </c>
    </row>
    <row r="4401" spans="1:24">
      <c r="A4401" s="27" t="s">
        <v>8102</v>
      </c>
      <c r="B4401" s="28" t="s">
        <v>5102</v>
      </c>
      <c r="C4401" s="27" t="s">
        <v>8103</v>
      </c>
      <c r="D4401" s="27" t="s">
        <v>5104</v>
      </c>
      <c r="E4401" s="29">
        <v>40178</v>
      </c>
      <c r="F4401" s="27">
        <v>15</v>
      </c>
      <c r="G4401" s="18">
        <v>12391.67</v>
      </c>
      <c r="H4401" s="27">
        <f t="shared" si="136"/>
        <v>0</v>
      </c>
      <c r="I4401" s="18">
        <v>8277.2199999999993</v>
      </c>
      <c r="J4401" s="27">
        <v>12391.67</v>
      </c>
      <c r="K4401" s="18">
        <f t="shared" si="137"/>
        <v>0</v>
      </c>
      <c r="L4401" s="27">
        <v>8821.8799999999992</v>
      </c>
      <c r="M4401" s="36">
        <v>544.66</v>
      </c>
      <c r="T4401" s="41">
        <v>0</v>
      </c>
      <c r="U4401" s="41">
        <v>0</v>
      </c>
      <c r="V4401" s="42" t="s">
        <v>113</v>
      </c>
      <c r="W4401" s="42">
        <v>0</v>
      </c>
      <c r="X4401" s="42">
        <v>0</v>
      </c>
    </row>
    <row r="4402" spans="1:24">
      <c r="A4402" s="27" t="s">
        <v>8104</v>
      </c>
      <c r="B4402" s="28" t="s">
        <v>5102</v>
      </c>
      <c r="C4402" s="27" t="s">
        <v>8105</v>
      </c>
      <c r="D4402" s="27" t="s">
        <v>5104</v>
      </c>
      <c r="E4402" s="29">
        <v>40178</v>
      </c>
      <c r="F4402" s="27">
        <v>15</v>
      </c>
      <c r="G4402" s="18">
        <v>48269.89</v>
      </c>
      <c r="H4402" s="27">
        <f t="shared" si="136"/>
        <v>0</v>
      </c>
      <c r="I4402" s="18">
        <v>32242.66</v>
      </c>
      <c r="J4402" s="27">
        <v>48269.89</v>
      </c>
      <c r="K4402" s="18">
        <f t="shared" si="137"/>
        <v>0</v>
      </c>
      <c r="L4402" s="27">
        <v>34364.28</v>
      </c>
      <c r="M4402" s="36">
        <v>2121.62</v>
      </c>
      <c r="T4402" s="41">
        <v>0</v>
      </c>
      <c r="U4402" s="41">
        <v>0</v>
      </c>
      <c r="V4402" s="42" t="s">
        <v>113</v>
      </c>
      <c r="W4402" s="42">
        <v>0</v>
      </c>
      <c r="X4402" s="42">
        <v>0</v>
      </c>
    </row>
    <row r="4403" spans="1:24">
      <c r="A4403" s="27" t="s">
        <v>8106</v>
      </c>
      <c r="B4403" s="28" t="s">
        <v>5102</v>
      </c>
      <c r="C4403" s="27" t="s">
        <v>8107</v>
      </c>
      <c r="D4403" s="27" t="s">
        <v>5104</v>
      </c>
      <c r="E4403" s="29">
        <v>40178</v>
      </c>
      <c r="F4403" s="27">
        <v>15</v>
      </c>
      <c r="G4403" s="18">
        <v>180935.47</v>
      </c>
      <c r="H4403" s="27">
        <f t="shared" si="136"/>
        <v>0</v>
      </c>
      <c r="I4403" s="18">
        <v>120858.82</v>
      </c>
      <c r="J4403" s="27">
        <v>180935.47</v>
      </c>
      <c r="K4403" s="18">
        <f t="shared" si="137"/>
        <v>0</v>
      </c>
      <c r="L4403" s="27">
        <v>128811.53</v>
      </c>
      <c r="M4403" s="36">
        <v>7952.71</v>
      </c>
      <c r="T4403" s="41">
        <v>0</v>
      </c>
      <c r="U4403" s="41">
        <v>0</v>
      </c>
      <c r="V4403" s="42" t="s">
        <v>113</v>
      </c>
      <c r="W4403" s="42">
        <v>0</v>
      </c>
      <c r="X4403" s="42">
        <v>0</v>
      </c>
    </row>
    <row r="4404" spans="1:24">
      <c r="A4404" s="27" t="s">
        <v>8108</v>
      </c>
      <c r="B4404" s="28" t="s">
        <v>5102</v>
      </c>
      <c r="C4404" s="27" t="s">
        <v>8109</v>
      </c>
      <c r="D4404" s="27" t="s">
        <v>5104</v>
      </c>
      <c r="E4404" s="29">
        <v>40178</v>
      </c>
      <c r="F4404" s="27">
        <v>15</v>
      </c>
      <c r="G4404" s="18">
        <v>7924.91</v>
      </c>
      <c r="H4404" s="27">
        <f t="shared" si="136"/>
        <v>0</v>
      </c>
      <c r="I4404" s="18">
        <v>5293.57</v>
      </c>
      <c r="J4404" s="27">
        <v>7924.91</v>
      </c>
      <c r="K4404" s="18">
        <f t="shared" si="137"/>
        <v>0</v>
      </c>
      <c r="L4404" s="27">
        <v>5641.9</v>
      </c>
      <c r="M4404" s="36">
        <v>348.33</v>
      </c>
      <c r="T4404" s="41">
        <v>0</v>
      </c>
      <c r="U4404" s="41">
        <v>0</v>
      </c>
      <c r="V4404" s="42" t="s">
        <v>113</v>
      </c>
      <c r="W4404" s="42">
        <v>0</v>
      </c>
      <c r="X4404" s="42">
        <v>0</v>
      </c>
    </row>
    <row r="4405" spans="1:24">
      <c r="A4405" s="27" t="s">
        <v>8110</v>
      </c>
      <c r="B4405" s="28" t="s">
        <v>5102</v>
      </c>
      <c r="C4405" s="27" t="s">
        <v>8111</v>
      </c>
      <c r="D4405" s="27" t="s">
        <v>5104</v>
      </c>
      <c r="E4405" s="29">
        <v>40178</v>
      </c>
      <c r="F4405" s="27">
        <v>15</v>
      </c>
      <c r="G4405" s="18">
        <v>38832.04</v>
      </c>
      <c r="H4405" s="27">
        <f t="shared" si="136"/>
        <v>0</v>
      </c>
      <c r="I4405" s="18">
        <v>25938.51</v>
      </c>
      <c r="J4405" s="27">
        <v>38832.04</v>
      </c>
      <c r="K4405" s="18">
        <f t="shared" si="137"/>
        <v>0</v>
      </c>
      <c r="L4405" s="27">
        <v>27645.3</v>
      </c>
      <c r="M4405" s="36">
        <v>1706.79</v>
      </c>
      <c r="T4405" s="41">
        <v>0</v>
      </c>
      <c r="U4405" s="41">
        <v>0</v>
      </c>
      <c r="V4405" s="42" t="s">
        <v>113</v>
      </c>
      <c r="W4405" s="42">
        <v>0</v>
      </c>
      <c r="X4405" s="42">
        <v>0</v>
      </c>
    </row>
    <row r="4406" spans="1:24">
      <c r="A4406" s="27" t="s">
        <v>8112</v>
      </c>
      <c r="B4406" s="28" t="s">
        <v>5102</v>
      </c>
      <c r="C4406" s="27" t="s">
        <v>8113</v>
      </c>
      <c r="D4406" s="27" t="s">
        <v>5104</v>
      </c>
      <c r="E4406" s="29">
        <v>40178</v>
      </c>
      <c r="F4406" s="27">
        <v>15</v>
      </c>
      <c r="G4406" s="18">
        <v>9149.67</v>
      </c>
      <c r="H4406" s="27">
        <f t="shared" si="136"/>
        <v>0</v>
      </c>
      <c r="I4406" s="18">
        <v>6111.67</v>
      </c>
      <c r="J4406" s="27">
        <v>9149.67</v>
      </c>
      <c r="K4406" s="18">
        <f t="shared" si="137"/>
        <v>0</v>
      </c>
      <c r="L4406" s="27">
        <v>6513.83</v>
      </c>
      <c r="M4406" s="36">
        <v>402.16</v>
      </c>
      <c r="T4406" s="41">
        <v>0</v>
      </c>
      <c r="U4406" s="41">
        <v>0</v>
      </c>
      <c r="V4406" s="42" t="s">
        <v>113</v>
      </c>
      <c r="W4406" s="42">
        <v>0</v>
      </c>
      <c r="X4406" s="42">
        <v>0</v>
      </c>
    </row>
    <row r="4407" spans="1:24">
      <c r="A4407" s="27" t="s">
        <v>8114</v>
      </c>
      <c r="B4407" s="28" t="s">
        <v>5102</v>
      </c>
      <c r="C4407" s="27" t="s">
        <v>8115</v>
      </c>
      <c r="D4407" s="27" t="s">
        <v>5104</v>
      </c>
      <c r="E4407" s="29">
        <v>40178</v>
      </c>
      <c r="F4407" s="27">
        <v>15</v>
      </c>
      <c r="G4407" s="18">
        <v>8897.51</v>
      </c>
      <c r="H4407" s="27">
        <f t="shared" si="136"/>
        <v>0</v>
      </c>
      <c r="I4407" s="18">
        <v>5943.23</v>
      </c>
      <c r="J4407" s="27">
        <v>8897.51</v>
      </c>
      <c r="K4407" s="18">
        <f t="shared" si="137"/>
        <v>0</v>
      </c>
      <c r="L4407" s="27">
        <v>6334.31</v>
      </c>
      <c r="M4407" s="36">
        <v>391.08</v>
      </c>
      <c r="T4407" s="41">
        <v>0</v>
      </c>
      <c r="U4407" s="41">
        <v>0</v>
      </c>
      <c r="V4407" s="42" t="s">
        <v>113</v>
      </c>
      <c r="W4407" s="42">
        <v>0</v>
      </c>
      <c r="X4407" s="42">
        <v>0</v>
      </c>
    </row>
    <row r="4408" spans="1:24">
      <c r="A4408" s="27" t="s">
        <v>8116</v>
      </c>
      <c r="B4408" s="28" t="s">
        <v>5102</v>
      </c>
      <c r="C4408" s="27" t="s">
        <v>8117</v>
      </c>
      <c r="D4408" s="27" t="s">
        <v>5104</v>
      </c>
      <c r="E4408" s="29">
        <v>40178</v>
      </c>
      <c r="F4408" s="27">
        <v>15</v>
      </c>
      <c r="G4408" s="18">
        <v>70603.72</v>
      </c>
      <c r="H4408" s="27">
        <f t="shared" si="136"/>
        <v>0</v>
      </c>
      <c r="I4408" s="18">
        <v>47160.91</v>
      </c>
      <c r="J4408" s="27">
        <v>70603.72</v>
      </c>
      <c r="K4408" s="18">
        <f t="shared" si="137"/>
        <v>0</v>
      </c>
      <c r="L4408" s="27">
        <v>50264.18</v>
      </c>
      <c r="M4408" s="36">
        <v>3103.27</v>
      </c>
      <c r="T4408" s="41">
        <v>0</v>
      </c>
      <c r="U4408" s="41">
        <v>0</v>
      </c>
      <c r="V4408" s="42" t="s">
        <v>113</v>
      </c>
      <c r="W4408" s="42">
        <v>0</v>
      </c>
      <c r="X4408" s="42">
        <v>0</v>
      </c>
    </row>
    <row r="4409" spans="1:24">
      <c r="A4409" s="27" t="s">
        <v>8118</v>
      </c>
      <c r="B4409" s="28" t="s">
        <v>5102</v>
      </c>
      <c r="C4409" s="27" t="s">
        <v>8119</v>
      </c>
      <c r="D4409" s="27" t="s">
        <v>5104</v>
      </c>
      <c r="E4409" s="29">
        <v>40178</v>
      </c>
      <c r="F4409" s="27">
        <v>15</v>
      </c>
      <c r="G4409" s="18">
        <v>23162.34</v>
      </c>
      <c r="H4409" s="27">
        <f t="shared" si="136"/>
        <v>0</v>
      </c>
      <c r="I4409" s="18">
        <v>15471.66</v>
      </c>
      <c r="J4409" s="27">
        <v>23162.34</v>
      </c>
      <c r="K4409" s="18">
        <f t="shared" si="137"/>
        <v>0</v>
      </c>
      <c r="L4409" s="27">
        <v>16489.72</v>
      </c>
      <c r="M4409" s="36">
        <v>1018.06</v>
      </c>
      <c r="T4409" s="41">
        <v>0</v>
      </c>
      <c r="U4409" s="41">
        <v>0</v>
      </c>
      <c r="V4409" s="42" t="s">
        <v>113</v>
      </c>
      <c r="W4409" s="42">
        <v>0</v>
      </c>
      <c r="X4409" s="42">
        <v>0</v>
      </c>
    </row>
    <row r="4410" spans="1:24">
      <c r="A4410" s="27" t="s">
        <v>8120</v>
      </c>
      <c r="B4410" s="28" t="s">
        <v>5102</v>
      </c>
      <c r="C4410" s="27" t="s">
        <v>8121</v>
      </c>
      <c r="D4410" s="27" t="s">
        <v>5104</v>
      </c>
      <c r="E4410" s="29">
        <v>40178</v>
      </c>
      <c r="F4410" s="27">
        <v>15</v>
      </c>
      <c r="G4410" s="18">
        <v>18335.349999999999</v>
      </c>
      <c r="H4410" s="27">
        <f t="shared" si="136"/>
        <v>0</v>
      </c>
      <c r="I4410" s="18">
        <v>12247.39</v>
      </c>
      <c r="J4410" s="27">
        <v>18335.349999999999</v>
      </c>
      <c r="K4410" s="18">
        <f t="shared" si="137"/>
        <v>0</v>
      </c>
      <c r="L4410" s="27">
        <v>13053.29</v>
      </c>
      <c r="M4410" s="36">
        <v>805.9</v>
      </c>
      <c r="T4410" s="41">
        <v>0</v>
      </c>
      <c r="U4410" s="41">
        <v>0</v>
      </c>
      <c r="V4410" s="42" t="s">
        <v>113</v>
      </c>
      <c r="W4410" s="42">
        <v>0</v>
      </c>
      <c r="X4410" s="42">
        <v>0</v>
      </c>
    </row>
    <row r="4411" spans="1:24">
      <c r="A4411" s="27" t="s">
        <v>8122</v>
      </c>
      <c r="B4411" s="28" t="s">
        <v>5102</v>
      </c>
      <c r="C4411" s="27" t="s">
        <v>8123</v>
      </c>
      <c r="D4411" s="27" t="s">
        <v>5104</v>
      </c>
      <c r="E4411" s="29">
        <v>40178</v>
      </c>
      <c r="F4411" s="27">
        <v>15</v>
      </c>
      <c r="G4411" s="18">
        <v>9726.02</v>
      </c>
      <c r="H4411" s="27">
        <f t="shared" si="136"/>
        <v>0</v>
      </c>
      <c r="I4411" s="18">
        <v>6496.65</v>
      </c>
      <c r="J4411" s="27">
        <v>9726.02</v>
      </c>
      <c r="K4411" s="18">
        <f t="shared" si="137"/>
        <v>0</v>
      </c>
      <c r="L4411" s="27">
        <v>6924.14</v>
      </c>
      <c r="M4411" s="36">
        <v>427.49</v>
      </c>
      <c r="T4411" s="41">
        <v>0</v>
      </c>
      <c r="U4411" s="41">
        <v>0</v>
      </c>
      <c r="V4411" s="42" t="s">
        <v>113</v>
      </c>
      <c r="W4411" s="42">
        <v>0</v>
      </c>
      <c r="X4411" s="42">
        <v>0</v>
      </c>
    </row>
    <row r="4412" spans="1:24">
      <c r="A4412" s="27" t="s">
        <v>8124</v>
      </c>
      <c r="B4412" s="28" t="s">
        <v>5102</v>
      </c>
      <c r="C4412" s="27" t="s">
        <v>8125</v>
      </c>
      <c r="D4412" s="27" t="s">
        <v>5104</v>
      </c>
      <c r="E4412" s="29">
        <v>40237</v>
      </c>
      <c r="F4412" s="27">
        <v>15</v>
      </c>
      <c r="G4412" s="18">
        <v>15577.69</v>
      </c>
      <c r="H4412" s="27">
        <f t="shared" si="136"/>
        <v>0</v>
      </c>
      <c r="I4412" s="18">
        <v>10403.16</v>
      </c>
      <c r="J4412" s="27">
        <v>15577.69</v>
      </c>
      <c r="K4412" s="18">
        <f t="shared" si="137"/>
        <v>0</v>
      </c>
      <c r="L4412" s="27">
        <v>11088.2</v>
      </c>
      <c r="M4412" s="36">
        <v>685.04</v>
      </c>
      <c r="T4412" s="41">
        <v>0</v>
      </c>
      <c r="U4412" s="41">
        <v>0</v>
      </c>
      <c r="V4412" s="42" t="s">
        <v>113</v>
      </c>
      <c r="W4412" s="42">
        <v>0</v>
      </c>
      <c r="X4412" s="42">
        <v>0</v>
      </c>
    </row>
    <row r="4413" spans="1:24">
      <c r="A4413" s="27" t="s">
        <v>8126</v>
      </c>
      <c r="B4413" s="28" t="s">
        <v>5102</v>
      </c>
      <c r="C4413" s="27" t="s">
        <v>8127</v>
      </c>
      <c r="D4413" s="27" t="s">
        <v>5104</v>
      </c>
      <c r="E4413" s="29">
        <v>40237</v>
      </c>
      <c r="F4413" s="27">
        <v>15</v>
      </c>
      <c r="G4413" s="18">
        <v>69385.98</v>
      </c>
      <c r="H4413" s="27">
        <f t="shared" si="136"/>
        <v>0</v>
      </c>
      <c r="I4413" s="18">
        <v>46337.59</v>
      </c>
      <c r="J4413" s="27">
        <v>69385.98</v>
      </c>
      <c r="K4413" s="18">
        <f t="shared" si="137"/>
        <v>0</v>
      </c>
      <c r="L4413" s="27">
        <v>49388.88</v>
      </c>
      <c r="M4413" s="36">
        <v>3051.29</v>
      </c>
      <c r="T4413" s="41">
        <v>0</v>
      </c>
      <c r="U4413" s="41">
        <v>0</v>
      </c>
      <c r="V4413" s="42" t="s">
        <v>113</v>
      </c>
      <c r="W4413" s="42">
        <v>0</v>
      </c>
      <c r="X4413" s="42">
        <v>0</v>
      </c>
    </row>
    <row r="4414" spans="1:24">
      <c r="A4414" s="27" t="s">
        <v>8128</v>
      </c>
      <c r="B4414" s="28" t="s">
        <v>5102</v>
      </c>
      <c r="C4414" s="27" t="s">
        <v>8129</v>
      </c>
      <c r="D4414" s="27" t="s">
        <v>5104</v>
      </c>
      <c r="E4414" s="29">
        <v>40237</v>
      </c>
      <c r="F4414" s="27">
        <v>15</v>
      </c>
      <c r="G4414" s="18">
        <v>21363.69</v>
      </c>
      <c r="H4414" s="27">
        <f t="shared" si="136"/>
        <v>0</v>
      </c>
      <c r="I4414" s="18">
        <v>14267.18</v>
      </c>
      <c r="J4414" s="27">
        <v>21363.69</v>
      </c>
      <c r="K4414" s="18">
        <f t="shared" si="137"/>
        <v>0</v>
      </c>
      <c r="L4414" s="27">
        <v>15206.66</v>
      </c>
      <c r="M4414" s="36">
        <v>939.48</v>
      </c>
      <c r="T4414" s="41">
        <v>0</v>
      </c>
      <c r="U4414" s="41">
        <v>0</v>
      </c>
      <c r="V4414" s="42" t="s">
        <v>113</v>
      </c>
      <c r="W4414" s="42">
        <v>0</v>
      </c>
      <c r="X4414" s="42">
        <v>0</v>
      </c>
    </row>
    <row r="4415" spans="1:24">
      <c r="A4415" s="27" t="s">
        <v>8130</v>
      </c>
      <c r="B4415" s="28" t="s">
        <v>5102</v>
      </c>
      <c r="C4415" s="27" t="s">
        <v>8131</v>
      </c>
      <c r="D4415" s="27" t="s">
        <v>5104</v>
      </c>
      <c r="E4415" s="29">
        <v>40178</v>
      </c>
      <c r="F4415" s="27">
        <v>15</v>
      </c>
      <c r="G4415" s="18">
        <v>262023.95</v>
      </c>
      <c r="H4415" s="27">
        <f t="shared" si="136"/>
        <v>0</v>
      </c>
      <c r="I4415" s="18">
        <v>175002.23</v>
      </c>
      <c r="J4415" s="27">
        <v>262023.95</v>
      </c>
      <c r="K4415" s="18">
        <f t="shared" si="137"/>
        <v>0</v>
      </c>
      <c r="L4415" s="27">
        <v>186522.31</v>
      </c>
      <c r="M4415" s="36">
        <v>11520.08</v>
      </c>
      <c r="T4415" s="41">
        <v>0</v>
      </c>
      <c r="U4415" s="41">
        <v>0</v>
      </c>
      <c r="V4415" s="42" t="s">
        <v>113</v>
      </c>
      <c r="W4415" s="42">
        <v>0</v>
      </c>
      <c r="X4415" s="42">
        <v>0</v>
      </c>
    </row>
    <row r="4416" spans="1:24">
      <c r="A4416" s="27" t="s">
        <v>8132</v>
      </c>
      <c r="B4416" s="28" t="s">
        <v>5102</v>
      </c>
      <c r="C4416" s="27" t="s">
        <v>8133</v>
      </c>
      <c r="D4416" s="27" t="s">
        <v>5104</v>
      </c>
      <c r="E4416" s="29">
        <v>40178</v>
      </c>
      <c r="F4416" s="27">
        <v>15</v>
      </c>
      <c r="G4416" s="18">
        <v>231187</v>
      </c>
      <c r="H4416" s="27">
        <f t="shared" si="136"/>
        <v>0</v>
      </c>
      <c r="I4416" s="18">
        <v>154406.66</v>
      </c>
      <c r="J4416" s="27">
        <v>231187</v>
      </c>
      <c r="K4416" s="18">
        <f t="shared" si="137"/>
        <v>0</v>
      </c>
      <c r="L4416" s="27">
        <v>164570.97</v>
      </c>
      <c r="M4416" s="36">
        <v>10164.31</v>
      </c>
      <c r="T4416" s="41">
        <v>0</v>
      </c>
      <c r="U4416" s="41">
        <v>0</v>
      </c>
      <c r="V4416" s="42" t="s">
        <v>113</v>
      </c>
      <c r="W4416" s="42">
        <v>0</v>
      </c>
      <c r="X4416" s="42">
        <v>0</v>
      </c>
    </row>
    <row r="4417" spans="1:24">
      <c r="A4417" s="27" t="s">
        <v>8134</v>
      </c>
      <c r="B4417" s="28" t="s">
        <v>5102</v>
      </c>
      <c r="C4417" s="27" t="s">
        <v>8135</v>
      </c>
      <c r="D4417" s="27" t="s">
        <v>5104</v>
      </c>
      <c r="E4417" s="29">
        <v>40178</v>
      </c>
      <c r="F4417" s="27">
        <v>15</v>
      </c>
      <c r="G4417" s="18">
        <v>53558.92</v>
      </c>
      <c r="H4417" s="27">
        <f t="shared" si="136"/>
        <v>0</v>
      </c>
      <c r="I4417" s="18">
        <v>35771.279999999999</v>
      </c>
      <c r="J4417" s="27">
        <v>53558.92</v>
      </c>
      <c r="K4417" s="18">
        <f t="shared" si="137"/>
        <v>0</v>
      </c>
      <c r="L4417" s="27">
        <v>38126.04</v>
      </c>
      <c r="M4417" s="36">
        <v>2354.7600000000002</v>
      </c>
      <c r="T4417" s="41">
        <v>0</v>
      </c>
      <c r="U4417" s="41">
        <v>0</v>
      </c>
      <c r="V4417" s="42" t="s">
        <v>113</v>
      </c>
      <c r="W4417" s="42">
        <v>0</v>
      </c>
      <c r="X4417" s="42">
        <v>0</v>
      </c>
    </row>
    <row r="4418" spans="1:24">
      <c r="A4418" s="27" t="s">
        <v>8136</v>
      </c>
      <c r="B4418" s="28" t="s">
        <v>5102</v>
      </c>
      <c r="C4418" s="27" t="s">
        <v>8137</v>
      </c>
      <c r="D4418" s="27" t="s">
        <v>5104</v>
      </c>
      <c r="E4418" s="29">
        <v>40178</v>
      </c>
      <c r="F4418" s="27">
        <v>15</v>
      </c>
      <c r="G4418" s="18">
        <v>70780.73</v>
      </c>
      <c r="H4418" s="27">
        <f t="shared" si="136"/>
        <v>0</v>
      </c>
      <c r="I4418" s="18">
        <v>47273.49</v>
      </c>
      <c r="J4418" s="27">
        <v>70780.73</v>
      </c>
      <c r="K4418" s="18">
        <f t="shared" si="137"/>
        <v>0</v>
      </c>
      <c r="L4418" s="27">
        <v>50385.42</v>
      </c>
      <c r="M4418" s="36">
        <v>3111.93</v>
      </c>
      <c r="T4418" s="41">
        <v>0</v>
      </c>
      <c r="U4418" s="41">
        <v>0</v>
      </c>
      <c r="V4418" s="42" t="s">
        <v>113</v>
      </c>
      <c r="W4418" s="42">
        <v>0</v>
      </c>
      <c r="X4418" s="42">
        <v>0</v>
      </c>
    </row>
    <row r="4419" spans="1:24">
      <c r="A4419" s="27" t="s">
        <v>8138</v>
      </c>
      <c r="B4419" s="28" t="s">
        <v>5102</v>
      </c>
      <c r="C4419" s="27" t="s">
        <v>8139</v>
      </c>
      <c r="D4419" s="27" t="s">
        <v>5104</v>
      </c>
      <c r="E4419" s="29">
        <v>40512</v>
      </c>
      <c r="F4419" s="27">
        <v>15</v>
      </c>
      <c r="G4419" s="18">
        <v>41148.04</v>
      </c>
      <c r="H4419" s="27">
        <f t="shared" si="136"/>
        <v>0</v>
      </c>
      <c r="I4419" s="18">
        <v>31217.3</v>
      </c>
      <c r="J4419" s="27">
        <v>41148.04</v>
      </c>
      <c r="K4419" s="18">
        <f t="shared" si="137"/>
        <v>0</v>
      </c>
      <c r="L4419" s="27">
        <v>32355.61</v>
      </c>
      <c r="M4419" s="36">
        <v>1138.31</v>
      </c>
      <c r="T4419" s="41">
        <v>0</v>
      </c>
      <c r="U4419" s="41">
        <v>0</v>
      </c>
      <c r="V4419" s="42" t="s">
        <v>113</v>
      </c>
      <c r="W4419" s="42">
        <v>0</v>
      </c>
      <c r="X4419" s="42">
        <v>0</v>
      </c>
    </row>
    <row r="4420" spans="1:24">
      <c r="A4420" s="27" t="s">
        <v>8140</v>
      </c>
      <c r="B4420" s="28" t="s">
        <v>5102</v>
      </c>
      <c r="C4420" s="27" t="s">
        <v>8141</v>
      </c>
      <c r="D4420" s="27" t="s">
        <v>5104</v>
      </c>
      <c r="E4420" s="29">
        <v>40512</v>
      </c>
      <c r="F4420" s="27">
        <v>15</v>
      </c>
      <c r="G4420" s="18">
        <v>87698.93</v>
      </c>
      <c r="H4420" s="27">
        <f t="shared" si="136"/>
        <v>0</v>
      </c>
      <c r="I4420" s="18">
        <v>72754.320000000007</v>
      </c>
      <c r="J4420" s="27">
        <v>87698.93</v>
      </c>
      <c r="K4420" s="18">
        <f t="shared" si="137"/>
        <v>0</v>
      </c>
      <c r="L4420" s="27">
        <v>74281.02</v>
      </c>
      <c r="M4420" s="36">
        <v>1526.7</v>
      </c>
      <c r="T4420" s="41">
        <v>0</v>
      </c>
      <c r="U4420" s="41">
        <v>0</v>
      </c>
      <c r="V4420" s="42" t="s">
        <v>113</v>
      </c>
      <c r="W4420" s="42">
        <v>0</v>
      </c>
      <c r="X4420" s="42">
        <v>0</v>
      </c>
    </row>
    <row r="4421" spans="1:24">
      <c r="A4421" s="27" t="s">
        <v>8142</v>
      </c>
      <c r="B4421" s="28" t="s">
        <v>5102</v>
      </c>
      <c r="C4421" s="27" t="s">
        <v>8143</v>
      </c>
      <c r="D4421" s="27" t="s">
        <v>5104</v>
      </c>
      <c r="E4421" s="29">
        <v>40512</v>
      </c>
      <c r="F4421" s="27">
        <v>15</v>
      </c>
      <c r="G4421" s="18">
        <v>32854.79</v>
      </c>
      <c r="H4421" s="27">
        <f t="shared" si="136"/>
        <v>0</v>
      </c>
      <c r="I4421" s="18">
        <v>20373.439999999999</v>
      </c>
      <c r="J4421" s="27">
        <v>32854.79</v>
      </c>
      <c r="K4421" s="18">
        <f t="shared" si="137"/>
        <v>0</v>
      </c>
      <c r="L4421" s="27">
        <v>21940.47</v>
      </c>
      <c r="M4421" s="36">
        <v>1567.03</v>
      </c>
      <c r="T4421" s="41">
        <v>0</v>
      </c>
      <c r="U4421" s="41">
        <v>0</v>
      </c>
      <c r="V4421" s="42" t="s">
        <v>113</v>
      </c>
      <c r="W4421" s="42">
        <v>0</v>
      </c>
      <c r="X4421" s="42">
        <v>0</v>
      </c>
    </row>
    <row r="4422" spans="1:24">
      <c r="A4422" s="27" t="s">
        <v>8144</v>
      </c>
      <c r="B4422" s="28" t="s">
        <v>5102</v>
      </c>
      <c r="C4422" s="27" t="s">
        <v>8145</v>
      </c>
      <c r="D4422" s="27" t="s">
        <v>5104</v>
      </c>
      <c r="E4422" s="29">
        <v>40512</v>
      </c>
      <c r="F4422" s="27">
        <v>15</v>
      </c>
      <c r="G4422" s="18">
        <v>115273.74</v>
      </c>
      <c r="H4422" s="27">
        <f t="shared" ref="H4422:H4485" si="138">IFERROR(IF(ROUND((G4422-I4422)/G4422,2)&lt;=0.05,G4422,0),0)</f>
        <v>0</v>
      </c>
      <c r="I4422" s="18">
        <v>96145.48</v>
      </c>
      <c r="J4422" s="27">
        <v>115273.74</v>
      </c>
      <c r="K4422" s="18">
        <f t="shared" ref="K4422:K4485" si="139">IFERROR(IF(ROUND((J4422-L4422)/J4422,2)&lt;=0.05,J4422,0),0)</f>
        <v>0</v>
      </c>
      <c r="L4422" s="27">
        <v>98077.71</v>
      </c>
      <c r="M4422" s="36">
        <v>1932.23</v>
      </c>
      <c r="T4422" s="41">
        <v>0</v>
      </c>
      <c r="U4422" s="41">
        <v>0</v>
      </c>
      <c r="V4422" s="42" t="s">
        <v>113</v>
      </c>
      <c r="W4422" s="42">
        <v>0</v>
      </c>
      <c r="X4422" s="42">
        <v>0</v>
      </c>
    </row>
    <row r="4423" spans="1:24">
      <c r="A4423" s="27" t="s">
        <v>8146</v>
      </c>
      <c r="B4423" s="28" t="s">
        <v>5102</v>
      </c>
      <c r="C4423" s="27" t="s">
        <v>8147</v>
      </c>
      <c r="D4423" s="27" t="s">
        <v>5104</v>
      </c>
      <c r="E4423" s="29">
        <v>40512</v>
      </c>
      <c r="F4423" s="27">
        <v>15</v>
      </c>
      <c r="G4423" s="18">
        <v>102339.98</v>
      </c>
      <c r="H4423" s="27">
        <f t="shared" si="138"/>
        <v>0</v>
      </c>
      <c r="I4423" s="18">
        <v>88393.54</v>
      </c>
      <c r="J4423" s="27">
        <v>102339.98</v>
      </c>
      <c r="K4423" s="18">
        <f t="shared" si="139"/>
        <v>0</v>
      </c>
      <c r="L4423" s="27">
        <v>89670.09</v>
      </c>
      <c r="M4423" s="36">
        <v>1276.55</v>
      </c>
      <c r="T4423" s="41">
        <v>0</v>
      </c>
      <c r="U4423" s="41">
        <v>0</v>
      </c>
      <c r="V4423" s="42" t="s">
        <v>113</v>
      </c>
      <c r="W4423" s="42">
        <v>0</v>
      </c>
      <c r="X4423" s="42">
        <v>0</v>
      </c>
    </row>
    <row r="4424" spans="1:24">
      <c r="A4424" s="27" t="s">
        <v>8148</v>
      </c>
      <c r="B4424" s="28" t="s">
        <v>5102</v>
      </c>
      <c r="C4424" s="27" t="s">
        <v>8149</v>
      </c>
      <c r="D4424" s="27" t="s">
        <v>5104</v>
      </c>
      <c r="E4424" s="29">
        <v>40512</v>
      </c>
      <c r="F4424" s="27">
        <v>15</v>
      </c>
      <c r="G4424" s="18">
        <v>183736.47</v>
      </c>
      <c r="H4424" s="27">
        <f t="shared" si="138"/>
        <v>0</v>
      </c>
      <c r="I4424" s="18">
        <v>130798.96</v>
      </c>
      <c r="J4424" s="27">
        <v>183736.47</v>
      </c>
      <c r="K4424" s="18">
        <f t="shared" si="139"/>
        <v>0</v>
      </c>
      <c r="L4424" s="27">
        <v>137124.35999999999</v>
      </c>
      <c r="M4424" s="36">
        <v>6325.4</v>
      </c>
      <c r="T4424" s="41">
        <v>0</v>
      </c>
      <c r="U4424" s="41">
        <v>0</v>
      </c>
      <c r="V4424" s="42" t="s">
        <v>113</v>
      </c>
      <c r="W4424" s="42">
        <v>0</v>
      </c>
      <c r="X4424" s="42">
        <v>0</v>
      </c>
    </row>
    <row r="4425" spans="1:24">
      <c r="A4425" s="27" t="s">
        <v>8150</v>
      </c>
      <c r="B4425" s="28" t="s">
        <v>5102</v>
      </c>
      <c r="C4425" s="27" t="s">
        <v>8151</v>
      </c>
      <c r="D4425" s="27" t="s">
        <v>5104</v>
      </c>
      <c r="E4425" s="29">
        <v>40512</v>
      </c>
      <c r="F4425" s="27">
        <v>15</v>
      </c>
      <c r="G4425" s="18">
        <v>170173.37</v>
      </c>
      <c r="H4425" s="27">
        <f t="shared" si="138"/>
        <v>0</v>
      </c>
      <c r="I4425" s="18">
        <v>116573.66</v>
      </c>
      <c r="J4425" s="27">
        <v>170173.37</v>
      </c>
      <c r="K4425" s="18">
        <f t="shared" si="139"/>
        <v>0</v>
      </c>
      <c r="L4425" s="27">
        <v>123092.85</v>
      </c>
      <c r="M4425" s="36">
        <v>6519.19</v>
      </c>
      <c r="T4425" s="41">
        <v>0</v>
      </c>
      <c r="U4425" s="41">
        <v>0</v>
      </c>
      <c r="V4425" s="42" t="s">
        <v>113</v>
      </c>
      <c r="W4425" s="42">
        <v>0</v>
      </c>
      <c r="X4425" s="42">
        <v>0</v>
      </c>
    </row>
    <row r="4426" spans="1:24">
      <c r="A4426" s="27" t="s">
        <v>8152</v>
      </c>
      <c r="B4426" s="28" t="s">
        <v>5102</v>
      </c>
      <c r="C4426" s="27" t="s">
        <v>7759</v>
      </c>
      <c r="D4426" s="27" t="s">
        <v>5104</v>
      </c>
      <c r="E4426" s="29">
        <v>40512</v>
      </c>
      <c r="F4426" s="27">
        <v>15</v>
      </c>
      <c r="G4426" s="18">
        <v>27241.33</v>
      </c>
      <c r="H4426" s="27">
        <f t="shared" si="138"/>
        <v>0</v>
      </c>
      <c r="I4426" s="18">
        <v>16914.080000000002</v>
      </c>
      <c r="J4426" s="27">
        <v>27241.33</v>
      </c>
      <c r="K4426" s="18">
        <f t="shared" si="139"/>
        <v>0</v>
      </c>
      <c r="L4426" s="27">
        <v>18210.25</v>
      </c>
      <c r="M4426" s="36">
        <v>1296.17</v>
      </c>
      <c r="T4426" s="41">
        <v>0</v>
      </c>
      <c r="U4426" s="41">
        <v>0</v>
      </c>
      <c r="V4426" s="42" t="s">
        <v>113</v>
      </c>
      <c r="W4426" s="42">
        <v>0</v>
      </c>
      <c r="X4426" s="42">
        <v>0</v>
      </c>
    </row>
    <row r="4427" spans="1:24">
      <c r="A4427" s="27" t="s">
        <v>8153</v>
      </c>
      <c r="B4427" s="28" t="s">
        <v>5102</v>
      </c>
      <c r="C4427" s="27" t="s">
        <v>8154</v>
      </c>
      <c r="D4427" s="27" t="s">
        <v>5104</v>
      </c>
      <c r="E4427" s="29">
        <v>40512</v>
      </c>
      <c r="F4427" s="27">
        <v>15</v>
      </c>
      <c r="G4427" s="18">
        <v>154348.85999999999</v>
      </c>
      <c r="H4427" s="27">
        <f t="shared" si="138"/>
        <v>0</v>
      </c>
      <c r="I4427" s="18">
        <v>112552.25</v>
      </c>
      <c r="J4427" s="27">
        <v>154348.85999999999</v>
      </c>
      <c r="K4427" s="18">
        <f t="shared" si="139"/>
        <v>0</v>
      </c>
      <c r="L4427" s="27">
        <v>117479.36</v>
      </c>
      <c r="M4427" s="36">
        <v>4927.1099999999997</v>
      </c>
      <c r="T4427" s="41">
        <v>0</v>
      </c>
      <c r="U4427" s="41">
        <v>0</v>
      </c>
      <c r="V4427" s="42" t="s">
        <v>113</v>
      </c>
      <c r="W4427" s="42">
        <v>0</v>
      </c>
      <c r="X4427" s="42">
        <v>0</v>
      </c>
    </row>
    <row r="4428" spans="1:24">
      <c r="A4428" s="27" t="s">
        <v>8155</v>
      </c>
      <c r="B4428" s="28" t="s">
        <v>5102</v>
      </c>
      <c r="C4428" s="27" t="s">
        <v>8156</v>
      </c>
      <c r="D4428" s="27" t="s">
        <v>5104</v>
      </c>
      <c r="E4428" s="29">
        <v>40512</v>
      </c>
      <c r="F4428" s="27">
        <v>15</v>
      </c>
      <c r="G4428" s="18">
        <v>196895.94</v>
      </c>
      <c r="H4428" s="27">
        <f t="shared" si="138"/>
        <v>0</v>
      </c>
      <c r="I4428" s="18">
        <v>145468.29999999999</v>
      </c>
      <c r="J4428" s="27">
        <v>196895.94</v>
      </c>
      <c r="K4428" s="18">
        <f t="shared" si="139"/>
        <v>0</v>
      </c>
      <c r="L4428" s="27">
        <v>151480.28</v>
      </c>
      <c r="M4428" s="36">
        <v>6011.98</v>
      </c>
      <c r="T4428" s="41">
        <v>0</v>
      </c>
      <c r="U4428" s="41">
        <v>0</v>
      </c>
      <c r="V4428" s="42" t="s">
        <v>113</v>
      </c>
      <c r="W4428" s="42">
        <v>0</v>
      </c>
      <c r="X4428" s="42">
        <v>0</v>
      </c>
    </row>
    <row r="4429" spans="1:24">
      <c r="A4429" s="27" t="s">
        <v>8157</v>
      </c>
      <c r="B4429" s="28" t="s">
        <v>5102</v>
      </c>
      <c r="C4429" s="27" t="s">
        <v>8158</v>
      </c>
      <c r="D4429" s="27" t="s">
        <v>5104</v>
      </c>
      <c r="E4429" s="29">
        <v>40512</v>
      </c>
      <c r="F4429" s="27">
        <v>15</v>
      </c>
      <c r="G4429" s="18">
        <v>120230.5</v>
      </c>
      <c r="H4429" s="27">
        <f t="shared" si="138"/>
        <v>0</v>
      </c>
      <c r="I4429" s="18">
        <v>92062.86</v>
      </c>
      <c r="J4429" s="27">
        <v>120230.5</v>
      </c>
      <c r="K4429" s="18">
        <f t="shared" si="139"/>
        <v>0</v>
      </c>
      <c r="L4429" s="27">
        <v>95266.15</v>
      </c>
      <c r="M4429" s="36">
        <v>3203.29</v>
      </c>
      <c r="T4429" s="41">
        <v>0</v>
      </c>
      <c r="U4429" s="41">
        <v>0</v>
      </c>
      <c r="V4429" s="42" t="s">
        <v>113</v>
      </c>
      <c r="W4429" s="42">
        <v>0</v>
      </c>
      <c r="X4429" s="42">
        <v>0</v>
      </c>
    </row>
    <row r="4430" spans="1:24">
      <c r="A4430" s="27" t="s">
        <v>8159</v>
      </c>
      <c r="B4430" s="28" t="s">
        <v>5102</v>
      </c>
      <c r="C4430" s="27" t="s">
        <v>8160</v>
      </c>
      <c r="D4430" s="27" t="s">
        <v>5104</v>
      </c>
      <c r="E4430" s="29">
        <v>40512</v>
      </c>
      <c r="F4430" s="27">
        <v>15</v>
      </c>
      <c r="G4430" s="18">
        <v>129817.75</v>
      </c>
      <c r="H4430" s="27">
        <f t="shared" si="138"/>
        <v>0</v>
      </c>
      <c r="I4430" s="18">
        <v>98015.57</v>
      </c>
      <c r="J4430" s="27">
        <v>129817.75</v>
      </c>
      <c r="K4430" s="18">
        <f t="shared" si="139"/>
        <v>0</v>
      </c>
      <c r="L4430" s="27">
        <v>101675.03</v>
      </c>
      <c r="M4430" s="36">
        <v>3659.46</v>
      </c>
      <c r="T4430" s="41">
        <v>0</v>
      </c>
      <c r="U4430" s="41">
        <v>0</v>
      </c>
      <c r="V4430" s="42" t="s">
        <v>113</v>
      </c>
      <c r="W4430" s="42">
        <v>0</v>
      </c>
      <c r="X4430" s="42">
        <v>0</v>
      </c>
    </row>
    <row r="4431" spans="1:24">
      <c r="A4431" s="27" t="s">
        <v>8161</v>
      </c>
      <c r="B4431" s="28" t="s">
        <v>5102</v>
      </c>
      <c r="C4431" s="27" t="s">
        <v>8162</v>
      </c>
      <c r="D4431" s="27" t="s">
        <v>5104</v>
      </c>
      <c r="E4431" s="29">
        <v>40512</v>
      </c>
      <c r="F4431" s="27">
        <v>15</v>
      </c>
      <c r="G4431" s="18">
        <v>139217.76999999999</v>
      </c>
      <c r="H4431" s="27">
        <f t="shared" si="138"/>
        <v>0</v>
      </c>
      <c r="I4431" s="18">
        <v>88325.87</v>
      </c>
      <c r="J4431" s="27">
        <v>139217.76999999999</v>
      </c>
      <c r="K4431" s="18">
        <f t="shared" si="139"/>
        <v>0</v>
      </c>
      <c r="L4431" s="27">
        <v>94677.34</v>
      </c>
      <c r="M4431" s="36">
        <v>6351.47</v>
      </c>
      <c r="T4431" s="41">
        <v>0</v>
      </c>
      <c r="U4431" s="41">
        <v>0</v>
      </c>
      <c r="V4431" s="42" t="s">
        <v>113</v>
      </c>
      <c r="W4431" s="42">
        <v>0</v>
      </c>
      <c r="X4431" s="42">
        <v>0</v>
      </c>
    </row>
    <row r="4432" spans="1:24">
      <c r="A4432" s="27" t="s">
        <v>8163</v>
      </c>
      <c r="B4432" s="28" t="s">
        <v>5102</v>
      </c>
      <c r="C4432" s="27" t="s">
        <v>8164</v>
      </c>
      <c r="D4432" s="27" t="s">
        <v>5104</v>
      </c>
      <c r="E4432" s="29">
        <v>40512</v>
      </c>
      <c r="F4432" s="27">
        <v>15</v>
      </c>
      <c r="G4432" s="18">
        <v>210666.27</v>
      </c>
      <c r="H4432" s="27">
        <f t="shared" si="138"/>
        <v>0</v>
      </c>
      <c r="I4432" s="18">
        <v>130802.28</v>
      </c>
      <c r="J4432" s="27">
        <v>210666.27</v>
      </c>
      <c r="K4432" s="18">
        <f t="shared" si="139"/>
        <v>0</v>
      </c>
      <c r="L4432" s="27">
        <v>140825.99</v>
      </c>
      <c r="M4432" s="36">
        <v>10023.709999999999</v>
      </c>
      <c r="T4432" s="41">
        <v>0</v>
      </c>
      <c r="U4432" s="41">
        <v>0</v>
      </c>
      <c r="V4432" s="42" t="s">
        <v>113</v>
      </c>
      <c r="W4432" s="42">
        <v>0</v>
      </c>
      <c r="X4432" s="42">
        <v>0</v>
      </c>
    </row>
    <row r="4433" spans="1:24">
      <c r="A4433" s="27" t="s">
        <v>8165</v>
      </c>
      <c r="B4433" s="28" t="s">
        <v>5102</v>
      </c>
      <c r="C4433" s="27" t="s">
        <v>8166</v>
      </c>
      <c r="D4433" s="27" t="s">
        <v>5104</v>
      </c>
      <c r="E4433" s="29">
        <v>40512</v>
      </c>
      <c r="F4433" s="27">
        <v>15</v>
      </c>
      <c r="G4433" s="18">
        <v>180983</v>
      </c>
      <c r="H4433" s="27">
        <f t="shared" si="138"/>
        <v>0</v>
      </c>
      <c r="I4433" s="18">
        <v>112372</v>
      </c>
      <c r="J4433" s="27">
        <v>180983</v>
      </c>
      <c r="K4433" s="18">
        <f t="shared" si="139"/>
        <v>0</v>
      </c>
      <c r="L4433" s="27">
        <v>120983.35</v>
      </c>
      <c r="M4433" s="36">
        <v>8611.35</v>
      </c>
      <c r="T4433" s="41">
        <v>0</v>
      </c>
      <c r="U4433" s="41">
        <v>0</v>
      </c>
      <c r="V4433" s="42" t="s">
        <v>113</v>
      </c>
      <c r="W4433" s="42">
        <v>0</v>
      </c>
      <c r="X4433" s="42">
        <v>0</v>
      </c>
    </row>
    <row r="4434" spans="1:24">
      <c r="A4434" s="27" t="s">
        <v>8167</v>
      </c>
      <c r="B4434" s="28" t="s">
        <v>5102</v>
      </c>
      <c r="C4434" s="27" t="s">
        <v>8168</v>
      </c>
      <c r="D4434" s="27" t="s">
        <v>5104</v>
      </c>
      <c r="E4434" s="29">
        <v>40908</v>
      </c>
      <c r="F4434" s="27">
        <v>15</v>
      </c>
      <c r="G4434" s="18">
        <v>151524.91</v>
      </c>
      <c r="H4434" s="27">
        <f t="shared" si="138"/>
        <v>0</v>
      </c>
      <c r="I4434" s="18">
        <v>82856.850000000006</v>
      </c>
      <c r="J4434" s="27">
        <v>151524.91</v>
      </c>
      <c r="K4434" s="18">
        <f t="shared" si="139"/>
        <v>0</v>
      </c>
      <c r="L4434" s="27">
        <v>90493.33</v>
      </c>
      <c r="M4434" s="36">
        <v>7636.48</v>
      </c>
      <c r="T4434" s="41">
        <v>0</v>
      </c>
      <c r="U4434" s="41">
        <v>0</v>
      </c>
      <c r="V4434" s="42" t="s">
        <v>113</v>
      </c>
      <c r="W4434" s="42">
        <v>0</v>
      </c>
      <c r="X4434" s="42">
        <v>0</v>
      </c>
    </row>
    <row r="4435" spans="1:24">
      <c r="A4435" s="27" t="s">
        <v>8169</v>
      </c>
      <c r="B4435" s="28" t="s">
        <v>5102</v>
      </c>
      <c r="C4435" s="27" t="s">
        <v>8170</v>
      </c>
      <c r="D4435" s="27" t="s">
        <v>5104</v>
      </c>
      <c r="E4435" s="29">
        <v>40908</v>
      </c>
      <c r="F4435" s="27">
        <v>15</v>
      </c>
      <c r="G4435" s="18">
        <v>151524.91</v>
      </c>
      <c r="H4435" s="27">
        <f t="shared" si="138"/>
        <v>0</v>
      </c>
      <c r="I4435" s="18">
        <v>82856.850000000006</v>
      </c>
      <c r="J4435" s="27">
        <v>151524.91</v>
      </c>
      <c r="K4435" s="18">
        <f t="shared" si="139"/>
        <v>0</v>
      </c>
      <c r="L4435" s="27">
        <v>90493.33</v>
      </c>
      <c r="M4435" s="36">
        <v>7636.48</v>
      </c>
      <c r="T4435" s="41">
        <v>0</v>
      </c>
      <c r="U4435" s="41">
        <v>0</v>
      </c>
      <c r="V4435" s="42" t="s">
        <v>113</v>
      </c>
      <c r="W4435" s="42">
        <v>0</v>
      </c>
      <c r="X4435" s="42">
        <v>0</v>
      </c>
    </row>
    <row r="4436" spans="1:24">
      <c r="A4436" s="27" t="s">
        <v>8171</v>
      </c>
      <c r="B4436" s="28" t="s">
        <v>5102</v>
      </c>
      <c r="C4436" s="27" t="s">
        <v>8172</v>
      </c>
      <c r="D4436" s="27" t="s">
        <v>5104</v>
      </c>
      <c r="E4436" s="29">
        <v>40908</v>
      </c>
      <c r="F4436" s="27">
        <v>15</v>
      </c>
      <c r="G4436" s="18">
        <v>156575.73000000001</v>
      </c>
      <c r="H4436" s="27">
        <f t="shared" si="138"/>
        <v>0</v>
      </c>
      <c r="I4436" s="18">
        <v>85618.74</v>
      </c>
      <c r="J4436" s="27">
        <v>156575.73000000001</v>
      </c>
      <c r="K4436" s="18">
        <f t="shared" si="139"/>
        <v>0</v>
      </c>
      <c r="L4436" s="27">
        <v>93509.77</v>
      </c>
      <c r="M4436" s="36">
        <v>7891.03</v>
      </c>
      <c r="T4436" s="41">
        <v>0</v>
      </c>
      <c r="U4436" s="41">
        <v>0</v>
      </c>
      <c r="V4436" s="42" t="s">
        <v>113</v>
      </c>
      <c r="W4436" s="42">
        <v>0</v>
      </c>
      <c r="X4436" s="42">
        <v>0</v>
      </c>
    </row>
    <row r="4437" spans="1:24">
      <c r="A4437" s="27" t="s">
        <v>8173</v>
      </c>
      <c r="B4437" s="28" t="s">
        <v>5102</v>
      </c>
      <c r="C4437" s="27" t="s">
        <v>8174</v>
      </c>
      <c r="D4437" s="27" t="s">
        <v>5104</v>
      </c>
      <c r="E4437" s="29">
        <v>40908</v>
      </c>
      <c r="F4437" s="27">
        <v>15</v>
      </c>
      <c r="G4437" s="18">
        <v>171728.21</v>
      </c>
      <c r="H4437" s="27">
        <f t="shared" si="138"/>
        <v>0</v>
      </c>
      <c r="I4437" s="18">
        <v>93904.43</v>
      </c>
      <c r="J4437" s="27">
        <v>171728.21</v>
      </c>
      <c r="K4437" s="18">
        <f t="shared" si="139"/>
        <v>0</v>
      </c>
      <c r="L4437" s="27">
        <v>102559.1</v>
      </c>
      <c r="M4437" s="36">
        <v>8654.67</v>
      </c>
      <c r="T4437" s="41">
        <v>0</v>
      </c>
      <c r="U4437" s="41">
        <v>0</v>
      </c>
      <c r="V4437" s="42" t="s">
        <v>113</v>
      </c>
      <c r="W4437" s="42">
        <v>0</v>
      </c>
      <c r="X4437" s="42">
        <v>0</v>
      </c>
    </row>
    <row r="4438" spans="1:24">
      <c r="A4438" s="27" t="s">
        <v>8175</v>
      </c>
      <c r="B4438" s="28" t="s">
        <v>5102</v>
      </c>
      <c r="C4438" s="27" t="s">
        <v>8176</v>
      </c>
      <c r="D4438" s="27" t="s">
        <v>5104</v>
      </c>
      <c r="E4438" s="29">
        <v>40908</v>
      </c>
      <c r="F4438" s="27">
        <v>15</v>
      </c>
      <c r="G4438" s="18">
        <v>47085.22</v>
      </c>
      <c r="H4438" s="27">
        <f t="shared" si="138"/>
        <v>0</v>
      </c>
      <c r="I4438" s="18">
        <v>25833.72</v>
      </c>
      <c r="J4438" s="27">
        <v>47085.22</v>
      </c>
      <c r="K4438" s="18">
        <f t="shared" si="139"/>
        <v>0</v>
      </c>
      <c r="L4438" s="27">
        <v>28195.88</v>
      </c>
      <c r="M4438" s="36">
        <v>2362.16</v>
      </c>
      <c r="T4438" s="41">
        <v>0</v>
      </c>
      <c r="U4438" s="41">
        <v>0</v>
      </c>
      <c r="V4438" s="42" t="s">
        <v>113</v>
      </c>
      <c r="W4438" s="42">
        <v>0</v>
      </c>
      <c r="X4438" s="42">
        <v>0</v>
      </c>
    </row>
    <row r="4439" spans="1:24">
      <c r="A4439" s="27" t="s">
        <v>8177</v>
      </c>
      <c r="B4439" s="28" t="s">
        <v>5102</v>
      </c>
      <c r="C4439" s="27" t="s">
        <v>8178</v>
      </c>
      <c r="D4439" s="27" t="s">
        <v>5104</v>
      </c>
      <c r="E4439" s="29">
        <v>40908</v>
      </c>
      <c r="F4439" s="27">
        <v>15</v>
      </c>
      <c r="G4439" s="18">
        <v>158080.24</v>
      </c>
      <c r="H4439" s="27">
        <f t="shared" si="138"/>
        <v>0</v>
      </c>
      <c r="I4439" s="18">
        <v>87118.080000000002</v>
      </c>
      <c r="J4439" s="27">
        <v>158080.24</v>
      </c>
      <c r="K4439" s="18">
        <f t="shared" si="139"/>
        <v>0</v>
      </c>
      <c r="L4439" s="27">
        <v>95000.35</v>
      </c>
      <c r="M4439" s="36">
        <v>7882.27</v>
      </c>
      <c r="T4439" s="41">
        <v>0</v>
      </c>
      <c r="U4439" s="41">
        <v>0</v>
      </c>
      <c r="V4439" s="42" t="s">
        <v>113</v>
      </c>
      <c r="W4439" s="42">
        <v>0</v>
      </c>
      <c r="X4439" s="42">
        <v>0</v>
      </c>
    </row>
    <row r="4440" spans="1:24">
      <c r="A4440" s="27" t="s">
        <v>8179</v>
      </c>
      <c r="B4440" s="28" t="s">
        <v>5102</v>
      </c>
      <c r="C4440" s="27" t="s">
        <v>8180</v>
      </c>
      <c r="D4440" s="27" t="s">
        <v>5104</v>
      </c>
      <c r="E4440" s="29">
        <v>40908</v>
      </c>
      <c r="F4440" s="27">
        <v>15</v>
      </c>
      <c r="G4440" s="18">
        <v>189696.29</v>
      </c>
      <c r="H4440" s="27">
        <f t="shared" si="138"/>
        <v>0</v>
      </c>
      <c r="I4440" s="18">
        <v>104541.7</v>
      </c>
      <c r="J4440" s="27">
        <v>189696.29</v>
      </c>
      <c r="K4440" s="18">
        <f t="shared" si="139"/>
        <v>0</v>
      </c>
      <c r="L4440" s="27">
        <v>114000.42</v>
      </c>
      <c r="M4440" s="36">
        <v>9458.7199999999993</v>
      </c>
      <c r="T4440" s="41">
        <v>0</v>
      </c>
      <c r="U4440" s="41">
        <v>0</v>
      </c>
      <c r="V4440" s="42" t="s">
        <v>113</v>
      </c>
      <c r="W4440" s="42">
        <v>0</v>
      </c>
      <c r="X4440" s="42">
        <v>0</v>
      </c>
    </row>
    <row r="4441" spans="1:24">
      <c r="A4441" s="27" t="s">
        <v>8181</v>
      </c>
      <c r="B4441" s="28" t="s">
        <v>5102</v>
      </c>
      <c r="C4441" s="27" t="s">
        <v>8182</v>
      </c>
      <c r="D4441" s="27" t="s">
        <v>5104</v>
      </c>
      <c r="E4441" s="29">
        <v>40908</v>
      </c>
      <c r="F4441" s="27">
        <v>15</v>
      </c>
      <c r="G4441" s="18">
        <v>158080.24</v>
      </c>
      <c r="H4441" s="27">
        <f t="shared" si="138"/>
        <v>0</v>
      </c>
      <c r="I4441" s="18">
        <v>87118.080000000002</v>
      </c>
      <c r="J4441" s="27">
        <v>158080.24</v>
      </c>
      <c r="K4441" s="18">
        <f t="shared" si="139"/>
        <v>0</v>
      </c>
      <c r="L4441" s="27">
        <v>95000.35</v>
      </c>
      <c r="M4441" s="36">
        <v>7882.27</v>
      </c>
      <c r="T4441" s="41">
        <v>0</v>
      </c>
      <c r="U4441" s="41">
        <v>0</v>
      </c>
      <c r="V4441" s="42" t="s">
        <v>113</v>
      </c>
      <c r="W4441" s="42">
        <v>0</v>
      </c>
      <c r="X4441" s="42">
        <v>0</v>
      </c>
    </row>
    <row r="4442" spans="1:24">
      <c r="A4442" s="27" t="s">
        <v>8183</v>
      </c>
      <c r="B4442" s="28" t="s">
        <v>5102</v>
      </c>
      <c r="C4442" s="27" t="s">
        <v>8184</v>
      </c>
      <c r="D4442" s="27" t="s">
        <v>5104</v>
      </c>
      <c r="E4442" s="29">
        <v>40908</v>
      </c>
      <c r="F4442" s="27">
        <v>15</v>
      </c>
      <c r="G4442" s="18">
        <v>151757.04</v>
      </c>
      <c r="H4442" s="27">
        <f t="shared" si="138"/>
        <v>0</v>
      </c>
      <c r="I4442" s="18">
        <v>83633.37</v>
      </c>
      <c r="J4442" s="27">
        <v>151757.04</v>
      </c>
      <c r="K4442" s="18">
        <f t="shared" si="139"/>
        <v>0</v>
      </c>
      <c r="L4442" s="27">
        <v>91200.35</v>
      </c>
      <c r="M4442" s="36">
        <v>7566.98</v>
      </c>
      <c r="T4442" s="41">
        <v>0</v>
      </c>
      <c r="U4442" s="41">
        <v>0</v>
      </c>
      <c r="V4442" s="42" t="s">
        <v>113</v>
      </c>
      <c r="W4442" s="42">
        <v>0</v>
      </c>
      <c r="X4442" s="42">
        <v>0</v>
      </c>
    </row>
    <row r="4443" spans="1:24">
      <c r="A4443" s="27" t="s">
        <v>8185</v>
      </c>
      <c r="B4443" s="28" t="s">
        <v>5102</v>
      </c>
      <c r="C4443" s="27" t="s">
        <v>8186</v>
      </c>
      <c r="D4443" s="27" t="s">
        <v>5104</v>
      </c>
      <c r="E4443" s="29">
        <v>40908</v>
      </c>
      <c r="F4443" s="27">
        <v>15</v>
      </c>
      <c r="G4443" s="18">
        <v>88237.119999999995</v>
      </c>
      <c r="H4443" s="27">
        <f t="shared" si="138"/>
        <v>0</v>
      </c>
      <c r="I4443" s="18">
        <v>48194.62</v>
      </c>
      <c r="J4443" s="27">
        <v>88237.119999999995</v>
      </c>
      <c r="K4443" s="18">
        <f t="shared" si="139"/>
        <v>0</v>
      </c>
      <c r="L4443" s="27">
        <v>52648.45</v>
      </c>
      <c r="M4443" s="36">
        <v>4453.83</v>
      </c>
      <c r="T4443" s="41">
        <v>0</v>
      </c>
      <c r="U4443" s="41">
        <v>0</v>
      </c>
      <c r="V4443" s="42" t="s">
        <v>113</v>
      </c>
      <c r="W4443" s="42">
        <v>0</v>
      </c>
      <c r="X4443" s="42">
        <v>0</v>
      </c>
    </row>
    <row r="4444" spans="1:24">
      <c r="A4444" s="27" t="s">
        <v>8187</v>
      </c>
      <c r="B4444" s="28" t="s">
        <v>5102</v>
      </c>
      <c r="C4444" s="27" t="s">
        <v>8188</v>
      </c>
      <c r="D4444" s="27" t="s">
        <v>5104</v>
      </c>
      <c r="E4444" s="29">
        <v>40908</v>
      </c>
      <c r="F4444" s="27">
        <v>15</v>
      </c>
      <c r="G4444" s="18">
        <v>135749.41</v>
      </c>
      <c r="H4444" s="27">
        <f t="shared" si="138"/>
        <v>0</v>
      </c>
      <c r="I4444" s="18">
        <v>74145.570000000007</v>
      </c>
      <c r="J4444" s="27">
        <v>135749.41</v>
      </c>
      <c r="K4444" s="18">
        <f t="shared" si="139"/>
        <v>0</v>
      </c>
      <c r="L4444" s="27">
        <v>80997.62</v>
      </c>
      <c r="M4444" s="36">
        <v>6852.05</v>
      </c>
      <c r="T4444" s="41">
        <v>0</v>
      </c>
      <c r="U4444" s="41">
        <v>0</v>
      </c>
      <c r="V4444" s="42" t="s">
        <v>113</v>
      </c>
      <c r="W4444" s="42">
        <v>0</v>
      </c>
      <c r="X4444" s="42">
        <v>0</v>
      </c>
    </row>
    <row r="4445" spans="1:24">
      <c r="A4445" s="27" t="s">
        <v>8189</v>
      </c>
      <c r="B4445" s="28" t="s">
        <v>5102</v>
      </c>
      <c r="C4445" s="27" t="s">
        <v>8190</v>
      </c>
      <c r="D4445" s="27" t="s">
        <v>5104</v>
      </c>
      <c r="E4445" s="29">
        <v>40908</v>
      </c>
      <c r="F4445" s="27">
        <v>15</v>
      </c>
      <c r="G4445" s="18">
        <v>135749.41</v>
      </c>
      <c r="H4445" s="27">
        <f t="shared" si="138"/>
        <v>0</v>
      </c>
      <c r="I4445" s="18">
        <v>74145.570000000007</v>
      </c>
      <c r="J4445" s="27">
        <v>135749.41</v>
      </c>
      <c r="K4445" s="18">
        <f t="shared" si="139"/>
        <v>0</v>
      </c>
      <c r="L4445" s="27">
        <v>80997.62</v>
      </c>
      <c r="M4445" s="36">
        <v>6852.05</v>
      </c>
      <c r="T4445" s="41">
        <v>0</v>
      </c>
      <c r="U4445" s="41">
        <v>0</v>
      </c>
      <c r="V4445" s="42" t="s">
        <v>113</v>
      </c>
      <c r="W4445" s="42">
        <v>0</v>
      </c>
      <c r="X4445" s="42">
        <v>0</v>
      </c>
    </row>
    <row r="4446" spans="1:24">
      <c r="A4446" s="27" t="s">
        <v>8191</v>
      </c>
      <c r="B4446" s="28" t="s">
        <v>5102</v>
      </c>
      <c r="C4446" s="27" t="s">
        <v>8192</v>
      </c>
      <c r="D4446" s="27" t="s">
        <v>5104</v>
      </c>
      <c r="E4446" s="29">
        <v>40908</v>
      </c>
      <c r="F4446" s="27">
        <v>15</v>
      </c>
      <c r="G4446" s="18">
        <v>271498.84999999998</v>
      </c>
      <c r="H4446" s="27">
        <f t="shared" si="138"/>
        <v>0</v>
      </c>
      <c r="I4446" s="18">
        <v>148291.15</v>
      </c>
      <c r="J4446" s="27">
        <v>271498.84999999998</v>
      </c>
      <c r="K4446" s="18">
        <f t="shared" si="139"/>
        <v>0</v>
      </c>
      <c r="L4446" s="27">
        <v>161995.25</v>
      </c>
      <c r="M4446" s="36">
        <v>13704.1</v>
      </c>
      <c r="T4446" s="41">
        <v>0</v>
      </c>
      <c r="U4446" s="41">
        <v>0</v>
      </c>
      <c r="V4446" s="42" t="s">
        <v>113</v>
      </c>
      <c r="W4446" s="42">
        <v>0</v>
      </c>
      <c r="X4446" s="42">
        <v>0</v>
      </c>
    </row>
    <row r="4447" spans="1:24">
      <c r="A4447" s="27" t="s">
        <v>8193</v>
      </c>
      <c r="B4447" s="28" t="s">
        <v>5102</v>
      </c>
      <c r="C4447" s="27" t="s">
        <v>8194</v>
      </c>
      <c r="D4447" s="27" t="s">
        <v>5104</v>
      </c>
      <c r="E4447" s="29">
        <v>40908</v>
      </c>
      <c r="F4447" s="27">
        <v>15</v>
      </c>
      <c r="G4447" s="18">
        <v>153267.17000000001</v>
      </c>
      <c r="H4447" s="27">
        <f t="shared" si="138"/>
        <v>0</v>
      </c>
      <c r="I4447" s="18">
        <v>83713.66</v>
      </c>
      <c r="J4447" s="27">
        <v>153267.17000000001</v>
      </c>
      <c r="K4447" s="18">
        <f t="shared" si="139"/>
        <v>0</v>
      </c>
      <c r="L4447" s="27">
        <v>91449.93</v>
      </c>
      <c r="M4447" s="36">
        <v>7736.27</v>
      </c>
      <c r="T4447" s="41">
        <v>0</v>
      </c>
      <c r="U4447" s="41">
        <v>0</v>
      </c>
      <c r="V4447" s="42" t="s">
        <v>113</v>
      </c>
      <c r="W4447" s="42">
        <v>0</v>
      </c>
      <c r="X4447" s="42">
        <v>0</v>
      </c>
    </row>
    <row r="4448" spans="1:24">
      <c r="A4448" s="27" t="s">
        <v>8195</v>
      </c>
      <c r="B4448" s="28" t="s">
        <v>5102</v>
      </c>
      <c r="C4448" s="27" t="s">
        <v>8196</v>
      </c>
      <c r="D4448" s="27" t="s">
        <v>5104</v>
      </c>
      <c r="E4448" s="29">
        <v>40908</v>
      </c>
      <c r="F4448" s="27">
        <v>15</v>
      </c>
      <c r="G4448" s="18">
        <v>102178.1</v>
      </c>
      <c r="H4448" s="27">
        <f t="shared" si="138"/>
        <v>0</v>
      </c>
      <c r="I4448" s="18">
        <v>55809.11</v>
      </c>
      <c r="J4448" s="27">
        <v>102178.1</v>
      </c>
      <c r="K4448" s="18">
        <f t="shared" si="139"/>
        <v>0</v>
      </c>
      <c r="L4448" s="27">
        <v>60966.62</v>
      </c>
      <c r="M4448" s="36">
        <v>5157.51</v>
      </c>
      <c r="T4448" s="41">
        <v>0</v>
      </c>
      <c r="U4448" s="41">
        <v>0</v>
      </c>
      <c r="V4448" s="42" t="s">
        <v>113</v>
      </c>
      <c r="W4448" s="42">
        <v>0</v>
      </c>
      <c r="X4448" s="42">
        <v>0</v>
      </c>
    </row>
    <row r="4449" spans="1:24">
      <c r="A4449" s="27" t="s">
        <v>8197</v>
      </c>
      <c r="B4449" s="28" t="s">
        <v>5102</v>
      </c>
      <c r="C4449" s="27" t="s">
        <v>8198</v>
      </c>
      <c r="D4449" s="27" t="s">
        <v>5104</v>
      </c>
      <c r="E4449" s="29">
        <v>40908</v>
      </c>
      <c r="F4449" s="27">
        <v>15</v>
      </c>
      <c r="G4449" s="18">
        <v>143049.34</v>
      </c>
      <c r="H4449" s="27">
        <f t="shared" si="138"/>
        <v>0</v>
      </c>
      <c r="I4449" s="18">
        <v>78132.75</v>
      </c>
      <c r="J4449" s="27">
        <v>143049.34</v>
      </c>
      <c r="K4449" s="18">
        <f t="shared" si="139"/>
        <v>0</v>
      </c>
      <c r="L4449" s="27">
        <v>85353.27</v>
      </c>
      <c r="M4449" s="36">
        <v>7220.52</v>
      </c>
      <c r="T4449" s="41">
        <v>0</v>
      </c>
      <c r="U4449" s="41">
        <v>0</v>
      </c>
      <c r="V4449" s="42" t="s">
        <v>113</v>
      </c>
      <c r="W4449" s="42">
        <v>0</v>
      </c>
      <c r="X4449" s="42">
        <v>0</v>
      </c>
    </row>
    <row r="4450" spans="1:24">
      <c r="A4450" s="27" t="s">
        <v>8199</v>
      </c>
      <c r="B4450" s="28" t="s">
        <v>5102</v>
      </c>
      <c r="C4450" s="27" t="s">
        <v>8200</v>
      </c>
      <c r="D4450" s="27" t="s">
        <v>5104</v>
      </c>
      <c r="E4450" s="29">
        <v>40908</v>
      </c>
      <c r="F4450" s="27">
        <v>15</v>
      </c>
      <c r="G4450" s="18">
        <v>61306.86</v>
      </c>
      <c r="H4450" s="27">
        <f t="shared" si="138"/>
        <v>0</v>
      </c>
      <c r="I4450" s="18">
        <v>33485.46</v>
      </c>
      <c r="J4450" s="27">
        <v>61306.86</v>
      </c>
      <c r="K4450" s="18">
        <f t="shared" si="139"/>
        <v>0</v>
      </c>
      <c r="L4450" s="27">
        <v>36579.97</v>
      </c>
      <c r="M4450" s="36">
        <v>3094.51</v>
      </c>
      <c r="T4450" s="41">
        <v>0</v>
      </c>
      <c r="U4450" s="41">
        <v>0</v>
      </c>
      <c r="V4450" s="42" t="s">
        <v>113</v>
      </c>
      <c r="W4450" s="42">
        <v>0</v>
      </c>
      <c r="X4450" s="42">
        <v>0</v>
      </c>
    </row>
    <row r="4451" spans="1:24">
      <c r="A4451" s="27" t="s">
        <v>8201</v>
      </c>
      <c r="B4451" s="28" t="s">
        <v>5102</v>
      </c>
      <c r="C4451" s="27" t="s">
        <v>8202</v>
      </c>
      <c r="D4451" s="27" t="s">
        <v>5104</v>
      </c>
      <c r="E4451" s="29">
        <v>40908</v>
      </c>
      <c r="F4451" s="27">
        <v>15</v>
      </c>
      <c r="G4451" s="18">
        <v>155025.87</v>
      </c>
      <c r="H4451" s="27">
        <f t="shared" si="138"/>
        <v>0</v>
      </c>
      <c r="I4451" s="18">
        <v>84688.9</v>
      </c>
      <c r="J4451" s="27">
        <v>155025.87</v>
      </c>
      <c r="K4451" s="18">
        <f t="shared" si="139"/>
        <v>0</v>
      </c>
      <c r="L4451" s="27">
        <v>92512.11</v>
      </c>
      <c r="M4451" s="36">
        <v>7823.21</v>
      </c>
      <c r="T4451" s="41">
        <v>0</v>
      </c>
      <c r="U4451" s="41">
        <v>0</v>
      </c>
      <c r="V4451" s="42" t="s">
        <v>113</v>
      </c>
      <c r="W4451" s="42">
        <v>0</v>
      </c>
      <c r="X4451" s="42">
        <v>0</v>
      </c>
    </row>
    <row r="4452" spans="1:24">
      <c r="A4452" s="27" t="s">
        <v>8203</v>
      </c>
      <c r="B4452" s="28" t="s">
        <v>5102</v>
      </c>
      <c r="C4452" s="27" t="s">
        <v>8204</v>
      </c>
      <c r="D4452" s="27" t="s">
        <v>5104</v>
      </c>
      <c r="E4452" s="29">
        <v>40908</v>
      </c>
      <c r="F4452" s="27">
        <v>15</v>
      </c>
      <c r="G4452" s="18">
        <v>77512.94</v>
      </c>
      <c r="H4452" s="27">
        <f t="shared" si="138"/>
        <v>0</v>
      </c>
      <c r="I4452" s="18">
        <v>42344.46</v>
      </c>
      <c r="J4452" s="27">
        <v>77512.94</v>
      </c>
      <c r="K4452" s="18">
        <f t="shared" si="139"/>
        <v>0</v>
      </c>
      <c r="L4452" s="27">
        <v>46256.06</v>
      </c>
      <c r="M4452" s="36">
        <v>3911.6</v>
      </c>
      <c r="T4452" s="41">
        <v>0</v>
      </c>
      <c r="U4452" s="41">
        <v>0</v>
      </c>
      <c r="V4452" s="42" t="s">
        <v>113</v>
      </c>
      <c r="W4452" s="42">
        <v>0</v>
      </c>
      <c r="X4452" s="42">
        <v>0</v>
      </c>
    </row>
    <row r="4453" spans="1:24">
      <c r="A4453" s="27" t="s">
        <v>8205</v>
      </c>
      <c r="B4453" s="28" t="s">
        <v>5102</v>
      </c>
      <c r="C4453" s="27" t="s">
        <v>8206</v>
      </c>
      <c r="D4453" s="27" t="s">
        <v>5104</v>
      </c>
      <c r="E4453" s="29">
        <v>40908</v>
      </c>
      <c r="F4453" s="27">
        <v>15</v>
      </c>
      <c r="G4453" s="18">
        <v>116269.4</v>
      </c>
      <c r="H4453" s="27">
        <f t="shared" si="138"/>
        <v>0</v>
      </c>
      <c r="I4453" s="18">
        <v>63516.68</v>
      </c>
      <c r="J4453" s="27">
        <v>116269.4</v>
      </c>
      <c r="K4453" s="18">
        <f t="shared" si="139"/>
        <v>0</v>
      </c>
      <c r="L4453" s="27">
        <v>69384.09</v>
      </c>
      <c r="M4453" s="36">
        <v>5867.41</v>
      </c>
      <c r="T4453" s="41">
        <v>0</v>
      </c>
      <c r="U4453" s="41">
        <v>0</v>
      </c>
      <c r="V4453" s="42" t="s">
        <v>113</v>
      </c>
      <c r="W4453" s="42">
        <v>0</v>
      </c>
      <c r="X4453" s="42">
        <v>0</v>
      </c>
    </row>
    <row r="4454" spans="1:24">
      <c r="A4454" s="27" t="s">
        <v>8207</v>
      </c>
      <c r="B4454" s="28" t="s">
        <v>5102</v>
      </c>
      <c r="C4454" s="27" t="s">
        <v>8208</v>
      </c>
      <c r="D4454" s="27" t="s">
        <v>5104</v>
      </c>
      <c r="E4454" s="29">
        <v>40908</v>
      </c>
      <c r="F4454" s="27">
        <v>15</v>
      </c>
      <c r="G4454" s="18">
        <v>127896.35</v>
      </c>
      <c r="H4454" s="27">
        <f t="shared" si="138"/>
        <v>0</v>
      </c>
      <c r="I4454" s="18">
        <v>69868.34</v>
      </c>
      <c r="J4454" s="27">
        <v>127896.35</v>
      </c>
      <c r="K4454" s="18">
        <f t="shared" si="139"/>
        <v>0</v>
      </c>
      <c r="L4454" s="27">
        <v>76322.490000000005</v>
      </c>
      <c r="M4454" s="36">
        <v>6454.15</v>
      </c>
      <c r="T4454" s="41">
        <v>0</v>
      </c>
      <c r="U4454" s="41">
        <v>0</v>
      </c>
      <c r="V4454" s="42" t="s">
        <v>113</v>
      </c>
      <c r="W4454" s="42">
        <v>0</v>
      </c>
      <c r="X4454" s="42">
        <v>0</v>
      </c>
    </row>
    <row r="4455" spans="1:24">
      <c r="A4455" s="27" t="s">
        <v>8209</v>
      </c>
      <c r="B4455" s="28" t="s">
        <v>5102</v>
      </c>
      <c r="C4455" s="27" t="s">
        <v>8210</v>
      </c>
      <c r="D4455" s="27" t="s">
        <v>5104</v>
      </c>
      <c r="E4455" s="29">
        <v>40908</v>
      </c>
      <c r="F4455" s="27">
        <v>15</v>
      </c>
      <c r="G4455" s="18">
        <v>174329.08</v>
      </c>
      <c r="H4455" s="27">
        <f t="shared" si="138"/>
        <v>0</v>
      </c>
      <c r="I4455" s="18">
        <v>95217.56</v>
      </c>
      <c r="J4455" s="27">
        <v>174329.08</v>
      </c>
      <c r="K4455" s="18">
        <f t="shared" si="139"/>
        <v>0</v>
      </c>
      <c r="L4455" s="27">
        <v>104016.94</v>
      </c>
      <c r="M4455" s="36">
        <v>8799.3799999999992</v>
      </c>
      <c r="T4455" s="41">
        <v>0</v>
      </c>
      <c r="U4455" s="41">
        <v>0</v>
      </c>
      <c r="V4455" s="42" t="s">
        <v>113</v>
      </c>
      <c r="W4455" s="42">
        <v>0</v>
      </c>
      <c r="X4455" s="42">
        <v>0</v>
      </c>
    </row>
    <row r="4456" spans="1:24">
      <c r="A4456" s="27" t="s">
        <v>8211</v>
      </c>
      <c r="B4456" s="28" t="s">
        <v>5102</v>
      </c>
      <c r="C4456" s="27" t="s">
        <v>8212</v>
      </c>
      <c r="D4456" s="27" t="s">
        <v>5104</v>
      </c>
      <c r="E4456" s="29">
        <v>40908</v>
      </c>
      <c r="F4456" s="27">
        <v>15</v>
      </c>
      <c r="G4456" s="18">
        <v>185224.64</v>
      </c>
      <c r="H4456" s="27">
        <f t="shared" si="138"/>
        <v>0</v>
      </c>
      <c r="I4456" s="18">
        <v>101168.66</v>
      </c>
      <c r="J4456" s="27">
        <v>185224.64</v>
      </c>
      <c r="K4456" s="18">
        <f t="shared" si="139"/>
        <v>0</v>
      </c>
      <c r="L4456" s="27">
        <v>110518</v>
      </c>
      <c r="M4456" s="36">
        <v>9349.34</v>
      </c>
      <c r="T4456" s="41">
        <v>0</v>
      </c>
      <c r="U4456" s="41">
        <v>0</v>
      </c>
      <c r="V4456" s="42" t="s">
        <v>113</v>
      </c>
      <c r="W4456" s="42">
        <v>0</v>
      </c>
      <c r="X4456" s="42">
        <v>0</v>
      </c>
    </row>
    <row r="4457" spans="1:24">
      <c r="A4457" s="27" t="s">
        <v>8213</v>
      </c>
      <c r="B4457" s="28" t="s">
        <v>5102</v>
      </c>
      <c r="C4457" s="27" t="s">
        <v>8214</v>
      </c>
      <c r="D4457" s="27" t="s">
        <v>5104</v>
      </c>
      <c r="E4457" s="29">
        <v>40908</v>
      </c>
      <c r="F4457" s="27">
        <v>15</v>
      </c>
      <c r="G4457" s="18">
        <v>163433.5</v>
      </c>
      <c r="H4457" s="27">
        <f t="shared" si="138"/>
        <v>0</v>
      </c>
      <c r="I4457" s="18">
        <v>89266.47</v>
      </c>
      <c r="J4457" s="27">
        <v>163433.5</v>
      </c>
      <c r="K4457" s="18">
        <f t="shared" si="139"/>
        <v>0</v>
      </c>
      <c r="L4457" s="27">
        <v>97515.89</v>
      </c>
      <c r="M4457" s="36">
        <v>8249.42</v>
      </c>
      <c r="T4457" s="41">
        <v>0</v>
      </c>
      <c r="U4457" s="41">
        <v>0</v>
      </c>
      <c r="V4457" s="42" t="s">
        <v>113</v>
      </c>
      <c r="W4457" s="42">
        <v>0</v>
      </c>
      <c r="X4457" s="42">
        <v>0</v>
      </c>
    </row>
    <row r="4458" spans="1:24">
      <c r="A4458" s="27" t="s">
        <v>8215</v>
      </c>
      <c r="B4458" s="28" t="s">
        <v>5102</v>
      </c>
      <c r="C4458" s="27" t="s">
        <v>8216</v>
      </c>
      <c r="D4458" s="27" t="s">
        <v>5104</v>
      </c>
      <c r="E4458" s="29">
        <v>40908</v>
      </c>
      <c r="F4458" s="27">
        <v>15</v>
      </c>
      <c r="G4458" s="18">
        <v>130746.8</v>
      </c>
      <c r="H4458" s="27">
        <f t="shared" si="138"/>
        <v>0</v>
      </c>
      <c r="I4458" s="18">
        <v>71413.17</v>
      </c>
      <c r="J4458" s="27">
        <v>130746.8</v>
      </c>
      <c r="K4458" s="18">
        <f t="shared" si="139"/>
        <v>0</v>
      </c>
      <c r="L4458" s="27">
        <v>78012.710000000006</v>
      </c>
      <c r="M4458" s="36">
        <v>6599.54</v>
      </c>
      <c r="T4458" s="41">
        <v>0</v>
      </c>
      <c r="U4458" s="41">
        <v>0</v>
      </c>
      <c r="V4458" s="42" t="s">
        <v>113</v>
      </c>
      <c r="W4458" s="42">
        <v>0</v>
      </c>
      <c r="X4458" s="42">
        <v>0</v>
      </c>
    </row>
    <row r="4459" spans="1:24">
      <c r="A4459" s="27" t="s">
        <v>8217</v>
      </c>
      <c r="B4459" s="28" t="s">
        <v>5102</v>
      </c>
      <c r="C4459" s="27" t="s">
        <v>8218</v>
      </c>
      <c r="D4459" s="27" t="s">
        <v>5104</v>
      </c>
      <c r="E4459" s="29">
        <v>40908</v>
      </c>
      <c r="F4459" s="27">
        <v>15</v>
      </c>
      <c r="G4459" s="18">
        <v>143722.78</v>
      </c>
      <c r="H4459" s="27">
        <f t="shared" si="138"/>
        <v>0</v>
      </c>
      <c r="I4459" s="18">
        <v>78500.570000000007</v>
      </c>
      <c r="J4459" s="27">
        <v>143722.78</v>
      </c>
      <c r="K4459" s="18">
        <f t="shared" si="139"/>
        <v>0</v>
      </c>
      <c r="L4459" s="27">
        <v>85755.08</v>
      </c>
      <c r="M4459" s="36">
        <v>7254.51</v>
      </c>
      <c r="T4459" s="41">
        <v>0</v>
      </c>
      <c r="U4459" s="41">
        <v>0</v>
      </c>
      <c r="V4459" s="42" t="s">
        <v>113</v>
      </c>
      <c r="W4459" s="42">
        <v>0</v>
      </c>
      <c r="X4459" s="42">
        <v>0</v>
      </c>
    </row>
    <row r="4460" spans="1:24">
      <c r="A4460" s="27" t="s">
        <v>8219</v>
      </c>
      <c r="B4460" s="28" t="s">
        <v>5102</v>
      </c>
      <c r="C4460" s="27" t="s">
        <v>8220</v>
      </c>
      <c r="D4460" s="27" t="s">
        <v>5104</v>
      </c>
      <c r="E4460" s="29">
        <v>40908</v>
      </c>
      <c r="F4460" s="27">
        <v>15</v>
      </c>
      <c r="G4460" s="18">
        <v>129814.12</v>
      </c>
      <c r="H4460" s="27">
        <f t="shared" si="138"/>
        <v>0</v>
      </c>
      <c r="I4460" s="18">
        <v>70903.75</v>
      </c>
      <c r="J4460" s="27">
        <v>129814.12</v>
      </c>
      <c r="K4460" s="18">
        <f t="shared" si="139"/>
        <v>0</v>
      </c>
      <c r="L4460" s="27">
        <v>77456.210000000006</v>
      </c>
      <c r="M4460" s="36">
        <v>6552.46</v>
      </c>
      <c r="T4460" s="41">
        <v>0</v>
      </c>
      <c r="U4460" s="41">
        <v>0</v>
      </c>
      <c r="V4460" s="42" t="s">
        <v>113</v>
      </c>
      <c r="W4460" s="42">
        <v>0</v>
      </c>
      <c r="X4460" s="42">
        <v>0</v>
      </c>
    </row>
    <row r="4461" spans="1:24">
      <c r="A4461" s="27" t="s">
        <v>8221</v>
      </c>
      <c r="B4461" s="28" t="s">
        <v>5102</v>
      </c>
      <c r="C4461" s="27" t="s">
        <v>8222</v>
      </c>
      <c r="D4461" s="27" t="s">
        <v>5104</v>
      </c>
      <c r="E4461" s="29">
        <v>40908</v>
      </c>
      <c r="F4461" s="27">
        <v>15</v>
      </c>
      <c r="G4461" s="18">
        <v>148359.01</v>
      </c>
      <c r="H4461" s="27">
        <f t="shared" si="138"/>
        <v>0</v>
      </c>
      <c r="I4461" s="18">
        <v>81032.86</v>
      </c>
      <c r="J4461" s="27">
        <v>148359.01</v>
      </c>
      <c r="K4461" s="18">
        <f t="shared" si="139"/>
        <v>0</v>
      </c>
      <c r="L4461" s="27">
        <v>88521.39</v>
      </c>
      <c r="M4461" s="36">
        <v>7488.53</v>
      </c>
      <c r="T4461" s="41">
        <v>0</v>
      </c>
      <c r="U4461" s="41">
        <v>0</v>
      </c>
      <c r="V4461" s="42" t="s">
        <v>113</v>
      </c>
      <c r="W4461" s="42">
        <v>0</v>
      </c>
      <c r="X4461" s="42">
        <v>0</v>
      </c>
    </row>
    <row r="4462" spans="1:24">
      <c r="A4462" s="27" t="s">
        <v>8223</v>
      </c>
      <c r="B4462" s="28" t="s">
        <v>5102</v>
      </c>
      <c r="C4462" s="27" t="s">
        <v>8224</v>
      </c>
      <c r="D4462" s="27" t="s">
        <v>5104</v>
      </c>
      <c r="E4462" s="29">
        <v>40908</v>
      </c>
      <c r="F4462" s="27">
        <v>15</v>
      </c>
      <c r="G4462" s="18">
        <v>134450.32999999999</v>
      </c>
      <c r="H4462" s="27">
        <f t="shared" si="138"/>
        <v>0</v>
      </c>
      <c r="I4462" s="18">
        <v>73436.009999999995</v>
      </c>
      <c r="J4462" s="27">
        <v>134450.32999999999</v>
      </c>
      <c r="K4462" s="18">
        <f t="shared" si="139"/>
        <v>0</v>
      </c>
      <c r="L4462" s="27">
        <v>80222.490000000005</v>
      </c>
      <c r="M4462" s="36">
        <v>6786.48</v>
      </c>
      <c r="T4462" s="41">
        <v>0</v>
      </c>
      <c r="U4462" s="41">
        <v>0</v>
      </c>
      <c r="V4462" s="42" t="s">
        <v>113</v>
      </c>
      <c r="W4462" s="42">
        <v>0</v>
      </c>
      <c r="X4462" s="42">
        <v>0</v>
      </c>
    </row>
    <row r="4463" spans="1:24">
      <c r="A4463" s="27" t="s">
        <v>8225</v>
      </c>
      <c r="B4463" s="28" t="s">
        <v>5102</v>
      </c>
      <c r="C4463" s="27" t="s">
        <v>8226</v>
      </c>
      <c r="D4463" s="27" t="s">
        <v>5104</v>
      </c>
      <c r="E4463" s="29">
        <v>40908</v>
      </c>
      <c r="F4463" s="27">
        <v>15</v>
      </c>
      <c r="G4463" s="18">
        <v>143722.78</v>
      </c>
      <c r="H4463" s="27">
        <f t="shared" si="138"/>
        <v>0</v>
      </c>
      <c r="I4463" s="18">
        <v>78500.570000000007</v>
      </c>
      <c r="J4463" s="27">
        <v>143722.78</v>
      </c>
      <c r="K4463" s="18">
        <f t="shared" si="139"/>
        <v>0</v>
      </c>
      <c r="L4463" s="27">
        <v>85755.08</v>
      </c>
      <c r="M4463" s="36">
        <v>7254.51</v>
      </c>
      <c r="T4463" s="41">
        <v>0</v>
      </c>
      <c r="U4463" s="41">
        <v>0</v>
      </c>
      <c r="V4463" s="42" t="s">
        <v>113</v>
      </c>
      <c r="W4463" s="42">
        <v>0</v>
      </c>
      <c r="X4463" s="42">
        <v>0</v>
      </c>
    </row>
    <row r="4464" spans="1:24">
      <c r="A4464" s="27" t="s">
        <v>8227</v>
      </c>
      <c r="B4464" s="28" t="s">
        <v>5102</v>
      </c>
      <c r="C4464" s="27" t="s">
        <v>8228</v>
      </c>
      <c r="D4464" s="27" t="s">
        <v>5104</v>
      </c>
      <c r="E4464" s="29">
        <v>40908</v>
      </c>
      <c r="F4464" s="27">
        <v>15</v>
      </c>
      <c r="G4464" s="18">
        <v>129814.12</v>
      </c>
      <c r="H4464" s="27">
        <f t="shared" si="138"/>
        <v>0</v>
      </c>
      <c r="I4464" s="18">
        <v>70903.75</v>
      </c>
      <c r="J4464" s="27">
        <v>129814.12</v>
      </c>
      <c r="K4464" s="18">
        <f t="shared" si="139"/>
        <v>0</v>
      </c>
      <c r="L4464" s="27">
        <v>77456.210000000006</v>
      </c>
      <c r="M4464" s="36">
        <v>6552.46</v>
      </c>
      <c r="T4464" s="41">
        <v>0</v>
      </c>
      <c r="U4464" s="41">
        <v>0</v>
      </c>
      <c r="V4464" s="42" t="s">
        <v>113</v>
      </c>
      <c r="W4464" s="42">
        <v>0</v>
      </c>
      <c r="X4464" s="42">
        <v>0</v>
      </c>
    </row>
    <row r="4465" spans="1:24">
      <c r="A4465" s="27" t="s">
        <v>8229</v>
      </c>
      <c r="B4465" s="28" t="s">
        <v>5102</v>
      </c>
      <c r="C4465" s="27" t="s">
        <v>8230</v>
      </c>
      <c r="D4465" s="27" t="s">
        <v>5104</v>
      </c>
      <c r="E4465" s="29">
        <v>40908</v>
      </c>
      <c r="F4465" s="27">
        <v>15</v>
      </c>
      <c r="G4465" s="18">
        <v>143722.78</v>
      </c>
      <c r="H4465" s="27">
        <f t="shared" si="138"/>
        <v>0</v>
      </c>
      <c r="I4465" s="18">
        <v>78500.570000000007</v>
      </c>
      <c r="J4465" s="27">
        <v>143722.78</v>
      </c>
      <c r="K4465" s="18">
        <f t="shared" si="139"/>
        <v>0</v>
      </c>
      <c r="L4465" s="27">
        <v>85755.08</v>
      </c>
      <c r="M4465" s="36">
        <v>7254.51</v>
      </c>
      <c r="T4465" s="41">
        <v>0</v>
      </c>
      <c r="U4465" s="41">
        <v>0</v>
      </c>
      <c r="V4465" s="42" t="s">
        <v>113</v>
      </c>
      <c r="W4465" s="42">
        <v>0</v>
      </c>
      <c r="X4465" s="42">
        <v>0</v>
      </c>
    </row>
    <row r="4466" spans="1:24">
      <c r="A4466" s="27" t="s">
        <v>8231</v>
      </c>
      <c r="B4466" s="28" t="s">
        <v>5102</v>
      </c>
      <c r="C4466" s="27" t="s">
        <v>8232</v>
      </c>
      <c r="D4466" s="27" t="s">
        <v>5104</v>
      </c>
      <c r="E4466" s="29">
        <v>40908</v>
      </c>
      <c r="F4466" s="27">
        <v>15</v>
      </c>
      <c r="G4466" s="18">
        <v>81713.440000000002</v>
      </c>
      <c r="H4466" s="27">
        <f t="shared" si="138"/>
        <v>0</v>
      </c>
      <c r="I4466" s="18">
        <v>44631.42</v>
      </c>
      <c r="J4466" s="27">
        <v>81713.440000000002</v>
      </c>
      <c r="K4466" s="18">
        <f t="shared" si="139"/>
        <v>0</v>
      </c>
      <c r="L4466" s="27">
        <v>48755.96</v>
      </c>
      <c r="M4466" s="36">
        <v>4124.54</v>
      </c>
      <c r="T4466" s="41">
        <v>0</v>
      </c>
      <c r="U4466" s="41">
        <v>0</v>
      </c>
      <c r="V4466" s="42" t="s">
        <v>113</v>
      </c>
      <c r="W4466" s="42">
        <v>0</v>
      </c>
      <c r="X4466" s="42">
        <v>0</v>
      </c>
    </row>
    <row r="4467" spans="1:24">
      <c r="A4467" s="27" t="s">
        <v>8233</v>
      </c>
      <c r="B4467" s="28" t="s">
        <v>5102</v>
      </c>
      <c r="C4467" s="27" t="s">
        <v>8234</v>
      </c>
      <c r="D4467" s="27" t="s">
        <v>5104</v>
      </c>
      <c r="E4467" s="29">
        <v>40908</v>
      </c>
      <c r="F4467" s="27">
        <v>15</v>
      </c>
      <c r="G4467" s="18">
        <v>124346.55</v>
      </c>
      <c r="H4467" s="27">
        <f t="shared" si="138"/>
        <v>0</v>
      </c>
      <c r="I4467" s="18">
        <v>67917.399999999994</v>
      </c>
      <c r="J4467" s="27">
        <v>124346.55</v>
      </c>
      <c r="K4467" s="18">
        <f t="shared" si="139"/>
        <v>0</v>
      </c>
      <c r="L4467" s="27">
        <v>74193.88</v>
      </c>
      <c r="M4467" s="36">
        <v>6276.48</v>
      </c>
      <c r="T4467" s="41">
        <v>0</v>
      </c>
      <c r="U4467" s="41">
        <v>0</v>
      </c>
      <c r="V4467" s="42" t="s">
        <v>113</v>
      </c>
      <c r="W4467" s="42">
        <v>0</v>
      </c>
      <c r="X4467" s="42">
        <v>0</v>
      </c>
    </row>
    <row r="4468" spans="1:24">
      <c r="A4468" s="27" t="s">
        <v>8235</v>
      </c>
      <c r="B4468" s="28" t="s">
        <v>5102</v>
      </c>
      <c r="C4468" s="27" t="s">
        <v>8236</v>
      </c>
      <c r="D4468" s="27" t="s">
        <v>5104</v>
      </c>
      <c r="E4468" s="29">
        <v>40908</v>
      </c>
      <c r="F4468" s="27">
        <v>15</v>
      </c>
      <c r="G4468" s="18">
        <v>113688.27</v>
      </c>
      <c r="H4468" s="27">
        <f t="shared" si="138"/>
        <v>0</v>
      </c>
      <c r="I4468" s="18">
        <v>62095.9</v>
      </c>
      <c r="J4468" s="27">
        <v>113688.27</v>
      </c>
      <c r="K4468" s="18">
        <f t="shared" si="139"/>
        <v>0</v>
      </c>
      <c r="L4468" s="27">
        <v>67834.399999999994</v>
      </c>
      <c r="M4468" s="36">
        <v>5738.5</v>
      </c>
      <c r="T4468" s="41">
        <v>0</v>
      </c>
      <c r="U4468" s="41">
        <v>0</v>
      </c>
      <c r="V4468" s="42" t="s">
        <v>113</v>
      </c>
      <c r="W4468" s="42">
        <v>0</v>
      </c>
      <c r="X4468" s="42">
        <v>0</v>
      </c>
    </row>
    <row r="4469" spans="1:24">
      <c r="A4469" s="27" t="s">
        <v>8237</v>
      </c>
      <c r="B4469" s="28" t="s">
        <v>5102</v>
      </c>
      <c r="C4469" s="27" t="s">
        <v>8238</v>
      </c>
      <c r="D4469" s="27" t="s">
        <v>5104</v>
      </c>
      <c r="E4469" s="29">
        <v>40908</v>
      </c>
      <c r="F4469" s="27">
        <v>15</v>
      </c>
      <c r="G4469" s="18">
        <v>138557.57</v>
      </c>
      <c r="H4469" s="27">
        <f t="shared" si="138"/>
        <v>0</v>
      </c>
      <c r="I4469" s="18">
        <v>75679.37</v>
      </c>
      <c r="J4469" s="27">
        <v>138557.57</v>
      </c>
      <c r="K4469" s="18">
        <f t="shared" si="139"/>
        <v>0</v>
      </c>
      <c r="L4469" s="27">
        <v>82673.16</v>
      </c>
      <c r="M4469" s="36">
        <v>6993.79</v>
      </c>
      <c r="T4469" s="41">
        <v>0</v>
      </c>
      <c r="U4469" s="41">
        <v>0</v>
      </c>
      <c r="V4469" s="42" t="s">
        <v>113</v>
      </c>
      <c r="W4469" s="42">
        <v>0</v>
      </c>
      <c r="X4469" s="42">
        <v>0</v>
      </c>
    </row>
    <row r="4470" spans="1:24">
      <c r="A4470" s="27" t="s">
        <v>8239</v>
      </c>
      <c r="B4470" s="28" t="s">
        <v>5102</v>
      </c>
      <c r="C4470" s="27" t="s">
        <v>8240</v>
      </c>
      <c r="D4470" s="27" t="s">
        <v>5104</v>
      </c>
      <c r="E4470" s="29">
        <v>40908</v>
      </c>
      <c r="F4470" s="27">
        <v>15</v>
      </c>
      <c r="G4470" s="18">
        <v>220270.99</v>
      </c>
      <c r="H4470" s="27">
        <f t="shared" si="138"/>
        <v>0</v>
      </c>
      <c r="I4470" s="18">
        <v>120310.79</v>
      </c>
      <c r="J4470" s="27">
        <v>220270.99</v>
      </c>
      <c r="K4470" s="18">
        <f t="shared" si="139"/>
        <v>0</v>
      </c>
      <c r="L4470" s="27">
        <v>131429.12</v>
      </c>
      <c r="M4470" s="36">
        <v>11118.33</v>
      </c>
      <c r="T4470" s="41">
        <v>0</v>
      </c>
      <c r="U4470" s="41">
        <v>0</v>
      </c>
      <c r="V4470" s="42" t="s">
        <v>113</v>
      </c>
      <c r="W4470" s="42">
        <v>0</v>
      </c>
      <c r="X4470" s="42">
        <v>0</v>
      </c>
    </row>
    <row r="4471" spans="1:24">
      <c r="A4471" s="27" t="s">
        <v>8241</v>
      </c>
      <c r="B4471" s="28" t="s">
        <v>5102</v>
      </c>
      <c r="C4471" s="27" t="s">
        <v>8242</v>
      </c>
      <c r="D4471" s="27" t="s">
        <v>230</v>
      </c>
      <c r="E4471" s="29">
        <v>40908</v>
      </c>
      <c r="F4471" s="27">
        <v>15</v>
      </c>
      <c r="G4471" s="18">
        <v>1086282.55</v>
      </c>
      <c r="H4471" s="27">
        <f t="shared" si="138"/>
        <v>0</v>
      </c>
      <c r="I4471" s="18">
        <v>515372.79</v>
      </c>
      <c r="J4471" s="27">
        <v>1086282.55</v>
      </c>
      <c r="K4471" s="18">
        <f t="shared" si="139"/>
        <v>0</v>
      </c>
      <c r="L4471" s="27">
        <v>579947.24</v>
      </c>
      <c r="M4471" s="36">
        <v>64574.45</v>
      </c>
      <c r="T4471" s="41">
        <v>0</v>
      </c>
      <c r="U4471" s="41">
        <v>0</v>
      </c>
      <c r="V4471" s="42" t="s">
        <v>113</v>
      </c>
      <c r="W4471" s="42">
        <v>0</v>
      </c>
      <c r="X4471" s="42">
        <v>0</v>
      </c>
    </row>
    <row r="4472" spans="1:24">
      <c r="A4472" s="27" t="s">
        <v>8243</v>
      </c>
      <c r="B4472" s="28" t="s">
        <v>5102</v>
      </c>
      <c r="C4472" s="27" t="s">
        <v>8244</v>
      </c>
      <c r="D4472" s="27" t="s">
        <v>5104</v>
      </c>
      <c r="E4472" s="29">
        <v>40908</v>
      </c>
      <c r="F4472" s="27">
        <v>15</v>
      </c>
      <c r="G4472" s="18">
        <v>2052709.48</v>
      </c>
      <c r="H4472" s="27">
        <f t="shared" si="138"/>
        <v>0</v>
      </c>
      <c r="I4472" s="18">
        <v>1212267.06</v>
      </c>
      <c r="J4472" s="27">
        <v>2052709.48</v>
      </c>
      <c r="K4472" s="18">
        <f t="shared" si="139"/>
        <v>0</v>
      </c>
      <c r="L4472" s="27">
        <v>1304492.93</v>
      </c>
      <c r="M4472" s="36">
        <v>92225.87</v>
      </c>
      <c r="T4472" s="41">
        <v>0</v>
      </c>
      <c r="U4472" s="41">
        <v>0</v>
      </c>
      <c r="V4472" s="42" t="s">
        <v>113</v>
      </c>
      <c r="W4472" s="42">
        <v>0</v>
      </c>
      <c r="X4472" s="42">
        <v>0</v>
      </c>
    </row>
    <row r="4473" spans="1:24">
      <c r="A4473" s="27" t="s">
        <v>8245</v>
      </c>
      <c r="B4473" s="28" t="s">
        <v>5102</v>
      </c>
      <c r="C4473" s="27" t="s">
        <v>8246</v>
      </c>
      <c r="D4473" s="27" t="s">
        <v>5104</v>
      </c>
      <c r="E4473" s="29">
        <v>40908</v>
      </c>
      <c r="F4473" s="27">
        <v>15</v>
      </c>
      <c r="G4473" s="18">
        <v>1969283.88</v>
      </c>
      <c r="H4473" s="27">
        <f t="shared" si="138"/>
        <v>0</v>
      </c>
      <c r="I4473" s="18">
        <v>1083523.7</v>
      </c>
      <c r="J4473" s="27">
        <v>1969283.88</v>
      </c>
      <c r="K4473" s="18">
        <f t="shared" si="139"/>
        <v>0</v>
      </c>
      <c r="L4473" s="27">
        <v>1181935.7</v>
      </c>
      <c r="M4473" s="36">
        <v>98412</v>
      </c>
      <c r="T4473" s="41">
        <v>0</v>
      </c>
      <c r="U4473" s="41">
        <v>0</v>
      </c>
      <c r="V4473" s="42" t="s">
        <v>113</v>
      </c>
      <c r="W4473" s="42">
        <v>0</v>
      </c>
      <c r="X4473" s="42">
        <v>0</v>
      </c>
    </row>
    <row r="4474" spans="1:24">
      <c r="A4474" s="27" t="s">
        <v>8247</v>
      </c>
      <c r="B4474" s="28" t="s">
        <v>5102</v>
      </c>
      <c r="C4474" s="27" t="s">
        <v>8248</v>
      </c>
      <c r="D4474" s="27" t="s">
        <v>5104</v>
      </c>
      <c r="E4474" s="29">
        <v>40908</v>
      </c>
      <c r="F4474" s="27">
        <v>15</v>
      </c>
      <c r="G4474" s="18">
        <v>5595916.9000000004</v>
      </c>
      <c r="H4474" s="27">
        <f t="shared" si="138"/>
        <v>0</v>
      </c>
      <c r="I4474" s="18">
        <v>3309277.22</v>
      </c>
      <c r="J4474" s="27">
        <v>5595916.9000000004</v>
      </c>
      <c r="K4474" s="18">
        <f t="shared" si="139"/>
        <v>0</v>
      </c>
      <c r="L4474" s="27">
        <v>3560132.7</v>
      </c>
      <c r="M4474" s="36">
        <v>250855.48</v>
      </c>
      <c r="T4474" s="41">
        <v>0</v>
      </c>
      <c r="U4474" s="41">
        <v>0</v>
      </c>
      <c r="V4474" s="42" t="s">
        <v>113</v>
      </c>
      <c r="W4474" s="42">
        <v>0</v>
      </c>
      <c r="X4474" s="42">
        <v>0</v>
      </c>
    </row>
    <row r="4475" spans="1:24">
      <c r="A4475" s="27" t="s">
        <v>8249</v>
      </c>
      <c r="B4475" s="28" t="s">
        <v>5102</v>
      </c>
      <c r="C4475" s="27" t="s">
        <v>8250</v>
      </c>
      <c r="D4475" s="27" t="s">
        <v>5104</v>
      </c>
      <c r="E4475" s="29">
        <v>41182</v>
      </c>
      <c r="F4475" s="27">
        <v>15</v>
      </c>
      <c r="G4475" s="18">
        <v>3588983.14</v>
      </c>
      <c r="H4475" s="27">
        <f t="shared" si="138"/>
        <v>0</v>
      </c>
      <c r="I4475" s="18">
        <v>1888965.88</v>
      </c>
      <c r="J4475" s="27">
        <v>3588983.14</v>
      </c>
      <c r="K4475" s="18">
        <f t="shared" si="139"/>
        <v>0</v>
      </c>
      <c r="L4475" s="27">
        <v>2062745.09</v>
      </c>
      <c r="M4475" s="36">
        <v>173779.21</v>
      </c>
      <c r="T4475" s="41">
        <v>0</v>
      </c>
      <c r="U4475" s="41">
        <v>0</v>
      </c>
      <c r="V4475" s="42" t="s">
        <v>113</v>
      </c>
      <c r="W4475" s="42">
        <v>0</v>
      </c>
      <c r="X4475" s="42">
        <v>0</v>
      </c>
    </row>
    <row r="4476" spans="1:24">
      <c r="A4476" s="27" t="s">
        <v>8251</v>
      </c>
      <c r="B4476" s="28" t="s">
        <v>5102</v>
      </c>
      <c r="C4476" s="27" t="s">
        <v>8252</v>
      </c>
      <c r="D4476" s="27" t="s">
        <v>5104</v>
      </c>
      <c r="E4476" s="29">
        <v>41182</v>
      </c>
      <c r="F4476" s="27">
        <v>15</v>
      </c>
      <c r="G4476" s="18">
        <v>300721.81</v>
      </c>
      <c r="H4476" s="27">
        <f t="shared" si="138"/>
        <v>0</v>
      </c>
      <c r="I4476" s="18">
        <v>143943.21</v>
      </c>
      <c r="J4476" s="27">
        <v>300721.81</v>
      </c>
      <c r="K4476" s="18">
        <f t="shared" si="139"/>
        <v>0</v>
      </c>
      <c r="L4476" s="27">
        <v>160142.35</v>
      </c>
      <c r="M4476" s="36">
        <v>16199.14</v>
      </c>
      <c r="T4476" s="41">
        <v>0</v>
      </c>
      <c r="U4476" s="41">
        <v>0</v>
      </c>
      <c r="V4476" s="42" t="s">
        <v>113</v>
      </c>
      <c r="W4476" s="42">
        <v>0</v>
      </c>
      <c r="X4476" s="42">
        <v>0</v>
      </c>
    </row>
    <row r="4477" spans="1:24">
      <c r="A4477" s="27" t="s">
        <v>8253</v>
      </c>
      <c r="B4477" s="28" t="s">
        <v>5102</v>
      </c>
      <c r="C4477" s="27" t="s">
        <v>8254</v>
      </c>
      <c r="D4477" s="27" t="s">
        <v>5104</v>
      </c>
      <c r="E4477" s="29">
        <v>41182</v>
      </c>
      <c r="F4477" s="27">
        <v>15</v>
      </c>
      <c r="G4477" s="18">
        <v>235251.01</v>
      </c>
      <c r="H4477" s="27">
        <f t="shared" si="138"/>
        <v>0</v>
      </c>
      <c r="I4477" s="18">
        <v>112605.03</v>
      </c>
      <c r="J4477" s="27">
        <v>235251.01</v>
      </c>
      <c r="K4477" s="18">
        <f t="shared" si="139"/>
        <v>0</v>
      </c>
      <c r="L4477" s="27">
        <v>125277.42</v>
      </c>
      <c r="M4477" s="36">
        <v>12672.39</v>
      </c>
      <c r="T4477" s="41">
        <v>0</v>
      </c>
      <c r="U4477" s="41">
        <v>0</v>
      </c>
      <c r="V4477" s="42" t="s">
        <v>113</v>
      </c>
      <c r="W4477" s="42">
        <v>0</v>
      </c>
      <c r="X4477" s="42">
        <v>0</v>
      </c>
    </row>
    <row r="4478" spans="1:24">
      <c r="A4478" s="27" t="s">
        <v>8255</v>
      </c>
      <c r="B4478" s="28" t="s">
        <v>5102</v>
      </c>
      <c r="C4478" s="27" t="s">
        <v>8256</v>
      </c>
      <c r="D4478" s="27" t="s">
        <v>5104</v>
      </c>
      <c r="E4478" s="29">
        <v>41182</v>
      </c>
      <c r="F4478" s="27">
        <v>15</v>
      </c>
      <c r="G4478" s="18">
        <v>206399.47</v>
      </c>
      <c r="H4478" s="27">
        <f t="shared" si="138"/>
        <v>0</v>
      </c>
      <c r="I4478" s="18">
        <v>98794.98</v>
      </c>
      <c r="J4478" s="27">
        <v>206399.47</v>
      </c>
      <c r="K4478" s="18">
        <f t="shared" si="139"/>
        <v>0</v>
      </c>
      <c r="L4478" s="27">
        <v>109913.21</v>
      </c>
      <c r="M4478" s="36">
        <v>11118.23</v>
      </c>
      <c r="T4478" s="41">
        <v>0</v>
      </c>
      <c r="U4478" s="41">
        <v>0</v>
      </c>
      <c r="V4478" s="42" t="s">
        <v>113</v>
      </c>
      <c r="W4478" s="42">
        <v>0</v>
      </c>
      <c r="X4478" s="42">
        <v>0</v>
      </c>
    </row>
    <row r="4479" spans="1:24">
      <c r="A4479" s="27" t="s">
        <v>8257</v>
      </c>
      <c r="B4479" s="28" t="s">
        <v>5102</v>
      </c>
      <c r="C4479" s="27" t="s">
        <v>8258</v>
      </c>
      <c r="D4479" s="27" t="s">
        <v>5104</v>
      </c>
      <c r="E4479" s="29">
        <v>41182</v>
      </c>
      <c r="F4479" s="27">
        <v>15</v>
      </c>
      <c r="G4479" s="18">
        <v>313273.40999999997</v>
      </c>
      <c r="H4479" s="27">
        <f t="shared" si="138"/>
        <v>0</v>
      </c>
      <c r="I4479" s="18">
        <v>149962.93</v>
      </c>
      <c r="J4479" s="27">
        <v>313273.40999999997</v>
      </c>
      <c r="K4479" s="18">
        <f t="shared" si="139"/>
        <v>0</v>
      </c>
      <c r="L4479" s="27">
        <v>166836.85</v>
      </c>
      <c r="M4479" s="36">
        <v>16873.919999999998</v>
      </c>
      <c r="T4479" s="41">
        <v>0</v>
      </c>
      <c r="U4479" s="41">
        <v>0</v>
      </c>
      <c r="V4479" s="42" t="s">
        <v>113</v>
      </c>
      <c r="W4479" s="42">
        <v>0</v>
      </c>
      <c r="X4479" s="42">
        <v>0</v>
      </c>
    </row>
    <row r="4480" spans="1:24">
      <c r="A4480" s="27" t="s">
        <v>8259</v>
      </c>
      <c r="B4480" s="28" t="s">
        <v>5102</v>
      </c>
      <c r="C4480" s="27" t="s">
        <v>8260</v>
      </c>
      <c r="D4480" s="27" t="s">
        <v>5104</v>
      </c>
      <c r="E4480" s="29">
        <v>41182</v>
      </c>
      <c r="F4480" s="27">
        <v>15</v>
      </c>
      <c r="G4480" s="18">
        <v>237323.81</v>
      </c>
      <c r="H4480" s="27">
        <f t="shared" si="138"/>
        <v>0</v>
      </c>
      <c r="I4480" s="18">
        <v>113597.2</v>
      </c>
      <c r="J4480" s="27">
        <v>237323.81</v>
      </c>
      <c r="K4480" s="18">
        <f t="shared" si="139"/>
        <v>0</v>
      </c>
      <c r="L4480" s="27">
        <v>126381.25</v>
      </c>
      <c r="M4480" s="36">
        <v>12784.05</v>
      </c>
      <c r="T4480" s="41">
        <v>0</v>
      </c>
      <c r="U4480" s="41">
        <v>0</v>
      </c>
      <c r="V4480" s="42" t="s">
        <v>113</v>
      </c>
      <c r="W4480" s="42">
        <v>0</v>
      </c>
      <c r="X4480" s="42">
        <v>0</v>
      </c>
    </row>
    <row r="4481" spans="1:24">
      <c r="A4481" s="27" t="s">
        <v>8261</v>
      </c>
      <c r="B4481" s="28" t="s">
        <v>5102</v>
      </c>
      <c r="C4481" s="27" t="s">
        <v>8262</v>
      </c>
      <c r="D4481" s="27" t="s">
        <v>5104</v>
      </c>
      <c r="E4481" s="29">
        <v>41182</v>
      </c>
      <c r="F4481" s="27">
        <v>15</v>
      </c>
      <c r="G4481" s="18">
        <v>224734.41</v>
      </c>
      <c r="H4481" s="27">
        <f t="shared" si="138"/>
        <v>0</v>
      </c>
      <c r="I4481" s="18">
        <v>107571.16</v>
      </c>
      <c r="J4481" s="27">
        <v>224734.41</v>
      </c>
      <c r="K4481" s="18">
        <f t="shared" si="139"/>
        <v>0</v>
      </c>
      <c r="L4481" s="27">
        <v>119677.05</v>
      </c>
      <c r="M4481" s="36">
        <v>12105.89</v>
      </c>
      <c r="T4481" s="41">
        <v>0</v>
      </c>
      <c r="U4481" s="41">
        <v>0</v>
      </c>
      <c r="V4481" s="42" t="s">
        <v>113</v>
      </c>
      <c r="W4481" s="42">
        <v>0</v>
      </c>
      <c r="X4481" s="42">
        <v>0</v>
      </c>
    </row>
    <row r="4482" spans="1:24">
      <c r="A4482" s="27" t="s">
        <v>8263</v>
      </c>
      <c r="B4482" s="28" t="s">
        <v>5102</v>
      </c>
      <c r="C4482" s="27" t="s">
        <v>8264</v>
      </c>
      <c r="D4482" s="27" t="s">
        <v>5104</v>
      </c>
      <c r="E4482" s="29">
        <v>41182</v>
      </c>
      <c r="F4482" s="27">
        <v>15</v>
      </c>
      <c r="G4482" s="18">
        <v>241877.44</v>
      </c>
      <c r="H4482" s="27">
        <f t="shared" si="138"/>
        <v>0</v>
      </c>
      <c r="I4482" s="18">
        <v>115776.82</v>
      </c>
      <c r="J4482" s="27">
        <v>241877.44</v>
      </c>
      <c r="K4482" s="18">
        <f t="shared" si="139"/>
        <v>0</v>
      </c>
      <c r="L4482" s="27">
        <v>128806.16</v>
      </c>
      <c r="M4482" s="36">
        <v>13029.34</v>
      </c>
      <c r="T4482" s="41">
        <v>0</v>
      </c>
      <c r="U4482" s="41">
        <v>0</v>
      </c>
      <c r="V4482" s="42" t="s">
        <v>113</v>
      </c>
      <c r="W4482" s="42">
        <v>0</v>
      </c>
      <c r="X4482" s="42">
        <v>0</v>
      </c>
    </row>
    <row r="4483" spans="1:24">
      <c r="A4483" s="27" t="s">
        <v>8265</v>
      </c>
      <c r="B4483" s="28" t="s">
        <v>5102</v>
      </c>
      <c r="C4483" s="27" t="s">
        <v>8266</v>
      </c>
      <c r="D4483" s="27" t="s">
        <v>5104</v>
      </c>
      <c r="E4483" s="29">
        <v>41182</v>
      </c>
      <c r="F4483" s="27">
        <v>15</v>
      </c>
      <c r="G4483" s="18">
        <v>169555.28</v>
      </c>
      <c r="H4483" s="27">
        <f t="shared" si="138"/>
        <v>0</v>
      </c>
      <c r="I4483" s="18">
        <v>81159.179999999993</v>
      </c>
      <c r="J4483" s="27">
        <v>169555.28</v>
      </c>
      <c r="K4483" s="18">
        <f t="shared" si="139"/>
        <v>0</v>
      </c>
      <c r="L4483" s="27">
        <v>90292.7</v>
      </c>
      <c r="M4483" s="36">
        <v>9133.52</v>
      </c>
      <c r="T4483" s="41">
        <v>0</v>
      </c>
      <c r="U4483" s="41">
        <v>0</v>
      </c>
      <c r="V4483" s="42" t="s">
        <v>113</v>
      </c>
      <c r="W4483" s="42">
        <v>0</v>
      </c>
      <c r="X4483" s="42">
        <v>0</v>
      </c>
    </row>
    <row r="4484" spans="1:24">
      <c r="A4484" s="27" t="s">
        <v>8267</v>
      </c>
      <c r="B4484" s="28" t="s">
        <v>5102</v>
      </c>
      <c r="C4484" s="27" t="s">
        <v>8268</v>
      </c>
      <c r="D4484" s="27" t="s">
        <v>5104</v>
      </c>
      <c r="E4484" s="29">
        <v>41182</v>
      </c>
      <c r="F4484" s="27">
        <v>15</v>
      </c>
      <c r="G4484" s="18">
        <v>295964.23</v>
      </c>
      <c r="H4484" s="27">
        <f t="shared" si="138"/>
        <v>0</v>
      </c>
      <c r="I4484" s="18">
        <v>141665.95000000001</v>
      </c>
      <c r="J4484" s="27">
        <v>295964.23</v>
      </c>
      <c r="K4484" s="18">
        <f t="shared" si="139"/>
        <v>0</v>
      </c>
      <c r="L4484" s="27">
        <v>157608.82</v>
      </c>
      <c r="M4484" s="36">
        <v>15942.87</v>
      </c>
      <c r="T4484" s="41">
        <v>0</v>
      </c>
      <c r="U4484" s="41">
        <v>0</v>
      </c>
      <c r="V4484" s="42" t="s">
        <v>113</v>
      </c>
      <c r="W4484" s="42">
        <v>0</v>
      </c>
      <c r="X4484" s="42">
        <v>0</v>
      </c>
    </row>
    <row r="4485" spans="1:24">
      <c r="A4485" s="27" t="s">
        <v>8269</v>
      </c>
      <c r="B4485" s="28" t="s">
        <v>5102</v>
      </c>
      <c r="C4485" s="27" t="s">
        <v>8270</v>
      </c>
      <c r="D4485" s="27" t="s">
        <v>5104</v>
      </c>
      <c r="E4485" s="29">
        <v>41182</v>
      </c>
      <c r="F4485" s="27">
        <v>15</v>
      </c>
      <c r="G4485" s="18">
        <v>249233.04</v>
      </c>
      <c r="H4485" s="27">
        <f t="shared" si="138"/>
        <v>0</v>
      </c>
      <c r="I4485" s="18">
        <v>119297.65</v>
      </c>
      <c r="J4485" s="27">
        <v>249233.04</v>
      </c>
      <c r="K4485" s="18">
        <f t="shared" si="139"/>
        <v>0</v>
      </c>
      <c r="L4485" s="27">
        <v>132723.22</v>
      </c>
      <c r="M4485" s="36">
        <v>13425.57</v>
      </c>
      <c r="T4485" s="41">
        <v>0</v>
      </c>
      <c r="U4485" s="41">
        <v>0</v>
      </c>
      <c r="V4485" s="42" t="s">
        <v>113</v>
      </c>
      <c r="W4485" s="42">
        <v>0</v>
      </c>
      <c r="X4485" s="42">
        <v>0</v>
      </c>
    </row>
    <row r="4486" spans="1:24">
      <c r="A4486" s="27" t="s">
        <v>8271</v>
      </c>
      <c r="B4486" s="28" t="s">
        <v>5102</v>
      </c>
      <c r="C4486" s="27" t="s">
        <v>8272</v>
      </c>
      <c r="D4486" s="27" t="s">
        <v>5104</v>
      </c>
      <c r="E4486" s="29">
        <v>41182</v>
      </c>
      <c r="F4486" s="27">
        <v>15</v>
      </c>
      <c r="G4486" s="18">
        <v>217767.37</v>
      </c>
      <c r="H4486" s="27">
        <f t="shared" ref="H4486:H4549" si="140">IFERROR(IF(ROUND((G4486-I4486)/G4486,2)&lt;=0.05,G4486,0),0)</f>
        <v>0</v>
      </c>
      <c r="I4486" s="18">
        <v>104236.33</v>
      </c>
      <c r="J4486" s="27">
        <v>217767.37</v>
      </c>
      <c r="K4486" s="18">
        <f t="shared" ref="K4486:K4549" si="141">IFERROR(IF(ROUND((J4486-L4486)/J4486,2)&lt;=0.05,J4486,0),0)</f>
        <v>0</v>
      </c>
      <c r="L4486" s="27">
        <v>115966.92</v>
      </c>
      <c r="M4486" s="36">
        <v>11730.59</v>
      </c>
      <c r="T4486" s="41">
        <v>0</v>
      </c>
      <c r="U4486" s="41">
        <v>0</v>
      </c>
      <c r="V4486" s="42" t="s">
        <v>113</v>
      </c>
      <c r="W4486" s="42">
        <v>0</v>
      </c>
      <c r="X4486" s="42">
        <v>0</v>
      </c>
    </row>
    <row r="4487" spans="1:24">
      <c r="A4487" s="27" t="s">
        <v>8273</v>
      </c>
      <c r="B4487" s="28" t="s">
        <v>5102</v>
      </c>
      <c r="C4487" s="27" t="s">
        <v>8274</v>
      </c>
      <c r="D4487" s="27" t="s">
        <v>5104</v>
      </c>
      <c r="E4487" s="29">
        <v>41182</v>
      </c>
      <c r="F4487" s="27">
        <v>15</v>
      </c>
      <c r="G4487" s="18">
        <v>197205.63</v>
      </c>
      <c r="H4487" s="27">
        <f t="shared" si="140"/>
        <v>0</v>
      </c>
      <c r="I4487" s="18">
        <v>94394.27</v>
      </c>
      <c r="J4487" s="27">
        <v>197205.63</v>
      </c>
      <c r="K4487" s="18">
        <f t="shared" si="141"/>
        <v>0</v>
      </c>
      <c r="L4487" s="27">
        <v>105017.25</v>
      </c>
      <c r="M4487" s="36">
        <v>10622.98</v>
      </c>
      <c r="T4487" s="41">
        <v>0</v>
      </c>
      <c r="U4487" s="41">
        <v>0</v>
      </c>
      <c r="V4487" s="42" t="s">
        <v>113</v>
      </c>
      <c r="W4487" s="42">
        <v>0</v>
      </c>
      <c r="X4487" s="42">
        <v>0</v>
      </c>
    </row>
    <row r="4488" spans="1:24">
      <c r="A4488" s="27" t="s">
        <v>8275</v>
      </c>
      <c r="B4488" s="28" t="s">
        <v>5102</v>
      </c>
      <c r="C4488" s="27" t="s">
        <v>8276</v>
      </c>
      <c r="D4488" s="27" t="s">
        <v>5104</v>
      </c>
      <c r="E4488" s="29">
        <v>41182</v>
      </c>
      <c r="F4488" s="27">
        <v>15</v>
      </c>
      <c r="G4488" s="18">
        <v>1028183.76</v>
      </c>
      <c r="H4488" s="27">
        <f t="shared" si="140"/>
        <v>0</v>
      </c>
      <c r="I4488" s="18">
        <v>492149.47</v>
      </c>
      <c r="J4488" s="27">
        <v>1028183.76</v>
      </c>
      <c r="K4488" s="18">
        <f t="shared" si="141"/>
        <v>0</v>
      </c>
      <c r="L4488" s="27">
        <v>547535.19999999995</v>
      </c>
      <c r="M4488" s="36">
        <v>55385.73</v>
      </c>
      <c r="T4488" s="41">
        <v>0</v>
      </c>
      <c r="U4488" s="41">
        <v>0</v>
      </c>
      <c r="V4488" s="42" t="s">
        <v>113</v>
      </c>
      <c r="W4488" s="42">
        <v>0</v>
      </c>
      <c r="X4488" s="42">
        <v>0</v>
      </c>
    </row>
    <row r="4489" spans="1:24">
      <c r="A4489" s="27" t="s">
        <v>8277</v>
      </c>
      <c r="B4489" s="28" t="s">
        <v>5102</v>
      </c>
      <c r="C4489" s="27" t="s">
        <v>8278</v>
      </c>
      <c r="D4489" s="27" t="s">
        <v>5104</v>
      </c>
      <c r="E4489" s="29">
        <v>41182</v>
      </c>
      <c r="F4489" s="27">
        <v>15</v>
      </c>
      <c r="G4489" s="18">
        <v>202019.11</v>
      </c>
      <c r="H4489" s="27">
        <f t="shared" si="140"/>
        <v>0</v>
      </c>
      <c r="I4489" s="18">
        <v>96698.28</v>
      </c>
      <c r="J4489" s="27">
        <v>202019.11</v>
      </c>
      <c r="K4489" s="18">
        <f t="shared" si="141"/>
        <v>0</v>
      </c>
      <c r="L4489" s="27">
        <v>107580.55</v>
      </c>
      <c r="M4489" s="36">
        <v>10882.27</v>
      </c>
      <c r="T4489" s="41">
        <v>0</v>
      </c>
      <c r="U4489" s="41">
        <v>0</v>
      </c>
      <c r="V4489" s="42" t="s">
        <v>113</v>
      </c>
      <c r="W4489" s="42">
        <v>0</v>
      </c>
      <c r="X4489" s="42">
        <v>0</v>
      </c>
    </row>
    <row r="4490" spans="1:24">
      <c r="A4490" s="27" t="s">
        <v>8279</v>
      </c>
      <c r="B4490" s="28" t="s">
        <v>5102</v>
      </c>
      <c r="C4490" s="27" t="s">
        <v>8280</v>
      </c>
      <c r="D4490" s="27" t="s">
        <v>5104</v>
      </c>
      <c r="E4490" s="29">
        <v>41182</v>
      </c>
      <c r="F4490" s="27">
        <v>15</v>
      </c>
      <c r="G4490" s="18">
        <v>164658.09</v>
      </c>
      <c r="H4490" s="27">
        <f t="shared" si="140"/>
        <v>0</v>
      </c>
      <c r="I4490" s="18">
        <v>78815.100000000006</v>
      </c>
      <c r="J4490" s="27">
        <v>164658.09</v>
      </c>
      <c r="K4490" s="18">
        <f t="shared" si="141"/>
        <v>0</v>
      </c>
      <c r="L4490" s="27">
        <v>87684.82</v>
      </c>
      <c r="M4490" s="36">
        <v>8869.7199999999993</v>
      </c>
      <c r="T4490" s="41">
        <v>0</v>
      </c>
      <c r="U4490" s="41">
        <v>0</v>
      </c>
      <c r="V4490" s="42" t="s">
        <v>113</v>
      </c>
      <c r="W4490" s="42">
        <v>0</v>
      </c>
      <c r="X4490" s="42">
        <v>0</v>
      </c>
    </row>
    <row r="4491" spans="1:24">
      <c r="A4491" s="27" t="s">
        <v>8281</v>
      </c>
      <c r="B4491" s="28" t="s">
        <v>5102</v>
      </c>
      <c r="C4491" s="27" t="s">
        <v>8282</v>
      </c>
      <c r="D4491" s="27" t="s">
        <v>5104</v>
      </c>
      <c r="E4491" s="29">
        <v>41182</v>
      </c>
      <c r="F4491" s="27">
        <v>15</v>
      </c>
      <c r="G4491" s="18">
        <v>306206.27</v>
      </c>
      <c r="H4491" s="27">
        <f t="shared" si="140"/>
        <v>0</v>
      </c>
      <c r="I4491" s="18">
        <v>146568.4</v>
      </c>
      <c r="J4491" s="27">
        <v>306206.27</v>
      </c>
      <c r="K4491" s="18">
        <f t="shared" si="141"/>
        <v>0</v>
      </c>
      <c r="L4491" s="27">
        <v>163062.98000000001</v>
      </c>
      <c r="M4491" s="36">
        <v>16494.580000000002</v>
      </c>
      <c r="T4491" s="41">
        <v>0</v>
      </c>
      <c r="U4491" s="41">
        <v>0</v>
      </c>
      <c r="V4491" s="42" t="s">
        <v>113</v>
      </c>
      <c r="W4491" s="42">
        <v>0</v>
      </c>
      <c r="X4491" s="42">
        <v>0</v>
      </c>
    </row>
    <row r="4492" spans="1:24">
      <c r="A4492" s="27" t="s">
        <v>8283</v>
      </c>
      <c r="B4492" s="28" t="s">
        <v>5102</v>
      </c>
      <c r="C4492" s="27" t="s">
        <v>8284</v>
      </c>
      <c r="D4492" s="27" t="s">
        <v>5104</v>
      </c>
      <c r="E4492" s="29">
        <v>41182</v>
      </c>
      <c r="F4492" s="27">
        <v>15</v>
      </c>
      <c r="G4492" s="18">
        <v>237839.46</v>
      </c>
      <c r="H4492" s="27">
        <f t="shared" si="140"/>
        <v>0</v>
      </c>
      <c r="I4492" s="18">
        <v>113844.02</v>
      </c>
      <c r="J4492" s="27">
        <v>237839.46</v>
      </c>
      <c r="K4492" s="18">
        <f t="shared" si="141"/>
        <v>0</v>
      </c>
      <c r="L4492" s="27">
        <v>126655.85</v>
      </c>
      <c r="M4492" s="36">
        <v>12811.83</v>
      </c>
      <c r="T4492" s="41">
        <v>0</v>
      </c>
      <c r="U4492" s="41">
        <v>0</v>
      </c>
      <c r="V4492" s="42" t="s">
        <v>113</v>
      </c>
      <c r="W4492" s="42">
        <v>0</v>
      </c>
      <c r="X4492" s="42">
        <v>0</v>
      </c>
    </row>
    <row r="4493" spans="1:24">
      <c r="A4493" s="27" t="s">
        <v>8285</v>
      </c>
      <c r="B4493" s="28" t="s">
        <v>5102</v>
      </c>
      <c r="C4493" s="27" t="s">
        <v>8286</v>
      </c>
      <c r="D4493" s="27" t="s">
        <v>5104</v>
      </c>
      <c r="E4493" s="29">
        <v>41182</v>
      </c>
      <c r="F4493" s="27">
        <v>15</v>
      </c>
      <c r="G4493" s="18">
        <v>211840.81</v>
      </c>
      <c r="H4493" s="27">
        <f t="shared" si="140"/>
        <v>0</v>
      </c>
      <c r="I4493" s="18">
        <v>101399.53</v>
      </c>
      <c r="J4493" s="27">
        <v>211840.81</v>
      </c>
      <c r="K4493" s="18">
        <f t="shared" si="141"/>
        <v>0</v>
      </c>
      <c r="L4493" s="27">
        <v>112810.87</v>
      </c>
      <c r="M4493" s="36">
        <v>11411.34</v>
      </c>
      <c r="T4493" s="41">
        <v>0</v>
      </c>
      <c r="U4493" s="41">
        <v>0</v>
      </c>
      <c r="V4493" s="42" t="s">
        <v>113</v>
      </c>
      <c r="W4493" s="42">
        <v>0</v>
      </c>
      <c r="X4493" s="42">
        <v>0</v>
      </c>
    </row>
    <row r="4494" spans="1:24">
      <c r="A4494" s="27" t="s">
        <v>8287</v>
      </c>
      <c r="B4494" s="28" t="s">
        <v>5102</v>
      </c>
      <c r="C4494" s="27" t="s">
        <v>8288</v>
      </c>
      <c r="D4494" s="27" t="s">
        <v>5104</v>
      </c>
      <c r="E4494" s="29">
        <v>41182</v>
      </c>
      <c r="F4494" s="27">
        <v>15</v>
      </c>
      <c r="G4494" s="18">
        <v>221469.93</v>
      </c>
      <c r="H4494" s="27">
        <f t="shared" si="140"/>
        <v>0</v>
      </c>
      <c r="I4494" s="18">
        <v>106008.59</v>
      </c>
      <c r="J4494" s="27">
        <v>221469.93</v>
      </c>
      <c r="K4494" s="18">
        <f t="shared" si="141"/>
        <v>0</v>
      </c>
      <c r="L4494" s="27">
        <v>117938.63</v>
      </c>
      <c r="M4494" s="36">
        <v>11930.04</v>
      </c>
      <c r="T4494" s="41">
        <v>0</v>
      </c>
      <c r="U4494" s="41">
        <v>0</v>
      </c>
      <c r="V4494" s="42" t="s">
        <v>113</v>
      </c>
      <c r="W4494" s="42">
        <v>0</v>
      </c>
      <c r="X4494" s="42">
        <v>0</v>
      </c>
    </row>
    <row r="4495" spans="1:24">
      <c r="A4495" s="27" t="s">
        <v>8289</v>
      </c>
      <c r="B4495" s="28" t="s">
        <v>5102</v>
      </c>
      <c r="C4495" s="27" t="s">
        <v>8290</v>
      </c>
      <c r="D4495" s="27" t="s">
        <v>5104</v>
      </c>
      <c r="E4495" s="29">
        <v>41182</v>
      </c>
      <c r="F4495" s="27">
        <v>15</v>
      </c>
      <c r="G4495" s="18">
        <v>399837.56</v>
      </c>
      <c r="H4495" s="27">
        <f t="shared" si="140"/>
        <v>0</v>
      </c>
      <c r="I4495" s="18">
        <v>191385.87</v>
      </c>
      <c r="J4495" s="27">
        <v>399837.56</v>
      </c>
      <c r="K4495" s="18">
        <f t="shared" si="141"/>
        <v>0</v>
      </c>
      <c r="L4495" s="27">
        <v>212924.13</v>
      </c>
      <c r="M4495" s="36">
        <v>21538.26</v>
      </c>
      <c r="T4495" s="41">
        <v>0</v>
      </c>
      <c r="U4495" s="41">
        <v>0</v>
      </c>
      <c r="V4495" s="42" t="s">
        <v>113</v>
      </c>
      <c r="W4495" s="42">
        <v>0</v>
      </c>
      <c r="X4495" s="42">
        <v>0</v>
      </c>
    </row>
    <row r="4496" spans="1:24">
      <c r="A4496" s="27" t="s">
        <v>8291</v>
      </c>
      <c r="B4496" s="28" t="s">
        <v>5102</v>
      </c>
      <c r="C4496" s="27" t="s">
        <v>8292</v>
      </c>
      <c r="D4496" s="27" t="s">
        <v>5104</v>
      </c>
      <c r="E4496" s="29">
        <v>41182</v>
      </c>
      <c r="F4496" s="27">
        <v>15</v>
      </c>
      <c r="G4496" s="18">
        <v>215025.19</v>
      </c>
      <c r="H4496" s="27">
        <f t="shared" si="140"/>
        <v>0</v>
      </c>
      <c r="I4496" s="18">
        <v>102923.75</v>
      </c>
      <c r="J4496" s="27">
        <v>215025.19</v>
      </c>
      <c r="K4496" s="18">
        <f t="shared" si="141"/>
        <v>0</v>
      </c>
      <c r="L4496" s="27">
        <v>114506.63</v>
      </c>
      <c r="M4496" s="36">
        <v>11582.88</v>
      </c>
      <c r="T4496" s="41">
        <v>0</v>
      </c>
      <c r="U4496" s="41">
        <v>0</v>
      </c>
      <c r="V4496" s="42" t="s">
        <v>113</v>
      </c>
      <c r="W4496" s="42">
        <v>0</v>
      </c>
      <c r="X4496" s="42">
        <v>0</v>
      </c>
    </row>
    <row r="4497" spans="1:24">
      <c r="A4497" s="27" t="s">
        <v>8293</v>
      </c>
      <c r="B4497" s="28" t="s">
        <v>5102</v>
      </c>
      <c r="C4497" s="27" t="s">
        <v>8294</v>
      </c>
      <c r="D4497" s="27" t="s">
        <v>5104</v>
      </c>
      <c r="E4497" s="29">
        <v>41182</v>
      </c>
      <c r="F4497" s="27">
        <v>15</v>
      </c>
      <c r="G4497" s="18">
        <v>276093.62</v>
      </c>
      <c r="H4497" s="27">
        <f t="shared" si="140"/>
        <v>0</v>
      </c>
      <c r="I4497" s="18">
        <v>132154.71</v>
      </c>
      <c r="J4497" s="27">
        <v>276093.62</v>
      </c>
      <c r="K4497" s="18">
        <f t="shared" si="141"/>
        <v>0</v>
      </c>
      <c r="L4497" s="27">
        <v>147027.19</v>
      </c>
      <c r="M4497" s="36">
        <v>14872.48</v>
      </c>
      <c r="T4497" s="41">
        <v>0</v>
      </c>
      <c r="U4497" s="41">
        <v>0</v>
      </c>
      <c r="V4497" s="42" t="s">
        <v>113</v>
      </c>
      <c r="W4497" s="42">
        <v>0</v>
      </c>
      <c r="X4497" s="42">
        <v>0</v>
      </c>
    </row>
    <row r="4498" spans="1:24">
      <c r="A4498" s="27" t="s">
        <v>8295</v>
      </c>
      <c r="B4498" s="28" t="s">
        <v>5102</v>
      </c>
      <c r="C4498" s="27" t="s">
        <v>8296</v>
      </c>
      <c r="D4498" s="27" t="s">
        <v>5104</v>
      </c>
      <c r="E4498" s="29">
        <v>41182</v>
      </c>
      <c r="F4498" s="27">
        <v>15</v>
      </c>
      <c r="G4498" s="18">
        <v>373481.71</v>
      </c>
      <c r="H4498" s="27">
        <f t="shared" si="140"/>
        <v>0</v>
      </c>
      <c r="I4498" s="18">
        <v>178770.39</v>
      </c>
      <c r="J4498" s="27">
        <v>373481.71</v>
      </c>
      <c r="K4498" s="18">
        <f t="shared" si="141"/>
        <v>0</v>
      </c>
      <c r="L4498" s="27">
        <v>198888.93</v>
      </c>
      <c r="M4498" s="36">
        <v>20118.54</v>
      </c>
      <c r="T4498" s="41">
        <v>0</v>
      </c>
      <c r="U4498" s="41">
        <v>0</v>
      </c>
      <c r="V4498" s="42" t="s">
        <v>113</v>
      </c>
      <c r="W4498" s="42">
        <v>0</v>
      </c>
      <c r="X4498" s="42">
        <v>0</v>
      </c>
    </row>
    <row r="4499" spans="1:24">
      <c r="A4499" s="27" t="s">
        <v>8297</v>
      </c>
      <c r="B4499" s="28" t="s">
        <v>5102</v>
      </c>
      <c r="C4499" s="27" t="s">
        <v>8298</v>
      </c>
      <c r="D4499" s="27" t="s">
        <v>5104</v>
      </c>
      <c r="E4499" s="29">
        <v>41182</v>
      </c>
      <c r="F4499" s="27">
        <v>15</v>
      </c>
      <c r="G4499" s="18">
        <v>223381.94</v>
      </c>
      <c r="H4499" s="27">
        <f t="shared" si="140"/>
        <v>0</v>
      </c>
      <c r="I4499" s="18">
        <v>106935.57</v>
      </c>
      <c r="J4499" s="27">
        <v>223381.94</v>
      </c>
      <c r="K4499" s="18">
        <f t="shared" si="141"/>
        <v>0</v>
      </c>
      <c r="L4499" s="27">
        <v>118967.26</v>
      </c>
      <c r="M4499" s="36">
        <v>12031.69</v>
      </c>
      <c r="T4499" s="41">
        <v>0</v>
      </c>
      <c r="U4499" s="41">
        <v>0</v>
      </c>
      <c r="V4499" s="42" t="s">
        <v>113</v>
      </c>
      <c r="W4499" s="42">
        <v>0</v>
      </c>
      <c r="X4499" s="42">
        <v>0</v>
      </c>
    </row>
    <row r="4500" spans="1:24">
      <c r="A4500" s="27" t="s">
        <v>8299</v>
      </c>
      <c r="B4500" s="28" t="s">
        <v>5102</v>
      </c>
      <c r="C4500" s="27" t="s">
        <v>8300</v>
      </c>
      <c r="D4500" s="27" t="s">
        <v>5104</v>
      </c>
      <c r="E4500" s="29">
        <v>41182</v>
      </c>
      <c r="F4500" s="27">
        <v>15</v>
      </c>
      <c r="G4500" s="18">
        <v>503420.73</v>
      </c>
      <c r="H4500" s="27">
        <f t="shared" si="140"/>
        <v>0</v>
      </c>
      <c r="I4500" s="18">
        <v>240966.88</v>
      </c>
      <c r="J4500" s="27">
        <v>503420.73</v>
      </c>
      <c r="K4500" s="18">
        <f t="shared" si="141"/>
        <v>0</v>
      </c>
      <c r="L4500" s="27">
        <v>268084.92</v>
      </c>
      <c r="M4500" s="36">
        <v>27118.04</v>
      </c>
      <c r="T4500" s="41">
        <v>0</v>
      </c>
      <c r="U4500" s="41">
        <v>0</v>
      </c>
      <c r="V4500" s="42" t="s">
        <v>113</v>
      </c>
      <c r="W4500" s="42">
        <v>0</v>
      </c>
      <c r="X4500" s="42">
        <v>0</v>
      </c>
    </row>
    <row r="4501" spans="1:24">
      <c r="A4501" s="27" t="s">
        <v>8301</v>
      </c>
      <c r="B4501" s="28" t="s">
        <v>5102</v>
      </c>
      <c r="C4501" s="27" t="s">
        <v>8302</v>
      </c>
      <c r="D4501" s="27" t="s">
        <v>5104</v>
      </c>
      <c r="E4501" s="29">
        <v>41182</v>
      </c>
      <c r="F4501" s="27">
        <v>15</v>
      </c>
      <c r="G4501" s="18">
        <v>341683.44</v>
      </c>
      <c r="H4501" s="27">
        <f t="shared" si="140"/>
        <v>0</v>
      </c>
      <c r="I4501" s="18">
        <v>163549.87</v>
      </c>
      <c r="J4501" s="27">
        <v>341683.44</v>
      </c>
      <c r="K4501" s="18">
        <f t="shared" si="141"/>
        <v>0</v>
      </c>
      <c r="L4501" s="27">
        <v>181955.52</v>
      </c>
      <c r="M4501" s="36">
        <v>18405.650000000001</v>
      </c>
      <c r="T4501" s="41">
        <v>0</v>
      </c>
      <c r="U4501" s="41">
        <v>0</v>
      </c>
      <c r="V4501" s="42" t="s">
        <v>113</v>
      </c>
      <c r="W4501" s="42">
        <v>0</v>
      </c>
      <c r="X4501" s="42">
        <v>0</v>
      </c>
    </row>
    <row r="4502" spans="1:24">
      <c r="A4502" s="27" t="s">
        <v>8303</v>
      </c>
      <c r="B4502" s="28" t="s">
        <v>5102</v>
      </c>
      <c r="C4502" s="27" t="s">
        <v>8304</v>
      </c>
      <c r="D4502" s="27" t="s">
        <v>5104</v>
      </c>
      <c r="E4502" s="29">
        <v>41182</v>
      </c>
      <c r="F4502" s="27">
        <v>15</v>
      </c>
      <c r="G4502" s="18">
        <v>403807.69</v>
      </c>
      <c r="H4502" s="27">
        <f t="shared" si="140"/>
        <v>0</v>
      </c>
      <c r="I4502" s="18">
        <v>193286.22</v>
      </c>
      <c r="J4502" s="27">
        <v>403807.69</v>
      </c>
      <c r="K4502" s="18">
        <f t="shared" si="141"/>
        <v>0</v>
      </c>
      <c r="L4502" s="27">
        <v>215038.34</v>
      </c>
      <c r="M4502" s="36">
        <v>21752.12</v>
      </c>
      <c r="T4502" s="41">
        <v>0</v>
      </c>
      <c r="U4502" s="41">
        <v>0</v>
      </c>
      <c r="V4502" s="42" t="s">
        <v>113</v>
      </c>
      <c r="W4502" s="42">
        <v>0</v>
      </c>
      <c r="X4502" s="42">
        <v>0</v>
      </c>
    </row>
    <row r="4503" spans="1:24">
      <c r="A4503" s="27" t="s">
        <v>8305</v>
      </c>
      <c r="B4503" s="28" t="s">
        <v>5102</v>
      </c>
      <c r="C4503" s="27" t="s">
        <v>8306</v>
      </c>
      <c r="D4503" s="27" t="s">
        <v>5104</v>
      </c>
      <c r="E4503" s="29">
        <v>41182</v>
      </c>
      <c r="F4503" s="27">
        <v>15</v>
      </c>
      <c r="G4503" s="18">
        <v>405196.36</v>
      </c>
      <c r="H4503" s="27">
        <f t="shared" si="140"/>
        <v>0</v>
      </c>
      <c r="I4503" s="18">
        <v>193950.92</v>
      </c>
      <c r="J4503" s="27">
        <v>405196.36</v>
      </c>
      <c r="K4503" s="18">
        <f t="shared" si="141"/>
        <v>0</v>
      </c>
      <c r="L4503" s="27">
        <v>215777.85</v>
      </c>
      <c r="M4503" s="36">
        <v>21826.93</v>
      </c>
      <c r="T4503" s="41">
        <v>0</v>
      </c>
      <c r="U4503" s="41">
        <v>0</v>
      </c>
      <c r="V4503" s="42" t="s">
        <v>113</v>
      </c>
      <c r="W4503" s="42">
        <v>0</v>
      </c>
      <c r="X4503" s="42">
        <v>0</v>
      </c>
    </row>
    <row r="4504" spans="1:24">
      <c r="A4504" s="27" t="s">
        <v>8307</v>
      </c>
      <c r="B4504" s="28" t="s">
        <v>5102</v>
      </c>
      <c r="C4504" s="27" t="s">
        <v>8308</v>
      </c>
      <c r="D4504" s="27" t="s">
        <v>5104</v>
      </c>
      <c r="E4504" s="29">
        <v>41182</v>
      </c>
      <c r="F4504" s="27">
        <v>15</v>
      </c>
      <c r="G4504" s="18">
        <v>384078.63</v>
      </c>
      <c r="H4504" s="27">
        <f t="shared" si="140"/>
        <v>0</v>
      </c>
      <c r="I4504" s="18">
        <v>183842.72</v>
      </c>
      <c r="J4504" s="27">
        <v>384078.63</v>
      </c>
      <c r="K4504" s="18">
        <f t="shared" si="141"/>
        <v>0</v>
      </c>
      <c r="L4504" s="27">
        <v>204532.09</v>
      </c>
      <c r="M4504" s="36">
        <v>20689.37</v>
      </c>
      <c r="T4504" s="41">
        <v>0</v>
      </c>
      <c r="U4504" s="41">
        <v>0</v>
      </c>
      <c r="V4504" s="42" t="s">
        <v>113</v>
      </c>
      <c r="W4504" s="42">
        <v>0</v>
      </c>
      <c r="X4504" s="42">
        <v>0</v>
      </c>
    </row>
    <row r="4505" spans="1:24">
      <c r="A4505" s="27" t="s">
        <v>8309</v>
      </c>
      <c r="B4505" s="28" t="s">
        <v>5102</v>
      </c>
      <c r="C4505" s="27" t="s">
        <v>8310</v>
      </c>
      <c r="D4505" s="27" t="s">
        <v>5104</v>
      </c>
      <c r="E4505" s="29">
        <v>41182</v>
      </c>
      <c r="F4505" s="27">
        <v>15</v>
      </c>
      <c r="G4505" s="18">
        <v>318525.68</v>
      </c>
      <c r="H4505" s="27">
        <f t="shared" si="140"/>
        <v>0</v>
      </c>
      <c r="I4505" s="18">
        <v>152465.20000000001</v>
      </c>
      <c r="J4505" s="27">
        <v>318525.68</v>
      </c>
      <c r="K4505" s="18">
        <f t="shared" si="141"/>
        <v>0</v>
      </c>
      <c r="L4505" s="27">
        <v>169623.39</v>
      </c>
      <c r="M4505" s="36">
        <v>17158.189999999999</v>
      </c>
      <c r="T4505" s="41">
        <v>0</v>
      </c>
      <c r="U4505" s="41">
        <v>0</v>
      </c>
      <c r="V4505" s="42" t="s">
        <v>113</v>
      </c>
      <c r="W4505" s="42">
        <v>0</v>
      </c>
      <c r="X4505" s="42">
        <v>0</v>
      </c>
    </row>
    <row r="4506" spans="1:24">
      <c r="A4506" s="27" t="s">
        <v>8311</v>
      </c>
      <c r="B4506" s="28" t="s">
        <v>5102</v>
      </c>
      <c r="C4506" s="27" t="s">
        <v>8312</v>
      </c>
      <c r="D4506" s="27" t="s">
        <v>5104</v>
      </c>
      <c r="E4506" s="29">
        <v>41182</v>
      </c>
      <c r="F4506" s="27">
        <v>15</v>
      </c>
      <c r="G4506" s="18">
        <v>507705.31</v>
      </c>
      <c r="H4506" s="27">
        <f t="shared" si="140"/>
        <v>0</v>
      </c>
      <c r="I4506" s="18">
        <v>243017.73</v>
      </c>
      <c r="J4506" s="27">
        <v>507705.31</v>
      </c>
      <c r="K4506" s="18">
        <f t="shared" si="141"/>
        <v>0</v>
      </c>
      <c r="L4506" s="27">
        <v>270366.57</v>
      </c>
      <c r="M4506" s="36">
        <v>27348.84</v>
      </c>
      <c r="T4506" s="41">
        <v>0</v>
      </c>
      <c r="U4506" s="41">
        <v>0</v>
      </c>
      <c r="V4506" s="42" t="s">
        <v>113</v>
      </c>
      <c r="W4506" s="42">
        <v>0</v>
      </c>
      <c r="X4506" s="42">
        <v>0</v>
      </c>
    </row>
    <row r="4507" spans="1:24">
      <c r="A4507" s="27" t="s">
        <v>8313</v>
      </c>
      <c r="B4507" s="28" t="s">
        <v>5102</v>
      </c>
      <c r="C4507" s="27" t="s">
        <v>8314</v>
      </c>
      <c r="D4507" s="27" t="s">
        <v>5104</v>
      </c>
      <c r="E4507" s="29">
        <v>41182</v>
      </c>
      <c r="F4507" s="27">
        <v>15</v>
      </c>
      <c r="G4507" s="18">
        <v>449631.56</v>
      </c>
      <c r="H4507" s="27">
        <f t="shared" si="140"/>
        <v>0</v>
      </c>
      <c r="I4507" s="18">
        <v>215220.21</v>
      </c>
      <c r="J4507" s="27">
        <v>449631.56</v>
      </c>
      <c r="K4507" s="18">
        <f t="shared" si="141"/>
        <v>0</v>
      </c>
      <c r="L4507" s="27">
        <v>239440.76</v>
      </c>
      <c r="M4507" s="36">
        <v>24220.55</v>
      </c>
      <c r="T4507" s="41">
        <v>0</v>
      </c>
      <c r="U4507" s="41">
        <v>0</v>
      </c>
      <c r="V4507" s="42" t="s">
        <v>113</v>
      </c>
      <c r="W4507" s="42">
        <v>0</v>
      </c>
      <c r="X4507" s="42">
        <v>0</v>
      </c>
    </row>
    <row r="4508" spans="1:24">
      <c r="A4508" s="27" t="s">
        <v>8315</v>
      </c>
      <c r="B4508" s="28" t="s">
        <v>5102</v>
      </c>
      <c r="C4508" s="27" t="s">
        <v>8316</v>
      </c>
      <c r="D4508" s="27" t="s">
        <v>5104</v>
      </c>
      <c r="E4508" s="29">
        <v>41182</v>
      </c>
      <c r="F4508" s="27">
        <v>15</v>
      </c>
      <c r="G4508" s="18">
        <v>569298.67000000004</v>
      </c>
      <c r="H4508" s="27">
        <f t="shared" si="140"/>
        <v>0</v>
      </c>
      <c r="I4508" s="18">
        <v>272499.96999999997</v>
      </c>
      <c r="J4508" s="27">
        <v>569298.67000000004</v>
      </c>
      <c r="K4508" s="18">
        <f t="shared" si="141"/>
        <v>0</v>
      </c>
      <c r="L4508" s="27">
        <v>303166.69</v>
      </c>
      <c r="M4508" s="36">
        <v>30666.720000000001</v>
      </c>
      <c r="T4508" s="41">
        <v>0</v>
      </c>
      <c r="U4508" s="41">
        <v>0</v>
      </c>
      <c r="V4508" s="42" t="s">
        <v>113</v>
      </c>
      <c r="W4508" s="42">
        <v>0</v>
      </c>
      <c r="X4508" s="42">
        <v>0</v>
      </c>
    </row>
    <row r="4509" spans="1:24">
      <c r="A4509" s="27" t="s">
        <v>8317</v>
      </c>
      <c r="B4509" s="28" t="s">
        <v>5102</v>
      </c>
      <c r="C4509" s="27" t="s">
        <v>8318</v>
      </c>
      <c r="D4509" s="27" t="s">
        <v>5104</v>
      </c>
      <c r="E4509" s="29">
        <v>41182</v>
      </c>
      <c r="F4509" s="27">
        <v>15</v>
      </c>
      <c r="G4509" s="18">
        <v>373959.72</v>
      </c>
      <c r="H4509" s="27">
        <f t="shared" si="140"/>
        <v>0</v>
      </c>
      <c r="I4509" s="18">
        <v>178999.21</v>
      </c>
      <c r="J4509" s="27">
        <v>373959.72</v>
      </c>
      <c r="K4509" s="18">
        <f t="shared" si="141"/>
        <v>0</v>
      </c>
      <c r="L4509" s="27">
        <v>199143.5</v>
      </c>
      <c r="M4509" s="36">
        <v>20144.29</v>
      </c>
      <c r="T4509" s="41">
        <v>0</v>
      </c>
      <c r="U4509" s="41">
        <v>0</v>
      </c>
      <c r="V4509" s="42" t="s">
        <v>113</v>
      </c>
      <c r="W4509" s="42">
        <v>0</v>
      </c>
      <c r="X4509" s="42">
        <v>0</v>
      </c>
    </row>
    <row r="4510" spans="1:24">
      <c r="A4510" s="27" t="s">
        <v>8319</v>
      </c>
      <c r="B4510" s="28" t="s">
        <v>5102</v>
      </c>
      <c r="C4510" s="27" t="s">
        <v>8320</v>
      </c>
      <c r="D4510" s="27" t="s">
        <v>5104</v>
      </c>
      <c r="E4510" s="29">
        <v>41182</v>
      </c>
      <c r="F4510" s="27">
        <v>15</v>
      </c>
      <c r="G4510" s="18">
        <v>318109.59999999998</v>
      </c>
      <c r="H4510" s="27">
        <f t="shared" si="140"/>
        <v>0</v>
      </c>
      <c r="I4510" s="18">
        <v>152266.03</v>
      </c>
      <c r="J4510" s="27">
        <v>318109.59999999998</v>
      </c>
      <c r="K4510" s="18">
        <f t="shared" si="141"/>
        <v>0</v>
      </c>
      <c r="L4510" s="27">
        <v>169401.81</v>
      </c>
      <c r="M4510" s="36">
        <v>17135.78</v>
      </c>
      <c r="T4510" s="41">
        <v>0</v>
      </c>
      <c r="U4510" s="41">
        <v>0</v>
      </c>
      <c r="V4510" s="42" t="s">
        <v>113</v>
      </c>
      <c r="W4510" s="42">
        <v>0</v>
      </c>
      <c r="X4510" s="42">
        <v>0</v>
      </c>
    </row>
    <row r="4511" spans="1:24">
      <c r="A4511" s="27" t="s">
        <v>8321</v>
      </c>
      <c r="B4511" s="28" t="s">
        <v>5102</v>
      </c>
      <c r="C4511" s="27" t="s">
        <v>8322</v>
      </c>
      <c r="D4511" s="27" t="s">
        <v>5104</v>
      </c>
      <c r="E4511" s="29">
        <v>41182</v>
      </c>
      <c r="F4511" s="27">
        <v>15</v>
      </c>
      <c r="G4511" s="18">
        <v>199492.46</v>
      </c>
      <c r="H4511" s="27">
        <f t="shared" si="140"/>
        <v>0</v>
      </c>
      <c r="I4511" s="18">
        <v>95488.87</v>
      </c>
      <c r="J4511" s="27">
        <v>199492.46</v>
      </c>
      <c r="K4511" s="18">
        <f t="shared" si="141"/>
        <v>0</v>
      </c>
      <c r="L4511" s="27">
        <v>106235.04</v>
      </c>
      <c r="M4511" s="36">
        <v>10746.17</v>
      </c>
      <c r="T4511" s="41">
        <v>0</v>
      </c>
      <c r="U4511" s="41">
        <v>0</v>
      </c>
      <c r="V4511" s="42" t="s">
        <v>113</v>
      </c>
      <c r="W4511" s="42">
        <v>0</v>
      </c>
      <c r="X4511" s="42">
        <v>0</v>
      </c>
    </row>
    <row r="4512" spans="1:24">
      <c r="A4512" s="27" t="s">
        <v>8323</v>
      </c>
      <c r="B4512" s="28" t="s">
        <v>5102</v>
      </c>
      <c r="C4512" s="27" t="s">
        <v>8324</v>
      </c>
      <c r="D4512" s="27" t="s">
        <v>5104</v>
      </c>
      <c r="E4512" s="29">
        <v>41182</v>
      </c>
      <c r="F4512" s="27">
        <v>15</v>
      </c>
      <c r="G4512" s="18">
        <v>221059.21</v>
      </c>
      <c r="H4512" s="27">
        <f t="shared" si="140"/>
        <v>0</v>
      </c>
      <c r="I4512" s="18">
        <v>105811.99</v>
      </c>
      <c r="J4512" s="27">
        <v>221059.21</v>
      </c>
      <c r="K4512" s="18">
        <f t="shared" si="141"/>
        <v>0</v>
      </c>
      <c r="L4512" s="27">
        <v>117719.91</v>
      </c>
      <c r="M4512" s="36">
        <v>11907.92</v>
      </c>
      <c r="T4512" s="41">
        <v>0</v>
      </c>
      <c r="U4512" s="41">
        <v>0</v>
      </c>
      <c r="V4512" s="42" t="s">
        <v>113</v>
      </c>
      <c r="W4512" s="42">
        <v>0</v>
      </c>
      <c r="X4512" s="42">
        <v>0</v>
      </c>
    </row>
    <row r="4513" spans="1:24">
      <c r="A4513" s="27" t="s">
        <v>8325</v>
      </c>
      <c r="B4513" s="28" t="s">
        <v>5102</v>
      </c>
      <c r="C4513" s="27" t="s">
        <v>8326</v>
      </c>
      <c r="D4513" s="27" t="s">
        <v>5104</v>
      </c>
      <c r="E4513" s="29">
        <v>41182</v>
      </c>
      <c r="F4513" s="27">
        <v>15</v>
      </c>
      <c r="G4513" s="18">
        <v>114205.75999999999</v>
      </c>
      <c r="H4513" s="27">
        <f t="shared" si="140"/>
        <v>0</v>
      </c>
      <c r="I4513" s="18">
        <v>54665.63</v>
      </c>
      <c r="J4513" s="27">
        <v>114205.75999999999</v>
      </c>
      <c r="K4513" s="18">
        <f t="shared" si="141"/>
        <v>0</v>
      </c>
      <c r="L4513" s="27">
        <v>60817.61</v>
      </c>
      <c r="M4513" s="36">
        <v>6151.98</v>
      </c>
      <c r="T4513" s="41">
        <v>0</v>
      </c>
      <c r="U4513" s="41">
        <v>0</v>
      </c>
      <c r="V4513" s="42" t="s">
        <v>113</v>
      </c>
      <c r="W4513" s="42">
        <v>0</v>
      </c>
      <c r="X4513" s="42">
        <v>0</v>
      </c>
    </row>
    <row r="4514" spans="1:24">
      <c r="A4514" s="27" t="s">
        <v>8327</v>
      </c>
      <c r="B4514" s="28" t="s">
        <v>5102</v>
      </c>
      <c r="C4514" s="27" t="s">
        <v>8328</v>
      </c>
      <c r="D4514" s="27" t="s">
        <v>5104</v>
      </c>
      <c r="E4514" s="29">
        <v>41182</v>
      </c>
      <c r="F4514" s="27">
        <v>15</v>
      </c>
      <c r="G4514" s="18">
        <v>1721756.02</v>
      </c>
      <c r="H4514" s="27">
        <f t="shared" si="140"/>
        <v>0</v>
      </c>
      <c r="I4514" s="18">
        <v>824134.11</v>
      </c>
      <c r="J4514" s="27">
        <v>1721756.02</v>
      </c>
      <c r="K4514" s="18">
        <f t="shared" si="141"/>
        <v>0</v>
      </c>
      <c r="L4514" s="27">
        <v>916880.87</v>
      </c>
      <c r="M4514" s="36">
        <v>92746.76</v>
      </c>
      <c r="T4514" s="41">
        <v>0</v>
      </c>
      <c r="U4514" s="41">
        <v>0</v>
      </c>
      <c r="V4514" s="42" t="s">
        <v>113</v>
      </c>
      <c r="W4514" s="42">
        <v>0</v>
      </c>
      <c r="X4514" s="42">
        <v>0</v>
      </c>
    </row>
    <row r="4515" spans="1:24">
      <c r="A4515" s="27" t="s">
        <v>8329</v>
      </c>
      <c r="B4515" s="28" t="s">
        <v>5102</v>
      </c>
      <c r="C4515" s="27" t="s">
        <v>8330</v>
      </c>
      <c r="D4515" s="27" t="s">
        <v>5104</v>
      </c>
      <c r="E4515" s="29">
        <v>41182</v>
      </c>
      <c r="F4515" s="27">
        <v>15</v>
      </c>
      <c r="G4515" s="18">
        <v>1721756</v>
      </c>
      <c r="H4515" s="27">
        <f t="shared" si="140"/>
        <v>0</v>
      </c>
      <c r="I4515" s="18">
        <v>824134.09</v>
      </c>
      <c r="J4515" s="27">
        <v>1721756</v>
      </c>
      <c r="K4515" s="18">
        <f t="shared" si="141"/>
        <v>0</v>
      </c>
      <c r="L4515" s="27">
        <v>916880.85</v>
      </c>
      <c r="M4515" s="36">
        <v>92746.76</v>
      </c>
      <c r="T4515" s="41">
        <v>0</v>
      </c>
      <c r="U4515" s="41">
        <v>0</v>
      </c>
      <c r="V4515" s="42" t="s">
        <v>113</v>
      </c>
      <c r="W4515" s="42">
        <v>0</v>
      </c>
      <c r="X4515" s="42">
        <v>0</v>
      </c>
    </row>
    <row r="4516" spans="1:24">
      <c r="A4516" s="27" t="s">
        <v>8331</v>
      </c>
      <c r="B4516" s="28" t="s">
        <v>5102</v>
      </c>
      <c r="C4516" s="27" t="s">
        <v>8332</v>
      </c>
      <c r="D4516" s="27" t="s">
        <v>5104</v>
      </c>
      <c r="E4516" s="29">
        <v>41182</v>
      </c>
      <c r="F4516" s="27">
        <v>15</v>
      </c>
      <c r="G4516" s="18">
        <v>254110.94</v>
      </c>
      <c r="H4516" s="27">
        <f t="shared" si="140"/>
        <v>0</v>
      </c>
      <c r="I4516" s="18">
        <v>121632.49</v>
      </c>
      <c r="J4516" s="27">
        <v>254110.94</v>
      </c>
      <c r="K4516" s="18">
        <f t="shared" si="141"/>
        <v>0</v>
      </c>
      <c r="L4516" s="27">
        <v>135320.82</v>
      </c>
      <c r="M4516" s="36">
        <v>13688.33</v>
      </c>
      <c r="T4516" s="41">
        <v>0</v>
      </c>
      <c r="U4516" s="41">
        <v>0</v>
      </c>
      <c r="V4516" s="42" t="s">
        <v>113</v>
      </c>
      <c r="W4516" s="42">
        <v>0</v>
      </c>
      <c r="X4516" s="42">
        <v>0</v>
      </c>
    </row>
    <row r="4517" spans="1:24">
      <c r="A4517" s="27" t="s">
        <v>8333</v>
      </c>
      <c r="B4517" s="28" t="s">
        <v>5102</v>
      </c>
      <c r="C4517" s="27" t="s">
        <v>8334</v>
      </c>
      <c r="D4517" s="27" t="s">
        <v>5104</v>
      </c>
      <c r="E4517" s="29">
        <v>41182</v>
      </c>
      <c r="F4517" s="27">
        <v>15</v>
      </c>
      <c r="G4517" s="18">
        <v>207053.36</v>
      </c>
      <c r="H4517" s="27">
        <f t="shared" si="140"/>
        <v>0</v>
      </c>
      <c r="I4517" s="18">
        <v>99107.96</v>
      </c>
      <c r="J4517" s="27">
        <v>207053.36</v>
      </c>
      <c r="K4517" s="18">
        <f t="shared" si="141"/>
        <v>0</v>
      </c>
      <c r="L4517" s="27">
        <v>110261.41</v>
      </c>
      <c r="M4517" s="36">
        <v>11153.45</v>
      </c>
      <c r="T4517" s="41">
        <v>0</v>
      </c>
      <c r="U4517" s="41">
        <v>0</v>
      </c>
      <c r="V4517" s="42" t="s">
        <v>113</v>
      </c>
      <c r="W4517" s="42">
        <v>0</v>
      </c>
      <c r="X4517" s="42">
        <v>0</v>
      </c>
    </row>
    <row r="4518" spans="1:24">
      <c r="A4518" s="27" t="s">
        <v>8335</v>
      </c>
      <c r="B4518" s="28" t="s">
        <v>5102</v>
      </c>
      <c r="C4518" s="27" t="s">
        <v>8336</v>
      </c>
      <c r="D4518" s="27" t="s">
        <v>5104</v>
      </c>
      <c r="E4518" s="29">
        <v>41182</v>
      </c>
      <c r="F4518" s="27">
        <v>15</v>
      </c>
      <c r="G4518" s="18">
        <v>94742.6</v>
      </c>
      <c r="H4518" s="27">
        <f t="shared" si="140"/>
        <v>0</v>
      </c>
      <c r="I4518" s="18">
        <v>45349.4</v>
      </c>
      <c r="J4518" s="27">
        <v>94742.6</v>
      </c>
      <c r="K4518" s="18">
        <f t="shared" si="141"/>
        <v>0</v>
      </c>
      <c r="L4518" s="27">
        <v>50452.95</v>
      </c>
      <c r="M4518" s="36">
        <v>5103.55</v>
      </c>
      <c r="T4518" s="41">
        <v>0</v>
      </c>
      <c r="U4518" s="41">
        <v>0</v>
      </c>
      <c r="V4518" s="42" t="s">
        <v>113</v>
      </c>
      <c r="W4518" s="42">
        <v>0</v>
      </c>
      <c r="X4518" s="42">
        <v>0</v>
      </c>
    </row>
    <row r="4519" spans="1:24">
      <c r="A4519" s="27" t="s">
        <v>8337</v>
      </c>
      <c r="B4519" s="28" t="s">
        <v>5102</v>
      </c>
      <c r="C4519" s="27" t="s">
        <v>8338</v>
      </c>
      <c r="D4519" s="27" t="s">
        <v>5104</v>
      </c>
      <c r="E4519" s="29">
        <v>41182</v>
      </c>
      <c r="F4519" s="27">
        <v>15</v>
      </c>
      <c r="G4519" s="18">
        <v>58351.4</v>
      </c>
      <c r="H4519" s="27">
        <f t="shared" si="140"/>
        <v>0</v>
      </c>
      <c r="I4519" s="18">
        <v>27930.43</v>
      </c>
      <c r="J4519" s="27">
        <v>58351.4</v>
      </c>
      <c r="K4519" s="18">
        <f t="shared" si="141"/>
        <v>0</v>
      </c>
      <c r="L4519" s="27">
        <v>31073.68</v>
      </c>
      <c r="M4519" s="36">
        <v>3143.25</v>
      </c>
      <c r="T4519" s="41">
        <v>0</v>
      </c>
      <c r="U4519" s="41">
        <v>0</v>
      </c>
      <c r="V4519" s="42" t="s">
        <v>113</v>
      </c>
      <c r="W4519" s="42">
        <v>0</v>
      </c>
      <c r="X4519" s="42">
        <v>0</v>
      </c>
    </row>
    <row r="4520" spans="1:24">
      <c r="A4520" s="27" t="s">
        <v>8339</v>
      </c>
      <c r="B4520" s="28" t="s">
        <v>5102</v>
      </c>
      <c r="C4520" s="27" t="s">
        <v>8340</v>
      </c>
      <c r="D4520" s="27" t="s">
        <v>5104</v>
      </c>
      <c r="E4520" s="29">
        <v>41182</v>
      </c>
      <c r="F4520" s="27">
        <v>15</v>
      </c>
      <c r="G4520" s="18">
        <v>158113.47</v>
      </c>
      <c r="H4520" s="27">
        <f t="shared" si="140"/>
        <v>0</v>
      </c>
      <c r="I4520" s="18">
        <v>75682.45</v>
      </c>
      <c r="J4520" s="27">
        <v>158113.47</v>
      </c>
      <c r="K4520" s="18">
        <f t="shared" si="141"/>
        <v>0</v>
      </c>
      <c r="L4520" s="27">
        <v>84199.63</v>
      </c>
      <c r="M4520" s="36">
        <v>8517.18</v>
      </c>
      <c r="T4520" s="41">
        <v>0</v>
      </c>
      <c r="U4520" s="41">
        <v>0</v>
      </c>
      <c r="V4520" s="42" t="s">
        <v>113</v>
      </c>
      <c r="W4520" s="42">
        <v>0</v>
      </c>
      <c r="X4520" s="42">
        <v>0</v>
      </c>
    </row>
    <row r="4521" spans="1:24">
      <c r="A4521" s="27" t="s">
        <v>8341</v>
      </c>
      <c r="B4521" s="28" t="s">
        <v>5102</v>
      </c>
      <c r="C4521" s="27" t="s">
        <v>8342</v>
      </c>
      <c r="D4521" s="27" t="s">
        <v>5104</v>
      </c>
      <c r="E4521" s="29">
        <v>41182</v>
      </c>
      <c r="F4521" s="27">
        <v>15</v>
      </c>
      <c r="G4521" s="18">
        <v>409714.66</v>
      </c>
      <c r="H4521" s="27">
        <f t="shared" si="140"/>
        <v>0</v>
      </c>
      <c r="I4521" s="18">
        <v>196113.63</v>
      </c>
      <c r="J4521" s="27">
        <v>409714.66</v>
      </c>
      <c r="K4521" s="18">
        <f t="shared" si="141"/>
        <v>0</v>
      </c>
      <c r="L4521" s="27">
        <v>218183.95</v>
      </c>
      <c r="M4521" s="36">
        <v>22070.32</v>
      </c>
      <c r="T4521" s="41">
        <v>0</v>
      </c>
      <c r="U4521" s="41">
        <v>0</v>
      </c>
      <c r="V4521" s="42" t="s">
        <v>113</v>
      </c>
      <c r="W4521" s="42">
        <v>0</v>
      </c>
      <c r="X4521" s="42">
        <v>0</v>
      </c>
    </row>
    <row r="4522" spans="1:24">
      <c r="A4522" s="27" t="s">
        <v>8343</v>
      </c>
      <c r="B4522" s="28" t="s">
        <v>5102</v>
      </c>
      <c r="C4522" s="27" t="s">
        <v>8344</v>
      </c>
      <c r="D4522" s="27" t="s">
        <v>5104</v>
      </c>
      <c r="E4522" s="29">
        <v>41182</v>
      </c>
      <c r="F4522" s="27">
        <v>15</v>
      </c>
      <c r="G4522" s="18">
        <v>250973.75</v>
      </c>
      <c r="H4522" s="27">
        <f t="shared" si="140"/>
        <v>0</v>
      </c>
      <c r="I4522" s="18">
        <v>120130.84</v>
      </c>
      <c r="J4522" s="27">
        <v>250973.75</v>
      </c>
      <c r="K4522" s="18">
        <f t="shared" si="141"/>
        <v>0</v>
      </c>
      <c r="L4522" s="27">
        <v>133650.18</v>
      </c>
      <c r="M4522" s="36">
        <v>13519.34</v>
      </c>
      <c r="T4522" s="41">
        <v>0</v>
      </c>
      <c r="U4522" s="41">
        <v>0</v>
      </c>
      <c r="V4522" s="42" t="s">
        <v>113</v>
      </c>
      <c r="W4522" s="42">
        <v>0</v>
      </c>
      <c r="X4522" s="42">
        <v>0</v>
      </c>
    </row>
    <row r="4523" spans="1:24">
      <c r="A4523" s="27" t="s">
        <v>8345</v>
      </c>
      <c r="B4523" s="28" t="s">
        <v>5102</v>
      </c>
      <c r="C4523" s="27" t="s">
        <v>8346</v>
      </c>
      <c r="D4523" s="27" t="s">
        <v>5104</v>
      </c>
      <c r="E4523" s="29">
        <v>41182</v>
      </c>
      <c r="F4523" s="27">
        <v>15</v>
      </c>
      <c r="G4523" s="18">
        <v>242189.68</v>
      </c>
      <c r="H4523" s="27">
        <f t="shared" si="140"/>
        <v>0</v>
      </c>
      <c r="I4523" s="18">
        <v>115938.07</v>
      </c>
      <c r="J4523" s="27">
        <v>242189.68</v>
      </c>
      <c r="K4523" s="18">
        <f t="shared" si="141"/>
        <v>0</v>
      </c>
      <c r="L4523" s="27">
        <v>128982.88</v>
      </c>
      <c r="M4523" s="36">
        <v>13044.81</v>
      </c>
      <c r="T4523" s="41">
        <v>0</v>
      </c>
      <c r="U4523" s="41">
        <v>0</v>
      </c>
      <c r="V4523" s="42" t="s">
        <v>113</v>
      </c>
      <c r="W4523" s="42">
        <v>0</v>
      </c>
      <c r="X4523" s="42">
        <v>0</v>
      </c>
    </row>
    <row r="4524" spans="1:24">
      <c r="A4524" s="27" t="s">
        <v>8347</v>
      </c>
      <c r="B4524" s="28" t="s">
        <v>5102</v>
      </c>
      <c r="C4524" s="27" t="s">
        <v>8348</v>
      </c>
      <c r="D4524" s="27" t="s">
        <v>5104</v>
      </c>
      <c r="E4524" s="29">
        <v>41182</v>
      </c>
      <c r="F4524" s="27">
        <v>15</v>
      </c>
      <c r="G4524" s="18">
        <v>237707.68</v>
      </c>
      <c r="H4524" s="27">
        <f t="shared" si="140"/>
        <v>0</v>
      </c>
      <c r="I4524" s="18">
        <v>113780.94</v>
      </c>
      <c r="J4524" s="27">
        <v>237707.68</v>
      </c>
      <c r="K4524" s="18">
        <f t="shared" si="141"/>
        <v>0</v>
      </c>
      <c r="L4524" s="27">
        <v>126585.67</v>
      </c>
      <c r="M4524" s="36">
        <v>12804.73</v>
      </c>
      <c r="T4524" s="41">
        <v>0</v>
      </c>
      <c r="U4524" s="41">
        <v>0</v>
      </c>
      <c r="V4524" s="42" t="s">
        <v>113</v>
      </c>
      <c r="W4524" s="42">
        <v>0</v>
      </c>
      <c r="X4524" s="42">
        <v>0</v>
      </c>
    </row>
    <row r="4525" spans="1:24">
      <c r="A4525" s="27" t="s">
        <v>8349</v>
      </c>
      <c r="B4525" s="28" t="s">
        <v>5102</v>
      </c>
      <c r="C4525" s="27" t="s">
        <v>8350</v>
      </c>
      <c r="D4525" s="27" t="s">
        <v>5104</v>
      </c>
      <c r="E4525" s="29">
        <v>41182</v>
      </c>
      <c r="F4525" s="27">
        <v>15</v>
      </c>
      <c r="G4525" s="18">
        <v>568973.76</v>
      </c>
      <c r="H4525" s="27">
        <f t="shared" si="140"/>
        <v>0</v>
      </c>
      <c r="I4525" s="18">
        <v>272344.44</v>
      </c>
      <c r="J4525" s="27">
        <v>568973.76</v>
      </c>
      <c r="K4525" s="18">
        <f t="shared" si="141"/>
        <v>0</v>
      </c>
      <c r="L4525" s="27">
        <v>302993.65000000002</v>
      </c>
      <c r="M4525" s="36">
        <v>30649.21</v>
      </c>
      <c r="T4525" s="41">
        <v>0</v>
      </c>
      <c r="U4525" s="41">
        <v>0</v>
      </c>
      <c r="V4525" s="42" t="s">
        <v>113</v>
      </c>
      <c r="W4525" s="42">
        <v>0</v>
      </c>
      <c r="X4525" s="42">
        <v>0</v>
      </c>
    </row>
    <row r="4526" spans="1:24">
      <c r="A4526" s="27" t="s">
        <v>8351</v>
      </c>
      <c r="B4526" s="28" t="s">
        <v>5102</v>
      </c>
      <c r="C4526" s="27" t="s">
        <v>8352</v>
      </c>
      <c r="D4526" s="27" t="s">
        <v>5104</v>
      </c>
      <c r="E4526" s="29">
        <v>41182</v>
      </c>
      <c r="F4526" s="27">
        <v>15</v>
      </c>
      <c r="G4526" s="18">
        <v>279289.2</v>
      </c>
      <c r="H4526" s="27">
        <f t="shared" si="140"/>
        <v>0</v>
      </c>
      <c r="I4526" s="18">
        <v>133684.29999999999</v>
      </c>
      <c r="J4526" s="27">
        <v>279289.2</v>
      </c>
      <c r="K4526" s="18">
        <f t="shared" si="141"/>
        <v>0</v>
      </c>
      <c r="L4526" s="27">
        <v>148728.92000000001</v>
      </c>
      <c r="M4526" s="36">
        <v>15044.62</v>
      </c>
      <c r="T4526" s="41">
        <v>0</v>
      </c>
      <c r="U4526" s="41">
        <v>0</v>
      </c>
      <c r="V4526" s="42" t="s">
        <v>113</v>
      </c>
      <c r="W4526" s="42">
        <v>0</v>
      </c>
      <c r="X4526" s="42">
        <v>0</v>
      </c>
    </row>
    <row r="4527" spans="1:24">
      <c r="A4527" s="27" t="s">
        <v>8353</v>
      </c>
      <c r="B4527" s="28" t="s">
        <v>5102</v>
      </c>
      <c r="C4527" s="27" t="s">
        <v>8354</v>
      </c>
      <c r="D4527" s="27" t="s">
        <v>5104</v>
      </c>
      <c r="E4527" s="29">
        <v>41182</v>
      </c>
      <c r="F4527" s="27">
        <v>15</v>
      </c>
      <c r="G4527" s="18">
        <v>270279.86</v>
      </c>
      <c r="H4527" s="27">
        <f t="shared" si="140"/>
        <v>0</v>
      </c>
      <c r="I4527" s="18">
        <v>129371.9</v>
      </c>
      <c r="J4527" s="27">
        <v>270279.86</v>
      </c>
      <c r="K4527" s="18">
        <f t="shared" si="141"/>
        <v>0</v>
      </c>
      <c r="L4527" s="27">
        <v>143931.21</v>
      </c>
      <c r="M4527" s="36">
        <v>14559.31</v>
      </c>
      <c r="T4527" s="41">
        <v>0</v>
      </c>
      <c r="U4527" s="41">
        <v>0</v>
      </c>
      <c r="V4527" s="42" t="s">
        <v>113</v>
      </c>
      <c r="W4527" s="42">
        <v>0</v>
      </c>
      <c r="X4527" s="42">
        <v>0</v>
      </c>
    </row>
    <row r="4528" spans="1:24">
      <c r="A4528" s="27" t="s">
        <v>8355</v>
      </c>
      <c r="B4528" s="28" t="s">
        <v>5102</v>
      </c>
      <c r="C4528" s="27" t="s">
        <v>8356</v>
      </c>
      <c r="D4528" s="27" t="s">
        <v>5104</v>
      </c>
      <c r="E4528" s="29">
        <v>41182</v>
      </c>
      <c r="F4528" s="27">
        <v>15</v>
      </c>
      <c r="G4528" s="18">
        <v>42274.54</v>
      </c>
      <c r="H4528" s="27">
        <f t="shared" si="140"/>
        <v>0</v>
      </c>
      <c r="I4528" s="18">
        <v>20235.09</v>
      </c>
      <c r="J4528" s="27">
        <v>42274.54</v>
      </c>
      <c r="K4528" s="18">
        <f t="shared" si="141"/>
        <v>0</v>
      </c>
      <c r="L4528" s="27">
        <v>22512.32</v>
      </c>
      <c r="M4528" s="36">
        <v>2277.23</v>
      </c>
      <c r="T4528" s="41">
        <v>0</v>
      </c>
      <c r="U4528" s="41">
        <v>0</v>
      </c>
      <c r="V4528" s="42" t="s">
        <v>113</v>
      </c>
      <c r="W4528" s="42">
        <v>0</v>
      </c>
      <c r="X4528" s="42">
        <v>0</v>
      </c>
    </row>
    <row r="4529" spans="1:24">
      <c r="A4529" s="27" t="s">
        <v>8357</v>
      </c>
      <c r="B4529" s="28" t="s">
        <v>5102</v>
      </c>
      <c r="C4529" s="27" t="s">
        <v>8358</v>
      </c>
      <c r="D4529" s="27" t="s">
        <v>5104</v>
      </c>
      <c r="E4529" s="29">
        <v>41182</v>
      </c>
      <c r="F4529" s="27">
        <v>15</v>
      </c>
      <c r="G4529" s="18">
        <v>367303.41</v>
      </c>
      <c r="H4529" s="27">
        <f t="shared" si="140"/>
        <v>0</v>
      </c>
      <c r="I4529" s="18">
        <v>175813.11</v>
      </c>
      <c r="J4529" s="27">
        <v>367303.41</v>
      </c>
      <c r="K4529" s="18">
        <f t="shared" si="141"/>
        <v>0</v>
      </c>
      <c r="L4529" s="27">
        <v>195598.84</v>
      </c>
      <c r="M4529" s="36">
        <v>19785.73</v>
      </c>
      <c r="T4529" s="41">
        <v>0</v>
      </c>
      <c r="U4529" s="41">
        <v>0</v>
      </c>
      <c r="V4529" s="42" t="s">
        <v>113</v>
      </c>
      <c r="W4529" s="42">
        <v>0</v>
      </c>
      <c r="X4529" s="42">
        <v>0</v>
      </c>
    </row>
    <row r="4530" spans="1:24">
      <c r="A4530" s="27" t="s">
        <v>8359</v>
      </c>
      <c r="B4530" s="28" t="s">
        <v>5102</v>
      </c>
      <c r="C4530" s="27" t="s">
        <v>8360</v>
      </c>
      <c r="D4530" s="27" t="s">
        <v>5104</v>
      </c>
      <c r="E4530" s="29">
        <v>41182</v>
      </c>
      <c r="F4530" s="27">
        <v>15</v>
      </c>
      <c r="G4530" s="18">
        <v>620950.64</v>
      </c>
      <c r="H4530" s="27">
        <f t="shared" si="140"/>
        <v>0</v>
      </c>
      <c r="I4530" s="18">
        <v>297223.64</v>
      </c>
      <c r="J4530" s="27">
        <v>620950.64</v>
      </c>
      <c r="K4530" s="18">
        <f t="shared" si="141"/>
        <v>0</v>
      </c>
      <c r="L4530" s="27">
        <v>330672.71999999997</v>
      </c>
      <c r="M4530" s="36">
        <v>33449.08</v>
      </c>
      <c r="T4530" s="41">
        <v>0</v>
      </c>
      <c r="U4530" s="41">
        <v>0</v>
      </c>
      <c r="V4530" s="42" t="s">
        <v>113</v>
      </c>
      <c r="W4530" s="42">
        <v>0</v>
      </c>
      <c r="X4530" s="42">
        <v>0</v>
      </c>
    </row>
    <row r="4531" spans="1:24">
      <c r="A4531" s="27" t="s">
        <v>8361</v>
      </c>
      <c r="B4531" s="28" t="s">
        <v>5102</v>
      </c>
      <c r="C4531" s="27" t="s">
        <v>8362</v>
      </c>
      <c r="D4531" s="27" t="s">
        <v>5104</v>
      </c>
      <c r="E4531" s="29">
        <v>41182</v>
      </c>
      <c r="F4531" s="27">
        <v>15</v>
      </c>
      <c r="G4531" s="18">
        <v>395517.01</v>
      </c>
      <c r="H4531" s="27">
        <f t="shared" si="140"/>
        <v>0</v>
      </c>
      <c r="I4531" s="18">
        <v>189317.79</v>
      </c>
      <c r="J4531" s="27">
        <v>395517.01</v>
      </c>
      <c r="K4531" s="18">
        <f t="shared" si="141"/>
        <v>0</v>
      </c>
      <c r="L4531" s="27">
        <v>210623.32</v>
      </c>
      <c r="M4531" s="36">
        <v>21305.53</v>
      </c>
      <c r="T4531" s="41">
        <v>0</v>
      </c>
      <c r="U4531" s="41">
        <v>0</v>
      </c>
      <c r="V4531" s="42" t="s">
        <v>113</v>
      </c>
      <c r="W4531" s="42">
        <v>0</v>
      </c>
      <c r="X4531" s="42">
        <v>0</v>
      </c>
    </row>
    <row r="4532" spans="1:24">
      <c r="A4532" s="27" t="s">
        <v>8363</v>
      </c>
      <c r="B4532" s="28" t="s">
        <v>5102</v>
      </c>
      <c r="C4532" s="27" t="s">
        <v>8364</v>
      </c>
      <c r="D4532" s="27" t="s">
        <v>5104</v>
      </c>
      <c r="E4532" s="29">
        <v>41182</v>
      </c>
      <c r="F4532" s="27">
        <v>15</v>
      </c>
      <c r="G4532" s="18">
        <v>269670.68</v>
      </c>
      <c r="H4532" s="27">
        <f t="shared" si="140"/>
        <v>0</v>
      </c>
      <c r="I4532" s="18">
        <v>129080.32000000001</v>
      </c>
      <c r="J4532" s="27">
        <v>269670.68</v>
      </c>
      <c r="K4532" s="18">
        <f t="shared" si="141"/>
        <v>0</v>
      </c>
      <c r="L4532" s="27">
        <v>143606.81</v>
      </c>
      <c r="M4532" s="36">
        <v>14526.49</v>
      </c>
      <c r="T4532" s="41">
        <v>0</v>
      </c>
      <c r="U4532" s="41">
        <v>0</v>
      </c>
      <c r="V4532" s="42" t="s">
        <v>113</v>
      </c>
      <c r="W4532" s="42">
        <v>0</v>
      </c>
      <c r="X4532" s="42">
        <v>0</v>
      </c>
    </row>
    <row r="4533" spans="1:24">
      <c r="A4533" s="27" t="s">
        <v>8365</v>
      </c>
      <c r="B4533" s="28" t="s">
        <v>5102</v>
      </c>
      <c r="C4533" s="27" t="s">
        <v>8366</v>
      </c>
      <c r="D4533" s="27" t="s">
        <v>5104</v>
      </c>
      <c r="E4533" s="29">
        <v>41182</v>
      </c>
      <c r="F4533" s="27">
        <v>15</v>
      </c>
      <c r="G4533" s="18">
        <v>188497.08</v>
      </c>
      <c r="H4533" s="27">
        <f t="shared" si="140"/>
        <v>0</v>
      </c>
      <c r="I4533" s="18">
        <v>90225.84</v>
      </c>
      <c r="J4533" s="27">
        <v>188497.08</v>
      </c>
      <c r="K4533" s="18">
        <f t="shared" si="141"/>
        <v>0</v>
      </c>
      <c r="L4533" s="27">
        <v>100379.71</v>
      </c>
      <c r="M4533" s="36">
        <v>10153.870000000001</v>
      </c>
      <c r="T4533" s="41">
        <v>0</v>
      </c>
      <c r="U4533" s="41">
        <v>0</v>
      </c>
      <c r="V4533" s="42" t="s">
        <v>113</v>
      </c>
      <c r="W4533" s="42">
        <v>0</v>
      </c>
      <c r="X4533" s="42">
        <v>0</v>
      </c>
    </row>
    <row r="4534" spans="1:24">
      <c r="A4534" s="27" t="s">
        <v>8367</v>
      </c>
      <c r="B4534" s="28" t="s">
        <v>5102</v>
      </c>
      <c r="C4534" s="27" t="s">
        <v>8368</v>
      </c>
      <c r="D4534" s="27" t="s">
        <v>5104</v>
      </c>
      <c r="E4534" s="29">
        <v>41182</v>
      </c>
      <c r="F4534" s="27">
        <v>15</v>
      </c>
      <c r="G4534" s="18">
        <v>248423.91</v>
      </c>
      <c r="H4534" s="27">
        <f t="shared" si="140"/>
        <v>0</v>
      </c>
      <c r="I4534" s="18">
        <v>118910.34</v>
      </c>
      <c r="J4534" s="27">
        <v>248423.91</v>
      </c>
      <c r="K4534" s="18">
        <f t="shared" si="141"/>
        <v>0</v>
      </c>
      <c r="L4534" s="27">
        <v>132292.32999999999</v>
      </c>
      <c r="M4534" s="36">
        <v>13381.99</v>
      </c>
      <c r="T4534" s="41">
        <v>0</v>
      </c>
      <c r="U4534" s="41">
        <v>0</v>
      </c>
      <c r="V4534" s="42" t="s">
        <v>113</v>
      </c>
      <c r="W4534" s="42">
        <v>0</v>
      </c>
      <c r="X4534" s="42">
        <v>0</v>
      </c>
    </row>
    <row r="4535" spans="1:24">
      <c r="A4535" s="27" t="s">
        <v>8369</v>
      </c>
      <c r="B4535" s="28" t="s">
        <v>5102</v>
      </c>
      <c r="C4535" s="27" t="s">
        <v>8370</v>
      </c>
      <c r="D4535" s="27" t="s">
        <v>5104</v>
      </c>
      <c r="E4535" s="29">
        <v>41182</v>
      </c>
      <c r="F4535" s="27">
        <v>15</v>
      </c>
      <c r="G4535" s="18">
        <v>149272.26</v>
      </c>
      <c r="H4535" s="27">
        <f t="shared" si="140"/>
        <v>0</v>
      </c>
      <c r="I4535" s="18">
        <v>71450.52</v>
      </c>
      <c r="J4535" s="27">
        <v>149272.26</v>
      </c>
      <c r="K4535" s="18">
        <f t="shared" si="141"/>
        <v>0</v>
      </c>
      <c r="L4535" s="27">
        <v>79491.45</v>
      </c>
      <c r="M4535" s="36">
        <v>8040.93</v>
      </c>
      <c r="T4535" s="41">
        <v>0</v>
      </c>
      <c r="U4535" s="41">
        <v>0</v>
      </c>
      <c r="V4535" s="42" t="s">
        <v>113</v>
      </c>
      <c r="W4535" s="42">
        <v>0</v>
      </c>
      <c r="X4535" s="42">
        <v>0</v>
      </c>
    </row>
    <row r="4536" spans="1:24">
      <c r="A4536" s="27" t="s">
        <v>8371</v>
      </c>
      <c r="B4536" s="28" t="s">
        <v>5102</v>
      </c>
      <c r="C4536" s="27" t="s">
        <v>8372</v>
      </c>
      <c r="D4536" s="27" t="s">
        <v>5104</v>
      </c>
      <c r="E4536" s="29">
        <v>41182</v>
      </c>
      <c r="F4536" s="27">
        <v>15</v>
      </c>
      <c r="G4536" s="18">
        <v>265857.18</v>
      </c>
      <c r="H4536" s="27">
        <f t="shared" si="140"/>
        <v>0</v>
      </c>
      <c r="I4536" s="18">
        <v>127254.93</v>
      </c>
      <c r="J4536" s="27">
        <v>265857.18</v>
      </c>
      <c r="K4536" s="18">
        <f t="shared" si="141"/>
        <v>0</v>
      </c>
      <c r="L4536" s="27">
        <v>141576</v>
      </c>
      <c r="M4536" s="36">
        <v>14321.07</v>
      </c>
      <c r="T4536" s="41">
        <v>0</v>
      </c>
      <c r="U4536" s="41">
        <v>0</v>
      </c>
      <c r="V4536" s="42" t="s">
        <v>113</v>
      </c>
      <c r="W4536" s="42">
        <v>0</v>
      </c>
      <c r="X4536" s="42">
        <v>0</v>
      </c>
    </row>
    <row r="4537" spans="1:24">
      <c r="A4537" s="27" t="s">
        <v>8373</v>
      </c>
      <c r="B4537" s="28" t="s">
        <v>5102</v>
      </c>
      <c r="C4537" s="27" t="s">
        <v>8374</v>
      </c>
      <c r="D4537" s="27" t="s">
        <v>5104</v>
      </c>
      <c r="E4537" s="29">
        <v>41182</v>
      </c>
      <c r="F4537" s="27">
        <v>15</v>
      </c>
      <c r="G4537" s="18">
        <v>723295.46</v>
      </c>
      <c r="H4537" s="27">
        <f t="shared" si="140"/>
        <v>0</v>
      </c>
      <c r="I4537" s="18">
        <v>368400.57</v>
      </c>
      <c r="J4537" s="27">
        <v>723295.46</v>
      </c>
      <c r="K4537" s="18">
        <f t="shared" si="141"/>
        <v>0</v>
      </c>
      <c r="L4537" s="27">
        <v>404826.87</v>
      </c>
      <c r="M4537" s="36">
        <v>36426.300000000003</v>
      </c>
      <c r="T4537" s="41">
        <v>0</v>
      </c>
      <c r="U4537" s="41">
        <v>0</v>
      </c>
      <c r="V4537" s="42" t="s">
        <v>113</v>
      </c>
      <c r="W4537" s="42">
        <v>0</v>
      </c>
      <c r="X4537" s="42">
        <v>0</v>
      </c>
    </row>
    <row r="4538" spans="1:24">
      <c r="A4538" s="27" t="s">
        <v>8375</v>
      </c>
      <c r="B4538" s="28" t="s">
        <v>5102</v>
      </c>
      <c r="C4538" s="27" t="s">
        <v>8376</v>
      </c>
      <c r="D4538" s="27" t="s">
        <v>5104</v>
      </c>
      <c r="E4538" s="29">
        <v>41182</v>
      </c>
      <c r="F4538" s="27">
        <v>15</v>
      </c>
      <c r="G4538" s="18">
        <v>489745.14</v>
      </c>
      <c r="H4538" s="27">
        <f t="shared" si="140"/>
        <v>0</v>
      </c>
      <c r="I4538" s="18">
        <v>234420.94</v>
      </c>
      <c r="J4538" s="27">
        <v>489745.14</v>
      </c>
      <c r="K4538" s="18">
        <f t="shared" si="141"/>
        <v>0</v>
      </c>
      <c r="L4538" s="27">
        <v>260802.3</v>
      </c>
      <c r="M4538" s="36">
        <v>26381.360000000001</v>
      </c>
      <c r="T4538" s="41">
        <v>0</v>
      </c>
      <c r="U4538" s="41">
        <v>0</v>
      </c>
      <c r="V4538" s="42" t="s">
        <v>113</v>
      </c>
      <c r="W4538" s="42">
        <v>0</v>
      </c>
      <c r="X4538" s="42">
        <v>0</v>
      </c>
    </row>
    <row r="4539" spans="1:24">
      <c r="A4539" s="27" t="s">
        <v>8377</v>
      </c>
      <c r="B4539" s="28" t="s">
        <v>5102</v>
      </c>
      <c r="C4539" s="27" t="s">
        <v>8378</v>
      </c>
      <c r="D4539" s="27" t="s">
        <v>5104</v>
      </c>
      <c r="E4539" s="29">
        <v>41182</v>
      </c>
      <c r="F4539" s="27">
        <v>15</v>
      </c>
      <c r="G4539" s="18">
        <v>242708</v>
      </c>
      <c r="H4539" s="27">
        <f t="shared" si="140"/>
        <v>0</v>
      </c>
      <c r="I4539" s="18">
        <v>116174.38</v>
      </c>
      <c r="J4539" s="27">
        <v>242708</v>
      </c>
      <c r="K4539" s="18">
        <f t="shared" si="141"/>
        <v>0</v>
      </c>
      <c r="L4539" s="27">
        <v>129248.46</v>
      </c>
      <c r="M4539" s="36">
        <v>13074.08</v>
      </c>
      <c r="T4539" s="41">
        <v>0</v>
      </c>
      <c r="U4539" s="41">
        <v>0</v>
      </c>
      <c r="V4539" s="42" t="s">
        <v>113</v>
      </c>
      <c r="W4539" s="42">
        <v>0</v>
      </c>
      <c r="X4539" s="42">
        <v>0</v>
      </c>
    </row>
    <row r="4540" spans="1:24">
      <c r="A4540" s="27" t="s">
        <v>8379</v>
      </c>
      <c r="B4540" s="28" t="s">
        <v>5102</v>
      </c>
      <c r="C4540" s="27" t="s">
        <v>8380</v>
      </c>
      <c r="D4540" s="27" t="s">
        <v>5104</v>
      </c>
      <c r="E4540" s="29">
        <v>41182</v>
      </c>
      <c r="F4540" s="27">
        <v>15</v>
      </c>
      <c r="G4540" s="18">
        <v>163279.72</v>
      </c>
      <c r="H4540" s="27">
        <f t="shared" si="140"/>
        <v>0</v>
      </c>
      <c r="I4540" s="18">
        <v>78155.320000000007</v>
      </c>
      <c r="J4540" s="27">
        <v>163279.72</v>
      </c>
      <c r="K4540" s="18">
        <f t="shared" si="141"/>
        <v>0</v>
      </c>
      <c r="L4540" s="27">
        <v>86950.8</v>
      </c>
      <c r="M4540" s="36">
        <v>8795.48</v>
      </c>
      <c r="T4540" s="41">
        <v>0</v>
      </c>
      <c r="U4540" s="41">
        <v>0</v>
      </c>
      <c r="V4540" s="42" t="s">
        <v>113</v>
      </c>
      <c r="W4540" s="42">
        <v>0</v>
      </c>
      <c r="X4540" s="42">
        <v>0</v>
      </c>
    </row>
    <row r="4541" spans="1:24">
      <c r="A4541" s="27" t="s">
        <v>8381</v>
      </c>
      <c r="B4541" s="28" t="s">
        <v>5102</v>
      </c>
      <c r="C4541" s="27" t="s">
        <v>8382</v>
      </c>
      <c r="D4541" s="27" t="s">
        <v>5104</v>
      </c>
      <c r="E4541" s="29">
        <v>41182</v>
      </c>
      <c r="F4541" s="27">
        <v>15</v>
      </c>
      <c r="G4541" s="18">
        <v>107671.93</v>
      </c>
      <c r="H4541" s="27">
        <f t="shared" si="140"/>
        <v>0</v>
      </c>
      <c r="I4541" s="18">
        <v>51538.15</v>
      </c>
      <c r="J4541" s="27">
        <v>107671.93</v>
      </c>
      <c r="K4541" s="18">
        <f t="shared" si="141"/>
        <v>0</v>
      </c>
      <c r="L4541" s="27">
        <v>57338.17</v>
      </c>
      <c r="M4541" s="36">
        <v>5800.02</v>
      </c>
      <c r="T4541" s="41">
        <v>0</v>
      </c>
      <c r="U4541" s="41">
        <v>0</v>
      </c>
      <c r="V4541" s="42" t="s">
        <v>113</v>
      </c>
      <c r="W4541" s="42">
        <v>0</v>
      </c>
      <c r="X4541" s="42">
        <v>0</v>
      </c>
    </row>
    <row r="4542" spans="1:24">
      <c r="A4542" s="27" t="s">
        <v>8383</v>
      </c>
      <c r="B4542" s="28" t="s">
        <v>5102</v>
      </c>
      <c r="C4542" s="27" t="s">
        <v>8384</v>
      </c>
      <c r="D4542" s="27" t="s">
        <v>5104</v>
      </c>
      <c r="E4542" s="29">
        <v>41182</v>
      </c>
      <c r="F4542" s="27">
        <v>15</v>
      </c>
      <c r="G4542" s="18">
        <v>51965.67</v>
      </c>
      <c r="H4542" s="27">
        <f t="shared" si="140"/>
        <v>0</v>
      </c>
      <c r="I4542" s="18">
        <v>24873.84</v>
      </c>
      <c r="J4542" s="27">
        <v>51965.67</v>
      </c>
      <c r="K4542" s="18">
        <f t="shared" si="141"/>
        <v>0</v>
      </c>
      <c r="L4542" s="27">
        <v>27673.1</v>
      </c>
      <c r="M4542" s="36">
        <v>2799.26</v>
      </c>
      <c r="T4542" s="41">
        <v>0</v>
      </c>
      <c r="U4542" s="41">
        <v>0</v>
      </c>
      <c r="V4542" s="42" t="s">
        <v>113</v>
      </c>
      <c r="W4542" s="42">
        <v>0</v>
      </c>
      <c r="X4542" s="42">
        <v>0</v>
      </c>
    </row>
    <row r="4543" spans="1:24">
      <c r="A4543" s="27" t="s">
        <v>8385</v>
      </c>
      <c r="B4543" s="28" t="s">
        <v>5102</v>
      </c>
      <c r="C4543" s="27" t="s">
        <v>8386</v>
      </c>
      <c r="D4543" s="27" t="s">
        <v>5104</v>
      </c>
      <c r="E4543" s="29">
        <v>41182</v>
      </c>
      <c r="F4543" s="27">
        <v>15</v>
      </c>
      <c r="G4543" s="18">
        <v>377763.39</v>
      </c>
      <c r="H4543" s="27">
        <f t="shared" si="140"/>
        <v>0</v>
      </c>
      <c r="I4543" s="18">
        <v>180819.86</v>
      </c>
      <c r="J4543" s="27">
        <v>377763.39</v>
      </c>
      <c r="K4543" s="18">
        <f t="shared" si="141"/>
        <v>0</v>
      </c>
      <c r="L4543" s="27">
        <v>201169.04</v>
      </c>
      <c r="M4543" s="36">
        <v>20349.18</v>
      </c>
      <c r="T4543" s="41">
        <v>0</v>
      </c>
      <c r="U4543" s="41">
        <v>0</v>
      </c>
      <c r="V4543" s="42" t="s">
        <v>113</v>
      </c>
      <c r="W4543" s="42">
        <v>0</v>
      </c>
      <c r="X4543" s="42">
        <v>0</v>
      </c>
    </row>
    <row r="4544" spans="1:24">
      <c r="A4544" s="27" t="s">
        <v>8387</v>
      </c>
      <c r="B4544" s="28" t="s">
        <v>5102</v>
      </c>
      <c r="C4544" s="27" t="s">
        <v>8388</v>
      </c>
      <c r="D4544" s="27" t="s">
        <v>5104</v>
      </c>
      <c r="E4544" s="29">
        <v>41182</v>
      </c>
      <c r="F4544" s="27">
        <v>15</v>
      </c>
      <c r="G4544" s="18">
        <v>319328.12</v>
      </c>
      <c r="H4544" s="27">
        <f t="shared" si="140"/>
        <v>0</v>
      </c>
      <c r="I4544" s="18">
        <v>152849.29</v>
      </c>
      <c r="J4544" s="27">
        <v>319328.12</v>
      </c>
      <c r="K4544" s="18">
        <f t="shared" si="141"/>
        <v>0</v>
      </c>
      <c r="L4544" s="27">
        <v>170050.71</v>
      </c>
      <c r="M4544" s="36">
        <v>17201.419999999998</v>
      </c>
      <c r="T4544" s="41">
        <v>0</v>
      </c>
      <c r="U4544" s="41">
        <v>0</v>
      </c>
      <c r="V4544" s="42" t="s">
        <v>113</v>
      </c>
      <c r="W4544" s="42">
        <v>0</v>
      </c>
      <c r="X4544" s="42">
        <v>0</v>
      </c>
    </row>
    <row r="4545" spans="1:24">
      <c r="A4545" s="27" t="s">
        <v>8389</v>
      </c>
      <c r="B4545" s="28" t="s">
        <v>5102</v>
      </c>
      <c r="C4545" s="27" t="s">
        <v>8390</v>
      </c>
      <c r="D4545" s="27" t="s">
        <v>5104</v>
      </c>
      <c r="E4545" s="29">
        <v>41182</v>
      </c>
      <c r="F4545" s="27">
        <v>15</v>
      </c>
      <c r="G4545" s="18">
        <v>298205.58</v>
      </c>
      <c r="H4545" s="27">
        <f t="shared" si="140"/>
        <v>0</v>
      </c>
      <c r="I4545" s="18">
        <v>142738.82</v>
      </c>
      <c r="J4545" s="27">
        <v>298205.58</v>
      </c>
      <c r="K4545" s="18">
        <f t="shared" si="141"/>
        <v>0</v>
      </c>
      <c r="L4545" s="27">
        <v>158802.42000000001</v>
      </c>
      <c r="M4545" s="36">
        <v>16063.6</v>
      </c>
      <c r="T4545" s="41">
        <v>0</v>
      </c>
      <c r="U4545" s="41">
        <v>0</v>
      </c>
      <c r="V4545" s="42" t="s">
        <v>113</v>
      </c>
      <c r="W4545" s="42">
        <v>0</v>
      </c>
      <c r="X4545" s="42">
        <v>0</v>
      </c>
    </row>
    <row r="4546" spans="1:24">
      <c r="A4546" s="27" t="s">
        <v>8391</v>
      </c>
      <c r="B4546" s="28" t="s">
        <v>5102</v>
      </c>
      <c r="C4546" s="27" t="s">
        <v>8392</v>
      </c>
      <c r="D4546" s="27" t="s">
        <v>5104</v>
      </c>
      <c r="E4546" s="29">
        <v>41182</v>
      </c>
      <c r="F4546" s="27">
        <v>15</v>
      </c>
      <c r="G4546" s="18">
        <v>309831.53999999998</v>
      </c>
      <c r="H4546" s="27">
        <f t="shared" si="140"/>
        <v>0</v>
      </c>
      <c r="I4546" s="18">
        <v>148303.66</v>
      </c>
      <c r="J4546" s="27">
        <v>309831.53999999998</v>
      </c>
      <c r="K4546" s="18">
        <f t="shared" si="141"/>
        <v>0</v>
      </c>
      <c r="L4546" s="27">
        <v>164993.51999999999</v>
      </c>
      <c r="M4546" s="36">
        <v>16689.86</v>
      </c>
      <c r="T4546" s="41">
        <v>0</v>
      </c>
      <c r="U4546" s="41">
        <v>0</v>
      </c>
      <c r="V4546" s="42" t="s">
        <v>113</v>
      </c>
      <c r="W4546" s="42">
        <v>0</v>
      </c>
      <c r="X4546" s="42">
        <v>0</v>
      </c>
    </row>
    <row r="4547" spans="1:24">
      <c r="A4547" s="27" t="s">
        <v>8393</v>
      </c>
      <c r="B4547" s="28" t="s">
        <v>5102</v>
      </c>
      <c r="C4547" s="27" t="s">
        <v>8394</v>
      </c>
      <c r="D4547" s="27" t="s">
        <v>5104</v>
      </c>
      <c r="E4547" s="29">
        <v>41182</v>
      </c>
      <c r="F4547" s="27">
        <v>15</v>
      </c>
      <c r="G4547" s="18">
        <v>311284.78999999998</v>
      </c>
      <c r="H4547" s="27">
        <f t="shared" si="140"/>
        <v>0</v>
      </c>
      <c r="I4547" s="18">
        <v>148999.28</v>
      </c>
      <c r="J4547" s="27">
        <v>311284.78999999998</v>
      </c>
      <c r="K4547" s="18">
        <f t="shared" si="141"/>
        <v>0</v>
      </c>
      <c r="L4547" s="27">
        <v>165767.43</v>
      </c>
      <c r="M4547" s="36">
        <v>16768.150000000001</v>
      </c>
      <c r="T4547" s="41">
        <v>0</v>
      </c>
      <c r="U4547" s="41">
        <v>0</v>
      </c>
      <c r="V4547" s="42" t="s">
        <v>113</v>
      </c>
      <c r="W4547" s="42">
        <v>0</v>
      </c>
      <c r="X4547" s="42">
        <v>0</v>
      </c>
    </row>
    <row r="4548" spans="1:24">
      <c r="A4548" s="27" t="s">
        <v>8395</v>
      </c>
      <c r="B4548" s="28" t="s">
        <v>5102</v>
      </c>
      <c r="C4548" s="27" t="s">
        <v>8396</v>
      </c>
      <c r="D4548" s="27" t="s">
        <v>5104</v>
      </c>
      <c r="E4548" s="29">
        <v>41182</v>
      </c>
      <c r="F4548" s="27">
        <v>15</v>
      </c>
      <c r="G4548" s="18">
        <v>295880.39</v>
      </c>
      <c r="H4548" s="27">
        <f t="shared" si="140"/>
        <v>0</v>
      </c>
      <c r="I4548" s="18">
        <v>141625.84</v>
      </c>
      <c r="J4548" s="27">
        <v>295880.39</v>
      </c>
      <c r="K4548" s="18">
        <f t="shared" si="141"/>
        <v>0</v>
      </c>
      <c r="L4548" s="27">
        <v>157564.19</v>
      </c>
      <c r="M4548" s="36">
        <v>15938.35</v>
      </c>
      <c r="T4548" s="41">
        <v>0</v>
      </c>
      <c r="U4548" s="41">
        <v>0</v>
      </c>
      <c r="V4548" s="42" t="s">
        <v>113</v>
      </c>
      <c r="W4548" s="42">
        <v>0</v>
      </c>
      <c r="X4548" s="42">
        <v>0</v>
      </c>
    </row>
    <row r="4549" spans="1:24">
      <c r="A4549" s="27" t="s">
        <v>8397</v>
      </c>
      <c r="B4549" s="28" t="s">
        <v>5102</v>
      </c>
      <c r="C4549" s="27" t="s">
        <v>8398</v>
      </c>
      <c r="D4549" s="27" t="s">
        <v>5104</v>
      </c>
      <c r="E4549" s="29">
        <v>41182</v>
      </c>
      <c r="F4549" s="27">
        <v>15</v>
      </c>
      <c r="G4549" s="18">
        <v>406908.23</v>
      </c>
      <c r="H4549" s="27">
        <f t="shared" si="140"/>
        <v>0</v>
      </c>
      <c r="I4549" s="18">
        <v>194770.31</v>
      </c>
      <c r="J4549" s="27">
        <v>406908.23</v>
      </c>
      <c r="K4549" s="18">
        <f t="shared" si="141"/>
        <v>0</v>
      </c>
      <c r="L4549" s="27">
        <v>216689.45</v>
      </c>
      <c r="M4549" s="36">
        <v>21919.14</v>
      </c>
      <c r="T4549" s="41">
        <v>0</v>
      </c>
      <c r="U4549" s="41">
        <v>0</v>
      </c>
      <c r="V4549" s="42" t="s">
        <v>113</v>
      </c>
      <c r="W4549" s="42">
        <v>0</v>
      </c>
      <c r="X4549" s="42">
        <v>0</v>
      </c>
    </row>
    <row r="4550" spans="1:24">
      <c r="A4550" s="27" t="s">
        <v>8399</v>
      </c>
      <c r="B4550" s="28" t="s">
        <v>5102</v>
      </c>
      <c r="C4550" s="27" t="s">
        <v>8400</v>
      </c>
      <c r="D4550" s="27" t="s">
        <v>5104</v>
      </c>
      <c r="E4550" s="29">
        <v>40544</v>
      </c>
      <c r="F4550" s="27">
        <v>15</v>
      </c>
      <c r="G4550" s="18">
        <v>6769.61</v>
      </c>
      <c r="H4550" s="27">
        <f t="shared" ref="H4550:H4613" si="142">IFERROR(IF(ROUND((G4550-I4550)/G4550,2)&lt;=0.05,G4550,0),0)</f>
        <v>6769.61</v>
      </c>
      <c r="I4550" s="18">
        <v>6769.61</v>
      </c>
      <c r="J4550" s="27">
        <v>6769.61</v>
      </c>
      <c r="K4550" s="18">
        <f t="shared" ref="K4550:K4613" si="143">IFERROR(IF(ROUND((J4550-L4550)/J4550,2)&lt;=0.05,J4550,0),0)</f>
        <v>6769.61</v>
      </c>
      <c r="L4550" s="27">
        <v>6431.13</v>
      </c>
      <c r="M4550" s="36">
        <v>-338.48</v>
      </c>
      <c r="T4550" s="41">
        <v>0</v>
      </c>
      <c r="U4550" s="41">
        <v>0</v>
      </c>
      <c r="V4550" s="42" t="s">
        <v>113</v>
      </c>
      <c r="W4550" s="42">
        <v>6769.61</v>
      </c>
      <c r="X4550" s="42">
        <v>6769.61</v>
      </c>
    </row>
    <row r="4551" spans="1:24">
      <c r="A4551" s="27" t="s">
        <v>8401</v>
      </c>
      <c r="B4551" s="28" t="s">
        <v>5102</v>
      </c>
      <c r="C4551" s="27" t="s">
        <v>8402</v>
      </c>
      <c r="D4551" s="27" t="s">
        <v>5104</v>
      </c>
      <c r="E4551" s="29">
        <v>41452</v>
      </c>
      <c r="F4551" s="27">
        <v>15</v>
      </c>
      <c r="G4551" s="18">
        <v>145850.29999999999</v>
      </c>
      <c r="H4551" s="27">
        <f t="shared" si="142"/>
        <v>0</v>
      </c>
      <c r="I4551" s="18">
        <v>68186.7</v>
      </c>
      <c r="J4551" s="27">
        <v>145850.29999999999</v>
      </c>
      <c r="K4551" s="18">
        <f t="shared" si="143"/>
        <v>0</v>
      </c>
      <c r="L4551" s="27">
        <v>75594.179999999993</v>
      </c>
      <c r="M4551" s="36">
        <v>7407.48</v>
      </c>
      <c r="T4551" s="41">
        <v>0</v>
      </c>
      <c r="U4551" s="41">
        <v>0</v>
      </c>
      <c r="V4551" s="42" t="s">
        <v>113</v>
      </c>
      <c r="W4551" s="42">
        <v>0</v>
      </c>
      <c r="X4551" s="42">
        <v>0</v>
      </c>
    </row>
    <row r="4552" spans="1:24">
      <c r="A4552" s="27" t="s">
        <v>8403</v>
      </c>
      <c r="B4552" s="28" t="s">
        <v>5102</v>
      </c>
      <c r="C4552" s="27" t="s">
        <v>8404</v>
      </c>
      <c r="D4552" s="27" t="s">
        <v>5104</v>
      </c>
      <c r="E4552" s="29">
        <v>40843</v>
      </c>
      <c r="F4552" s="27">
        <v>15</v>
      </c>
      <c r="G4552" s="18">
        <v>640026.34</v>
      </c>
      <c r="H4552" s="27">
        <f t="shared" si="142"/>
        <v>0</v>
      </c>
      <c r="I4552" s="18">
        <v>370594.59</v>
      </c>
      <c r="J4552" s="27">
        <v>640026.34</v>
      </c>
      <c r="K4552" s="18">
        <f t="shared" si="143"/>
        <v>0</v>
      </c>
      <c r="L4552" s="27">
        <v>400904.86</v>
      </c>
      <c r="M4552" s="36">
        <v>30310.27</v>
      </c>
      <c r="T4552" s="41">
        <v>0</v>
      </c>
      <c r="U4552" s="41">
        <v>0</v>
      </c>
      <c r="V4552" s="42" t="s">
        <v>113</v>
      </c>
      <c r="W4552" s="42">
        <v>0</v>
      </c>
      <c r="X4552" s="42">
        <v>0</v>
      </c>
    </row>
    <row r="4553" spans="1:24">
      <c r="A4553" s="27" t="s">
        <v>8405</v>
      </c>
      <c r="B4553" s="28" t="s">
        <v>5102</v>
      </c>
      <c r="C4553" s="27" t="s">
        <v>8406</v>
      </c>
      <c r="D4553" s="27" t="s">
        <v>5104</v>
      </c>
      <c r="E4553" s="29">
        <v>40843</v>
      </c>
      <c r="F4553" s="27">
        <v>15</v>
      </c>
      <c r="G4553" s="18">
        <v>458872.86</v>
      </c>
      <c r="H4553" s="27">
        <f t="shared" si="142"/>
        <v>0</v>
      </c>
      <c r="I4553" s="18">
        <v>265619.77</v>
      </c>
      <c r="J4553" s="27">
        <v>458872.86</v>
      </c>
      <c r="K4553" s="18">
        <f t="shared" si="143"/>
        <v>0</v>
      </c>
      <c r="L4553" s="27">
        <v>287361.40000000002</v>
      </c>
      <c r="M4553" s="36">
        <v>21741.63</v>
      </c>
      <c r="T4553" s="41">
        <v>0</v>
      </c>
      <c r="U4553" s="41">
        <v>0</v>
      </c>
      <c r="V4553" s="42" t="s">
        <v>113</v>
      </c>
      <c r="W4553" s="42">
        <v>0</v>
      </c>
      <c r="X4553" s="42">
        <v>0</v>
      </c>
    </row>
    <row r="4554" spans="1:24">
      <c r="A4554" s="27" t="s">
        <v>8407</v>
      </c>
      <c r="B4554" s="28" t="s">
        <v>5102</v>
      </c>
      <c r="C4554" s="27" t="s">
        <v>8408</v>
      </c>
      <c r="D4554" s="27" t="s">
        <v>5104</v>
      </c>
      <c r="E4554" s="29">
        <v>40843</v>
      </c>
      <c r="F4554" s="27">
        <v>15</v>
      </c>
      <c r="G4554" s="18">
        <v>343544.25</v>
      </c>
      <c r="H4554" s="27">
        <f t="shared" si="142"/>
        <v>0</v>
      </c>
      <c r="I4554" s="18">
        <v>198922.51</v>
      </c>
      <c r="J4554" s="27">
        <v>343544.25</v>
      </c>
      <c r="K4554" s="18">
        <f t="shared" si="143"/>
        <v>0</v>
      </c>
      <c r="L4554" s="27">
        <v>215192.02</v>
      </c>
      <c r="M4554" s="36">
        <v>16269.51</v>
      </c>
      <c r="T4554" s="41">
        <v>0</v>
      </c>
      <c r="U4554" s="41">
        <v>0</v>
      </c>
      <c r="V4554" s="42" t="s">
        <v>113</v>
      </c>
      <c r="W4554" s="42">
        <v>0</v>
      </c>
      <c r="X4554" s="42">
        <v>0</v>
      </c>
    </row>
    <row r="4555" spans="1:24">
      <c r="A4555" s="27" t="s">
        <v>8409</v>
      </c>
      <c r="B4555" s="28" t="s">
        <v>5102</v>
      </c>
      <c r="C4555" s="27" t="s">
        <v>8410</v>
      </c>
      <c r="D4555" s="27" t="s">
        <v>5104</v>
      </c>
      <c r="E4555" s="29">
        <v>40843</v>
      </c>
      <c r="F4555" s="27">
        <v>15</v>
      </c>
      <c r="G4555" s="18">
        <v>781845.73</v>
      </c>
      <c r="H4555" s="27">
        <f t="shared" si="142"/>
        <v>0</v>
      </c>
      <c r="I4555" s="18">
        <v>452712.3</v>
      </c>
      <c r="J4555" s="27">
        <v>781845.73</v>
      </c>
      <c r="K4555" s="18">
        <f t="shared" si="143"/>
        <v>0</v>
      </c>
      <c r="L4555" s="27">
        <v>489738.83</v>
      </c>
      <c r="M4555" s="36">
        <v>37026.53</v>
      </c>
      <c r="T4555" s="41">
        <v>0</v>
      </c>
      <c r="U4555" s="41">
        <v>0</v>
      </c>
      <c r="V4555" s="42" t="s">
        <v>113</v>
      </c>
      <c r="W4555" s="42">
        <v>0</v>
      </c>
      <c r="X4555" s="42">
        <v>0</v>
      </c>
    </row>
    <row r="4556" spans="1:24">
      <c r="A4556" s="27" t="s">
        <v>8411</v>
      </c>
      <c r="B4556" s="28" t="s">
        <v>5102</v>
      </c>
      <c r="C4556" s="27" t="s">
        <v>8412</v>
      </c>
      <c r="D4556" s="27" t="s">
        <v>5104</v>
      </c>
      <c r="E4556" s="29">
        <v>40843</v>
      </c>
      <c r="F4556" s="27">
        <v>15</v>
      </c>
      <c r="G4556" s="18">
        <v>308439.03999999998</v>
      </c>
      <c r="H4556" s="27">
        <f t="shared" si="142"/>
        <v>0</v>
      </c>
      <c r="I4556" s="18">
        <v>178595.53</v>
      </c>
      <c r="J4556" s="27">
        <v>308439.03999999998</v>
      </c>
      <c r="K4556" s="18">
        <f t="shared" si="143"/>
        <v>0</v>
      </c>
      <c r="L4556" s="27">
        <v>193202.54</v>
      </c>
      <c r="M4556" s="36">
        <v>14607.01</v>
      </c>
      <c r="T4556" s="41">
        <v>0</v>
      </c>
      <c r="U4556" s="41">
        <v>0</v>
      </c>
      <c r="V4556" s="42" t="s">
        <v>113</v>
      </c>
      <c r="W4556" s="42">
        <v>0</v>
      </c>
      <c r="X4556" s="42">
        <v>0</v>
      </c>
    </row>
    <row r="4557" spans="1:24">
      <c r="A4557" s="27" t="s">
        <v>8413</v>
      </c>
      <c r="B4557" s="28" t="s">
        <v>5102</v>
      </c>
      <c r="C4557" s="27" t="s">
        <v>8414</v>
      </c>
      <c r="D4557" s="27" t="s">
        <v>5104</v>
      </c>
      <c r="E4557" s="29">
        <v>40843</v>
      </c>
      <c r="F4557" s="27">
        <v>15</v>
      </c>
      <c r="G4557" s="18">
        <v>1328511.07</v>
      </c>
      <c r="H4557" s="27">
        <f t="shared" si="142"/>
        <v>0</v>
      </c>
      <c r="I4557" s="18">
        <v>769248.08</v>
      </c>
      <c r="J4557" s="27">
        <v>1328511.07</v>
      </c>
      <c r="K4557" s="18">
        <f t="shared" si="143"/>
        <v>0</v>
      </c>
      <c r="L4557" s="27">
        <v>832163.5</v>
      </c>
      <c r="M4557" s="36">
        <v>62915.42</v>
      </c>
      <c r="T4557" s="41">
        <v>0</v>
      </c>
      <c r="U4557" s="41">
        <v>0</v>
      </c>
      <c r="V4557" s="42" t="s">
        <v>113</v>
      </c>
      <c r="W4557" s="42">
        <v>0</v>
      </c>
      <c r="X4557" s="42">
        <v>0</v>
      </c>
    </row>
    <row r="4558" spans="1:24">
      <c r="A4558" s="27" t="s">
        <v>8415</v>
      </c>
      <c r="B4558" s="28" t="s">
        <v>5102</v>
      </c>
      <c r="C4558" s="27" t="s">
        <v>8416</v>
      </c>
      <c r="D4558" s="27" t="s">
        <v>5104</v>
      </c>
      <c r="E4558" s="29">
        <v>40843</v>
      </c>
      <c r="F4558" s="27">
        <v>15</v>
      </c>
      <c r="G4558" s="18">
        <v>603660.93999999994</v>
      </c>
      <c r="H4558" s="27">
        <f t="shared" si="142"/>
        <v>0</v>
      </c>
      <c r="I4558" s="18">
        <v>349537.93</v>
      </c>
      <c r="J4558" s="27">
        <v>603660.93999999994</v>
      </c>
      <c r="K4558" s="18">
        <f t="shared" si="143"/>
        <v>0</v>
      </c>
      <c r="L4558" s="27">
        <v>378126.01</v>
      </c>
      <c r="M4558" s="36">
        <v>28588.080000000002</v>
      </c>
      <c r="T4558" s="41">
        <v>0</v>
      </c>
      <c r="U4558" s="41">
        <v>0</v>
      </c>
      <c r="V4558" s="42" t="s">
        <v>113</v>
      </c>
      <c r="W4558" s="42">
        <v>0</v>
      </c>
      <c r="X4558" s="42">
        <v>0</v>
      </c>
    </row>
    <row r="4559" spans="1:24">
      <c r="A4559" s="27" t="s">
        <v>8417</v>
      </c>
      <c r="B4559" s="28" t="s">
        <v>5102</v>
      </c>
      <c r="C4559" s="27" t="s">
        <v>8418</v>
      </c>
      <c r="D4559" s="27" t="s">
        <v>5104</v>
      </c>
      <c r="E4559" s="29">
        <v>40843</v>
      </c>
      <c r="F4559" s="27">
        <v>15</v>
      </c>
      <c r="G4559" s="18">
        <v>1246887.1599999999</v>
      </c>
      <c r="H4559" s="27">
        <f t="shared" si="142"/>
        <v>0</v>
      </c>
      <c r="I4559" s="18">
        <v>721985.37</v>
      </c>
      <c r="J4559" s="27">
        <v>1246887.1599999999</v>
      </c>
      <c r="K4559" s="18">
        <f t="shared" si="143"/>
        <v>0</v>
      </c>
      <c r="L4559" s="27">
        <v>781035.25</v>
      </c>
      <c r="M4559" s="36">
        <v>59049.88</v>
      </c>
      <c r="T4559" s="41">
        <v>0</v>
      </c>
      <c r="U4559" s="41">
        <v>0</v>
      </c>
      <c r="V4559" s="42" t="s">
        <v>113</v>
      </c>
      <c r="W4559" s="42">
        <v>0</v>
      </c>
      <c r="X4559" s="42">
        <v>0</v>
      </c>
    </row>
    <row r="4560" spans="1:24">
      <c r="A4560" s="27" t="s">
        <v>8419</v>
      </c>
      <c r="B4560" s="28" t="s">
        <v>5102</v>
      </c>
      <c r="C4560" s="27" t="s">
        <v>8420</v>
      </c>
      <c r="D4560" s="27" t="s">
        <v>5104</v>
      </c>
      <c r="E4560" s="29">
        <v>40843</v>
      </c>
      <c r="F4560" s="27">
        <v>15</v>
      </c>
      <c r="G4560" s="18">
        <v>1124728.05</v>
      </c>
      <c r="H4560" s="27">
        <f t="shared" si="142"/>
        <v>0</v>
      </c>
      <c r="I4560" s="18">
        <v>651251.54</v>
      </c>
      <c r="J4560" s="27">
        <v>1124728.05</v>
      </c>
      <c r="K4560" s="18">
        <f t="shared" si="143"/>
        <v>0</v>
      </c>
      <c r="L4560" s="27">
        <v>704516.23</v>
      </c>
      <c r="M4560" s="36">
        <v>53264.69</v>
      </c>
      <c r="T4560" s="41">
        <v>0</v>
      </c>
      <c r="U4560" s="41">
        <v>0</v>
      </c>
      <c r="V4560" s="42" t="s">
        <v>113</v>
      </c>
      <c r="W4560" s="42">
        <v>0</v>
      </c>
      <c r="X4560" s="42">
        <v>0</v>
      </c>
    </row>
    <row r="4561" spans="1:24">
      <c r="A4561" s="27" t="s">
        <v>8421</v>
      </c>
      <c r="B4561" s="28" t="s">
        <v>5102</v>
      </c>
      <c r="C4561" s="27" t="s">
        <v>8422</v>
      </c>
      <c r="D4561" s="27" t="s">
        <v>5104</v>
      </c>
      <c r="E4561" s="29">
        <v>40843</v>
      </c>
      <c r="F4561" s="27">
        <v>15</v>
      </c>
      <c r="G4561" s="18">
        <v>333824.93</v>
      </c>
      <c r="H4561" s="27">
        <f t="shared" si="142"/>
        <v>0</v>
      </c>
      <c r="I4561" s="18">
        <v>193294.72</v>
      </c>
      <c r="J4561" s="27">
        <v>333824.93</v>
      </c>
      <c r="K4561" s="18">
        <f t="shared" si="143"/>
        <v>0</v>
      </c>
      <c r="L4561" s="27">
        <v>209103.95</v>
      </c>
      <c r="M4561" s="36">
        <v>15809.23</v>
      </c>
      <c r="T4561" s="41">
        <v>0</v>
      </c>
      <c r="U4561" s="41">
        <v>0</v>
      </c>
      <c r="V4561" s="42" t="s">
        <v>113</v>
      </c>
      <c r="W4561" s="42">
        <v>0</v>
      </c>
      <c r="X4561" s="42">
        <v>0</v>
      </c>
    </row>
    <row r="4562" spans="1:24">
      <c r="A4562" s="27" t="s">
        <v>8423</v>
      </c>
      <c r="B4562" s="28" t="s">
        <v>5102</v>
      </c>
      <c r="C4562" s="27" t="s">
        <v>8424</v>
      </c>
      <c r="D4562" s="27" t="s">
        <v>5104</v>
      </c>
      <c r="E4562" s="29">
        <v>40843</v>
      </c>
      <c r="F4562" s="27">
        <v>15</v>
      </c>
      <c r="G4562" s="18">
        <v>1095261.04</v>
      </c>
      <c r="H4562" s="27">
        <f t="shared" si="142"/>
        <v>0</v>
      </c>
      <c r="I4562" s="18">
        <v>634189.26</v>
      </c>
      <c r="J4562" s="27">
        <v>1095261.04</v>
      </c>
      <c r="K4562" s="18">
        <f t="shared" si="143"/>
        <v>0</v>
      </c>
      <c r="L4562" s="27">
        <v>686058.46</v>
      </c>
      <c r="M4562" s="36">
        <v>51869.2</v>
      </c>
      <c r="T4562" s="41">
        <v>0</v>
      </c>
      <c r="U4562" s="41">
        <v>0</v>
      </c>
      <c r="V4562" s="42" t="s">
        <v>113</v>
      </c>
      <c r="W4562" s="42">
        <v>0</v>
      </c>
      <c r="X4562" s="42">
        <v>0</v>
      </c>
    </row>
    <row r="4563" spans="1:24">
      <c r="A4563" s="27" t="s">
        <v>8425</v>
      </c>
      <c r="B4563" s="28" t="s">
        <v>5102</v>
      </c>
      <c r="C4563" s="27" t="s">
        <v>8426</v>
      </c>
      <c r="D4563" s="27" t="s">
        <v>5104</v>
      </c>
      <c r="E4563" s="29">
        <v>40843</v>
      </c>
      <c r="F4563" s="27">
        <v>15</v>
      </c>
      <c r="G4563" s="18">
        <v>428606.62</v>
      </c>
      <c r="H4563" s="27">
        <f t="shared" si="142"/>
        <v>0</v>
      </c>
      <c r="I4563" s="18">
        <v>248101.36</v>
      </c>
      <c r="J4563" s="27">
        <v>428606.62</v>
      </c>
      <c r="K4563" s="18">
        <f t="shared" si="143"/>
        <v>0</v>
      </c>
      <c r="L4563" s="27">
        <v>268408.8</v>
      </c>
      <c r="M4563" s="36">
        <v>20307.439999999999</v>
      </c>
      <c r="T4563" s="41">
        <v>0</v>
      </c>
      <c r="U4563" s="41">
        <v>0</v>
      </c>
      <c r="V4563" s="42" t="s">
        <v>113</v>
      </c>
      <c r="W4563" s="42">
        <v>0</v>
      </c>
      <c r="X4563" s="42">
        <v>0</v>
      </c>
    </row>
    <row r="4564" spans="1:24">
      <c r="A4564" s="27" t="s">
        <v>8427</v>
      </c>
      <c r="B4564" s="28" t="s">
        <v>5102</v>
      </c>
      <c r="C4564" s="27" t="s">
        <v>8428</v>
      </c>
      <c r="D4564" s="27" t="s">
        <v>5104</v>
      </c>
      <c r="E4564" s="29">
        <v>40843</v>
      </c>
      <c r="F4564" s="27">
        <v>15</v>
      </c>
      <c r="G4564" s="18">
        <v>782555.7</v>
      </c>
      <c r="H4564" s="27">
        <f t="shared" si="142"/>
        <v>0</v>
      </c>
      <c r="I4564" s="18">
        <v>453123.41</v>
      </c>
      <c r="J4564" s="27">
        <v>782555.7</v>
      </c>
      <c r="K4564" s="18">
        <f t="shared" si="143"/>
        <v>0</v>
      </c>
      <c r="L4564" s="27">
        <v>490183.56</v>
      </c>
      <c r="M4564" s="36">
        <v>37060.15</v>
      </c>
      <c r="T4564" s="41">
        <v>0</v>
      </c>
      <c r="U4564" s="41">
        <v>0</v>
      </c>
      <c r="V4564" s="42" t="s">
        <v>113</v>
      </c>
      <c r="W4564" s="42">
        <v>0</v>
      </c>
      <c r="X4564" s="42">
        <v>0</v>
      </c>
    </row>
    <row r="4565" spans="1:24">
      <c r="A4565" s="27" t="s">
        <v>8429</v>
      </c>
      <c r="B4565" s="28" t="s">
        <v>5102</v>
      </c>
      <c r="C4565" s="27" t="s">
        <v>8430</v>
      </c>
      <c r="D4565" s="27" t="s">
        <v>5104</v>
      </c>
      <c r="E4565" s="29">
        <v>40843</v>
      </c>
      <c r="F4565" s="27">
        <v>15</v>
      </c>
      <c r="G4565" s="18">
        <v>971720.24</v>
      </c>
      <c r="H4565" s="27">
        <f t="shared" si="142"/>
        <v>0</v>
      </c>
      <c r="I4565" s="18">
        <v>562640.52</v>
      </c>
      <c r="J4565" s="27">
        <v>971720.24</v>
      </c>
      <c r="K4565" s="18">
        <f t="shared" si="143"/>
        <v>0</v>
      </c>
      <c r="L4565" s="27">
        <v>608660.99</v>
      </c>
      <c r="M4565" s="36">
        <v>46020.47</v>
      </c>
      <c r="T4565" s="41">
        <v>0</v>
      </c>
      <c r="U4565" s="41">
        <v>0</v>
      </c>
      <c r="V4565" s="42" t="s">
        <v>113</v>
      </c>
      <c r="W4565" s="42">
        <v>0</v>
      </c>
      <c r="X4565" s="42">
        <v>0</v>
      </c>
    </row>
    <row r="4566" spans="1:24">
      <c r="A4566" s="27" t="s">
        <v>8431</v>
      </c>
      <c r="B4566" s="28" t="s">
        <v>5102</v>
      </c>
      <c r="C4566" s="27" t="s">
        <v>8432</v>
      </c>
      <c r="D4566" s="27" t="s">
        <v>5104</v>
      </c>
      <c r="E4566" s="29">
        <v>40843</v>
      </c>
      <c r="F4566" s="27">
        <v>15</v>
      </c>
      <c r="G4566" s="18">
        <v>608046.06000000006</v>
      </c>
      <c r="H4566" s="27">
        <f t="shared" si="142"/>
        <v>0</v>
      </c>
      <c r="I4566" s="18">
        <v>352077.05</v>
      </c>
      <c r="J4566" s="27">
        <v>608046.06000000006</v>
      </c>
      <c r="K4566" s="18">
        <f t="shared" si="143"/>
        <v>0</v>
      </c>
      <c r="L4566" s="27">
        <v>380872.8</v>
      </c>
      <c r="M4566" s="36">
        <v>28795.75</v>
      </c>
      <c r="T4566" s="41">
        <v>0</v>
      </c>
      <c r="U4566" s="41">
        <v>0</v>
      </c>
      <c r="V4566" s="42" t="s">
        <v>113</v>
      </c>
      <c r="W4566" s="42">
        <v>0</v>
      </c>
      <c r="X4566" s="42">
        <v>0</v>
      </c>
    </row>
    <row r="4567" spans="1:24">
      <c r="A4567" s="27" t="s">
        <v>8433</v>
      </c>
      <c r="B4567" s="28" t="s">
        <v>5102</v>
      </c>
      <c r="C4567" s="27" t="s">
        <v>8434</v>
      </c>
      <c r="D4567" s="27" t="s">
        <v>5104</v>
      </c>
      <c r="E4567" s="29">
        <v>40843</v>
      </c>
      <c r="F4567" s="27">
        <v>15</v>
      </c>
      <c r="G4567" s="18">
        <v>784579.42</v>
      </c>
      <c r="H4567" s="27">
        <f t="shared" si="142"/>
        <v>0</v>
      </c>
      <c r="I4567" s="18">
        <v>454295.19</v>
      </c>
      <c r="J4567" s="27">
        <v>784579.42</v>
      </c>
      <c r="K4567" s="18">
        <f t="shared" si="143"/>
        <v>0</v>
      </c>
      <c r="L4567" s="27">
        <v>491451.18</v>
      </c>
      <c r="M4567" s="36">
        <v>37155.99</v>
      </c>
      <c r="T4567" s="41">
        <v>0</v>
      </c>
      <c r="U4567" s="41">
        <v>0</v>
      </c>
      <c r="V4567" s="42" t="s">
        <v>113</v>
      </c>
      <c r="W4567" s="42">
        <v>0</v>
      </c>
      <c r="X4567" s="42">
        <v>0</v>
      </c>
    </row>
    <row r="4568" spans="1:24">
      <c r="A4568" s="27" t="s">
        <v>8435</v>
      </c>
      <c r="B4568" s="28" t="s">
        <v>5102</v>
      </c>
      <c r="C4568" s="27" t="s">
        <v>8436</v>
      </c>
      <c r="D4568" s="27" t="s">
        <v>5104</v>
      </c>
      <c r="E4568" s="29">
        <v>40843</v>
      </c>
      <c r="F4568" s="27">
        <v>15</v>
      </c>
      <c r="G4568" s="18">
        <v>1449865.59</v>
      </c>
      <c r="H4568" s="27">
        <f t="shared" si="142"/>
        <v>0</v>
      </c>
      <c r="I4568" s="18">
        <v>839516</v>
      </c>
      <c r="J4568" s="27">
        <v>1449865.59</v>
      </c>
      <c r="K4568" s="18">
        <f t="shared" si="143"/>
        <v>0</v>
      </c>
      <c r="L4568" s="27">
        <v>908178.51</v>
      </c>
      <c r="M4568" s="36">
        <v>68662.509999999995</v>
      </c>
      <c r="T4568" s="41">
        <v>0</v>
      </c>
      <c r="U4568" s="41">
        <v>0</v>
      </c>
      <c r="V4568" s="42" t="s">
        <v>113</v>
      </c>
      <c r="W4568" s="42">
        <v>0</v>
      </c>
      <c r="X4568" s="42">
        <v>0</v>
      </c>
    </row>
    <row r="4569" spans="1:24">
      <c r="A4569" s="27" t="s">
        <v>8437</v>
      </c>
      <c r="B4569" s="28" t="s">
        <v>5102</v>
      </c>
      <c r="C4569" s="27" t="s">
        <v>8438</v>
      </c>
      <c r="D4569" s="27" t="s">
        <v>5104</v>
      </c>
      <c r="E4569" s="29">
        <v>40843</v>
      </c>
      <c r="F4569" s="27">
        <v>15</v>
      </c>
      <c r="G4569" s="18">
        <v>1934241.49</v>
      </c>
      <c r="H4569" s="27">
        <f t="shared" si="142"/>
        <v>0</v>
      </c>
      <c r="I4569" s="18">
        <v>1119984.29</v>
      </c>
      <c r="J4569" s="27">
        <v>1934241.49</v>
      </c>
      <c r="K4569" s="18">
        <f t="shared" si="143"/>
        <v>0</v>
      </c>
      <c r="L4569" s="27">
        <v>1211585.8</v>
      </c>
      <c r="M4569" s="36">
        <v>91601.51</v>
      </c>
      <c r="T4569" s="41">
        <v>0</v>
      </c>
      <c r="U4569" s="41">
        <v>0</v>
      </c>
      <c r="V4569" s="42" t="s">
        <v>113</v>
      </c>
      <c r="W4569" s="42">
        <v>0</v>
      </c>
      <c r="X4569" s="42">
        <v>0</v>
      </c>
    </row>
    <row r="4570" spans="1:24">
      <c r="A4570" s="27" t="s">
        <v>8439</v>
      </c>
      <c r="B4570" s="28" t="s">
        <v>5102</v>
      </c>
      <c r="C4570" s="27" t="s">
        <v>8440</v>
      </c>
      <c r="D4570" s="27" t="s">
        <v>5104</v>
      </c>
      <c r="E4570" s="29">
        <v>40843</v>
      </c>
      <c r="F4570" s="27">
        <v>15</v>
      </c>
      <c r="G4570" s="18">
        <v>810297.42</v>
      </c>
      <c r="H4570" s="27">
        <f t="shared" si="142"/>
        <v>0</v>
      </c>
      <c r="I4570" s="18">
        <v>469158.31</v>
      </c>
      <c r="J4570" s="27">
        <v>810297.42</v>
      </c>
      <c r="K4570" s="18">
        <f t="shared" si="143"/>
        <v>0</v>
      </c>
      <c r="L4570" s="27">
        <v>507535.87</v>
      </c>
      <c r="M4570" s="36">
        <v>38377.56</v>
      </c>
      <c r="T4570" s="41">
        <v>0</v>
      </c>
      <c r="U4570" s="41">
        <v>0</v>
      </c>
      <c r="V4570" s="42" t="s">
        <v>113</v>
      </c>
      <c r="W4570" s="42">
        <v>0</v>
      </c>
      <c r="X4570" s="42">
        <v>0</v>
      </c>
    </row>
    <row r="4571" spans="1:24">
      <c r="A4571" s="27" t="s">
        <v>8441</v>
      </c>
      <c r="B4571" s="28" t="s">
        <v>5102</v>
      </c>
      <c r="C4571" s="27" t="s">
        <v>8442</v>
      </c>
      <c r="D4571" s="27" t="s">
        <v>5104</v>
      </c>
      <c r="E4571" s="29">
        <v>40843</v>
      </c>
      <c r="F4571" s="27">
        <v>15</v>
      </c>
      <c r="G4571" s="18">
        <v>1379300.53</v>
      </c>
      <c r="H4571" s="27">
        <f t="shared" si="142"/>
        <v>0</v>
      </c>
      <c r="I4571" s="18">
        <v>798656.71</v>
      </c>
      <c r="J4571" s="27">
        <v>1379300.53</v>
      </c>
      <c r="K4571" s="18">
        <f t="shared" si="143"/>
        <v>0</v>
      </c>
      <c r="L4571" s="27">
        <v>863977.41</v>
      </c>
      <c r="M4571" s="36">
        <v>65320.7</v>
      </c>
      <c r="T4571" s="41">
        <v>0</v>
      </c>
      <c r="U4571" s="41">
        <v>0</v>
      </c>
      <c r="V4571" s="42" t="s">
        <v>113</v>
      </c>
      <c r="W4571" s="42">
        <v>0</v>
      </c>
      <c r="X4571" s="42">
        <v>0</v>
      </c>
    </row>
    <row r="4572" spans="1:24">
      <c r="A4572" s="27" t="s">
        <v>8443</v>
      </c>
      <c r="B4572" s="28" t="s">
        <v>5102</v>
      </c>
      <c r="C4572" s="27" t="s">
        <v>8444</v>
      </c>
      <c r="D4572" s="27" t="s">
        <v>5104</v>
      </c>
      <c r="E4572" s="29">
        <v>40843</v>
      </c>
      <c r="F4572" s="27">
        <v>15</v>
      </c>
      <c r="G4572" s="18">
        <v>1013876.11</v>
      </c>
      <c r="H4572" s="27">
        <f t="shared" si="142"/>
        <v>0</v>
      </c>
      <c r="I4572" s="18">
        <v>606595.67000000004</v>
      </c>
      <c r="J4572" s="27">
        <v>1013876.11</v>
      </c>
      <c r="K4572" s="18">
        <f t="shared" si="143"/>
        <v>0</v>
      </c>
      <c r="L4572" s="27">
        <v>652117.37</v>
      </c>
      <c r="M4572" s="36">
        <v>45521.7</v>
      </c>
      <c r="T4572" s="41">
        <v>0</v>
      </c>
      <c r="U4572" s="41">
        <v>0</v>
      </c>
      <c r="V4572" s="42" t="s">
        <v>113</v>
      </c>
      <c r="W4572" s="42">
        <v>0</v>
      </c>
      <c r="X4572" s="42">
        <v>0</v>
      </c>
    </row>
    <row r="4573" spans="1:24">
      <c r="A4573" s="27" t="s">
        <v>8445</v>
      </c>
      <c r="B4573" s="28" t="s">
        <v>5102</v>
      </c>
      <c r="C4573" s="27" t="s">
        <v>8446</v>
      </c>
      <c r="D4573" s="27" t="s">
        <v>5104</v>
      </c>
      <c r="E4573" s="29">
        <v>40843</v>
      </c>
      <c r="F4573" s="27">
        <v>15</v>
      </c>
      <c r="G4573" s="18">
        <v>3208612.17</v>
      </c>
      <c r="H4573" s="27">
        <f t="shared" si="142"/>
        <v>0</v>
      </c>
      <c r="I4573" s="18">
        <v>1894333.31</v>
      </c>
      <c r="J4573" s="27">
        <v>3208612.17</v>
      </c>
      <c r="K4573" s="18">
        <f t="shared" si="143"/>
        <v>0</v>
      </c>
      <c r="L4573" s="27">
        <v>2041633.09</v>
      </c>
      <c r="M4573" s="36">
        <v>147299.78</v>
      </c>
      <c r="T4573" s="41">
        <v>0</v>
      </c>
      <c r="U4573" s="41">
        <v>0</v>
      </c>
      <c r="V4573" s="42" t="s">
        <v>113</v>
      </c>
      <c r="W4573" s="42">
        <v>0</v>
      </c>
      <c r="X4573" s="42">
        <v>0</v>
      </c>
    </row>
    <row r="4574" spans="1:24">
      <c r="A4574" s="27" t="s">
        <v>8447</v>
      </c>
      <c r="B4574" s="28" t="s">
        <v>5102</v>
      </c>
      <c r="C4574" s="27" t="s">
        <v>8448</v>
      </c>
      <c r="D4574" s="27" t="s">
        <v>5104</v>
      </c>
      <c r="E4574" s="29">
        <v>40843</v>
      </c>
      <c r="F4574" s="27">
        <v>15</v>
      </c>
      <c r="G4574" s="18">
        <v>286699.86</v>
      </c>
      <c r="H4574" s="27">
        <f t="shared" si="142"/>
        <v>0</v>
      </c>
      <c r="I4574" s="18">
        <v>166007.89000000001</v>
      </c>
      <c r="J4574" s="27">
        <v>286699.86</v>
      </c>
      <c r="K4574" s="18">
        <f t="shared" si="143"/>
        <v>0</v>
      </c>
      <c r="L4574" s="27">
        <v>179585.38</v>
      </c>
      <c r="M4574" s="36">
        <v>13577.49</v>
      </c>
      <c r="T4574" s="41">
        <v>0</v>
      </c>
      <c r="U4574" s="41">
        <v>0</v>
      </c>
      <c r="V4574" s="42" t="s">
        <v>113</v>
      </c>
      <c r="W4574" s="42">
        <v>0</v>
      </c>
      <c r="X4574" s="42">
        <v>0</v>
      </c>
    </row>
    <row r="4575" spans="1:24">
      <c r="A4575" s="27" t="s">
        <v>8449</v>
      </c>
      <c r="B4575" s="28" t="s">
        <v>5102</v>
      </c>
      <c r="C4575" s="27" t="s">
        <v>8450</v>
      </c>
      <c r="D4575" s="27" t="s">
        <v>230</v>
      </c>
      <c r="E4575" s="29">
        <v>40843</v>
      </c>
      <c r="F4575" s="27">
        <v>15</v>
      </c>
      <c r="G4575" s="18">
        <v>745805.95</v>
      </c>
      <c r="H4575" s="27">
        <f t="shared" si="142"/>
        <v>0</v>
      </c>
      <c r="I4575" s="18">
        <v>481268.27</v>
      </c>
      <c r="J4575" s="27">
        <v>745805.95</v>
      </c>
      <c r="K4575" s="18">
        <f t="shared" si="143"/>
        <v>0</v>
      </c>
      <c r="L4575" s="27">
        <v>510278.57</v>
      </c>
      <c r="M4575" s="36">
        <v>29010.3</v>
      </c>
      <c r="T4575" s="41">
        <v>0</v>
      </c>
      <c r="U4575" s="41">
        <v>0</v>
      </c>
      <c r="V4575" s="42" t="s">
        <v>113</v>
      </c>
      <c r="W4575" s="42">
        <v>0</v>
      </c>
      <c r="X4575" s="42">
        <v>0</v>
      </c>
    </row>
    <row r="4576" spans="1:24">
      <c r="A4576" s="27" t="s">
        <v>8451</v>
      </c>
      <c r="B4576" s="28" t="s">
        <v>5102</v>
      </c>
      <c r="C4576" s="27" t="s">
        <v>8452</v>
      </c>
      <c r="D4576" s="27" t="s">
        <v>5104</v>
      </c>
      <c r="E4576" s="29">
        <v>40843</v>
      </c>
      <c r="F4576" s="27">
        <v>15</v>
      </c>
      <c r="G4576" s="18">
        <v>1474684.56</v>
      </c>
      <c r="H4576" s="27">
        <f t="shared" si="142"/>
        <v>0</v>
      </c>
      <c r="I4576" s="18">
        <v>836899.6</v>
      </c>
      <c r="J4576" s="27">
        <v>1474684.56</v>
      </c>
      <c r="K4576" s="18">
        <f t="shared" si="143"/>
        <v>0</v>
      </c>
      <c r="L4576" s="27">
        <v>908906.08</v>
      </c>
      <c r="M4576" s="36">
        <v>72006.48</v>
      </c>
      <c r="T4576" s="41">
        <v>0</v>
      </c>
      <c r="U4576" s="41">
        <v>0</v>
      </c>
      <c r="V4576" s="42" t="s">
        <v>113</v>
      </c>
      <c r="W4576" s="42">
        <v>0</v>
      </c>
      <c r="X4576" s="42">
        <v>0</v>
      </c>
    </row>
    <row r="4577" spans="1:24">
      <c r="A4577" s="27" t="s">
        <v>8453</v>
      </c>
      <c r="B4577" s="28" t="s">
        <v>5102</v>
      </c>
      <c r="C4577" s="27" t="s">
        <v>8454</v>
      </c>
      <c r="D4577" s="27" t="s">
        <v>230</v>
      </c>
      <c r="E4577" s="29">
        <v>40843</v>
      </c>
      <c r="F4577" s="27">
        <v>15</v>
      </c>
      <c r="G4577" s="18">
        <v>4005456.45</v>
      </c>
      <c r="H4577" s="27">
        <f t="shared" si="142"/>
        <v>0</v>
      </c>
      <c r="I4577" s="18">
        <v>2190960.2799999998</v>
      </c>
      <c r="J4577" s="27">
        <v>4005456.45</v>
      </c>
      <c r="K4577" s="18">
        <f t="shared" si="143"/>
        <v>0</v>
      </c>
      <c r="L4577" s="27">
        <v>2397031.35</v>
      </c>
      <c r="M4577" s="36">
        <v>206071.07</v>
      </c>
      <c r="T4577" s="41">
        <v>0</v>
      </c>
      <c r="U4577" s="41">
        <v>0</v>
      </c>
      <c r="V4577" s="42" t="s">
        <v>113</v>
      </c>
      <c r="W4577" s="42">
        <v>0</v>
      </c>
      <c r="X4577" s="42">
        <v>0</v>
      </c>
    </row>
    <row r="4578" spans="1:24">
      <c r="A4578" s="27" t="s">
        <v>8455</v>
      </c>
      <c r="B4578" s="28" t="s">
        <v>5102</v>
      </c>
      <c r="C4578" s="27" t="s">
        <v>8456</v>
      </c>
      <c r="D4578" s="27" t="s">
        <v>5104</v>
      </c>
      <c r="E4578" s="29">
        <v>40843</v>
      </c>
      <c r="F4578" s="27">
        <v>15</v>
      </c>
      <c r="G4578" s="18">
        <v>80431.009999999995</v>
      </c>
      <c r="H4578" s="27">
        <f t="shared" si="142"/>
        <v>0</v>
      </c>
      <c r="I4578" s="18">
        <v>46568.72</v>
      </c>
      <c r="J4578" s="27">
        <v>80431.009999999995</v>
      </c>
      <c r="K4578" s="18">
        <f t="shared" si="143"/>
        <v>0</v>
      </c>
      <c r="L4578" s="27">
        <v>50378.18</v>
      </c>
      <c r="M4578" s="36">
        <v>3809.46</v>
      </c>
      <c r="T4578" s="41">
        <v>0</v>
      </c>
      <c r="U4578" s="41">
        <v>0</v>
      </c>
      <c r="V4578" s="42" t="s">
        <v>113</v>
      </c>
      <c r="W4578" s="42">
        <v>0</v>
      </c>
      <c r="X4578" s="42">
        <v>0</v>
      </c>
    </row>
    <row r="4579" spans="1:24">
      <c r="A4579" s="27" t="s">
        <v>8457</v>
      </c>
      <c r="B4579" s="28" t="s">
        <v>5102</v>
      </c>
      <c r="C4579" s="27" t="s">
        <v>8458</v>
      </c>
      <c r="D4579" s="27" t="s">
        <v>5104</v>
      </c>
      <c r="E4579" s="29">
        <v>40843</v>
      </c>
      <c r="F4579" s="27">
        <v>15</v>
      </c>
      <c r="G4579" s="18">
        <v>1097919.98</v>
      </c>
      <c r="H4579" s="27">
        <f t="shared" si="142"/>
        <v>0</v>
      </c>
      <c r="I4579" s="18">
        <v>635684.34</v>
      </c>
      <c r="J4579" s="27">
        <v>1097919.98</v>
      </c>
      <c r="K4579" s="18">
        <f t="shared" si="143"/>
        <v>0</v>
      </c>
      <c r="L4579" s="27">
        <v>687685.15</v>
      </c>
      <c r="M4579" s="36">
        <v>52000.81</v>
      </c>
      <c r="T4579" s="41">
        <v>0</v>
      </c>
      <c r="U4579" s="41">
        <v>0</v>
      </c>
      <c r="V4579" s="42" t="s">
        <v>113</v>
      </c>
      <c r="W4579" s="42">
        <v>0</v>
      </c>
      <c r="X4579" s="42">
        <v>0</v>
      </c>
    </row>
    <row r="4580" spans="1:24">
      <c r="A4580" s="27" t="s">
        <v>8459</v>
      </c>
      <c r="B4580" s="28" t="s">
        <v>5102</v>
      </c>
      <c r="C4580" s="27" t="s">
        <v>8460</v>
      </c>
      <c r="D4580" s="27" t="s">
        <v>5104</v>
      </c>
      <c r="E4580" s="29">
        <v>40843</v>
      </c>
      <c r="F4580" s="27">
        <v>15</v>
      </c>
      <c r="G4580" s="18">
        <v>625513.59</v>
      </c>
      <c r="H4580" s="27">
        <f t="shared" si="142"/>
        <v>0</v>
      </c>
      <c r="I4580" s="18">
        <v>362191.28</v>
      </c>
      <c r="J4580" s="27">
        <v>625513.59</v>
      </c>
      <c r="K4580" s="18">
        <f t="shared" si="143"/>
        <v>0</v>
      </c>
      <c r="L4580" s="27">
        <v>391814.25</v>
      </c>
      <c r="M4580" s="36">
        <v>29622.97</v>
      </c>
      <c r="T4580" s="41">
        <v>0</v>
      </c>
      <c r="U4580" s="41">
        <v>0</v>
      </c>
      <c r="V4580" s="42" t="s">
        <v>113</v>
      </c>
      <c r="W4580" s="42">
        <v>0</v>
      </c>
      <c r="X4580" s="42">
        <v>0</v>
      </c>
    </row>
    <row r="4581" spans="1:24">
      <c r="A4581" s="27" t="s">
        <v>8461</v>
      </c>
      <c r="B4581" s="28" t="s">
        <v>5102</v>
      </c>
      <c r="C4581" s="27" t="s">
        <v>8462</v>
      </c>
      <c r="D4581" s="27" t="s">
        <v>5104</v>
      </c>
      <c r="E4581" s="29">
        <v>40843</v>
      </c>
      <c r="F4581" s="27">
        <v>15</v>
      </c>
      <c r="G4581" s="18">
        <v>284378.14</v>
      </c>
      <c r="H4581" s="27">
        <f t="shared" si="142"/>
        <v>0</v>
      </c>
      <c r="I4581" s="18">
        <v>164663.54</v>
      </c>
      <c r="J4581" s="27">
        <v>284378.14</v>
      </c>
      <c r="K4581" s="18">
        <f t="shared" si="143"/>
        <v>0</v>
      </c>
      <c r="L4581" s="27">
        <v>178131.07</v>
      </c>
      <c r="M4581" s="36">
        <v>13467.53</v>
      </c>
      <c r="T4581" s="41">
        <v>0</v>
      </c>
      <c r="U4581" s="41">
        <v>0</v>
      </c>
      <c r="V4581" s="42" t="s">
        <v>113</v>
      </c>
      <c r="W4581" s="42">
        <v>0</v>
      </c>
      <c r="X4581" s="42">
        <v>0</v>
      </c>
    </row>
    <row r="4582" spans="1:24">
      <c r="A4582" s="27" t="s">
        <v>8463</v>
      </c>
      <c r="B4582" s="28" t="s">
        <v>5102</v>
      </c>
      <c r="C4582" s="27" t="s">
        <v>8464</v>
      </c>
      <c r="D4582" s="27" t="s">
        <v>5104</v>
      </c>
      <c r="E4582" s="29">
        <v>40843</v>
      </c>
      <c r="F4582" s="27">
        <v>15</v>
      </c>
      <c r="G4582" s="18">
        <v>1116808.3799999999</v>
      </c>
      <c r="H4582" s="27">
        <f t="shared" si="142"/>
        <v>0</v>
      </c>
      <c r="I4582" s="18">
        <v>646665.81999999995</v>
      </c>
      <c r="J4582" s="27">
        <v>1116808.3799999999</v>
      </c>
      <c r="K4582" s="18">
        <f t="shared" si="143"/>
        <v>0</v>
      </c>
      <c r="L4582" s="27">
        <v>699555.45</v>
      </c>
      <c r="M4582" s="36">
        <v>52889.63</v>
      </c>
      <c r="T4582" s="41">
        <v>0</v>
      </c>
      <c r="U4582" s="41">
        <v>0</v>
      </c>
      <c r="V4582" s="42" t="s">
        <v>113</v>
      </c>
      <c r="W4582" s="42">
        <v>0</v>
      </c>
      <c r="X4582" s="42">
        <v>0</v>
      </c>
    </row>
    <row r="4583" spans="1:24">
      <c r="A4583" s="27" t="s">
        <v>8465</v>
      </c>
      <c r="B4583" s="28" t="s">
        <v>5102</v>
      </c>
      <c r="C4583" s="27" t="s">
        <v>8466</v>
      </c>
      <c r="D4583" s="27" t="s">
        <v>5104</v>
      </c>
      <c r="E4583" s="29">
        <v>40843</v>
      </c>
      <c r="F4583" s="27">
        <v>15</v>
      </c>
      <c r="G4583" s="18">
        <v>166541.12</v>
      </c>
      <c r="H4583" s="27">
        <f t="shared" si="142"/>
        <v>0</v>
      </c>
      <c r="I4583" s="18">
        <v>96430.32</v>
      </c>
      <c r="J4583" s="27">
        <v>166541.12</v>
      </c>
      <c r="K4583" s="18">
        <f t="shared" si="143"/>
        <v>0</v>
      </c>
      <c r="L4583" s="27">
        <v>104317.61</v>
      </c>
      <c r="M4583" s="36">
        <v>7887.29</v>
      </c>
      <c r="T4583" s="41">
        <v>0</v>
      </c>
      <c r="U4583" s="41">
        <v>0</v>
      </c>
      <c r="V4583" s="42" t="s">
        <v>113</v>
      </c>
      <c r="W4583" s="42">
        <v>0</v>
      </c>
      <c r="X4583" s="42">
        <v>0</v>
      </c>
    </row>
    <row r="4584" spans="1:24">
      <c r="A4584" s="27" t="s">
        <v>8467</v>
      </c>
      <c r="B4584" s="28" t="s">
        <v>5102</v>
      </c>
      <c r="C4584" s="27" t="s">
        <v>8468</v>
      </c>
      <c r="D4584" s="27" t="s">
        <v>5104</v>
      </c>
      <c r="E4584" s="29">
        <v>40843</v>
      </c>
      <c r="F4584" s="27">
        <v>15</v>
      </c>
      <c r="G4584" s="18">
        <v>550670.61</v>
      </c>
      <c r="H4584" s="27">
        <f t="shared" si="142"/>
        <v>0</v>
      </c>
      <c r="I4584" s="18">
        <v>318854.93</v>
      </c>
      <c r="J4584" s="27">
        <v>550670.61</v>
      </c>
      <c r="K4584" s="18">
        <f t="shared" si="143"/>
        <v>0</v>
      </c>
      <c r="L4584" s="27">
        <v>344933.5</v>
      </c>
      <c r="M4584" s="36">
        <v>26078.57</v>
      </c>
      <c r="T4584" s="41">
        <v>0</v>
      </c>
      <c r="U4584" s="41">
        <v>0</v>
      </c>
      <c r="V4584" s="42" t="s">
        <v>113</v>
      </c>
      <c r="W4584" s="42">
        <v>0</v>
      </c>
      <c r="X4584" s="42">
        <v>0</v>
      </c>
    </row>
    <row r="4585" spans="1:24">
      <c r="A4585" s="27" t="s">
        <v>8469</v>
      </c>
      <c r="B4585" s="28" t="s">
        <v>5102</v>
      </c>
      <c r="C4585" s="27" t="s">
        <v>8470</v>
      </c>
      <c r="D4585" s="27" t="s">
        <v>5104</v>
      </c>
      <c r="E4585" s="29">
        <v>40843</v>
      </c>
      <c r="F4585" s="27">
        <v>15</v>
      </c>
      <c r="G4585" s="18">
        <v>260672.14</v>
      </c>
      <c r="H4585" s="27">
        <f t="shared" si="142"/>
        <v>0</v>
      </c>
      <c r="I4585" s="18">
        <v>150937.04999999999</v>
      </c>
      <c r="J4585" s="27">
        <v>260672.14</v>
      </c>
      <c r="K4585" s="18">
        <f t="shared" si="143"/>
        <v>0</v>
      </c>
      <c r="L4585" s="27">
        <v>163281.92000000001</v>
      </c>
      <c r="M4585" s="36">
        <v>12344.87</v>
      </c>
      <c r="T4585" s="41">
        <v>0</v>
      </c>
      <c r="U4585" s="41">
        <v>0</v>
      </c>
      <c r="V4585" s="42" t="s">
        <v>113</v>
      </c>
      <c r="W4585" s="42">
        <v>0</v>
      </c>
      <c r="X4585" s="42">
        <v>0</v>
      </c>
    </row>
    <row r="4586" spans="1:24">
      <c r="A4586" s="27" t="s">
        <v>8471</v>
      </c>
      <c r="B4586" s="28" t="s">
        <v>5102</v>
      </c>
      <c r="C4586" s="27" t="s">
        <v>8472</v>
      </c>
      <c r="D4586" s="27" t="s">
        <v>5104</v>
      </c>
      <c r="E4586" s="29">
        <v>40843</v>
      </c>
      <c r="F4586" s="27">
        <v>15</v>
      </c>
      <c r="G4586" s="18">
        <v>314649.13</v>
      </c>
      <c r="H4586" s="27">
        <f t="shared" si="142"/>
        <v>0</v>
      </c>
      <c r="I4586" s="18">
        <v>182191.35</v>
      </c>
      <c r="J4586" s="27">
        <v>314649.13</v>
      </c>
      <c r="K4586" s="18">
        <f t="shared" si="143"/>
        <v>0</v>
      </c>
      <c r="L4586" s="27">
        <v>197092.45</v>
      </c>
      <c r="M4586" s="36">
        <v>14901.1</v>
      </c>
      <c r="T4586" s="41">
        <v>0</v>
      </c>
      <c r="U4586" s="41">
        <v>0</v>
      </c>
      <c r="V4586" s="42" t="s">
        <v>113</v>
      </c>
      <c r="W4586" s="42">
        <v>0</v>
      </c>
      <c r="X4586" s="42">
        <v>0</v>
      </c>
    </row>
    <row r="4587" spans="1:24">
      <c r="A4587" s="27" t="s">
        <v>8473</v>
      </c>
      <c r="B4587" s="28" t="s">
        <v>5102</v>
      </c>
      <c r="C4587" s="27" t="s">
        <v>8474</v>
      </c>
      <c r="D4587" s="27" t="s">
        <v>5104</v>
      </c>
      <c r="E4587" s="29">
        <v>40843</v>
      </c>
      <c r="F4587" s="27">
        <v>15</v>
      </c>
      <c r="G4587" s="18">
        <v>579132.31999999995</v>
      </c>
      <c r="H4587" s="27">
        <f t="shared" si="142"/>
        <v>0</v>
      </c>
      <c r="I4587" s="18">
        <v>335335.12</v>
      </c>
      <c r="J4587" s="27">
        <v>579132.31999999995</v>
      </c>
      <c r="K4587" s="18">
        <f t="shared" si="143"/>
        <v>0</v>
      </c>
      <c r="L4587" s="27">
        <v>362761.58</v>
      </c>
      <c r="M4587" s="36">
        <v>27426.46</v>
      </c>
      <c r="T4587" s="41">
        <v>0</v>
      </c>
      <c r="U4587" s="41">
        <v>0</v>
      </c>
      <c r="V4587" s="42" t="s">
        <v>113</v>
      </c>
      <c r="W4587" s="42">
        <v>0</v>
      </c>
      <c r="X4587" s="42">
        <v>0</v>
      </c>
    </row>
    <row r="4588" spans="1:24">
      <c r="A4588" s="27" t="s">
        <v>8475</v>
      </c>
      <c r="B4588" s="28" t="s">
        <v>5102</v>
      </c>
      <c r="C4588" s="27" t="s">
        <v>8476</v>
      </c>
      <c r="D4588" s="27" t="s">
        <v>5104</v>
      </c>
      <c r="E4588" s="29">
        <v>40843</v>
      </c>
      <c r="F4588" s="27">
        <v>15</v>
      </c>
      <c r="G4588" s="18">
        <v>237271.71</v>
      </c>
      <c r="H4588" s="27">
        <f t="shared" si="142"/>
        <v>0</v>
      </c>
      <c r="I4588" s="18">
        <v>137387.5</v>
      </c>
      <c r="J4588" s="27">
        <v>237271.71</v>
      </c>
      <c r="K4588" s="18">
        <f t="shared" si="143"/>
        <v>0</v>
      </c>
      <c r="L4588" s="27">
        <v>148624.17000000001</v>
      </c>
      <c r="M4588" s="36">
        <v>11236.67</v>
      </c>
      <c r="T4588" s="41">
        <v>0</v>
      </c>
      <c r="U4588" s="41">
        <v>0</v>
      </c>
      <c r="V4588" s="42" t="s">
        <v>113</v>
      </c>
      <c r="W4588" s="42">
        <v>0</v>
      </c>
      <c r="X4588" s="42">
        <v>0</v>
      </c>
    </row>
    <row r="4589" spans="1:24">
      <c r="A4589" s="27" t="s">
        <v>8477</v>
      </c>
      <c r="B4589" s="28" t="s">
        <v>5102</v>
      </c>
      <c r="C4589" s="27" t="s">
        <v>8478</v>
      </c>
      <c r="D4589" s="27" t="s">
        <v>5104</v>
      </c>
      <c r="E4589" s="29">
        <v>40843</v>
      </c>
      <c r="F4589" s="27">
        <v>15</v>
      </c>
      <c r="G4589" s="18">
        <v>710743.61</v>
      </c>
      <c r="H4589" s="27">
        <f t="shared" si="142"/>
        <v>0</v>
      </c>
      <c r="I4589" s="18">
        <v>411542.03</v>
      </c>
      <c r="J4589" s="27">
        <v>710743.61</v>
      </c>
      <c r="K4589" s="18">
        <f t="shared" si="143"/>
        <v>0</v>
      </c>
      <c r="L4589" s="27">
        <v>445201.32</v>
      </c>
      <c r="M4589" s="36">
        <v>33659.29</v>
      </c>
      <c r="T4589" s="41">
        <v>0</v>
      </c>
      <c r="U4589" s="41">
        <v>0</v>
      </c>
      <c r="V4589" s="42" t="s">
        <v>113</v>
      </c>
      <c r="W4589" s="42">
        <v>0</v>
      </c>
      <c r="X4589" s="42">
        <v>0</v>
      </c>
    </row>
    <row r="4590" spans="1:24">
      <c r="A4590" s="27" t="s">
        <v>8479</v>
      </c>
      <c r="B4590" s="28" t="s">
        <v>5102</v>
      </c>
      <c r="C4590" s="27" t="s">
        <v>8480</v>
      </c>
      <c r="D4590" s="27" t="s">
        <v>5104</v>
      </c>
      <c r="E4590" s="29">
        <v>40843</v>
      </c>
      <c r="F4590" s="27">
        <v>15</v>
      </c>
      <c r="G4590" s="18">
        <v>142283.66</v>
      </c>
      <c r="H4590" s="27">
        <f t="shared" si="142"/>
        <v>0</v>
      </c>
      <c r="I4590" s="18">
        <v>82386.55</v>
      </c>
      <c r="J4590" s="27">
        <v>142283.66</v>
      </c>
      <c r="K4590" s="18">
        <f t="shared" si="143"/>
        <v>0</v>
      </c>
      <c r="L4590" s="27">
        <v>89124.800000000003</v>
      </c>
      <c r="M4590" s="36">
        <v>6738.25</v>
      </c>
      <c r="T4590" s="41">
        <v>0</v>
      </c>
      <c r="U4590" s="41">
        <v>0</v>
      </c>
      <c r="V4590" s="42" t="s">
        <v>113</v>
      </c>
      <c r="W4590" s="42">
        <v>0</v>
      </c>
      <c r="X4590" s="42">
        <v>0</v>
      </c>
    </row>
    <row r="4591" spans="1:24">
      <c r="A4591" s="27" t="s">
        <v>8481</v>
      </c>
      <c r="B4591" s="28" t="s">
        <v>5102</v>
      </c>
      <c r="C4591" s="27" t="s">
        <v>8482</v>
      </c>
      <c r="D4591" s="27" t="s">
        <v>5104</v>
      </c>
      <c r="E4591" s="29">
        <v>40843</v>
      </c>
      <c r="F4591" s="27">
        <v>15</v>
      </c>
      <c r="G4591" s="18">
        <v>1140612.45</v>
      </c>
      <c r="H4591" s="27">
        <f t="shared" si="142"/>
        <v>0</v>
      </c>
      <c r="I4591" s="18">
        <v>660379.5</v>
      </c>
      <c r="J4591" s="27">
        <v>1140612.45</v>
      </c>
      <c r="K4591" s="18">
        <f t="shared" si="143"/>
        <v>0</v>
      </c>
      <c r="L4591" s="27">
        <v>714405.33</v>
      </c>
      <c r="M4591" s="36">
        <v>54025.83</v>
      </c>
      <c r="T4591" s="41">
        <v>0</v>
      </c>
      <c r="U4591" s="41">
        <v>0</v>
      </c>
      <c r="V4591" s="42" t="s">
        <v>113</v>
      </c>
      <c r="W4591" s="42">
        <v>0</v>
      </c>
      <c r="X4591" s="42">
        <v>0</v>
      </c>
    </row>
    <row r="4592" spans="1:24">
      <c r="A4592" s="27" t="s">
        <v>8483</v>
      </c>
      <c r="B4592" s="28" t="s">
        <v>5102</v>
      </c>
      <c r="C4592" s="27" t="s">
        <v>8484</v>
      </c>
      <c r="D4592" s="27" t="s">
        <v>5104</v>
      </c>
      <c r="E4592" s="29">
        <v>40843</v>
      </c>
      <c r="F4592" s="27">
        <v>15</v>
      </c>
      <c r="G4592" s="18">
        <v>1509975.9</v>
      </c>
      <c r="H4592" s="27">
        <f t="shared" si="142"/>
        <v>0</v>
      </c>
      <c r="I4592" s="18">
        <v>874321.68</v>
      </c>
      <c r="J4592" s="27">
        <v>1509975.9</v>
      </c>
      <c r="K4592" s="18">
        <f t="shared" si="143"/>
        <v>0</v>
      </c>
      <c r="L4592" s="27">
        <v>945830.88</v>
      </c>
      <c r="M4592" s="36">
        <v>71509.2</v>
      </c>
      <c r="T4592" s="41">
        <v>0</v>
      </c>
      <c r="U4592" s="41">
        <v>0</v>
      </c>
      <c r="V4592" s="42" t="s">
        <v>113</v>
      </c>
      <c r="W4592" s="42">
        <v>0</v>
      </c>
      <c r="X4592" s="42">
        <v>0</v>
      </c>
    </row>
    <row r="4593" spans="1:24">
      <c r="A4593" s="27" t="s">
        <v>8485</v>
      </c>
      <c r="B4593" s="28" t="s">
        <v>5102</v>
      </c>
      <c r="C4593" s="27" t="s">
        <v>8486</v>
      </c>
      <c r="D4593" s="27" t="s">
        <v>5104</v>
      </c>
      <c r="E4593" s="29">
        <v>40843</v>
      </c>
      <c r="F4593" s="27">
        <v>15</v>
      </c>
      <c r="G4593" s="18">
        <v>20747.64</v>
      </c>
      <c r="H4593" s="27">
        <f t="shared" si="142"/>
        <v>0</v>
      </c>
      <c r="I4593" s="18">
        <v>12013.5</v>
      </c>
      <c r="J4593" s="27">
        <v>20747.64</v>
      </c>
      <c r="K4593" s="18">
        <f t="shared" si="143"/>
        <v>0</v>
      </c>
      <c r="L4593" s="27">
        <v>12996.07</v>
      </c>
      <c r="M4593" s="36">
        <v>982.57</v>
      </c>
      <c r="T4593" s="41">
        <v>0</v>
      </c>
      <c r="U4593" s="41">
        <v>0</v>
      </c>
      <c r="V4593" s="42" t="s">
        <v>113</v>
      </c>
      <c r="W4593" s="42">
        <v>0</v>
      </c>
      <c r="X4593" s="42">
        <v>0</v>
      </c>
    </row>
    <row r="4594" spans="1:24">
      <c r="A4594" s="27" t="s">
        <v>8487</v>
      </c>
      <c r="B4594" s="28" t="s">
        <v>5102</v>
      </c>
      <c r="C4594" s="27" t="s">
        <v>8486</v>
      </c>
      <c r="D4594" s="27" t="s">
        <v>5104</v>
      </c>
      <c r="E4594" s="29">
        <v>40843</v>
      </c>
      <c r="F4594" s="27">
        <v>15</v>
      </c>
      <c r="G4594" s="18">
        <v>11664.98</v>
      </c>
      <c r="H4594" s="27">
        <f t="shared" si="142"/>
        <v>0</v>
      </c>
      <c r="I4594" s="18">
        <v>6754.37</v>
      </c>
      <c r="J4594" s="27">
        <v>11664.98</v>
      </c>
      <c r="K4594" s="18">
        <f t="shared" si="143"/>
        <v>0</v>
      </c>
      <c r="L4594" s="27">
        <v>7306.8</v>
      </c>
      <c r="M4594" s="36">
        <v>552.42999999999995</v>
      </c>
      <c r="T4594" s="41">
        <v>0</v>
      </c>
      <c r="U4594" s="41">
        <v>0</v>
      </c>
      <c r="V4594" s="42" t="s">
        <v>113</v>
      </c>
      <c r="W4594" s="42">
        <v>0</v>
      </c>
      <c r="X4594" s="42">
        <v>0</v>
      </c>
    </row>
    <row r="4595" spans="1:24">
      <c r="A4595" s="27" t="s">
        <v>8488</v>
      </c>
      <c r="B4595" s="28" t="s">
        <v>5102</v>
      </c>
      <c r="C4595" s="27" t="s">
        <v>8489</v>
      </c>
      <c r="D4595" s="27" t="s">
        <v>5104</v>
      </c>
      <c r="E4595" s="29">
        <v>40843</v>
      </c>
      <c r="F4595" s="27">
        <v>15</v>
      </c>
      <c r="G4595" s="18">
        <v>19723.62</v>
      </c>
      <c r="H4595" s="27">
        <f t="shared" si="142"/>
        <v>0</v>
      </c>
      <c r="I4595" s="18">
        <v>11420.58</v>
      </c>
      <c r="J4595" s="27">
        <v>19723.62</v>
      </c>
      <c r="K4595" s="18">
        <f t="shared" si="143"/>
        <v>0</v>
      </c>
      <c r="L4595" s="27">
        <v>12354.65</v>
      </c>
      <c r="M4595" s="36">
        <v>934.07</v>
      </c>
      <c r="T4595" s="41">
        <v>0</v>
      </c>
      <c r="U4595" s="41">
        <v>0</v>
      </c>
      <c r="V4595" s="42" t="s">
        <v>113</v>
      </c>
      <c r="W4595" s="42">
        <v>0</v>
      </c>
      <c r="X4595" s="42">
        <v>0</v>
      </c>
    </row>
    <row r="4596" spans="1:24">
      <c r="A4596" s="27" t="s">
        <v>8490</v>
      </c>
      <c r="B4596" s="28" t="s">
        <v>5102</v>
      </c>
      <c r="C4596" s="27" t="s">
        <v>8491</v>
      </c>
      <c r="D4596" s="27" t="s">
        <v>5104</v>
      </c>
      <c r="E4596" s="29">
        <v>40843</v>
      </c>
      <c r="F4596" s="27">
        <v>15</v>
      </c>
      <c r="G4596" s="18">
        <v>102536.1</v>
      </c>
      <c r="H4596" s="27">
        <f t="shared" si="142"/>
        <v>0</v>
      </c>
      <c r="I4596" s="18">
        <v>59371.49</v>
      </c>
      <c r="J4596" s="27">
        <v>102536.1</v>
      </c>
      <c r="K4596" s="18">
        <f t="shared" si="143"/>
        <v>0</v>
      </c>
      <c r="L4596" s="27">
        <v>64227.38</v>
      </c>
      <c r="M4596" s="36">
        <v>4855.8900000000003</v>
      </c>
      <c r="T4596" s="41">
        <v>0</v>
      </c>
      <c r="U4596" s="41">
        <v>0</v>
      </c>
      <c r="V4596" s="42" t="s">
        <v>113</v>
      </c>
      <c r="W4596" s="42">
        <v>0</v>
      </c>
      <c r="X4596" s="42">
        <v>0</v>
      </c>
    </row>
    <row r="4597" spans="1:24">
      <c r="A4597" s="27" t="s">
        <v>8492</v>
      </c>
      <c r="B4597" s="28" t="s">
        <v>5102</v>
      </c>
      <c r="C4597" s="27" t="s">
        <v>8491</v>
      </c>
      <c r="D4597" s="27" t="s">
        <v>5104</v>
      </c>
      <c r="E4597" s="29">
        <v>40843</v>
      </c>
      <c r="F4597" s="27">
        <v>15</v>
      </c>
      <c r="G4597" s="18">
        <v>95278.88</v>
      </c>
      <c r="H4597" s="27">
        <f t="shared" si="142"/>
        <v>0</v>
      </c>
      <c r="I4597" s="18">
        <v>55169.34</v>
      </c>
      <c r="J4597" s="27">
        <v>95278.88</v>
      </c>
      <c r="K4597" s="18">
        <f t="shared" si="143"/>
        <v>0</v>
      </c>
      <c r="L4597" s="27">
        <v>59681.54</v>
      </c>
      <c r="M4597" s="36">
        <v>4512.2</v>
      </c>
      <c r="T4597" s="41">
        <v>0</v>
      </c>
      <c r="U4597" s="41">
        <v>0</v>
      </c>
      <c r="V4597" s="42" t="s">
        <v>113</v>
      </c>
      <c r="W4597" s="42">
        <v>0</v>
      </c>
      <c r="X4597" s="42">
        <v>0</v>
      </c>
    </row>
    <row r="4598" spans="1:24">
      <c r="A4598" s="27" t="s">
        <v>8493</v>
      </c>
      <c r="B4598" s="28" t="s">
        <v>5102</v>
      </c>
      <c r="C4598" s="27" t="s">
        <v>8494</v>
      </c>
      <c r="D4598" s="27" t="s">
        <v>5104</v>
      </c>
      <c r="E4598" s="29">
        <v>40843</v>
      </c>
      <c r="F4598" s="27">
        <v>15</v>
      </c>
      <c r="G4598" s="18">
        <v>17853.66</v>
      </c>
      <c r="H4598" s="27">
        <f t="shared" si="142"/>
        <v>0</v>
      </c>
      <c r="I4598" s="18">
        <v>10337.81</v>
      </c>
      <c r="J4598" s="27">
        <v>17853.66</v>
      </c>
      <c r="K4598" s="18">
        <f t="shared" si="143"/>
        <v>0</v>
      </c>
      <c r="L4598" s="27">
        <v>11183.32</v>
      </c>
      <c r="M4598" s="36">
        <v>845.51</v>
      </c>
      <c r="T4598" s="41">
        <v>0</v>
      </c>
      <c r="U4598" s="41">
        <v>0</v>
      </c>
      <c r="V4598" s="42" t="s">
        <v>113</v>
      </c>
      <c r="W4598" s="42">
        <v>0</v>
      </c>
      <c r="X4598" s="42">
        <v>0</v>
      </c>
    </row>
    <row r="4599" spans="1:24">
      <c r="A4599" s="27" t="s">
        <v>8495</v>
      </c>
      <c r="B4599" s="28" t="s">
        <v>5102</v>
      </c>
      <c r="C4599" s="27" t="s">
        <v>8494</v>
      </c>
      <c r="D4599" s="27" t="s">
        <v>5104</v>
      </c>
      <c r="E4599" s="29">
        <v>40843</v>
      </c>
      <c r="F4599" s="27">
        <v>15</v>
      </c>
      <c r="G4599" s="18">
        <v>16829.63</v>
      </c>
      <c r="H4599" s="27">
        <f t="shared" si="142"/>
        <v>0</v>
      </c>
      <c r="I4599" s="18">
        <v>9744.8700000000008</v>
      </c>
      <c r="J4599" s="27">
        <v>16829.63</v>
      </c>
      <c r="K4599" s="18">
        <f t="shared" si="143"/>
        <v>0</v>
      </c>
      <c r="L4599" s="27">
        <v>10541.88</v>
      </c>
      <c r="M4599" s="36">
        <v>797.01</v>
      </c>
      <c r="T4599" s="41">
        <v>0</v>
      </c>
      <c r="U4599" s="41">
        <v>0</v>
      </c>
      <c r="V4599" s="42" t="s">
        <v>113</v>
      </c>
      <c r="W4599" s="42">
        <v>0</v>
      </c>
      <c r="X4599" s="42">
        <v>0</v>
      </c>
    </row>
    <row r="4600" spans="1:24">
      <c r="A4600" s="27" t="s">
        <v>8496</v>
      </c>
      <c r="B4600" s="28" t="s">
        <v>5102</v>
      </c>
      <c r="C4600" s="27" t="s">
        <v>8497</v>
      </c>
      <c r="D4600" s="27" t="s">
        <v>5104</v>
      </c>
      <c r="E4600" s="29">
        <v>40843</v>
      </c>
      <c r="F4600" s="27">
        <v>15</v>
      </c>
      <c r="G4600" s="18">
        <v>39046.53</v>
      </c>
      <c r="H4600" s="27">
        <f t="shared" si="142"/>
        <v>0</v>
      </c>
      <c r="I4600" s="18">
        <v>22609.119999999999</v>
      </c>
      <c r="J4600" s="27">
        <v>39046.53</v>
      </c>
      <c r="K4600" s="18">
        <f t="shared" si="143"/>
        <v>0</v>
      </c>
      <c r="L4600" s="27">
        <v>24458.28</v>
      </c>
      <c r="M4600" s="36">
        <v>1849.16</v>
      </c>
      <c r="T4600" s="41">
        <v>0</v>
      </c>
      <c r="U4600" s="41">
        <v>0</v>
      </c>
      <c r="V4600" s="42" t="s">
        <v>113</v>
      </c>
      <c r="W4600" s="42">
        <v>0</v>
      </c>
      <c r="X4600" s="42">
        <v>0</v>
      </c>
    </row>
    <row r="4601" spans="1:24">
      <c r="A4601" s="27" t="s">
        <v>8498</v>
      </c>
      <c r="B4601" s="28" t="s">
        <v>5102</v>
      </c>
      <c r="C4601" s="27" t="s">
        <v>8497</v>
      </c>
      <c r="D4601" s="27" t="s">
        <v>5104</v>
      </c>
      <c r="E4601" s="29">
        <v>40843</v>
      </c>
      <c r="F4601" s="27">
        <v>15</v>
      </c>
      <c r="G4601" s="18">
        <v>28494.62</v>
      </c>
      <c r="H4601" s="27">
        <f t="shared" si="142"/>
        <v>0</v>
      </c>
      <c r="I4601" s="18">
        <v>16499.240000000002</v>
      </c>
      <c r="J4601" s="27">
        <v>28494.62</v>
      </c>
      <c r="K4601" s="18">
        <f t="shared" si="143"/>
        <v>0</v>
      </c>
      <c r="L4601" s="27">
        <v>17848.68</v>
      </c>
      <c r="M4601" s="36">
        <v>1349.44</v>
      </c>
      <c r="T4601" s="41">
        <v>0</v>
      </c>
      <c r="U4601" s="41">
        <v>0</v>
      </c>
      <c r="V4601" s="42" t="s">
        <v>113</v>
      </c>
      <c r="W4601" s="42">
        <v>0</v>
      </c>
      <c r="X4601" s="42">
        <v>0</v>
      </c>
    </row>
    <row r="4602" spans="1:24">
      <c r="A4602" s="27" t="s">
        <v>8499</v>
      </c>
      <c r="B4602" s="28" t="s">
        <v>5102</v>
      </c>
      <c r="C4602" s="27" t="s">
        <v>8500</v>
      </c>
      <c r="D4602" s="27" t="s">
        <v>5104</v>
      </c>
      <c r="E4602" s="29">
        <v>40843</v>
      </c>
      <c r="F4602" s="27">
        <v>15</v>
      </c>
      <c r="G4602" s="18">
        <v>67140.44</v>
      </c>
      <c r="H4602" s="27">
        <f t="shared" si="142"/>
        <v>0</v>
      </c>
      <c r="I4602" s="18">
        <v>38876.35</v>
      </c>
      <c r="J4602" s="27">
        <v>67140.44</v>
      </c>
      <c r="K4602" s="18">
        <f t="shared" si="143"/>
        <v>0</v>
      </c>
      <c r="L4602" s="27">
        <v>42055.98</v>
      </c>
      <c r="M4602" s="36">
        <v>3179.63</v>
      </c>
      <c r="T4602" s="41">
        <v>0</v>
      </c>
      <c r="U4602" s="41">
        <v>0</v>
      </c>
      <c r="V4602" s="42" t="s">
        <v>113</v>
      </c>
      <c r="W4602" s="42">
        <v>0</v>
      </c>
      <c r="X4602" s="42">
        <v>0</v>
      </c>
    </row>
    <row r="4603" spans="1:24">
      <c r="A4603" s="27" t="s">
        <v>8501</v>
      </c>
      <c r="B4603" s="28" t="s">
        <v>5102</v>
      </c>
      <c r="C4603" s="27" t="s">
        <v>8500</v>
      </c>
      <c r="D4603" s="27" t="s">
        <v>5104</v>
      </c>
      <c r="E4603" s="29">
        <v>40843</v>
      </c>
      <c r="F4603" s="27">
        <v>15</v>
      </c>
      <c r="G4603" s="18">
        <v>47194.21</v>
      </c>
      <c r="H4603" s="27">
        <f t="shared" si="142"/>
        <v>0</v>
      </c>
      <c r="I4603" s="18">
        <v>27326.880000000001</v>
      </c>
      <c r="J4603" s="27">
        <v>47194.21</v>
      </c>
      <c r="K4603" s="18">
        <f t="shared" si="143"/>
        <v>0</v>
      </c>
      <c r="L4603" s="27">
        <v>29561.9</v>
      </c>
      <c r="M4603" s="36">
        <v>2235.02</v>
      </c>
      <c r="T4603" s="41">
        <v>0</v>
      </c>
      <c r="U4603" s="41">
        <v>0</v>
      </c>
      <c r="V4603" s="42" t="s">
        <v>113</v>
      </c>
      <c r="W4603" s="42">
        <v>0</v>
      </c>
      <c r="X4603" s="42">
        <v>0</v>
      </c>
    </row>
    <row r="4604" spans="1:24">
      <c r="A4604" s="27" t="s">
        <v>8502</v>
      </c>
      <c r="B4604" s="28" t="s">
        <v>5102</v>
      </c>
      <c r="C4604" s="27" t="s">
        <v>8503</v>
      </c>
      <c r="D4604" s="27" t="s">
        <v>5104</v>
      </c>
      <c r="E4604" s="29">
        <v>40843</v>
      </c>
      <c r="F4604" s="27">
        <v>15</v>
      </c>
      <c r="G4604" s="18">
        <v>26045.86</v>
      </c>
      <c r="H4604" s="27">
        <f t="shared" si="142"/>
        <v>0</v>
      </c>
      <c r="I4604" s="18">
        <v>15081.35</v>
      </c>
      <c r="J4604" s="27">
        <v>26045.86</v>
      </c>
      <c r="K4604" s="18">
        <f t="shared" si="143"/>
        <v>0</v>
      </c>
      <c r="L4604" s="27">
        <v>16314.82</v>
      </c>
      <c r="M4604" s="36">
        <v>1233.47</v>
      </c>
      <c r="T4604" s="41">
        <v>0</v>
      </c>
      <c r="U4604" s="41">
        <v>0</v>
      </c>
      <c r="V4604" s="42" t="s">
        <v>113</v>
      </c>
      <c r="W4604" s="42">
        <v>0</v>
      </c>
      <c r="X4604" s="42">
        <v>0</v>
      </c>
    </row>
    <row r="4605" spans="1:24">
      <c r="A4605" s="27" t="s">
        <v>8504</v>
      </c>
      <c r="B4605" s="28" t="s">
        <v>5102</v>
      </c>
      <c r="C4605" s="27" t="s">
        <v>8505</v>
      </c>
      <c r="D4605" s="27" t="s">
        <v>5104</v>
      </c>
      <c r="E4605" s="29">
        <v>40843</v>
      </c>
      <c r="F4605" s="27">
        <v>15</v>
      </c>
      <c r="G4605" s="18">
        <v>6634</v>
      </c>
      <c r="H4605" s="27">
        <f t="shared" si="142"/>
        <v>0</v>
      </c>
      <c r="I4605" s="18">
        <v>3841.29</v>
      </c>
      <c r="J4605" s="27">
        <v>6634</v>
      </c>
      <c r="K4605" s="18">
        <f t="shared" si="143"/>
        <v>0</v>
      </c>
      <c r="L4605" s="27">
        <v>4155.46</v>
      </c>
      <c r="M4605" s="36">
        <v>314.17</v>
      </c>
      <c r="T4605" s="41">
        <v>0</v>
      </c>
      <c r="U4605" s="41">
        <v>0</v>
      </c>
      <c r="V4605" s="42" t="s">
        <v>113</v>
      </c>
      <c r="W4605" s="42">
        <v>0</v>
      </c>
      <c r="X4605" s="42">
        <v>0</v>
      </c>
    </row>
    <row r="4606" spans="1:24">
      <c r="A4606" s="27" t="s">
        <v>8506</v>
      </c>
      <c r="B4606" s="28" t="s">
        <v>5102</v>
      </c>
      <c r="C4606" s="27" t="s">
        <v>8507</v>
      </c>
      <c r="D4606" s="27" t="s">
        <v>5104</v>
      </c>
      <c r="E4606" s="29">
        <v>40843</v>
      </c>
      <c r="F4606" s="27">
        <v>15</v>
      </c>
      <c r="G4606" s="18">
        <v>25144.74</v>
      </c>
      <c r="H4606" s="27">
        <f t="shared" si="142"/>
        <v>0</v>
      </c>
      <c r="I4606" s="18">
        <v>14559.56</v>
      </c>
      <c r="J4606" s="27">
        <v>25144.74</v>
      </c>
      <c r="K4606" s="18">
        <f t="shared" si="143"/>
        <v>0</v>
      </c>
      <c r="L4606" s="27">
        <v>15750.36</v>
      </c>
      <c r="M4606" s="36">
        <v>1190.8</v>
      </c>
      <c r="T4606" s="41">
        <v>0</v>
      </c>
      <c r="U4606" s="41">
        <v>0</v>
      </c>
      <c r="V4606" s="42" t="s">
        <v>113</v>
      </c>
      <c r="W4606" s="42">
        <v>0</v>
      </c>
      <c r="X4606" s="42">
        <v>0</v>
      </c>
    </row>
    <row r="4607" spans="1:24">
      <c r="A4607" s="27" t="s">
        <v>8508</v>
      </c>
      <c r="B4607" s="28" t="s">
        <v>5102</v>
      </c>
      <c r="C4607" s="27" t="s">
        <v>8509</v>
      </c>
      <c r="D4607" s="27" t="s">
        <v>5104</v>
      </c>
      <c r="E4607" s="29">
        <v>40843</v>
      </c>
      <c r="F4607" s="27">
        <v>15</v>
      </c>
      <c r="G4607" s="18">
        <v>20181.96</v>
      </c>
      <c r="H4607" s="27">
        <f t="shared" si="142"/>
        <v>0</v>
      </c>
      <c r="I4607" s="18">
        <v>11685.96</v>
      </c>
      <c r="J4607" s="27">
        <v>20181.96</v>
      </c>
      <c r="K4607" s="18">
        <f t="shared" si="143"/>
        <v>0</v>
      </c>
      <c r="L4607" s="27">
        <v>12641.73</v>
      </c>
      <c r="M4607" s="36">
        <v>955.77</v>
      </c>
      <c r="T4607" s="41">
        <v>0</v>
      </c>
      <c r="U4607" s="41">
        <v>0</v>
      </c>
      <c r="V4607" s="42" t="s">
        <v>113</v>
      </c>
      <c r="W4607" s="42">
        <v>0</v>
      </c>
      <c r="X4607" s="42">
        <v>0</v>
      </c>
    </row>
    <row r="4608" spans="1:24">
      <c r="A4608" s="27" t="s">
        <v>8510</v>
      </c>
      <c r="B4608" s="28" t="s">
        <v>5102</v>
      </c>
      <c r="C4608" s="27" t="s">
        <v>8509</v>
      </c>
      <c r="D4608" s="27" t="s">
        <v>5104</v>
      </c>
      <c r="E4608" s="29">
        <v>40843</v>
      </c>
      <c r="F4608" s="27">
        <v>15</v>
      </c>
      <c r="G4608" s="18">
        <v>7094.68</v>
      </c>
      <c r="H4608" s="27">
        <f t="shared" si="142"/>
        <v>0</v>
      </c>
      <c r="I4608" s="18">
        <v>4108.03</v>
      </c>
      <c r="J4608" s="27">
        <v>7094.68</v>
      </c>
      <c r="K4608" s="18">
        <f t="shared" si="143"/>
        <v>0</v>
      </c>
      <c r="L4608" s="27">
        <v>4444.0200000000004</v>
      </c>
      <c r="M4608" s="36">
        <v>335.99</v>
      </c>
      <c r="T4608" s="41">
        <v>0</v>
      </c>
      <c r="U4608" s="41">
        <v>0</v>
      </c>
      <c r="V4608" s="42" t="s">
        <v>113</v>
      </c>
      <c r="W4608" s="42">
        <v>0</v>
      </c>
      <c r="X4608" s="42">
        <v>0</v>
      </c>
    </row>
    <row r="4609" spans="1:24">
      <c r="A4609" s="27" t="s">
        <v>8511</v>
      </c>
      <c r="B4609" s="28" t="s">
        <v>5102</v>
      </c>
      <c r="C4609" s="27" t="s">
        <v>8512</v>
      </c>
      <c r="D4609" s="27" t="s">
        <v>5104</v>
      </c>
      <c r="E4609" s="29">
        <v>40843</v>
      </c>
      <c r="F4609" s="27">
        <v>15</v>
      </c>
      <c r="G4609" s="18">
        <v>16944.580000000002</v>
      </c>
      <c r="H4609" s="27">
        <f t="shared" si="142"/>
        <v>0</v>
      </c>
      <c r="I4609" s="18">
        <v>9811.42</v>
      </c>
      <c r="J4609" s="27">
        <v>16944.580000000002</v>
      </c>
      <c r="K4609" s="18">
        <f t="shared" si="143"/>
        <v>0</v>
      </c>
      <c r="L4609" s="27">
        <v>10613.88</v>
      </c>
      <c r="M4609" s="36">
        <v>802.46</v>
      </c>
      <c r="T4609" s="41">
        <v>0</v>
      </c>
      <c r="U4609" s="41">
        <v>0</v>
      </c>
      <c r="V4609" s="42" t="s">
        <v>113</v>
      </c>
      <c r="W4609" s="42">
        <v>0</v>
      </c>
      <c r="X4609" s="42">
        <v>0</v>
      </c>
    </row>
    <row r="4610" spans="1:24">
      <c r="A4610" s="27" t="s">
        <v>8513</v>
      </c>
      <c r="B4610" s="28" t="s">
        <v>5102</v>
      </c>
      <c r="C4610" s="27" t="s">
        <v>8514</v>
      </c>
      <c r="D4610" s="27" t="s">
        <v>5104</v>
      </c>
      <c r="E4610" s="29">
        <v>40843</v>
      </c>
      <c r="F4610" s="27">
        <v>15</v>
      </c>
      <c r="G4610" s="18">
        <v>44841.16</v>
      </c>
      <c r="H4610" s="27">
        <f t="shared" si="142"/>
        <v>0</v>
      </c>
      <c r="I4610" s="18">
        <v>25964.400000000001</v>
      </c>
      <c r="J4610" s="27">
        <v>44841.16</v>
      </c>
      <c r="K4610" s="18">
        <f t="shared" si="143"/>
        <v>0</v>
      </c>
      <c r="L4610" s="27">
        <v>28087.98</v>
      </c>
      <c r="M4610" s="36">
        <v>2123.58</v>
      </c>
      <c r="T4610" s="41">
        <v>0</v>
      </c>
      <c r="U4610" s="41">
        <v>0</v>
      </c>
      <c r="V4610" s="42" t="s">
        <v>113</v>
      </c>
      <c r="W4610" s="42">
        <v>0</v>
      </c>
      <c r="X4610" s="42">
        <v>0</v>
      </c>
    </row>
    <row r="4611" spans="1:24">
      <c r="A4611" s="27" t="s">
        <v>8515</v>
      </c>
      <c r="B4611" s="28" t="s">
        <v>5102</v>
      </c>
      <c r="C4611" s="27" t="s">
        <v>8514</v>
      </c>
      <c r="D4611" s="27" t="s">
        <v>5104</v>
      </c>
      <c r="E4611" s="29">
        <v>40843</v>
      </c>
      <c r="F4611" s="27">
        <v>15</v>
      </c>
      <c r="G4611" s="18">
        <v>16737.95</v>
      </c>
      <c r="H4611" s="27">
        <f t="shared" si="142"/>
        <v>0</v>
      </c>
      <c r="I4611" s="18">
        <v>9691.77</v>
      </c>
      <c r="J4611" s="27">
        <v>16737.95</v>
      </c>
      <c r="K4611" s="18">
        <f t="shared" si="143"/>
        <v>0</v>
      </c>
      <c r="L4611" s="27">
        <v>10484.44</v>
      </c>
      <c r="M4611" s="36">
        <v>792.67</v>
      </c>
      <c r="T4611" s="41">
        <v>0</v>
      </c>
      <c r="U4611" s="41">
        <v>0</v>
      </c>
      <c r="V4611" s="42" t="s">
        <v>113</v>
      </c>
      <c r="W4611" s="42">
        <v>0</v>
      </c>
      <c r="X4611" s="42">
        <v>0</v>
      </c>
    </row>
    <row r="4612" spans="1:24">
      <c r="A4612" s="27" t="s">
        <v>8516</v>
      </c>
      <c r="B4612" s="28" t="s">
        <v>5102</v>
      </c>
      <c r="C4612" s="27" t="s">
        <v>8517</v>
      </c>
      <c r="D4612" s="27" t="s">
        <v>5104</v>
      </c>
      <c r="E4612" s="29">
        <v>40843</v>
      </c>
      <c r="F4612" s="27">
        <v>15</v>
      </c>
      <c r="G4612" s="18">
        <v>74017.39</v>
      </c>
      <c r="H4612" s="27">
        <f t="shared" si="142"/>
        <v>0</v>
      </c>
      <c r="I4612" s="18">
        <v>42858.3</v>
      </c>
      <c r="J4612" s="27">
        <v>74017.39</v>
      </c>
      <c r="K4612" s="18">
        <f t="shared" si="143"/>
        <v>0</v>
      </c>
      <c r="L4612" s="27">
        <v>46363.6</v>
      </c>
      <c r="M4612" s="36">
        <v>3505.3</v>
      </c>
      <c r="T4612" s="41">
        <v>0</v>
      </c>
      <c r="U4612" s="41">
        <v>0</v>
      </c>
      <c r="V4612" s="42" t="s">
        <v>113</v>
      </c>
      <c r="W4612" s="42">
        <v>0</v>
      </c>
      <c r="X4612" s="42">
        <v>0</v>
      </c>
    </row>
    <row r="4613" spans="1:24">
      <c r="A4613" s="27" t="s">
        <v>8518</v>
      </c>
      <c r="B4613" s="28" t="s">
        <v>5102</v>
      </c>
      <c r="C4613" s="27" t="s">
        <v>8519</v>
      </c>
      <c r="D4613" s="27" t="s">
        <v>5104</v>
      </c>
      <c r="E4613" s="29">
        <v>40843</v>
      </c>
      <c r="F4613" s="27">
        <v>15</v>
      </c>
      <c r="G4613" s="18">
        <v>128907.4</v>
      </c>
      <c r="H4613" s="27">
        <f t="shared" si="142"/>
        <v>0</v>
      </c>
      <c r="I4613" s="18">
        <v>74641.289999999994</v>
      </c>
      <c r="J4613" s="27">
        <v>128907.4</v>
      </c>
      <c r="K4613" s="18">
        <f t="shared" si="143"/>
        <v>0</v>
      </c>
      <c r="L4613" s="27">
        <v>80746.070000000007</v>
      </c>
      <c r="M4613" s="36">
        <v>6104.78</v>
      </c>
      <c r="T4613" s="41">
        <v>0</v>
      </c>
      <c r="U4613" s="41">
        <v>0</v>
      </c>
      <c r="V4613" s="42" t="s">
        <v>113</v>
      </c>
      <c r="W4613" s="42">
        <v>0</v>
      </c>
      <c r="X4613" s="42">
        <v>0</v>
      </c>
    </row>
    <row r="4614" spans="1:24">
      <c r="A4614" s="27" t="s">
        <v>8520</v>
      </c>
      <c r="B4614" s="28" t="s">
        <v>5102</v>
      </c>
      <c r="C4614" s="27" t="s">
        <v>8521</v>
      </c>
      <c r="D4614" s="27" t="s">
        <v>5104</v>
      </c>
      <c r="E4614" s="29">
        <v>40843</v>
      </c>
      <c r="F4614" s="27">
        <v>15</v>
      </c>
      <c r="G4614" s="18">
        <v>30377.84</v>
      </c>
      <c r="H4614" s="27">
        <f t="shared" ref="H4614:H4677" si="144">IFERROR(IF(ROUND((G4614-I4614)/G4614,2)&lt;=0.05,G4614,0),0)</f>
        <v>0</v>
      </c>
      <c r="I4614" s="18">
        <v>17589.689999999999</v>
      </c>
      <c r="J4614" s="27">
        <v>30377.84</v>
      </c>
      <c r="K4614" s="18">
        <f t="shared" ref="K4614:K4677" si="145">IFERROR(IF(ROUND((J4614-L4614)/J4614,2)&lt;=0.05,J4614,0),0)</f>
        <v>0</v>
      </c>
      <c r="L4614" s="27">
        <v>19028.32</v>
      </c>
      <c r="M4614" s="36">
        <v>1438.63</v>
      </c>
      <c r="T4614" s="41">
        <v>0</v>
      </c>
      <c r="U4614" s="41">
        <v>0</v>
      </c>
      <c r="V4614" s="42" t="s">
        <v>113</v>
      </c>
      <c r="W4614" s="42">
        <v>0</v>
      </c>
      <c r="X4614" s="42">
        <v>0</v>
      </c>
    </row>
    <row r="4615" spans="1:24">
      <c r="A4615" s="27" t="s">
        <v>8522</v>
      </c>
      <c r="B4615" s="28" t="s">
        <v>5102</v>
      </c>
      <c r="C4615" s="27" t="s">
        <v>8521</v>
      </c>
      <c r="D4615" s="27" t="s">
        <v>5104</v>
      </c>
      <c r="E4615" s="29">
        <v>40843</v>
      </c>
      <c r="F4615" s="27">
        <v>15</v>
      </c>
      <c r="G4615" s="18">
        <v>9024.16</v>
      </c>
      <c r="H4615" s="27">
        <f t="shared" si="144"/>
        <v>0</v>
      </c>
      <c r="I4615" s="18">
        <v>5225.26</v>
      </c>
      <c r="J4615" s="27">
        <v>9024.16</v>
      </c>
      <c r="K4615" s="18">
        <f t="shared" si="145"/>
        <v>0</v>
      </c>
      <c r="L4615" s="27">
        <v>5652.62</v>
      </c>
      <c r="M4615" s="36">
        <v>427.36</v>
      </c>
      <c r="T4615" s="41">
        <v>0</v>
      </c>
      <c r="U4615" s="41">
        <v>0</v>
      </c>
      <c r="V4615" s="42" t="s">
        <v>113</v>
      </c>
      <c r="W4615" s="42">
        <v>0</v>
      </c>
      <c r="X4615" s="42">
        <v>0</v>
      </c>
    </row>
    <row r="4616" spans="1:24">
      <c r="A4616" s="27" t="s">
        <v>8523</v>
      </c>
      <c r="B4616" s="28" t="s">
        <v>5102</v>
      </c>
      <c r="C4616" s="27" t="s">
        <v>8524</v>
      </c>
      <c r="D4616" s="27" t="s">
        <v>5104</v>
      </c>
      <c r="E4616" s="29">
        <v>40843</v>
      </c>
      <c r="F4616" s="27">
        <v>15</v>
      </c>
      <c r="G4616" s="18">
        <v>33368.410000000003</v>
      </c>
      <c r="H4616" s="27">
        <f t="shared" si="144"/>
        <v>0</v>
      </c>
      <c r="I4616" s="18">
        <v>19321.32</v>
      </c>
      <c r="J4616" s="27">
        <v>33368.410000000003</v>
      </c>
      <c r="K4616" s="18">
        <f t="shared" si="145"/>
        <v>0</v>
      </c>
      <c r="L4616" s="27">
        <v>20901.580000000002</v>
      </c>
      <c r="M4616" s="36">
        <v>1580.26</v>
      </c>
      <c r="T4616" s="41">
        <v>0</v>
      </c>
      <c r="U4616" s="41">
        <v>0</v>
      </c>
      <c r="V4616" s="42" t="s">
        <v>113</v>
      </c>
      <c r="W4616" s="42">
        <v>0</v>
      </c>
      <c r="X4616" s="42">
        <v>0</v>
      </c>
    </row>
    <row r="4617" spans="1:24">
      <c r="A4617" s="27" t="s">
        <v>8525</v>
      </c>
      <c r="B4617" s="28" t="s">
        <v>5102</v>
      </c>
      <c r="C4617" s="27" t="s">
        <v>8526</v>
      </c>
      <c r="D4617" s="27" t="s">
        <v>5104</v>
      </c>
      <c r="E4617" s="29">
        <v>40843</v>
      </c>
      <c r="F4617" s="27">
        <v>15</v>
      </c>
      <c r="G4617" s="18">
        <v>9181.56</v>
      </c>
      <c r="H4617" s="27">
        <f t="shared" si="144"/>
        <v>0</v>
      </c>
      <c r="I4617" s="18">
        <v>5316.4</v>
      </c>
      <c r="J4617" s="27">
        <v>9181.56</v>
      </c>
      <c r="K4617" s="18">
        <f t="shared" si="145"/>
        <v>0</v>
      </c>
      <c r="L4617" s="27">
        <v>5751.22</v>
      </c>
      <c r="M4617" s="36">
        <v>434.82</v>
      </c>
      <c r="T4617" s="41">
        <v>0</v>
      </c>
      <c r="U4617" s="41">
        <v>0</v>
      </c>
      <c r="V4617" s="42" t="s">
        <v>113</v>
      </c>
      <c r="W4617" s="42">
        <v>0</v>
      </c>
      <c r="X4617" s="42">
        <v>0</v>
      </c>
    </row>
    <row r="4618" spans="1:24">
      <c r="A4618" s="27" t="s">
        <v>8527</v>
      </c>
      <c r="B4618" s="28" t="s">
        <v>5102</v>
      </c>
      <c r="C4618" s="27" t="s">
        <v>8528</v>
      </c>
      <c r="D4618" s="27" t="s">
        <v>5104</v>
      </c>
      <c r="E4618" s="29">
        <v>40843</v>
      </c>
      <c r="F4618" s="27">
        <v>15</v>
      </c>
      <c r="G4618" s="18">
        <v>66474.48</v>
      </c>
      <c r="H4618" s="27">
        <f t="shared" si="144"/>
        <v>0</v>
      </c>
      <c r="I4618" s="18">
        <v>38490.74</v>
      </c>
      <c r="J4618" s="27">
        <v>66474.48</v>
      </c>
      <c r="K4618" s="18">
        <f t="shared" si="145"/>
        <v>0</v>
      </c>
      <c r="L4618" s="27">
        <v>41638.83</v>
      </c>
      <c r="M4618" s="36">
        <v>3148.09</v>
      </c>
      <c r="T4618" s="41">
        <v>0</v>
      </c>
      <c r="U4618" s="41">
        <v>0</v>
      </c>
      <c r="V4618" s="42" t="s">
        <v>113</v>
      </c>
      <c r="W4618" s="42">
        <v>0</v>
      </c>
      <c r="X4618" s="42">
        <v>0</v>
      </c>
    </row>
    <row r="4619" spans="1:24">
      <c r="A4619" s="27" t="s">
        <v>8529</v>
      </c>
      <c r="B4619" s="28" t="s">
        <v>5102</v>
      </c>
      <c r="C4619" s="27" t="s">
        <v>8528</v>
      </c>
      <c r="D4619" s="27" t="s">
        <v>5104</v>
      </c>
      <c r="E4619" s="29">
        <v>40843</v>
      </c>
      <c r="F4619" s="27">
        <v>15</v>
      </c>
      <c r="G4619" s="18">
        <v>12591.86</v>
      </c>
      <c r="H4619" s="27">
        <f t="shared" si="144"/>
        <v>0</v>
      </c>
      <c r="I4619" s="18">
        <v>7291.06</v>
      </c>
      <c r="J4619" s="27">
        <v>12591.86</v>
      </c>
      <c r="K4619" s="18">
        <f t="shared" si="145"/>
        <v>0</v>
      </c>
      <c r="L4619" s="27">
        <v>7887.38</v>
      </c>
      <c r="M4619" s="36">
        <v>596.32000000000005</v>
      </c>
      <c r="T4619" s="41">
        <v>0</v>
      </c>
      <c r="U4619" s="41">
        <v>0</v>
      </c>
      <c r="V4619" s="42" t="s">
        <v>113</v>
      </c>
      <c r="W4619" s="42">
        <v>0</v>
      </c>
      <c r="X4619" s="42">
        <v>0</v>
      </c>
    </row>
    <row r="4620" spans="1:24">
      <c r="A4620" s="27" t="s">
        <v>8530</v>
      </c>
      <c r="B4620" s="28" t="s">
        <v>5102</v>
      </c>
      <c r="C4620" s="27" t="s">
        <v>8531</v>
      </c>
      <c r="D4620" s="27" t="s">
        <v>5104</v>
      </c>
      <c r="E4620" s="29">
        <v>40843</v>
      </c>
      <c r="F4620" s="27">
        <v>15</v>
      </c>
      <c r="G4620" s="18">
        <v>9755.64</v>
      </c>
      <c r="H4620" s="27">
        <f t="shared" si="144"/>
        <v>0</v>
      </c>
      <c r="I4620" s="18">
        <v>5648.82</v>
      </c>
      <c r="J4620" s="27">
        <v>9755.64</v>
      </c>
      <c r="K4620" s="18">
        <f t="shared" si="145"/>
        <v>0</v>
      </c>
      <c r="L4620" s="27">
        <v>6110.83</v>
      </c>
      <c r="M4620" s="36">
        <v>462.01</v>
      </c>
      <c r="T4620" s="41">
        <v>0</v>
      </c>
      <c r="U4620" s="41">
        <v>0</v>
      </c>
      <c r="V4620" s="42" t="s">
        <v>113</v>
      </c>
      <c r="W4620" s="42">
        <v>0</v>
      </c>
      <c r="X4620" s="42">
        <v>0</v>
      </c>
    </row>
    <row r="4621" spans="1:24">
      <c r="A4621" s="27" t="s">
        <v>8532</v>
      </c>
      <c r="B4621" s="28" t="s">
        <v>5102</v>
      </c>
      <c r="C4621" s="27" t="s">
        <v>8533</v>
      </c>
      <c r="D4621" s="27" t="s">
        <v>5104</v>
      </c>
      <c r="E4621" s="29">
        <v>40843</v>
      </c>
      <c r="F4621" s="27">
        <v>15</v>
      </c>
      <c r="G4621" s="18">
        <v>14816.21</v>
      </c>
      <c r="H4621" s="27">
        <f t="shared" si="144"/>
        <v>0</v>
      </c>
      <c r="I4621" s="18">
        <v>8579.0300000000007</v>
      </c>
      <c r="J4621" s="27">
        <v>14816.21</v>
      </c>
      <c r="K4621" s="18">
        <f t="shared" si="145"/>
        <v>0</v>
      </c>
      <c r="L4621" s="27">
        <v>9280.69</v>
      </c>
      <c r="M4621" s="36">
        <v>701.66</v>
      </c>
      <c r="T4621" s="41">
        <v>0</v>
      </c>
      <c r="U4621" s="41">
        <v>0</v>
      </c>
      <c r="V4621" s="42" t="s">
        <v>113</v>
      </c>
      <c r="W4621" s="42">
        <v>0</v>
      </c>
      <c r="X4621" s="42">
        <v>0</v>
      </c>
    </row>
    <row r="4622" spans="1:24">
      <c r="A4622" s="27" t="s">
        <v>8534</v>
      </c>
      <c r="B4622" s="28" t="s">
        <v>5102</v>
      </c>
      <c r="C4622" s="27" t="s">
        <v>8535</v>
      </c>
      <c r="D4622" s="27" t="s">
        <v>5104</v>
      </c>
      <c r="E4622" s="29">
        <v>40843</v>
      </c>
      <c r="F4622" s="27">
        <v>15</v>
      </c>
      <c r="G4622" s="18">
        <v>19087.169999999998</v>
      </c>
      <c r="H4622" s="27">
        <f t="shared" si="144"/>
        <v>0</v>
      </c>
      <c r="I4622" s="18">
        <v>11052.04</v>
      </c>
      <c r="J4622" s="27">
        <v>19087.169999999998</v>
      </c>
      <c r="K4622" s="18">
        <f t="shared" si="145"/>
        <v>0</v>
      </c>
      <c r="L4622" s="27">
        <v>11955.97</v>
      </c>
      <c r="M4622" s="36">
        <v>903.93</v>
      </c>
      <c r="T4622" s="41">
        <v>0</v>
      </c>
      <c r="U4622" s="41">
        <v>0</v>
      </c>
      <c r="V4622" s="42" t="s">
        <v>113</v>
      </c>
      <c r="W4622" s="42">
        <v>0</v>
      </c>
      <c r="X4622" s="42">
        <v>0</v>
      </c>
    </row>
    <row r="4623" spans="1:24">
      <c r="A4623" s="27" t="s">
        <v>8536</v>
      </c>
      <c r="B4623" s="28" t="s">
        <v>5102</v>
      </c>
      <c r="C4623" s="27" t="s">
        <v>8537</v>
      </c>
      <c r="D4623" s="27" t="s">
        <v>5104</v>
      </c>
      <c r="E4623" s="29">
        <v>40843</v>
      </c>
      <c r="F4623" s="27">
        <v>15</v>
      </c>
      <c r="G4623" s="18">
        <v>37503.550000000003</v>
      </c>
      <c r="H4623" s="27">
        <f t="shared" si="144"/>
        <v>0</v>
      </c>
      <c r="I4623" s="18">
        <v>21715.68</v>
      </c>
      <c r="J4623" s="27">
        <v>37503.550000000003</v>
      </c>
      <c r="K4623" s="18">
        <f t="shared" si="145"/>
        <v>0</v>
      </c>
      <c r="L4623" s="27">
        <v>23491.77</v>
      </c>
      <c r="M4623" s="36">
        <v>1776.09</v>
      </c>
      <c r="T4623" s="41">
        <v>0</v>
      </c>
      <c r="U4623" s="41">
        <v>0</v>
      </c>
      <c r="V4623" s="42" t="s">
        <v>113</v>
      </c>
      <c r="W4623" s="42">
        <v>0</v>
      </c>
      <c r="X4623" s="42">
        <v>0</v>
      </c>
    </row>
    <row r="4624" spans="1:24">
      <c r="A4624" s="27" t="s">
        <v>8538</v>
      </c>
      <c r="B4624" s="28" t="s">
        <v>5102</v>
      </c>
      <c r="C4624" s="27" t="s">
        <v>8539</v>
      </c>
      <c r="D4624" s="27" t="s">
        <v>5104</v>
      </c>
      <c r="E4624" s="29">
        <v>40843</v>
      </c>
      <c r="F4624" s="27">
        <v>15</v>
      </c>
      <c r="G4624" s="18">
        <v>38540.230000000003</v>
      </c>
      <c r="H4624" s="27">
        <f t="shared" si="144"/>
        <v>0</v>
      </c>
      <c r="I4624" s="18">
        <v>22315.97</v>
      </c>
      <c r="J4624" s="27">
        <v>38540.230000000003</v>
      </c>
      <c r="K4624" s="18">
        <f t="shared" si="145"/>
        <v>0</v>
      </c>
      <c r="L4624" s="27">
        <v>24141.15</v>
      </c>
      <c r="M4624" s="36">
        <v>1825.18</v>
      </c>
      <c r="T4624" s="41">
        <v>0</v>
      </c>
      <c r="U4624" s="41">
        <v>0</v>
      </c>
      <c r="V4624" s="42" t="s">
        <v>113</v>
      </c>
      <c r="W4624" s="42">
        <v>0</v>
      </c>
      <c r="X4624" s="42">
        <v>0</v>
      </c>
    </row>
    <row r="4625" spans="1:24">
      <c r="A4625" s="27" t="s">
        <v>8540</v>
      </c>
      <c r="B4625" s="28" t="s">
        <v>5102</v>
      </c>
      <c r="C4625" s="27" t="s">
        <v>8541</v>
      </c>
      <c r="D4625" s="27" t="s">
        <v>5104</v>
      </c>
      <c r="E4625" s="29">
        <v>40843</v>
      </c>
      <c r="F4625" s="27">
        <v>15</v>
      </c>
      <c r="G4625" s="18">
        <v>39332.99</v>
      </c>
      <c r="H4625" s="27">
        <f t="shared" si="144"/>
        <v>0</v>
      </c>
      <c r="I4625" s="18">
        <v>22774.99</v>
      </c>
      <c r="J4625" s="27">
        <v>39332.99</v>
      </c>
      <c r="K4625" s="18">
        <f t="shared" si="145"/>
        <v>0</v>
      </c>
      <c r="L4625" s="27">
        <v>24637.72</v>
      </c>
      <c r="M4625" s="36">
        <v>1862.73</v>
      </c>
      <c r="T4625" s="41">
        <v>0</v>
      </c>
      <c r="U4625" s="41">
        <v>0</v>
      </c>
      <c r="V4625" s="42" t="s">
        <v>113</v>
      </c>
      <c r="W4625" s="42">
        <v>0</v>
      </c>
      <c r="X4625" s="42">
        <v>0</v>
      </c>
    </row>
    <row r="4626" spans="1:24">
      <c r="A4626" s="27" t="s">
        <v>8542</v>
      </c>
      <c r="B4626" s="28" t="s">
        <v>5102</v>
      </c>
      <c r="C4626" s="27" t="s">
        <v>8543</v>
      </c>
      <c r="D4626" s="27" t="s">
        <v>5104</v>
      </c>
      <c r="E4626" s="29">
        <v>40843</v>
      </c>
      <c r="F4626" s="27">
        <v>15</v>
      </c>
      <c r="G4626" s="18">
        <v>24880.400000000001</v>
      </c>
      <c r="H4626" s="27">
        <f t="shared" si="144"/>
        <v>0</v>
      </c>
      <c r="I4626" s="18">
        <v>14406.51</v>
      </c>
      <c r="J4626" s="27">
        <v>24880.400000000001</v>
      </c>
      <c r="K4626" s="18">
        <f t="shared" si="145"/>
        <v>0</v>
      </c>
      <c r="L4626" s="27">
        <v>15584.79</v>
      </c>
      <c r="M4626" s="36">
        <v>1178.28</v>
      </c>
      <c r="T4626" s="41">
        <v>0</v>
      </c>
      <c r="U4626" s="41">
        <v>0</v>
      </c>
      <c r="V4626" s="42" t="s">
        <v>113</v>
      </c>
      <c r="W4626" s="42">
        <v>0</v>
      </c>
      <c r="X4626" s="42">
        <v>0</v>
      </c>
    </row>
    <row r="4627" spans="1:24">
      <c r="A4627" s="27" t="s">
        <v>8544</v>
      </c>
      <c r="B4627" s="28" t="s">
        <v>5102</v>
      </c>
      <c r="C4627" s="27" t="s">
        <v>8545</v>
      </c>
      <c r="D4627" s="27" t="s">
        <v>5104</v>
      </c>
      <c r="E4627" s="29">
        <v>40843</v>
      </c>
      <c r="F4627" s="27">
        <v>15</v>
      </c>
      <c r="G4627" s="18">
        <v>27685.55</v>
      </c>
      <c r="H4627" s="27">
        <f t="shared" si="144"/>
        <v>0</v>
      </c>
      <c r="I4627" s="18">
        <v>16030.76</v>
      </c>
      <c r="J4627" s="27">
        <v>27685.55</v>
      </c>
      <c r="K4627" s="18">
        <f t="shared" si="145"/>
        <v>0</v>
      </c>
      <c r="L4627" s="27">
        <v>17341.89</v>
      </c>
      <c r="M4627" s="36">
        <v>1311.13</v>
      </c>
      <c r="T4627" s="41">
        <v>0</v>
      </c>
      <c r="U4627" s="41">
        <v>0</v>
      </c>
      <c r="V4627" s="42" t="s">
        <v>113</v>
      </c>
      <c r="W4627" s="42">
        <v>0</v>
      </c>
      <c r="X4627" s="42">
        <v>0</v>
      </c>
    </row>
    <row r="4628" spans="1:24">
      <c r="A4628" s="27" t="s">
        <v>8546</v>
      </c>
      <c r="B4628" s="28" t="s">
        <v>5102</v>
      </c>
      <c r="C4628" s="27" t="s">
        <v>8547</v>
      </c>
      <c r="D4628" s="27" t="s">
        <v>5104</v>
      </c>
      <c r="E4628" s="29">
        <v>40843</v>
      </c>
      <c r="F4628" s="27">
        <v>15</v>
      </c>
      <c r="G4628" s="18">
        <v>21560.92</v>
      </c>
      <c r="H4628" s="27">
        <f t="shared" si="144"/>
        <v>0</v>
      </c>
      <c r="I4628" s="18">
        <v>12484.42</v>
      </c>
      <c r="J4628" s="27">
        <v>21560.92</v>
      </c>
      <c r="K4628" s="18">
        <f t="shared" si="145"/>
        <v>0</v>
      </c>
      <c r="L4628" s="27">
        <v>13505.5</v>
      </c>
      <c r="M4628" s="36">
        <v>1021.08</v>
      </c>
      <c r="T4628" s="41">
        <v>0</v>
      </c>
      <c r="U4628" s="41">
        <v>0</v>
      </c>
      <c r="V4628" s="42" t="s">
        <v>113</v>
      </c>
      <c r="W4628" s="42">
        <v>0</v>
      </c>
      <c r="X4628" s="42">
        <v>0</v>
      </c>
    </row>
    <row r="4629" spans="1:24">
      <c r="A4629" s="27" t="s">
        <v>8548</v>
      </c>
      <c r="B4629" s="28" t="s">
        <v>5102</v>
      </c>
      <c r="C4629" s="27" t="s">
        <v>8549</v>
      </c>
      <c r="D4629" s="27" t="s">
        <v>5104</v>
      </c>
      <c r="E4629" s="29">
        <v>40843</v>
      </c>
      <c r="F4629" s="27">
        <v>15</v>
      </c>
      <c r="G4629" s="18">
        <v>14645.15</v>
      </c>
      <c r="H4629" s="27">
        <f t="shared" si="144"/>
        <v>0</v>
      </c>
      <c r="I4629" s="18">
        <v>8479.9699999999993</v>
      </c>
      <c r="J4629" s="27">
        <v>14645.15</v>
      </c>
      <c r="K4629" s="18">
        <f t="shared" si="145"/>
        <v>0</v>
      </c>
      <c r="L4629" s="27">
        <v>9173.5300000000007</v>
      </c>
      <c r="M4629" s="36">
        <v>693.56</v>
      </c>
      <c r="T4629" s="41">
        <v>0</v>
      </c>
      <c r="U4629" s="41">
        <v>0</v>
      </c>
      <c r="V4629" s="42" t="s">
        <v>113</v>
      </c>
      <c r="W4629" s="42">
        <v>0</v>
      </c>
      <c r="X4629" s="42">
        <v>0</v>
      </c>
    </row>
    <row r="4630" spans="1:24">
      <c r="A4630" s="27" t="s">
        <v>8550</v>
      </c>
      <c r="B4630" s="28" t="s">
        <v>5102</v>
      </c>
      <c r="C4630" s="27" t="s">
        <v>8551</v>
      </c>
      <c r="D4630" s="27" t="s">
        <v>5104</v>
      </c>
      <c r="E4630" s="29">
        <v>40843</v>
      </c>
      <c r="F4630" s="27">
        <v>15</v>
      </c>
      <c r="G4630" s="18">
        <v>37996.03</v>
      </c>
      <c r="H4630" s="27">
        <f t="shared" si="144"/>
        <v>0</v>
      </c>
      <c r="I4630" s="18">
        <v>22000.84</v>
      </c>
      <c r="J4630" s="27">
        <v>37996.03</v>
      </c>
      <c r="K4630" s="18">
        <f t="shared" si="145"/>
        <v>0</v>
      </c>
      <c r="L4630" s="27">
        <v>23800.25</v>
      </c>
      <c r="M4630" s="36">
        <v>1799.41</v>
      </c>
      <c r="T4630" s="41">
        <v>0</v>
      </c>
      <c r="U4630" s="41">
        <v>0</v>
      </c>
      <c r="V4630" s="42" t="s">
        <v>113</v>
      </c>
      <c r="W4630" s="42">
        <v>0</v>
      </c>
      <c r="X4630" s="42">
        <v>0</v>
      </c>
    </row>
    <row r="4631" spans="1:24">
      <c r="A4631" s="27" t="s">
        <v>8552</v>
      </c>
      <c r="B4631" s="28" t="s">
        <v>5102</v>
      </c>
      <c r="C4631" s="27" t="s">
        <v>8553</v>
      </c>
      <c r="D4631" s="27" t="s">
        <v>5104</v>
      </c>
      <c r="E4631" s="29">
        <v>40843</v>
      </c>
      <c r="F4631" s="27">
        <v>15</v>
      </c>
      <c r="G4631" s="18">
        <v>29371.67</v>
      </c>
      <c r="H4631" s="27">
        <f t="shared" si="144"/>
        <v>0</v>
      </c>
      <c r="I4631" s="18">
        <v>17007.080000000002</v>
      </c>
      <c r="J4631" s="27">
        <v>29371.67</v>
      </c>
      <c r="K4631" s="18">
        <f t="shared" si="145"/>
        <v>0</v>
      </c>
      <c r="L4631" s="27">
        <v>18398.060000000001</v>
      </c>
      <c r="M4631" s="36">
        <v>1390.98</v>
      </c>
      <c r="T4631" s="41">
        <v>0</v>
      </c>
      <c r="U4631" s="41">
        <v>0</v>
      </c>
      <c r="V4631" s="42" t="s">
        <v>113</v>
      </c>
      <c r="W4631" s="42">
        <v>0</v>
      </c>
      <c r="X4631" s="42">
        <v>0</v>
      </c>
    </row>
    <row r="4632" spans="1:24">
      <c r="A4632" s="27" t="s">
        <v>8554</v>
      </c>
      <c r="B4632" s="28" t="s">
        <v>5102</v>
      </c>
      <c r="C4632" s="27" t="s">
        <v>8555</v>
      </c>
      <c r="D4632" s="27" t="s">
        <v>5104</v>
      </c>
      <c r="E4632" s="29">
        <v>40843</v>
      </c>
      <c r="F4632" s="27">
        <v>15</v>
      </c>
      <c r="G4632" s="18">
        <v>106146.94</v>
      </c>
      <c r="H4632" s="27">
        <f t="shared" si="144"/>
        <v>0</v>
      </c>
      <c r="I4632" s="18">
        <v>61462.29</v>
      </c>
      <c r="J4632" s="27">
        <v>106146.94</v>
      </c>
      <c r="K4632" s="18">
        <f t="shared" si="145"/>
        <v>0</v>
      </c>
      <c r="L4632" s="27">
        <v>66489.179999999993</v>
      </c>
      <c r="M4632" s="36">
        <v>5026.8900000000003</v>
      </c>
      <c r="T4632" s="41">
        <v>0</v>
      </c>
      <c r="U4632" s="41">
        <v>0</v>
      </c>
      <c r="V4632" s="42" t="s">
        <v>113</v>
      </c>
      <c r="W4632" s="42">
        <v>0</v>
      </c>
      <c r="X4632" s="42">
        <v>0</v>
      </c>
    </row>
    <row r="4633" spans="1:24">
      <c r="A4633" s="27" t="s">
        <v>8556</v>
      </c>
      <c r="B4633" s="28" t="s">
        <v>5102</v>
      </c>
      <c r="C4633" s="27" t="s">
        <v>8557</v>
      </c>
      <c r="D4633" s="27" t="s">
        <v>5104</v>
      </c>
      <c r="E4633" s="29">
        <v>40843</v>
      </c>
      <c r="F4633" s="27">
        <v>15</v>
      </c>
      <c r="G4633" s="18">
        <v>166674.91</v>
      </c>
      <c r="H4633" s="27">
        <f t="shared" si="144"/>
        <v>0</v>
      </c>
      <c r="I4633" s="18">
        <v>96509.81</v>
      </c>
      <c r="J4633" s="27">
        <v>166674.91</v>
      </c>
      <c r="K4633" s="18">
        <f t="shared" si="145"/>
        <v>0</v>
      </c>
      <c r="L4633" s="27">
        <v>104403.17</v>
      </c>
      <c r="M4633" s="36">
        <v>7893.36</v>
      </c>
      <c r="T4633" s="41">
        <v>0</v>
      </c>
      <c r="U4633" s="41">
        <v>0</v>
      </c>
      <c r="V4633" s="42" t="s">
        <v>113</v>
      </c>
      <c r="W4633" s="42">
        <v>0</v>
      </c>
      <c r="X4633" s="42">
        <v>0</v>
      </c>
    </row>
    <row r="4634" spans="1:24">
      <c r="A4634" s="27" t="s">
        <v>8558</v>
      </c>
      <c r="B4634" s="28" t="s">
        <v>5102</v>
      </c>
      <c r="C4634" s="27" t="s">
        <v>8557</v>
      </c>
      <c r="D4634" s="27" t="s">
        <v>5104</v>
      </c>
      <c r="E4634" s="29">
        <v>40843</v>
      </c>
      <c r="F4634" s="27">
        <v>15</v>
      </c>
      <c r="G4634" s="18">
        <v>46001.26</v>
      </c>
      <c r="H4634" s="27">
        <f t="shared" si="144"/>
        <v>0</v>
      </c>
      <c r="I4634" s="18">
        <v>26636.12</v>
      </c>
      <c r="J4634" s="27">
        <v>46001.26</v>
      </c>
      <c r="K4634" s="18">
        <f t="shared" si="145"/>
        <v>0</v>
      </c>
      <c r="L4634" s="27">
        <v>28814.639999999999</v>
      </c>
      <c r="M4634" s="36">
        <v>2178.52</v>
      </c>
      <c r="T4634" s="41">
        <v>0</v>
      </c>
      <c r="U4634" s="41">
        <v>0</v>
      </c>
      <c r="V4634" s="42" t="s">
        <v>113</v>
      </c>
      <c r="W4634" s="42">
        <v>0</v>
      </c>
      <c r="X4634" s="42">
        <v>0</v>
      </c>
    </row>
    <row r="4635" spans="1:24">
      <c r="A4635" s="27" t="s">
        <v>8559</v>
      </c>
      <c r="B4635" s="28" t="s">
        <v>5102</v>
      </c>
      <c r="C4635" s="27" t="s">
        <v>8560</v>
      </c>
      <c r="D4635" s="27" t="s">
        <v>5104</v>
      </c>
      <c r="E4635" s="29">
        <v>40843</v>
      </c>
      <c r="F4635" s="27">
        <v>15</v>
      </c>
      <c r="G4635" s="18">
        <v>75309.539999999994</v>
      </c>
      <c r="H4635" s="27">
        <f t="shared" si="144"/>
        <v>0</v>
      </c>
      <c r="I4635" s="18">
        <v>43606.51</v>
      </c>
      <c r="J4635" s="27">
        <v>75309.539999999994</v>
      </c>
      <c r="K4635" s="18">
        <f t="shared" si="145"/>
        <v>0</v>
      </c>
      <c r="L4635" s="27">
        <v>47173.01</v>
      </c>
      <c r="M4635" s="36">
        <v>3566.5</v>
      </c>
      <c r="T4635" s="41">
        <v>0</v>
      </c>
      <c r="U4635" s="41">
        <v>0</v>
      </c>
      <c r="V4635" s="42" t="s">
        <v>113</v>
      </c>
      <c r="W4635" s="42">
        <v>0</v>
      </c>
      <c r="X4635" s="42">
        <v>0</v>
      </c>
    </row>
    <row r="4636" spans="1:24">
      <c r="A4636" s="27" t="s">
        <v>8561</v>
      </c>
      <c r="B4636" s="28" t="s">
        <v>5102</v>
      </c>
      <c r="C4636" s="27" t="s">
        <v>8562</v>
      </c>
      <c r="D4636" s="27" t="s">
        <v>5104</v>
      </c>
      <c r="E4636" s="29">
        <v>40843</v>
      </c>
      <c r="F4636" s="27">
        <v>15</v>
      </c>
      <c r="G4636" s="18">
        <v>124878.76</v>
      </c>
      <c r="H4636" s="27">
        <f t="shared" si="144"/>
        <v>0</v>
      </c>
      <c r="I4636" s="18">
        <v>72308.58</v>
      </c>
      <c r="J4636" s="27">
        <v>124878.76</v>
      </c>
      <c r="K4636" s="18">
        <f t="shared" si="145"/>
        <v>0</v>
      </c>
      <c r="L4636" s="27">
        <v>78222.570000000007</v>
      </c>
      <c r="M4636" s="36">
        <v>5913.99</v>
      </c>
      <c r="T4636" s="41">
        <v>0</v>
      </c>
      <c r="U4636" s="41">
        <v>0</v>
      </c>
      <c r="V4636" s="42" t="s">
        <v>113</v>
      </c>
      <c r="W4636" s="42">
        <v>0</v>
      </c>
      <c r="X4636" s="42">
        <v>0</v>
      </c>
    </row>
    <row r="4637" spans="1:24">
      <c r="A4637" s="27" t="s">
        <v>8563</v>
      </c>
      <c r="B4637" s="28" t="s">
        <v>5102</v>
      </c>
      <c r="C4637" s="27" t="s">
        <v>8562</v>
      </c>
      <c r="D4637" s="27" t="s">
        <v>5104</v>
      </c>
      <c r="E4637" s="29">
        <v>40843</v>
      </c>
      <c r="F4637" s="27">
        <v>15</v>
      </c>
      <c r="G4637" s="18">
        <v>79004.929999999993</v>
      </c>
      <c r="H4637" s="27">
        <f t="shared" si="144"/>
        <v>0</v>
      </c>
      <c r="I4637" s="18">
        <v>45746.23</v>
      </c>
      <c r="J4637" s="27">
        <v>79004.929999999993</v>
      </c>
      <c r="K4637" s="18">
        <f t="shared" si="145"/>
        <v>0</v>
      </c>
      <c r="L4637" s="27">
        <v>49487.73</v>
      </c>
      <c r="M4637" s="36">
        <v>3741.5</v>
      </c>
      <c r="T4637" s="41">
        <v>0</v>
      </c>
      <c r="U4637" s="41">
        <v>0</v>
      </c>
      <c r="V4637" s="42" t="s">
        <v>113</v>
      </c>
      <c r="W4637" s="42">
        <v>0</v>
      </c>
      <c r="X4637" s="42">
        <v>0</v>
      </c>
    </row>
    <row r="4638" spans="1:24">
      <c r="A4638" s="27" t="s">
        <v>8564</v>
      </c>
      <c r="B4638" s="28" t="s">
        <v>5102</v>
      </c>
      <c r="C4638" s="27" t="s">
        <v>8565</v>
      </c>
      <c r="D4638" s="27" t="s">
        <v>5104</v>
      </c>
      <c r="E4638" s="29">
        <v>40843</v>
      </c>
      <c r="F4638" s="27">
        <v>15</v>
      </c>
      <c r="G4638" s="18">
        <v>154314.46</v>
      </c>
      <c r="H4638" s="27">
        <f t="shared" si="144"/>
        <v>0</v>
      </c>
      <c r="I4638" s="18">
        <v>89352.73</v>
      </c>
      <c r="J4638" s="27">
        <v>154314.46</v>
      </c>
      <c r="K4638" s="18">
        <f t="shared" si="145"/>
        <v>0</v>
      </c>
      <c r="L4638" s="27">
        <v>96660.73</v>
      </c>
      <c r="M4638" s="36">
        <v>7308</v>
      </c>
      <c r="T4638" s="41">
        <v>0</v>
      </c>
      <c r="U4638" s="41">
        <v>0</v>
      </c>
      <c r="V4638" s="42" t="s">
        <v>113</v>
      </c>
      <c r="W4638" s="42">
        <v>0</v>
      </c>
      <c r="X4638" s="42">
        <v>0</v>
      </c>
    </row>
    <row r="4639" spans="1:24">
      <c r="A4639" s="27" t="s">
        <v>8566</v>
      </c>
      <c r="B4639" s="28" t="s">
        <v>5102</v>
      </c>
      <c r="C4639" s="27" t="s">
        <v>8565</v>
      </c>
      <c r="D4639" s="27" t="s">
        <v>5104</v>
      </c>
      <c r="E4639" s="29">
        <v>40843</v>
      </c>
      <c r="F4639" s="27">
        <v>15</v>
      </c>
      <c r="G4639" s="18">
        <v>84229.45</v>
      </c>
      <c r="H4639" s="27">
        <f t="shared" si="144"/>
        <v>0</v>
      </c>
      <c r="I4639" s="18">
        <v>48771.39</v>
      </c>
      <c r="J4639" s="27">
        <v>84229.45</v>
      </c>
      <c r="K4639" s="18">
        <f t="shared" si="145"/>
        <v>0</v>
      </c>
      <c r="L4639" s="27">
        <v>52760.32</v>
      </c>
      <c r="M4639" s="36">
        <v>3988.93</v>
      </c>
      <c r="T4639" s="41">
        <v>0</v>
      </c>
      <c r="U4639" s="41">
        <v>0</v>
      </c>
      <c r="V4639" s="42" t="s">
        <v>113</v>
      </c>
      <c r="W4639" s="42">
        <v>0</v>
      </c>
      <c r="X4639" s="42">
        <v>0</v>
      </c>
    </row>
    <row r="4640" spans="1:24">
      <c r="A4640" s="27" t="s">
        <v>8567</v>
      </c>
      <c r="B4640" s="28" t="s">
        <v>5102</v>
      </c>
      <c r="C4640" s="27" t="s">
        <v>8568</v>
      </c>
      <c r="D4640" s="27" t="s">
        <v>5104</v>
      </c>
      <c r="E4640" s="29">
        <v>40843</v>
      </c>
      <c r="F4640" s="27">
        <v>15</v>
      </c>
      <c r="G4640" s="18">
        <v>87032.85</v>
      </c>
      <c r="H4640" s="27">
        <f t="shared" si="144"/>
        <v>0</v>
      </c>
      <c r="I4640" s="18">
        <v>50394.65</v>
      </c>
      <c r="J4640" s="27">
        <v>87032.85</v>
      </c>
      <c r="K4640" s="18">
        <f t="shared" si="145"/>
        <v>0</v>
      </c>
      <c r="L4640" s="27">
        <v>54516.34</v>
      </c>
      <c r="M4640" s="36">
        <v>4121.6899999999996</v>
      </c>
      <c r="T4640" s="41">
        <v>0</v>
      </c>
      <c r="U4640" s="41">
        <v>0</v>
      </c>
      <c r="V4640" s="42" t="s">
        <v>113</v>
      </c>
      <c r="W4640" s="42">
        <v>0</v>
      </c>
      <c r="X4640" s="42">
        <v>0</v>
      </c>
    </row>
    <row r="4641" spans="1:24">
      <c r="A4641" s="27" t="s">
        <v>8569</v>
      </c>
      <c r="B4641" s="28" t="s">
        <v>5102</v>
      </c>
      <c r="C4641" s="27" t="s">
        <v>8570</v>
      </c>
      <c r="D4641" s="27" t="s">
        <v>5104</v>
      </c>
      <c r="E4641" s="29">
        <v>40843</v>
      </c>
      <c r="F4641" s="27">
        <v>15</v>
      </c>
      <c r="G4641" s="18">
        <v>127045.02</v>
      </c>
      <c r="H4641" s="27">
        <f t="shared" si="144"/>
        <v>0</v>
      </c>
      <c r="I4641" s="18">
        <v>73562.91</v>
      </c>
      <c r="J4641" s="27">
        <v>127045.02</v>
      </c>
      <c r="K4641" s="18">
        <f t="shared" si="145"/>
        <v>0</v>
      </c>
      <c r="L4641" s="27">
        <v>79579.490000000005</v>
      </c>
      <c r="M4641" s="36">
        <v>6016.58</v>
      </c>
      <c r="T4641" s="41">
        <v>0</v>
      </c>
      <c r="U4641" s="41">
        <v>0</v>
      </c>
      <c r="V4641" s="42" t="s">
        <v>113</v>
      </c>
      <c r="W4641" s="42">
        <v>0</v>
      </c>
      <c r="X4641" s="42">
        <v>0</v>
      </c>
    </row>
    <row r="4642" spans="1:24">
      <c r="A4642" s="27" t="s">
        <v>8571</v>
      </c>
      <c r="B4642" s="28" t="s">
        <v>5102</v>
      </c>
      <c r="C4642" s="27" t="s">
        <v>8572</v>
      </c>
      <c r="D4642" s="27" t="s">
        <v>5104</v>
      </c>
      <c r="E4642" s="29">
        <v>40843</v>
      </c>
      <c r="F4642" s="27">
        <v>15</v>
      </c>
      <c r="G4642" s="18">
        <v>66389.63</v>
      </c>
      <c r="H4642" s="27">
        <f t="shared" si="144"/>
        <v>0</v>
      </c>
      <c r="I4642" s="18">
        <v>38441.599999999999</v>
      </c>
      <c r="J4642" s="27">
        <v>66389.63</v>
      </c>
      <c r="K4642" s="18">
        <f t="shared" si="145"/>
        <v>0</v>
      </c>
      <c r="L4642" s="27">
        <v>41585.67</v>
      </c>
      <c r="M4642" s="36">
        <v>3144.07</v>
      </c>
      <c r="T4642" s="41">
        <v>0</v>
      </c>
      <c r="U4642" s="41">
        <v>0</v>
      </c>
      <c r="V4642" s="42" t="s">
        <v>113</v>
      </c>
      <c r="W4642" s="42">
        <v>0</v>
      </c>
      <c r="X4642" s="42">
        <v>0</v>
      </c>
    </row>
    <row r="4643" spans="1:24">
      <c r="A4643" s="27" t="s">
        <v>8573</v>
      </c>
      <c r="B4643" s="28" t="s">
        <v>5102</v>
      </c>
      <c r="C4643" s="27" t="s">
        <v>8574</v>
      </c>
      <c r="D4643" s="27" t="s">
        <v>5104</v>
      </c>
      <c r="E4643" s="29">
        <v>40843</v>
      </c>
      <c r="F4643" s="27">
        <v>15</v>
      </c>
      <c r="G4643" s="18">
        <v>105637.23</v>
      </c>
      <c r="H4643" s="27">
        <f t="shared" si="144"/>
        <v>0</v>
      </c>
      <c r="I4643" s="18">
        <v>61167.15</v>
      </c>
      <c r="J4643" s="27">
        <v>105637.23</v>
      </c>
      <c r="K4643" s="18">
        <f t="shared" si="145"/>
        <v>0</v>
      </c>
      <c r="L4643" s="27">
        <v>66169.899999999994</v>
      </c>
      <c r="M4643" s="36">
        <v>5002.75</v>
      </c>
      <c r="T4643" s="41">
        <v>0</v>
      </c>
      <c r="U4643" s="41">
        <v>0</v>
      </c>
      <c r="V4643" s="42" t="s">
        <v>113</v>
      </c>
      <c r="W4643" s="42">
        <v>0</v>
      </c>
      <c r="X4643" s="42">
        <v>0</v>
      </c>
    </row>
    <row r="4644" spans="1:24">
      <c r="A4644" s="27" t="s">
        <v>8575</v>
      </c>
      <c r="B4644" s="28" t="s">
        <v>5102</v>
      </c>
      <c r="C4644" s="27" t="s">
        <v>8576</v>
      </c>
      <c r="D4644" s="27" t="s">
        <v>5104</v>
      </c>
      <c r="E4644" s="29">
        <v>40843</v>
      </c>
      <c r="F4644" s="27">
        <v>15</v>
      </c>
      <c r="G4644" s="18">
        <v>149727.07999999999</v>
      </c>
      <c r="H4644" s="27">
        <f t="shared" si="144"/>
        <v>0</v>
      </c>
      <c r="I4644" s="18">
        <v>86696.5</v>
      </c>
      <c r="J4644" s="27">
        <v>149727.07999999999</v>
      </c>
      <c r="K4644" s="18">
        <f t="shared" si="145"/>
        <v>0</v>
      </c>
      <c r="L4644" s="27">
        <v>93787.25</v>
      </c>
      <c r="M4644" s="36">
        <v>7090.75</v>
      </c>
      <c r="T4644" s="41">
        <v>0</v>
      </c>
      <c r="U4644" s="41">
        <v>0</v>
      </c>
      <c r="V4644" s="42" t="s">
        <v>113</v>
      </c>
      <c r="W4644" s="42">
        <v>0</v>
      </c>
      <c r="X4644" s="42">
        <v>0</v>
      </c>
    </row>
    <row r="4645" spans="1:24">
      <c r="A4645" s="27" t="s">
        <v>8577</v>
      </c>
      <c r="B4645" s="28" t="s">
        <v>5102</v>
      </c>
      <c r="C4645" s="27" t="s">
        <v>8578</v>
      </c>
      <c r="D4645" s="27" t="s">
        <v>5104</v>
      </c>
      <c r="E4645" s="29">
        <v>40843</v>
      </c>
      <c r="F4645" s="27">
        <v>15</v>
      </c>
      <c r="G4645" s="18">
        <v>13030.98</v>
      </c>
      <c r="H4645" s="27">
        <f t="shared" si="144"/>
        <v>0</v>
      </c>
      <c r="I4645" s="18">
        <v>7545.33</v>
      </c>
      <c r="J4645" s="27">
        <v>13030.98</v>
      </c>
      <c r="K4645" s="18">
        <f t="shared" si="145"/>
        <v>0</v>
      </c>
      <c r="L4645" s="27">
        <v>8162.45</v>
      </c>
      <c r="M4645" s="36">
        <v>617.12</v>
      </c>
      <c r="T4645" s="41">
        <v>0</v>
      </c>
      <c r="U4645" s="41">
        <v>0</v>
      </c>
      <c r="V4645" s="42" t="s">
        <v>113</v>
      </c>
      <c r="W4645" s="42">
        <v>0</v>
      </c>
      <c r="X4645" s="42">
        <v>0</v>
      </c>
    </row>
    <row r="4646" spans="1:24">
      <c r="A4646" s="27" t="s">
        <v>8579</v>
      </c>
      <c r="B4646" s="28" t="s">
        <v>5102</v>
      </c>
      <c r="C4646" s="27" t="s">
        <v>8580</v>
      </c>
      <c r="D4646" s="27" t="s">
        <v>5104</v>
      </c>
      <c r="E4646" s="29">
        <v>40843</v>
      </c>
      <c r="F4646" s="27">
        <v>15</v>
      </c>
      <c r="G4646" s="18">
        <v>43884.98</v>
      </c>
      <c r="H4646" s="27">
        <f t="shared" si="144"/>
        <v>0</v>
      </c>
      <c r="I4646" s="18">
        <v>25410.74</v>
      </c>
      <c r="J4646" s="27">
        <v>43884.98</v>
      </c>
      <c r="K4646" s="18">
        <f t="shared" si="145"/>
        <v>0</v>
      </c>
      <c r="L4646" s="27">
        <v>27489.040000000001</v>
      </c>
      <c r="M4646" s="36">
        <v>2078.3000000000002</v>
      </c>
      <c r="T4646" s="41">
        <v>0</v>
      </c>
      <c r="U4646" s="41">
        <v>0</v>
      </c>
      <c r="V4646" s="42" t="s">
        <v>113</v>
      </c>
      <c r="W4646" s="42">
        <v>0</v>
      </c>
      <c r="X4646" s="42">
        <v>0</v>
      </c>
    </row>
    <row r="4647" spans="1:24">
      <c r="A4647" s="27" t="s">
        <v>8581</v>
      </c>
      <c r="B4647" s="28" t="s">
        <v>5102</v>
      </c>
      <c r="C4647" s="27" t="s">
        <v>8582</v>
      </c>
      <c r="D4647" s="27" t="s">
        <v>5104</v>
      </c>
      <c r="E4647" s="29">
        <v>40843</v>
      </c>
      <c r="F4647" s="27">
        <v>15</v>
      </c>
      <c r="G4647" s="18">
        <v>63809.77</v>
      </c>
      <c r="H4647" s="27">
        <f t="shared" si="144"/>
        <v>0</v>
      </c>
      <c r="I4647" s="18">
        <v>36947.78</v>
      </c>
      <c r="J4647" s="27">
        <v>63809.77</v>
      </c>
      <c r="K4647" s="18">
        <f t="shared" si="145"/>
        <v>0</v>
      </c>
      <c r="L4647" s="27">
        <v>39969.67</v>
      </c>
      <c r="M4647" s="36">
        <v>3021.89</v>
      </c>
      <c r="T4647" s="41">
        <v>0</v>
      </c>
      <c r="U4647" s="41">
        <v>0</v>
      </c>
      <c r="V4647" s="42" t="s">
        <v>113</v>
      </c>
      <c r="W4647" s="42">
        <v>0</v>
      </c>
      <c r="X4647" s="42">
        <v>0</v>
      </c>
    </row>
    <row r="4648" spans="1:24">
      <c r="A4648" s="27" t="s">
        <v>8583</v>
      </c>
      <c r="B4648" s="28" t="s">
        <v>5102</v>
      </c>
      <c r="C4648" s="27" t="s">
        <v>8582</v>
      </c>
      <c r="D4648" s="27" t="s">
        <v>5104</v>
      </c>
      <c r="E4648" s="29">
        <v>40843</v>
      </c>
      <c r="F4648" s="27">
        <v>15</v>
      </c>
      <c r="G4648" s="18">
        <v>28331.88</v>
      </c>
      <c r="H4648" s="27">
        <f t="shared" si="144"/>
        <v>0</v>
      </c>
      <c r="I4648" s="18">
        <v>16405.009999999998</v>
      </c>
      <c r="J4648" s="27">
        <v>28331.88</v>
      </c>
      <c r="K4648" s="18">
        <f t="shared" si="145"/>
        <v>0</v>
      </c>
      <c r="L4648" s="27">
        <v>17746.75</v>
      </c>
      <c r="M4648" s="36">
        <v>1341.74</v>
      </c>
      <c r="T4648" s="41">
        <v>0</v>
      </c>
      <c r="U4648" s="41">
        <v>0</v>
      </c>
      <c r="V4648" s="42" t="s">
        <v>113</v>
      </c>
      <c r="W4648" s="42">
        <v>0</v>
      </c>
      <c r="X4648" s="42">
        <v>0</v>
      </c>
    </row>
    <row r="4649" spans="1:24">
      <c r="A4649" s="27" t="s">
        <v>8584</v>
      </c>
      <c r="B4649" s="28" t="s">
        <v>5102</v>
      </c>
      <c r="C4649" s="27" t="s">
        <v>8585</v>
      </c>
      <c r="D4649" s="27" t="s">
        <v>5104</v>
      </c>
      <c r="E4649" s="29">
        <v>40843</v>
      </c>
      <c r="F4649" s="27">
        <v>15</v>
      </c>
      <c r="G4649" s="18">
        <v>121314.23</v>
      </c>
      <c r="H4649" s="27">
        <f t="shared" si="144"/>
        <v>0</v>
      </c>
      <c r="I4649" s="18">
        <v>70244.600000000006</v>
      </c>
      <c r="J4649" s="27">
        <v>121314.23</v>
      </c>
      <c r="K4649" s="18">
        <f t="shared" si="145"/>
        <v>0</v>
      </c>
      <c r="L4649" s="27">
        <v>75989.78</v>
      </c>
      <c r="M4649" s="36">
        <v>5745.18</v>
      </c>
      <c r="T4649" s="41">
        <v>0</v>
      </c>
      <c r="U4649" s="41">
        <v>0</v>
      </c>
      <c r="V4649" s="42" t="s">
        <v>113</v>
      </c>
      <c r="W4649" s="42">
        <v>0</v>
      </c>
      <c r="X4649" s="42">
        <v>0</v>
      </c>
    </row>
    <row r="4650" spans="1:24">
      <c r="A4650" s="27" t="s">
        <v>8586</v>
      </c>
      <c r="B4650" s="28" t="s">
        <v>5102</v>
      </c>
      <c r="C4650" s="27" t="s">
        <v>8587</v>
      </c>
      <c r="D4650" s="27" t="s">
        <v>5104</v>
      </c>
      <c r="E4650" s="29">
        <v>40843</v>
      </c>
      <c r="F4650" s="27">
        <v>15</v>
      </c>
      <c r="G4650" s="18">
        <v>33544.269999999997</v>
      </c>
      <c r="H4650" s="27">
        <f t="shared" si="144"/>
        <v>0</v>
      </c>
      <c r="I4650" s="18">
        <v>19423.14</v>
      </c>
      <c r="J4650" s="27">
        <v>33544.269999999997</v>
      </c>
      <c r="K4650" s="18">
        <f t="shared" si="145"/>
        <v>0</v>
      </c>
      <c r="L4650" s="27">
        <v>21011.73</v>
      </c>
      <c r="M4650" s="36">
        <v>1588.59</v>
      </c>
      <c r="T4650" s="41">
        <v>0</v>
      </c>
      <c r="U4650" s="41">
        <v>0</v>
      </c>
      <c r="V4650" s="42" t="s">
        <v>113</v>
      </c>
      <c r="W4650" s="42">
        <v>0</v>
      </c>
      <c r="X4650" s="42">
        <v>0</v>
      </c>
    </row>
    <row r="4651" spans="1:24">
      <c r="A4651" s="27" t="s">
        <v>8588</v>
      </c>
      <c r="B4651" s="28" t="s">
        <v>5102</v>
      </c>
      <c r="C4651" s="27" t="s">
        <v>8589</v>
      </c>
      <c r="D4651" s="27" t="s">
        <v>5104</v>
      </c>
      <c r="E4651" s="29">
        <v>40843</v>
      </c>
      <c r="F4651" s="27">
        <v>15</v>
      </c>
      <c r="G4651" s="18">
        <v>28668.16</v>
      </c>
      <c r="H4651" s="27">
        <f t="shared" si="144"/>
        <v>0</v>
      </c>
      <c r="I4651" s="18">
        <v>16599.740000000002</v>
      </c>
      <c r="J4651" s="27">
        <v>28668.16</v>
      </c>
      <c r="K4651" s="18">
        <f t="shared" si="145"/>
        <v>0</v>
      </c>
      <c r="L4651" s="27">
        <v>17957.400000000001</v>
      </c>
      <c r="M4651" s="36">
        <v>1357.66</v>
      </c>
      <c r="T4651" s="41">
        <v>0</v>
      </c>
      <c r="U4651" s="41">
        <v>0</v>
      </c>
      <c r="V4651" s="42" t="s">
        <v>113</v>
      </c>
      <c r="W4651" s="42">
        <v>0</v>
      </c>
      <c r="X4651" s="42">
        <v>0</v>
      </c>
    </row>
    <row r="4652" spans="1:24">
      <c r="A4652" s="27" t="s">
        <v>8590</v>
      </c>
      <c r="B4652" s="28" t="s">
        <v>5102</v>
      </c>
      <c r="C4652" s="27" t="s">
        <v>8591</v>
      </c>
      <c r="D4652" s="27" t="s">
        <v>5104</v>
      </c>
      <c r="E4652" s="29">
        <v>40843</v>
      </c>
      <c r="F4652" s="27">
        <v>15</v>
      </c>
      <c r="G4652" s="18">
        <v>137287.69</v>
      </c>
      <c r="H4652" s="27">
        <f t="shared" si="144"/>
        <v>0</v>
      </c>
      <c r="I4652" s="18">
        <v>79493.72</v>
      </c>
      <c r="J4652" s="27">
        <v>137287.69</v>
      </c>
      <c r="K4652" s="18">
        <f t="shared" si="145"/>
        <v>0</v>
      </c>
      <c r="L4652" s="27">
        <v>85995.37</v>
      </c>
      <c r="M4652" s="36">
        <v>6501.65</v>
      </c>
      <c r="T4652" s="41">
        <v>0</v>
      </c>
      <c r="U4652" s="41">
        <v>0</v>
      </c>
      <c r="V4652" s="42" t="s">
        <v>113</v>
      </c>
      <c r="W4652" s="42">
        <v>0</v>
      </c>
      <c r="X4652" s="42">
        <v>0</v>
      </c>
    </row>
    <row r="4653" spans="1:24">
      <c r="A4653" s="27" t="s">
        <v>8592</v>
      </c>
      <c r="B4653" s="28" t="s">
        <v>5102</v>
      </c>
      <c r="C4653" s="27" t="s">
        <v>8593</v>
      </c>
      <c r="D4653" s="27" t="s">
        <v>5104</v>
      </c>
      <c r="E4653" s="29">
        <v>40843</v>
      </c>
      <c r="F4653" s="27">
        <v>15</v>
      </c>
      <c r="G4653" s="18">
        <v>31442.5</v>
      </c>
      <c r="H4653" s="27">
        <f t="shared" si="144"/>
        <v>0</v>
      </c>
      <c r="I4653" s="18">
        <v>18206.16</v>
      </c>
      <c r="J4653" s="27">
        <v>31442.5</v>
      </c>
      <c r="K4653" s="18">
        <f t="shared" si="145"/>
        <v>0</v>
      </c>
      <c r="L4653" s="27">
        <v>19695.21</v>
      </c>
      <c r="M4653" s="36">
        <v>1489.05</v>
      </c>
      <c r="T4653" s="41">
        <v>0</v>
      </c>
      <c r="U4653" s="41">
        <v>0</v>
      </c>
      <c r="V4653" s="42" t="s">
        <v>113</v>
      </c>
      <c r="W4653" s="42">
        <v>0</v>
      </c>
      <c r="X4653" s="42">
        <v>0</v>
      </c>
    </row>
    <row r="4654" spans="1:24">
      <c r="A4654" s="27" t="s">
        <v>8594</v>
      </c>
      <c r="B4654" s="28" t="s">
        <v>5102</v>
      </c>
      <c r="C4654" s="27" t="s">
        <v>8595</v>
      </c>
      <c r="D4654" s="27" t="s">
        <v>5104</v>
      </c>
      <c r="E4654" s="29">
        <v>40843</v>
      </c>
      <c r="F4654" s="27">
        <v>15</v>
      </c>
      <c r="G4654" s="18">
        <v>165955.85</v>
      </c>
      <c r="H4654" s="27">
        <f t="shared" si="144"/>
        <v>0</v>
      </c>
      <c r="I4654" s="18">
        <v>96093.45</v>
      </c>
      <c r="J4654" s="27">
        <v>165955.85</v>
      </c>
      <c r="K4654" s="18">
        <f t="shared" si="145"/>
        <v>0</v>
      </c>
      <c r="L4654" s="27">
        <v>103952.76</v>
      </c>
      <c r="M4654" s="36">
        <v>7859.31</v>
      </c>
      <c r="T4654" s="41">
        <v>0</v>
      </c>
      <c r="U4654" s="41">
        <v>0</v>
      </c>
      <c r="V4654" s="42" t="s">
        <v>113</v>
      </c>
      <c r="W4654" s="42">
        <v>0</v>
      </c>
      <c r="X4654" s="42">
        <v>0</v>
      </c>
    </row>
    <row r="4655" spans="1:24">
      <c r="A4655" s="27" t="s">
        <v>8596</v>
      </c>
      <c r="B4655" s="28" t="s">
        <v>5102</v>
      </c>
      <c r="C4655" s="27" t="s">
        <v>8597</v>
      </c>
      <c r="D4655" s="27" t="s">
        <v>5104</v>
      </c>
      <c r="E4655" s="29">
        <v>40843</v>
      </c>
      <c r="F4655" s="27">
        <v>15</v>
      </c>
      <c r="G4655" s="18">
        <v>16225.67</v>
      </c>
      <c r="H4655" s="27">
        <f t="shared" si="144"/>
        <v>0</v>
      </c>
      <c r="I4655" s="18">
        <v>9395.15</v>
      </c>
      <c r="J4655" s="27">
        <v>16225.67</v>
      </c>
      <c r="K4655" s="18">
        <f t="shared" si="145"/>
        <v>0</v>
      </c>
      <c r="L4655" s="27">
        <v>10163.56</v>
      </c>
      <c r="M4655" s="36">
        <v>768.41</v>
      </c>
      <c r="T4655" s="41">
        <v>0</v>
      </c>
      <c r="U4655" s="41">
        <v>0</v>
      </c>
      <c r="V4655" s="42" t="s">
        <v>113</v>
      </c>
      <c r="W4655" s="42">
        <v>0</v>
      </c>
      <c r="X4655" s="42">
        <v>0</v>
      </c>
    </row>
    <row r="4656" spans="1:24">
      <c r="A4656" s="27" t="s">
        <v>8598</v>
      </c>
      <c r="B4656" s="28" t="s">
        <v>5102</v>
      </c>
      <c r="C4656" s="27" t="s">
        <v>8599</v>
      </c>
      <c r="D4656" s="27" t="s">
        <v>5104</v>
      </c>
      <c r="E4656" s="29">
        <v>40843</v>
      </c>
      <c r="F4656" s="27">
        <v>15</v>
      </c>
      <c r="G4656" s="18">
        <v>26986.74</v>
      </c>
      <c r="H4656" s="27">
        <f t="shared" si="144"/>
        <v>0</v>
      </c>
      <c r="I4656" s="18">
        <v>15626.14</v>
      </c>
      <c r="J4656" s="27">
        <v>26986.74</v>
      </c>
      <c r="K4656" s="18">
        <f t="shared" si="145"/>
        <v>0</v>
      </c>
      <c r="L4656" s="27">
        <v>16904.169999999998</v>
      </c>
      <c r="M4656" s="36">
        <v>1278.03</v>
      </c>
      <c r="T4656" s="41">
        <v>0</v>
      </c>
      <c r="U4656" s="41">
        <v>0</v>
      </c>
      <c r="V4656" s="42" t="s">
        <v>113</v>
      </c>
      <c r="W4656" s="42">
        <v>0</v>
      </c>
      <c r="X4656" s="42">
        <v>0</v>
      </c>
    </row>
    <row r="4657" spans="1:24">
      <c r="A4657" s="27" t="s">
        <v>8600</v>
      </c>
      <c r="B4657" s="28" t="s">
        <v>5102</v>
      </c>
      <c r="C4657" s="27" t="s">
        <v>8601</v>
      </c>
      <c r="D4657" s="27" t="s">
        <v>5104</v>
      </c>
      <c r="E4657" s="29">
        <v>40843</v>
      </c>
      <c r="F4657" s="27">
        <v>15</v>
      </c>
      <c r="G4657" s="18">
        <v>102748.56</v>
      </c>
      <c r="H4657" s="27">
        <f t="shared" si="144"/>
        <v>0</v>
      </c>
      <c r="I4657" s="18">
        <v>59494.53</v>
      </c>
      <c r="J4657" s="27">
        <v>102748.56</v>
      </c>
      <c r="K4657" s="18">
        <f t="shared" si="145"/>
        <v>0</v>
      </c>
      <c r="L4657" s="27">
        <v>64360.480000000003</v>
      </c>
      <c r="M4657" s="36">
        <v>4865.95</v>
      </c>
      <c r="T4657" s="41">
        <v>0</v>
      </c>
      <c r="U4657" s="41">
        <v>0</v>
      </c>
      <c r="V4657" s="42" t="s">
        <v>113</v>
      </c>
      <c r="W4657" s="42">
        <v>0</v>
      </c>
      <c r="X4657" s="42">
        <v>0</v>
      </c>
    </row>
    <row r="4658" spans="1:24">
      <c r="A4658" s="27" t="s">
        <v>8602</v>
      </c>
      <c r="B4658" s="28" t="s">
        <v>5102</v>
      </c>
      <c r="C4658" s="27" t="s">
        <v>8603</v>
      </c>
      <c r="D4658" s="27" t="s">
        <v>5104</v>
      </c>
      <c r="E4658" s="29">
        <v>40843</v>
      </c>
      <c r="F4658" s="27">
        <v>15</v>
      </c>
      <c r="G4658" s="18">
        <v>122982.51</v>
      </c>
      <c r="H4658" s="27">
        <f t="shared" si="144"/>
        <v>0</v>
      </c>
      <c r="I4658" s="18">
        <v>71210.59</v>
      </c>
      <c r="J4658" s="27">
        <v>122982.51</v>
      </c>
      <c r="K4658" s="18">
        <f t="shared" si="145"/>
        <v>0</v>
      </c>
      <c r="L4658" s="27">
        <v>77034.78</v>
      </c>
      <c r="M4658" s="36">
        <v>5824.19</v>
      </c>
      <c r="T4658" s="41">
        <v>0</v>
      </c>
      <c r="U4658" s="41">
        <v>0</v>
      </c>
      <c r="V4658" s="42" t="s">
        <v>113</v>
      </c>
      <c r="W4658" s="42">
        <v>0</v>
      </c>
      <c r="X4658" s="42">
        <v>0</v>
      </c>
    </row>
    <row r="4659" spans="1:24">
      <c r="A4659" s="27" t="s">
        <v>8604</v>
      </c>
      <c r="B4659" s="28" t="s">
        <v>5102</v>
      </c>
      <c r="C4659" s="27" t="s">
        <v>8605</v>
      </c>
      <c r="D4659" s="27" t="s">
        <v>5104</v>
      </c>
      <c r="E4659" s="29">
        <v>40843</v>
      </c>
      <c r="F4659" s="27">
        <v>15</v>
      </c>
      <c r="G4659" s="18">
        <v>70631.839999999997</v>
      </c>
      <c r="H4659" s="27">
        <f t="shared" si="144"/>
        <v>0</v>
      </c>
      <c r="I4659" s="18">
        <v>40897.96</v>
      </c>
      <c r="J4659" s="27">
        <v>70631.839999999997</v>
      </c>
      <c r="K4659" s="18">
        <f t="shared" si="145"/>
        <v>0</v>
      </c>
      <c r="L4659" s="27">
        <v>44242.93</v>
      </c>
      <c r="M4659" s="36">
        <v>3344.97</v>
      </c>
      <c r="T4659" s="41">
        <v>0</v>
      </c>
      <c r="U4659" s="41">
        <v>0</v>
      </c>
      <c r="V4659" s="42" t="s">
        <v>113</v>
      </c>
      <c r="W4659" s="42">
        <v>0</v>
      </c>
      <c r="X4659" s="42">
        <v>0</v>
      </c>
    </row>
    <row r="4660" spans="1:24">
      <c r="A4660" s="27" t="s">
        <v>8606</v>
      </c>
      <c r="B4660" s="28" t="s">
        <v>5102</v>
      </c>
      <c r="C4660" s="27" t="s">
        <v>8607</v>
      </c>
      <c r="D4660" s="27" t="s">
        <v>5104</v>
      </c>
      <c r="E4660" s="29">
        <v>40843</v>
      </c>
      <c r="F4660" s="27">
        <v>15</v>
      </c>
      <c r="G4660" s="18">
        <v>748697.38</v>
      </c>
      <c r="H4660" s="27">
        <f t="shared" si="144"/>
        <v>0</v>
      </c>
      <c r="I4660" s="18">
        <v>485136.7</v>
      </c>
      <c r="J4660" s="27">
        <v>748697.38</v>
      </c>
      <c r="K4660" s="18">
        <f t="shared" si="145"/>
        <v>0</v>
      </c>
      <c r="L4660" s="27">
        <v>514003.82</v>
      </c>
      <c r="M4660" s="36">
        <v>28867.119999999999</v>
      </c>
      <c r="T4660" s="41">
        <v>0</v>
      </c>
      <c r="U4660" s="41">
        <v>0</v>
      </c>
      <c r="V4660" s="42" t="s">
        <v>113</v>
      </c>
      <c r="W4660" s="42">
        <v>0</v>
      </c>
      <c r="X4660" s="42">
        <v>0</v>
      </c>
    </row>
    <row r="4661" spans="1:24">
      <c r="A4661" s="27" t="s">
        <v>8608</v>
      </c>
      <c r="B4661" s="28" t="s">
        <v>5102</v>
      </c>
      <c r="C4661" s="27" t="s">
        <v>8609</v>
      </c>
      <c r="D4661" s="27" t="s">
        <v>5104</v>
      </c>
      <c r="E4661" s="29">
        <v>40843</v>
      </c>
      <c r="F4661" s="27">
        <v>15</v>
      </c>
      <c r="G4661" s="18">
        <v>573740.81000000006</v>
      </c>
      <c r="H4661" s="27">
        <f t="shared" si="144"/>
        <v>0</v>
      </c>
      <c r="I4661" s="18">
        <v>333779.51</v>
      </c>
      <c r="J4661" s="27">
        <v>573740.81000000006</v>
      </c>
      <c r="K4661" s="18">
        <f t="shared" si="145"/>
        <v>0</v>
      </c>
      <c r="L4661" s="27">
        <v>360750.69</v>
      </c>
      <c r="M4661" s="36">
        <v>26971.18</v>
      </c>
      <c r="T4661" s="41">
        <v>0</v>
      </c>
      <c r="U4661" s="41">
        <v>0</v>
      </c>
      <c r="V4661" s="42" t="s">
        <v>113</v>
      </c>
      <c r="W4661" s="42">
        <v>0</v>
      </c>
      <c r="X4661" s="42">
        <v>0</v>
      </c>
    </row>
    <row r="4662" spans="1:24">
      <c r="A4662" s="27" t="s">
        <v>8610</v>
      </c>
      <c r="B4662" s="28" t="s">
        <v>5102</v>
      </c>
      <c r="C4662" s="27" t="s">
        <v>8611</v>
      </c>
      <c r="D4662" s="27" t="s">
        <v>5104</v>
      </c>
      <c r="E4662" s="29">
        <v>40843</v>
      </c>
      <c r="F4662" s="27">
        <v>15</v>
      </c>
      <c r="G4662" s="18">
        <v>911570.08</v>
      </c>
      <c r="H4662" s="27">
        <f t="shared" si="144"/>
        <v>0</v>
      </c>
      <c r="I4662" s="18">
        <v>529977.06999999995</v>
      </c>
      <c r="J4662" s="27">
        <v>911570.08</v>
      </c>
      <c r="K4662" s="18">
        <f t="shared" si="145"/>
        <v>0</v>
      </c>
      <c r="L4662" s="27">
        <v>572872.54</v>
      </c>
      <c r="M4662" s="36">
        <v>42895.47</v>
      </c>
      <c r="T4662" s="41">
        <v>0</v>
      </c>
      <c r="U4662" s="41">
        <v>0</v>
      </c>
      <c r="V4662" s="42" t="s">
        <v>113</v>
      </c>
      <c r="W4662" s="42">
        <v>0</v>
      </c>
      <c r="X4662" s="42">
        <v>0</v>
      </c>
    </row>
    <row r="4663" spans="1:24">
      <c r="A4663" s="27" t="s">
        <v>8612</v>
      </c>
      <c r="B4663" s="28" t="s">
        <v>5102</v>
      </c>
      <c r="C4663" s="27" t="s">
        <v>8613</v>
      </c>
      <c r="D4663" s="27" t="s">
        <v>5104</v>
      </c>
      <c r="E4663" s="29">
        <v>40843</v>
      </c>
      <c r="F4663" s="27">
        <v>15</v>
      </c>
      <c r="G4663" s="18">
        <v>58998.02</v>
      </c>
      <c r="H4663" s="27">
        <f t="shared" si="144"/>
        <v>0</v>
      </c>
      <c r="I4663" s="18">
        <v>34161.64</v>
      </c>
      <c r="J4663" s="27">
        <v>58998.02</v>
      </c>
      <c r="K4663" s="18">
        <f t="shared" si="145"/>
        <v>0</v>
      </c>
      <c r="L4663" s="27">
        <v>36955.660000000003</v>
      </c>
      <c r="M4663" s="36">
        <v>2794.02</v>
      </c>
      <c r="T4663" s="41">
        <v>0</v>
      </c>
      <c r="U4663" s="41">
        <v>0</v>
      </c>
      <c r="V4663" s="42" t="s">
        <v>113</v>
      </c>
      <c r="W4663" s="42">
        <v>0</v>
      </c>
      <c r="X4663" s="42">
        <v>0</v>
      </c>
    </row>
    <row r="4664" spans="1:24">
      <c r="A4664" s="27" t="s">
        <v>8614</v>
      </c>
      <c r="B4664" s="28" t="s">
        <v>5102</v>
      </c>
      <c r="C4664" s="27" t="s">
        <v>8615</v>
      </c>
      <c r="D4664" s="27" t="s">
        <v>5104</v>
      </c>
      <c r="E4664" s="29">
        <v>40843</v>
      </c>
      <c r="F4664" s="27">
        <v>15</v>
      </c>
      <c r="G4664" s="18">
        <v>58998.02</v>
      </c>
      <c r="H4664" s="27">
        <f t="shared" si="144"/>
        <v>0</v>
      </c>
      <c r="I4664" s="18">
        <v>34161.64</v>
      </c>
      <c r="J4664" s="27">
        <v>58998.02</v>
      </c>
      <c r="K4664" s="18">
        <f t="shared" si="145"/>
        <v>0</v>
      </c>
      <c r="L4664" s="27">
        <v>36955.660000000003</v>
      </c>
      <c r="M4664" s="36">
        <v>2794.02</v>
      </c>
      <c r="T4664" s="41">
        <v>0</v>
      </c>
      <c r="U4664" s="41">
        <v>0</v>
      </c>
      <c r="V4664" s="42" t="s">
        <v>113</v>
      </c>
      <c r="W4664" s="42">
        <v>0</v>
      </c>
      <c r="X4664" s="42">
        <v>0</v>
      </c>
    </row>
    <row r="4665" spans="1:24">
      <c r="A4665" s="27" t="s">
        <v>8616</v>
      </c>
      <c r="B4665" s="28" t="s">
        <v>5102</v>
      </c>
      <c r="C4665" s="27" t="s">
        <v>8617</v>
      </c>
      <c r="D4665" s="27" t="s">
        <v>5104</v>
      </c>
      <c r="E4665" s="29">
        <v>40843</v>
      </c>
      <c r="F4665" s="27">
        <v>15</v>
      </c>
      <c r="G4665" s="18">
        <v>43658.54</v>
      </c>
      <c r="H4665" s="27">
        <f t="shared" si="144"/>
        <v>0</v>
      </c>
      <c r="I4665" s="18">
        <v>25279.61</v>
      </c>
      <c r="J4665" s="27">
        <v>43658.54</v>
      </c>
      <c r="K4665" s="18">
        <f t="shared" si="145"/>
        <v>0</v>
      </c>
      <c r="L4665" s="27">
        <v>27347.18</v>
      </c>
      <c r="M4665" s="36">
        <v>2067.5700000000002</v>
      </c>
      <c r="T4665" s="41">
        <v>0</v>
      </c>
      <c r="U4665" s="41">
        <v>0</v>
      </c>
      <c r="V4665" s="42" t="s">
        <v>113</v>
      </c>
      <c r="W4665" s="42">
        <v>0</v>
      </c>
      <c r="X4665" s="42">
        <v>0</v>
      </c>
    </row>
    <row r="4666" spans="1:24">
      <c r="A4666" s="27" t="s">
        <v>8618</v>
      </c>
      <c r="B4666" s="28" t="s">
        <v>5102</v>
      </c>
      <c r="C4666" s="27" t="s">
        <v>8619</v>
      </c>
      <c r="D4666" s="27" t="s">
        <v>5104</v>
      </c>
      <c r="E4666" s="29">
        <v>40843</v>
      </c>
      <c r="F4666" s="27">
        <v>15</v>
      </c>
      <c r="G4666" s="18">
        <v>9439.68</v>
      </c>
      <c r="H4666" s="27">
        <f t="shared" si="144"/>
        <v>0</v>
      </c>
      <c r="I4666" s="18">
        <v>5465.85</v>
      </c>
      <c r="J4666" s="27">
        <v>9439.68</v>
      </c>
      <c r="K4666" s="18">
        <f t="shared" si="145"/>
        <v>0</v>
      </c>
      <c r="L4666" s="27">
        <v>5912.89</v>
      </c>
      <c r="M4666" s="36">
        <v>447.04</v>
      </c>
      <c r="T4666" s="41">
        <v>0</v>
      </c>
      <c r="U4666" s="41">
        <v>0</v>
      </c>
      <c r="V4666" s="42" t="s">
        <v>113</v>
      </c>
      <c r="W4666" s="42">
        <v>0</v>
      </c>
      <c r="X4666" s="42">
        <v>0</v>
      </c>
    </row>
    <row r="4667" spans="1:24">
      <c r="A4667" s="27" t="s">
        <v>8620</v>
      </c>
      <c r="B4667" s="28" t="s">
        <v>5102</v>
      </c>
      <c r="C4667" s="27" t="s">
        <v>8117</v>
      </c>
      <c r="D4667" s="27" t="s">
        <v>5104</v>
      </c>
      <c r="E4667" s="29">
        <v>40843</v>
      </c>
      <c r="F4667" s="27">
        <v>15</v>
      </c>
      <c r="G4667" s="18">
        <v>9439.68</v>
      </c>
      <c r="H4667" s="27">
        <f t="shared" si="144"/>
        <v>0</v>
      </c>
      <c r="I4667" s="18">
        <v>5465.85</v>
      </c>
      <c r="J4667" s="27">
        <v>9439.68</v>
      </c>
      <c r="K4667" s="18">
        <f t="shared" si="145"/>
        <v>0</v>
      </c>
      <c r="L4667" s="27">
        <v>5912.89</v>
      </c>
      <c r="M4667" s="36">
        <v>447.04</v>
      </c>
      <c r="T4667" s="41">
        <v>0</v>
      </c>
      <c r="U4667" s="41">
        <v>0</v>
      </c>
      <c r="V4667" s="42" t="s">
        <v>113</v>
      </c>
      <c r="W4667" s="42">
        <v>0</v>
      </c>
      <c r="X4667" s="42">
        <v>0</v>
      </c>
    </row>
    <row r="4668" spans="1:24">
      <c r="A4668" s="27" t="s">
        <v>8621</v>
      </c>
      <c r="B4668" s="28" t="s">
        <v>5102</v>
      </c>
      <c r="C4668" s="27" t="s">
        <v>8622</v>
      </c>
      <c r="D4668" s="27" t="s">
        <v>5104</v>
      </c>
      <c r="E4668" s="29">
        <v>40843</v>
      </c>
      <c r="F4668" s="27">
        <v>15</v>
      </c>
      <c r="G4668" s="18">
        <v>23599.21</v>
      </c>
      <c r="H4668" s="27">
        <f t="shared" si="144"/>
        <v>0</v>
      </c>
      <c r="I4668" s="18">
        <v>13664.67</v>
      </c>
      <c r="J4668" s="27">
        <v>23599.21</v>
      </c>
      <c r="K4668" s="18">
        <f t="shared" si="145"/>
        <v>0</v>
      </c>
      <c r="L4668" s="27">
        <v>14782.28</v>
      </c>
      <c r="M4668" s="36">
        <v>1117.6099999999999</v>
      </c>
      <c r="T4668" s="41">
        <v>0</v>
      </c>
      <c r="U4668" s="41">
        <v>0</v>
      </c>
      <c r="V4668" s="42" t="s">
        <v>113</v>
      </c>
      <c r="W4668" s="42">
        <v>0</v>
      </c>
      <c r="X4668" s="42">
        <v>0</v>
      </c>
    </row>
    <row r="4669" spans="1:24">
      <c r="A4669" s="27" t="s">
        <v>8623</v>
      </c>
      <c r="B4669" s="28" t="s">
        <v>5102</v>
      </c>
      <c r="C4669" s="27" t="s">
        <v>8624</v>
      </c>
      <c r="D4669" s="27" t="s">
        <v>5104</v>
      </c>
      <c r="E4669" s="29">
        <v>40843</v>
      </c>
      <c r="F4669" s="27">
        <v>15</v>
      </c>
      <c r="G4669" s="18">
        <v>11629.75</v>
      </c>
      <c r="H4669" s="27">
        <f t="shared" si="144"/>
        <v>0</v>
      </c>
      <c r="I4669" s="18">
        <v>6733.99</v>
      </c>
      <c r="J4669" s="27">
        <v>11629.75</v>
      </c>
      <c r="K4669" s="18">
        <f t="shared" si="145"/>
        <v>0</v>
      </c>
      <c r="L4669" s="27">
        <v>7284.75</v>
      </c>
      <c r="M4669" s="36">
        <v>550.76</v>
      </c>
      <c r="T4669" s="41">
        <v>0</v>
      </c>
      <c r="U4669" s="41">
        <v>0</v>
      </c>
      <c r="V4669" s="42" t="s">
        <v>113</v>
      </c>
      <c r="W4669" s="42">
        <v>0</v>
      </c>
      <c r="X4669" s="42">
        <v>0</v>
      </c>
    </row>
    <row r="4670" spans="1:24">
      <c r="A4670" s="27" t="s">
        <v>8625</v>
      </c>
      <c r="B4670" s="28" t="s">
        <v>5102</v>
      </c>
      <c r="C4670" s="27" t="s">
        <v>8626</v>
      </c>
      <c r="D4670" s="27" t="s">
        <v>5104</v>
      </c>
      <c r="E4670" s="29">
        <v>40843</v>
      </c>
      <c r="F4670" s="27">
        <v>15</v>
      </c>
      <c r="G4670" s="18">
        <v>89617.51</v>
      </c>
      <c r="H4670" s="27">
        <f t="shared" si="144"/>
        <v>0</v>
      </c>
      <c r="I4670" s="18">
        <v>51891.25</v>
      </c>
      <c r="J4670" s="27">
        <v>89617.51</v>
      </c>
      <c r="K4670" s="18">
        <f t="shared" si="145"/>
        <v>0</v>
      </c>
      <c r="L4670" s="27">
        <v>56135.34</v>
      </c>
      <c r="M4670" s="36">
        <v>4244.09</v>
      </c>
      <c r="T4670" s="41">
        <v>0</v>
      </c>
      <c r="U4670" s="41">
        <v>0</v>
      </c>
      <c r="V4670" s="42" t="s">
        <v>113</v>
      </c>
      <c r="W4670" s="42">
        <v>0</v>
      </c>
      <c r="X4670" s="42">
        <v>0</v>
      </c>
    </row>
    <row r="4671" spans="1:24">
      <c r="A4671" s="27" t="s">
        <v>8627</v>
      </c>
      <c r="B4671" s="28" t="s">
        <v>5102</v>
      </c>
      <c r="C4671" s="27" t="s">
        <v>8628</v>
      </c>
      <c r="D4671" s="27" t="s">
        <v>230</v>
      </c>
      <c r="E4671" s="29">
        <v>40843</v>
      </c>
      <c r="F4671" s="27">
        <v>15</v>
      </c>
      <c r="G4671" s="18">
        <v>1743762.09</v>
      </c>
      <c r="H4671" s="27">
        <f t="shared" si="144"/>
        <v>0</v>
      </c>
      <c r="I4671" s="18">
        <v>1033616.45</v>
      </c>
      <c r="J4671" s="27">
        <v>1743762.09</v>
      </c>
      <c r="K4671" s="18">
        <f t="shared" si="145"/>
        <v>0</v>
      </c>
      <c r="L4671" s="27">
        <v>1113142.94</v>
      </c>
      <c r="M4671" s="36">
        <v>79526.490000000005</v>
      </c>
      <c r="T4671" s="41">
        <v>0</v>
      </c>
      <c r="U4671" s="41">
        <v>0</v>
      </c>
      <c r="V4671" s="42" t="s">
        <v>113</v>
      </c>
      <c r="W4671" s="42">
        <v>0</v>
      </c>
      <c r="X4671" s="42">
        <v>0</v>
      </c>
    </row>
    <row r="4672" spans="1:24">
      <c r="A4672" s="27" t="s">
        <v>8629</v>
      </c>
      <c r="B4672" s="28" t="s">
        <v>5102</v>
      </c>
      <c r="C4672" s="27" t="s">
        <v>8630</v>
      </c>
      <c r="D4672" s="27" t="s">
        <v>5104</v>
      </c>
      <c r="E4672" s="29">
        <v>40843</v>
      </c>
      <c r="F4672" s="27">
        <v>15</v>
      </c>
      <c r="G4672" s="18">
        <v>882297.33</v>
      </c>
      <c r="H4672" s="27">
        <f t="shared" si="144"/>
        <v>0</v>
      </c>
      <c r="I4672" s="18">
        <v>510876.82</v>
      </c>
      <c r="J4672" s="27">
        <v>882297.33</v>
      </c>
      <c r="K4672" s="18">
        <f t="shared" si="145"/>
        <v>0</v>
      </c>
      <c r="L4672" s="27">
        <v>552660.52</v>
      </c>
      <c r="M4672" s="36">
        <v>41783.699999999997</v>
      </c>
      <c r="T4672" s="41">
        <v>0</v>
      </c>
      <c r="U4672" s="41">
        <v>0</v>
      </c>
      <c r="V4672" s="42" t="s">
        <v>113</v>
      </c>
      <c r="W4672" s="42">
        <v>0</v>
      </c>
      <c r="X4672" s="42">
        <v>0</v>
      </c>
    </row>
    <row r="4673" spans="1:24">
      <c r="A4673" s="27" t="s">
        <v>8631</v>
      </c>
      <c r="B4673" s="28" t="s">
        <v>5102</v>
      </c>
      <c r="C4673" s="27" t="s">
        <v>8632</v>
      </c>
      <c r="D4673" s="27" t="s">
        <v>5104</v>
      </c>
      <c r="E4673" s="29">
        <v>40843</v>
      </c>
      <c r="F4673" s="27">
        <v>15</v>
      </c>
      <c r="G4673" s="18">
        <v>817882.34</v>
      </c>
      <c r="H4673" s="27">
        <f t="shared" si="144"/>
        <v>0</v>
      </c>
      <c r="I4673" s="18">
        <v>473578.6</v>
      </c>
      <c r="J4673" s="27">
        <v>817882.34</v>
      </c>
      <c r="K4673" s="18">
        <f t="shared" si="145"/>
        <v>0</v>
      </c>
      <c r="L4673" s="27">
        <v>512311.74</v>
      </c>
      <c r="M4673" s="36">
        <v>38733.14</v>
      </c>
      <c r="T4673" s="41">
        <v>0</v>
      </c>
      <c r="U4673" s="41">
        <v>0</v>
      </c>
      <c r="V4673" s="42" t="s">
        <v>113</v>
      </c>
      <c r="W4673" s="42">
        <v>0</v>
      </c>
      <c r="X4673" s="42">
        <v>0</v>
      </c>
    </row>
    <row r="4674" spans="1:24">
      <c r="A4674" s="27" t="s">
        <v>8633</v>
      </c>
      <c r="B4674" s="28" t="s">
        <v>5102</v>
      </c>
      <c r="C4674" s="27" t="s">
        <v>8634</v>
      </c>
      <c r="D4674" s="27" t="s">
        <v>5104</v>
      </c>
      <c r="E4674" s="29">
        <v>40843</v>
      </c>
      <c r="F4674" s="27">
        <v>15</v>
      </c>
      <c r="G4674" s="18">
        <v>32351.19</v>
      </c>
      <c r="H4674" s="27">
        <f t="shared" si="144"/>
        <v>0</v>
      </c>
      <c r="I4674" s="18">
        <v>18732.32</v>
      </c>
      <c r="J4674" s="27">
        <v>32351.19</v>
      </c>
      <c r="K4674" s="18">
        <f t="shared" si="145"/>
        <v>0</v>
      </c>
      <c r="L4674" s="27">
        <v>20264.400000000001</v>
      </c>
      <c r="M4674" s="36">
        <v>1532.08</v>
      </c>
      <c r="T4674" s="41">
        <v>0</v>
      </c>
      <c r="U4674" s="41">
        <v>0</v>
      </c>
      <c r="V4674" s="42" t="s">
        <v>113</v>
      </c>
      <c r="W4674" s="42">
        <v>0</v>
      </c>
      <c r="X4674" s="42">
        <v>0</v>
      </c>
    </row>
    <row r="4675" spans="1:24">
      <c r="A4675" s="27" t="s">
        <v>8635</v>
      </c>
      <c r="B4675" s="28" t="s">
        <v>5102</v>
      </c>
      <c r="C4675" s="27" t="s">
        <v>8636</v>
      </c>
      <c r="D4675" s="27" t="s">
        <v>5104</v>
      </c>
      <c r="E4675" s="29">
        <v>40843</v>
      </c>
      <c r="F4675" s="27">
        <v>15</v>
      </c>
      <c r="G4675" s="18">
        <v>35288.339999999997</v>
      </c>
      <c r="H4675" s="27">
        <f t="shared" si="144"/>
        <v>0</v>
      </c>
      <c r="I4675" s="18">
        <v>20433</v>
      </c>
      <c r="J4675" s="27">
        <v>35288.339999999997</v>
      </c>
      <c r="K4675" s="18">
        <f t="shared" si="145"/>
        <v>0</v>
      </c>
      <c r="L4675" s="27">
        <v>22104.18</v>
      </c>
      <c r="M4675" s="36">
        <v>1671.18</v>
      </c>
      <c r="T4675" s="41">
        <v>0</v>
      </c>
      <c r="U4675" s="41">
        <v>0</v>
      </c>
      <c r="V4675" s="42" t="s">
        <v>113</v>
      </c>
      <c r="W4675" s="42">
        <v>0</v>
      </c>
      <c r="X4675" s="42">
        <v>0</v>
      </c>
    </row>
    <row r="4676" spans="1:24">
      <c r="A4676" s="27" t="s">
        <v>8637</v>
      </c>
      <c r="B4676" s="28" t="s">
        <v>5102</v>
      </c>
      <c r="C4676" s="27" t="s">
        <v>8638</v>
      </c>
      <c r="D4676" s="27" t="s">
        <v>5104</v>
      </c>
      <c r="E4676" s="29">
        <v>40843</v>
      </c>
      <c r="F4676" s="27">
        <v>15</v>
      </c>
      <c r="G4676" s="18">
        <v>57943.54</v>
      </c>
      <c r="H4676" s="27">
        <f t="shared" si="144"/>
        <v>0</v>
      </c>
      <c r="I4676" s="18">
        <v>33551.06</v>
      </c>
      <c r="J4676" s="27">
        <v>57943.54</v>
      </c>
      <c r="K4676" s="18">
        <f t="shared" si="145"/>
        <v>0</v>
      </c>
      <c r="L4676" s="27">
        <v>36295.14</v>
      </c>
      <c r="M4676" s="36">
        <v>2744.08</v>
      </c>
      <c r="T4676" s="41">
        <v>0</v>
      </c>
      <c r="U4676" s="41">
        <v>0</v>
      </c>
      <c r="V4676" s="42" t="s">
        <v>113</v>
      </c>
      <c r="W4676" s="42">
        <v>0</v>
      </c>
      <c r="X4676" s="42">
        <v>0</v>
      </c>
    </row>
    <row r="4677" spans="1:24">
      <c r="A4677" s="27" t="s">
        <v>8639</v>
      </c>
      <c r="B4677" s="28" t="s">
        <v>5102</v>
      </c>
      <c r="C4677" s="27" t="s">
        <v>8640</v>
      </c>
      <c r="D4677" s="27" t="s">
        <v>5104</v>
      </c>
      <c r="E4677" s="29">
        <v>40843</v>
      </c>
      <c r="F4677" s="27">
        <v>15</v>
      </c>
      <c r="G4677" s="18">
        <v>125464.52</v>
      </c>
      <c r="H4677" s="27">
        <f t="shared" si="144"/>
        <v>0</v>
      </c>
      <c r="I4677" s="18">
        <v>72647.75</v>
      </c>
      <c r="J4677" s="27">
        <v>125464.52</v>
      </c>
      <c r="K4677" s="18">
        <f t="shared" si="145"/>
        <v>0</v>
      </c>
      <c r="L4677" s="27">
        <v>78589.48</v>
      </c>
      <c r="M4677" s="36">
        <v>5941.73</v>
      </c>
      <c r="T4677" s="41">
        <v>0</v>
      </c>
      <c r="U4677" s="41">
        <v>0</v>
      </c>
      <c r="V4677" s="42" t="s">
        <v>113</v>
      </c>
      <c r="W4677" s="42">
        <v>0</v>
      </c>
      <c r="X4677" s="42">
        <v>0</v>
      </c>
    </row>
    <row r="4678" spans="1:24">
      <c r="A4678" s="27" t="s">
        <v>8641</v>
      </c>
      <c r="B4678" s="28" t="s">
        <v>5102</v>
      </c>
      <c r="C4678" s="27" t="s">
        <v>8642</v>
      </c>
      <c r="D4678" s="27" t="s">
        <v>5104</v>
      </c>
      <c r="E4678" s="29">
        <v>40843</v>
      </c>
      <c r="F4678" s="27">
        <v>15</v>
      </c>
      <c r="G4678" s="18">
        <v>59311.74</v>
      </c>
      <c r="H4678" s="27">
        <f t="shared" ref="H4678:H4741" si="146">IFERROR(IF(ROUND((G4678-I4678)/G4678,2)&lt;=0.05,G4678,0),0)</f>
        <v>0</v>
      </c>
      <c r="I4678" s="18">
        <v>34343.29</v>
      </c>
      <c r="J4678" s="27">
        <v>59311.74</v>
      </c>
      <c r="K4678" s="18">
        <f t="shared" ref="K4678:K4741" si="147">IFERROR(IF(ROUND((J4678-L4678)/J4678,2)&lt;=0.05,J4678,0),0)</f>
        <v>0</v>
      </c>
      <c r="L4678" s="27">
        <v>37152.17</v>
      </c>
      <c r="M4678" s="36">
        <v>2808.88</v>
      </c>
      <c r="T4678" s="41">
        <v>0</v>
      </c>
      <c r="U4678" s="41">
        <v>0</v>
      </c>
      <c r="V4678" s="42" t="s">
        <v>113</v>
      </c>
      <c r="W4678" s="42">
        <v>0</v>
      </c>
      <c r="X4678" s="42">
        <v>0</v>
      </c>
    </row>
    <row r="4679" spans="1:24">
      <c r="A4679" s="27" t="s">
        <v>8643</v>
      </c>
      <c r="B4679" s="28" t="s">
        <v>5102</v>
      </c>
      <c r="C4679" s="27" t="s">
        <v>8644</v>
      </c>
      <c r="D4679" s="27" t="s">
        <v>5104</v>
      </c>
      <c r="E4679" s="29">
        <v>40843</v>
      </c>
      <c r="F4679" s="27">
        <v>15</v>
      </c>
      <c r="G4679" s="18">
        <v>69026.009999999995</v>
      </c>
      <c r="H4679" s="27">
        <f t="shared" si="146"/>
        <v>0</v>
      </c>
      <c r="I4679" s="18">
        <v>39968.129999999997</v>
      </c>
      <c r="J4679" s="27">
        <v>69026.009999999995</v>
      </c>
      <c r="K4679" s="18">
        <f t="shared" si="147"/>
        <v>0</v>
      </c>
      <c r="L4679" s="27">
        <v>43237.06</v>
      </c>
      <c r="M4679" s="36">
        <v>3268.93</v>
      </c>
      <c r="T4679" s="41">
        <v>0</v>
      </c>
      <c r="U4679" s="41">
        <v>0</v>
      </c>
      <c r="V4679" s="42" t="s">
        <v>113</v>
      </c>
      <c r="W4679" s="42">
        <v>0</v>
      </c>
      <c r="X4679" s="42">
        <v>0</v>
      </c>
    </row>
    <row r="4680" spans="1:24">
      <c r="A4680" s="27" t="s">
        <v>8645</v>
      </c>
      <c r="B4680" s="28" t="s">
        <v>5102</v>
      </c>
      <c r="C4680" s="27" t="s">
        <v>8646</v>
      </c>
      <c r="D4680" s="27" t="s">
        <v>5104</v>
      </c>
      <c r="E4680" s="29">
        <v>40843</v>
      </c>
      <c r="F4680" s="27">
        <v>15</v>
      </c>
      <c r="G4680" s="18">
        <v>69778.52</v>
      </c>
      <c r="H4680" s="27">
        <f t="shared" si="146"/>
        <v>0</v>
      </c>
      <c r="I4680" s="18">
        <v>40403.879999999997</v>
      </c>
      <c r="J4680" s="27">
        <v>69778.52</v>
      </c>
      <c r="K4680" s="18">
        <f t="shared" si="147"/>
        <v>0</v>
      </c>
      <c r="L4680" s="27">
        <v>43708.44</v>
      </c>
      <c r="M4680" s="36">
        <v>3304.56</v>
      </c>
      <c r="T4680" s="41">
        <v>0</v>
      </c>
      <c r="U4680" s="41">
        <v>0</v>
      </c>
      <c r="V4680" s="42" t="s">
        <v>113</v>
      </c>
      <c r="W4680" s="42">
        <v>0</v>
      </c>
      <c r="X4680" s="42">
        <v>0</v>
      </c>
    </row>
    <row r="4681" spans="1:24">
      <c r="A4681" s="27" t="s">
        <v>8647</v>
      </c>
      <c r="B4681" s="28" t="s">
        <v>5102</v>
      </c>
      <c r="C4681" s="27" t="s">
        <v>8648</v>
      </c>
      <c r="D4681" s="27" t="s">
        <v>5104</v>
      </c>
      <c r="E4681" s="29">
        <v>40843</v>
      </c>
      <c r="F4681" s="27">
        <v>15</v>
      </c>
      <c r="G4681" s="18">
        <v>42688.04</v>
      </c>
      <c r="H4681" s="27">
        <f t="shared" si="146"/>
        <v>0</v>
      </c>
      <c r="I4681" s="18">
        <v>24717.67</v>
      </c>
      <c r="J4681" s="27">
        <v>42688.04</v>
      </c>
      <c r="K4681" s="18">
        <f t="shared" si="147"/>
        <v>0</v>
      </c>
      <c r="L4681" s="27">
        <v>26739.279999999999</v>
      </c>
      <c r="M4681" s="36">
        <v>2021.61</v>
      </c>
      <c r="T4681" s="41">
        <v>0</v>
      </c>
      <c r="U4681" s="41">
        <v>0</v>
      </c>
      <c r="V4681" s="42" t="s">
        <v>113</v>
      </c>
      <c r="W4681" s="42">
        <v>0</v>
      </c>
      <c r="X4681" s="42">
        <v>0</v>
      </c>
    </row>
    <row r="4682" spans="1:24">
      <c r="A4682" s="27" t="s">
        <v>8649</v>
      </c>
      <c r="B4682" s="28" t="s">
        <v>5102</v>
      </c>
      <c r="C4682" s="27" t="s">
        <v>8650</v>
      </c>
      <c r="D4682" s="27" t="s">
        <v>230</v>
      </c>
      <c r="E4682" s="29">
        <v>40843</v>
      </c>
      <c r="F4682" s="27">
        <v>15</v>
      </c>
      <c r="G4682" s="18">
        <v>2203682.58</v>
      </c>
      <c r="H4682" s="27">
        <f t="shared" si="146"/>
        <v>0</v>
      </c>
      <c r="I4682" s="18">
        <v>1274213.83</v>
      </c>
      <c r="J4682" s="27">
        <v>2203682.58</v>
      </c>
      <c r="K4682" s="18">
        <f t="shared" si="147"/>
        <v>0</v>
      </c>
      <c r="L4682" s="27">
        <v>1378803.36</v>
      </c>
      <c r="M4682" s="36">
        <v>104589.53</v>
      </c>
      <c r="T4682" s="41">
        <v>0</v>
      </c>
      <c r="U4682" s="41">
        <v>0</v>
      </c>
      <c r="V4682" s="42" t="s">
        <v>113</v>
      </c>
      <c r="W4682" s="42">
        <v>0</v>
      </c>
      <c r="X4682" s="42">
        <v>0</v>
      </c>
    </row>
    <row r="4683" spans="1:24">
      <c r="A4683" s="27" t="s">
        <v>8651</v>
      </c>
      <c r="B4683" s="28" t="s">
        <v>5102</v>
      </c>
      <c r="C4683" s="27" t="s">
        <v>8652</v>
      </c>
      <c r="D4683" s="27" t="s">
        <v>5104</v>
      </c>
      <c r="E4683" s="29">
        <v>41365</v>
      </c>
      <c r="F4683" s="27">
        <v>15</v>
      </c>
      <c r="G4683" s="18">
        <v>369841.39</v>
      </c>
      <c r="H4683" s="27">
        <f t="shared" si="146"/>
        <v>0</v>
      </c>
      <c r="I4683" s="18">
        <v>164181.95000000001</v>
      </c>
      <c r="J4683" s="27">
        <v>369841.39</v>
      </c>
      <c r="K4683" s="18">
        <f t="shared" si="147"/>
        <v>0</v>
      </c>
      <c r="L4683" s="27">
        <v>184235.6</v>
      </c>
      <c r="M4683" s="36">
        <v>20053.650000000001</v>
      </c>
      <c r="T4683" s="41">
        <v>0</v>
      </c>
      <c r="U4683" s="41">
        <v>0</v>
      </c>
      <c r="V4683" s="42" t="s">
        <v>113</v>
      </c>
      <c r="W4683" s="42">
        <v>0</v>
      </c>
      <c r="X4683" s="42">
        <v>0</v>
      </c>
    </row>
    <row r="4684" spans="1:24">
      <c r="A4684" s="27" t="s">
        <v>8653</v>
      </c>
      <c r="B4684" s="28" t="s">
        <v>5102</v>
      </c>
      <c r="C4684" s="27" t="s">
        <v>8654</v>
      </c>
      <c r="D4684" s="27" t="s">
        <v>5104</v>
      </c>
      <c r="E4684" s="29">
        <v>40297</v>
      </c>
      <c r="F4684" s="27">
        <v>15</v>
      </c>
      <c r="G4684" s="18">
        <v>68649.25</v>
      </c>
      <c r="H4684" s="27">
        <f t="shared" si="146"/>
        <v>0</v>
      </c>
      <c r="I4684" s="18">
        <v>47553.19</v>
      </c>
      <c r="J4684" s="27">
        <v>68649.25</v>
      </c>
      <c r="K4684" s="18">
        <f t="shared" si="147"/>
        <v>0</v>
      </c>
      <c r="L4684" s="27">
        <v>50538.59</v>
      </c>
      <c r="M4684" s="36">
        <v>2985.4</v>
      </c>
      <c r="T4684" s="41">
        <v>0</v>
      </c>
      <c r="U4684" s="41">
        <v>0</v>
      </c>
      <c r="V4684" s="42" t="s">
        <v>113</v>
      </c>
      <c r="W4684" s="42">
        <v>0</v>
      </c>
      <c r="X4684" s="42">
        <v>0</v>
      </c>
    </row>
    <row r="4685" spans="1:24">
      <c r="A4685" s="27" t="s">
        <v>8655</v>
      </c>
      <c r="B4685" s="28" t="s">
        <v>5102</v>
      </c>
      <c r="C4685" s="27" t="s">
        <v>8654</v>
      </c>
      <c r="D4685" s="27" t="s">
        <v>5104</v>
      </c>
      <c r="E4685" s="29">
        <v>40297</v>
      </c>
      <c r="F4685" s="27">
        <v>15</v>
      </c>
      <c r="G4685" s="18">
        <v>40233.67</v>
      </c>
      <c r="H4685" s="27">
        <f t="shared" si="146"/>
        <v>0</v>
      </c>
      <c r="I4685" s="18">
        <v>27869.78</v>
      </c>
      <c r="J4685" s="27">
        <v>40233.67</v>
      </c>
      <c r="K4685" s="18">
        <f t="shared" si="147"/>
        <v>0</v>
      </c>
      <c r="L4685" s="27">
        <v>29619.45</v>
      </c>
      <c r="M4685" s="36">
        <v>1749.67</v>
      </c>
      <c r="T4685" s="41">
        <v>0</v>
      </c>
      <c r="U4685" s="41">
        <v>0</v>
      </c>
      <c r="V4685" s="42" t="s">
        <v>113</v>
      </c>
      <c r="W4685" s="42">
        <v>0</v>
      </c>
      <c r="X4685" s="42">
        <v>0</v>
      </c>
    </row>
    <row r="4686" spans="1:24">
      <c r="A4686" s="27" t="s">
        <v>8656</v>
      </c>
      <c r="B4686" s="28" t="s">
        <v>5102</v>
      </c>
      <c r="C4686" s="27" t="s">
        <v>8657</v>
      </c>
      <c r="D4686" s="27" t="s">
        <v>5104</v>
      </c>
      <c r="E4686" s="29">
        <v>40297</v>
      </c>
      <c r="F4686" s="27">
        <v>15</v>
      </c>
      <c r="G4686" s="18">
        <v>202558.73</v>
      </c>
      <c r="H4686" s="27">
        <f t="shared" si="146"/>
        <v>0</v>
      </c>
      <c r="I4686" s="18">
        <v>140312.01999999999</v>
      </c>
      <c r="J4686" s="27">
        <v>202558.73</v>
      </c>
      <c r="K4686" s="18">
        <f t="shared" si="147"/>
        <v>0</v>
      </c>
      <c r="L4686" s="27">
        <v>149120.82999999999</v>
      </c>
      <c r="M4686" s="36">
        <v>8808.81</v>
      </c>
      <c r="T4686" s="41">
        <v>0</v>
      </c>
      <c r="U4686" s="41">
        <v>0</v>
      </c>
      <c r="V4686" s="42" t="s">
        <v>113</v>
      </c>
      <c r="W4686" s="42">
        <v>0</v>
      </c>
      <c r="X4686" s="42">
        <v>0</v>
      </c>
    </row>
    <row r="4687" spans="1:24">
      <c r="A4687" s="27" t="s">
        <v>8658</v>
      </c>
      <c r="B4687" s="28" t="s">
        <v>5102</v>
      </c>
      <c r="C4687" s="27" t="s">
        <v>8657</v>
      </c>
      <c r="D4687" s="27" t="s">
        <v>5104</v>
      </c>
      <c r="E4687" s="29">
        <v>40297</v>
      </c>
      <c r="F4687" s="27">
        <v>15</v>
      </c>
      <c r="G4687" s="18">
        <v>51791.08</v>
      </c>
      <c r="H4687" s="27">
        <f t="shared" si="146"/>
        <v>0</v>
      </c>
      <c r="I4687" s="18">
        <v>35875.57</v>
      </c>
      <c r="J4687" s="27">
        <v>51791.08</v>
      </c>
      <c r="K4687" s="18">
        <f t="shared" si="147"/>
        <v>0</v>
      </c>
      <c r="L4687" s="27">
        <v>38127.839999999997</v>
      </c>
      <c r="M4687" s="36">
        <v>2252.27</v>
      </c>
      <c r="T4687" s="41">
        <v>0</v>
      </c>
      <c r="U4687" s="41">
        <v>0</v>
      </c>
      <c r="V4687" s="42" t="s">
        <v>113</v>
      </c>
      <c r="W4687" s="42">
        <v>0</v>
      </c>
      <c r="X4687" s="42">
        <v>0</v>
      </c>
    </row>
    <row r="4688" spans="1:24">
      <c r="A4688" s="27" t="s">
        <v>8659</v>
      </c>
      <c r="B4688" s="28" t="s">
        <v>5102</v>
      </c>
      <c r="C4688" s="27" t="s">
        <v>8660</v>
      </c>
      <c r="D4688" s="27" t="s">
        <v>5104</v>
      </c>
      <c r="E4688" s="29">
        <v>40297</v>
      </c>
      <c r="F4688" s="27">
        <v>15</v>
      </c>
      <c r="G4688" s="18">
        <v>43622.69</v>
      </c>
      <c r="H4688" s="27">
        <f t="shared" si="146"/>
        <v>0</v>
      </c>
      <c r="I4688" s="18">
        <v>30217.360000000001</v>
      </c>
      <c r="J4688" s="27">
        <v>43622.69</v>
      </c>
      <c r="K4688" s="18">
        <f t="shared" si="147"/>
        <v>0</v>
      </c>
      <c r="L4688" s="27">
        <v>32114.41</v>
      </c>
      <c r="M4688" s="36">
        <v>1897.05</v>
      </c>
      <c r="T4688" s="41">
        <v>0</v>
      </c>
      <c r="U4688" s="41">
        <v>0</v>
      </c>
      <c r="V4688" s="42" t="s">
        <v>113</v>
      </c>
      <c r="W4688" s="42">
        <v>0</v>
      </c>
      <c r="X4688" s="42">
        <v>0</v>
      </c>
    </row>
    <row r="4689" spans="1:24">
      <c r="A4689" s="27" t="s">
        <v>8661</v>
      </c>
      <c r="B4689" s="28" t="s">
        <v>5102</v>
      </c>
      <c r="C4689" s="27" t="s">
        <v>8662</v>
      </c>
      <c r="D4689" s="27" t="s">
        <v>5104</v>
      </c>
      <c r="E4689" s="29">
        <v>40297</v>
      </c>
      <c r="F4689" s="27">
        <v>15</v>
      </c>
      <c r="G4689" s="18">
        <v>102713.18</v>
      </c>
      <c r="H4689" s="27">
        <f t="shared" si="146"/>
        <v>0</v>
      </c>
      <c r="I4689" s="18">
        <v>71149.2</v>
      </c>
      <c r="J4689" s="27">
        <v>102713.18</v>
      </c>
      <c r="K4689" s="18">
        <f t="shared" si="147"/>
        <v>0</v>
      </c>
      <c r="L4689" s="27">
        <v>75615.960000000006</v>
      </c>
      <c r="M4689" s="36">
        <v>4466.76</v>
      </c>
      <c r="T4689" s="41">
        <v>0</v>
      </c>
      <c r="U4689" s="41">
        <v>0</v>
      </c>
      <c r="V4689" s="42" t="s">
        <v>113</v>
      </c>
      <c r="W4689" s="42">
        <v>0</v>
      </c>
      <c r="X4689" s="42">
        <v>0</v>
      </c>
    </row>
    <row r="4690" spans="1:24">
      <c r="A4690" s="27" t="s">
        <v>8663</v>
      </c>
      <c r="B4690" s="28" t="s">
        <v>5102</v>
      </c>
      <c r="C4690" s="27" t="s">
        <v>8664</v>
      </c>
      <c r="D4690" s="27" t="s">
        <v>5104</v>
      </c>
      <c r="E4690" s="29">
        <v>40297</v>
      </c>
      <c r="F4690" s="27">
        <v>15</v>
      </c>
      <c r="G4690" s="18">
        <v>17277.07</v>
      </c>
      <c r="H4690" s="27">
        <f t="shared" si="146"/>
        <v>0</v>
      </c>
      <c r="I4690" s="18">
        <v>11964.87</v>
      </c>
      <c r="J4690" s="27">
        <v>17277.07</v>
      </c>
      <c r="K4690" s="18">
        <f t="shared" si="147"/>
        <v>0</v>
      </c>
      <c r="L4690" s="27">
        <v>12716.7</v>
      </c>
      <c r="M4690" s="36">
        <v>751.83</v>
      </c>
      <c r="T4690" s="41">
        <v>0</v>
      </c>
      <c r="U4690" s="41">
        <v>0</v>
      </c>
      <c r="V4690" s="42" t="s">
        <v>113</v>
      </c>
      <c r="W4690" s="42">
        <v>0</v>
      </c>
      <c r="X4690" s="42">
        <v>0</v>
      </c>
    </row>
    <row r="4691" spans="1:24">
      <c r="A4691" s="27" t="s">
        <v>8665</v>
      </c>
      <c r="B4691" s="28" t="s">
        <v>5102</v>
      </c>
      <c r="C4691" s="27" t="s">
        <v>8666</v>
      </c>
      <c r="D4691" s="27" t="s">
        <v>5104</v>
      </c>
      <c r="E4691" s="29">
        <v>40843</v>
      </c>
      <c r="F4691" s="27">
        <v>15</v>
      </c>
      <c r="G4691" s="18">
        <v>494556.42</v>
      </c>
      <c r="H4691" s="27">
        <f t="shared" si="146"/>
        <v>0</v>
      </c>
      <c r="I4691" s="18">
        <v>286363.11</v>
      </c>
      <c r="J4691" s="27">
        <v>494556.42</v>
      </c>
      <c r="K4691" s="18">
        <f t="shared" si="147"/>
        <v>0</v>
      </c>
      <c r="L4691" s="27">
        <v>309784.24</v>
      </c>
      <c r="M4691" s="36">
        <v>23421.13</v>
      </c>
      <c r="T4691" s="41">
        <v>0</v>
      </c>
      <c r="U4691" s="41">
        <v>0</v>
      </c>
      <c r="V4691" s="42" t="s">
        <v>113</v>
      </c>
      <c r="W4691" s="42">
        <v>0</v>
      </c>
      <c r="X4691" s="42">
        <v>0</v>
      </c>
    </row>
    <row r="4692" spans="1:24">
      <c r="A4692" s="27" t="s">
        <v>8667</v>
      </c>
      <c r="B4692" s="28" t="s">
        <v>5102</v>
      </c>
      <c r="C4692" s="27" t="s">
        <v>8668</v>
      </c>
      <c r="D4692" s="27" t="s">
        <v>230</v>
      </c>
      <c r="E4692" s="29">
        <v>40843</v>
      </c>
      <c r="F4692" s="27">
        <v>15</v>
      </c>
      <c r="G4692" s="18">
        <v>768170.34</v>
      </c>
      <c r="H4692" s="27">
        <f t="shared" si="146"/>
        <v>0</v>
      </c>
      <c r="I4692" s="18">
        <v>505641.77</v>
      </c>
      <c r="J4692" s="27">
        <v>768170.34</v>
      </c>
      <c r="K4692" s="18">
        <f t="shared" si="147"/>
        <v>0</v>
      </c>
      <c r="L4692" s="27">
        <v>534252.84</v>
      </c>
      <c r="M4692" s="36">
        <v>28611.07</v>
      </c>
      <c r="T4692" s="41">
        <v>0</v>
      </c>
      <c r="U4692" s="41">
        <v>0</v>
      </c>
      <c r="V4692" s="42" t="s">
        <v>113</v>
      </c>
      <c r="W4692" s="42">
        <v>0</v>
      </c>
      <c r="X4692" s="42">
        <v>0</v>
      </c>
    </row>
    <row r="4693" spans="1:24">
      <c r="A4693" s="27" t="s">
        <v>8669</v>
      </c>
      <c r="B4693" s="28" t="s">
        <v>5102</v>
      </c>
      <c r="C4693" s="27" t="s">
        <v>8670</v>
      </c>
      <c r="D4693" s="27" t="s">
        <v>230</v>
      </c>
      <c r="E4693" s="29">
        <v>40843</v>
      </c>
      <c r="F4693" s="27">
        <v>15</v>
      </c>
      <c r="G4693" s="18">
        <v>968506.04</v>
      </c>
      <c r="H4693" s="27">
        <f t="shared" si="146"/>
        <v>0</v>
      </c>
      <c r="I4693" s="18">
        <v>293609.73</v>
      </c>
      <c r="J4693" s="27">
        <v>968506.04</v>
      </c>
      <c r="K4693" s="18">
        <f t="shared" si="147"/>
        <v>0</v>
      </c>
      <c r="L4693" s="27">
        <v>373584.75</v>
      </c>
      <c r="M4693" s="36">
        <v>79975.02</v>
      </c>
      <c r="T4693" s="41">
        <v>0</v>
      </c>
      <c r="U4693" s="41">
        <v>0</v>
      </c>
      <c r="V4693" s="42" t="s">
        <v>113</v>
      </c>
      <c r="W4693" s="42">
        <v>0</v>
      </c>
      <c r="X4693" s="42">
        <v>0</v>
      </c>
    </row>
    <row r="4694" spans="1:24">
      <c r="A4694" s="27" t="s">
        <v>8671</v>
      </c>
      <c r="B4694" s="28" t="s">
        <v>5102</v>
      </c>
      <c r="C4694" s="27" t="s">
        <v>8672</v>
      </c>
      <c r="D4694" s="27" t="s">
        <v>5104</v>
      </c>
      <c r="E4694" s="29">
        <v>40843</v>
      </c>
      <c r="F4694" s="27">
        <v>15</v>
      </c>
      <c r="G4694" s="18">
        <v>32193.4</v>
      </c>
      <c r="H4694" s="27">
        <f t="shared" si="146"/>
        <v>0</v>
      </c>
      <c r="I4694" s="18">
        <v>19038.07</v>
      </c>
      <c r="J4694" s="27">
        <v>32193.4</v>
      </c>
      <c r="K4694" s="18">
        <f t="shared" si="147"/>
        <v>0</v>
      </c>
      <c r="L4694" s="27">
        <v>20511.98</v>
      </c>
      <c r="M4694" s="36">
        <v>1473.91</v>
      </c>
      <c r="T4694" s="41">
        <v>0</v>
      </c>
      <c r="U4694" s="41">
        <v>0</v>
      </c>
      <c r="V4694" s="42" t="s">
        <v>113</v>
      </c>
      <c r="W4694" s="42">
        <v>0</v>
      </c>
      <c r="X4694" s="42">
        <v>0</v>
      </c>
    </row>
    <row r="4695" spans="1:24">
      <c r="A4695" s="27" t="s">
        <v>8673</v>
      </c>
      <c r="B4695" s="28" t="s">
        <v>5102</v>
      </c>
      <c r="C4695" s="27" t="s">
        <v>8674</v>
      </c>
      <c r="D4695" s="27" t="s">
        <v>230</v>
      </c>
      <c r="E4695" s="29">
        <v>40843</v>
      </c>
      <c r="F4695" s="27">
        <v>15</v>
      </c>
      <c r="G4695" s="18">
        <v>3136288.18</v>
      </c>
      <c r="H4695" s="27">
        <f t="shared" si="146"/>
        <v>0</v>
      </c>
      <c r="I4695" s="18">
        <v>2195469.6800000002</v>
      </c>
      <c r="J4695" s="27">
        <v>3136288.18</v>
      </c>
      <c r="K4695" s="18">
        <f t="shared" si="147"/>
        <v>0</v>
      </c>
      <c r="L4695" s="27">
        <v>2295555.31</v>
      </c>
      <c r="M4695" s="36">
        <v>100085.63</v>
      </c>
      <c r="T4695" s="41">
        <v>0</v>
      </c>
      <c r="U4695" s="41">
        <v>0</v>
      </c>
      <c r="V4695" s="42" t="s">
        <v>113</v>
      </c>
      <c r="W4695" s="42">
        <v>0</v>
      </c>
      <c r="X4695" s="42">
        <v>0</v>
      </c>
    </row>
    <row r="4696" spans="1:24">
      <c r="A4696" s="27" t="s">
        <v>8675</v>
      </c>
      <c r="B4696" s="28" t="s">
        <v>5102</v>
      </c>
      <c r="C4696" s="27" t="s">
        <v>8676</v>
      </c>
      <c r="D4696" s="27" t="s">
        <v>5104</v>
      </c>
      <c r="E4696" s="29">
        <v>40843</v>
      </c>
      <c r="F4696" s="27">
        <v>15</v>
      </c>
      <c r="G4696" s="18">
        <v>906512.91</v>
      </c>
      <c r="H4696" s="27">
        <f t="shared" si="146"/>
        <v>0</v>
      </c>
      <c r="I4696" s="18">
        <v>524898.38</v>
      </c>
      <c r="J4696" s="27">
        <v>906512.91</v>
      </c>
      <c r="K4696" s="18">
        <f t="shared" si="147"/>
        <v>0</v>
      </c>
      <c r="L4696" s="27">
        <v>567828.88</v>
      </c>
      <c r="M4696" s="36">
        <v>42930.5</v>
      </c>
      <c r="T4696" s="41">
        <v>0</v>
      </c>
      <c r="U4696" s="41">
        <v>0</v>
      </c>
      <c r="V4696" s="42" t="s">
        <v>113</v>
      </c>
      <c r="W4696" s="42">
        <v>0</v>
      </c>
      <c r="X4696" s="42">
        <v>0</v>
      </c>
    </row>
    <row r="4697" spans="1:24">
      <c r="A4697" s="27" t="s">
        <v>8677</v>
      </c>
      <c r="B4697" s="28" t="s">
        <v>5102</v>
      </c>
      <c r="C4697" s="27" t="s">
        <v>8678</v>
      </c>
      <c r="D4697" s="27" t="s">
        <v>5104</v>
      </c>
      <c r="E4697" s="29">
        <v>40843</v>
      </c>
      <c r="F4697" s="27">
        <v>15</v>
      </c>
      <c r="G4697" s="18">
        <v>184476.57</v>
      </c>
      <c r="H4697" s="27">
        <f t="shared" si="146"/>
        <v>0</v>
      </c>
      <c r="I4697" s="18">
        <v>106817.5</v>
      </c>
      <c r="J4697" s="27">
        <v>184476.57</v>
      </c>
      <c r="K4697" s="18">
        <f t="shared" si="147"/>
        <v>0</v>
      </c>
      <c r="L4697" s="27">
        <v>115553.91</v>
      </c>
      <c r="M4697" s="36">
        <v>8736.41</v>
      </c>
      <c r="T4697" s="41">
        <v>0</v>
      </c>
      <c r="U4697" s="41">
        <v>0</v>
      </c>
      <c r="V4697" s="42" t="s">
        <v>113</v>
      </c>
      <c r="W4697" s="42">
        <v>0</v>
      </c>
      <c r="X4697" s="42">
        <v>0</v>
      </c>
    </row>
    <row r="4698" spans="1:24">
      <c r="A4698" s="27" t="s">
        <v>8679</v>
      </c>
      <c r="B4698" s="28" t="s">
        <v>5102</v>
      </c>
      <c r="C4698" s="27" t="s">
        <v>8680</v>
      </c>
      <c r="D4698" s="27" t="s">
        <v>5104</v>
      </c>
      <c r="E4698" s="29">
        <v>40843</v>
      </c>
      <c r="F4698" s="27">
        <v>15</v>
      </c>
      <c r="G4698" s="18">
        <v>151085.48000000001</v>
      </c>
      <c r="H4698" s="27">
        <f t="shared" si="146"/>
        <v>0</v>
      </c>
      <c r="I4698" s="18">
        <v>87483.06</v>
      </c>
      <c r="J4698" s="27">
        <v>151085.48000000001</v>
      </c>
      <c r="K4698" s="18">
        <f t="shared" si="147"/>
        <v>0</v>
      </c>
      <c r="L4698" s="27">
        <v>94638.14</v>
      </c>
      <c r="M4698" s="36">
        <v>7155.08</v>
      </c>
      <c r="T4698" s="41">
        <v>0</v>
      </c>
      <c r="U4698" s="41">
        <v>0</v>
      </c>
      <c r="V4698" s="42" t="s">
        <v>113</v>
      </c>
      <c r="W4698" s="42">
        <v>0</v>
      </c>
      <c r="X4698" s="42">
        <v>0</v>
      </c>
    </row>
    <row r="4699" spans="1:24">
      <c r="A4699" s="27" t="s">
        <v>8681</v>
      </c>
      <c r="B4699" s="28" t="s">
        <v>5102</v>
      </c>
      <c r="C4699" s="27" t="s">
        <v>8682</v>
      </c>
      <c r="D4699" s="27" t="s">
        <v>230</v>
      </c>
      <c r="E4699" s="29">
        <v>40843</v>
      </c>
      <c r="F4699" s="27">
        <v>15</v>
      </c>
      <c r="G4699" s="18">
        <v>2043677.67</v>
      </c>
      <c r="H4699" s="27">
        <f t="shared" si="146"/>
        <v>0</v>
      </c>
      <c r="I4699" s="18">
        <v>1183351.1599999999</v>
      </c>
      <c r="J4699" s="27">
        <v>2043677.67</v>
      </c>
      <c r="K4699" s="18">
        <f t="shared" si="147"/>
        <v>0</v>
      </c>
      <c r="L4699" s="27">
        <v>1280135.33</v>
      </c>
      <c r="M4699" s="36">
        <v>96784.17</v>
      </c>
      <c r="T4699" s="41">
        <v>0</v>
      </c>
      <c r="U4699" s="41">
        <v>0</v>
      </c>
      <c r="V4699" s="42" t="s">
        <v>113</v>
      </c>
      <c r="W4699" s="42">
        <v>0</v>
      </c>
      <c r="X4699" s="42">
        <v>0</v>
      </c>
    </row>
    <row r="4700" spans="1:24">
      <c r="A4700" s="27" t="s">
        <v>8683</v>
      </c>
      <c r="B4700" s="28" t="s">
        <v>5102</v>
      </c>
      <c r="C4700" s="27" t="s">
        <v>8684</v>
      </c>
      <c r="D4700" s="27" t="s">
        <v>230</v>
      </c>
      <c r="E4700" s="29">
        <v>40843</v>
      </c>
      <c r="F4700" s="27">
        <v>15</v>
      </c>
      <c r="G4700" s="18">
        <v>1354577.52</v>
      </c>
      <c r="H4700" s="27">
        <f t="shared" si="146"/>
        <v>0</v>
      </c>
      <c r="I4700" s="18">
        <v>782864.82</v>
      </c>
      <c r="J4700" s="27">
        <v>1354577.52</v>
      </c>
      <c r="K4700" s="18">
        <f t="shared" si="147"/>
        <v>0</v>
      </c>
      <c r="L4700" s="27">
        <v>847203.18</v>
      </c>
      <c r="M4700" s="36">
        <v>64338.36</v>
      </c>
      <c r="T4700" s="41">
        <v>0</v>
      </c>
      <c r="U4700" s="41">
        <v>0</v>
      </c>
      <c r="V4700" s="42" t="s">
        <v>113</v>
      </c>
      <c r="W4700" s="42">
        <v>0</v>
      </c>
      <c r="X4700" s="42">
        <v>0</v>
      </c>
    </row>
    <row r="4701" spans="1:24">
      <c r="A4701" s="27" t="s">
        <v>8685</v>
      </c>
      <c r="B4701" s="28" t="s">
        <v>5102</v>
      </c>
      <c r="C4701" s="27" t="s">
        <v>8686</v>
      </c>
      <c r="D4701" s="27" t="s">
        <v>5104</v>
      </c>
      <c r="E4701" s="29">
        <v>40843</v>
      </c>
      <c r="F4701" s="27">
        <v>15</v>
      </c>
      <c r="G4701" s="18">
        <v>2872652.21</v>
      </c>
      <c r="H4701" s="27">
        <f t="shared" si="146"/>
        <v>0</v>
      </c>
      <c r="I4701" s="18">
        <v>1663352.46</v>
      </c>
      <c r="J4701" s="27">
        <v>2872652.21</v>
      </c>
      <c r="K4701" s="18">
        <f t="shared" si="147"/>
        <v>0</v>
      </c>
      <c r="L4701" s="27">
        <v>1799395.07</v>
      </c>
      <c r="M4701" s="36">
        <v>136042.60999999999</v>
      </c>
      <c r="T4701" s="41">
        <v>0</v>
      </c>
      <c r="U4701" s="41">
        <v>0</v>
      </c>
      <c r="V4701" s="42" t="s">
        <v>113</v>
      </c>
      <c r="W4701" s="42">
        <v>0</v>
      </c>
      <c r="X4701" s="42">
        <v>0</v>
      </c>
    </row>
    <row r="4702" spans="1:24">
      <c r="A4702" s="27" t="s">
        <v>8687</v>
      </c>
      <c r="B4702" s="28" t="s">
        <v>5102</v>
      </c>
      <c r="C4702" s="27" t="s">
        <v>8688</v>
      </c>
      <c r="D4702" s="27" t="s">
        <v>5104</v>
      </c>
      <c r="E4702" s="29">
        <v>40843</v>
      </c>
      <c r="F4702" s="27">
        <v>15</v>
      </c>
      <c r="G4702" s="18">
        <v>3587974.6</v>
      </c>
      <c r="H4702" s="27">
        <f t="shared" si="146"/>
        <v>0</v>
      </c>
      <c r="I4702" s="18">
        <v>2077545.76</v>
      </c>
      <c r="J4702" s="27">
        <v>3587974.6</v>
      </c>
      <c r="K4702" s="18">
        <f t="shared" si="147"/>
        <v>0</v>
      </c>
      <c r="L4702" s="27">
        <v>2247464.5</v>
      </c>
      <c r="M4702" s="36">
        <v>169918.74</v>
      </c>
      <c r="T4702" s="41">
        <v>0</v>
      </c>
      <c r="U4702" s="41">
        <v>0</v>
      </c>
      <c r="V4702" s="42" t="s">
        <v>113</v>
      </c>
      <c r="W4702" s="42">
        <v>0</v>
      </c>
      <c r="X4702" s="42">
        <v>0</v>
      </c>
    </row>
    <row r="4703" spans="1:24">
      <c r="A4703" s="27" t="s">
        <v>8689</v>
      </c>
      <c r="B4703" s="28" t="s">
        <v>5102</v>
      </c>
      <c r="C4703" s="27" t="s">
        <v>8690</v>
      </c>
      <c r="D4703" s="27" t="s">
        <v>5104</v>
      </c>
      <c r="E4703" s="29">
        <v>40843</v>
      </c>
      <c r="F4703" s="27">
        <v>15</v>
      </c>
      <c r="G4703" s="18">
        <v>23685.46</v>
      </c>
      <c r="H4703" s="27">
        <f t="shared" si="146"/>
        <v>0</v>
      </c>
      <c r="I4703" s="18">
        <v>13714.59</v>
      </c>
      <c r="J4703" s="27">
        <v>23685.46</v>
      </c>
      <c r="K4703" s="18">
        <f t="shared" si="147"/>
        <v>0</v>
      </c>
      <c r="L4703" s="27">
        <v>14836.28</v>
      </c>
      <c r="M4703" s="36">
        <v>1121.69</v>
      </c>
      <c r="T4703" s="41">
        <v>0</v>
      </c>
      <c r="U4703" s="41">
        <v>0</v>
      </c>
      <c r="V4703" s="42" t="s">
        <v>113</v>
      </c>
      <c r="W4703" s="42">
        <v>0</v>
      </c>
      <c r="X4703" s="42">
        <v>0</v>
      </c>
    </row>
    <row r="4704" spans="1:24">
      <c r="A4704" s="27" t="s">
        <v>8691</v>
      </c>
      <c r="B4704" s="28" t="s">
        <v>5102</v>
      </c>
      <c r="C4704" s="27" t="s">
        <v>8692</v>
      </c>
      <c r="D4704" s="27" t="s">
        <v>5104</v>
      </c>
      <c r="E4704" s="29">
        <v>40843</v>
      </c>
      <c r="F4704" s="27">
        <v>15</v>
      </c>
      <c r="G4704" s="18">
        <v>162946.54</v>
      </c>
      <c r="H4704" s="27">
        <f t="shared" si="146"/>
        <v>0</v>
      </c>
      <c r="I4704" s="18">
        <v>94350.97</v>
      </c>
      <c r="J4704" s="27">
        <v>162946.54</v>
      </c>
      <c r="K4704" s="18">
        <f t="shared" si="147"/>
        <v>0</v>
      </c>
      <c r="L4704" s="27">
        <v>102067.77</v>
      </c>
      <c r="M4704" s="36">
        <v>7716.8</v>
      </c>
      <c r="T4704" s="41">
        <v>0</v>
      </c>
      <c r="U4704" s="41">
        <v>0</v>
      </c>
      <c r="V4704" s="42" t="s">
        <v>113</v>
      </c>
      <c r="W4704" s="42">
        <v>0</v>
      </c>
      <c r="X4704" s="42">
        <v>0</v>
      </c>
    </row>
    <row r="4705" spans="1:24">
      <c r="A4705" s="27" t="s">
        <v>8693</v>
      </c>
      <c r="B4705" s="28" t="s">
        <v>5102</v>
      </c>
      <c r="C4705" s="27" t="s">
        <v>8694</v>
      </c>
      <c r="D4705" s="27" t="s">
        <v>5104</v>
      </c>
      <c r="E4705" s="29">
        <v>40843</v>
      </c>
      <c r="F4705" s="27">
        <v>15</v>
      </c>
      <c r="G4705" s="18">
        <v>1497491.87</v>
      </c>
      <c r="H4705" s="27">
        <f t="shared" si="146"/>
        <v>0</v>
      </c>
      <c r="I4705" s="18">
        <v>869816.45</v>
      </c>
      <c r="J4705" s="27">
        <v>1497491.87</v>
      </c>
      <c r="K4705" s="18">
        <f t="shared" si="147"/>
        <v>0</v>
      </c>
      <c r="L4705" s="27">
        <v>940386.77</v>
      </c>
      <c r="M4705" s="36">
        <v>70570.320000000007</v>
      </c>
      <c r="T4705" s="41">
        <v>0</v>
      </c>
      <c r="U4705" s="41">
        <v>0</v>
      </c>
      <c r="V4705" s="42" t="s">
        <v>113</v>
      </c>
      <c r="W4705" s="42">
        <v>0</v>
      </c>
      <c r="X4705" s="42">
        <v>0</v>
      </c>
    </row>
    <row r="4706" spans="1:24">
      <c r="A4706" s="27" t="s">
        <v>8695</v>
      </c>
      <c r="B4706" s="28" t="s">
        <v>5102</v>
      </c>
      <c r="C4706" s="27" t="s">
        <v>8696</v>
      </c>
      <c r="D4706" s="27" t="s">
        <v>5104</v>
      </c>
      <c r="E4706" s="29">
        <v>40843</v>
      </c>
      <c r="F4706" s="27">
        <v>15</v>
      </c>
      <c r="G4706" s="18">
        <v>553211.47</v>
      </c>
      <c r="H4706" s="27">
        <f t="shared" si="146"/>
        <v>0</v>
      </c>
      <c r="I4706" s="18">
        <v>320326.15999999997</v>
      </c>
      <c r="J4706" s="27">
        <v>553211.47</v>
      </c>
      <c r="K4706" s="18">
        <f t="shared" si="147"/>
        <v>0</v>
      </c>
      <c r="L4706" s="27">
        <v>346525.06</v>
      </c>
      <c r="M4706" s="36">
        <v>26198.9</v>
      </c>
      <c r="T4706" s="41">
        <v>0</v>
      </c>
      <c r="U4706" s="41">
        <v>0</v>
      </c>
      <c r="V4706" s="42" t="s">
        <v>113</v>
      </c>
      <c r="W4706" s="42">
        <v>0</v>
      </c>
      <c r="X4706" s="42">
        <v>0</v>
      </c>
    </row>
    <row r="4707" spans="1:24">
      <c r="A4707" s="27" t="s">
        <v>8697</v>
      </c>
      <c r="B4707" s="28" t="s">
        <v>5102</v>
      </c>
      <c r="C4707" s="27" t="s">
        <v>8698</v>
      </c>
      <c r="D4707" s="27" t="s">
        <v>5104</v>
      </c>
      <c r="E4707" s="29">
        <v>40843</v>
      </c>
      <c r="F4707" s="27">
        <v>15</v>
      </c>
      <c r="G4707" s="18">
        <v>1436323.31</v>
      </c>
      <c r="H4707" s="27">
        <f t="shared" si="146"/>
        <v>0</v>
      </c>
      <c r="I4707" s="18">
        <v>1031365.51</v>
      </c>
      <c r="J4707" s="27">
        <v>1436323.31</v>
      </c>
      <c r="K4707" s="18">
        <f t="shared" si="147"/>
        <v>0</v>
      </c>
      <c r="L4707" s="27">
        <v>1073894.23</v>
      </c>
      <c r="M4707" s="36">
        <v>42528.72</v>
      </c>
      <c r="T4707" s="41">
        <v>0</v>
      </c>
      <c r="U4707" s="41">
        <v>0</v>
      </c>
      <c r="V4707" s="42" t="s">
        <v>113</v>
      </c>
      <c r="W4707" s="42">
        <v>0</v>
      </c>
      <c r="X4707" s="42">
        <v>0</v>
      </c>
    </row>
    <row r="4708" spans="1:24">
      <c r="A4708" s="27" t="s">
        <v>8699</v>
      </c>
      <c r="B4708" s="28" t="s">
        <v>5102</v>
      </c>
      <c r="C4708" s="27" t="s">
        <v>8700</v>
      </c>
      <c r="D4708" s="27" t="s">
        <v>5104</v>
      </c>
      <c r="E4708" s="29">
        <v>40843</v>
      </c>
      <c r="F4708" s="27">
        <v>15</v>
      </c>
      <c r="G4708" s="18">
        <v>66942.37</v>
      </c>
      <c r="H4708" s="27">
        <f t="shared" si="146"/>
        <v>0</v>
      </c>
      <c r="I4708" s="18">
        <v>38761.660000000003</v>
      </c>
      <c r="J4708" s="27">
        <v>66942.37</v>
      </c>
      <c r="K4708" s="18">
        <f t="shared" si="147"/>
        <v>0</v>
      </c>
      <c r="L4708" s="27">
        <v>41931.910000000003</v>
      </c>
      <c r="M4708" s="36">
        <v>3170.25</v>
      </c>
      <c r="T4708" s="41">
        <v>0</v>
      </c>
      <c r="U4708" s="41">
        <v>0</v>
      </c>
      <c r="V4708" s="42" t="s">
        <v>113</v>
      </c>
      <c r="W4708" s="42">
        <v>0</v>
      </c>
      <c r="X4708" s="42">
        <v>0</v>
      </c>
    </row>
    <row r="4709" spans="1:24">
      <c r="A4709" s="27" t="s">
        <v>8701</v>
      </c>
      <c r="B4709" s="28" t="s">
        <v>5102</v>
      </c>
      <c r="C4709" s="27" t="s">
        <v>8702</v>
      </c>
      <c r="D4709" s="27" t="s">
        <v>5104</v>
      </c>
      <c r="E4709" s="29">
        <v>40843</v>
      </c>
      <c r="F4709" s="27">
        <v>15</v>
      </c>
      <c r="G4709" s="18">
        <v>7361.14</v>
      </c>
      <c r="H4709" s="27">
        <f t="shared" si="146"/>
        <v>0</v>
      </c>
      <c r="I4709" s="18">
        <v>4262.32</v>
      </c>
      <c r="J4709" s="27">
        <v>7361.14</v>
      </c>
      <c r="K4709" s="18">
        <f t="shared" si="147"/>
        <v>0</v>
      </c>
      <c r="L4709" s="27">
        <v>4610.93</v>
      </c>
      <c r="M4709" s="36">
        <v>348.61</v>
      </c>
      <c r="T4709" s="41">
        <v>0</v>
      </c>
      <c r="U4709" s="41">
        <v>0</v>
      </c>
      <c r="V4709" s="42" t="s">
        <v>113</v>
      </c>
      <c r="W4709" s="42">
        <v>0</v>
      </c>
      <c r="X4709" s="42">
        <v>0</v>
      </c>
    </row>
    <row r="4710" spans="1:24">
      <c r="A4710" s="27" t="s">
        <v>8703</v>
      </c>
      <c r="B4710" s="28" t="s">
        <v>5102</v>
      </c>
      <c r="C4710" s="27" t="s">
        <v>8704</v>
      </c>
      <c r="D4710" s="27" t="s">
        <v>5104</v>
      </c>
      <c r="E4710" s="29">
        <v>40843</v>
      </c>
      <c r="F4710" s="27">
        <v>15</v>
      </c>
      <c r="G4710" s="18">
        <v>34163.26</v>
      </c>
      <c r="H4710" s="27">
        <f t="shared" si="146"/>
        <v>0</v>
      </c>
      <c r="I4710" s="18">
        <v>19781.55</v>
      </c>
      <c r="J4710" s="27">
        <v>34163.26</v>
      </c>
      <c r="K4710" s="18">
        <f t="shared" si="147"/>
        <v>0</v>
      </c>
      <c r="L4710" s="27">
        <v>21399.45</v>
      </c>
      <c r="M4710" s="36">
        <v>1617.9</v>
      </c>
      <c r="T4710" s="41">
        <v>0</v>
      </c>
      <c r="U4710" s="41">
        <v>0</v>
      </c>
      <c r="V4710" s="42" t="s">
        <v>113</v>
      </c>
      <c r="W4710" s="42">
        <v>0</v>
      </c>
      <c r="X4710" s="42">
        <v>0</v>
      </c>
    </row>
    <row r="4711" spans="1:24">
      <c r="A4711" s="27" t="s">
        <v>8705</v>
      </c>
      <c r="B4711" s="28" t="s">
        <v>5102</v>
      </c>
      <c r="C4711" s="27" t="s">
        <v>8706</v>
      </c>
      <c r="D4711" s="27" t="s">
        <v>5104</v>
      </c>
      <c r="E4711" s="29">
        <v>40843</v>
      </c>
      <c r="F4711" s="27">
        <v>15</v>
      </c>
      <c r="G4711" s="18">
        <v>93636.02</v>
      </c>
      <c r="H4711" s="27">
        <f t="shared" si="146"/>
        <v>0</v>
      </c>
      <c r="I4711" s="18">
        <v>54218.09</v>
      </c>
      <c r="J4711" s="27">
        <v>93636.02</v>
      </c>
      <c r="K4711" s="18">
        <f t="shared" si="147"/>
        <v>0</v>
      </c>
      <c r="L4711" s="27">
        <v>58652.49</v>
      </c>
      <c r="M4711" s="36">
        <v>4434.3999999999996</v>
      </c>
      <c r="T4711" s="41">
        <v>0</v>
      </c>
      <c r="U4711" s="41">
        <v>0</v>
      </c>
      <c r="V4711" s="42" t="s">
        <v>113</v>
      </c>
      <c r="W4711" s="42">
        <v>0</v>
      </c>
      <c r="X4711" s="42">
        <v>0</v>
      </c>
    </row>
    <row r="4712" spans="1:24">
      <c r="A4712" s="27" t="s">
        <v>8707</v>
      </c>
      <c r="B4712" s="28" t="s">
        <v>5102</v>
      </c>
      <c r="C4712" s="27" t="s">
        <v>8708</v>
      </c>
      <c r="D4712" s="27" t="s">
        <v>5104</v>
      </c>
      <c r="E4712" s="29">
        <v>40843</v>
      </c>
      <c r="F4712" s="27">
        <v>15</v>
      </c>
      <c r="G4712" s="18">
        <v>72487.45</v>
      </c>
      <c r="H4712" s="27">
        <f t="shared" si="146"/>
        <v>0</v>
      </c>
      <c r="I4712" s="18">
        <v>41972.43</v>
      </c>
      <c r="J4712" s="27">
        <v>72487.45</v>
      </c>
      <c r="K4712" s="18">
        <f t="shared" si="147"/>
        <v>0</v>
      </c>
      <c r="L4712" s="27">
        <v>45405.279999999999</v>
      </c>
      <c r="M4712" s="36">
        <v>3432.85</v>
      </c>
      <c r="T4712" s="41">
        <v>0</v>
      </c>
      <c r="U4712" s="41">
        <v>0</v>
      </c>
      <c r="V4712" s="42" t="s">
        <v>113</v>
      </c>
      <c r="W4712" s="42">
        <v>0</v>
      </c>
      <c r="X4712" s="42">
        <v>0</v>
      </c>
    </row>
    <row r="4713" spans="1:24">
      <c r="A4713" s="27" t="s">
        <v>8709</v>
      </c>
      <c r="B4713" s="28" t="s">
        <v>5102</v>
      </c>
      <c r="C4713" s="27" t="s">
        <v>8708</v>
      </c>
      <c r="D4713" s="27" t="s">
        <v>5104</v>
      </c>
      <c r="E4713" s="29">
        <v>40843</v>
      </c>
      <c r="F4713" s="27">
        <v>15</v>
      </c>
      <c r="G4713" s="18">
        <v>43829.62</v>
      </c>
      <c r="H4713" s="27">
        <f t="shared" si="146"/>
        <v>0</v>
      </c>
      <c r="I4713" s="18">
        <v>25378.69</v>
      </c>
      <c r="J4713" s="27">
        <v>43829.62</v>
      </c>
      <c r="K4713" s="18">
        <f t="shared" si="147"/>
        <v>0</v>
      </c>
      <c r="L4713" s="27">
        <v>27454.36</v>
      </c>
      <c r="M4713" s="36">
        <v>2075.67</v>
      </c>
      <c r="T4713" s="41">
        <v>0</v>
      </c>
      <c r="U4713" s="41">
        <v>0</v>
      </c>
      <c r="V4713" s="42" t="s">
        <v>113</v>
      </c>
      <c r="W4713" s="42">
        <v>0</v>
      </c>
      <c r="X4713" s="42">
        <v>0</v>
      </c>
    </row>
    <row r="4714" spans="1:24">
      <c r="A4714" s="27" t="s">
        <v>8710</v>
      </c>
      <c r="B4714" s="28" t="s">
        <v>5102</v>
      </c>
      <c r="C4714" s="27" t="s">
        <v>8711</v>
      </c>
      <c r="D4714" s="27" t="s">
        <v>5104</v>
      </c>
      <c r="E4714" s="29">
        <v>40843</v>
      </c>
      <c r="F4714" s="27">
        <v>15</v>
      </c>
      <c r="G4714" s="18">
        <v>43369.87</v>
      </c>
      <c r="H4714" s="27">
        <f t="shared" si="146"/>
        <v>0</v>
      </c>
      <c r="I4714" s="18">
        <v>25112.48</v>
      </c>
      <c r="J4714" s="27">
        <v>43369.87</v>
      </c>
      <c r="K4714" s="18">
        <f t="shared" si="147"/>
        <v>0</v>
      </c>
      <c r="L4714" s="27">
        <v>27166.38</v>
      </c>
      <c r="M4714" s="36">
        <v>2053.9</v>
      </c>
      <c r="T4714" s="41">
        <v>0</v>
      </c>
      <c r="U4714" s="41">
        <v>0</v>
      </c>
      <c r="V4714" s="42" t="s">
        <v>113</v>
      </c>
      <c r="W4714" s="42">
        <v>0</v>
      </c>
      <c r="X4714" s="42">
        <v>0</v>
      </c>
    </row>
    <row r="4715" spans="1:24">
      <c r="A4715" s="27" t="s">
        <v>8712</v>
      </c>
      <c r="B4715" s="28" t="s">
        <v>5102</v>
      </c>
      <c r="C4715" s="27" t="s">
        <v>8713</v>
      </c>
      <c r="D4715" s="27" t="s">
        <v>5104</v>
      </c>
      <c r="E4715" s="29">
        <v>40843</v>
      </c>
      <c r="F4715" s="27">
        <v>15</v>
      </c>
      <c r="G4715" s="18">
        <v>85973.49</v>
      </c>
      <c r="H4715" s="27">
        <f t="shared" si="146"/>
        <v>0</v>
      </c>
      <c r="I4715" s="18">
        <v>49781.24</v>
      </c>
      <c r="J4715" s="27">
        <v>85973.49</v>
      </c>
      <c r="K4715" s="18">
        <f t="shared" si="147"/>
        <v>0</v>
      </c>
      <c r="L4715" s="27">
        <v>53852.76</v>
      </c>
      <c r="M4715" s="36">
        <v>4071.52</v>
      </c>
      <c r="T4715" s="41">
        <v>0</v>
      </c>
      <c r="U4715" s="41">
        <v>0</v>
      </c>
      <c r="V4715" s="42" t="s">
        <v>113</v>
      </c>
      <c r="W4715" s="42">
        <v>0</v>
      </c>
      <c r="X4715" s="42">
        <v>0</v>
      </c>
    </row>
    <row r="4716" spans="1:24">
      <c r="A4716" s="27" t="s">
        <v>8714</v>
      </c>
      <c r="B4716" s="28" t="s">
        <v>5102</v>
      </c>
      <c r="C4716" s="27" t="s">
        <v>8713</v>
      </c>
      <c r="D4716" s="27" t="s">
        <v>5104</v>
      </c>
      <c r="E4716" s="29">
        <v>40843</v>
      </c>
      <c r="F4716" s="27">
        <v>15</v>
      </c>
      <c r="G4716" s="18">
        <v>15478.29</v>
      </c>
      <c r="H4716" s="27">
        <f t="shared" si="146"/>
        <v>0</v>
      </c>
      <c r="I4716" s="18">
        <v>8962.4</v>
      </c>
      <c r="J4716" s="27">
        <v>15478.29</v>
      </c>
      <c r="K4716" s="18">
        <f t="shared" si="147"/>
        <v>0</v>
      </c>
      <c r="L4716" s="27">
        <v>9695.42</v>
      </c>
      <c r="M4716" s="36">
        <v>733.02</v>
      </c>
      <c r="T4716" s="41">
        <v>0</v>
      </c>
      <c r="U4716" s="41">
        <v>0</v>
      </c>
      <c r="V4716" s="42" t="s">
        <v>113</v>
      </c>
      <c r="W4716" s="42">
        <v>0</v>
      </c>
      <c r="X4716" s="42">
        <v>0</v>
      </c>
    </row>
    <row r="4717" spans="1:24">
      <c r="A4717" s="27" t="s">
        <v>8715</v>
      </c>
      <c r="B4717" s="28" t="s">
        <v>5102</v>
      </c>
      <c r="C4717" s="27" t="s">
        <v>8716</v>
      </c>
      <c r="D4717" s="27" t="s">
        <v>5104</v>
      </c>
      <c r="E4717" s="29">
        <v>40843</v>
      </c>
      <c r="F4717" s="27">
        <v>15</v>
      </c>
      <c r="G4717" s="18">
        <v>44442.62</v>
      </c>
      <c r="H4717" s="27">
        <f t="shared" si="146"/>
        <v>0</v>
      </c>
      <c r="I4717" s="18">
        <v>25733.63</v>
      </c>
      <c r="J4717" s="27">
        <v>44442.62</v>
      </c>
      <c r="K4717" s="18">
        <f t="shared" si="147"/>
        <v>0</v>
      </c>
      <c r="L4717" s="27">
        <v>27838.34</v>
      </c>
      <c r="M4717" s="36">
        <v>2104.71</v>
      </c>
      <c r="T4717" s="41">
        <v>0</v>
      </c>
      <c r="U4717" s="41">
        <v>0</v>
      </c>
      <c r="V4717" s="42" t="s">
        <v>113</v>
      </c>
      <c r="W4717" s="42">
        <v>0</v>
      </c>
      <c r="X4717" s="42">
        <v>0</v>
      </c>
    </row>
    <row r="4718" spans="1:24">
      <c r="A4718" s="27" t="s">
        <v>8717</v>
      </c>
      <c r="B4718" s="28" t="s">
        <v>5102</v>
      </c>
      <c r="C4718" s="27" t="s">
        <v>8716</v>
      </c>
      <c r="D4718" s="27" t="s">
        <v>5104</v>
      </c>
      <c r="E4718" s="29">
        <v>40843</v>
      </c>
      <c r="F4718" s="27">
        <v>15</v>
      </c>
      <c r="G4718" s="18">
        <v>26972.080000000002</v>
      </c>
      <c r="H4718" s="27">
        <f t="shared" si="146"/>
        <v>0</v>
      </c>
      <c r="I4718" s="18">
        <v>15617.65</v>
      </c>
      <c r="J4718" s="27">
        <v>26972.080000000002</v>
      </c>
      <c r="K4718" s="18">
        <f t="shared" si="147"/>
        <v>0</v>
      </c>
      <c r="L4718" s="27">
        <v>16894.990000000002</v>
      </c>
      <c r="M4718" s="36">
        <v>1277.3399999999999</v>
      </c>
      <c r="T4718" s="41">
        <v>0</v>
      </c>
      <c r="U4718" s="41">
        <v>0</v>
      </c>
      <c r="V4718" s="42" t="s">
        <v>113</v>
      </c>
      <c r="W4718" s="42">
        <v>0</v>
      </c>
      <c r="X4718" s="42">
        <v>0</v>
      </c>
    </row>
    <row r="4719" spans="1:24">
      <c r="A4719" s="27" t="s">
        <v>8718</v>
      </c>
      <c r="B4719" s="28" t="s">
        <v>5102</v>
      </c>
      <c r="C4719" s="27" t="s">
        <v>8716</v>
      </c>
      <c r="D4719" s="27" t="s">
        <v>5104</v>
      </c>
      <c r="E4719" s="29">
        <v>40843</v>
      </c>
      <c r="F4719" s="27">
        <v>15</v>
      </c>
      <c r="G4719" s="18">
        <v>9348.2800000000007</v>
      </c>
      <c r="H4719" s="27">
        <f t="shared" si="146"/>
        <v>0</v>
      </c>
      <c r="I4719" s="18">
        <v>5412.94</v>
      </c>
      <c r="J4719" s="27">
        <v>9348.2800000000007</v>
      </c>
      <c r="K4719" s="18">
        <f t="shared" si="147"/>
        <v>0</v>
      </c>
      <c r="L4719" s="27">
        <v>5855.65</v>
      </c>
      <c r="M4719" s="36">
        <v>442.71</v>
      </c>
      <c r="T4719" s="41">
        <v>0</v>
      </c>
      <c r="U4719" s="41">
        <v>0</v>
      </c>
      <c r="V4719" s="42" t="s">
        <v>113</v>
      </c>
      <c r="W4719" s="42">
        <v>0</v>
      </c>
      <c r="X4719" s="42">
        <v>0</v>
      </c>
    </row>
    <row r="4720" spans="1:24">
      <c r="A4720" s="27" t="s">
        <v>8719</v>
      </c>
      <c r="B4720" s="28" t="s">
        <v>5102</v>
      </c>
      <c r="C4720" s="27" t="s">
        <v>8720</v>
      </c>
      <c r="D4720" s="27" t="s">
        <v>5104</v>
      </c>
      <c r="E4720" s="29">
        <v>40843</v>
      </c>
      <c r="F4720" s="27">
        <v>15</v>
      </c>
      <c r="G4720" s="18">
        <v>91093.23</v>
      </c>
      <c r="H4720" s="27">
        <f t="shared" si="146"/>
        <v>0</v>
      </c>
      <c r="I4720" s="18">
        <v>52745.75</v>
      </c>
      <c r="J4720" s="27">
        <v>91093.23</v>
      </c>
      <c r="K4720" s="18">
        <f t="shared" si="147"/>
        <v>0</v>
      </c>
      <c r="L4720" s="27">
        <v>57059.73</v>
      </c>
      <c r="M4720" s="36">
        <v>4313.9799999999996</v>
      </c>
      <c r="T4720" s="41">
        <v>0</v>
      </c>
      <c r="U4720" s="41">
        <v>0</v>
      </c>
      <c r="V4720" s="42" t="s">
        <v>113</v>
      </c>
      <c r="W4720" s="42">
        <v>0</v>
      </c>
      <c r="X4720" s="42">
        <v>0</v>
      </c>
    </row>
    <row r="4721" spans="1:24">
      <c r="A4721" s="27" t="s">
        <v>8721</v>
      </c>
      <c r="B4721" s="28" t="s">
        <v>5102</v>
      </c>
      <c r="C4721" s="27" t="s">
        <v>8722</v>
      </c>
      <c r="D4721" s="27" t="s">
        <v>5104</v>
      </c>
      <c r="E4721" s="29">
        <v>40843</v>
      </c>
      <c r="F4721" s="27">
        <v>15</v>
      </c>
      <c r="G4721" s="18">
        <v>69341.5</v>
      </c>
      <c r="H4721" s="27">
        <f t="shared" si="146"/>
        <v>0</v>
      </c>
      <c r="I4721" s="18">
        <v>40150.82</v>
      </c>
      <c r="J4721" s="27">
        <v>69341.5</v>
      </c>
      <c r="K4721" s="18">
        <f t="shared" si="147"/>
        <v>0</v>
      </c>
      <c r="L4721" s="27">
        <v>43434.68</v>
      </c>
      <c r="M4721" s="36">
        <v>3283.86</v>
      </c>
      <c r="T4721" s="41">
        <v>0</v>
      </c>
      <c r="U4721" s="41">
        <v>0</v>
      </c>
      <c r="V4721" s="42" t="s">
        <v>113</v>
      </c>
      <c r="W4721" s="42">
        <v>0</v>
      </c>
      <c r="X4721" s="42">
        <v>0</v>
      </c>
    </row>
    <row r="4722" spans="1:24">
      <c r="A4722" s="27" t="s">
        <v>8723</v>
      </c>
      <c r="B4722" s="28" t="s">
        <v>5102</v>
      </c>
      <c r="C4722" s="27" t="s">
        <v>8724</v>
      </c>
      <c r="D4722" s="27" t="s">
        <v>5104</v>
      </c>
      <c r="E4722" s="29">
        <v>40843</v>
      </c>
      <c r="F4722" s="27">
        <v>15</v>
      </c>
      <c r="G4722" s="18">
        <v>53876.39</v>
      </c>
      <c r="H4722" s="27">
        <f t="shared" si="146"/>
        <v>0</v>
      </c>
      <c r="I4722" s="18">
        <v>31196.05</v>
      </c>
      <c r="J4722" s="27">
        <v>53876.39</v>
      </c>
      <c r="K4722" s="18">
        <f t="shared" si="147"/>
        <v>0</v>
      </c>
      <c r="L4722" s="27">
        <v>33747.519999999997</v>
      </c>
      <c r="M4722" s="36">
        <v>2551.4699999999998</v>
      </c>
      <c r="T4722" s="41">
        <v>0</v>
      </c>
      <c r="U4722" s="41">
        <v>0</v>
      </c>
      <c r="V4722" s="42" t="s">
        <v>113</v>
      </c>
      <c r="W4722" s="42">
        <v>0</v>
      </c>
      <c r="X4722" s="42">
        <v>0</v>
      </c>
    </row>
    <row r="4723" spans="1:24">
      <c r="A4723" s="27" t="s">
        <v>8725</v>
      </c>
      <c r="B4723" s="28" t="s">
        <v>5102</v>
      </c>
      <c r="C4723" s="27" t="s">
        <v>8726</v>
      </c>
      <c r="D4723" s="27" t="s">
        <v>5104</v>
      </c>
      <c r="E4723" s="29">
        <v>40843</v>
      </c>
      <c r="F4723" s="27">
        <v>15</v>
      </c>
      <c r="G4723" s="18">
        <v>102974.95</v>
      </c>
      <c r="H4723" s="27">
        <f t="shared" si="146"/>
        <v>0</v>
      </c>
      <c r="I4723" s="18">
        <v>59625.599999999999</v>
      </c>
      <c r="J4723" s="27">
        <v>102974.95</v>
      </c>
      <c r="K4723" s="18">
        <f t="shared" si="147"/>
        <v>0</v>
      </c>
      <c r="L4723" s="27">
        <v>64502.27</v>
      </c>
      <c r="M4723" s="36">
        <v>4876.67</v>
      </c>
      <c r="T4723" s="41">
        <v>0</v>
      </c>
      <c r="U4723" s="41">
        <v>0</v>
      </c>
      <c r="V4723" s="42" t="s">
        <v>113</v>
      </c>
      <c r="W4723" s="42">
        <v>0</v>
      </c>
      <c r="X4723" s="42">
        <v>0</v>
      </c>
    </row>
    <row r="4724" spans="1:24">
      <c r="A4724" s="27" t="s">
        <v>8727</v>
      </c>
      <c r="B4724" s="28" t="s">
        <v>5102</v>
      </c>
      <c r="C4724" s="27" t="s">
        <v>8728</v>
      </c>
      <c r="D4724" s="27" t="s">
        <v>5104</v>
      </c>
      <c r="E4724" s="29">
        <v>40843</v>
      </c>
      <c r="F4724" s="27">
        <v>15</v>
      </c>
      <c r="G4724" s="18">
        <v>106935.53</v>
      </c>
      <c r="H4724" s="27">
        <f t="shared" si="146"/>
        <v>0</v>
      </c>
      <c r="I4724" s="18">
        <v>61918.91</v>
      </c>
      <c r="J4724" s="27">
        <v>106935.53</v>
      </c>
      <c r="K4724" s="18">
        <f t="shared" si="147"/>
        <v>0</v>
      </c>
      <c r="L4724" s="27">
        <v>66983.14</v>
      </c>
      <c r="M4724" s="36">
        <v>5064.2299999999996</v>
      </c>
      <c r="T4724" s="41">
        <v>0</v>
      </c>
      <c r="U4724" s="41">
        <v>0</v>
      </c>
      <c r="V4724" s="42" t="s">
        <v>113</v>
      </c>
      <c r="W4724" s="42">
        <v>0</v>
      </c>
      <c r="X4724" s="42">
        <v>0</v>
      </c>
    </row>
    <row r="4725" spans="1:24">
      <c r="A4725" s="27" t="s">
        <v>8729</v>
      </c>
      <c r="B4725" s="28" t="s">
        <v>5102</v>
      </c>
      <c r="C4725" s="27" t="s">
        <v>8730</v>
      </c>
      <c r="D4725" s="27" t="s">
        <v>5104</v>
      </c>
      <c r="E4725" s="29">
        <v>40843</v>
      </c>
      <c r="F4725" s="27">
        <v>15</v>
      </c>
      <c r="G4725" s="18">
        <v>51110.28</v>
      </c>
      <c r="H4725" s="27">
        <f t="shared" si="146"/>
        <v>0</v>
      </c>
      <c r="I4725" s="18">
        <v>29594.400000000001</v>
      </c>
      <c r="J4725" s="27">
        <v>51110.28</v>
      </c>
      <c r="K4725" s="18">
        <f t="shared" si="147"/>
        <v>0</v>
      </c>
      <c r="L4725" s="27">
        <v>32014.87</v>
      </c>
      <c r="M4725" s="36">
        <v>2420.4699999999998</v>
      </c>
      <c r="T4725" s="41">
        <v>0</v>
      </c>
      <c r="U4725" s="41">
        <v>0</v>
      </c>
      <c r="V4725" s="42" t="s">
        <v>113</v>
      </c>
      <c r="W4725" s="42">
        <v>0</v>
      </c>
      <c r="X4725" s="42">
        <v>0</v>
      </c>
    </row>
    <row r="4726" spans="1:24">
      <c r="A4726" s="27" t="s">
        <v>8731</v>
      </c>
      <c r="B4726" s="28" t="s">
        <v>5102</v>
      </c>
      <c r="C4726" s="27" t="s">
        <v>8732</v>
      </c>
      <c r="D4726" s="27" t="s">
        <v>5104</v>
      </c>
      <c r="E4726" s="29">
        <v>40843</v>
      </c>
      <c r="F4726" s="27">
        <v>15</v>
      </c>
      <c r="G4726" s="18">
        <v>50481.62</v>
      </c>
      <c r="H4726" s="27">
        <f t="shared" si="146"/>
        <v>0</v>
      </c>
      <c r="I4726" s="18">
        <v>29230.38</v>
      </c>
      <c r="J4726" s="27">
        <v>50481.62</v>
      </c>
      <c r="K4726" s="18">
        <f t="shared" si="147"/>
        <v>0</v>
      </c>
      <c r="L4726" s="27">
        <v>31621.08</v>
      </c>
      <c r="M4726" s="36">
        <v>2390.6999999999998</v>
      </c>
      <c r="T4726" s="41">
        <v>0</v>
      </c>
      <c r="U4726" s="41">
        <v>0</v>
      </c>
      <c r="V4726" s="42" t="s">
        <v>113</v>
      </c>
      <c r="W4726" s="42">
        <v>0</v>
      </c>
      <c r="X4726" s="42">
        <v>0</v>
      </c>
    </row>
    <row r="4727" spans="1:24">
      <c r="A4727" s="27" t="s">
        <v>8733</v>
      </c>
      <c r="B4727" s="28" t="s">
        <v>5102</v>
      </c>
      <c r="C4727" s="27" t="s">
        <v>8734</v>
      </c>
      <c r="D4727" s="27" t="s">
        <v>5104</v>
      </c>
      <c r="E4727" s="29">
        <v>40843</v>
      </c>
      <c r="F4727" s="27">
        <v>15</v>
      </c>
      <c r="G4727" s="18">
        <v>130698.97</v>
      </c>
      <c r="H4727" s="27">
        <f t="shared" si="146"/>
        <v>0</v>
      </c>
      <c r="I4727" s="18">
        <v>75678.649999999994</v>
      </c>
      <c r="J4727" s="27">
        <v>130698.97</v>
      </c>
      <c r="K4727" s="18">
        <f t="shared" si="147"/>
        <v>0</v>
      </c>
      <c r="L4727" s="27">
        <v>81868.27</v>
      </c>
      <c r="M4727" s="36">
        <v>6189.62</v>
      </c>
      <c r="T4727" s="41">
        <v>0</v>
      </c>
      <c r="U4727" s="41">
        <v>0</v>
      </c>
      <c r="V4727" s="42" t="s">
        <v>113</v>
      </c>
      <c r="W4727" s="42">
        <v>0</v>
      </c>
      <c r="X4727" s="42">
        <v>0</v>
      </c>
    </row>
    <row r="4728" spans="1:24">
      <c r="A4728" s="27" t="s">
        <v>8735</v>
      </c>
      <c r="B4728" s="28" t="s">
        <v>5102</v>
      </c>
      <c r="C4728" s="27" t="s">
        <v>8736</v>
      </c>
      <c r="D4728" s="27" t="s">
        <v>5104</v>
      </c>
      <c r="E4728" s="29">
        <v>40843</v>
      </c>
      <c r="F4728" s="27">
        <v>15</v>
      </c>
      <c r="G4728" s="18">
        <v>113536.49</v>
      </c>
      <c r="H4728" s="27">
        <f t="shared" si="146"/>
        <v>0</v>
      </c>
      <c r="I4728" s="18">
        <v>65741.070000000007</v>
      </c>
      <c r="J4728" s="27">
        <v>113536.49</v>
      </c>
      <c r="K4728" s="18">
        <f t="shared" si="147"/>
        <v>0</v>
      </c>
      <c r="L4728" s="27">
        <v>71117.91</v>
      </c>
      <c r="M4728" s="36">
        <v>5376.84</v>
      </c>
      <c r="T4728" s="41">
        <v>0</v>
      </c>
      <c r="U4728" s="41">
        <v>0</v>
      </c>
      <c r="V4728" s="42" t="s">
        <v>113</v>
      </c>
      <c r="W4728" s="42">
        <v>0</v>
      </c>
      <c r="X4728" s="42">
        <v>0</v>
      </c>
    </row>
    <row r="4729" spans="1:24">
      <c r="A4729" s="27" t="s">
        <v>8737</v>
      </c>
      <c r="B4729" s="28" t="s">
        <v>5102</v>
      </c>
      <c r="C4729" s="27" t="s">
        <v>8738</v>
      </c>
      <c r="D4729" s="27" t="s">
        <v>5104</v>
      </c>
      <c r="E4729" s="29">
        <v>40843</v>
      </c>
      <c r="F4729" s="27">
        <v>15</v>
      </c>
      <c r="G4729" s="18">
        <v>512552.96000000002</v>
      </c>
      <c r="H4729" s="27">
        <f t="shared" si="146"/>
        <v>0</v>
      </c>
      <c r="I4729" s="18">
        <v>287888.46999999997</v>
      </c>
      <c r="J4729" s="27">
        <v>512552.96000000002</v>
      </c>
      <c r="K4729" s="18">
        <f t="shared" si="147"/>
        <v>0</v>
      </c>
      <c r="L4729" s="27">
        <v>313297.43</v>
      </c>
      <c r="M4729" s="36">
        <v>25408.959999999999</v>
      </c>
      <c r="T4729" s="41">
        <v>0</v>
      </c>
      <c r="U4729" s="41">
        <v>0</v>
      </c>
      <c r="V4729" s="42" t="s">
        <v>113</v>
      </c>
      <c r="W4729" s="42">
        <v>0</v>
      </c>
      <c r="X4729" s="42">
        <v>0</v>
      </c>
    </row>
    <row r="4730" spans="1:24">
      <c r="A4730" s="27" t="s">
        <v>8739</v>
      </c>
      <c r="B4730" s="28" t="s">
        <v>5102</v>
      </c>
      <c r="C4730" s="27" t="s">
        <v>8740</v>
      </c>
      <c r="D4730" s="27" t="s">
        <v>230</v>
      </c>
      <c r="E4730" s="29">
        <v>40843</v>
      </c>
      <c r="F4730" s="27">
        <v>15</v>
      </c>
      <c r="G4730" s="18">
        <v>2056559.5</v>
      </c>
      <c r="H4730" s="27">
        <f t="shared" si="146"/>
        <v>0</v>
      </c>
      <c r="I4730" s="18">
        <v>1116169.6399999999</v>
      </c>
      <c r="J4730" s="27">
        <v>2923693.8</v>
      </c>
      <c r="K4730" s="18">
        <f t="shared" si="147"/>
        <v>0</v>
      </c>
      <c r="L4730" s="27">
        <v>1279259.0900000001</v>
      </c>
      <c r="M4730" s="36">
        <v>163089.45000000001</v>
      </c>
      <c r="N4730" s="18" t="s">
        <v>123</v>
      </c>
      <c r="O4730" s="19">
        <v>867134.3</v>
      </c>
      <c r="T4730" s="41">
        <v>0</v>
      </c>
      <c r="U4730" s="41">
        <v>0</v>
      </c>
      <c r="V4730" s="42" t="s">
        <v>113</v>
      </c>
      <c r="W4730" s="42">
        <v>0</v>
      </c>
      <c r="X4730" s="42">
        <v>0</v>
      </c>
    </row>
    <row r="4731" spans="1:24">
      <c r="A4731" s="27" t="s">
        <v>8741</v>
      </c>
      <c r="B4731" s="28" t="s">
        <v>5102</v>
      </c>
      <c r="C4731" s="27" t="s">
        <v>8742</v>
      </c>
      <c r="D4731" s="27" t="s">
        <v>5104</v>
      </c>
      <c r="E4731" s="29">
        <v>40843</v>
      </c>
      <c r="F4731" s="27">
        <v>15</v>
      </c>
      <c r="G4731" s="18">
        <v>1104528.51</v>
      </c>
      <c r="H4731" s="27">
        <f t="shared" si="146"/>
        <v>0</v>
      </c>
      <c r="I4731" s="18">
        <v>646261.44999999995</v>
      </c>
      <c r="J4731" s="27">
        <v>1104528.51</v>
      </c>
      <c r="K4731" s="18">
        <f t="shared" si="147"/>
        <v>0</v>
      </c>
      <c r="L4731" s="27">
        <v>697713.45</v>
      </c>
      <c r="M4731" s="36">
        <v>51452</v>
      </c>
      <c r="T4731" s="41">
        <v>0</v>
      </c>
      <c r="U4731" s="41">
        <v>0</v>
      </c>
      <c r="V4731" s="42" t="s">
        <v>113</v>
      </c>
      <c r="W4731" s="42">
        <v>0</v>
      </c>
      <c r="X4731" s="42">
        <v>0</v>
      </c>
    </row>
    <row r="4732" spans="1:24">
      <c r="A4732" s="27" t="s">
        <v>8743</v>
      </c>
      <c r="B4732" s="28" t="s">
        <v>5102</v>
      </c>
      <c r="C4732" s="27" t="s">
        <v>8744</v>
      </c>
      <c r="D4732" s="27" t="s">
        <v>5104</v>
      </c>
      <c r="E4732" s="29">
        <v>40843</v>
      </c>
      <c r="F4732" s="27">
        <v>15</v>
      </c>
      <c r="G4732" s="18">
        <v>48995.72</v>
      </c>
      <c r="H4732" s="27">
        <f t="shared" si="146"/>
        <v>0</v>
      </c>
      <c r="I4732" s="18">
        <v>28370</v>
      </c>
      <c r="J4732" s="27">
        <v>48995.72</v>
      </c>
      <c r="K4732" s="18">
        <f t="shared" si="147"/>
        <v>0</v>
      </c>
      <c r="L4732" s="27">
        <v>30690.33</v>
      </c>
      <c r="M4732" s="36">
        <v>2320.33</v>
      </c>
      <c r="T4732" s="41">
        <v>0</v>
      </c>
      <c r="U4732" s="41">
        <v>0</v>
      </c>
      <c r="V4732" s="42" t="s">
        <v>113</v>
      </c>
      <c r="W4732" s="42">
        <v>0</v>
      </c>
      <c r="X4732" s="42">
        <v>0</v>
      </c>
    </row>
    <row r="4733" spans="1:24">
      <c r="A4733" s="27" t="s">
        <v>8745</v>
      </c>
      <c r="B4733" s="28" t="s">
        <v>5102</v>
      </c>
      <c r="C4733" s="27" t="s">
        <v>8746</v>
      </c>
      <c r="D4733" s="27" t="s">
        <v>5104</v>
      </c>
      <c r="E4733" s="29">
        <v>40843</v>
      </c>
      <c r="F4733" s="27">
        <v>15</v>
      </c>
      <c r="G4733" s="18">
        <v>87301.45</v>
      </c>
      <c r="H4733" s="27">
        <f t="shared" si="146"/>
        <v>0</v>
      </c>
      <c r="I4733" s="18">
        <v>50550.19</v>
      </c>
      <c r="J4733" s="27">
        <v>87301.45</v>
      </c>
      <c r="K4733" s="18">
        <f t="shared" si="147"/>
        <v>0</v>
      </c>
      <c r="L4733" s="27">
        <v>54684.6</v>
      </c>
      <c r="M4733" s="36">
        <v>4134.41</v>
      </c>
      <c r="T4733" s="41">
        <v>0</v>
      </c>
      <c r="U4733" s="41">
        <v>0</v>
      </c>
      <c r="V4733" s="42" t="s">
        <v>113</v>
      </c>
      <c r="W4733" s="42">
        <v>0</v>
      </c>
      <c r="X4733" s="42">
        <v>0</v>
      </c>
    </row>
    <row r="4734" spans="1:24">
      <c r="A4734" s="27" t="s">
        <v>8747</v>
      </c>
      <c r="B4734" s="28" t="s">
        <v>5102</v>
      </c>
      <c r="C4734" s="27" t="s">
        <v>8748</v>
      </c>
      <c r="D4734" s="27" t="s">
        <v>5104</v>
      </c>
      <c r="E4734" s="29">
        <v>40843</v>
      </c>
      <c r="F4734" s="27">
        <v>15</v>
      </c>
      <c r="G4734" s="18">
        <v>67814.53</v>
      </c>
      <c r="H4734" s="27">
        <f t="shared" si="146"/>
        <v>0</v>
      </c>
      <c r="I4734" s="18">
        <v>39266.65</v>
      </c>
      <c r="J4734" s="27">
        <v>67814.53</v>
      </c>
      <c r="K4734" s="18">
        <f t="shared" si="147"/>
        <v>0</v>
      </c>
      <c r="L4734" s="27">
        <v>42478.2</v>
      </c>
      <c r="M4734" s="36">
        <v>3211.55</v>
      </c>
      <c r="T4734" s="41">
        <v>0</v>
      </c>
      <c r="U4734" s="41">
        <v>0</v>
      </c>
      <c r="V4734" s="42" t="s">
        <v>113</v>
      </c>
      <c r="W4734" s="42">
        <v>0</v>
      </c>
      <c r="X4734" s="42">
        <v>0</v>
      </c>
    </row>
    <row r="4735" spans="1:24">
      <c r="A4735" s="27" t="s">
        <v>8749</v>
      </c>
      <c r="B4735" s="28" t="s">
        <v>5102</v>
      </c>
      <c r="C4735" s="27" t="s">
        <v>8750</v>
      </c>
      <c r="D4735" s="27" t="s">
        <v>5104</v>
      </c>
      <c r="E4735" s="29">
        <v>40843</v>
      </c>
      <c r="F4735" s="27">
        <v>15</v>
      </c>
      <c r="G4735" s="18">
        <v>42759.9</v>
      </c>
      <c r="H4735" s="27">
        <f t="shared" si="146"/>
        <v>0</v>
      </c>
      <c r="I4735" s="18">
        <v>24759.27</v>
      </c>
      <c r="J4735" s="27">
        <v>42759.9</v>
      </c>
      <c r="K4735" s="18">
        <f t="shared" si="147"/>
        <v>0</v>
      </c>
      <c r="L4735" s="27">
        <v>26784.29</v>
      </c>
      <c r="M4735" s="36">
        <v>2025.02</v>
      </c>
      <c r="T4735" s="41">
        <v>0</v>
      </c>
      <c r="U4735" s="41">
        <v>0</v>
      </c>
      <c r="V4735" s="42" t="s">
        <v>113</v>
      </c>
      <c r="W4735" s="42">
        <v>0</v>
      </c>
      <c r="X4735" s="42">
        <v>0</v>
      </c>
    </row>
    <row r="4736" spans="1:24">
      <c r="A4736" s="27" t="s">
        <v>8751</v>
      </c>
      <c r="B4736" s="28" t="s">
        <v>5102</v>
      </c>
      <c r="C4736" s="27" t="s">
        <v>8752</v>
      </c>
      <c r="D4736" s="27" t="s">
        <v>5104</v>
      </c>
      <c r="E4736" s="29">
        <v>40843</v>
      </c>
      <c r="F4736" s="27">
        <v>15</v>
      </c>
      <c r="G4736" s="18">
        <v>27281.71</v>
      </c>
      <c r="H4736" s="27">
        <f t="shared" si="146"/>
        <v>0</v>
      </c>
      <c r="I4736" s="18">
        <v>15796.93</v>
      </c>
      <c r="J4736" s="27">
        <v>27281.71</v>
      </c>
      <c r="K4736" s="18">
        <f t="shared" si="147"/>
        <v>0</v>
      </c>
      <c r="L4736" s="27">
        <v>17088.93</v>
      </c>
      <c r="M4736" s="36">
        <v>1292</v>
      </c>
      <c r="T4736" s="41">
        <v>0</v>
      </c>
      <c r="U4736" s="41">
        <v>0</v>
      </c>
      <c r="V4736" s="42" t="s">
        <v>113</v>
      </c>
      <c r="W4736" s="42">
        <v>0</v>
      </c>
      <c r="X4736" s="42">
        <v>0</v>
      </c>
    </row>
    <row r="4737" spans="1:24">
      <c r="A4737" s="27" t="s">
        <v>8753</v>
      </c>
      <c r="B4737" s="28" t="s">
        <v>5102</v>
      </c>
      <c r="C4737" s="27" t="s">
        <v>8754</v>
      </c>
      <c r="D4737" s="27" t="s">
        <v>5104</v>
      </c>
      <c r="E4737" s="29">
        <v>40843</v>
      </c>
      <c r="F4737" s="27">
        <v>15</v>
      </c>
      <c r="G4737" s="18">
        <v>188633.5</v>
      </c>
      <c r="H4737" s="27">
        <f t="shared" si="146"/>
        <v>0</v>
      </c>
      <c r="I4737" s="18">
        <v>109224.5</v>
      </c>
      <c r="J4737" s="27">
        <v>188633.5</v>
      </c>
      <c r="K4737" s="18">
        <f t="shared" si="147"/>
        <v>0</v>
      </c>
      <c r="L4737" s="27">
        <v>118157.77</v>
      </c>
      <c r="M4737" s="36">
        <v>8933.27</v>
      </c>
      <c r="T4737" s="41">
        <v>0</v>
      </c>
      <c r="U4737" s="41">
        <v>0</v>
      </c>
      <c r="V4737" s="42" t="s">
        <v>113</v>
      </c>
      <c r="W4737" s="42">
        <v>0</v>
      </c>
      <c r="X4737" s="42">
        <v>0</v>
      </c>
    </row>
    <row r="4738" spans="1:24">
      <c r="A4738" s="27" t="s">
        <v>8755</v>
      </c>
      <c r="B4738" s="28" t="s">
        <v>5102</v>
      </c>
      <c r="C4738" s="27" t="s">
        <v>8756</v>
      </c>
      <c r="D4738" s="27" t="s">
        <v>5104</v>
      </c>
      <c r="E4738" s="29">
        <v>40843</v>
      </c>
      <c r="F4738" s="27">
        <v>15</v>
      </c>
      <c r="G4738" s="18">
        <v>7572.07</v>
      </c>
      <c r="H4738" s="27">
        <f t="shared" si="146"/>
        <v>0</v>
      </c>
      <c r="I4738" s="18">
        <v>4384.46</v>
      </c>
      <c r="J4738" s="27">
        <v>7572.07</v>
      </c>
      <c r="K4738" s="18">
        <f t="shared" si="147"/>
        <v>0</v>
      </c>
      <c r="L4738" s="27">
        <v>4743.0600000000004</v>
      </c>
      <c r="M4738" s="36">
        <v>358.6</v>
      </c>
      <c r="T4738" s="41">
        <v>0</v>
      </c>
      <c r="U4738" s="41">
        <v>0</v>
      </c>
      <c r="V4738" s="42" t="s">
        <v>113</v>
      </c>
      <c r="W4738" s="42">
        <v>0</v>
      </c>
      <c r="X4738" s="42">
        <v>0</v>
      </c>
    </row>
    <row r="4739" spans="1:24">
      <c r="A4739" s="27" t="s">
        <v>8757</v>
      </c>
      <c r="B4739" s="28" t="s">
        <v>5102</v>
      </c>
      <c r="C4739" s="27" t="s">
        <v>8758</v>
      </c>
      <c r="D4739" s="27" t="s">
        <v>5104</v>
      </c>
      <c r="E4739" s="29">
        <v>40843</v>
      </c>
      <c r="F4739" s="27">
        <v>15</v>
      </c>
      <c r="G4739" s="18">
        <v>18423.87</v>
      </c>
      <c r="H4739" s="27">
        <f t="shared" si="146"/>
        <v>0</v>
      </c>
      <c r="I4739" s="18">
        <v>10667.98</v>
      </c>
      <c r="J4739" s="27">
        <v>18423.87</v>
      </c>
      <c r="K4739" s="18">
        <f t="shared" si="147"/>
        <v>0</v>
      </c>
      <c r="L4739" s="27">
        <v>11540.49</v>
      </c>
      <c r="M4739" s="36">
        <v>872.51</v>
      </c>
      <c r="T4739" s="41">
        <v>0</v>
      </c>
      <c r="U4739" s="41">
        <v>0</v>
      </c>
      <c r="V4739" s="42" t="s">
        <v>113</v>
      </c>
      <c r="W4739" s="42">
        <v>0</v>
      </c>
      <c r="X4739" s="42">
        <v>0</v>
      </c>
    </row>
    <row r="4740" spans="1:24">
      <c r="A4740" s="27" t="s">
        <v>8759</v>
      </c>
      <c r="B4740" s="28" t="s">
        <v>5102</v>
      </c>
      <c r="C4740" s="27" t="s">
        <v>8760</v>
      </c>
      <c r="D4740" s="27" t="s">
        <v>5104</v>
      </c>
      <c r="E4740" s="29">
        <v>40843</v>
      </c>
      <c r="F4740" s="27">
        <v>15</v>
      </c>
      <c r="G4740" s="18">
        <v>1140302.72</v>
      </c>
      <c r="H4740" s="27">
        <f t="shared" si="146"/>
        <v>0</v>
      </c>
      <c r="I4740" s="18">
        <v>699078.92</v>
      </c>
      <c r="J4740" s="27">
        <v>1140302.72</v>
      </c>
      <c r="K4740" s="18">
        <f t="shared" si="147"/>
        <v>0</v>
      </c>
      <c r="L4740" s="27">
        <v>748126.83</v>
      </c>
      <c r="M4740" s="36">
        <v>49047.91</v>
      </c>
      <c r="T4740" s="41">
        <v>0</v>
      </c>
      <c r="U4740" s="41">
        <v>0</v>
      </c>
      <c r="V4740" s="42" t="s">
        <v>113</v>
      </c>
      <c r="W4740" s="42">
        <v>0</v>
      </c>
      <c r="X4740" s="42">
        <v>0</v>
      </c>
    </row>
    <row r="4741" spans="1:24">
      <c r="A4741" s="27" t="s">
        <v>8761</v>
      </c>
      <c r="B4741" s="28" t="s">
        <v>5102</v>
      </c>
      <c r="C4741" s="27" t="s">
        <v>8762</v>
      </c>
      <c r="D4741" s="27" t="s">
        <v>5104</v>
      </c>
      <c r="E4741" s="29">
        <v>40843</v>
      </c>
      <c r="F4741" s="27">
        <v>15</v>
      </c>
      <c r="G4741" s="18">
        <v>202170.75</v>
      </c>
      <c r="H4741" s="27">
        <f t="shared" si="146"/>
        <v>0</v>
      </c>
      <c r="I4741" s="18">
        <v>117062.97</v>
      </c>
      <c r="J4741" s="27">
        <v>202170.75</v>
      </c>
      <c r="K4741" s="18">
        <f t="shared" si="147"/>
        <v>0</v>
      </c>
      <c r="L4741" s="27">
        <v>126637.34</v>
      </c>
      <c r="M4741" s="36">
        <v>9574.3700000000008</v>
      </c>
      <c r="T4741" s="41">
        <v>0</v>
      </c>
      <c r="U4741" s="41">
        <v>0</v>
      </c>
      <c r="V4741" s="42" t="s">
        <v>113</v>
      </c>
      <c r="W4741" s="42">
        <v>0</v>
      </c>
      <c r="X4741" s="42">
        <v>0</v>
      </c>
    </row>
    <row r="4742" spans="1:24">
      <c r="A4742" s="27" t="s">
        <v>8763</v>
      </c>
      <c r="B4742" s="28" t="s">
        <v>5102</v>
      </c>
      <c r="C4742" s="27" t="s">
        <v>8764</v>
      </c>
      <c r="D4742" s="27" t="s">
        <v>5104</v>
      </c>
      <c r="E4742" s="29">
        <v>40843</v>
      </c>
      <c r="F4742" s="27">
        <v>15</v>
      </c>
      <c r="G4742" s="18">
        <v>213789.76</v>
      </c>
      <c r="H4742" s="27">
        <f t="shared" ref="H4742:H4805" si="148">IFERROR(IF(ROUND((G4742-I4742)/G4742,2)&lt;=0.05,G4742,0),0)</f>
        <v>0</v>
      </c>
      <c r="I4742" s="18">
        <v>123790.73</v>
      </c>
      <c r="J4742" s="27">
        <v>213789.76</v>
      </c>
      <c r="K4742" s="18">
        <f t="shared" ref="K4742:K4805" si="149">IFERROR(IF(ROUND((J4742-L4742)/J4742,2)&lt;=0.05,J4742,0),0)</f>
        <v>0</v>
      </c>
      <c r="L4742" s="27">
        <v>133915.35</v>
      </c>
      <c r="M4742" s="36">
        <v>10124.620000000001</v>
      </c>
      <c r="T4742" s="41">
        <v>0</v>
      </c>
      <c r="U4742" s="41">
        <v>0</v>
      </c>
      <c r="V4742" s="42" t="s">
        <v>113</v>
      </c>
      <c r="W4742" s="42">
        <v>0</v>
      </c>
      <c r="X4742" s="42">
        <v>0</v>
      </c>
    </row>
    <row r="4743" spans="1:24">
      <c r="A4743" s="27" t="s">
        <v>8765</v>
      </c>
      <c r="B4743" s="28" t="s">
        <v>5102</v>
      </c>
      <c r="C4743" s="27" t="s">
        <v>8766</v>
      </c>
      <c r="D4743" s="27" t="s">
        <v>5104</v>
      </c>
      <c r="E4743" s="29">
        <v>40843</v>
      </c>
      <c r="F4743" s="27">
        <v>15</v>
      </c>
      <c r="G4743" s="18">
        <v>98583.94</v>
      </c>
      <c r="H4743" s="27">
        <f t="shared" si="148"/>
        <v>0</v>
      </c>
      <c r="I4743" s="18">
        <v>57083.08</v>
      </c>
      <c r="J4743" s="27">
        <v>98583.94</v>
      </c>
      <c r="K4743" s="18">
        <f t="shared" si="149"/>
        <v>0</v>
      </c>
      <c r="L4743" s="27">
        <v>61751.8</v>
      </c>
      <c r="M4743" s="36">
        <v>4668.72</v>
      </c>
      <c r="T4743" s="41">
        <v>0</v>
      </c>
      <c r="U4743" s="41">
        <v>0</v>
      </c>
      <c r="V4743" s="42" t="s">
        <v>113</v>
      </c>
      <c r="W4743" s="42">
        <v>0</v>
      </c>
      <c r="X4743" s="42">
        <v>0</v>
      </c>
    </row>
    <row r="4744" spans="1:24">
      <c r="A4744" s="27" t="s">
        <v>8767</v>
      </c>
      <c r="B4744" s="28" t="s">
        <v>5102</v>
      </c>
      <c r="C4744" s="27" t="s">
        <v>8768</v>
      </c>
      <c r="D4744" s="27" t="s">
        <v>5104</v>
      </c>
      <c r="E4744" s="29">
        <v>40843</v>
      </c>
      <c r="F4744" s="27">
        <v>15</v>
      </c>
      <c r="G4744" s="18">
        <v>91169.78</v>
      </c>
      <c r="H4744" s="27">
        <f t="shared" si="148"/>
        <v>0</v>
      </c>
      <c r="I4744" s="18">
        <v>52790.06</v>
      </c>
      <c r="J4744" s="27">
        <v>91169.78</v>
      </c>
      <c r="K4744" s="18">
        <f t="shared" si="149"/>
        <v>0</v>
      </c>
      <c r="L4744" s="27">
        <v>57107.66</v>
      </c>
      <c r="M4744" s="36">
        <v>4317.6000000000004</v>
      </c>
      <c r="T4744" s="41">
        <v>0</v>
      </c>
      <c r="U4744" s="41">
        <v>0</v>
      </c>
      <c r="V4744" s="42" t="s">
        <v>113</v>
      </c>
      <c r="W4744" s="42">
        <v>0</v>
      </c>
      <c r="X4744" s="42">
        <v>0</v>
      </c>
    </row>
    <row r="4745" spans="1:24">
      <c r="A4745" s="27" t="s">
        <v>8769</v>
      </c>
      <c r="B4745" s="28" t="s">
        <v>5102</v>
      </c>
      <c r="C4745" s="27" t="s">
        <v>8770</v>
      </c>
      <c r="D4745" s="27" t="s">
        <v>5104</v>
      </c>
      <c r="E4745" s="29">
        <v>40843</v>
      </c>
      <c r="F4745" s="27">
        <v>15</v>
      </c>
      <c r="G4745" s="18">
        <v>63224.08</v>
      </c>
      <c r="H4745" s="27">
        <f t="shared" si="148"/>
        <v>0</v>
      </c>
      <c r="I4745" s="18">
        <v>36608.660000000003</v>
      </c>
      <c r="J4745" s="27">
        <v>63224.08</v>
      </c>
      <c r="K4745" s="18">
        <f t="shared" si="149"/>
        <v>0</v>
      </c>
      <c r="L4745" s="27">
        <v>39602.82</v>
      </c>
      <c r="M4745" s="36">
        <v>2994.16</v>
      </c>
      <c r="T4745" s="41">
        <v>0</v>
      </c>
      <c r="U4745" s="41">
        <v>0</v>
      </c>
      <c r="V4745" s="42" t="s">
        <v>113</v>
      </c>
      <c r="W4745" s="42">
        <v>0</v>
      </c>
      <c r="X4745" s="42">
        <v>0</v>
      </c>
    </row>
    <row r="4746" spans="1:24">
      <c r="A4746" s="27" t="s">
        <v>8771</v>
      </c>
      <c r="B4746" s="28" t="s">
        <v>5102</v>
      </c>
      <c r="C4746" s="27" t="s">
        <v>8772</v>
      </c>
      <c r="D4746" s="27" t="s">
        <v>5104</v>
      </c>
      <c r="E4746" s="29">
        <v>40843</v>
      </c>
      <c r="F4746" s="27">
        <v>15</v>
      </c>
      <c r="G4746" s="18">
        <v>75445.23</v>
      </c>
      <c r="H4746" s="27">
        <f t="shared" si="148"/>
        <v>0</v>
      </c>
      <c r="I4746" s="18">
        <v>43685.08</v>
      </c>
      <c r="J4746" s="27">
        <v>75445.23</v>
      </c>
      <c r="K4746" s="18">
        <f t="shared" si="149"/>
        <v>0</v>
      </c>
      <c r="L4746" s="27">
        <v>47258</v>
      </c>
      <c r="M4746" s="36">
        <v>3572.92</v>
      </c>
      <c r="T4746" s="41">
        <v>0</v>
      </c>
      <c r="U4746" s="41">
        <v>0</v>
      </c>
      <c r="V4746" s="42" t="s">
        <v>113</v>
      </c>
      <c r="W4746" s="42">
        <v>0</v>
      </c>
      <c r="X4746" s="42">
        <v>0</v>
      </c>
    </row>
    <row r="4747" spans="1:24">
      <c r="A4747" s="27" t="s">
        <v>8773</v>
      </c>
      <c r="B4747" s="28" t="s">
        <v>5102</v>
      </c>
      <c r="C4747" s="27" t="s">
        <v>8774</v>
      </c>
      <c r="D4747" s="27" t="s">
        <v>5104</v>
      </c>
      <c r="E4747" s="29">
        <v>40843</v>
      </c>
      <c r="F4747" s="27">
        <v>15</v>
      </c>
      <c r="G4747" s="18">
        <v>129625.66</v>
      </c>
      <c r="H4747" s="27">
        <f t="shared" si="148"/>
        <v>0</v>
      </c>
      <c r="I4747" s="18">
        <v>75057.17</v>
      </c>
      <c r="J4747" s="27">
        <v>129625.66</v>
      </c>
      <c r="K4747" s="18">
        <f t="shared" si="149"/>
        <v>0</v>
      </c>
      <c r="L4747" s="27">
        <v>81195.960000000006</v>
      </c>
      <c r="M4747" s="36">
        <v>6138.79</v>
      </c>
      <c r="T4747" s="41">
        <v>0</v>
      </c>
      <c r="U4747" s="41">
        <v>0</v>
      </c>
      <c r="V4747" s="42" t="s">
        <v>113</v>
      </c>
      <c r="W4747" s="42">
        <v>0</v>
      </c>
      <c r="X4747" s="42">
        <v>0</v>
      </c>
    </row>
    <row r="4748" spans="1:24">
      <c r="A4748" s="27" t="s">
        <v>8775</v>
      </c>
      <c r="B4748" s="28" t="s">
        <v>5102</v>
      </c>
      <c r="C4748" s="27" t="s">
        <v>8776</v>
      </c>
      <c r="D4748" s="27" t="s">
        <v>5104</v>
      </c>
      <c r="E4748" s="29">
        <v>40843</v>
      </c>
      <c r="F4748" s="27">
        <v>15</v>
      </c>
      <c r="G4748" s="18">
        <v>87340.479999999996</v>
      </c>
      <c r="H4748" s="27">
        <f t="shared" si="148"/>
        <v>0</v>
      </c>
      <c r="I4748" s="18">
        <v>50572.78</v>
      </c>
      <c r="J4748" s="27">
        <v>87340.479999999996</v>
      </c>
      <c r="K4748" s="18">
        <f t="shared" si="149"/>
        <v>0</v>
      </c>
      <c r="L4748" s="27">
        <v>54709.04</v>
      </c>
      <c r="M4748" s="36">
        <v>4136.26</v>
      </c>
      <c r="T4748" s="41">
        <v>0</v>
      </c>
      <c r="U4748" s="41">
        <v>0</v>
      </c>
      <c r="V4748" s="42" t="s">
        <v>113</v>
      </c>
      <c r="W4748" s="42">
        <v>0</v>
      </c>
      <c r="X4748" s="42">
        <v>0</v>
      </c>
    </row>
    <row r="4749" spans="1:24">
      <c r="A4749" s="27" t="s">
        <v>8777</v>
      </c>
      <c r="B4749" s="28" t="s">
        <v>5102</v>
      </c>
      <c r="C4749" s="27" t="s">
        <v>8776</v>
      </c>
      <c r="D4749" s="27" t="s">
        <v>5104</v>
      </c>
      <c r="E4749" s="29">
        <v>40843</v>
      </c>
      <c r="F4749" s="27">
        <v>15</v>
      </c>
      <c r="G4749" s="18">
        <v>49291.97</v>
      </c>
      <c r="H4749" s="27">
        <f t="shared" si="148"/>
        <v>0</v>
      </c>
      <c r="I4749" s="18">
        <v>28541.54</v>
      </c>
      <c r="J4749" s="27">
        <v>49291.97</v>
      </c>
      <c r="K4749" s="18">
        <f t="shared" si="149"/>
        <v>0</v>
      </c>
      <c r="L4749" s="27">
        <v>30875.9</v>
      </c>
      <c r="M4749" s="36">
        <v>2334.36</v>
      </c>
      <c r="T4749" s="41">
        <v>0</v>
      </c>
      <c r="U4749" s="41">
        <v>0</v>
      </c>
      <c r="V4749" s="42" t="s">
        <v>113</v>
      </c>
      <c r="W4749" s="42">
        <v>0</v>
      </c>
      <c r="X4749" s="42">
        <v>0</v>
      </c>
    </row>
    <row r="4750" spans="1:24">
      <c r="A4750" s="27" t="s">
        <v>8778</v>
      </c>
      <c r="B4750" s="28" t="s">
        <v>5102</v>
      </c>
      <c r="C4750" s="27" t="s">
        <v>8779</v>
      </c>
      <c r="D4750" s="27" t="s">
        <v>5104</v>
      </c>
      <c r="E4750" s="29">
        <v>40843</v>
      </c>
      <c r="F4750" s="27">
        <v>15</v>
      </c>
      <c r="G4750" s="18">
        <v>71609.11</v>
      </c>
      <c r="H4750" s="27">
        <f t="shared" si="148"/>
        <v>0</v>
      </c>
      <c r="I4750" s="18">
        <v>41463.839999999997</v>
      </c>
      <c r="J4750" s="27">
        <v>71609.11</v>
      </c>
      <c r="K4750" s="18">
        <f t="shared" si="149"/>
        <v>0</v>
      </c>
      <c r="L4750" s="27">
        <v>44855.09</v>
      </c>
      <c r="M4750" s="36">
        <v>3391.25</v>
      </c>
      <c r="T4750" s="41">
        <v>0</v>
      </c>
      <c r="U4750" s="41">
        <v>0</v>
      </c>
      <c r="V4750" s="42" t="s">
        <v>113</v>
      </c>
      <c r="W4750" s="42">
        <v>0</v>
      </c>
      <c r="X4750" s="42">
        <v>0</v>
      </c>
    </row>
    <row r="4751" spans="1:24">
      <c r="A4751" s="27" t="s">
        <v>8780</v>
      </c>
      <c r="B4751" s="28" t="s">
        <v>5102</v>
      </c>
      <c r="C4751" s="27" t="s">
        <v>8781</v>
      </c>
      <c r="D4751" s="27" t="s">
        <v>5104</v>
      </c>
      <c r="E4751" s="29">
        <v>40843</v>
      </c>
      <c r="F4751" s="27">
        <v>15</v>
      </c>
      <c r="G4751" s="18">
        <v>29765.54</v>
      </c>
      <c r="H4751" s="27">
        <f t="shared" si="148"/>
        <v>0</v>
      </c>
      <c r="I4751" s="18">
        <v>17235.14</v>
      </c>
      <c r="J4751" s="27">
        <v>29765.54</v>
      </c>
      <c r="K4751" s="18">
        <f t="shared" si="149"/>
        <v>0</v>
      </c>
      <c r="L4751" s="27">
        <v>18644.77</v>
      </c>
      <c r="M4751" s="36">
        <v>1409.63</v>
      </c>
      <c r="T4751" s="41">
        <v>0</v>
      </c>
      <c r="U4751" s="41">
        <v>0</v>
      </c>
      <c r="V4751" s="42" t="s">
        <v>113</v>
      </c>
      <c r="W4751" s="42">
        <v>0</v>
      </c>
      <c r="X4751" s="42">
        <v>0</v>
      </c>
    </row>
    <row r="4752" spans="1:24">
      <c r="A4752" s="27" t="s">
        <v>8782</v>
      </c>
      <c r="B4752" s="28" t="s">
        <v>5102</v>
      </c>
      <c r="C4752" s="27" t="s">
        <v>8783</v>
      </c>
      <c r="D4752" s="27" t="s">
        <v>5104</v>
      </c>
      <c r="E4752" s="29">
        <v>40843</v>
      </c>
      <c r="F4752" s="27">
        <v>15</v>
      </c>
      <c r="G4752" s="18">
        <v>118809.47</v>
      </c>
      <c r="H4752" s="27">
        <f t="shared" si="148"/>
        <v>0</v>
      </c>
      <c r="I4752" s="18">
        <v>68794.28</v>
      </c>
      <c r="J4752" s="27">
        <v>118809.47</v>
      </c>
      <c r="K4752" s="18">
        <f t="shared" si="149"/>
        <v>0</v>
      </c>
      <c r="L4752" s="27">
        <v>74420.84</v>
      </c>
      <c r="M4752" s="36">
        <v>5626.56</v>
      </c>
      <c r="T4752" s="41">
        <v>0</v>
      </c>
      <c r="U4752" s="41">
        <v>0</v>
      </c>
      <c r="V4752" s="42" t="s">
        <v>113</v>
      </c>
      <c r="W4752" s="42">
        <v>0</v>
      </c>
      <c r="X4752" s="42">
        <v>0</v>
      </c>
    </row>
    <row r="4753" spans="1:24">
      <c r="A4753" s="27" t="s">
        <v>8784</v>
      </c>
      <c r="B4753" s="28" t="s">
        <v>5102</v>
      </c>
      <c r="C4753" s="27" t="s">
        <v>8785</v>
      </c>
      <c r="D4753" s="27" t="s">
        <v>5104</v>
      </c>
      <c r="E4753" s="29">
        <v>40843</v>
      </c>
      <c r="F4753" s="27">
        <v>15</v>
      </c>
      <c r="G4753" s="18">
        <v>132150.9</v>
      </c>
      <c r="H4753" s="27">
        <f t="shared" si="148"/>
        <v>0</v>
      </c>
      <c r="I4753" s="18">
        <v>76519.360000000001</v>
      </c>
      <c r="J4753" s="27">
        <v>132150.9</v>
      </c>
      <c r="K4753" s="18">
        <f t="shared" si="149"/>
        <v>0</v>
      </c>
      <c r="L4753" s="27">
        <v>82777.740000000005</v>
      </c>
      <c r="M4753" s="36">
        <v>6258.38</v>
      </c>
      <c r="T4753" s="41">
        <v>0</v>
      </c>
      <c r="U4753" s="41">
        <v>0</v>
      </c>
      <c r="V4753" s="42" t="s">
        <v>113</v>
      </c>
      <c r="W4753" s="42">
        <v>0</v>
      </c>
      <c r="X4753" s="42">
        <v>0</v>
      </c>
    </row>
    <row r="4754" spans="1:24">
      <c r="A4754" s="27" t="s">
        <v>8786</v>
      </c>
      <c r="B4754" s="28" t="s">
        <v>5102</v>
      </c>
      <c r="C4754" s="27" t="s">
        <v>8787</v>
      </c>
      <c r="D4754" s="27" t="s">
        <v>5104</v>
      </c>
      <c r="E4754" s="29">
        <v>40843</v>
      </c>
      <c r="F4754" s="27">
        <v>15</v>
      </c>
      <c r="G4754" s="18">
        <v>12280.18</v>
      </c>
      <c r="H4754" s="27">
        <f t="shared" si="148"/>
        <v>0</v>
      </c>
      <c r="I4754" s="18">
        <v>7110.58</v>
      </c>
      <c r="J4754" s="27">
        <v>12280.18</v>
      </c>
      <c r="K4754" s="18">
        <f t="shared" si="149"/>
        <v>0</v>
      </c>
      <c r="L4754" s="27">
        <v>7692.14</v>
      </c>
      <c r="M4754" s="36">
        <v>581.55999999999995</v>
      </c>
      <c r="T4754" s="41">
        <v>0</v>
      </c>
      <c r="U4754" s="41">
        <v>0</v>
      </c>
      <c r="V4754" s="42" t="s">
        <v>113</v>
      </c>
      <c r="W4754" s="42">
        <v>0</v>
      </c>
      <c r="X4754" s="42">
        <v>0</v>
      </c>
    </row>
    <row r="4755" spans="1:24">
      <c r="A4755" s="27" t="s">
        <v>8788</v>
      </c>
      <c r="B4755" s="28" t="s">
        <v>5102</v>
      </c>
      <c r="C4755" s="27" t="s">
        <v>8789</v>
      </c>
      <c r="D4755" s="27" t="s">
        <v>5104</v>
      </c>
      <c r="E4755" s="29">
        <v>40843</v>
      </c>
      <c r="F4755" s="27">
        <v>15</v>
      </c>
      <c r="G4755" s="18">
        <v>43561.79</v>
      </c>
      <c r="H4755" s="27">
        <f t="shared" si="148"/>
        <v>0</v>
      </c>
      <c r="I4755" s="18">
        <v>25223.599999999999</v>
      </c>
      <c r="J4755" s="27">
        <v>43561.79</v>
      </c>
      <c r="K4755" s="18">
        <f t="shared" si="149"/>
        <v>0</v>
      </c>
      <c r="L4755" s="27">
        <v>27286.59</v>
      </c>
      <c r="M4755" s="36">
        <v>2062.9899999999998</v>
      </c>
      <c r="T4755" s="41">
        <v>0</v>
      </c>
      <c r="U4755" s="41">
        <v>0</v>
      </c>
      <c r="V4755" s="42" t="s">
        <v>113</v>
      </c>
      <c r="W4755" s="42">
        <v>0</v>
      </c>
      <c r="X4755" s="42">
        <v>0</v>
      </c>
    </row>
    <row r="4756" spans="1:24">
      <c r="A4756" s="27" t="s">
        <v>8790</v>
      </c>
      <c r="B4756" s="28" t="s">
        <v>5102</v>
      </c>
      <c r="C4756" s="27" t="s">
        <v>8791</v>
      </c>
      <c r="D4756" s="27" t="s">
        <v>5104</v>
      </c>
      <c r="E4756" s="29">
        <v>40843</v>
      </c>
      <c r="F4756" s="27">
        <v>15</v>
      </c>
      <c r="G4756" s="18">
        <v>60238.57</v>
      </c>
      <c r="H4756" s="27">
        <f t="shared" si="148"/>
        <v>0</v>
      </c>
      <c r="I4756" s="18">
        <v>34879.96</v>
      </c>
      <c r="J4756" s="27">
        <v>60238.57</v>
      </c>
      <c r="K4756" s="18">
        <f t="shared" si="149"/>
        <v>0</v>
      </c>
      <c r="L4756" s="27">
        <v>37732.730000000003</v>
      </c>
      <c r="M4756" s="36">
        <v>2852.77</v>
      </c>
      <c r="T4756" s="41">
        <v>0</v>
      </c>
      <c r="U4756" s="41">
        <v>0</v>
      </c>
      <c r="V4756" s="42" t="s">
        <v>113</v>
      </c>
      <c r="W4756" s="42">
        <v>0</v>
      </c>
      <c r="X4756" s="42">
        <v>0</v>
      </c>
    </row>
    <row r="4757" spans="1:24">
      <c r="A4757" s="27" t="s">
        <v>8792</v>
      </c>
      <c r="B4757" s="28" t="s">
        <v>5102</v>
      </c>
      <c r="C4757" s="27" t="s">
        <v>8793</v>
      </c>
      <c r="D4757" s="27" t="s">
        <v>5104</v>
      </c>
      <c r="E4757" s="29">
        <v>40843</v>
      </c>
      <c r="F4757" s="27">
        <v>15</v>
      </c>
      <c r="G4757" s="18">
        <v>60238.57</v>
      </c>
      <c r="H4757" s="27">
        <f t="shared" si="148"/>
        <v>0</v>
      </c>
      <c r="I4757" s="18">
        <v>34879.96</v>
      </c>
      <c r="J4757" s="27">
        <v>60238.57</v>
      </c>
      <c r="K4757" s="18">
        <f t="shared" si="149"/>
        <v>0</v>
      </c>
      <c r="L4757" s="27">
        <v>37732.730000000003</v>
      </c>
      <c r="M4757" s="36">
        <v>2852.77</v>
      </c>
      <c r="T4757" s="41">
        <v>0</v>
      </c>
      <c r="U4757" s="41">
        <v>0</v>
      </c>
      <c r="V4757" s="42" t="s">
        <v>113</v>
      </c>
      <c r="W4757" s="42">
        <v>0</v>
      </c>
      <c r="X4757" s="42">
        <v>0</v>
      </c>
    </row>
    <row r="4758" spans="1:24">
      <c r="A4758" s="27" t="s">
        <v>8794</v>
      </c>
      <c r="B4758" s="28" t="s">
        <v>5102</v>
      </c>
      <c r="C4758" s="27" t="s">
        <v>8795</v>
      </c>
      <c r="D4758" s="27" t="s">
        <v>5104</v>
      </c>
      <c r="E4758" s="29">
        <v>40843</v>
      </c>
      <c r="F4758" s="27">
        <v>15</v>
      </c>
      <c r="G4758" s="18">
        <v>20972.32</v>
      </c>
      <c r="H4758" s="27">
        <f t="shared" si="148"/>
        <v>0</v>
      </c>
      <c r="I4758" s="18">
        <v>12143.6</v>
      </c>
      <c r="J4758" s="27">
        <v>20972.32</v>
      </c>
      <c r="K4758" s="18">
        <f t="shared" si="149"/>
        <v>0</v>
      </c>
      <c r="L4758" s="27">
        <v>13136.8</v>
      </c>
      <c r="M4758" s="36">
        <v>993.2</v>
      </c>
      <c r="T4758" s="41">
        <v>0</v>
      </c>
      <c r="U4758" s="41">
        <v>0</v>
      </c>
      <c r="V4758" s="42" t="s">
        <v>113</v>
      </c>
      <c r="W4758" s="42">
        <v>0</v>
      </c>
      <c r="X4758" s="42">
        <v>0</v>
      </c>
    </row>
    <row r="4759" spans="1:24">
      <c r="A4759" s="27" t="s">
        <v>8796</v>
      </c>
      <c r="B4759" s="28" t="s">
        <v>5102</v>
      </c>
      <c r="C4759" s="27" t="s">
        <v>8797</v>
      </c>
      <c r="D4759" s="27" t="s">
        <v>5104</v>
      </c>
      <c r="E4759" s="29">
        <v>40843</v>
      </c>
      <c r="F4759" s="27">
        <v>15</v>
      </c>
      <c r="G4759" s="18">
        <v>76722.37</v>
      </c>
      <c r="H4759" s="27">
        <f t="shared" si="148"/>
        <v>0</v>
      </c>
      <c r="I4759" s="18">
        <v>44424.57</v>
      </c>
      <c r="J4759" s="27">
        <v>76722.37</v>
      </c>
      <c r="K4759" s="18">
        <f t="shared" si="149"/>
        <v>0</v>
      </c>
      <c r="L4759" s="27">
        <v>48057.98</v>
      </c>
      <c r="M4759" s="36">
        <v>3633.41</v>
      </c>
      <c r="T4759" s="41">
        <v>0</v>
      </c>
      <c r="U4759" s="41">
        <v>0</v>
      </c>
      <c r="V4759" s="42" t="s">
        <v>113</v>
      </c>
      <c r="W4759" s="42">
        <v>0</v>
      </c>
      <c r="X4759" s="42">
        <v>0</v>
      </c>
    </row>
    <row r="4760" spans="1:24">
      <c r="A4760" s="27" t="s">
        <v>8798</v>
      </c>
      <c r="B4760" s="28" t="s">
        <v>5102</v>
      </c>
      <c r="C4760" s="27" t="s">
        <v>8799</v>
      </c>
      <c r="D4760" s="27" t="s">
        <v>5104</v>
      </c>
      <c r="E4760" s="29">
        <v>40843</v>
      </c>
      <c r="F4760" s="27">
        <v>15</v>
      </c>
      <c r="G4760" s="18">
        <v>127101.22</v>
      </c>
      <c r="H4760" s="27">
        <f t="shared" si="148"/>
        <v>0</v>
      </c>
      <c r="I4760" s="18">
        <v>73595.460000000006</v>
      </c>
      <c r="J4760" s="27">
        <v>127101.22</v>
      </c>
      <c r="K4760" s="18">
        <f t="shared" si="149"/>
        <v>0</v>
      </c>
      <c r="L4760" s="27">
        <v>79614.7</v>
      </c>
      <c r="M4760" s="36">
        <v>6019.24</v>
      </c>
      <c r="T4760" s="41">
        <v>0</v>
      </c>
      <c r="U4760" s="41">
        <v>0</v>
      </c>
      <c r="V4760" s="42" t="s">
        <v>113</v>
      </c>
      <c r="W4760" s="42">
        <v>0</v>
      </c>
      <c r="X4760" s="42">
        <v>0</v>
      </c>
    </row>
    <row r="4761" spans="1:24">
      <c r="A4761" s="27" t="s">
        <v>8800</v>
      </c>
      <c r="B4761" s="28" t="s">
        <v>5102</v>
      </c>
      <c r="C4761" s="27" t="s">
        <v>8801</v>
      </c>
      <c r="D4761" s="27" t="s">
        <v>5104</v>
      </c>
      <c r="E4761" s="29">
        <v>40843</v>
      </c>
      <c r="F4761" s="27">
        <v>15</v>
      </c>
      <c r="G4761" s="18">
        <v>122986.61</v>
      </c>
      <c r="H4761" s="27">
        <f t="shared" si="148"/>
        <v>0</v>
      </c>
      <c r="I4761" s="18">
        <v>71212.97</v>
      </c>
      <c r="J4761" s="27">
        <v>122986.61</v>
      </c>
      <c r="K4761" s="18">
        <f t="shared" si="149"/>
        <v>0</v>
      </c>
      <c r="L4761" s="27">
        <v>77037.350000000006</v>
      </c>
      <c r="M4761" s="36">
        <v>5824.38</v>
      </c>
      <c r="T4761" s="41">
        <v>0</v>
      </c>
      <c r="U4761" s="41">
        <v>0</v>
      </c>
      <c r="V4761" s="42" t="s">
        <v>113</v>
      </c>
      <c r="W4761" s="42">
        <v>0</v>
      </c>
      <c r="X4761" s="42">
        <v>0</v>
      </c>
    </row>
    <row r="4762" spans="1:24">
      <c r="A4762" s="27" t="s">
        <v>8802</v>
      </c>
      <c r="B4762" s="28" t="s">
        <v>5102</v>
      </c>
      <c r="C4762" s="27" t="s">
        <v>8803</v>
      </c>
      <c r="D4762" s="27" t="s">
        <v>5104</v>
      </c>
      <c r="E4762" s="29">
        <v>40843</v>
      </c>
      <c r="F4762" s="27">
        <v>15</v>
      </c>
      <c r="G4762" s="18">
        <v>112850.63</v>
      </c>
      <c r="H4762" s="27">
        <f t="shared" si="148"/>
        <v>0</v>
      </c>
      <c r="I4762" s="18">
        <v>65343.92</v>
      </c>
      <c r="J4762" s="27">
        <v>112850.63</v>
      </c>
      <c r="K4762" s="18">
        <f t="shared" si="149"/>
        <v>0</v>
      </c>
      <c r="L4762" s="27">
        <v>70688.28</v>
      </c>
      <c r="M4762" s="36">
        <v>5344.36</v>
      </c>
      <c r="T4762" s="41">
        <v>0</v>
      </c>
      <c r="U4762" s="41">
        <v>0</v>
      </c>
      <c r="V4762" s="42" t="s">
        <v>113</v>
      </c>
      <c r="W4762" s="42">
        <v>0</v>
      </c>
      <c r="X4762" s="42">
        <v>0</v>
      </c>
    </row>
    <row r="4763" spans="1:24">
      <c r="A4763" s="27" t="s">
        <v>8804</v>
      </c>
      <c r="B4763" s="28" t="s">
        <v>5102</v>
      </c>
      <c r="C4763" s="27" t="s">
        <v>8805</v>
      </c>
      <c r="D4763" s="27" t="s">
        <v>5104</v>
      </c>
      <c r="E4763" s="29">
        <v>40843</v>
      </c>
      <c r="F4763" s="27">
        <v>15</v>
      </c>
      <c r="G4763" s="18">
        <v>127853.89</v>
      </c>
      <c r="H4763" s="27">
        <f t="shared" si="148"/>
        <v>0</v>
      </c>
      <c r="I4763" s="18">
        <v>74031.27</v>
      </c>
      <c r="J4763" s="27">
        <v>127853.89</v>
      </c>
      <c r="K4763" s="18">
        <f t="shared" si="149"/>
        <v>0</v>
      </c>
      <c r="L4763" s="27">
        <v>80086.149999999994</v>
      </c>
      <c r="M4763" s="36">
        <v>6054.88</v>
      </c>
      <c r="T4763" s="41">
        <v>0</v>
      </c>
      <c r="U4763" s="41">
        <v>0</v>
      </c>
      <c r="V4763" s="42" t="s">
        <v>113</v>
      </c>
      <c r="W4763" s="42">
        <v>0</v>
      </c>
      <c r="X4763" s="42">
        <v>0</v>
      </c>
    </row>
    <row r="4764" spans="1:24">
      <c r="A4764" s="27" t="s">
        <v>8806</v>
      </c>
      <c r="B4764" s="28" t="s">
        <v>5102</v>
      </c>
      <c r="C4764" s="27" t="s">
        <v>8807</v>
      </c>
      <c r="D4764" s="27" t="s">
        <v>5104</v>
      </c>
      <c r="E4764" s="29">
        <v>40843</v>
      </c>
      <c r="F4764" s="27">
        <v>15</v>
      </c>
      <c r="G4764" s="18">
        <v>62321.24</v>
      </c>
      <c r="H4764" s="27">
        <f t="shared" si="148"/>
        <v>0</v>
      </c>
      <c r="I4764" s="18">
        <v>36085.879999999997</v>
      </c>
      <c r="J4764" s="27">
        <v>62321.24</v>
      </c>
      <c r="K4764" s="18">
        <f t="shared" si="149"/>
        <v>0</v>
      </c>
      <c r="L4764" s="27">
        <v>39037.279999999999</v>
      </c>
      <c r="M4764" s="36">
        <v>2951.4</v>
      </c>
      <c r="T4764" s="41">
        <v>0</v>
      </c>
      <c r="U4764" s="41">
        <v>0</v>
      </c>
      <c r="V4764" s="42" t="s">
        <v>113</v>
      </c>
      <c r="W4764" s="42">
        <v>0</v>
      </c>
      <c r="X4764" s="42">
        <v>0</v>
      </c>
    </row>
    <row r="4765" spans="1:24">
      <c r="A4765" s="27" t="s">
        <v>8808</v>
      </c>
      <c r="B4765" s="28" t="s">
        <v>5102</v>
      </c>
      <c r="C4765" s="27" t="s">
        <v>8809</v>
      </c>
      <c r="D4765" s="27" t="s">
        <v>5104</v>
      </c>
      <c r="E4765" s="29">
        <v>40843</v>
      </c>
      <c r="F4765" s="27">
        <v>15</v>
      </c>
      <c r="G4765" s="18">
        <v>85001.77</v>
      </c>
      <c r="H4765" s="27">
        <f t="shared" si="148"/>
        <v>0</v>
      </c>
      <c r="I4765" s="18">
        <v>49218.6</v>
      </c>
      <c r="J4765" s="27">
        <v>85001.77</v>
      </c>
      <c r="K4765" s="18">
        <f t="shared" si="149"/>
        <v>0</v>
      </c>
      <c r="L4765" s="27">
        <v>53244.1</v>
      </c>
      <c r="M4765" s="36">
        <v>4025.5</v>
      </c>
      <c r="T4765" s="41">
        <v>0</v>
      </c>
      <c r="U4765" s="41">
        <v>0</v>
      </c>
      <c r="V4765" s="42" t="s">
        <v>113</v>
      </c>
      <c r="W4765" s="42">
        <v>0</v>
      </c>
      <c r="X4765" s="42">
        <v>0</v>
      </c>
    </row>
    <row r="4766" spans="1:24">
      <c r="A4766" s="27" t="s">
        <v>8810</v>
      </c>
      <c r="B4766" s="28" t="s">
        <v>5102</v>
      </c>
      <c r="C4766" s="27" t="s">
        <v>8811</v>
      </c>
      <c r="D4766" s="27" t="s">
        <v>5104</v>
      </c>
      <c r="E4766" s="29">
        <v>40843</v>
      </c>
      <c r="F4766" s="27">
        <v>15</v>
      </c>
      <c r="G4766" s="18">
        <v>160319.14000000001</v>
      </c>
      <c r="H4766" s="27">
        <f t="shared" si="148"/>
        <v>0</v>
      </c>
      <c r="I4766" s="18">
        <v>92829.63</v>
      </c>
      <c r="J4766" s="27">
        <v>160319.14000000001</v>
      </c>
      <c r="K4766" s="18">
        <f t="shared" si="149"/>
        <v>0</v>
      </c>
      <c r="L4766" s="27">
        <v>100422</v>
      </c>
      <c r="M4766" s="36">
        <v>7592.37</v>
      </c>
      <c r="T4766" s="41">
        <v>0</v>
      </c>
      <c r="U4766" s="41">
        <v>0</v>
      </c>
      <c r="V4766" s="42" t="s">
        <v>113</v>
      </c>
      <c r="W4766" s="42">
        <v>0</v>
      </c>
      <c r="X4766" s="42">
        <v>0</v>
      </c>
    </row>
    <row r="4767" spans="1:24">
      <c r="A4767" s="27" t="s">
        <v>8812</v>
      </c>
      <c r="B4767" s="28" t="s">
        <v>5102</v>
      </c>
      <c r="C4767" s="27" t="s">
        <v>8813</v>
      </c>
      <c r="D4767" s="27" t="s">
        <v>5104</v>
      </c>
      <c r="E4767" s="29">
        <v>40843</v>
      </c>
      <c r="F4767" s="27">
        <v>15</v>
      </c>
      <c r="G4767" s="18">
        <v>126900.5</v>
      </c>
      <c r="H4767" s="27">
        <f t="shared" si="148"/>
        <v>0</v>
      </c>
      <c r="I4767" s="18">
        <v>73479.210000000006</v>
      </c>
      <c r="J4767" s="27">
        <v>126900.5</v>
      </c>
      <c r="K4767" s="18">
        <f t="shared" si="149"/>
        <v>0</v>
      </c>
      <c r="L4767" s="27">
        <v>79488.95</v>
      </c>
      <c r="M4767" s="36">
        <v>6009.74</v>
      </c>
      <c r="T4767" s="41">
        <v>0</v>
      </c>
      <c r="U4767" s="41">
        <v>0</v>
      </c>
      <c r="V4767" s="42" t="s">
        <v>113</v>
      </c>
      <c r="W4767" s="42">
        <v>0</v>
      </c>
      <c r="X4767" s="42">
        <v>0</v>
      </c>
    </row>
    <row r="4768" spans="1:24">
      <c r="A4768" s="27" t="s">
        <v>8814</v>
      </c>
      <c r="B4768" s="28" t="s">
        <v>5102</v>
      </c>
      <c r="C4768" s="27" t="s">
        <v>8815</v>
      </c>
      <c r="D4768" s="27" t="s">
        <v>5104</v>
      </c>
      <c r="E4768" s="29">
        <v>40843</v>
      </c>
      <c r="F4768" s="27">
        <v>15</v>
      </c>
      <c r="G4768" s="18">
        <v>127251.75</v>
      </c>
      <c r="H4768" s="27">
        <f t="shared" si="148"/>
        <v>0</v>
      </c>
      <c r="I4768" s="18">
        <v>73682.600000000006</v>
      </c>
      <c r="J4768" s="27">
        <v>127251.75</v>
      </c>
      <c r="K4768" s="18">
        <f t="shared" si="149"/>
        <v>0</v>
      </c>
      <c r="L4768" s="27">
        <v>79708.97</v>
      </c>
      <c r="M4768" s="36">
        <v>6026.37</v>
      </c>
      <c r="T4768" s="41">
        <v>0</v>
      </c>
      <c r="U4768" s="41">
        <v>0</v>
      </c>
      <c r="V4768" s="42" t="s">
        <v>113</v>
      </c>
      <c r="W4768" s="42">
        <v>0</v>
      </c>
      <c r="X4768" s="42">
        <v>0</v>
      </c>
    </row>
    <row r="4769" spans="1:24">
      <c r="A4769" s="27" t="s">
        <v>8816</v>
      </c>
      <c r="B4769" s="28" t="s">
        <v>5102</v>
      </c>
      <c r="C4769" s="27" t="s">
        <v>8817</v>
      </c>
      <c r="D4769" s="27" t="s">
        <v>5104</v>
      </c>
      <c r="E4769" s="29">
        <v>40843</v>
      </c>
      <c r="F4769" s="27">
        <v>15</v>
      </c>
      <c r="G4769" s="18">
        <v>179637.72</v>
      </c>
      <c r="H4769" s="27">
        <f t="shared" si="148"/>
        <v>0</v>
      </c>
      <c r="I4769" s="18">
        <v>104015.67</v>
      </c>
      <c r="J4769" s="27">
        <v>179637.72</v>
      </c>
      <c r="K4769" s="18">
        <f t="shared" si="149"/>
        <v>0</v>
      </c>
      <c r="L4769" s="27">
        <v>112522.92</v>
      </c>
      <c r="M4769" s="36">
        <v>8507.25</v>
      </c>
      <c r="T4769" s="41">
        <v>0</v>
      </c>
      <c r="U4769" s="41">
        <v>0</v>
      </c>
      <c r="V4769" s="42" t="s">
        <v>113</v>
      </c>
      <c r="W4769" s="42">
        <v>0</v>
      </c>
      <c r="X4769" s="42">
        <v>0</v>
      </c>
    </row>
    <row r="4770" spans="1:24">
      <c r="A4770" s="27" t="s">
        <v>8818</v>
      </c>
      <c r="B4770" s="28" t="s">
        <v>5102</v>
      </c>
      <c r="C4770" s="27" t="s">
        <v>8819</v>
      </c>
      <c r="D4770" s="27" t="s">
        <v>5104</v>
      </c>
      <c r="E4770" s="29">
        <v>40843</v>
      </c>
      <c r="F4770" s="27">
        <v>15</v>
      </c>
      <c r="G4770" s="18">
        <v>71754.73</v>
      </c>
      <c r="H4770" s="27">
        <f t="shared" si="148"/>
        <v>0</v>
      </c>
      <c r="I4770" s="18">
        <v>41548.17</v>
      </c>
      <c r="J4770" s="27">
        <v>71754.73</v>
      </c>
      <c r="K4770" s="18">
        <f t="shared" si="149"/>
        <v>0</v>
      </c>
      <c r="L4770" s="27">
        <v>44946.32</v>
      </c>
      <c r="M4770" s="36">
        <v>3398.15</v>
      </c>
      <c r="T4770" s="41">
        <v>0</v>
      </c>
      <c r="U4770" s="41">
        <v>0</v>
      </c>
      <c r="V4770" s="42" t="s">
        <v>113</v>
      </c>
      <c r="W4770" s="42">
        <v>0</v>
      </c>
      <c r="X4770" s="42">
        <v>0</v>
      </c>
    </row>
    <row r="4771" spans="1:24">
      <c r="A4771" s="27" t="s">
        <v>8820</v>
      </c>
      <c r="B4771" s="28" t="s">
        <v>5102</v>
      </c>
      <c r="C4771" s="27" t="s">
        <v>8821</v>
      </c>
      <c r="D4771" s="27" t="s">
        <v>5104</v>
      </c>
      <c r="E4771" s="29">
        <v>40843</v>
      </c>
      <c r="F4771" s="27">
        <v>15</v>
      </c>
      <c r="G4771" s="18">
        <v>67640.13</v>
      </c>
      <c r="H4771" s="27">
        <f t="shared" si="148"/>
        <v>0</v>
      </c>
      <c r="I4771" s="18">
        <v>39165.68</v>
      </c>
      <c r="J4771" s="27">
        <v>67640.13</v>
      </c>
      <c r="K4771" s="18">
        <f t="shared" si="149"/>
        <v>0</v>
      </c>
      <c r="L4771" s="27">
        <v>42368.97</v>
      </c>
      <c r="M4771" s="36">
        <v>3203.29</v>
      </c>
      <c r="T4771" s="41">
        <v>0</v>
      </c>
      <c r="U4771" s="41">
        <v>0</v>
      </c>
      <c r="V4771" s="42" t="s">
        <v>113</v>
      </c>
      <c r="W4771" s="42">
        <v>0</v>
      </c>
      <c r="X4771" s="42">
        <v>0</v>
      </c>
    </row>
    <row r="4772" spans="1:24">
      <c r="A4772" s="27" t="s">
        <v>8822</v>
      </c>
      <c r="B4772" s="28" t="s">
        <v>5102</v>
      </c>
      <c r="C4772" s="27" t="s">
        <v>8823</v>
      </c>
      <c r="D4772" s="27" t="s">
        <v>5104</v>
      </c>
      <c r="E4772" s="29">
        <v>40843</v>
      </c>
      <c r="F4772" s="27">
        <v>15</v>
      </c>
      <c r="G4772" s="18">
        <v>25741.38</v>
      </c>
      <c r="H4772" s="27">
        <f t="shared" si="148"/>
        <v>0</v>
      </c>
      <c r="I4772" s="18">
        <v>14905.04</v>
      </c>
      <c r="J4772" s="27">
        <v>25741.38</v>
      </c>
      <c r="K4772" s="18">
        <f t="shared" si="149"/>
        <v>0</v>
      </c>
      <c r="L4772" s="27">
        <v>16124.1</v>
      </c>
      <c r="M4772" s="36">
        <v>1219.06</v>
      </c>
      <c r="T4772" s="41">
        <v>0</v>
      </c>
      <c r="U4772" s="41">
        <v>0</v>
      </c>
      <c r="V4772" s="42" t="s">
        <v>113</v>
      </c>
      <c r="W4772" s="42">
        <v>0</v>
      </c>
      <c r="X4772" s="42">
        <v>0</v>
      </c>
    </row>
    <row r="4773" spans="1:24">
      <c r="A4773" s="27" t="s">
        <v>8824</v>
      </c>
      <c r="B4773" s="28" t="s">
        <v>5102</v>
      </c>
      <c r="C4773" s="27" t="s">
        <v>8825</v>
      </c>
      <c r="D4773" s="27" t="s">
        <v>5104</v>
      </c>
      <c r="E4773" s="29">
        <v>40843</v>
      </c>
      <c r="F4773" s="27">
        <v>15</v>
      </c>
      <c r="G4773" s="18">
        <v>142606.26</v>
      </c>
      <c r="H4773" s="27">
        <f t="shared" si="148"/>
        <v>0</v>
      </c>
      <c r="I4773" s="18">
        <v>82573.34</v>
      </c>
      <c r="J4773" s="27">
        <v>142606.26</v>
      </c>
      <c r="K4773" s="18">
        <f t="shared" si="149"/>
        <v>0</v>
      </c>
      <c r="L4773" s="27">
        <v>89326.86</v>
      </c>
      <c r="M4773" s="36">
        <v>6753.52</v>
      </c>
      <c r="T4773" s="41">
        <v>0</v>
      </c>
      <c r="U4773" s="41">
        <v>0</v>
      </c>
      <c r="V4773" s="42" t="s">
        <v>113</v>
      </c>
      <c r="W4773" s="42">
        <v>0</v>
      </c>
      <c r="X4773" s="42">
        <v>0</v>
      </c>
    </row>
    <row r="4774" spans="1:24">
      <c r="A4774" s="27" t="s">
        <v>8826</v>
      </c>
      <c r="B4774" s="28" t="s">
        <v>5102</v>
      </c>
      <c r="C4774" s="27" t="s">
        <v>8827</v>
      </c>
      <c r="D4774" s="27" t="s">
        <v>5104</v>
      </c>
      <c r="E4774" s="29">
        <v>40843</v>
      </c>
      <c r="F4774" s="27">
        <v>15</v>
      </c>
      <c r="G4774" s="18">
        <v>54894.879999999997</v>
      </c>
      <c r="H4774" s="27">
        <f t="shared" si="148"/>
        <v>0</v>
      </c>
      <c r="I4774" s="18">
        <v>31785.79</v>
      </c>
      <c r="J4774" s="27">
        <v>54894.879999999997</v>
      </c>
      <c r="K4774" s="18">
        <f t="shared" si="149"/>
        <v>0</v>
      </c>
      <c r="L4774" s="27">
        <v>34385.49</v>
      </c>
      <c r="M4774" s="36">
        <v>2599.6999999999998</v>
      </c>
      <c r="T4774" s="41">
        <v>0</v>
      </c>
      <c r="U4774" s="41">
        <v>0</v>
      </c>
      <c r="V4774" s="42" t="s">
        <v>113</v>
      </c>
      <c r="W4774" s="42">
        <v>0</v>
      </c>
      <c r="X4774" s="42">
        <v>0</v>
      </c>
    </row>
    <row r="4775" spans="1:24">
      <c r="A4775" s="27" t="s">
        <v>8828</v>
      </c>
      <c r="B4775" s="28" t="s">
        <v>5102</v>
      </c>
      <c r="C4775" s="27" t="s">
        <v>8829</v>
      </c>
      <c r="D4775" s="27" t="s">
        <v>5104</v>
      </c>
      <c r="E4775" s="29">
        <v>40843</v>
      </c>
      <c r="F4775" s="27">
        <v>15</v>
      </c>
      <c r="G4775" s="18">
        <v>80485.73</v>
      </c>
      <c r="H4775" s="27">
        <f t="shared" si="148"/>
        <v>0</v>
      </c>
      <c r="I4775" s="18">
        <v>46603.67</v>
      </c>
      <c r="J4775" s="27">
        <v>80485.73</v>
      </c>
      <c r="K4775" s="18">
        <f t="shared" si="149"/>
        <v>0</v>
      </c>
      <c r="L4775" s="27">
        <v>50415.3</v>
      </c>
      <c r="M4775" s="36">
        <v>3811.63</v>
      </c>
      <c r="T4775" s="41">
        <v>0</v>
      </c>
      <c r="U4775" s="41">
        <v>0</v>
      </c>
      <c r="V4775" s="42" t="s">
        <v>113</v>
      </c>
      <c r="W4775" s="42">
        <v>0</v>
      </c>
      <c r="X4775" s="42">
        <v>0</v>
      </c>
    </row>
    <row r="4776" spans="1:24">
      <c r="A4776" s="27" t="s">
        <v>8830</v>
      </c>
      <c r="B4776" s="28" t="s">
        <v>5102</v>
      </c>
      <c r="C4776" s="27" t="s">
        <v>8831</v>
      </c>
      <c r="D4776" s="27" t="s">
        <v>5104</v>
      </c>
      <c r="E4776" s="29">
        <v>40843</v>
      </c>
      <c r="F4776" s="27">
        <v>15</v>
      </c>
      <c r="G4776" s="18">
        <v>83998.2</v>
      </c>
      <c r="H4776" s="27">
        <f t="shared" si="148"/>
        <v>0</v>
      </c>
      <c r="I4776" s="18">
        <v>48637.49</v>
      </c>
      <c r="J4776" s="27">
        <v>83998.2</v>
      </c>
      <c r="K4776" s="18">
        <f t="shared" si="149"/>
        <v>0</v>
      </c>
      <c r="L4776" s="27">
        <v>52615.46</v>
      </c>
      <c r="M4776" s="36">
        <v>3977.97</v>
      </c>
      <c r="T4776" s="41">
        <v>0</v>
      </c>
      <c r="U4776" s="41">
        <v>0</v>
      </c>
      <c r="V4776" s="42" t="s">
        <v>113</v>
      </c>
      <c r="W4776" s="42">
        <v>0</v>
      </c>
      <c r="X4776" s="42">
        <v>0</v>
      </c>
    </row>
    <row r="4777" spans="1:24">
      <c r="A4777" s="27" t="s">
        <v>8832</v>
      </c>
      <c r="B4777" s="28" t="s">
        <v>5102</v>
      </c>
      <c r="C4777" s="27" t="s">
        <v>8833</v>
      </c>
      <c r="D4777" s="27" t="s">
        <v>5104</v>
      </c>
      <c r="E4777" s="29">
        <v>40843</v>
      </c>
      <c r="F4777" s="27">
        <v>15</v>
      </c>
      <c r="G4777" s="18">
        <v>56400.22</v>
      </c>
      <c r="H4777" s="27">
        <f t="shared" si="148"/>
        <v>0</v>
      </c>
      <c r="I4777" s="18">
        <v>32657.439999999999</v>
      </c>
      <c r="J4777" s="27">
        <v>56400.22</v>
      </c>
      <c r="K4777" s="18">
        <f t="shared" si="149"/>
        <v>0</v>
      </c>
      <c r="L4777" s="27">
        <v>35328.43</v>
      </c>
      <c r="M4777" s="36">
        <v>2670.99</v>
      </c>
      <c r="T4777" s="41">
        <v>0</v>
      </c>
      <c r="U4777" s="41">
        <v>0</v>
      </c>
      <c r="V4777" s="42" t="s">
        <v>113</v>
      </c>
      <c r="W4777" s="42">
        <v>0</v>
      </c>
      <c r="X4777" s="42">
        <v>0</v>
      </c>
    </row>
    <row r="4778" spans="1:24">
      <c r="A4778" s="27" t="s">
        <v>8834</v>
      </c>
      <c r="B4778" s="28" t="s">
        <v>5102</v>
      </c>
      <c r="C4778" s="27" t="s">
        <v>8835</v>
      </c>
      <c r="D4778" s="27" t="s">
        <v>5104</v>
      </c>
      <c r="E4778" s="29">
        <v>40843</v>
      </c>
      <c r="F4778" s="27">
        <v>15</v>
      </c>
      <c r="G4778" s="18">
        <v>47669.23</v>
      </c>
      <c r="H4778" s="27">
        <f t="shared" si="148"/>
        <v>0</v>
      </c>
      <c r="I4778" s="18">
        <v>27601.919999999998</v>
      </c>
      <c r="J4778" s="27">
        <v>47669.23</v>
      </c>
      <c r="K4778" s="18">
        <f t="shared" si="149"/>
        <v>0</v>
      </c>
      <c r="L4778" s="27">
        <v>29859.43</v>
      </c>
      <c r="M4778" s="36">
        <v>2257.5100000000002</v>
      </c>
      <c r="T4778" s="41">
        <v>0</v>
      </c>
      <c r="U4778" s="41">
        <v>0</v>
      </c>
      <c r="V4778" s="42" t="s">
        <v>113</v>
      </c>
      <c r="W4778" s="42">
        <v>0</v>
      </c>
      <c r="X4778" s="42">
        <v>0</v>
      </c>
    </row>
    <row r="4779" spans="1:24">
      <c r="A4779" s="27" t="s">
        <v>8836</v>
      </c>
      <c r="B4779" s="28" t="s">
        <v>5102</v>
      </c>
      <c r="C4779" s="27" t="s">
        <v>8837</v>
      </c>
      <c r="D4779" s="27" t="s">
        <v>5104</v>
      </c>
      <c r="E4779" s="29">
        <v>40843</v>
      </c>
      <c r="F4779" s="27">
        <v>15</v>
      </c>
      <c r="G4779" s="18">
        <v>193336.35</v>
      </c>
      <c r="H4779" s="27">
        <f t="shared" si="148"/>
        <v>0</v>
      </c>
      <c r="I4779" s="18">
        <v>111947.59</v>
      </c>
      <c r="J4779" s="27">
        <v>193336.35</v>
      </c>
      <c r="K4779" s="18">
        <f t="shared" si="149"/>
        <v>0</v>
      </c>
      <c r="L4779" s="27">
        <v>121103.58</v>
      </c>
      <c r="M4779" s="36">
        <v>9155.99</v>
      </c>
      <c r="T4779" s="41">
        <v>0</v>
      </c>
      <c r="U4779" s="41">
        <v>0</v>
      </c>
      <c r="V4779" s="42" t="s">
        <v>113</v>
      </c>
      <c r="W4779" s="42">
        <v>0</v>
      </c>
      <c r="X4779" s="42">
        <v>0</v>
      </c>
    </row>
    <row r="4780" spans="1:24">
      <c r="A4780" s="27" t="s">
        <v>8838</v>
      </c>
      <c r="B4780" s="28" t="s">
        <v>5102</v>
      </c>
      <c r="C4780" s="27" t="s">
        <v>8837</v>
      </c>
      <c r="D4780" s="27" t="s">
        <v>5104</v>
      </c>
      <c r="E4780" s="29">
        <v>40843</v>
      </c>
      <c r="F4780" s="27">
        <v>15</v>
      </c>
      <c r="G4780" s="18">
        <v>81940.899999999994</v>
      </c>
      <c r="H4780" s="27">
        <f t="shared" si="148"/>
        <v>0</v>
      </c>
      <c r="I4780" s="18">
        <v>47446.25</v>
      </c>
      <c r="J4780" s="27">
        <v>81940.899999999994</v>
      </c>
      <c r="K4780" s="18">
        <f t="shared" si="149"/>
        <v>0</v>
      </c>
      <c r="L4780" s="27">
        <v>51326.79</v>
      </c>
      <c r="M4780" s="36">
        <v>3880.54</v>
      </c>
      <c r="T4780" s="41">
        <v>0</v>
      </c>
      <c r="U4780" s="41">
        <v>0</v>
      </c>
      <c r="V4780" s="42" t="s">
        <v>113</v>
      </c>
      <c r="W4780" s="42">
        <v>0</v>
      </c>
      <c r="X4780" s="42">
        <v>0</v>
      </c>
    </row>
    <row r="4781" spans="1:24">
      <c r="A4781" s="27" t="s">
        <v>8839</v>
      </c>
      <c r="B4781" s="28" t="s">
        <v>5102</v>
      </c>
      <c r="C4781" s="27" t="s">
        <v>8840</v>
      </c>
      <c r="D4781" s="27" t="s">
        <v>5104</v>
      </c>
      <c r="E4781" s="29">
        <v>40843</v>
      </c>
      <c r="F4781" s="27">
        <v>15</v>
      </c>
      <c r="G4781" s="18">
        <v>106327.47</v>
      </c>
      <c r="H4781" s="27">
        <f t="shared" si="148"/>
        <v>0</v>
      </c>
      <c r="I4781" s="18">
        <v>61566.82</v>
      </c>
      <c r="J4781" s="27">
        <v>106327.47</v>
      </c>
      <c r="K4781" s="18">
        <f t="shared" si="149"/>
        <v>0</v>
      </c>
      <c r="L4781" s="27">
        <v>66602.259999999995</v>
      </c>
      <c r="M4781" s="36">
        <v>5035.4399999999996</v>
      </c>
      <c r="T4781" s="41">
        <v>0</v>
      </c>
      <c r="U4781" s="41">
        <v>0</v>
      </c>
      <c r="V4781" s="42" t="s">
        <v>113</v>
      </c>
      <c r="W4781" s="42">
        <v>0</v>
      </c>
      <c r="X4781" s="42">
        <v>0</v>
      </c>
    </row>
    <row r="4782" spans="1:24">
      <c r="A4782" s="27" t="s">
        <v>8841</v>
      </c>
      <c r="B4782" s="28" t="s">
        <v>5102</v>
      </c>
      <c r="C4782" s="27" t="s">
        <v>8842</v>
      </c>
      <c r="D4782" s="27" t="s">
        <v>5104</v>
      </c>
      <c r="E4782" s="29">
        <v>40843</v>
      </c>
      <c r="F4782" s="27">
        <v>15</v>
      </c>
      <c r="G4782" s="18">
        <v>65733.36</v>
      </c>
      <c r="H4782" s="27">
        <f t="shared" si="148"/>
        <v>0</v>
      </c>
      <c r="I4782" s="18">
        <v>38061.61</v>
      </c>
      <c r="J4782" s="27">
        <v>65733.36</v>
      </c>
      <c r="K4782" s="18">
        <f t="shared" si="149"/>
        <v>0</v>
      </c>
      <c r="L4782" s="27">
        <v>41174.6</v>
      </c>
      <c r="M4782" s="36">
        <v>3112.99</v>
      </c>
      <c r="T4782" s="41">
        <v>0</v>
      </c>
      <c r="U4782" s="41">
        <v>0</v>
      </c>
      <c r="V4782" s="42" t="s">
        <v>113</v>
      </c>
      <c r="W4782" s="42">
        <v>0</v>
      </c>
      <c r="X4782" s="42">
        <v>0</v>
      </c>
    </row>
    <row r="4783" spans="1:24">
      <c r="A4783" s="27" t="s">
        <v>8843</v>
      </c>
      <c r="B4783" s="28" t="s">
        <v>5102</v>
      </c>
      <c r="C4783" s="27" t="s">
        <v>8844</v>
      </c>
      <c r="D4783" s="27" t="s">
        <v>5104</v>
      </c>
      <c r="E4783" s="29">
        <v>40843</v>
      </c>
      <c r="F4783" s="27">
        <v>15</v>
      </c>
      <c r="G4783" s="18">
        <v>66887.45</v>
      </c>
      <c r="H4783" s="27">
        <f t="shared" si="148"/>
        <v>0</v>
      </c>
      <c r="I4783" s="18">
        <v>38729.86</v>
      </c>
      <c r="J4783" s="27">
        <v>66887.45</v>
      </c>
      <c r="K4783" s="18">
        <f t="shared" si="149"/>
        <v>0</v>
      </c>
      <c r="L4783" s="27">
        <v>41897.51</v>
      </c>
      <c r="M4783" s="36">
        <v>3167.65</v>
      </c>
      <c r="T4783" s="41">
        <v>0</v>
      </c>
      <c r="U4783" s="41">
        <v>0</v>
      </c>
      <c r="V4783" s="42" t="s">
        <v>113</v>
      </c>
      <c r="W4783" s="42">
        <v>0</v>
      </c>
      <c r="X4783" s="42">
        <v>0</v>
      </c>
    </row>
    <row r="4784" spans="1:24">
      <c r="A4784" s="27" t="s">
        <v>8845</v>
      </c>
      <c r="B4784" s="28" t="s">
        <v>5102</v>
      </c>
      <c r="C4784" s="27" t="s">
        <v>8846</v>
      </c>
      <c r="D4784" s="27" t="s">
        <v>5104</v>
      </c>
      <c r="E4784" s="29">
        <v>40843</v>
      </c>
      <c r="F4784" s="27">
        <v>15</v>
      </c>
      <c r="G4784" s="18">
        <v>99503.24</v>
      </c>
      <c r="H4784" s="27">
        <f t="shared" si="148"/>
        <v>0</v>
      </c>
      <c r="I4784" s="18">
        <v>57615.39</v>
      </c>
      <c r="J4784" s="27">
        <v>99503.24</v>
      </c>
      <c r="K4784" s="18">
        <f t="shared" si="149"/>
        <v>0</v>
      </c>
      <c r="L4784" s="27">
        <v>62327.65</v>
      </c>
      <c r="M4784" s="36">
        <v>4712.26</v>
      </c>
      <c r="T4784" s="41">
        <v>0</v>
      </c>
      <c r="U4784" s="41">
        <v>0</v>
      </c>
      <c r="V4784" s="42" t="s">
        <v>113</v>
      </c>
      <c r="W4784" s="42">
        <v>0</v>
      </c>
      <c r="X4784" s="42">
        <v>0</v>
      </c>
    </row>
    <row r="4785" spans="1:24">
      <c r="A4785" s="27" t="s">
        <v>8847</v>
      </c>
      <c r="B4785" s="28" t="s">
        <v>5102</v>
      </c>
      <c r="C4785" s="27" t="s">
        <v>8848</v>
      </c>
      <c r="D4785" s="27" t="s">
        <v>5104</v>
      </c>
      <c r="E4785" s="29">
        <v>40843</v>
      </c>
      <c r="F4785" s="27">
        <v>15</v>
      </c>
      <c r="G4785" s="18">
        <v>130162.08</v>
      </c>
      <c r="H4785" s="27">
        <f t="shared" si="148"/>
        <v>0</v>
      </c>
      <c r="I4785" s="18">
        <v>75367.78</v>
      </c>
      <c r="J4785" s="27">
        <v>130162.08</v>
      </c>
      <c r="K4785" s="18">
        <f t="shared" si="149"/>
        <v>0</v>
      </c>
      <c r="L4785" s="27">
        <v>81531.98</v>
      </c>
      <c r="M4785" s="36">
        <v>6164.2</v>
      </c>
      <c r="T4785" s="41">
        <v>0</v>
      </c>
      <c r="U4785" s="41">
        <v>0</v>
      </c>
      <c r="V4785" s="42" t="s">
        <v>113</v>
      </c>
      <c r="W4785" s="42">
        <v>0</v>
      </c>
      <c r="X4785" s="42">
        <v>0</v>
      </c>
    </row>
    <row r="4786" spans="1:24">
      <c r="A4786" s="27" t="s">
        <v>8849</v>
      </c>
      <c r="B4786" s="28" t="s">
        <v>5102</v>
      </c>
      <c r="C4786" s="27" t="s">
        <v>8846</v>
      </c>
      <c r="D4786" s="27" t="s">
        <v>5104</v>
      </c>
      <c r="E4786" s="29">
        <v>40843</v>
      </c>
      <c r="F4786" s="27">
        <v>15</v>
      </c>
      <c r="G4786" s="18">
        <v>99503.24</v>
      </c>
      <c r="H4786" s="27">
        <f t="shared" si="148"/>
        <v>0</v>
      </c>
      <c r="I4786" s="18">
        <v>57615.39</v>
      </c>
      <c r="J4786" s="27">
        <v>99503.24</v>
      </c>
      <c r="K4786" s="18">
        <f t="shared" si="149"/>
        <v>0</v>
      </c>
      <c r="L4786" s="27">
        <v>62327.65</v>
      </c>
      <c r="M4786" s="36">
        <v>4712.26</v>
      </c>
      <c r="T4786" s="41">
        <v>0</v>
      </c>
      <c r="U4786" s="41">
        <v>0</v>
      </c>
      <c r="V4786" s="42" t="s">
        <v>113</v>
      </c>
      <c r="W4786" s="42">
        <v>0</v>
      </c>
      <c r="X4786" s="42">
        <v>0</v>
      </c>
    </row>
    <row r="4787" spans="1:24">
      <c r="A4787" s="27" t="s">
        <v>8850</v>
      </c>
      <c r="B4787" s="28" t="s">
        <v>5102</v>
      </c>
      <c r="C4787" s="27" t="s">
        <v>8848</v>
      </c>
      <c r="D4787" s="27" t="s">
        <v>5104</v>
      </c>
      <c r="E4787" s="29">
        <v>40843</v>
      </c>
      <c r="F4787" s="27">
        <v>15</v>
      </c>
      <c r="G4787" s="18">
        <v>130162.08</v>
      </c>
      <c r="H4787" s="27">
        <f t="shared" si="148"/>
        <v>0</v>
      </c>
      <c r="I4787" s="18">
        <v>75367.78</v>
      </c>
      <c r="J4787" s="27">
        <v>130162.08</v>
      </c>
      <c r="K4787" s="18">
        <f t="shared" si="149"/>
        <v>0</v>
      </c>
      <c r="L4787" s="27">
        <v>81531.98</v>
      </c>
      <c r="M4787" s="36">
        <v>6164.2</v>
      </c>
      <c r="T4787" s="41">
        <v>0</v>
      </c>
      <c r="U4787" s="41">
        <v>0</v>
      </c>
      <c r="V4787" s="42" t="s">
        <v>113</v>
      </c>
      <c r="W4787" s="42">
        <v>0</v>
      </c>
      <c r="X4787" s="42">
        <v>0</v>
      </c>
    </row>
    <row r="4788" spans="1:24">
      <c r="A4788" s="27" t="s">
        <v>8851</v>
      </c>
      <c r="B4788" s="28" t="s">
        <v>5102</v>
      </c>
      <c r="C4788" s="27" t="s">
        <v>8852</v>
      </c>
      <c r="D4788" s="27" t="s">
        <v>5104</v>
      </c>
      <c r="E4788" s="29">
        <v>40843</v>
      </c>
      <c r="F4788" s="27">
        <v>15</v>
      </c>
      <c r="G4788" s="18">
        <v>103065.89</v>
      </c>
      <c r="H4788" s="27">
        <f t="shared" si="148"/>
        <v>0</v>
      </c>
      <c r="I4788" s="18">
        <v>59678.28</v>
      </c>
      <c r="J4788" s="27">
        <v>103065.89</v>
      </c>
      <c r="K4788" s="18">
        <f t="shared" si="149"/>
        <v>0</v>
      </c>
      <c r="L4788" s="27">
        <v>64559.26</v>
      </c>
      <c r="M4788" s="36">
        <v>4880.9799999999996</v>
      </c>
      <c r="T4788" s="41">
        <v>0</v>
      </c>
      <c r="U4788" s="41">
        <v>0</v>
      </c>
      <c r="V4788" s="42" t="s">
        <v>113</v>
      </c>
      <c r="W4788" s="42">
        <v>0</v>
      </c>
      <c r="X4788" s="42">
        <v>0</v>
      </c>
    </row>
    <row r="4789" spans="1:24">
      <c r="A4789" s="27" t="s">
        <v>8853</v>
      </c>
      <c r="B4789" s="28" t="s">
        <v>5102</v>
      </c>
      <c r="C4789" s="27" t="s">
        <v>8854</v>
      </c>
      <c r="D4789" s="27" t="s">
        <v>5104</v>
      </c>
      <c r="E4789" s="29">
        <v>40843</v>
      </c>
      <c r="F4789" s="27">
        <v>15</v>
      </c>
      <c r="G4789" s="18">
        <v>92528.48</v>
      </c>
      <c r="H4789" s="27">
        <f t="shared" si="148"/>
        <v>0</v>
      </c>
      <c r="I4789" s="18">
        <v>53576.78</v>
      </c>
      <c r="J4789" s="27">
        <v>92528.48</v>
      </c>
      <c r="K4789" s="18">
        <f t="shared" si="149"/>
        <v>0</v>
      </c>
      <c r="L4789" s="27">
        <v>57958.73</v>
      </c>
      <c r="M4789" s="36">
        <v>4381.95</v>
      </c>
      <c r="T4789" s="41">
        <v>0</v>
      </c>
      <c r="U4789" s="41">
        <v>0</v>
      </c>
      <c r="V4789" s="42" t="s">
        <v>113</v>
      </c>
      <c r="W4789" s="42">
        <v>0</v>
      </c>
      <c r="X4789" s="42">
        <v>0</v>
      </c>
    </row>
    <row r="4790" spans="1:24">
      <c r="A4790" s="27" t="s">
        <v>8855</v>
      </c>
      <c r="B4790" s="28" t="s">
        <v>5102</v>
      </c>
      <c r="C4790" s="27" t="s">
        <v>8856</v>
      </c>
      <c r="D4790" s="27" t="s">
        <v>5104</v>
      </c>
      <c r="E4790" s="29">
        <v>40843</v>
      </c>
      <c r="F4790" s="27">
        <v>15</v>
      </c>
      <c r="G4790" s="18">
        <v>652565.34</v>
      </c>
      <c r="H4790" s="27">
        <f t="shared" si="148"/>
        <v>0</v>
      </c>
      <c r="I4790" s="18">
        <v>440033.38</v>
      </c>
      <c r="J4790" s="27">
        <v>652565.34</v>
      </c>
      <c r="K4790" s="18">
        <f t="shared" si="149"/>
        <v>0</v>
      </c>
      <c r="L4790" s="27">
        <v>462999.81</v>
      </c>
      <c r="M4790" s="36">
        <v>22966.43</v>
      </c>
      <c r="T4790" s="41">
        <v>0</v>
      </c>
      <c r="U4790" s="41">
        <v>0</v>
      </c>
      <c r="V4790" s="42" t="s">
        <v>113</v>
      </c>
      <c r="W4790" s="42">
        <v>0</v>
      </c>
      <c r="X4790" s="42">
        <v>0</v>
      </c>
    </row>
    <row r="4791" spans="1:24">
      <c r="A4791" s="27" t="s">
        <v>8857</v>
      </c>
      <c r="B4791" s="28" t="s">
        <v>5102</v>
      </c>
      <c r="C4791" s="27" t="s">
        <v>8774</v>
      </c>
      <c r="D4791" s="27" t="s">
        <v>5104</v>
      </c>
      <c r="E4791" s="29">
        <v>40843</v>
      </c>
      <c r="F4791" s="27">
        <v>15</v>
      </c>
      <c r="G4791" s="18">
        <v>67577.279999999999</v>
      </c>
      <c r="H4791" s="27">
        <f t="shared" si="148"/>
        <v>0</v>
      </c>
      <c r="I4791" s="18">
        <v>39129.29</v>
      </c>
      <c r="J4791" s="27">
        <v>67577.279999999999</v>
      </c>
      <c r="K4791" s="18">
        <f t="shared" si="149"/>
        <v>0</v>
      </c>
      <c r="L4791" s="27">
        <v>42329.599999999999</v>
      </c>
      <c r="M4791" s="36">
        <v>3200.31</v>
      </c>
      <c r="T4791" s="41">
        <v>0</v>
      </c>
      <c r="U4791" s="41">
        <v>0</v>
      </c>
      <c r="V4791" s="42" t="s">
        <v>113</v>
      </c>
      <c r="W4791" s="42">
        <v>0</v>
      </c>
      <c r="X4791" s="42">
        <v>0</v>
      </c>
    </row>
    <row r="4792" spans="1:24">
      <c r="A4792" s="27" t="s">
        <v>8858</v>
      </c>
      <c r="B4792" s="28" t="s">
        <v>5102</v>
      </c>
      <c r="C4792" s="27" t="s">
        <v>8859</v>
      </c>
      <c r="D4792" s="27" t="s">
        <v>5104</v>
      </c>
      <c r="E4792" s="29">
        <v>40843</v>
      </c>
      <c r="F4792" s="27">
        <v>15</v>
      </c>
      <c r="G4792" s="18">
        <v>37017.69</v>
      </c>
      <c r="H4792" s="27">
        <f t="shared" si="148"/>
        <v>0</v>
      </c>
      <c r="I4792" s="18">
        <v>21434.37</v>
      </c>
      <c r="J4792" s="27">
        <v>37017.69</v>
      </c>
      <c r="K4792" s="18">
        <f t="shared" si="149"/>
        <v>0</v>
      </c>
      <c r="L4792" s="27">
        <v>23187.45</v>
      </c>
      <c r="M4792" s="36">
        <v>1753.08</v>
      </c>
      <c r="T4792" s="41">
        <v>0</v>
      </c>
      <c r="U4792" s="41">
        <v>0</v>
      </c>
      <c r="V4792" s="42" t="s">
        <v>113</v>
      </c>
      <c r="W4792" s="42">
        <v>0</v>
      </c>
      <c r="X4792" s="42">
        <v>0</v>
      </c>
    </row>
    <row r="4793" spans="1:24">
      <c r="A4793" s="27" t="s">
        <v>8860</v>
      </c>
      <c r="B4793" s="28" t="s">
        <v>5102</v>
      </c>
      <c r="C4793" s="27" t="s">
        <v>8861</v>
      </c>
      <c r="D4793" s="27" t="s">
        <v>5104</v>
      </c>
      <c r="E4793" s="29">
        <v>40843</v>
      </c>
      <c r="F4793" s="27">
        <v>15</v>
      </c>
      <c r="G4793" s="18">
        <v>85384.78</v>
      </c>
      <c r="H4793" s="27">
        <f t="shared" si="148"/>
        <v>0</v>
      </c>
      <c r="I4793" s="18">
        <v>49440.37</v>
      </c>
      <c r="J4793" s="27">
        <v>85384.78</v>
      </c>
      <c r="K4793" s="18">
        <f t="shared" si="149"/>
        <v>0</v>
      </c>
      <c r="L4793" s="27">
        <v>53484.01</v>
      </c>
      <c r="M4793" s="36">
        <v>4043.64</v>
      </c>
      <c r="T4793" s="41">
        <v>0</v>
      </c>
      <c r="U4793" s="41">
        <v>0</v>
      </c>
      <c r="V4793" s="42" t="s">
        <v>113</v>
      </c>
      <c r="W4793" s="42">
        <v>0</v>
      </c>
      <c r="X4793" s="42">
        <v>0</v>
      </c>
    </row>
    <row r="4794" spans="1:24">
      <c r="A4794" s="27" t="s">
        <v>8862</v>
      </c>
      <c r="B4794" s="28" t="s">
        <v>5102</v>
      </c>
      <c r="C4794" s="27" t="s">
        <v>8863</v>
      </c>
      <c r="D4794" s="27" t="s">
        <v>5104</v>
      </c>
      <c r="E4794" s="29">
        <v>40843</v>
      </c>
      <c r="F4794" s="27">
        <v>15</v>
      </c>
      <c r="G4794" s="18">
        <v>36287.730000000003</v>
      </c>
      <c r="H4794" s="27">
        <f t="shared" si="148"/>
        <v>0</v>
      </c>
      <c r="I4794" s="18">
        <v>21011.69</v>
      </c>
      <c r="J4794" s="27">
        <v>36287.730000000003</v>
      </c>
      <c r="K4794" s="18">
        <f t="shared" si="149"/>
        <v>0</v>
      </c>
      <c r="L4794" s="27">
        <v>22730.2</v>
      </c>
      <c r="M4794" s="36">
        <v>1718.51</v>
      </c>
      <c r="T4794" s="41">
        <v>0</v>
      </c>
      <c r="U4794" s="41">
        <v>0</v>
      </c>
      <c r="V4794" s="42" t="s">
        <v>113</v>
      </c>
      <c r="W4794" s="42">
        <v>0</v>
      </c>
      <c r="X4794" s="42">
        <v>0</v>
      </c>
    </row>
    <row r="4795" spans="1:24">
      <c r="A4795" s="27" t="s">
        <v>8864</v>
      </c>
      <c r="B4795" s="28" t="s">
        <v>5102</v>
      </c>
      <c r="C4795" s="27" t="s">
        <v>8865</v>
      </c>
      <c r="D4795" s="27" t="s">
        <v>5104</v>
      </c>
      <c r="E4795" s="29">
        <v>40843</v>
      </c>
      <c r="F4795" s="27">
        <v>15</v>
      </c>
      <c r="G4795" s="18">
        <v>77214.539999999994</v>
      </c>
      <c r="H4795" s="27">
        <f t="shared" si="148"/>
        <v>0</v>
      </c>
      <c r="I4795" s="18">
        <v>44709.55</v>
      </c>
      <c r="J4795" s="27">
        <v>77214.539999999994</v>
      </c>
      <c r="K4795" s="18">
        <f t="shared" si="149"/>
        <v>0</v>
      </c>
      <c r="L4795" s="27">
        <v>48366.26</v>
      </c>
      <c r="M4795" s="36">
        <v>3656.71</v>
      </c>
      <c r="T4795" s="41">
        <v>0</v>
      </c>
      <c r="U4795" s="41">
        <v>0</v>
      </c>
      <c r="V4795" s="42" t="s">
        <v>113</v>
      </c>
      <c r="W4795" s="42">
        <v>0</v>
      </c>
      <c r="X4795" s="42">
        <v>0</v>
      </c>
    </row>
    <row r="4796" spans="1:24">
      <c r="A4796" s="27" t="s">
        <v>8866</v>
      </c>
      <c r="B4796" s="28" t="s">
        <v>5102</v>
      </c>
      <c r="C4796" s="27" t="s">
        <v>8867</v>
      </c>
      <c r="D4796" s="27" t="s">
        <v>5104</v>
      </c>
      <c r="E4796" s="29">
        <v>40843</v>
      </c>
      <c r="F4796" s="27">
        <v>15</v>
      </c>
      <c r="G4796" s="18">
        <v>67443.44</v>
      </c>
      <c r="H4796" s="27">
        <f t="shared" si="148"/>
        <v>0</v>
      </c>
      <c r="I4796" s="18">
        <v>39051.79</v>
      </c>
      <c r="J4796" s="27">
        <v>67443.44</v>
      </c>
      <c r="K4796" s="18">
        <f t="shared" si="149"/>
        <v>0</v>
      </c>
      <c r="L4796" s="27">
        <v>42245.77</v>
      </c>
      <c r="M4796" s="36">
        <v>3193.98</v>
      </c>
      <c r="T4796" s="41">
        <v>0</v>
      </c>
      <c r="U4796" s="41">
        <v>0</v>
      </c>
      <c r="V4796" s="42" t="s">
        <v>113</v>
      </c>
      <c r="W4796" s="42">
        <v>0</v>
      </c>
      <c r="X4796" s="42">
        <v>0</v>
      </c>
    </row>
    <row r="4797" spans="1:24">
      <c r="A4797" s="27" t="s">
        <v>8868</v>
      </c>
      <c r="B4797" s="28" t="s">
        <v>5102</v>
      </c>
      <c r="C4797" s="27" t="s">
        <v>8869</v>
      </c>
      <c r="D4797" s="27" t="s">
        <v>5104</v>
      </c>
      <c r="E4797" s="29">
        <v>40843</v>
      </c>
      <c r="F4797" s="27">
        <v>15</v>
      </c>
      <c r="G4797" s="18">
        <v>105364.27</v>
      </c>
      <c r="H4797" s="27">
        <f t="shared" si="148"/>
        <v>0</v>
      </c>
      <c r="I4797" s="18">
        <v>61009.1</v>
      </c>
      <c r="J4797" s="27">
        <v>105364.27</v>
      </c>
      <c r="K4797" s="18">
        <f t="shared" si="149"/>
        <v>0</v>
      </c>
      <c r="L4797" s="27">
        <v>65998.92</v>
      </c>
      <c r="M4797" s="36">
        <v>4989.82</v>
      </c>
      <c r="T4797" s="41">
        <v>0</v>
      </c>
      <c r="U4797" s="41">
        <v>0</v>
      </c>
      <c r="V4797" s="42" t="s">
        <v>113</v>
      </c>
      <c r="W4797" s="42">
        <v>0</v>
      </c>
      <c r="X4797" s="42">
        <v>0</v>
      </c>
    </row>
    <row r="4798" spans="1:24">
      <c r="A4798" s="27" t="s">
        <v>8870</v>
      </c>
      <c r="B4798" s="28" t="s">
        <v>5102</v>
      </c>
      <c r="C4798" s="27" t="s">
        <v>8871</v>
      </c>
      <c r="D4798" s="27" t="s">
        <v>5104</v>
      </c>
      <c r="E4798" s="29">
        <v>40843</v>
      </c>
      <c r="F4798" s="27">
        <v>15</v>
      </c>
      <c r="G4798" s="18">
        <v>105364.27</v>
      </c>
      <c r="H4798" s="27">
        <f t="shared" si="148"/>
        <v>0</v>
      </c>
      <c r="I4798" s="18">
        <v>61009.1</v>
      </c>
      <c r="J4798" s="27">
        <v>105364.27</v>
      </c>
      <c r="K4798" s="18">
        <f t="shared" si="149"/>
        <v>0</v>
      </c>
      <c r="L4798" s="27">
        <v>65998.92</v>
      </c>
      <c r="M4798" s="36">
        <v>4989.82</v>
      </c>
      <c r="T4798" s="41">
        <v>0</v>
      </c>
      <c r="U4798" s="41">
        <v>0</v>
      </c>
      <c r="V4798" s="42" t="s">
        <v>113</v>
      </c>
      <c r="W4798" s="42">
        <v>0</v>
      </c>
      <c r="X4798" s="42">
        <v>0</v>
      </c>
    </row>
    <row r="4799" spans="1:24">
      <c r="A4799" s="27" t="s">
        <v>8872</v>
      </c>
      <c r="B4799" s="28" t="s">
        <v>5102</v>
      </c>
      <c r="C4799" s="27" t="s">
        <v>8873</v>
      </c>
      <c r="D4799" s="27" t="s">
        <v>5104</v>
      </c>
      <c r="E4799" s="29">
        <v>40843</v>
      </c>
      <c r="F4799" s="27">
        <v>15</v>
      </c>
      <c r="G4799" s="18">
        <v>105364.27</v>
      </c>
      <c r="H4799" s="27">
        <f t="shared" si="148"/>
        <v>0</v>
      </c>
      <c r="I4799" s="18">
        <v>61009.1</v>
      </c>
      <c r="J4799" s="27">
        <v>105364.27</v>
      </c>
      <c r="K4799" s="18">
        <f t="shared" si="149"/>
        <v>0</v>
      </c>
      <c r="L4799" s="27">
        <v>65998.92</v>
      </c>
      <c r="M4799" s="36">
        <v>4989.82</v>
      </c>
      <c r="T4799" s="41">
        <v>0</v>
      </c>
      <c r="U4799" s="41">
        <v>0</v>
      </c>
      <c r="V4799" s="42" t="s">
        <v>113</v>
      </c>
      <c r="W4799" s="42">
        <v>0</v>
      </c>
      <c r="X4799" s="42">
        <v>0</v>
      </c>
    </row>
    <row r="4800" spans="1:24">
      <c r="A4800" s="27" t="s">
        <v>8874</v>
      </c>
      <c r="B4800" s="28" t="s">
        <v>5102</v>
      </c>
      <c r="C4800" s="27" t="s">
        <v>8875</v>
      </c>
      <c r="D4800" s="27" t="s">
        <v>5104</v>
      </c>
      <c r="E4800" s="29">
        <v>40843</v>
      </c>
      <c r="F4800" s="27">
        <v>15</v>
      </c>
      <c r="G4800" s="18">
        <v>16223.83</v>
      </c>
      <c r="H4800" s="27">
        <f t="shared" si="148"/>
        <v>0</v>
      </c>
      <c r="I4800" s="18">
        <v>9394.09</v>
      </c>
      <c r="J4800" s="27">
        <v>16223.83</v>
      </c>
      <c r="K4800" s="18">
        <f t="shared" si="149"/>
        <v>0</v>
      </c>
      <c r="L4800" s="27">
        <v>10162.42</v>
      </c>
      <c r="M4800" s="36">
        <v>768.33</v>
      </c>
      <c r="T4800" s="41">
        <v>0</v>
      </c>
      <c r="U4800" s="41">
        <v>0</v>
      </c>
      <c r="V4800" s="42" t="s">
        <v>113</v>
      </c>
      <c r="W4800" s="42">
        <v>0</v>
      </c>
      <c r="X4800" s="42">
        <v>0</v>
      </c>
    </row>
    <row r="4801" spans="1:24">
      <c r="A4801" s="27" t="s">
        <v>8876</v>
      </c>
      <c r="B4801" s="28" t="s">
        <v>5102</v>
      </c>
      <c r="C4801" s="27" t="s">
        <v>8877</v>
      </c>
      <c r="D4801" s="27" t="s">
        <v>5104</v>
      </c>
      <c r="E4801" s="29">
        <v>40843</v>
      </c>
      <c r="F4801" s="27">
        <v>15</v>
      </c>
      <c r="G4801" s="18">
        <v>19278.12</v>
      </c>
      <c r="H4801" s="27">
        <f t="shared" si="148"/>
        <v>0</v>
      </c>
      <c r="I4801" s="18">
        <v>11162.62</v>
      </c>
      <c r="J4801" s="27">
        <v>19278.12</v>
      </c>
      <c r="K4801" s="18">
        <f t="shared" si="149"/>
        <v>0</v>
      </c>
      <c r="L4801" s="27">
        <v>12075.59</v>
      </c>
      <c r="M4801" s="36">
        <v>912.97</v>
      </c>
      <c r="T4801" s="41">
        <v>0</v>
      </c>
      <c r="U4801" s="41">
        <v>0</v>
      </c>
      <c r="V4801" s="42" t="s">
        <v>113</v>
      </c>
      <c r="W4801" s="42">
        <v>0</v>
      </c>
      <c r="X4801" s="42">
        <v>0</v>
      </c>
    </row>
    <row r="4802" spans="1:24">
      <c r="A4802" s="27" t="s">
        <v>8878</v>
      </c>
      <c r="B4802" s="28" t="s">
        <v>5102</v>
      </c>
      <c r="C4802" s="27" t="s">
        <v>8879</v>
      </c>
      <c r="D4802" s="27" t="s">
        <v>5104</v>
      </c>
      <c r="E4802" s="29">
        <v>40843</v>
      </c>
      <c r="F4802" s="27">
        <v>15</v>
      </c>
      <c r="G4802" s="18">
        <v>103896.85</v>
      </c>
      <c r="H4802" s="27">
        <f t="shared" si="148"/>
        <v>0</v>
      </c>
      <c r="I4802" s="18">
        <v>60159.42</v>
      </c>
      <c r="J4802" s="27">
        <v>103896.85</v>
      </c>
      <c r="K4802" s="18">
        <f t="shared" si="149"/>
        <v>0</v>
      </c>
      <c r="L4802" s="27">
        <v>65079.75</v>
      </c>
      <c r="M4802" s="36">
        <v>4920.33</v>
      </c>
      <c r="T4802" s="41">
        <v>0</v>
      </c>
      <c r="U4802" s="41">
        <v>0</v>
      </c>
      <c r="V4802" s="42" t="s">
        <v>113</v>
      </c>
      <c r="W4802" s="42">
        <v>0</v>
      </c>
      <c r="X4802" s="42">
        <v>0</v>
      </c>
    </row>
    <row r="4803" spans="1:24">
      <c r="A4803" s="27" t="s">
        <v>8880</v>
      </c>
      <c r="B4803" s="28" t="s">
        <v>5102</v>
      </c>
      <c r="C4803" s="27" t="s">
        <v>8881</v>
      </c>
      <c r="D4803" s="27" t="s">
        <v>5104</v>
      </c>
      <c r="E4803" s="29">
        <v>40843</v>
      </c>
      <c r="F4803" s="27">
        <v>15</v>
      </c>
      <c r="G4803" s="18">
        <v>30224.55</v>
      </c>
      <c r="H4803" s="27">
        <f t="shared" si="148"/>
        <v>0</v>
      </c>
      <c r="I4803" s="18">
        <v>17500.919999999998</v>
      </c>
      <c r="J4803" s="27">
        <v>30224.55</v>
      </c>
      <c r="K4803" s="18">
        <f t="shared" si="149"/>
        <v>0</v>
      </c>
      <c r="L4803" s="27">
        <v>18932.29</v>
      </c>
      <c r="M4803" s="36">
        <v>1431.37</v>
      </c>
      <c r="T4803" s="41">
        <v>0</v>
      </c>
      <c r="U4803" s="41">
        <v>0</v>
      </c>
      <c r="V4803" s="42" t="s">
        <v>113</v>
      </c>
      <c r="W4803" s="42">
        <v>0</v>
      </c>
      <c r="X4803" s="42">
        <v>0</v>
      </c>
    </row>
    <row r="4804" spans="1:24">
      <c r="A4804" s="27" t="s">
        <v>8882</v>
      </c>
      <c r="B4804" s="28" t="s">
        <v>5102</v>
      </c>
      <c r="C4804" s="27" t="s">
        <v>8883</v>
      </c>
      <c r="D4804" s="27" t="s">
        <v>5104</v>
      </c>
      <c r="E4804" s="29">
        <v>40843</v>
      </c>
      <c r="F4804" s="27">
        <v>15</v>
      </c>
      <c r="G4804" s="18">
        <v>12588.07</v>
      </c>
      <c r="H4804" s="27">
        <f t="shared" si="148"/>
        <v>0</v>
      </c>
      <c r="I4804" s="18">
        <v>7288.87</v>
      </c>
      <c r="J4804" s="27">
        <v>12588.07</v>
      </c>
      <c r="K4804" s="18">
        <f t="shared" si="149"/>
        <v>0</v>
      </c>
      <c r="L4804" s="27">
        <v>7885.01</v>
      </c>
      <c r="M4804" s="36">
        <v>596.14</v>
      </c>
      <c r="T4804" s="41">
        <v>0</v>
      </c>
      <c r="U4804" s="41">
        <v>0</v>
      </c>
      <c r="V4804" s="42" t="s">
        <v>113</v>
      </c>
      <c r="W4804" s="42">
        <v>0</v>
      </c>
      <c r="X4804" s="42">
        <v>0</v>
      </c>
    </row>
    <row r="4805" spans="1:24">
      <c r="A4805" s="27" t="s">
        <v>8884</v>
      </c>
      <c r="B4805" s="28" t="s">
        <v>5102</v>
      </c>
      <c r="C4805" s="27" t="s">
        <v>8885</v>
      </c>
      <c r="D4805" s="27" t="s">
        <v>5104</v>
      </c>
      <c r="E4805" s="29">
        <v>40843</v>
      </c>
      <c r="F4805" s="27">
        <v>15</v>
      </c>
      <c r="G4805" s="18">
        <v>24968.13</v>
      </c>
      <c r="H4805" s="27">
        <f t="shared" si="148"/>
        <v>0</v>
      </c>
      <c r="I4805" s="18">
        <v>14457.31</v>
      </c>
      <c r="J4805" s="27">
        <v>24968.13</v>
      </c>
      <c r="K4805" s="18">
        <f t="shared" si="149"/>
        <v>0</v>
      </c>
      <c r="L4805" s="27">
        <v>15639.75</v>
      </c>
      <c r="M4805" s="36">
        <v>1182.44</v>
      </c>
      <c r="T4805" s="41">
        <v>0</v>
      </c>
      <c r="U4805" s="41">
        <v>0</v>
      </c>
      <c r="V4805" s="42" t="s">
        <v>113</v>
      </c>
      <c r="W4805" s="42">
        <v>0</v>
      </c>
      <c r="X4805" s="42">
        <v>0</v>
      </c>
    </row>
    <row r="4806" spans="1:24">
      <c r="A4806" s="27" t="s">
        <v>8886</v>
      </c>
      <c r="B4806" s="28" t="s">
        <v>5102</v>
      </c>
      <c r="C4806" s="27" t="s">
        <v>8887</v>
      </c>
      <c r="D4806" s="27" t="s">
        <v>230</v>
      </c>
      <c r="E4806" s="29">
        <v>40843</v>
      </c>
      <c r="F4806" s="27">
        <v>15</v>
      </c>
      <c r="G4806" s="18">
        <v>1465115.44</v>
      </c>
      <c r="H4806" s="27">
        <f t="shared" ref="H4806:H4869" si="150">IFERROR(IF(ROUND((G4806-I4806)/G4806,2)&lt;=0.05,G4806,0),0)</f>
        <v>0</v>
      </c>
      <c r="I4806" s="18">
        <v>846319.59</v>
      </c>
      <c r="J4806" s="27">
        <v>1465115.44</v>
      </c>
      <c r="K4806" s="18">
        <f t="shared" ref="K4806:K4869" si="151">IFERROR(IF(ROUND((J4806-L4806)/J4806,2)&lt;=0.05,J4806,0),0)</f>
        <v>0</v>
      </c>
      <c r="L4806" s="27">
        <v>915963</v>
      </c>
      <c r="M4806" s="36">
        <v>69643.41</v>
      </c>
      <c r="T4806" s="41">
        <v>0</v>
      </c>
      <c r="U4806" s="41">
        <v>0</v>
      </c>
      <c r="V4806" s="42" t="s">
        <v>113</v>
      </c>
      <c r="W4806" s="42">
        <v>0</v>
      </c>
      <c r="X4806" s="42">
        <v>0</v>
      </c>
    </row>
    <row r="4807" spans="1:24">
      <c r="A4807" s="27" t="s">
        <v>8888</v>
      </c>
      <c r="B4807" s="28" t="s">
        <v>5102</v>
      </c>
      <c r="C4807" s="27" t="s">
        <v>8889</v>
      </c>
      <c r="D4807" s="27" t="s">
        <v>230</v>
      </c>
      <c r="E4807" s="29">
        <v>40843</v>
      </c>
      <c r="F4807" s="27">
        <v>15</v>
      </c>
      <c r="G4807" s="18">
        <v>1561168.66</v>
      </c>
      <c r="H4807" s="27">
        <f t="shared" si="150"/>
        <v>0</v>
      </c>
      <c r="I4807" s="18">
        <v>903963.85</v>
      </c>
      <c r="J4807" s="27">
        <v>1561168.66</v>
      </c>
      <c r="K4807" s="18">
        <f t="shared" si="151"/>
        <v>0</v>
      </c>
      <c r="L4807" s="27">
        <v>977897.43</v>
      </c>
      <c r="M4807" s="36">
        <v>73933.58</v>
      </c>
      <c r="T4807" s="41">
        <v>0</v>
      </c>
      <c r="U4807" s="41">
        <v>0</v>
      </c>
      <c r="V4807" s="42" t="s">
        <v>113</v>
      </c>
      <c r="W4807" s="42">
        <v>0</v>
      </c>
      <c r="X4807" s="42">
        <v>0</v>
      </c>
    </row>
    <row r="4808" spans="1:24">
      <c r="A4808" s="27" t="s">
        <v>8890</v>
      </c>
      <c r="B4808" s="28" t="s">
        <v>5102</v>
      </c>
      <c r="C4808" s="27" t="s">
        <v>8891</v>
      </c>
      <c r="D4808" s="27" t="s">
        <v>230</v>
      </c>
      <c r="E4808" s="29">
        <v>40843</v>
      </c>
      <c r="F4808" s="27">
        <v>15</v>
      </c>
      <c r="G4808" s="18">
        <v>877926.44</v>
      </c>
      <c r="H4808" s="27">
        <f t="shared" si="150"/>
        <v>0</v>
      </c>
      <c r="I4808" s="18">
        <v>508345.96</v>
      </c>
      <c r="J4808" s="27">
        <v>877926.44</v>
      </c>
      <c r="K4808" s="18">
        <f t="shared" si="151"/>
        <v>0</v>
      </c>
      <c r="L4808" s="27">
        <v>549922.66</v>
      </c>
      <c r="M4808" s="36">
        <v>41576.699999999997</v>
      </c>
      <c r="T4808" s="41">
        <v>0</v>
      </c>
      <c r="U4808" s="41">
        <v>0</v>
      </c>
      <c r="V4808" s="42" t="s">
        <v>113</v>
      </c>
      <c r="W4808" s="42">
        <v>0</v>
      </c>
      <c r="X4808" s="42">
        <v>0</v>
      </c>
    </row>
    <row r="4809" spans="1:24">
      <c r="A4809" s="27" t="s">
        <v>8892</v>
      </c>
      <c r="B4809" s="28" t="s">
        <v>5102</v>
      </c>
      <c r="C4809" s="27" t="s">
        <v>8893</v>
      </c>
      <c r="D4809" s="27" t="s">
        <v>230</v>
      </c>
      <c r="E4809" s="29">
        <v>40843</v>
      </c>
      <c r="F4809" s="27">
        <v>15</v>
      </c>
      <c r="G4809" s="18">
        <v>853657.13</v>
      </c>
      <c r="H4809" s="27">
        <f t="shared" si="150"/>
        <v>0</v>
      </c>
      <c r="I4809" s="18">
        <v>494293.28</v>
      </c>
      <c r="J4809" s="27">
        <v>853657.13</v>
      </c>
      <c r="K4809" s="18">
        <f t="shared" si="151"/>
        <v>0</v>
      </c>
      <c r="L4809" s="27">
        <v>534720.64</v>
      </c>
      <c r="M4809" s="36">
        <v>40427.360000000001</v>
      </c>
      <c r="T4809" s="41">
        <v>0</v>
      </c>
      <c r="U4809" s="41">
        <v>0</v>
      </c>
      <c r="V4809" s="42" t="s">
        <v>113</v>
      </c>
      <c r="W4809" s="42">
        <v>0</v>
      </c>
      <c r="X4809" s="42">
        <v>0</v>
      </c>
    </row>
    <row r="4810" spans="1:24">
      <c r="A4810" s="27" t="s">
        <v>8894</v>
      </c>
      <c r="B4810" s="28" t="s">
        <v>5102</v>
      </c>
      <c r="C4810" s="27" t="s">
        <v>8895</v>
      </c>
      <c r="D4810" s="27" t="s">
        <v>230</v>
      </c>
      <c r="E4810" s="29">
        <v>40843</v>
      </c>
      <c r="F4810" s="27">
        <v>15</v>
      </c>
      <c r="G4810" s="18">
        <v>3557183.15</v>
      </c>
      <c r="H4810" s="27">
        <f t="shared" si="150"/>
        <v>0</v>
      </c>
      <c r="I4810" s="18">
        <v>2059716.57</v>
      </c>
      <c r="J4810" s="27">
        <v>3557183.15</v>
      </c>
      <c r="K4810" s="18">
        <f t="shared" si="151"/>
        <v>0</v>
      </c>
      <c r="L4810" s="27">
        <v>2228177.09</v>
      </c>
      <c r="M4810" s="36">
        <v>168460.52</v>
      </c>
      <c r="T4810" s="41">
        <v>0</v>
      </c>
      <c r="U4810" s="41">
        <v>0</v>
      </c>
      <c r="V4810" s="42" t="s">
        <v>113</v>
      </c>
      <c r="W4810" s="42">
        <v>0</v>
      </c>
      <c r="X4810" s="42">
        <v>0</v>
      </c>
    </row>
    <row r="4811" spans="1:24">
      <c r="A4811" s="27" t="s">
        <v>8896</v>
      </c>
      <c r="B4811" s="28" t="s">
        <v>5102</v>
      </c>
      <c r="C4811" s="27" t="s">
        <v>8897</v>
      </c>
      <c r="D4811" s="27" t="s">
        <v>230</v>
      </c>
      <c r="E4811" s="29">
        <v>40843</v>
      </c>
      <c r="F4811" s="27">
        <v>15</v>
      </c>
      <c r="G4811" s="18">
        <v>603723.87</v>
      </c>
      <c r="H4811" s="27">
        <f t="shared" si="150"/>
        <v>0</v>
      </c>
      <c r="I4811" s="18">
        <v>349574.37</v>
      </c>
      <c r="J4811" s="27">
        <v>603723.87</v>
      </c>
      <c r="K4811" s="18">
        <f t="shared" si="151"/>
        <v>0</v>
      </c>
      <c r="L4811" s="27">
        <v>378165.43</v>
      </c>
      <c r="M4811" s="36">
        <v>28591.06</v>
      </c>
      <c r="T4811" s="41">
        <v>0</v>
      </c>
      <c r="U4811" s="41">
        <v>0</v>
      </c>
      <c r="V4811" s="42" t="s">
        <v>113</v>
      </c>
      <c r="W4811" s="42">
        <v>0</v>
      </c>
      <c r="X4811" s="42">
        <v>0</v>
      </c>
    </row>
    <row r="4812" spans="1:24">
      <c r="A4812" s="27" t="s">
        <v>8898</v>
      </c>
      <c r="B4812" s="28" t="s">
        <v>5102</v>
      </c>
      <c r="C4812" s="27" t="s">
        <v>8899</v>
      </c>
      <c r="D4812" s="27" t="s">
        <v>230</v>
      </c>
      <c r="E4812" s="29">
        <v>40843</v>
      </c>
      <c r="F4812" s="27">
        <v>15</v>
      </c>
      <c r="G4812" s="18">
        <v>78477.84</v>
      </c>
      <c r="H4812" s="27">
        <f t="shared" si="150"/>
        <v>0</v>
      </c>
      <c r="I4812" s="18">
        <v>45441.04</v>
      </c>
      <c r="J4812" s="27">
        <v>78477.84</v>
      </c>
      <c r="K4812" s="18">
        <f t="shared" si="151"/>
        <v>0</v>
      </c>
      <c r="L4812" s="27">
        <v>49157.58</v>
      </c>
      <c r="M4812" s="36">
        <v>3716.54</v>
      </c>
      <c r="T4812" s="41">
        <v>0</v>
      </c>
      <c r="U4812" s="41">
        <v>0</v>
      </c>
      <c r="V4812" s="42" t="s">
        <v>113</v>
      </c>
      <c r="W4812" s="42">
        <v>0</v>
      </c>
      <c r="X4812" s="42">
        <v>0</v>
      </c>
    </row>
    <row r="4813" spans="1:24">
      <c r="A4813" s="27" t="s">
        <v>8900</v>
      </c>
      <c r="B4813" s="28" t="s">
        <v>5102</v>
      </c>
      <c r="C4813" s="27" t="s">
        <v>8901</v>
      </c>
      <c r="D4813" s="27" t="s">
        <v>230</v>
      </c>
      <c r="E4813" s="29">
        <v>40843</v>
      </c>
      <c r="F4813" s="27">
        <v>12</v>
      </c>
      <c r="G4813" s="18">
        <v>4130.42</v>
      </c>
      <c r="H4813" s="27">
        <f t="shared" si="150"/>
        <v>4130.42</v>
      </c>
      <c r="I4813" s="18">
        <v>4130.42</v>
      </c>
      <c r="J4813" s="27">
        <v>4130.42</v>
      </c>
      <c r="K4813" s="18">
        <f t="shared" si="151"/>
        <v>4130.42</v>
      </c>
      <c r="L4813" s="27">
        <v>4130.42</v>
      </c>
      <c r="M4813" s="36">
        <v>0</v>
      </c>
      <c r="T4813" s="41">
        <v>0</v>
      </c>
      <c r="U4813" s="41">
        <v>0</v>
      </c>
      <c r="V4813" s="42" t="s">
        <v>113</v>
      </c>
      <c r="W4813" s="42">
        <v>4130.42</v>
      </c>
      <c r="X4813" s="42">
        <v>4130.42</v>
      </c>
    </row>
    <row r="4814" spans="1:24">
      <c r="A4814" s="27" t="s">
        <v>8902</v>
      </c>
      <c r="B4814" s="28" t="s">
        <v>5102</v>
      </c>
      <c r="C4814" s="27" t="s">
        <v>8903</v>
      </c>
      <c r="D4814" s="27" t="s">
        <v>230</v>
      </c>
      <c r="E4814" s="29">
        <v>40843</v>
      </c>
      <c r="F4814" s="27">
        <v>15</v>
      </c>
      <c r="G4814" s="18">
        <v>337869.77</v>
      </c>
      <c r="H4814" s="27">
        <f t="shared" si="150"/>
        <v>0</v>
      </c>
      <c r="I4814" s="18">
        <v>225441.69</v>
      </c>
      <c r="J4814" s="27">
        <v>337869.77</v>
      </c>
      <c r="K4814" s="18">
        <f t="shared" si="151"/>
        <v>0</v>
      </c>
      <c r="L4814" s="27">
        <v>237637.6</v>
      </c>
      <c r="M4814" s="36">
        <v>12195.91</v>
      </c>
      <c r="T4814" s="41">
        <v>0</v>
      </c>
      <c r="U4814" s="41">
        <v>0</v>
      </c>
      <c r="V4814" s="42" t="s">
        <v>113</v>
      </c>
      <c r="W4814" s="42">
        <v>0</v>
      </c>
      <c r="X4814" s="42">
        <v>0</v>
      </c>
    </row>
    <row r="4815" spans="1:24">
      <c r="A4815" s="27" t="s">
        <v>8904</v>
      </c>
      <c r="B4815" s="28" t="s">
        <v>5102</v>
      </c>
      <c r="C4815" s="27" t="s">
        <v>8905</v>
      </c>
      <c r="D4815" s="27" t="s">
        <v>230</v>
      </c>
      <c r="E4815" s="29">
        <v>40843</v>
      </c>
      <c r="F4815" s="27">
        <v>15</v>
      </c>
      <c r="G4815" s="18">
        <v>889882.86</v>
      </c>
      <c r="H4815" s="27">
        <f t="shared" si="150"/>
        <v>0</v>
      </c>
      <c r="I4815" s="18">
        <v>767891.76</v>
      </c>
      <c r="J4815" s="27">
        <v>1122251.3899999999</v>
      </c>
      <c r="K4815" s="18">
        <f t="shared" si="151"/>
        <v>0</v>
      </c>
      <c r="L4815" s="27">
        <v>777784.99</v>
      </c>
      <c r="M4815" s="36">
        <v>9893.23</v>
      </c>
      <c r="N4815" s="18" t="s">
        <v>123</v>
      </c>
      <c r="O4815" s="19">
        <v>232368.53</v>
      </c>
      <c r="T4815" s="41">
        <v>0</v>
      </c>
      <c r="U4815" s="41">
        <v>0</v>
      </c>
      <c r="V4815" s="42" t="s">
        <v>113</v>
      </c>
      <c r="W4815" s="42">
        <v>0</v>
      </c>
      <c r="X4815" s="42">
        <v>0</v>
      </c>
    </row>
    <row r="4816" spans="1:24">
      <c r="A4816" s="27" t="s">
        <v>8906</v>
      </c>
      <c r="B4816" s="28" t="s">
        <v>5102</v>
      </c>
      <c r="C4816" s="27" t="s">
        <v>8907</v>
      </c>
      <c r="D4816" s="27" t="s">
        <v>5104</v>
      </c>
      <c r="E4816" s="29">
        <v>40843</v>
      </c>
      <c r="F4816" s="27">
        <v>15</v>
      </c>
      <c r="G4816" s="18">
        <v>23294.26</v>
      </c>
      <c r="H4816" s="27">
        <f t="shared" si="150"/>
        <v>0</v>
      </c>
      <c r="I4816" s="18">
        <v>13488.09</v>
      </c>
      <c r="J4816" s="27">
        <v>23294.26</v>
      </c>
      <c r="K4816" s="18">
        <f t="shared" si="151"/>
        <v>0</v>
      </c>
      <c r="L4816" s="27">
        <v>14591.26</v>
      </c>
      <c r="M4816" s="36">
        <v>1103.17</v>
      </c>
      <c r="T4816" s="41">
        <v>0</v>
      </c>
      <c r="U4816" s="41">
        <v>0</v>
      </c>
      <c r="V4816" s="42" t="s">
        <v>113</v>
      </c>
      <c r="W4816" s="42">
        <v>0</v>
      </c>
      <c r="X4816" s="42">
        <v>0</v>
      </c>
    </row>
    <row r="4817" spans="1:24">
      <c r="A4817" s="27" t="s">
        <v>8908</v>
      </c>
      <c r="B4817" s="28" t="s">
        <v>5102</v>
      </c>
      <c r="C4817" s="27" t="s">
        <v>8909</v>
      </c>
      <c r="D4817" s="27" t="s">
        <v>5104</v>
      </c>
      <c r="E4817" s="29">
        <v>40843</v>
      </c>
      <c r="F4817" s="27">
        <v>15</v>
      </c>
      <c r="G4817" s="18">
        <v>21622.92</v>
      </c>
      <c r="H4817" s="27">
        <f t="shared" si="150"/>
        <v>0</v>
      </c>
      <c r="I4817" s="18">
        <v>12520.32</v>
      </c>
      <c r="J4817" s="27">
        <v>21622.92</v>
      </c>
      <c r="K4817" s="18">
        <f t="shared" si="151"/>
        <v>0</v>
      </c>
      <c r="L4817" s="27">
        <v>13544.33</v>
      </c>
      <c r="M4817" s="36">
        <v>1024.01</v>
      </c>
      <c r="T4817" s="41">
        <v>0</v>
      </c>
      <c r="U4817" s="41">
        <v>0</v>
      </c>
      <c r="V4817" s="42" t="s">
        <v>113</v>
      </c>
      <c r="W4817" s="42">
        <v>0</v>
      </c>
      <c r="X4817" s="42">
        <v>0</v>
      </c>
    </row>
    <row r="4818" spans="1:24">
      <c r="A4818" s="27" t="s">
        <v>8910</v>
      </c>
      <c r="B4818" s="28" t="s">
        <v>5102</v>
      </c>
      <c r="C4818" s="27" t="s">
        <v>8911</v>
      </c>
      <c r="D4818" s="27" t="s">
        <v>5104</v>
      </c>
      <c r="E4818" s="29">
        <v>40843</v>
      </c>
      <c r="F4818" s="27">
        <v>15</v>
      </c>
      <c r="G4818" s="18">
        <v>39589.79</v>
      </c>
      <c r="H4818" s="27">
        <f t="shared" si="150"/>
        <v>0</v>
      </c>
      <c r="I4818" s="18">
        <v>22923.69</v>
      </c>
      <c r="J4818" s="27">
        <v>39589.79</v>
      </c>
      <c r="K4818" s="18">
        <f t="shared" si="151"/>
        <v>0</v>
      </c>
      <c r="L4818" s="27">
        <v>24798.58</v>
      </c>
      <c r="M4818" s="36">
        <v>1874.89</v>
      </c>
      <c r="T4818" s="41">
        <v>0</v>
      </c>
      <c r="U4818" s="41">
        <v>0</v>
      </c>
      <c r="V4818" s="42" t="s">
        <v>113</v>
      </c>
      <c r="W4818" s="42">
        <v>0</v>
      </c>
      <c r="X4818" s="42">
        <v>0</v>
      </c>
    </row>
    <row r="4819" spans="1:24">
      <c r="A4819" s="27" t="s">
        <v>8912</v>
      </c>
      <c r="B4819" s="28" t="s">
        <v>5102</v>
      </c>
      <c r="C4819" s="27" t="s">
        <v>8913</v>
      </c>
      <c r="D4819" s="27" t="s">
        <v>5104</v>
      </c>
      <c r="E4819" s="29">
        <v>40843</v>
      </c>
      <c r="F4819" s="27">
        <v>15</v>
      </c>
      <c r="G4819" s="18">
        <v>23816.55</v>
      </c>
      <c r="H4819" s="27">
        <f t="shared" si="150"/>
        <v>0</v>
      </c>
      <c r="I4819" s="18">
        <v>13790.49</v>
      </c>
      <c r="J4819" s="27">
        <v>23816.55</v>
      </c>
      <c r="K4819" s="18">
        <f t="shared" si="151"/>
        <v>0</v>
      </c>
      <c r="L4819" s="27">
        <v>14918.39</v>
      </c>
      <c r="M4819" s="36">
        <v>1127.9000000000001</v>
      </c>
      <c r="T4819" s="41">
        <v>0</v>
      </c>
      <c r="U4819" s="41">
        <v>0</v>
      </c>
      <c r="V4819" s="42" t="s">
        <v>113</v>
      </c>
      <c r="W4819" s="42">
        <v>0</v>
      </c>
      <c r="X4819" s="42">
        <v>0</v>
      </c>
    </row>
    <row r="4820" spans="1:24">
      <c r="A4820" s="27" t="s">
        <v>8914</v>
      </c>
      <c r="B4820" s="28" t="s">
        <v>5102</v>
      </c>
      <c r="C4820" s="27" t="s">
        <v>8915</v>
      </c>
      <c r="D4820" s="27" t="s">
        <v>5104</v>
      </c>
      <c r="E4820" s="29">
        <v>40843</v>
      </c>
      <c r="F4820" s="27">
        <v>15</v>
      </c>
      <c r="G4820" s="18">
        <v>20056.04</v>
      </c>
      <c r="H4820" s="27">
        <f t="shared" si="150"/>
        <v>0</v>
      </c>
      <c r="I4820" s="18">
        <v>11613.05</v>
      </c>
      <c r="J4820" s="27">
        <v>20056.04</v>
      </c>
      <c r="K4820" s="18">
        <f t="shared" si="151"/>
        <v>0</v>
      </c>
      <c r="L4820" s="27">
        <v>12562.86</v>
      </c>
      <c r="M4820" s="36">
        <v>949.81</v>
      </c>
      <c r="T4820" s="41">
        <v>0</v>
      </c>
      <c r="U4820" s="41">
        <v>0</v>
      </c>
      <c r="V4820" s="42" t="s">
        <v>113</v>
      </c>
      <c r="W4820" s="42">
        <v>0</v>
      </c>
      <c r="X4820" s="42">
        <v>0</v>
      </c>
    </row>
    <row r="4821" spans="1:24">
      <c r="A4821" s="43" t="s">
        <v>8916</v>
      </c>
      <c r="B4821" s="44" t="s">
        <v>5102</v>
      </c>
      <c r="C4821" s="43" t="s">
        <v>8917</v>
      </c>
      <c r="D4821" s="43" t="s">
        <v>230</v>
      </c>
      <c r="E4821" s="45">
        <v>40843</v>
      </c>
      <c r="F4821" s="43">
        <v>15</v>
      </c>
      <c r="G4821" s="18">
        <v>4977639.9000000004</v>
      </c>
      <c r="H4821" s="27">
        <f t="shared" si="150"/>
        <v>0</v>
      </c>
      <c r="I4821" s="18">
        <v>2795535.75</v>
      </c>
      <c r="J4821" s="43">
        <v>3056950.58</v>
      </c>
      <c r="K4821" s="18">
        <f t="shared" si="151"/>
        <v>3056950.58</v>
      </c>
      <c r="L4821" s="43">
        <v>3042330.07</v>
      </c>
      <c r="M4821" s="46">
        <v>246794.32</v>
      </c>
      <c r="N4821" s="18" t="s">
        <v>123</v>
      </c>
      <c r="O4821" s="19">
        <v>-1920689.32</v>
      </c>
      <c r="T4821" s="41">
        <v>0</v>
      </c>
      <c r="U4821" s="41">
        <v>0</v>
      </c>
      <c r="V4821" s="42" t="s">
        <v>113</v>
      </c>
      <c r="W4821" s="42">
        <v>3056950.58</v>
      </c>
      <c r="X4821" s="42">
        <v>3056950.58</v>
      </c>
    </row>
    <row r="4822" spans="1:24">
      <c r="A4822" s="27" t="s">
        <v>8918</v>
      </c>
      <c r="B4822" s="28" t="s">
        <v>5102</v>
      </c>
      <c r="C4822" s="27" t="s">
        <v>8919</v>
      </c>
      <c r="D4822" s="27" t="s">
        <v>5104</v>
      </c>
      <c r="E4822" s="29">
        <v>40843</v>
      </c>
      <c r="F4822" s="27">
        <v>15</v>
      </c>
      <c r="G4822" s="18">
        <v>57336.31</v>
      </c>
      <c r="H4822" s="27">
        <f t="shared" si="150"/>
        <v>0</v>
      </c>
      <c r="I4822" s="18">
        <v>33199.46</v>
      </c>
      <c r="J4822" s="27">
        <v>57336.31</v>
      </c>
      <c r="K4822" s="18">
        <f t="shared" si="151"/>
        <v>0</v>
      </c>
      <c r="L4822" s="27">
        <v>35914.78</v>
      </c>
      <c r="M4822" s="36">
        <v>2715.32</v>
      </c>
      <c r="T4822" s="41">
        <v>0</v>
      </c>
      <c r="U4822" s="41">
        <v>0</v>
      </c>
      <c r="V4822" s="42" t="s">
        <v>113</v>
      </c>
      <c r="W4822" s="42">
        <v>0</v>
      </c>
      <c r="X4822" s="42">
        <v>0</v>
      </c>
    </row>
    <row r="4823" spans="1:24">
      <c r="A4823" s="27" t="s">
        <v>8920</v>
      </c>
      <c r="B4823" s="28" t="s">
        <v>5102</v>
      </c>
      <c r="C4823" s="27" t="s">
        <v>8921</v>
      </c>
      <c r="D4823" s="27" t="s">
        <v>230</v>
      </c>
      <c r="E4823" s="29">
        <v>40843</v>
      </c>
      <c r="F4823" s="27">
        <v>15</v>
      </c>
      <c r="G4823" s="18">
        <v>42000</v>
      </c>
      <c r="H4823" s="27">
        <f t="shared" si="150"/>
        <v>0</v>
      </c>
      <c r="I4823" s="18">
        <v>24319.27</v>
      </c>
      <c r="J4823" s="27">
        <v>42000</v>
      </c>
      <c r="K4823" s="18">
        <f t="shared" si="151"/>
        <v>0</v>
      </c>
      <c r="L4823" s="27">
        <v>26308.3</v>
      </c>
      <c r="M4823" s="36">
        <v>1989.03</v>
      </c>
      <c r="T4823" s="41">
        <v>0</v>
      </c>
      <c r="U4823" s="41">
        <v>0</v>
      </c>
      <c r="V4823" s="42" t="s">
        <v>113</v>
      </c>
      <c r="W4823" s="42">
        <v>0</v>
      </c>
      <c r="X4823" s="42">
        <v>0</v>
      </c>
    </row>
    <row r="4824" spans="1:24">
      <c r="A4824" s="27" t="s">
        <v>8922</v>
      </c>
      <c r="B4824" s="28" t="s">
        <v>5102</v>
      </c>
      <c r="C4824" s="27" t="s">
        <v>8923</v>
      </c>
      <c r="D4824" s="27" t="s">
        <v>230</v>
      </c>
      <c r="E4824" s="29">
        <v>40843</v>
      </c>
      <c r="F4824" s="27">
        <v>15</v>
      </c>
      <c r="G4824" s="18">
        <v>1335201.8600000001</v>
      </c>
      <c r="H4824" s="27">
        <f t="shared" si="150"/>
        <v>0</v>
      </c>
      <c r="I4824" s="18">
        <v>778124.34</v>
      </c>
      <c r="J4824" s="27">
        <v>1335201.8600000001</v>
      </c>
      <c r="K4824" s="18">
        <f t="shared" si="151"/>
        <v>0</v>
      </c>
      <c r="L4824" s="27">
        <v>840718.05</v>
      </c>
      <c r="M4824" s="36">
        <v>62593.71</v>
      </c>
      <c r="T4824" s="41">
        <v>0</v>
      </c>
      <c r="U4824" s="41">
        <v>0</v>
      </c>
      <c r="V4824" s="42" t="s">
        <v>113</v>
      </c>
      <c r="W4824" s="42">
        <v>0</v>
      </c>
      <c r="X4824" s="42">
        <v>0</v>
      </c>
    </row>
    <row r="4825" spans="1:24">
      <c r="A4825" s="27" t="s">
        <v>8924</v>
      </c>
      <c r="B4825" s="28" t="s">
        <v>5102</v>
      </c>
      <c r="C4825" s="27" t="s">
        <v>8925</v>
      </c>
      <c r="D4825" s="27" t="s">
        <v>5104</v>
      </c>
      <c r="E4825" s="29">
        <v>41710</v>
      </c>
      <c r="F4825" s="27">
        <v>15</v>
      </c>
      <c r="G4825" s="18">
        <v>79987.11</v>
      </c>
      <c r="H4825" s="27">
        <f t="shared" si="150"/>
        <v>0</v>
      </c>
      <c r="I4825" s="18">
        <v>28499.81</v>
      </c>
      <c r="J4825" s="27">
        <v>79987.11</v>
      </c>
      <c r="K4825" s="18">
        <f t="shared" si="151"/>
        <v>0</v>
      </c>
      <c r="L4825" s="27">
        <v>33132.78</v>
      </c>
      <c r="M4825" s="36">
        <v>4632.97</v>
      </c>
      <c r="T4825" s="41">
        <v>0</v>
      </c>
      <c r="U4825" s="41">
        <v>0</v>
      </c>
      <c r="V4825" s="42" t="s">
        <v>113</v>
      </c>
      <c r="W4825" s="42">
        <v>0</v>
      </c>
      <c r="X4825" s="42">
        <v>0</v>
      </c>
    </row>
    <row r="4826" spans="1:24">
      <c r="A4826" s="27" t="s">
        <v>8926</v>
      </c>
      <c r="B4826" s="28" t="s">
        <v>5102</v>
      </c>
      <c r="C4826" s="27" t="s">
        <v>8927</v>
      </c>
      <c r="D4826" s="27" t="s">
        <v>5104</v>
      </c>
      <c r="E4826" s="29">
        <v>41710</v>
      </c>
      <c r="F4826" s="27">
        <v>15</v>
      </c>
      <c r="G4826" s="18">
        <v>68748.039999999994</v>
      </c>
      <c r="H4826" s="27">
        <f t="shared" si="150"/>
        <v>0</v>
      </c>
      <c r="I4826" s="18">
        <v>24400.78</v>
      </c>
      <c r="J4826" s="27">
        <v>68748.039999999994</v>
      </c>
      <c r="K4826" s="18">
        <f t="shared" si="151"/>
        <v>0</v>
      </c>
      <c r="L4826" s="27">
        <v>28391.99</v>
      </c>
      <c r="M4826" s="36">
        <v>3991.21</v>
      </c>
      <c r="T4826" s="41">
        <v>0</v>
      </c>
      <c r="U4826" s="41">
        <v>0</v>
      </c>
      <c r="V4826" s="42" t="s">
        <v>113</v>
      </c>
      <c r="W4826" s="42">
        <v>0</v>
      </c>
      <c r="X4826" s="42">
        <v>0</v>
      </c>
    </row>
    <row r="4827" spans="1:24">
      <c r="A4827" s="27" t="s">
        <v>8928</v>
      </c>
      <c r="B4827" s="28" t="s">
        <v>5102</v>
      </c>
      <c r="C4827" s="27" t="s">
        <v>8929</v>
      </c>
      <c r="D4827" s="27" t="s">
        <v>5104</v>
      </c>
      <c r="E4827" s="29">
        <v>41710</v>
      </c>
      <c r="F4827" s="27">
        <v>15</v>
      </c>
      <c r="G4827" s="18">
        <v>159553.4</v>
      </c>
      <c r="H4827" s="27">
        <f t="shared" si="150"/>
        <v>0</v>
      </c>
      <c r="I4827" s="18">
        <v>56630.37</v>
      </c>
      <c r="J4827" s="27">
        <v>159553.4</v>
      </c>
      <c r="K4827" s="18">
        <f t="shared" si="151"/>
        <v>0</v>
      </c>
      <c r="L4827" s="27">
        <v>65893.33</v>
      </c>
      <c r="M4827" s="36">
        <v>9262.9599999999991</v>
      </c>
      <c r="T4827" s="41">
        <v>0</v>
      </c>
      <c r="U4827" s="41">
        <v>0</v>
      </c>
      <c r="V4827" s="42" t="s">
        <v>113</v>
      </c>
      <c r="W4827" s="42">
        <v>0</v>
      </c>
      <c r="X4827" s="42">
        <v>0</v>
      </c>
    </row>
    <row r="4828" spans="1:24">
      <c r="A4828" s="27" t="s">
        <v>8930</v>
      </c>
      <c r="B4828" s="28" t="s">
        <v>5102</v>
      </c>
      <c r="C4828" s="27" t="s">
        <v>8931</v>
      </c>
      <c r="D4828" s="27" t="s">
        <v>5104</v>
      </c>
      <c r="E4828" s="29">
        <v>41710</v>
      </c>
      <c r="F4828" s="27">
        <v>15</v>
      </c>
      <c r="G4828" s="18">
        <v>295922.46000000002</v>
      </c>
      <c r="H4828" s="27">
        <f t="shared" si="150"/>
        <v>0</v>
      </c>
      <c r="I4828" s="18">
        <v>105031.92</v>
      </c>
      <c r="J4828" s="27">
        <v>295922.46000000002</v>
      </c>
      <c r="K4828" s="18">
        <f t="shared" si="151"/>
        <v>0</v>
      </c>
      <c r="L4828" s="27">
        <v>122211.86</v>
      </c>
      <c r="M4828" s="36">
        <v>17179.939999999999</v>
      </c>
      <c r="T4828" s="41">
        <v>0</v>
      </c>
      <c r="U4828" s="41">
        <v>0</v>
      </c>
      <c r="V4828" s="42" t="s">
        <v>113</v>
      </c>
      <c r="W4828" s="42">
        <v>0</v>
      </c>
      <c r="X4828" s="42">
        <v>0</v>
      </c>
    </row>
    <row r="4829" spans="1:24">
      <c r="A4829" s="27" t="s">
        <v>8932</v>
      </c>
      <c r="B4829" s="28" t="s">
        <v>5102</v>
      </c>
      <c r="C4829" s="27" t="s">
        <v>8933</v>
      </c>
      <c r="D4829" s="27" t="s">
        <v>5104</v>
      </c>
      <c r="E4829" s="29">
        <v>41711</v>
      </c>
      <c r="F4829" s="27">
        <v>15</v>
      </c>
      <c r="G4829" s="18">
        <v>164744.41</v>
      </c>
      <c r="H4829" s="27">
        <f t="shared" si="150"/>
        <v>0</v>
      </c>
      <c r="I4829" s="18">
        <v>58482.55</v>
      </c>
      <c r="J4829" s="27">
        <v>164744.41</v>
      </c>
      <c r="K4829" s="18">
        <f t="shared" si="151"/>
        <v>0</v>
      </c>
      <c r="L4829" s="27">
        <v>68045.929999999993</v>
      </c>
      <c r="M4829" s="36">
        <v>9563.3799999999992</v>
      </c>
      <c r="T4829" s="41">
        <v>0</v>
      </c>
      <c r="U4829" s="41">
        <v>0</v>
      </c>
      <c r="V4829" s="42" t="s">
        <v>113</v>
      </c>
      <c r="W4829" s="42">
        <v>0</v>
      </c>
      <c r="X4829" s="42">
        <v>0</v>
      </c>
    </row>
    <row r="4830" spans="1:24">
      <c r="A4830" s="27" t="s">
        <v>8934</v>
      </c>
      <c r="B4830" s="28" t="s">
        <v>5102</v>
      </c>
      <c r="C4830" s="27" t="s">
        <v>8935</v>
      </c>
      <c r="D4830" s="27" t="s">
        <v>5104</v>
      </c>
      <c r="E4830" s="29">
        <v>41711</v>
      </c>
      <c r="F4830" s="27">
        <v>15</v>
      </c>
      <c r="G4830" s="18">
        <v>28376.05</v>
      </c>
      <c r="H4830" s="27">
        <f t="shared" si="150"/>
        <v>0</v>
      </c>
      <c r="I4830" s="18">
        <v>10071.540000000001</v>
      </c>
      <c r="J4830" s="27">
        <v>28376.05</v>
      </c>
      <c r="K4830" s="18">
        <f t="shared" si="151"/>
        <v>0</v>
      </c>
      <c r="L4830" s="27">
        <v>11718.93</v>
      </c>
      <c r="M4830" s="36">
        <v>1647.39</v>
      </c>
      <c r="T4830" s="41">
        <v>0</v>
      </c>
      <c r="U4830" s="41">
        <v>0</v>
      </c>
      <c r="V4830" s="42" t="s">
        <v>113</v>
      </c>
      <c r="W4830" s="42">
        <v>0</v>
      </c>
      <c r="X4830" s="42">
        <v>0</v>
      </c>
    </row>
    <row r="4831" spans="1:24">
      <c r="A4831" s="27" t="s">
        <v>8936</v>
      </c>
      <c r="B4831" s="28" t="s">
        <v>5102</v>
      </c>
      <c r="C4831" s="27" t="s">
        <v>8937</v>
      </c>
      <c r="D4831" s="27" t="s">
        <v>5104</v>
      </c>
      <c r="E4831" s="29">
        <v>41973</v>
      </c>
      <c r="F4831" s="27">
        <v>15</v>
      </c>
      <c r="G4831" s="18">
        <v>28153.4</v>
      </c>
      <c r="H4831" s="27">
        <f t="shared" si="150"/>
        <v>0</v>
      </c>
      <c r="I4831" s="18">
        <v>8526.57</v>
      </c>
      <c r="J4831" s="27">
        <v>28153.4</v>
      </c>
      <c r="K4831" s="18">
        <f t="shared" si="151"/>
        <v>0</v>
      </c>
      <c r="L4831" s="27">
        <v>10195.5</v>
      </c>
      <c r="M4831" s="36">
        <v>1668.93</v>
      </c>
      <c r="T4831" s="41">
        <v>0</v>
      </c>
      <c r="U4831" s="41">
        <v>0</v>
      </c>
      <c r="V4831" s="42" t="s">
        <v>113</v>
      </c>
      <c r="W4831" s="42">
        <v>0</v>
      </c>
      <c r="X4831" s="42">
        <v>0</v>
      </c>
    </row>
    <row r="4832" spans="1:24">
      <c r="A4832" s="27" t="s">
        <v>8938</v>
      </c>
      <c r="B4832" s="28" t="s">
        <v>5102</v>
      </c>
      <c r="C4832" s="27" t="s">
        <v>8939</v>
      </c>
      <c r="D4832" s="27" t="s">
        <v>5104</v>
      </c>
      <c r="E4832" s="29">
        <v>41973</v>
      </c>
      <c r="F4832" s="27">
        <v>15</v>
      </c>
      <c r="G4832" s="18">
        <v>113627.76</v>
      </c>
      <c r="H4832" s="27">
        <f t="shared" si="150"/>
        <v>0</v>
      </c>
      <c r="I4832" s="18">
        <v>34413.440000000002</v>
      </c>
      <c r="J4832" s="27">
        <v>113627.76</v>
      </c>
      <c r="K4832" s="18">
        <f t="shared" si="151"/>
        <v>0</v>
      </c>
      <c r="L4832" s="27">
        <v>41149.279999999999</v>
      </c>
      <c r="M4832" s="36">
        <v>6735.84</v>
      </c>
      <c r="T4832" s="41">
        <v>0</v>
      </c>
      <c r="U4832" s="41">
        <v>0</v>
      </c>
      <c r="V4832" s="42" t="s">
        <v>113</v>
      </c>
      <c r="W4832" s="42">
        <v>0</v>
      </c>
      <c r="X4832" s="42">
        <v>0</v>
      </c>
    </row>
    <row r="4833" spans="1:24">
      <c r="A4833" s="27" t="s">
        <v>8940</v>
      </c>
      <c r="B4833" s="28" t="s">
        <v>5102</v>
      </c>
      <c r="C4833" s="27" t="s">
        <v>8941</v>
      </c>
      <c r="D4833" s="27" t="s">
        <v>5104</v>
      </c>
      <c r="E4833" s="29">
        <v>41973</v>
      </c>
      <c r="F4833" s="27">
        <v>15</v>
      </c>
      <c r="G4833" s="18">
        <v>17362.61</v>
      </c>
      <c r="H4833" s="27">
        <f t="shared" si="150"/>
        <v>0</v>
      </c>
      <c r="I4833" s="18">
        <v>5258.45</v>
      </c>
      <c r="J4833" s="27">
        <v>17362.61</v>
      </c>
      <c r="K4833" s="18">
        <f t="shared" si="151"/>
        <v>0</v>
      </c>
      <c r="L4833" s="27">
        <v>6287.7</v>
      </c>
      <c r="M4833" s="36">
        <v>1029.25</v>
      </c>
      <c r="T4833" s="41">
        <v>0</v>
      </c>
      <c r="U4833" s="41">
        <v>0</v>
      </c>
      <c r="V4833" s="42" t="s">
        <v>113</v>
      </c>
      <c r="W4833" s="42">
        <v>0</v>
      </c>
      <c r="X4833" s="42">
        <v>0</v>
      </c>
    </row>
    <row r="4834" spans="1:24">
      <c r="A4834" s="27" t="s">
        <v>8942</v>
      </c>
      <c r="B4834" s="28" t="s">
        <v>5102</v>
      </c>
      <c r="C4834" s="27" t="s">
        <v>8943</v>
      </c>
      <c r="D4834" s="27" t="s">
        <v>5104</v>
      </c>
      <c r="E4834" s="29">
        <v>41973</v>
      </c>
      <c r="F4834" s="27">
        <v>15</v>
      </c>
      <c r="G4834" s="18">
        <v>51357.64</v>
      </c>
      <c r="H4834" s="27">
        <f t="shared" si="150"/>
        <v>0</v>
      </c>
      <c r="I4834" s="18">
        <v>15554.24</v>
      </c>
      <c r="J4834" s="27">
        <v>51357.64</v>
      </c>
      <c r="K4834" s="18">
        <f t="shared" si="151"/>
        <v>0</v>
      </c>
      <c r="L4834" s="27">
        <v>18598.72</v>
      </c>
      <c r="M4834" s="36">
        <v>3044.48</v>
      </c>
      <c r="T4834" s="41">
        <v>0</v>
      </c>
      <c r="U4834" s="41">
        <v>0</v>
      </c>
      <c r="V4834" s="42" t="s">
        <v>113</v>
      </c>
      <c r="W4834" s="42">
        <v>0</v>
      </c>
      <c r="X4834" s="42">
        <v>0</v>
      </c>
    </row>
    <row r="4835" spans="1:24">
      <c r="A4835" s="27" t="s">
        <v>8944</v>
      </c>
      <c r="B4835" s="28" t="s">
        <v>5102</v>
      </c>
      <c r="C4835" s="27" t="s">
        <v>8945</v>
      </c>
      <c r="D4835" s="27" t="s">
        <v>5104</v>
      </c>
      <c r="E4835" s="29">
        <v>41973</v>
      </c>
      <c r="F4835" s="27">
        <v>15</v>
      </c>
      <c r="G4835" s="18">
        <v>27382.63</v>
      </c>
      <c r="H4835" s="27">
        <f t="shared" si="150"/>
        <v>0</v>
      </c>
      <c r="I4835" s="18">
        <v>8293.15</v>
      </c>
      <c r="J4835" s="27">
        <v>27382.63</v>
      </c>
      <c r="K4835" s="18">
        <f t="shared" si="151"/>
        <v>0</v>
      </c>
      <c r="L4835" s="27">
        <v>9916.39</v>
      </c>
      <c r="M4835" s="36">
        <v>1623.24</v>
      </c>
      <c r="T4835" s="41">
        <v>0</v>
      </c>
      <c r="U4835" s="41">
        <v>0</v>
      </c>
      <c r="V4835" s="42" t="s">
        <v>113</v>
      </c>
      <c r="W4835" s="42">
        <v>0</v>
      </c>
      <c r="X4835" s="42">
        <v>0</v>
      </c>
    </row>
    <row r="4836" spans="1:24">
      <c r="A4836" s="27" t="s">
        <v>8946</v>
      </c>
      <c r="B4836" s="28" t="s">
        <v>5102</v>
      </c>
      <c r="C4836" s="27" t="s">
        <v>8947</v>
      </c>
      <c r="D4836" s="27" t="s">
        <v>5104</v>
      </c>
      <c r="E4836" s="29">
        <v>41973</v>
      </c>
      <c r="F4836" s="27">
        <v>15</v>
      </c>
      <c r="G4836" s="18">
        <v>156831.47</v>
      </c>
      <c r="H4836" s="27">
        <f t="shared" si="150"/>
        <v>0</v>
      </c>
      <c r="I4836" s="18">
        <v>47498.18</v>
      </c>
      <c r="J4836" s="27">
        <v>156831.47</v>
      </c>
      <c r="K4836" s="18">
        <f t="shared" si="151"/>
        <v>0</v>
      </c>
      <c r="L4836" s="27">
        <v>56795.13</v>
      </c>
      <c r="M4836" s="36">
        <v>9296.9500000000007</v>
      </c>
      <c r="T4836" s="41">
        <v>0</v>
      </c>
      <c r="U4836" s="41">
        <v>0</v>
      </c>
      <c r="V4836" s="42" t="s">
        <v>113</v>
      </c>
      <c r="W4836" s="42">
        <v>0</v>
      </c>
      <c r="X4836" s="42">
        <v>0</v>
      </c>
    </row>
    <row r="4837" spans="1:24">
      <c r="A4837" s="27" t="s">
        <v>8948</v>
      </c>
      <c r="B4837" s="28" t="s">
        <v>5102</v>
      </c>
      <c r="C4837" s="27" t="s">
        <v>8949</v>
      </c>
      <c r="D4837" s="27" t="s">
        <v>5104</v>
      </c>
      <c r="E4837" s="29">
        <v>41973</v>
      </c>
      <c r="F4837" s="27">
        <v>15</v>
      </c>
      <c r="G4837" s="18">
        <v>25263.09</v>
      </c>
      <c r="H4837" s="27">
        <f t="shared" si="150"/>
        <v>0</v>
      </c>
      <c r="I4837" s="18">
        <v>7660.47</v>
      </c>
      <c r="J4837" s="27">
        <v>25263.09</v>
      </c>
      <c r="K4837" s="18">
        <f t="shared" si="151"/>
        <v>0</v>
      </c>
      <c r="L4837" s="27">
        <v>9157.2199999999993</v>
      </c>
      <c r="M4837" s="36">
        <v>1496.75</v>
      </c>
      <c r="T4837" s="41">
        <v>0</v>
      </c>
      <c r="U4837" s="41">
        <v>0</v>
      </c>
      <c r="V4837" s="42" t="s">
        <v>113</v>
      </c>
      <c r="W4837" s="42">
        <v>0</v>
      </c>
      <c r="X4837" s="42">
        <v>0</v>
      </c>
    </row>
    <row r="4838" spans="1:24">
      <c r="A4838" s="27" t="s">
        <v>8950</v>
      </c>
      <c r="B4838" s="28" t="s">
        <v>5102</v>
      </c>
      <c r="C4838" s="27" t="s">
        <v>8949</v>
      </c>
      <c r="D4838" s="27" t="s">
        <v>5104</v>
      </c>
      <c r="E4838" s="29">
        <v>41973</v>
      </c>
      <c r="F4838" s="27">
        <v>15</v>
      </c>
      <c r="G4838" s="18">
        <v>8510.92</v>
      </c>
      <c r="H4838" s="27">
        <f t="shared" si="150"/>
        <v>0</v>
      </c>
      <c r="I4838" s="18">
        <v>2581.65</v>
      </c>
      <c r="J4838" s="27">
        <v>8510.92</v>
      </c>
      <c r="K4838" s="18">
        <f t="shared" si="151"/>
        <v>0</v>
      </c>
      <c r="L4838" s="27">
        <v>3085.81</v>
      </c>
      <c r="M4838" s="36">
        <v>504.16</v>
      </c>
      <c r="T4838" s="41">
        <v>0</v>
      </c>
      <c r="U4838" s="41">
        <v>0</v>
      </c>
      <c r="V4838" s="42" t="s">
        <v>113</v>
      </c>
      <c r="W4838" s="42">
        <v>0</v>
      </c>
      <c r="X4838" s="42">
        <v>0</v>
      </c>
    </row>
    <row r="4839" spans="1:24">
      <c r="A4839" s="27" t="s">
        <v>8951</v>
      </c>
      <c r="B4839" s="28" t="s">
        <v>5102</v>
      </c>
      <c r="C4839" s="27" t="s">
        <v>8952</v>
      </c>
      <c r="D4839" s="27" t="s">
        <v>5104</v>
      </c>
      <c r="E4839" s="29">
        <v>41973</v>
      </c>
      <c r="F4839" s="27">
        <v>15</v>
      </c>
      <c r="G4839" s="18">
        <v>10983.95</v>
      </c>
      <c r="H4839" s="27">
        <f t="shared" si="150"/>
        <v>0</v>
      </c>
      <c r="I4839" s="18">
        <v>3330.64</v>
      </c>
      <c r="J4839" s="27">
        <v>10983.95</v>
      </c>
      <c r="K4839" s="18">
        <f t="shared" si="151"/>
        <v>0</v>
      </c>
      <c r="L4839" s="27">
        <v>3981.4</v>
      </c>
      <c r="M4839" s="36">
        <v>650.76</v>
      </c>
      <c r="T4839" s="41">
        <v>0</v>
      </c>
      <c r="U4839" s="41">
        <v>0</v>
      </c>
      <c r="V4839" s="42" t="s">
        <v>113</v>
      </c>
      <c r="W4839" s="42">
        <v>0</v>
      </c>
      <c r="X4839" s="42">
        <v>0</v>
      </c>
    </row>
    <row r="4840" spans="1:24">
      <c r="A4840" s="27" t="s">
        <v>8953</v>
      </c>
      <c r="B4840" s="28" t="s">
        <v>5102</v>
      </c>
      <c r="C4840" s="27" t="s">
        <v>8952</v>
      </c>
      <c r="D4840" s="27" t="s">
        <v>5104</v>
      </c>
      <c r="E4840" s="29">
        <v>41973</v>
      </c>
      <c r="F4840" s="27">
        <v>15</v>
      </c>
      <c r="G4840" s="18">
        <v>58299.78</v>
      </c>
      <c r="H4840" s="27">
        <f t="shared" si="150"/>
        <v>0</v>
      </c>
      <c r="I4840" s="18">
        <v>17684.3</v>
      </c>
      <c r="J4840" s="27">
        <v>58299.78</v>
      </c>
      <c r="K4840" s="18">
        <f t="shared" si="151"/>
        <v>0</v>
      </c>
      <c r="L4840" s="27">
        <v>21137.78</v>
      </c>
      <c r="M4840" s="36">
        <v>3453.48</v>
      </c>
      <c r="T4840" s="41">
        <v>0</v>
      </c>
      <c r="U4840" s="41">
        <v>0</v>
      </c>
      <c r="V4840" s="42" t="s">
        <v>113</v>
      </c>
      <c r="W4840" s="42">
        <v>0</v>
      </c>
      <c r="X4840" s="42">
        <v>0</v>
      </c>
    </row>
    <row r="4841" spans="1:24">
      <c r="A4841" s="27" t="s">
        <v>8954</v>
      </c>
      <c r="B4841" s="28" t="s">
        <v>5102</v>
      </c>
      <c r="C4841" s="27" t="s">
        <v>8955</v>
      </c>
      <c r="D4841" s="27" t="s">
        <v>5104</v>
      </c>
      <c r="E4841" s="29">
        <v>41973</v>
      </c>
      <c r="F4841" s="27">
        <v>15</v>
      </c>
      <c r="G4841" s="18">
        <v>6894.76</v>
      </c>
      <c r="H4841" s="27">
        <f t="shared" si="150"/>
        <v>0</v>
      </c>
      <c r="I4841" s="18">
        <v>2090.6999999999998</v>
      </c>
      <c r="J4841" s="27">
        <v>6894.76</v>
      </c>
      <c r="K4841" s="18">
        <f t="shared" si="151"/>
        <v>0</v>
      </c>
      <c r="L4841" s="27">
        <v>2499.19</v>
      </c>
      <c r="M4841" s="36">
        <v>408.49</v>
      </c>
      <c r="T4841" s="41">
        <v>0</v>
      </c>
      <c r="U4841" s="41">
        <v>0</v>
      </c>
      <c r="V4841" s="42" t="s">
        <v>113</v>
      </c>
      <c r="W4841" s="42">
        <v>0</v>
      </c>
      <c r="X4841" s="42">
        <v>0</v>
      </c>
    </row>
    <row r="4842" spans="1:24">
      <c r="A4842" s="27" t="s">
        <v>8956</v>
      </c>
      <c r="B4842" s="28" t="s">
        <v>5102</v>
      </c>
      <c r="C4842" s="27" t="s">
        <v>8957</v>
      </c>
      <c r="D4842" s="27" t="s">
        <v>5104</v>
      </c>
      <c r="E4842" s="29">
        <v>41973</v>
      </c>
      <c r="F4842" s="27">
        <v>15</v>
      </c>
      <c r="G4842" s="18">
        <v>82810.12</v>
      </c>
      <c r="H4842" s="27">
        <f t="shared" si="150"/>
        <v>0</v>
      </c>
      <c r="I4842" s="18">
        <v>25144.16</v>
      </c>
      <c r="J4842" s="27">
        <v>82810.12</v>
      </c>
      <c r="K4842" s="18">
        <f t="shared" si="151"/>
        <v>0</v>
      </c>
      <c r="L4842" s="27">
        <v>30047.25</v>
      </c>
      <c r="M4842" s="36">
        <v>4903.09</v>
      </c>
      <c r="T4842" s="41">
        <v>0</v>
      </c>
      <c r="U4842" s="41">
        <v>0</v>
      </c>
      <c r="V4842" s="42" t="s">
        <v>113</v>
      </c>
      <c r="W4842" s="42">
        <v>0</v>
      </c>
      <c r="X4842" s="42">
        <v>0</v>
      </c>
    </row>
    <row r="4843" spans="1:24">
      <c r="A4843" s="27" t="s">
        <v>8958</v>
      </c>
      <c r="B4843" s="28" t="s">
        <v>5102</v>
      </c>
      <c r="C4843" s="27" t="s">
        <v>8957</v>
      </c>
      <c r="D4843" s="27" t="s">
        <v>5104</v>
      </c>
      <c r="E4843" s="29">
        <v>41973</v>
      </c>
      <c r="F4843" s="27">
        <v>15</v>
      </c>
      <c r="G4843" s="18">
        <v>13303.51</v>
      </c>
      <c r="H4843" s="27">
        <f t="shared" si="150"/>
        <v>0</v>
      </c>
      <c r="I4843" s="18">
        <v>4033.98</v>
      </c>
      <c r="J4843" s="27">
        <v>13303.51</v>
      </c>
      <c r="K4843" s="18">
        <f t="shared" si="151"/>
        <v>0</v>
      </c>
      <c r="L4843" s="27">
        <v>4822.16</v>
      </c>
      <c r="M4843" s="36">
        <v>788.18</v>
      </c>
      <c r="T4843" s="41">
        <v>0</v>
      </c>
      <c r="U4843" s="41">
        <v>0</v>
      </c>
      <c r="V4843" s="42" t="s">
        <v>113</v>
      </c>
      <c r="W4843" s="42">
        <v>0</v>
      </c>
      <c r="X4843" s="42">
        <v>0</v>
      </c>
    </row>
    <row r="4844" spans="1:24">
      <c r="A4844" s="27" t="s">
        <v>8959</v>
      </c>
      <c r="B4844" s="28" t="s">
        <v>5102</v>
      </c>
      <c r="C4844" s="27" t="s">
        <v>8960</v>
      </c>
      <c r="D4844" s="27" t="s">
        <v>5104</v>
      </c>
      <c r="E4844" s="29">
        <v>41973</v>
      </c>
      <c r="F4844" s="27">
        <v>15</v>
      </c>
      <c r="G4844" s="18">
        <v>21459.67</v>
      </c>
      <c r="H4844" s="27">
        <f t="shared" si="150"/>
        <v>0</v>
      </c>
      <c r="I4844" s="18">
        <v>6509.44</v>
      </c>
      <c r="J4844" s="27">
        <v>21459.67</v>
      </c>
      <c r="K4844" s="18">
        <f t="shared" si="151"/>
        <v>0</v>
      </c>
      <c r="L4844" s="27">
        <v>7780.64</v>
      </c>
      <c r="M4844" s="36">
        <v>1271.2</v>
      </c>
      <c r="T4844" s="41">
        <v>0</v>
      </c>
      <c r="U4844" s="41">
        <v>0</v>
      </c>
      <c r="V4844" s="42" t="s">
        <v>113</v>
      </c>
      <c r="W4844" s="42">
        <v>0</v>
      </c>
      <c r="X4844" s="42">
        <v>0</v>
      </c>
    </row>
    <row r="4845" spans="1:24">
      <c r="A4845" s="27" t="s">
        <v>8961</v>
      </c>
      <c r="B4845" s="28" t="s">
        <v>5102</v>
      </c>
      <c r="C4845" s="27" t="s">
        <v>8962</v>
      </c>
      <c r="D4845" s="27" t="s">
        <v>5104</v>
      </c>
      <c r="E4845" s="29">
        <v>41973</v>
      </c>
      <c r="F4845" s="27">
        <v>15</v>
      </c>
      <c r="G4845" s="18">
        <v>5957.64</v>
      </c>
      <c r="H4845" s="27">
        <f t="shared" si="150"/>
        <v>0</v>
      </c>
      <c r="I4845" s="18">
        <v>1807.16</v>
      </c>
      <c r="J4845" s="27">
        <v>5957.64</v>
      </c>
      <c r="K4845" s="18">
        <f t="shared" si="151"/>
        <v>0</v>
      </c>
      <c r="L4845" s="27">
        <v>2160.0700000000002</v>
      </c>
      <c r="M4845" s="36">
        <v>352.91</v>
      </c>
      <c r="T4845" s="41">
        <v>0</v>
      </c>
      <c r="U4845" s="41">
        <v>0</v>
      </c>
      <c r="V4845" s="42" t="s">
        <v>113</v>
      </c>
      <c r="W4845" s="42">
        <v>0</v>
      </c>
      <c r="X4845" s="42">
        <v>0</v>
      </c>
    </row>
    <row r="4846" spans="1:24">
      <c r="A4846" s="27" t="s">
        <v>8963</v>
      </c>
      <c r="B4846" s="28" t="s">
        <v>5102</v>
      </c>
      <c r="C4846" s="27" t="s">
        <v>8964</v>
      </c>
      <c r="D4846" s="27" t="s">
        <v>5104</v>
      </c>
      <c r="E4846" s="29">
        <v>41973</v>
      </c>
      <c r="F4846" s="27">
        <v>15</v>
      </c>
      <c r="G4846" s="18">
        <v>21763.63</v>
      </c>
      <c r="H4846" s="27">
        <f t="shared" si="150"/>
        <v>0</v>
      </c>
      <c r="I4846" s="18">
        <v>6601.63</v>
      </c>
      <c r="J4846" s="27">
        <v>21763.63</v>
      </c>
      <c r="K4846" s="18">
        <f t="shared" si="151"/>
        <v>0</v>
      </c>
      <c r="L4846" s="27">
        <v>7890.83</v>
      </c>
      <c r="M4846" s="36">
        <v>1289.2</v>
      </c>
      <c r="T4846" s="41">
        <v>0</v>
      </c>
      <c r="U4846" s="41">
        <v>0</v>
      </c>
      <c r="V4846" s="42" t="s">
        <v>113</v>
      </c>
      <c r="W4846" s="42">
        <v>0</v>
      </c>
      <c r="X4846" s="42">
        <v>0</v>
      </c>
    </row>
    <row r="4847" spans="1:24">
      <c r="A4847" s="27" t="s">
        <v>8965</v>
      </c>
      <c r="B4847" s="28" t="s">
        <v>5102</v>
      </c>
      <c r="C4847" s="27" t="s">
        <v>8966</v>
      </c>
      <c r="D4847" s="27" t="s">
        <v>5104</v>
      </c>
      <c r="E4847" s="29">
        <v>41973</v>
      </c>
      <c r="F4847" s="27">
        <v>15</v>
      </c>
      <c r="G4847" s="18">
        <v>13739.05</v>
      </c>
      <c r="H4847" s="27">
        <f t="shared" si="150"/>
        <v>0</v>
      </c>
      <c r="I4847" s="18">
        <v>4167.5200000000004</v>
      </c>
      <c r="J4847" s="27">
        <v>13739.05</v>
      </c>
      <c r="K4847" s="18">
        <f t="shared" si="151"/>
        <v>0</v>
      </c>
      <c r="L4847" s="27">
        <v>4981.37</v>
      </c>
      <c r="M4847" s="36">
        <v>813.85</v>
      </c>
      <c r="T4847" s="41">
        <v>0</v>
      </c>
      <c r="U4847" s="41">
        <v>0</v>
      </c>
      <c r="V4847" s="42" t="s">
        <v>113</v>
      </c>
      <c r="W4847" s="42">
        <v>0</v>
      </c>
      <c r="X4847" s="42">
        <v>0</v>
      </c>
    </row>
    <row r="4848" spans="1:24">
      <c r="A4848" s="27" t="s">
        <v>8967</v>
      </c>
      <c r="B4848" s="28" t="s">
        <v>5102</v>
      </c>
      <c r="C4848" s="27" t="s">
        <v>8968</v>
      </c>
      <c r="D4848" s="27" t="s">
        <v>5104</v>
      </c>
      <c r="E4848" s="29">
        <v>41973</v>
      </c>
      <c r="F4848" s="27">
        <v>15</v>
      </c>
      <c r="G4848" s="18">
        <v>22432.34</v>
      </c>
      <c r="H4848" s="27">
        <f t="shared" si="150"/>
        <v>0</v>
      </c>
      <c r="I4848" s="18">
        <v>6804.48</v>
      </c>
      <c r="J4848" s="27">
        <v>22432.34</v>
      </c>
      <c r="K4848" s="18">
        <f t="shared" si="151"/>
        <v>0</v>
      </c>
      <c r="L4848" s="27">
        <v>8133.3</v>
      </c>
      <c r="M4848" s="36">
        <v>1328.82</v>
      </c>
      <c r="T4848" s="41">
        <v>0</v>
      </c>
      <c r="U4848" s="41">
        <v>0</v>
      </c>
      <c r="V4848" s="42" t="s">
        <v>113</v>
      </c>
      <c r="W4848" s="42">
        <v>0</v>
      </c>
      <c r="X4848" s="42">
        <v>0</v>
      </c>
    </row>
    <row r="4849" spans="1:24">
      <c r="A4849" s="27" t="s">
        <v>8969</v>
      </c>
      <c r="B4849" s="28" t="s">
        <v>5102</v>
      </c>
      <c r="C4849" s="27" t="s">
        <v>8970</v>
      </c>
      <c r="D4849" s="27" t="s">
        <v>5104</v>
      </c>
      <c r="E4849" s="29">
        <v>41973</v>
      </c>
      <c r="F4849" s="27">
        <v>15</v>
      </c>
      <c r="G4849" s="18">
        <v>44537.48</v>
      </c>
      <c r="H4849" s="27">
        <f t="shared" si="150"/>
        <v>0</v>
      </c>
      <c r="I4849" s="18">
        <v>13504.32</v>
      </c>
      <c r="J4849" s="27">
        <v>44537.48</v>
      </c>
      <c r="K4849" s="18">
        <f t="shared" si="151"/>
        <v>0</v>
      </c>
      <c r="L4849" s="27">
        <v>16143.06</v>
      </c>
      <c r="M4849" s="36">
        <v>2638.74</v>
      </c>
      <c r="T4849" s="41">
        <v>0</v>
      </c>
      <c r="U4849" s="41">
        <v>0</v>
      </c>
      <c r="V4849" s="42" t="s">
        <v>113</v>
      </c>
      <c r="W4849" s="42">
        <v>0</v>
      </c>
      <c r="X4849" s="42">
        <v>0</v>
      </c>
    </row>
    <row r="4850" spans="1:24">
      <c r="A4850" s="27" t="s">
        <v>8971</v>
      </c>
      <c r="B4850" s="28" t="s">
        <v>5102</v>
      </c>
      <c r="C4850" s="27" t="s">
        <v>8970</v>
      </c>
      <c r="D4850" s="27" t="s">
        <v>5104</v>
      </c>
      <c r="E4850" s="29">
        <v>41973</v>
      </c>
      <c r="F4850" s="27">
        <v>15</v>
      </c>
      <c r="G4850" s="18">
        <v>62057.22</v>
      </c>
      <c r="H4850" s="27">
        <f t="shared" si="150"/>
        <v>0</v>
      </c>
      <c r="I4850" s="18">
        <v>18824.05</v>
      </c>
      <c r="J4850" s="27">
        <v>62057.22</v>
      </c>
      <c r="K4850" s="18">
        <f t="shared" si="151"/>
        <v>0</v>
      </c>
      <c r="L4850" s="27">
        <v>22500.11</v>
      </c>
      <c r="M4850" s="36">
        <v>3676.06</v>
      </c>
      <c r="T4850" s="41">
        <v>0</v>
      </c>
      <c r="U4850" s="41">
        <v>0</v>
      </c>
      <c r="V4850" s="42" t="s">
        <v>113</v>
      </c>
      <c r="W4850" s="42">
        <v>0</v>
      </c>
      <c r="X4850" s="42">
        <v>0</v>
      </c>
    </row>
    <row r="4851" spans="1:24">
      <c r="A4851" s="27" t="s">
        <v>8972</v>
      </c>
      <c r="B4851" s="28" t="s">
        <v>5102</v>
      </c>
      <c r="C4851" s="27" t="s">
        <v>8970</v>
      </c>
      <c r="D4851" s="27" t="s">
        <v>5104</v>
      </c>
      <c r="E4851" s="29">
        <v>41973</v>
      </c>
      <c r="F4851" s="27">
        <v>15</v>
      </c>
      <c r="G4851" s="18">
        <v>7150.32</v>
      </c>
      <c r="H4851" s="27">
        <f t="shared" si="150"/>
        <v>0</v>
      </c>
      <c r="I4851" s="18">
        <v>2168.94</v>
      </c>
      <c r="J4851" s="27">
        <v>7150.32</v>
      </c>
      <c r="K4851" s="18">
        <f t="shared" si="151"/>
        <v>0</v>
      </c>
      <c r="L4851" s="27">
        <v>2592.5</v>
      </c>
      <c r="M4851" s="36">
        <v>423.56</v>
      </c>
      <c r="T4851" s="41">
        <v>0</v>
      </c>
      <c r="U4851" s="41">
        <v>0</v>
      </c>
      <c r="V4851" s="42" t="s">
        <v>113</v>
      </c>
      <c r="W4851" s="42">
        <v>0</v>
      </c>
      <c r="X4851" s="42">
        <v>0</v>
      </c>
    </row>
    <row r="4852" spans="1:24">
      <c r="A4852" s="27" t="s">
        <v>8973</v>
      </c>
      <c r="B4852" s="28" t="s">
        <v>5102</v>
      </c>
      <c r="C4852" s="27" t="s">
        <v>8974</v>
      </c>
      <c r="D4852" s="27" t="s">
        <v>5104</v>
      </c>
      <c r="E4852" s="29">
        <v>41973</v>
      </c>
      <c r="F4852" s="27">
        <v>15</v>
      </c>
      <c r="G4852" s="18">
        <v>46260.03</v>
      </c>
      <c r="H4852" s="27">
        <f t="shared" si="150"/>
        <v>0</v>
      </c>
      <c r="I4852" s="18">
        <v>14026.74</v>
      </c>
      <c r="J4852" s="27">
        <v>46260.03</v>
      </c>
      <c r="K4852" s="18">
        <f t="shared" si="151"/>
        <v>0</v>
      </c>
      <c r="L4852" s="27">
        <v>16767.53</v>
      </c>
      <c r="M4852" s="36">
        <v>2740.79</v>
      </c>
      <c r="T4852" s="41">
        <v>0</v>
      </c>
      <c r="U4852" s="41">
        <v>0</v>
      </c>
      <c r="V4852" s="42" t="s">
        <v>113</v>
      </c>
      <c r="W4852" s="42">
        <v>0</v>
      </c>
      <c r="X4852" s="42">
        <v>0</v>
      </c>
    </row>
    <row r="4853" spans="1:24">
      <c r="A4853" s="27" t="s">
        <v>8975</v>
      </c>
      <c r="B4853" s="28" t="s">
        <v>5102</v>
      </c>
      <c r="C4853" s="27" t="s">
        <v>8976</v>
      </c>
      <c r="D4853" s="27" t="s">
        <v>5104</v>
      </c>
      <c r="E4853" s="29">
        <v>41973</v>
      </c>
      <c r="F4853" s="27">
        <v>15</v>
      </c>
      <c r="G4853" s="18">
        <v>59238.2</v>
      </c>
      <c r="H4853" s="27">
        <f t="shared" si="150"/>
        <v>0</v>
      </c>
      <c r="I4853" s="18">
        <v>17974.099999999999</v>
      </c>
      <c r="J4853" s="27">
        <v>59238.2</v>
      </c>
      <c r="K4853" s="18">
        <f t="shared" si="151"/>
        <v>0</v>
      </c>
      <c r="L4853" s="27">
        <v>21482.7</v>
      </c>
      <c r="M4853" s="36">
        <v>3508.6</v>
      </c>
      <c r="T4853" s="41">
        <v>0</v>
      </c>
      <c r="U4853" s="41">
        <v>0</v>
      </c>
      <c r="V4853" s="42" t="s">
        <v>113</v>
      </c>
      <c r="W4853" s="42">
        <v>0</v>
      </c>
      <c r="X4853" s="42">
        <v>0</v>
      </c>
    </row>
    <row r="4854" spans="1:24">
      <c r="A4854" s="27" t="s">
        <v>8977</v>
      </c>
      <c r="B4854" s="28" t="s">
        <v>5102</v>
      </c>
      <c r="C4854" s="27" t="s">
        <v>8978</v>
      </c>
      <c r="D4854" s="27" t="s">
        <v>5104</v>
      </c>
      <c r="E4854" s="29">
        <v>41973</v>
      </c>
      <c r="F4854" s="27">
        <v>15</v>
      </c>
      <c r="G4854" s="18">
        <v>59799.27</v>
      </c>
      <c r="H4854" s="27">
        <f t="shared" si="150"/>
        <v>0</v>
      </c>
      <c r="I4854" s="18">
        <v>18137.990000000002</v>
      </c>
      <c r="J4854" s="27">
        <v>59799.27</v>
      </c>
      <c r="K4854" s="18">
        <f t="shared" si="151"/>
        <v>0</v>
      </c>
      <c r="L4854" s="27">
        <v>21680.400000000001</v>
      </c>
      <c r="M4854" s="36">
        <v>3542.41</v>
      </c>
      <c r="T4854" s="41">
        <v>0</v>
      </c>
      <c r="U4854" s="41">
        <v>0</v>
      </c>
      <c r="V4854" s="42" t="s">
        <v>113</v>
      </c>
      <c r="W4854" s="42">
        <v>0</v>
      </c>
      <c r="X4854" s="42">
        <v>0</v>
      </c>
    </row>
    <row r="4855" spans="1:24">
      <c r="A4855" s="27" t="s">
        <v>8979</v>
      </c>
      <c r="B4855" s="28" t="s">
        <v>5102</v>
      </c>
      <c r="C4855" s="27" t="s">
        <v>8980</v>
      </c>
      <c r="D4855" s="27" t="s">
        <v>5104</v>
      </c>
      <c r="E4855" s="29">
        <v>41946</v>
      </c>
      <c r="F4855" s="27">
        <v>15</v>
      </c>
      <c r="G4855" s="18">
        <v>88220.9</v>
      </c>
      <c r="H4855" s="27">
        <f t="shared" si="150"/>
        <v>0</v>
      </c>
      <c r="I4855" s="18">
        <v>26894.54</v>
      </c>
      <c r="J4855" s="27">
        <v>88220.9</v>
      </c>
      <c r="K4855" s="18">
        <f t="shared" si="151"/>
        <v>0</v>
      </c>
      <c r="L4855" s="27">
        <v>32108.16</v>
      </c>
      <c r="M4855" s="36">
        <v>5213.62</v>
      </c>
      <c r="T4855" s="41">
        <v>0</v>
      </c>
      <c r="U4855" s="41">
        <v>0</v>
      </c>
      <c r="V4855" s="42" t="s">
        <v>113</v>
      </c>
      <c r="W4855" s="42">
        <v>0</v>
      </c>
      <c r="X4855" s="42">
        <v>0</v>
      </c>
    </row>
    <row r="4856" spans="1:24">
      <c r="A4856" s="27" t="s">
        <v>8981</v>
      </c>
      <c r="B4856" s="28" t="s">
        <v>5102</v>
      </c>
      <c r="C4856" s="27" t="s">
        <v>8982</v>
      </c>
      <c r="D4856" s="27" t="s">
        <v>5104</v>
      </c>
      <c r="E4856" s="29">
        <v>41946</v>
      </c>
      <c r="F4856" s="27">
        <v>15</v>
      </c>
      <c r="G4856" s="18">
        <v>89264.93</v>
      </c>
      <c r="H4856" s="27">
        <f t="shared" si="150"/>
        <v>0</v>
      </c>
      <c r="I4856" s="18">
        <v>27069.39</v>
      </c>
      <c r="J4856" s="27">
        <v>89264.93</v>
      </c>
      <c r="K4856" s="18">
        <f t="shared" si="151"/>
        <v>0</v>
      </c>
      <c r="L4856" s="27">
        <v>32357.84</v>
      </c>
      <c r="M4856" s="36">
        <v>5288.45</v>
      </c>
      <c r="T4856" s="41">
        <v>0</v>
      </c>
      <c r="U4856" s="41">
        <v>0</v>
      </c>
      <c r="V4856" s="42" t="s">
        <v>113</v>
      </c>
      <c r="W4856" s="42">
        <v>0</v>
      </c>
      <c r="X4856" s="42">
        <v>0</v>
      </c>
    </row>
    <row r="4857" spans="1:24">
      <c r="A4857" s="27" t="s">
        <v>8983</v>
      </c>
      <c r="B4857" s="28" t="s">
        <v>5102</v>
      </c>
      <c r="C4857" s="27" t="s">
        <v>8984</v>
      </c>
      <c r="D4857" s="27" t="s">
        <v>5104</v>
      </c>
      <c r="E4857" s="29">
        <v>41946</v>
      </c>
      <c r="F4857" s="27">
        <v>15</v>
      </c>
      <c r="G4857" s="18">
        <v>89054.88</v>
      </c>
      <c r="H4857" s="27">
        <f t="shared" si="150"/>
        <v>0</v>
      </c>
      <c r="I4857" s="18">
        <v>27005.7</v>
      </c>
      <c r="J4857" s="27">
        <v>89054.88</v>
      </c>
      <c r="K4857" s="18">
        <f t="shared" si="151"/>
        <v>0</v>
      </c>
      <c r="L4857" s="27">
        <v>32281.71</v>
      </c>
      <c r="M4857" s="36">
        <v>5276.01</v>
      </c>
      <c r="T4857" s="41">
        <v>0</v>
      </c>
      <c r="U4857" s="41">
        <v>0</v>
      </c>
      <c r="V4857" s="42" t="s">
        <v>113</v>
      </c>
      <c r="W4857" s="42">
        <v>0</v>
      </c>
      <c r="X4857" s="42">
        <v>0</v>
      </c>
    </row>
    <row r="4858" spans="1:24">
      <c r="A4858" s="27" t="s">
        <v>8985</v>
      </c>
      <c r="B4858" s="28" t="s">
        <v>5102</v>
      </c>
      <c r="C4858" s="27" t="s">
        <v>8986</v>
      </c>
      <c r="D4858" s="27" t="s">
        <v>5104</v>
      </c>
      <c r="E4858" s="29">
        <v>41640</v>
      </c>
      <c r="F4858" s="27">
        <v>15</v>
      </c>
      <c r="G4858" s="18">
        <v>166138.65</v>
      </c>
      <c r="H4858" s="27">
        <f t="shared" si="150"/>
        <v>0</v>
      </c>
      <c r="I4858" s="18">
        <v>61107.040000000001</v>
      </c>
      <c r="J4858" s="27">
        <v>166138.65</v>
      </c>
      <c r="K4858" s="18">
        <f t="shared" si="151"/>
        <v>0</v>
      </c>
      <c r="L4858" s="27">
        <v>70699.570000000007</v>
      </c>
      <c r="M4858" s="36">
        <v>9592.5300000000007</v>
      </c>
      <c r="T4858" s="41">
        <v>0</v>
      </c>
      <c r="U4858" s="41">
        <v>0</v>
      </c>
      <c r="V4858" s="42" t="s">
        <v>113</v>
      </c>
      <c r="W4858" s="42">
        <v>0</v>
      </c>
      <c r="X4858" s="42">
        <v>0</v>
      </c>
    </row>
    <row r="4859" spans="1:24">
      <c r="A4859" s="27" t="s">
        <v>8987</v>
      </c>
      <c r="B4859" s="28" t="s">
        <v>5102</v>
      </c>
      <c r="C4859" s="27" t="s">
        <v>8988</v>
      </c>
      <c r="D4859" s="27" t="s">
        <v>5104</v>
      </c>
      <c r="E4859" s="29">
        <v>41640</v>
      </c>
      <c r="F4859" s="27">
        <v>15</v>
      </c>
      <c r="G4859" s="18">
        <v>228590.76</v>
      </c>
      <c r="H4859" s="27">
        <f t="shared" si="150"/>
        <v>0</v>
      </c>
      <c r="I4859" s="18">
        <v>84077.4</v>
      </c>
      <c r="J4859" s="27">
        <v>228590.76</v>
      </c>
      <c r="K4859" s="18">
        <f t="shared" si="151"/>
        <v>0</v>
      </c>
      <c r="L4859" s="27">
        <v>97275.8</v>
      </c>
      <c r="M4859" s="36">
        <v>13198.4</v>
      </c>
      <c r="T4859" s="41">
        <v>0</v>
      </c>
      <c r="U4859" s="41">
        <v>0</v>
      </c>
      <c r="V4859" s="42" t="s">
        <v>113</v>
      </c>
      <c r="W4859" s="42">
        <v>0</v>
      </c>
      <c r="X4859" s="42">
        <v>0</v>
      </c>
    </row>
    <row r="4860" spans="1:24">
      <c r="A4860" s="27" t="s">
        <v>8989</v>
      </c>
      <c r="B4860" s="28" t="s">
        <v>5102</v>
      </c>
      <c r="C4860" s="27" t="s">
        <v>8990</v>
      </c>
      <c r="D4860" s="27" t="s">
        <v>5104</v>
      </c>
      <c r="E4860" s="29">
        <v>41640</v>
      </c>
      <c r="F4860" s="27">
        <v>12</v>
      </c>
      <c r="G4860" s="18">
        <v>1979.93</v>
      </c>
      <c r="H4860" s="27">
        <f t="shared" si="150"/>
        <v>1979.93</v>
      </c>
      <c r="I4860" s="18">
        <v>1979.93</v>
      </c>
      <c r="J4860" s="27">
        <v>1979.93</v>
      </c>
      <c r="K4860" s="18">
        <f t="shared" si="151"/>
        <v>1979.93</v>
      </c>
      <c r="L4860" s="27">
        <v>1979.93</v>
      </c>
      <c r="M4860" s="36">
        <v>0</v>
      </c>
      <c r="T4860" s="41">
        <v>0</v>
      </c>
      <c r="U4860" s="41">
        <v>0</v>
      </c>
      <c r="V4860" s="42" t="s">
        <v>113</v>
      </c>
      <c r="W4860" s="42">
        <v>1979.93</v>
      </c>
      <c r="X4860" s="42">
        <v>1979.93</v>
      </c>
    </row>
    <row r="4861" spans="1:24">
      <c r="A4861" s="27" t="s">
        <v>8991</v>
      </c>
      <c r="B4861" s="28" t="s">
        <v>5102</v>
      </c>
      <c r="C4861" s="27" t="s">
        <v>8992</v>
      </c>
      <c r="D4861" s="27" t="s">
        <v>5104</v>
      </c>
      <c r="E4861" s="29">
        <v>41640</v>
      </c>
      <c r="F4861" s="27">
        <v>15</v>
      </c>
      <c r="G4861" s="18">
        <v>13902.54</v>
      </c>
      <c r="H4861" s="27">
        <f t="shared" si="150"/>
        <v>0</v>
      </c>
      <c r="I4861" s="18">
        <v>5113.47</v>
      </c>
      <c r="J4861" s="27">
        <v>13902.54</v>
      </c>
      <c r="K4861" s="18">
        <f t="shared" si="151"/>
        <v>0</v>
      </c>
      <c r="L4861" s="27">
        <v>5916.17</v>
      </c>
      <c r="M4861" s="36">
        <v>802.7</v>
      </c>
      <c r="T4861" s="41">
        <v>0</v>
      </c>
      <c r="U4861" s="41">
        <v>0</v>
      </c>
      <c r="V4861" s="42" t="s">
        <v>113</v>
      </c>
      <c r="W4861" s="42">
        <v>0</v>
      </c>
      <c r="X4861" s="42">
        <v>0</v>
      </c>
    </row>
    <row r="4862" spans="1:24">
      <c r="A4862" s="27" t="s">
        <v>8993</v>
      </c>
      <c r="B4862" s="28" t="s">
        <v>5102</v>
      </c>
      <c r="C4862" s="27" t="s">
        <v>8994</v>
      </c>
      <c r="D4862" s="27" t="s">
        <v>5104</v>
      </c>
      <c r="E4862" s="29">
        <v>41640</v>
      </c>
      <c r="F4862" s="27">
        <v>15</v>
      </c>
      <c r="G4862" s="18">
        <v>10760.48</v>
      </c>
      <c r="H4862" s="27">
        <f t="shared" si="150"/>
        <v>0</v>
      </c>
      <c r="I4862" s="18">
        <v>3957.78</v>
      </c>
      <c r="J4862" s="27">
        <v>10760.48</v>
      </c>
      <c r="K4862" s="18">
        <f t="shared" si="151"/>
        <v>0</v>
      </c>
      <c r="L4862" s="27">
        <v>4579.07</v>
      </c>
      <c r="M4862" s="36">
        <v>621.29</v>
      </c>
      <c r="T4862" s="41">
        <v>0</v>
      </c>
      <c r="U4862" s="41">
        <v>0</v>
      </c>
      <c r="V4862" s="42" t="s">
        <v>113</v>
      </c>
      <c r="W4862" s="42">
        <v>0</v>
      </c>
      <c r="X4862" s="42">
        <v>0</v>
      </c>
    </row>
    <row r="4863" spans="1:24">
      <c r="A4863" s="27" t="s">
        <v>8995</v>
      </c>
      <c r="B4863" s="28" t="s">
        <v>5102</v>
      </c>
      <c r="C4863" s="27" t="s">
        <v>8996</v>
      </c>
      <c r="D4863" s="27" t="s">
        <v>5104</v>
      </c>
      <c r="E4863" s="29">
        <v>41640</v>
      </c>
      <c r="F4863" s="27">
        <v>12</v>
      </c>
      <c r="G4863" s="18">
        <v>2625.56</v>
      </c>
      <c r="H4863" s="27">
        <f t="shared" si="150"/>
        <v>2625.56</v>
      </c>
      <c r="I4863" s="18">
        <v>2625.56</v>
      </c>
      <c r="J4863" s="27">
        <v>2625.56</v>
      </c>
      <c r="K4863" s="18">
        <f t="shared" si="151"/>
        <v>2625.56</v>
      </c>
      <c r="L4863" s="27">
        <v>2625.56</v>
      </c>
      <c r="M4863" s="36">
        <v>0</v>
      </c>
      <c r="T4863" s="41">
        <v>0</v>
      </c>
      <c r="U4863" s="41">
        <v>0</v>
      </c>
      <c r="V4863" s="42" t="s">
        <v>113</v>
      </c>
      <c r="W4863" s="42">
        <v>2625.56</v>
      </c>
      <c r="X4863" s="42">
        <v>2625.56</v>
      </c>
    </row>
    <row r="4864" spans="1:24">
      <c r="A4864" s="27" t="s">
        <v>8997</v>
      </c>
      <c r="B4864" s="28" t="s">
        <v>5102</v>
      </c>
      <c r="C4864" s="27" t="s">
        <v>8998</v>
      </c>
      <c r="D4864" s="27" t="s">
        <v>5104</v>
      </c>
      <c r="E4864" s="29">
        <v>41640</v>
      </c>
      <c r="F4864" s="27">
        <v>12</v>
      </c>
      <c r="G4864" s="18">
        <v>1807.75</v>
      </c>
      <c r="H4864" s="27">
        <f t="shared" si="150"/>
        <v>1807.75</v>
      </c>
      <c r="I4864" s="18">
        <v>1807.75</v>
      </c>
      <c r="J4864" s="27">
        <v>1807.75</v>
      </c>
      <c r="K4864" s="18">
        <f t="shared" si="151"/>
        <v>1807.75</v>
      </c>
      <c r="L4864" s="27">
        <v>1807.75</v>
      </c>
      <c r="M4864" s="36">
        <v>0</v>
      </c>
      <c r="T4864" s="41">
        <v>0</v>
      </c>
      <c r="U4864" s="41">
        <v>0</v>
      </c>
      <c r="V4864" s="42" t="s">
        <v>113</v>
      </c>
      <c r="W4864" s="42">
        <v>1807.75</v>
      </c>
      <c r="X4864" s="42">
        <v>1807.75</v>
      </c>
    </row>
    <row r="4865" spans="1:24">
      <c r="A4865" s="27" t="s">
        <v>8999</v>
      </c>
      <c r="B4865" s="28" t="s">
        <v>5102</v>
      </c>
      <c r="C4865" s="27" t="s">
        <v>9000</v>
      </c>
      <c r="D4865" s="27" t="s">
        <v>5104</v>
      </c>
      <c r="E4865" s="29">
        <v>41640</v>
      </c>
      <c r="F4865" s="27">
        <v>15</v>
      </c>
      <c r="G4865" s="18">
        <v>94089.69</v>
      </c>
      <c r="H4865" s="27">
        <f t="shared" si="150"/>
        <v>0</v>
      </c>
      <c r="I4865" s="18">
        <v>34606.910000000003</v>
      </c>
      <c r="J4865" s="27">
        <v>94089.69</v>
      </c>
      <c r="K4865" s="18">
        <f t="shared" si="151"/>
        <v>0</v>
      </c>
      <c r="L4865" s="27">
        <v>40039.47</v>
      </c>
      <c r="M4865" s="36">
        <v>5432.56</v>
      </c>
      <c r="T4865" s="41">
        <v>0</v>
      </c>
      <c r="U4865" s="41">
        <v>0</v>
      </c>
      <c r="V4865" s="42" t="s">
        <v>113</v>
      </c>
      <c r="W4865" s="42">
        <v>0</v>
      </c>
      <c r="X4865" s="42">
        <v>0</v>
      </c>
    </row>
    <row r="4866" spans="1:24">
      <c r="A4866" s="27" t="s">
        <v>9001</v>
      </c>
      <c r="B4866" s="28" t="s">
        <v>5102</v>
      </c>
      <c r="C4866" s="27" t="s">
        <v>9000</v>
      </c>
      <c r="D4866" s="27" t="s">
        <v>5104</v>
      </c>
      <c r="E4866" s="29">
        <v>41640</v>
      </c>
      <c r="F4866" s="27">
        <v>15</v>
      </c>
      <c r="G4866" s="18">
        <v>53896.04</v>
      </c>
      <c r="H4866" s="27">
        <f t="shared" si="150"/>
        <v>0</v>
      </c>
      <c r="I4866" s="18">
        <v>19823.37</v>
      </c>
      <c r="J4866" s="27">
        <v>53896.04</v>
      </c>
      <c r="K4866" s="18">
        <f t="shared" si="151"/>
        <v>0</v>
      </c>
      <c r="L4866" s="27">
        <v>22935.22</v>
      </c>
      <c r="M4866" s="36">
        <v>3111.85</v>
      </c>
      <c r="T4866" s="41">
        <v>0</v>
      </c>
      <c r="U4866" s="41">
        <v>0</v>
      </c>
      <c r="V4866" s="42" t="s">
        <v>113</v>
      </c>
      <c r="W4866" s="42">
        <v>0</v>
      </c>
      <c r="X4866" s="42">
        <v>0</v>
      </c>
    </row>
    <row r="4867" spans="1:24">
      <c r="A4867" s="27" t="s">
        <v>9002</v>
      </c>
      <c r="B4867" s="28" t="s">
        <v>5102</v>
      </c>
      <c r="C4867" s="27" t="s">
        <v>9003</v>
      </c>
      <c r="D4867" s="27" t="s">
        <v>5104</v>
      </c>
      <c r="E4867" s="29">
        <v>41640</v>
      </c>
      <c r="F4867" s="27">
        <v>12</v>
      </c>
      <c r="G4867" s="18">
        <v>3836.67</v>
      </c>
      <c r="H4867" s="27">
        <f t="shared" si="150"/>
        <v>3836.67</v>
      </c>
      <c r="I4867" s="18">
        <v>3836.67</v>
      </c>
      <c r="J4867" s="27">
        <v>3836.67</v>
      </c>
      <c r="K4867" s="18">
        <f t="shared" si="151"/>
        <v>3836.67</v>
      </c>
      <c r="L4867" s="27">
        <v>3836.67</v>
      </c>
      <c r="M4867" s="36">
        <v>0</v>
      </c>
      <c r="T4867" s="41">
        <v>0</v>
      </c>
      <c r="U4867" s="41">
        <v>0</v>
      </c>
      <c r="V4867" s="42" t="s">
        <v>113</v>
      </c>
      <c r="W4867" s="42">
        <v>3836.67</v>
      </c>
      <c r="X4867" s="42">
        <v>3836.67</v>
      </c>
    </row>
    <row r="4868" spans="1:24">
      <c r="A4868" s="27" t="s">
        <v>9004</v>
      </c>
      <c r="B4868" s="28" t="s">
        <v>5102</v>
      </c>
      <c r="C4868" s="27" t="s">
        <v>9003</v>
      </c>
      <c r="D4868" s="27" t="s">
        <v>5104</v>
      </c>
      <c r="E4868" s="29">
        <v>41640</v>
      </c>
      <c r="F4868" s="27">
        <v>15</v>
      </c>
      <c r="G4868" s="18">
        <v>37514.07</v>
      </c>
      <c r="H4868" s="27">
        <f t="shared" si="150"/>
        <v>0</v>
      </c>
      <c r="I4868" s="18">
        <v>13797.95</v>
      </c>
      <c r="J4868" s="27">
        <v>37514.07</v>
      </c>
      <c r="K4868" s="18">
        <f t="shared" si="151"/>
        <v>0</v>
      </c>
      <c r="L4868" s="27">
        <v>15963.94</v>
      </c>
      <c r="M4868" s="36">
        <v>2165.9899999999998</v>
      </c>
      <c r="T4868" s="41">
        <v>0</v>
      </c>
      <c r="U4868" s="41">
        <v>0</v>
      </c>
      <c r="V4868" s="42" t="s">
        <v>113</v>
      </c>
      <c r="W4868" s="42">
        <v>0</v>
      </c>
      <c r="X4868" s="42">
        <v>0</v>
      </c>
    </row>
    <row r="4869" spans="1:24">
      <c r="A4869" s="27" t="s">
        <v>9005</v>
      </c>
      <c r="B4869" s="28" t="s">
        <v>5102</v>
      </c>
      <c r="C4869" s="27" t="s">
        <v>9006</v>
      </c>
      <c r="D4869" s="27" t="s">
        <v>5104</v>
      </c>
      <c r="E4869" s="29">
        <v>41640</v>
      </c>
      <c r="F4869" s="27">
        <v>15</v>
      </c>
      <c r="G4869" s="18">
        <v>26076.46</v>
      </c>
      <c r="H4869" s="27">
        <f t="shared" si="150"/>
        <v>0</v>
      </c>
      <c r="I4869" s="18">
        <v>9591.1200000000008</v>
      </c>
      <c r="J4869" s="27">
        <v>26076.46</v>
      </c>
      <c r="K4869" s="18">
        <f t="shared" si="151"/>
        <v>0</v>
      </c>
      <c r="L4869" s="27">
        <v>11096.73</v>
      </c>
      <c r="M4869" s="36">
        <v>1505.61</v>
      </c>
      <c r="T4869" s="41">
        <v>0</v>
      </c>
      <c r="U4869" s="41">
        <v>0</v>
      </c>
      <c r="V4869" s="42" t="s">
        <v>113</v>
      </c>
      <c r="W4869" s="42">
        <v>0</v>
      </c>
      <c r="X4869" s="42">
        <v>0</v>
      </c>
    </row>
    <row r="4870" spans="1:24">
      <c r="A4870" s="27" t="s">
        <v>9007</v>
      </c>
      <c r="B4870" s="28" t="s">
        <v>5102</v>
      </c>
      <c r="C4870" s="27" t="s">
        <v>9006</v>
      </c>
      <c r="D4870" s="27" t="s">
        <v>5104</v>
      </c>
      <c r="E4870" s="29">
        <v>41640</v>
      </c>
      <c r="F4870" s="27">
        <v>15</v>
      </c>
      <c r="G4870" s="18">
        <v>77776.240000000005</v>
      </c>
      <c r="H4870" s="27">
        <f t="shared" ref="H4870:H4933" si="152">IFERROR(IF(ROUND((G4870-I4870)/G4870,2)&lt;=0.05,G4870,0),0)</f>
        <v>0</v>
      </c>
      <c r="I4870" s="18">
        <v>28606.69</v>
      </c>
      <c r="J4870" s="27">
        <v>77776.240000000005</v>
      </c>
      <c r="K4870" s="18">
        <f t="shared" ref="K4870:K4933" si="153">IFERROR(IF(ROUND((J4870-L4870)/J4870,2)&lt;=0.05,J4870,0),0)</f>
        <v>0</v>
      </c>
      <c r="L4870" s="27">
        <v>33097.339999999997</v>
      </c>
      <c r="M4870" s="36">
        <v>4490.6499999999996</v>
      </c>
      <c r="T4870" s="41">
        <v>0</v>
      </c>
      <c r="U4870" s="41">
        <v>0</v>
      </c>
      <c r="V4870" s="42" t="s">
        <v>113</v>
      </c>
      <c r="W4870" s="42">
        <v>0</v>
      </c>
      <c r="X4870" s="42">
        <v>0</v>
      </c>
    </row>
    <row r="4871" spans="1:24">
      <c r="A4871" s="27" t="s">
        <v>9008</v>
      </c>
      <c r="B4871" s="28" t="s">
        <v>5102</v>
      </c>
      <c r="C4871" s="27" t="s">
        <v>9009</v>
      </c>
      <c r="D4871" s="27" t="s">
        <v>5104</v>
      </c>
      <c r="E4871" s="29">
        <v>41640</v>
      </c>
      <c r="F4871" s="27">
        <v>15</v>
      </c>
      <c r="G4871" s="18">
        <v>91864.94</v>
      </c>
      <c r="H4871" s="27">
        <f t="shared" si="152"/>
        <v>0</v>
      </c>
      <c r="I4871" s="18">
        <v>33788.620000000003</v>
      </c>
      <c r="J4871" s="27">
        <v>91864.94</v>
      </c>
      <c r="K4871" s="18">
        <f t="shared" si="153"/>
        <v>0</v>
      </c>
      <c r="L4871" s="27">
        <v>39092.730000000003</v>
      </c>
      <c r="M4871" s="36">
        <v>5304.11</v>
      </c>
      <c r="T4871" s="41">
        <v>0</v>
      </c>
      <c r="U4871" s="41">
        <v>0</v>
      </c>
      <c r="V4871" s="42" t="s">
        <v>113</v>
      </c>
      <c r="W4871" s="42">
        <v>0</v>
      </c>
      <c r="X4871" s="42">
        <v>0</v>
      </c>
    </row>
    <row r="4872" spans="1:24">
      <c r="A4872" s="27" t="s">
        <v>9010</v>
      </c>
      <c r="B4872" s="28" t="s">
        <v>5102</v>
      </c>
      <c r="C4872" s="27" t="s">
        <v>9009</v>
      </c>
      <c r="D4872" s="27" t="s">
        <v>5104</v>
      </c>
      <c r="E4872" s="29">
        <v>41640</v>
      </c>
      <c r="F4872" s="27">
        <v>15</v>
      </c>
      <c r="G4872" s="18">
        <v>92606.46</v>
      </c>
      <c r="H4872" s="27">
        <f t="shared" si="152"/>
        <v>0</v>
      </c>
      <c r="I4872" s="18">
        <v>34061.35</v>
      </c>
      <c r="J4872" s="27">
        <v>92606.46</v>
      </c>
      <c r="K4872" s="18">
        <f t="shared" si="153"/>
        <v>0</v>
      </c>
      <c r="L4872" s="27">
        <v>39408.269999999997</v>
      </c>
      <c r="M4872" s="36">
        <v>5346.92</v>
      </c>
      <c r="T4872" s="41">
        <v>0</v>
      </c>
      <c r="U4872" s="41">
        <v>0</v>
      </c>
      <c r="V4872" s="42" t="s">
        <v>113</v>
      </c>
      <c r="W4872" s="42">
        <v>0</v>
      </c>
      <c r="X4872" s="42">
        <v>0</v>
      </c>
    </row>
    <row r="4873" spans="1:24">
      <c r="A4873" s="27" t="s">
        <v>9011</v>
      </c>
      <c r="B4873" s="28" t="s">
        <v>5102</v>
      </c>
      <c r="C4873" s="27" t="s">
        <v>9012</v>
      </c>
      <c r="D4873" s="27" t="s">
        <v>5104</v>
      </c>
      <c r="E4873" s="29">
        <v>41640</v>
      </c>
      <c r="F4873" s="27">
        <v>15</v>
      </c>
      <c r="G4873" s="18">
        <v>58538.53</v>
      </c>
      <c r="H4873" s="27">
        <f t="shared" si="152"/>
        <v>0</v>
      </c>
      <c r="I4873" s="18">
        <v>21530.91</v>
      </c>
      <c r="J4873" s="27">
        <v>58538.53</v>
      </c>
      <c r="K4873" s="18">
        <f t="shared" si="153"/>
        <v>0</v>
      </c>
      <c r="L4873" s="27">
        <v>24910.81</v>
      </c>
      <c r="M4873" s="36">
        <v>3379.9</v>
      </c>
      <c r="T4873" s="41">
        <v>0</v>
      </c>
      <c r="U4873" s="41">
        <v>0</v>
      </c>
      <c r="V4873" s="42" t="s">
        <v>113</v>
      </c>
      <c r="W4873" s="42">
        <v>0</v>
      </c>
      <c r="X4873" s="42">
        <v>0</v>
      </c>
    </row>
    <row r="4874" spans="1:24">
      <c r="A4874" s="27" t="s">
        <v>9013</v>
      </c>
      <c r="B4874" s="28" t="s">
        <v>5102</v>
      </c>
      <c r="C4874" s="27" t="s">
        <v>9012</v>
      </c>
      <c r="D4874" s="27" t="s">
        <v>5104</v>
      </c>
      <c r="E4874" s="29">
        <v>41640</v>
      </c>
      <c r="F4874" s="27">
        <v>15</v>
      </c>
      <c r="G4874" s="18">
        <v>7120.2</v>
      </c>
      <c r="H4874" s="27">
        <f t="shared" si="152"/>
        <v>0</v>
      </c>
      <c r="I4874" s="18">
        <v>2618.86</v>
      </c>
      <c r="J4874" s="27">
        <v>7120.2</v>
      </c>
      <c r="K4874" s="18">
        <f t="shared" si="153"/>
        <v>0</v>
      </c>
      <c r="L4874" s="27">
        <v>3029.97</v>
      </c>
      <c r="M4874" s="36">
        <v>411.11</v>
      </c>
      <c r="T4874" s="41">
        <v>0</v>
      </c>
      <c r="U4874" s="41">
        <v>0</v>
      </c>
      <c r="V4874" s="42" t="s">
        <v>113</v>
      </c>
      <c r="W4874" s="42">
        <v>0</v>
      </c>
      <c r="X4874" s="42">
        <v>0</v>
      </c>
    </row>
    <row r="4875" spans="1:24">
      <c r="A4875" s="27" t="s">
        <v>9014</v>
      </c>
      <c r="B4875" s="28" t="s">
        <v>5102</v>
      </c>
      <c r="C4875" s="27" t="s">
        <v>9012</v>
      </c>
      <c r="D4875" s="27" t="s">
        <v>5104</v>
      </c>
      <c r="E4875" s="29">
        <v>41640</v>
      </c>
      <c r="F4875" s="27">
        <v>12</v>
      </c>
      <c r="G4875" s="18">
        <v>1146.8800000000001</v>
      </c>
      <c r="H4875" s="27">
        <f t="shared" si="152"/>
        <v>1146.8800000000001</v>
      </c>
      <c r="I4875" s="18">
        <v>1146.8800000000001</v>
      </c>
      <c r="J4875" s="27">
        <v>1146.8800000000001</v>
      </c>
      <c r="K4875" s="18">
        <f t="shared" si="153"/>
        <v>1146.8800000000001</v>
      </c>
      <c r="L4875" s="27">
        <v>1146.8800000000001</v>
      </c>
      <c r="M4875" s="36">
        <v>0</v>
      </c>
      <c r="T4875" s="41">
        <v>0</v>
      </c>
      <c r="U4875" s="41">
        <v>0</v>
      </c>
      <c r="V4875" s="42" t="s">
        <v>113</v>
      </c>
      <c r="W4875" s="42">
        <v>1146.8800000000001</v>
      </c>
      <c r="X4875" s="42">
        <v>1146.8800000000001</v>
      </c>
    </row>
    <row r="4876" spans="1:24">
      <c r="A4876" s="27" t="s">
        <v>9015</v>
      </c>
      <c r="B4876" s="28" t="s">
        <v>5102</v>
      </c>
      <c r="C4876" s="27" t="s">
        <v>9016</v>
      </c>
      <c r="D4876" s="27" t="s">
        <v>5104</v>
      </c>
      <c r="E4876" s="29">
        <v>41640</v>
      </c>
      <c r="F4876" s="27">
        <v>15</v>
      </c>
      <c r="G4876" s="18">
        <v>124866.25</v>
      </c>
      <c r="H4876" s="27">
        <f t="shared" si="152"/>
        <v>0</v>
      </c>
      <c r="I4876" s="18">
        <v>45926.75</v>
      </c>
      <c r="J4876" s="27">
        <v>124866.25</v>
      </c>
      <c r="K4876" s="18">
        <f t="shared" si="153"/>
        <v>0</v>
      </c>
      <c r="L4876" s="27">
        <v>53136.29</v>
      </c>
      <c r="M4876" s="36">
        <v>7209.54</v>
      </c>
      <c r="T4876" s="41">
        <v>0</v>
      </c>
      <c r="U4876" s="41">
        <v>0</v>
      </c>
      <c r="V4876" s="42" t="s">
        <v>113</v>
      </c>
      <c r="W4876" s="42">
        <v>0</v>
      </c>
      <c r="X4876" s="42">
        <v>0</v>
      </c>
    </row>
    <row r="4877" spans="1:24">
      <c r="A4877" s="27" t="s">
        <v>9017</v>
      </c>
      <c r="B4877" s="28" t="s">
        <v>5102</v>
      </c>
      <c r="C4877" s="27" t="s">
        <v>9018</v>
      </c>
      <c r="D4877" s="27" t="s">
        <v>5104</v>
      </c>
      <c r="E4877" s="29">
        <v>41640</v>
      </c>
      <c r="F4877" s="27">
        <v>15</v>
      </c>
      <c r="G4877" s="18">
        <v>213429.4</v>
      </c>
      <c r="H4877" s="27">
        <f t="shared" si="152"/>
        <v>0</v>
      </c>
      <c r="I4877" s="18">
        <v>78500.94</v>
      </c>
      <c r="J4877" s="27">
        <v>213429.4</v>
      </c>
      <c r="K4877" s="18">
        <f t="shared" si="153"/>
        <v>0</v>
      </c>
      <c r="L4877" s="27">
        <v>90823.95</v>
      </c>
      <c r="M4877" s="36">
        <v>12323.01</v>
      </c>
      <c r="T4877" s="41">
        <v>0</v>
      </c>
      <c r="U4877" s="41">
        <v>0</v>
      </c>
      <c r="V4877" s="42" t="s">
        <v>113</v>
      </c>
      <c r="W4877" s="42">
        <v>0</v>
      </c>
      <c r="X4877" s="42">
        <v>0</v>
      </c>
    </row>
    <row r="4878" spans="1:24">
      <c r="A4878" s="27" t="s">
        <v>9019</v>
      </c>
      <c r="B4878" s="28" t="s">
        <v>5102</v>
      </c>
      <c r="C4878" s="27" t="s">
        <v>9020</v>
      </c>
      <c r="D4878" s="27" t="s">
        <v>5104</v>
      </c>
      <c r="E4878" s="29">
        <v>41640</v>
      </c>
      <c r="F4878" s="27">
        <v>15</v>
      </c>
      <c r="G4878" s="18">
        <v>217029.42</v>
      </c>
      <c r="H4878" s="27">
        <f t="shared" si="152"/>
        <v>0</v>
      </c>
      <c r="I4878" s="18">
        <v>79825.06</v>
      </c>
      <c r="J4878" s="27">
        <v>217029.42</v>
      </c>
      <c r="K4878" s="18">
        <f t="shared" si="153"/>
        <v>0</v>
      </c>
      <c r="L4878" s="27">
        <v>92355.93</v>
      </c>
      <c r="M4878" s="36">
        <v>12530.87</v>
      </c>
      <c r="T4878" s="41">
        <v>0</v>
      </c>
      <c r="U4878" s="41">
        <v>0</v>
      </c>
      <c r="V4878" s="42" t="s">
        <v>113</v>
      </c>
      <c r="W4878" s="42">
        <v>0</v>
      </c>
      <c r="X4878" s="42">
        <v>0</v>
      </c>
    </row>
    <row r="4879" spans="1:24">
      <c r="A4879" s="27" t="s">
        <v>9021</v>
      </c>
      <c r="B4879" s="28" t="s">
        <v>5102</v>
      </c>
      <c r="C4879" s="27" t="s">
        <v>9022</v>
      </c>
      <c r="D4879" s="27" t="s">
        <v>5104</v>
      </c>
      <c r="E4879" s="29">
        <v>41640</v>
      </c>
      <c r="F4879" s="27">
        <v>15</v>
      </c>
      <c r="G4879" s="18">
        <v>26614.5</v>
      </c>
      <c r="H4879" s="27">
        <f t="shared" si="152"/>
        <v>0</v>
      </c>
      <c r="I4879" s="18">
        <v>9789.01</v>
      </c>
      <c r="J4879" s="27">
        <v>26614.5</v>
      </c>
      <c r="K4879" s="18">
        <f t="shared" si="153"/>
        <v>0</v>
      </c>
      <c r="L4879" s="27">
        <v>11325.68</v>
      </c>
      <c r="M4879" s="36">
        <v>1536.67</v>
      </c>
      <c r="T4879" s="41">
        <v>0</v>
      </c>
      <c r="U4879" s="41">
        <v>0</v>
      </c>
      <c r="V4879" s="42" t="s">
        <v>113</v>
      </c>
      <c r="W4879" s="42">
        <v>0</v>
      </c>
      <c r="X4879" s="42">
        <v>0</v>
      </c>
    </row>
    <row r="4880" spans="1:24">
      <c r="A4880" s="27" t="s">
        <v>9023</v>
      </c>
      <c r="B4880" s="28" t="s">
        <v>5102</v>
      </c>
      <c r="C4880" s="27" t="s">
        <v>9024</v>
      </c>
      <c r="D4880" s="27" t="s">
        <v>5104</v>
      </c>
      <c r="E4880" s="29">
        <v>41640</v>
      </c>
      <c r="F4880" s="27">
        <v>15</v>
      </c>
      <c r="G4880" s="18">
        <v>7808.83</v>
      </c>
      <c r="H4880" s="27">
        <f t="shared" si="152"/>
        <v>0</v>
      </c>
      <c r="I4880" s="18">
        <v>2872.15</v>
      </c>
      <c r="J4880" s="27">
        <v>7808.83</v>
      </c>
      <c r="K4880" s="18">
        <f t="shared" si="153"/>
        <v>0</v>
      </c>
      <c r="L4880" s="27">
        <v>3323.02</v>
      </c>
      <c r="M4880" s="36">
        <v>450.87</v>
      </c>
      <c r="T4880" s="41">
        <v>0</v>
      </c>
      <c r="U4880" s="41">
        <v>0</v>
      </c>
      <c r="V4880" s="42" t="s">
        <v>113</v>
      </c>
      <c r="W4880" s="42">
        <v>0</v>
      </c>
      <c r="X4880" s="42">
        <v>0</v>
      </c>
    </row>
    <row r="4881" spans="1:24">
      <c r="A4881" s="27" t="s">
        <v>9025</v>
      </c>
      <c r="B4881" s="28" t="s">
        <v>5102</v>
      </c>
      <c r="C4881" s="27" t="s">
        <v>9026</v>
      </c>
      <c r="D4881" s="27" t="s">
        <v>230</v>
      </c>
      <c r="E4881" s="29">
        <v>41640</v>
      </c>
      <c r="F4881" s="27">
        <v>15</v>
      </c>
      <c r="G4881" s="18">
        <v>174131.47</v>
      </c>
      <c r="H4881" s="27">
        <f t="shared" si="152"/>
        <v>0</v>
      </c>
      <c r="I4881" s="18">
        <v>73843.87</v>
      </c>
      <c r="J4881" s="27">
        <v>174131.47</v>
      </c>
      <c r="K4881" s="18">
        <f t="shared" si="153"/>
        <v>0</v>
      </c>
      <c r="L4881" s="27">
        <v>82926.289999999994</v>
      </c>
      <c r="M4881" s="36">
        <v>9082.42</v>
      </c>
      <c r="T4881" s="41">
        <v>0</v>
      </c>
      <c r="U4881" s="41">
        <v>0</v>
      </c>
      <c r="V4881" s="42" t="s">
        <v>113</v>
      </c>
      <c r="W4881" s="42">
        <v>0</v>
      </c>
      <c r="X4881" s="42">
        <v>0</v>
      </c>
    </row>
    <row r="4882" spans="1:24">
      <c r="A4882" s="27" t="s">
        <v>9027</v>
      </c>
      <c r="B4882" s="28" t="s">
        <v>5102</v>
      </c>
      <c r="C4882" s="27" t="s">
        <v>9028</v>
      </c>
      <c r="D4882" s="27" t="s">
        <v>230</v>
      </c>
      <c r="E4882" s="29">
        <v>41640</v>
      </c>
      <c r="F4882" s="27">
        <v>15</v>
      </c>
      <c r="G4882" s="18">
        <v>529149.81999999995</v>
      </c>
      <c r="H4882" s="27">
        <f t="shared" si="152"/>
        <v>0</v>
      </c>
      <c r="I4882" s="18">
        <v>237606.7</v>
      </c>
      <c r="J4882" s="27">
        <v>529149.81999999995</v>
      </c>
      <c r="K4882" s="18">
        <f t="shared" si="153"/>
        <v>0</v>
      </c>
      <c r="L4882" s="27">
        <v>263896.18</v>
      </c>
      <c r="M4882" s="36">
        <v>26289.48</v>
      </c>
      <c r="T4882" s="41">
        <v>0</v>
      </c>
      <c r="U4882" s="41">
        <v>0</v>
      </c>
      <c r="V4882" s="42" t="s">
        <v>113</v>
      </c>
      <c r="W4882" s="42">
        <v>0</v>
      </c>
      <c r="X4882" s="42">
        <v>0</v>
      </c>
    </row>
    <row r="4883" spans="1:24">
      <c r="A4883" s="27" t="s">
        <v>9029</v>
      </c>
      <c r="B4883" s="28" t="s">
        <v>5102</v>
      </c>
      <c r="C4883" s="27" t="s">
        <v>9030</v>
      </c>
      <c r="D4883" s="27" t="s">
        <v>5104</v>
      </c>
      <c r="E4883" s="29">
        <v>41640</v>
      </c>
      <c r="F4883" s="27">
        <v>15</v>
      </c>
      <c r="G4883" s="18">
        <v>103902.75</v>
      </c>
      <c r="H4883" s="27">
        <f t="shared" si="152"/>
        <v>0</v>
      </c>
      <c r="I4883" s="18">
        <v>38216.21</v>
      </c>
      <c r="J4883" s="27">
        <v>103902.75</v>
      </c>
      <c r="K4883" s="18">
        <f t="shared" si="153"/>
        <v>0</v>
      </c>
      <c r="L4883" s="27">
        <v>44215.360000000001</v>
      </c>
      <c r="M4883" s="36">
        <v>5999.15</v>
      </c>
      <c r="T4883" s="41">
        <v>0</v>
      </c>
      <c r="U4883" s="41">
        <v>0</v>
      </c>
      <c r="V4883" s="42" t="s">
        <v>113</v>
      </c>
      <c r="W4883" s="42">
        <v>0</v>
      </c>
      <c r="X4883" s="42">
        <v>0</v>
      </c>
    </row>
    <row r="4884" spans="1:24">
      <c r="A4884" s="27" t="s">
        <v>9031</v>
      </c>
      <c r="B4884" s="28" t="s">
        <v>5102</v>
      </c>
      <c r="C4884" s="27" t="s">
        <v>9032</v>
      </c>
      <c r="D4884" s="27" t="s">
        <v>5104</v>
      </c>
      <c r="E4884" s="29">
        <v>41640</v>
      </c>
      <c r="F4884" s="27">
        <v>15</v>
      </c>
      <c r="G4884" s="18">
        <v>117053.63</v>
      </c>
      <c r="H4884" s="27">
        <f t="shared" si="152"/>
        <v>0</v>
      </c>
      <c r="I4884" s="18">
        <v>43053.21</v>
      </c>
      <c r="J4884" s="27">
        <v>117053.63</v>
      </c>
      <c r="K4884" s="18">
        <f t="shared" si="153"/>
        <v>0</v>
      </c>
      <c r="L4884" s="27">
        <v>49811.66</v>
      </c>
      <c r="M4884" s="36">
        <v>6758.45</v>
      </c>
      <c r="T4884" s="41">
        <v>0</v>
      </c>
      <c r="U4884" s="41">
        <v>0</v>
      </c>
      <c r="V4884" s="42" t="s">
        <v>113</v>
      </c>
      <c r="W4884" s="42">
        <v>0</v>
      </c>
      <c r="X4884" s="42">
        <v>0</v>
      </c>
    </row>
    <row r="4885" spans="1:24">
      <c r="A4885" s="27" t="s">
        <v>9033</v>
      </c>
      <c r="B4885" s="28" t="s">
        <v>5102</v>
      </c>
      <c r="C4885" s="27" t="s">
        <v>9034</v>
      </c>
      <c r="D4885" s="27" t="s">
        <v>5104</v>
      </c>
      <c r="E4885" s="29">
        <v>41785</v>
      </c>
      <c r="F4885" s="27">
        <v>15</v>
      </c>
      <c r="G4885" s="18">
        <v>23766.26</v>
      </c>
      <c r="H4885" s="27">
        <f t="shared" si="152"/>
        <v>0</v>
      </c>
      <c r="I4885" s="18">
        <v>8129.12</v>
      </c>
      <c r="J4885" s="27">
        <v>23766.26</v>
      </c>
      <c r="K4885" s="18">
        <f t="shared" si="153"/>
        <v>0</v>
      </c>
      <c r="L4885" s="27">
        <v>9516.2099999999991</v>
      </c>
      <c r="M4885" s="36">
        <v>1387.09</v>
      </c>
      <c r="T4885" s="41">
        <v>0</v>
      </c>
      <c r="U4885" s="41">
        <v>0</v>
      </c>
      <c r="V4885" s="42" t="s">
        <v>113</v>
      </c>
      <c r="W4885" s="42">
        <v>0</v>
      </c>
      <c r="X4885" s="42">
        <v>0</v>
      </c>
    </row>
    <row r="4886" spans="1:24">
      <c r="A4886" s="27" t="s">
        <v>9035</v>
      </c>
      <c r="B4886" s="28" t="s">
        <v>5102</v>
      </c>
      <c r="C4886" s="27" t="s">
        <v>9036</v>
      </c>
      <c r="D4886" s="27" t="s">
        <v>5104</v>
      </c>
      <c r="E4886" s="29">
        <v>41785</v>
      </c>
      <c r="F4886" s="27">
        <v>15</v>
      </c>
      <c r="G4886" s="18">
        <v>35649.39</v>
      </c>
      <c r="H4886" s="27">
        <f t="shared" si="152"/>
        <v>0</v>
      </c>
      <c r="I4886" s="18">
        <v>12193.66</v>
      </c>
      <c r="J4886" s="27">
        <v>35649.39</v>
      </c>
      <c r="K4886" s="18">
        <f t="shared" si="153"/>
        <v>0</v>
      </c>
      <c r="L4886" s="27">
        <v>14274.29</v>
      </c>
      <c r="M4886" s="36">
        <v>2080.63</v>
      </c>
      <c r="T4886" s="41">
        <v>0</v>
      </c>
      <c r="U4886" s="41">
        <v>0</v>
      </c>
      <c r="V4886" s="42" t="s">
        <v>113</v>
      </c>
      <c r="W4886" s="42">
        <v>0</v>
      </c>
      <c r="X4886" s="42">
        <v>0</v>
      </c>
    </row>
    <row r="4887" spans="1:24">
      <c r="A4887" s="27" t="s">
        <v>9037</v>
      </c>
      <c r="B4887" s="28" t="s">
        <v>5102</v>
      </c>
      <c r="C4887" s="27" t="s">
        <v>9038</v>
      </c>
      <c r="D4887" s="27" t="s">
        <v>230</v>
      </c>
      <c r="E4887" s="29">
        <v>41271</v>
      </c>
      <c r="F4887" s="27">
        <v>12</v>
      </c>
      <c r="G4887" s="18">
        <v>4800</v>
      </c>
      <c r="H4887" s="27">
        <f t="shared" si="152"/>
        <v>4800</v>
      </c>
      <c r="I4887" s="18">
        <v>4800</v>
      </c>
      <c r="J4887" s="27">
        <v>4800</v>
      </c>
      <c r="K4887" s="18">
        <f t="shared" si="153"/>
        <v>4800</v>
      </c>
      <c r="L4887" s="27">
        <v>4800</v>
      </c>
      <c r="M4887" s="36">
        <v>0</v>
      </c>
      <c r="T4887" s="41">
        <v>0</v>
      </c>
      <c r="U4887" s="41">
        <v>0</v>
      </c>
      <c r="V4887" s="42" t="s">
        <v>113</v>
      </c>
      <c r="W4887" s="42">
        <v>4800</v>
      </c>
      <c r="X4887" s="42">
        <v>4800</v>
      </c>
    </row>
    <row r="4888" spans="1:24">
      <c r="A4888" s="27" t="s">
        <v>9039</v>
      </c>
      <c r="B4888" s="28" t="s">
        <v>5102</v>
      </c>
      <c r="C4888" s="27" t="s">
        <v>9040</v>
      </c>
      <c r="D4888" s="27" t="s">
        <v>230</v>
      </c>
      <c r="E4888" s="29">
        <v>41271</v>
      </c>
      <c r="F4888" s="27">
        <v>15</v>
      </c>
      <c r="G4888" s="18">
        <v>7200</v>
      </c>
      <c r="H4888" s="27">
        <f t="shared" si="152"/>
        <v>0</v>
      </c>
      <c r="I4888" s="18">
        <v>3797.2</v>
      </c>
      <c r="J4888" s="27">
        <v>7200</v>
      </c>
      <c r="K4888" s="18">
        <f t="shared" si="153"/>
        <v>0</v>
      </c>
      <c r="L4888" s="27">
        <v>4135.29</v>
      </c>
      <c r="M4888" s="36">
        <v>338.09</v>
      </c>
      <c r="T4888" s="41">
        <v>0</v>
      </c>
      <c r="U4888" s="41">
        <v>0</v>
      </c>
      <c r="V4888" s="42" t="s">
        <v>113</v>
      </c>
      <c r="W4888" s="42">
        <v>0</v>
      </c>
      <c r="X4888" s="42">
        <v>0</v>
      </c>
    </row>
    <row r="4889" spans="1:24">
      <c r="A4889" s="27" t="s">
        <v>9041</v>
      </c>
      <c r="B4889" s="28" t="s">
        <v>5102</v>
      </c>
      <c r="C4889" s="27" t="s">
        <v>9042</v>
      </c>
      <c r="D4889" s="27" t="s">
        <v>230</v>
      </c>
      <c r="E4889" s="29">
        <v>41271</v>
      </c>
      <c r="F4889" s="27">
        <v>15</v>
      </c>
      <c r="G4889" s="18">
        <v>400000</v>
      </c>
      <c r="H4889" s="27">
        <f t="shared" si="152"/>
        <v>0</v>
      </c>
      <c r="I4889" s="18">
        <v>210955.22</v>
      </c>
      <c r="J4889" s="27">
        <v>400000</v>
      </c>
      <c r="K4889" s="18">
        <f t="shared" si="153"/>
        <v>0</v>
      </c>
      <c r="L4889" s="27">
        <v>229737.97</v>
      </c>
      <c r="M4889" s="36">
        <v>18782.75</v>
      </c>
      <c r="T4889" s="41">
        <v>0</v>
      </c>
      <c r="U4889" s="41">
        <v>0</v>
      </c>
      <c r="V4889" s="42" t="s">
        <v>113</v>
      </c>
      <c r="W4889" s="42">
        <v>0</v>
      </c>
      <c r="X4889" s="42">
        <v>0</v>
      </c>
    </row>
    <row r="4890" spans="1:24">
      <c r="A4890" s="27" t="s">
        <v>9043</v>
      </c>
      <c r="B4890" s="28" t="s">
        <v>5102</v>
      </c>
      <c r="C4890" s="27" t="s">
        <v>9044</v>
      </c>
      <c r="D4890" s="27" t="s">
        <v>230</v>
      </c>
      <c r="E4890" s="29">
        <v>39854</v>
      </c>
      <c r="F4890" s="27">
        <v>15</v>
      </c>
      <c r="G4890" s="18">
        <v>1472245.39</v>
      </c>
      <c r="H4890" s="27">
        <f t="shared" si="152"/>
        <v>0</v>
      </c>
      <c r="I4890" s="18">
        <v>1191707.3700000001</v>
      </c>
      <c r="J4890" s="27">
        <v>1472245.39</v>
      </c>
      <c r="K4890" s="18">
        <f t="shared" si="153"/>
        <v>0</v>
      </c>
      <c r="L4890" s="27">
        <v>1231757.52</v>
      </c>
      <c r="M4890" s="36">
        <v>40050.15</v>
      </c>
      <c r="T4890" s="41">
        <v>0</v>
      </c>
      <c r="U4890" s="41">
        <v>0</v>
      </c>
      <c r="V4890" s="42" t="s">
        <v>113</v>
      </c>
      <c r="W4890" s="42">
        <v>0</v>
      </c>
      <c r="X4890" s="42">
        <v>0</v>
      </c>
    </row>
    <row r="4891" spans="1:24">
      <c r="A4891" s="27" t="s">
        <v>9045</v>
      </c>
      <c r="B4891" s="28" t="s">
        <v>5102</v>
      </c>
      <c r="C4891" s="27" t="s">
        <v>9046</v>
      </c>
      <c r="D4891" s="27" t="s">
        <v>230</v>
      </c>
      <c r="E4891" s="29">
        <v>40843</v>
      </c>
      <c r="F4891" s="27">
        <v>15</v>
      </c>
      <c r="G4891" s="18">
        <v>2819168.84</v>
      </c>
      <c r="H4891" s="27">
        <f t="shared" si="152"/>
        <v>2819168.84</v>
      </c>
      <c r="I4891" s="18">
        <v>2819168.84</v>
      </c>
      <c r="J4891" s="27">
        <v>2819168.84</v>
      </c>
      <c r="K4891" s="18">
        <f t="shared" si="153"/>
        <v>2819168.84</v>
      </c>
      <c r="L4891" s="27">
        <v>2678210.4</v>
      </c>
      <c r="M4891" s="36">
        <v>-140958.44</v>
      </c>
      <c r="T4891" s="41">
        <v>0</v>
      </c>
      <c r="U4891" s="41">
        <v>0</v>
      </c>
      <c r="V4891" s="42" t="s">
        <v>113</v>
      </c>
      <c r="W4891" s="42">
        <v>2819168.84</v>
      </c>
      <c r="X4891" s="42">
        <v>2819168.84</v>
      </c>
    </row>
    <row r="4892" spans="1:24">
      <c r="A4892" s="27" t="s">
        <v>9047</v>
      </c>
      <c r="B4892" s="28" t="s">
        <v>5102</v>
      </c>
      <c r="C4892" s="27" t="s">
        <v>9048</v>
      </c>
      <c r="D4892" s="27" t="s">
        <v>230</v>
      </c>
      <c r="E4892" s="29">
        <v>40843</v>
      </c>
      <c r="F4892" s="27">
        <v>15</v>
      </c>
      <c r="G4892" s="18">
        <v>3916056.17</v>
      </c>
      <c r="H4892" s="27">
        <f t="shared" si="152"/>
        <v>3916056.17</v>
      </c>
      <c r="I4892" s="18">
        <v>3916056.17</v>
      </c>
      <c r="J4892" s="27">
        <v>3916056.17</v>
      </c>
      <c r="K4892" s="18">
        <f t="shared" si="153"/>
        <v>3916056.17</v>
      </c>
      <c r="L4892" s="27">
        <v>3720253.36</v>
      </c>
      <c r="M4892" s="36">
        <v>-195802.81</v>
      </c>
      <c r="T4892" s="41">
        <v>0</v>
      </c>
      <c r="U4892" s="41">
        <v>0</v>
      </c>
      <c r="V4892" s="42" t="s">
        <v>113</v>
      </c>
      <c r="W4892" s="42">
        <v>3916056.17</v>
      </c>
      <c r="X4892" s="42">
        <v>3916056.17</v>
      </c>
    </row>
    <row r="4893" spans="1:24">
      <c r="A4893" s="27" t="s">
        <v>9049</v>
      </c>
      <c r="B4893" s="28" t="s">
        <v>5102</v>
      </c>
      <c r="C4893" s="27" t="s">
        <v>9050</v>
      </c>
      <c r="D4893" s="27" t="s">
        <v>230</v>
      </c>
      <c r="E4893" s="29">
        <v>37834</v>
      </c>
      <c r="F4893" s="27">
        <v>15</v>
      </c>
      <c r="G4893" s="18">
        <v>323310.94</v>
      </c>
      <c r="H4893" s="27">
        <f t="shared" si="152"/>
        <v>323310.94</v>
      </c>
      <c r="I4893" s="18">
        <v>307145.39</v>
      </c>
      <c r="J4893" s="27">
        <v>323310.94</v>
      </c>
      <c r="K4893" s="18">
        <f t="shared" si="153"/>
        <v>323310.94</v>
      </c>
      <c r="L4893" s="27">
        <v>307145.39</v>
      </c>
      <c r="M4893" s="36">
        <v>0</v>
      </c>
      <c r="T4893" s="41">
        <v>0</v>
      </c>
      <c r="U4893" s="41">
        <v>0</v>
      </c>
      <c r="V4893" s="42" t="s">
        <v>113</v>
      </c>
      <c r="W4893" s="42">
        <v>323310.94</v>
      </c>
      <c r="X4893" s="42">
        <v>323310.94</v>
      </c>
    </row>
    <row r="4894" spans="1:24">
      <c r="A4894" s="27" t="s">
        <v>9051</v>
      </c>
      <c r="B4894" s="28" t="s">
        <v>5102</v>
      </c>
      <c r="C4894" s="27" t="s">
        <v>9052</v>
      </c>
      <c r="D4894" s="27" t="s">
        <v>230</v>
      </c>
      <c r="E4894" s="29">
        <v>39854</v>
      </c>
      <c r="F4894" s="27">
        <v>15</v>
      </c>
      <c r="G4894" s="18">
        <v>5479.51</v>
      </c>
      <c r="H4894" s="27">
        <f t="shared" si="152"/>
        <v>0</v>
      </c>
      <c r="I4894" s="18">
        <v>4162.6400000000003</v>
      </c>
      <c r="J4894" s="27">
        <v>5479.51</v>
      </c>
      <c r="K4894" s="18">
        <f t="shared" si="153"/>
        <v>0</v>
      </c>
      <c r="L4894" s="27">
        <v>4364.49</v>
      </c>
      <c r="M4894" s="36">
        <v>201.85</v>
      </c>
      <c r="T4894" s="41">
        <v>0</v>
      </c>
      <c r="U4894" s="41">
        <v>0</v>
      </c>
      <c r="V4894" s="42" t="s">
        <v>113</v>
      </c>
      <c r="W4894" s="42">
        <v>0</v>
      </c>
      <c r="X4894" s="42">
        <v>0</v>
      </c>
    </row>
    <row r="4895" spans="1:24">
      <c r="A4895" s="43" t="s">
        <v>9053</v>
      </c>
      <c r="B4895" s="44" t="s">
        <v>5102</v>
      </c>
      <c r="C4895" s="43" t="s">
        <v>9054</v>
      </c>
      <c r="D4895" s="43" t="s">
        <v>230</v>
      </c>
      <c r="E4895" s="45">
        <v>39539</v>
      </c>
      <c r="F4895" s="43">
        <v>15</v>
      </c>
      <c r="G4895" s="18">
        <v>1985303.91</v>
      </c>
      <c r="H4895" s="27">
        <f t="shared" si="152"/>
        <v>0</v>
      </c>
      <c r="I4895" s="18">
        <v>1468375.52</v>
      </c>
      <c r="J4895" s="43">
        <v>1592217.09</v>
      </c>
      <c r="K4895" s="18">
        <f t="shared" si="153"/>
        <v>1592217.09</v>
      </c>
      <c r="L4895" s="43">
        <v>1564759.33</v>
      </c>
      <c r="M4895" s="46">
        <v>96383.81</v>
      </c>
      <c r="N4895" s="18" t="s">
        <v>123</v>
      </c>
      <c r="O4895" s="19">
        <v>-393086.82</v>
      </c>
      <c r="T4895" s="41">
        <v>0</v>
      </c>
      <c r="U4895" s="41">
        <v>0</v>
      </c>
      <c r="V4895" s="42" t="s">
        <v>113</v>
      </c>
      <c r="W4895" s="42">
        <v>1592217.09</v>
      </c>
      <c r="X4895" s="42">
        <v>1592217.09</v>
      </c>
    </row>
    <row r="4896" spans="1:24">
      <c r="A4896" s="27" t="s">
        <v>9055</v>
      </c>
      <c r="B4896" s="28" t="s">
        <v>5102</v>
      </c>
      <c r="C4896" s="27" t="s">
        <v>9056</v>
      </c>
      <c r="D4896" s="27" t="s">
        <v>230</v>
      </c>
      <c r="E4896" s="29">
        <v>40843</v>
      </c>
      <c r="F4896" s="27">
        <v>15</v>
      </c>
      <c r="G4896" s="18">
        <v>22327.040000000001</v>
      </c>
      <c r="H4896" s="27">
        <f t="shared" si="152"/>
        <v>0</v>
      </c>
      <c r="I4896" s="18">
        <v>12928.04</v>
      </c>
      <c r="J4896" s="27">
        <v>22327.040000000001</v>
      </c>
      <c r="K4896" s="18">
        <f t="shared" si="153"/>
        <v>0</v>
      </c>
      <c r="L4896" s="27">
        <v>13985.4</v>
      </c>
      <c r="M4896" s="36">
        <v>1057.3599999999999</v>
      </c>
      <c r="T4896" s="41">
        <v>0</v>
      </c>
      <c r="U4896" s="41">
        <v>0</v>
      </c>
      <c r="V4896" s="42" t="s">
        <v>113</v>
      </c>
      <c r="W4896" s="42">
        <v>0</v>
      </c>
      <c r="X4896" s="42">
        <v>0</v>
      </c>
    </row>
    <row r="4897" spans="1:24">
      <c r="A4897" s="27" t="s">
        <v>9057</v>
      </c>
      <c r="B4897" s="28" t="s">
        <v>5102</v>
      </c>
      <c r="C4897" s="27" t="s">
        <v>9058</v>
      </c>
      <c r="D4897" s="27" t="s">
        <v>230</v>
      </c>
      <c r="E4897" s="29">
        <v>40843</v>
      </c>
      <c r="F4897" s="27">
        <v>15</v>
      </c>
      <c r="G4897" s="18">
        <v>66981.11</v>
      </c>
      <c r="H4897" s="27">
        <f t="shared" si="152"/>
        <v>0</v>
      </c>
      <c r="I4897" s="18">
        <v>38784.089999999997</v>
      </c>
      <c r="J4897" s="27">
        <v>66981.11</v>
      </c>
      <c r="K4897" s="18">
        <f t="shared" si="153"/>
        <v>0</v>
      </c>
      <c r="L4897" s="27">
        <v>41956.17</v>
      </c>
      <c r="M4897" s="36">
        <v>3172.08</v>
      </c>
      <c r="T4897" s="41">
        <v>0</v>
      </c>
      <c r="U4897" s="41">
        <v>0</v>
      </c>
      <c r="V4897" s="42" t="s">
        <v>113</v>
      </c>
      <c r="W4897" s="42">
        <v>0</v>
      </c>
      <c r="X4897" s="42">
        <v>0</v>
      </c>
    </row>
    <row r="4898" spans="1:24">
      <c r="A4898" s="27" t="s">
        <v>9059</v>
      </c>
      <c r="B4898" s="28" t="s">
        <v>5102</v>
      </c>
      <c r="C4898" s="27" t="s">
        <v>9060</v>
      </c>
      <c r="D4898" s="27" t="s">
        <v>230</v>
      </c>
      <c r="E4898" s="29">
        <v>40843</v>
      </c>
      <c r="F4898" s="27">
        <v>15</v>
      </c>
      <c r="G4898" s="18">
        <v>133962.22</v>
      </c>
      <c r="H4898" s="27">
        <f t="shared" si="152"/>
        <v>0</v>
      </c>
      <c r="I4898" s="18">
        <v>77568.17</v>
      </c>
      <c r="J4898" s="27">
        <v>133962.22</v>
      </c>
      <c r="K4898" s="18">
        <f t="shared" si="153"/>
        <v>0</v>
      </c>
      <c r="L4898" s="27">
        <v>83912.33</v>
      </c>
      <c r="M4898" s="36">
        <v>6344.16</v>
      </c>
      <c r="T4898" s="41">
        <v>0</v>
      </c>
      <c r="U4898" s="41">
        <v>0</v>
      </c>
      <c r="V4898" s="42" t="s">
        <v>113</v>
      </c>
      <c r="W4898" s="42">
        <v>0</v>
      </c>
      <c r="X4898" s="42">
        <v>0</v>
      </c>
    </row>
    <row r="4899" spans="1:24">
      <c r="A4899" s="27" t="s">
        <v>9061</v>
      </c>
      <c r="B4899" s="28" t="s">
        <v>5102</v>
      </c>
      <c r="C4899" s="27" t="s">
        <v>9062</v>
      </c>
      <c r="D4899" s="27" t="s">
        <v>230</v>
      </c>
      <c r="E4899" s="29">
        <v>40843</v>
      </c>
      <c r="F4899" s="27">
        <v>15</v>
      </c>
      <c r="G4899" s="18">
        <v>8707.58</v>
      </c>
      <c r="H4899" s="27">
        <f t="shared" si="152"/>
        <v>0</v>
      </c>
      <c r="I4899" s="18">
        <v>5041.95</v>
      </c>
      <c r="J4899" s="27">
        <v>8707.58</v>
      </c>
      <c r="K4899" s="18">
        <f t="shared" si="153"/>
        <v>0</v>
      </c>
      <c r="L4899" s="27">
        <v>5454.32</v>
      </c>
      <c r="M4899" s="36">
        <v>412.37</v>
      </c>
      <c r="T4899" s="41">
        <v>0</v>
      </c>
      <c r="U4899" s="41">
        <v>0</v>
      </c>
      <c r="V4899" s="42" t="s">
        <v>113</v>
      </c>
      <c r="W4899" s="42">
        <v>0</v>
      </c>
      <c r="X4899" s="42">
        <v>0</v>
      </c>
    </row>
    <row r="4900" spans="1:24">
      <c r="A4900" s="27" t="s">
        <v>9063</v>
      </c>
      <c r="B4900" s="28" t="s">
        <v>5102</v>
      </c>
      <c r="C4900" s="27" t="s">
        <v>9064</v>
      </c>
      <c r="D4900" s="27" t="s">
        <v>230</v>
      </c>
      <c r="E4900" s="29">
        <v>40843</v>
      </c>
      <c r="F4900" s="27">
        <v>15</v>
      </c>
      <c r="G4900" s="18">
        <v>8707.58</v>
      </c>
      <c r="H4900" s="27">
        <f t="shared" si="152"/>
        <v>0</v>
      </c>
      <c r="I4900" s="18">
        <v>5041.97</v>
      </c>
      <c r="J4900" s="27">
        <v>8707.58</v>
      </c>
      <c r="K4900" s="18">
        <f t="shared" si="153"/>
        <v>0</v>
      </c>
      <c r="L4900" s="27">
        <v>5454.34</v>
      </c>
      <c r="M4900" s="36">
        <v>412.37</v>
      </c>
      <c r="T4900" s="41">
        <v>0</v>
      </c>
      <c r="U4900" s="41">
        <v>0</v>
      </c>
      <c r="V4900" s="42" t="s">
        <v>113</v>
      </c>
      <c r="W4900" s="42">
        <v>0</v>
      </c>
      <c r="X4900" s="42">
        <v>0</v>
      </c>
    </row>
    <row r="4901" spans="1:24">
      <c r="A4901" s="27" t="s">
        <v>9065</v>
      </c>
      <c r="B4901" s="28" t="s">
        <v>5102</v>
      </c>
      <c r="C4901" s="27" t="s">
        <v>9066</v>
      </c>
      <c r="D4901" s="27" t="s">
        <v>230</v>
      </c>
      <c r="E4901" s="29">
        <v>40843</v>
      </c>
      <c r="F4901" s="27">
        <v>15</v>
      </c>
      <c r="G4901" s="18">
        <v>8707.58</v>
      </c>
      <c r="H4901" s="27">
        <f t="shared" si="152"/>
        <v>0</v>
      </c>
      <c r="I4901" s="18">
        <v>5041.95</v>
      </c>
      <c r="J4901" s="27">
        <v>8707.58</v>
      </c>
      <c r="K4901" s="18">
        <f t="shared" si="153"/>
        <v>0</v>
      </c>
      <c r="L4901" s="27">
        <v>5454.32</v>
      </c>
      <c r="M4901" s="36">
        <v>412.37</v>
      </c>
      <c r="T4901" s="41">
        <v>0</v>
      </c>
      <c r="U4901" s="41">
        <v>0</v>
      </c>
      <c r="V4901" s="42" t="s">
        <v>113</v>
      </c>
      <c r="W4901" s="42">
        <v>0</v>
      </c>
      <c r="X4901" s="42">
        <v>0</v>
      </c>
    </row>
    <row r="4902" spans="1:24">
      <c r="A4902" s="27" t="s">
        <v>9067</v>
      </c>
      <c r="B4902" s="28" t="s">
        <v>5102</v>
      </c>
      <c r="C4902" s="27" t="s">
        <v>9068</v>
      </c>
      <c r="D4902" s="27" t="s">
        <v>230</v>
      </c>
      <c r="E4902" s="29">
        <v>40843</v>
      </c>
      <c r="F4902" s="27">
        <v>15</v>
      </c>
      <c r="G4902" s="18">
        <v>8646.7099999999991</v>
      </c>
      <c r="H4902" s="27">
        <f t="shared" si="152"/>
        <v>0</v>
      </c>
      <c r="I4902" s="18">
        <v>5006.7</v>
      </c>
      <c r="J4902" s="27">
        <v>8646.7099999999991</v>
      </c>
      <c r="K4902" s="18">
        <f t="shared" si="153"/>
        <v>0</v>
      </c>
      <c r="L4902" s="27">
        <v>5416.19</v>
      </c>
      <c r="M4902" s="36">
        <v>409.49</v>
      </c>
      <c r="T4902" s="41">
        <v>0</v>
      </c>
      <c r="U4902" s="41">
        <v>0</v>
      </c>
      <c r="V4902" s="42" t="s">
        <v>113</v>
      </c>
      <c r="W4902" s="42">
        <v>0</v>
      </c>
      <c r="X4902" s="42">
        <v>0</v>
      </c>
    </row>
    <row r="4903" spans="1:24">
      <c r="A4903" s="27" t="s">
        <v>9069</v>
      </c>
      <c r="B4903" s="28" t="s">
        <v>5102</v>
      </c>
      <c r="C4903" s="27" t="s">
        <v>9070</v>
      </c>
      <c r="D4903" s="27" t="s">
        <v>230</v>
      </c>
      <c r="E4903" s="29">
        <v>40843</v>
      </c>
      <c r="F4903" s="27">
        <v>15</v>
      </c>
      <c r="G4903" s="18">
        <v>8707.58</v>
      </c>
      <c r="H4903" s="27">
        <f t="shared" si="152"/>
        <v>0</v>
      </c>
      <c r="I4903" s="18">
        <v>5041.96</v>
      </c>
      <c r="J4903" s="27">
        <v>8707.58</v>
      </c>
      <c r="K4903" s="18">
        <f t="shared" si="153"/>
        <v>0</v>
      </c>
      <c r="L4903" s="27">
        <v>5454.33</v>
      </c>
      <c r="M4903" s="36">
        <v>412.37</v>
      </c>
      <c r="T4903" s="41">
        <v>0</v>
      </c>
      <c r="U4903" s="41">
        <v>0</v>
      </c>
      <c r="V4903" s="42" t="s">
        <v>113</v>
      </c>
      <c r="W4903" s="42">
        <v>0</v>
      </c>
      <c r="X4903" s="42">
        <v>0</v>
      </c>
    </row>
    <row r="4904" spans="1:24">
      <c r="A4904" s="27" t="s">
        <v>9071</v>
      </c>
      <c r="B4904" s="28" t="s">
        <v>5102</v>
      </c>
      <c r="C4904" s="27" t="s">
        <v>9072</v>
      </c>
      <c r="D4904" s="27" t="s">
        <v>230</v>
      </c>
      <c r="E4904" s="29">
        <v>40843</v>
      </c>
      <c r="F4904" s="27">
        <v>15</v>
      </c>
      <c r="G4904" s="18">
        <v>8707.58</v>
      </c>
      <c r="H4904" s="27">
        <f t="shared" si="152"/>
        <v>0</v>
      </c>
      <c r="I4904" s="18">
        <v>5041.95</v>
      </c>
      <c r="J4904" s="27">
        <v>8707.58</v>
      </c>
      <c r="K4904" s="18">
        <f t="shared" si="153"/>
        <v>0</v>
      </c>
      <c r="L4904" s="27">
        <v>5454.32</v>
      </c>
      <c r="M4904" s="36">
        <v>412.37</v>
      </c>
      <c r="T4904" s="41">
        <v>0</v>
      </c>
      <c r="U4904" s="41">
        <v>0</v>
      </c>
      <c r="V4904" s="42" t="s">
        <v>113</v>
      </c>
      <c r="W4904" s="42">
        <v>0</v>
      </c>
      <c r="X4904" s="42">
        <v>0</v>
      </c>
    </row>
    <row r="4905" spans="1:24">
      <c r="A4905" s="27" t="s">
        <v>9073</v>
      </c>
      <c r="B4905" s="28" t="s">
        <v>5102</v>
      </c>
      <c r="C4905" s="27" t="s">
        <v>9074</v>
      </c>
      <c r="D4905" s="27" t="s">
        <v>230</v>
      </c>
      <c r="E4905" s="29">
        <v>40843</v>
      </c>
      <c r="F4905" s="27">
        <v>15</v>
      </c>
      <c r="G4905" s="18">
        <v>8707.58</v>
      </c>
      <c r="H4905" s="27">
        <f t="shared" si="152"/>
        <v>0</v>
      </c>
      <c r="I4905" s="18">
        <v>5041.95</v>
      </c>
      <c r="J4905" s="27">
        <v>8707.58</v>
      </c>
      <c r="K4905" s="18">
        <f t="shared" si="153"/>
        <v>0</v>
      </c>
      <c r="L4905" s="27">
        <v>5454.32</v>
      </c>
      <c r="M4905" s="36">
        <v>412.37</v>
      </c>
      <c r="T4905" s="41">
        <v>0</v>
      </c>
      <c r="U4905" s="41">
        <v>0</v>
      </c>
      <c r="V4905" s="42" t="s">
        <v>113</v>
      </c>
      <c r="W4905" s="42">
        <v>0</v>
      </c>
      <c r="X4905" s="42">
        <v>0</v>
      </c>
    </row>
    <row r="4906" spans="1:24">
      <c r="A4906" s="27" t="s">
        <v>9075</v>
      </c>
      <c r="B4906" s="28" t="s">
        <v>5102</v>
      </c>
      <c r="C4906" s="27" t="s">
        <v>9076</v>
      </c>
      <c r="D4906" s="27" t="s">
        <v>230</v>
      </c>
      <c r="E4906" s="29">
        <v>37530</v>
      </c>
      <c r="F4906" s="27">
        <v>15</v>
      </c>
      <c r="G4906" s="18">
        <v>1315717.93</v>
      </c>
      <c r="H4906" s="27">
        <f t="shared" si="152"/>
        <v>1315717.93</v>
      </c>
      <c r="I4906" s="18">
        <v>1249932.03</v>
      </c>
      <c r="J4906" s="27">
        <v>1315717.93</v>
      </c>
      <c r="K4906" s="18">
        <f t="shared" si="153"/>
        <v>1315717.93</v>
      </c>
      <c r="L4906" s="27">
        <v>1249932.03</v>
      </c>
      <c r="M4906" s="36">
        <v>0</v>
      </c>
      <c r="T4906" s="41">
        <v>0</v>
      </c>
      <c r="U4906" s="41">
        <v>0</v>
      </c>
      <c r="V4906" s="42" t="s">
        <v>113</v>
      </c>
      <c r="W4906" s="42">
        <v>1315717.93</v>
      </c>
      <c r="X4906" s="42">
        <v>1315717.93</v>
      </c>
    </row>
    <row r="4907" spans="1:24">
      <c r="A4907" s="27" t="s">
        <v>9077</v>
      </c>
      <c r="B4907" s="28" t="s">
        <v>5102</v>
      </c>
      <c r="C4907" s="27" t="s">
        <v>9078</v>
      </c>
      <c r="D4907" s="27" t="s">
        <v>230</v>
      </c>
      <c r="E4907" s="29">
        <v>37530</v>
      </c>
      <c r="F4907" s="27">
        <v>15</v>
      </c>
      <c r="G4907" s="18">
        <v>215691.46</v>
      </c>
      <c r="H4907" s="27">
        <f t="shared" si="152"/>
        <v>215691.46</v>
      </c>
      <c r="I4907" s="18">
        <v>204906.89</v>
      </c>
      <c r="J4907" s="27">
        <v>215691.46</v>
      </c>
      <c r="K4907" s="18">
        <f t="shared" si="153"/>
        <v>215691.46</v>
      </c>
      <c r="L4907" s="27">
        <v>204906.89</v>
      </c>
      <c r="M4907" s="36">
        <v>0</v>
      </c>
      <c r="T4907" s="41">
        <v>0</v>
      </c>
      <c r="U4907" s="41">
        <v>0</v>
      </c>
      <c r="V4907" s="42" t="s">
        <v>113</v>
      </c>
      <c r="W4907" s="42">
        <v>215691.46</v>
      </c>
      <c r="X4907" s="42">
        <v>215691.46</v>
      </c>
    </row>
    <row r="4908" spans="1:24">
      <c r="A4908" s="27" t="s">
        <v>9079</v>
      </c>
      <c r="B4908" s="28" t="s">
        <v>5102</v>
      </c>
      <c r="C4908" s="27" t="s">
        <v>9080</v>
      </c>
      <c r="D4908" s="27" t="s">
        <v>230</v>
      </c>
      <c r="E4908" s="29">
        <v>37530</v>
      </c>
      <c r="F4908" s="27">
        <v>15</v>
      </c>
      <c r="G4908" s="18">
        <v>297654.21999999997</v>
      </c>
      <c r="H4908" s="27">
        <f t="shared" si="152"/>
        <v>297654.21999999997</v>
      </c>
      <c r="I4908" s="18">
        <v>282771.51</v>
      </c>
      <c r="J4908" s="27">
        <v>297654.21999999997</v>
      </c>
      <c r="K4908" s="18">
        <f t="shared" si="153"/>
        <v>297654.21999999997</v>
      </c>
      <c r="L4908" s="27">
        <v>282771.51</v>
      </c>
      <c r="M4908" s="36">
        <v>0</v>
      </c>
      <c r="T4908" s="41">
        <v>0</v>
      </c>
      <c r="U4908" s="41">
        <v>0</v>
      </c>
      <c r="V4908" s="42" t="s">
        <v>113</v>
      </c>
      <c r="W4908" s="42">
        <v>297654.21999999997</v>
      </c>
      <c r="X4908" s="42">
        <v>297654.21999999997</v>
      </c>
    </row>
    <row r="4909" spans="1:24">
      <c r="A4909" s="27" t="s">
        <v>9081</v>
      </c>
      <c r="B4909" s="28" t="s">
        <v>5102</v>
      </c>
      <c r="C4909" s="27" t="s">
        <v>9082</v>
      </c>
      <c r="D4909" s="27" t="s">
        <v>230</v>
      </c>
      <c r="E4909" s="29">
        <v>37530</v>
      </c>
      <c r="F4909" s="27">
        <v>15</v>
      </c>
      <c r="G4909" s="18">
        <v>248045.18</v>
      </c>
      <c r="H4909" s="27">
        <f t="shared" si="152"/>
        <v>248045.18</v>
      </c>
      <c r="I4909" s="18">
        <v>235642.92</v>
      </c>
      <c r="J4909" s="27">
        <v>248045.18</v>
      </c>
      <c r="K4909" s="18">
        <f t="shared" si="153"/>
        <v>248045.18</v>
      </c>
      <c r="L4909" s="27">
        <v>235642.92</v>
      </c>
      <c r="M4909" s="36">
        <v>0</v>
      </c>
      <c r="T4909" s="41">
        <v>0</v>
      </c>
      <c r="U4909" s="41">
        <v>0</v>
      </c>
      <c r="V4909" s="42" t="s">
        <v>113</v>
      </c>
      <c r="W4909" s="42">
        <v>248045.18</v>
      </c>
      <c r="X4909" s="42">
        <v>248045.18</v>
      </c>
    </row>
    <row r="4910" spans="1:24">
      <c r="A4910" s="27" t="s">
        <v>9083</v>
      </c>
      <c r="B4910" s="28" t="s">
        <v>5102</v>
      </c>
      <c r="C4910" s="27" t="s">
        <v>9084</v>
      </c>
      <c r="D4910" s="27" t="s">
        <v>230</v>
      </c>
      <c r="E4910" s="29">
        <v>37530</v>
      </c>
      <c r="F4910" s="27">
        <v>15</v>
      </c>
      <c r="G4910" s="18">
        <v>323537.19</v>
      </c>
      <c r="H4910" s="27">
        <f t="shared" si="152"/>
        <v>323537.19</v>
      </c>
      <c r="I4910" s="18">
        <v>307360.33</v>
      </c>
      <c r="J4910" s="27">
        <v>323537.19</v>
      </c>
      <c r="K4910" s="18">
        <f t="shared" si="153"/>
        <v>323537.19</v>
      </c>
      <c r="L4910" s="27">
        <v>307360.33</v>
      </c>
      <c r="M4910" s="36">
        <v>0</v>
      </c>
      <c r="T4910" s="41">
        <v>0</v>
      </c>
      <c r="U4910" s="41">
        <v>0</v>
      </c>
      <c r="V4910" s="42" t="s">
        <v>113</v>
      </c>
      <c r="W4910" s="42">
        <v>323537.19</v>
      </c>
      <c r="X4910" s="42">
        <v>323537.19</v>
      </c>
    </row>
    <row r="4911" spans="1:24">
      <c r="A4911" s="27" t="s">
        <v>9085</v>
      </c>
      <c r="B4911" s="28" t="s">
        <v>5102</v>
      </c>
      <c r="C4911" s="27" t="s">
        <v>9086</v>
      </c>
      <c r="D4911" s="27" t="s">
        <v>230</v>
      </c>
      <c r="E4911" s="29">
        <v>37530</v>
      </c>
      <c r="F4911" s="27">
        <v>15</v>
      </c>
      <c r="G4911" s="18">
        <v>353734</v>
      </c>
      <c r="H4911" s="27">
        <f t="shared" si="152"/>
        <v>353734</v>
      </c>
      <c r="I4911" s="18">
        <v>336047.3</v>
      </c>
      <c r="J4911" s="27">
        <v>353734</v>
      </c>
      <c r="K4911" s="18">
        <f t="shared" si="153"/>
        <v>353734</v>
      </c>
      <c r="L4911" s="27">
        <v>336047.3</v>
      </c>
      <c r="M4911" s="36">
        <v>0</v>
      </c>
      <c r="T4911" s="41">
        <v>0</v>
      </c>
      <c r="U4911" s="41">
        <v>0</v>
      </c>
      <c r="V4911" s="42" t="s">
        <v>113</v>
      </c>
      <c r="W4911" s="42">
        <v>353734</v>
      </c>
      <c r="X4911" s="42">
        <v>353734</v>
      </c>
    </row>
    <row r="4912" spans="1:24">
      <c r="A4912" s="27" t="s">
        <v>9087</v>
      </c>
      <c r="B4912" s="28" t="s">
        <v>5102</v>
      </c>
      <c r="C4912" s="27" t="s">
        <v>9088</v>
      </c>
      <c r="D4912" s="27" t="s">
        <v>230</v>
      </c>
      <c r="E4912" s="29">
        <v>37530</v>
      </c>
      <c r="F4912" s="27">
        <v>15</v>
      </c>
      <c r="G4912" s="18">
        <v>364518.57</v>
      </c>
      <c r="H4912" s="27">
        <f t="shared" si="152"/>
        <v>364518.57</v>
      </c>
      <c r="I4912" s="18">
        <v>346292.64</v>
      </c>
      <c r="J4912" s="27">
        <v>364518.57</v>
      </c>
      <c r="K4912" s="18">
        <f t="shared" si="153"/>
        <v>364518.57</v>
      </c>
      <c r="L4912" s="27">
        <v>346292.64</v>
      </c>
      <c r="M4912" s="36">
        <v>0</v>
      </c>
      <c r="T4912" s="41">
        <v>0</v>
      </c>
      <c r="U4912" s="41">
        <v>0</v>
      </c>
      <c r="V4912" s="42" t="s">
        <v>113</v>
      </c>
      <c r="W4912" s="42">
        <v>364518.57</v>
      </c>
      <c r="X4912" s="42">
        <v>364518.57</v>
      </c>
    </row>
    <row r="4913" spans="1:24">
      <c r="A4913" s="27" t="s">
        <v>9089</v>
      </c>
      <c r="B4913" s="28" t="s">
        <v>5102</v>
      </c>
      <c r="C4913" s="27" t="s">
        <v>9090</v>
      </c>
      <c r="D4913" s="27" t="s">
        <v>230</v>
      </c>
      <c r="E4913" s="29">
        <v>37530</v>
      </c>
      <c r="F4913" s="27">
        <v>15</v>
      </c>
      <c r="G4913" s="18">
        <v>590994.61</v>
      </c>
      <c r="H4913" s="27">
        <f t="shared" si="152"/>
        <v>590994.61</v>
      </c>
      <c r="I4913" s="18">
        <v>561444.88</v>
      </c>
      <c r="J4913" s="27">
        <v>590994.61</v>
      </c>
      <c r="K4913" s="18">
        <f t="shared" si="153"/>
        <v>590994.61</v>
      </c>
      <c r="L4913" s="27">
        <v>561444.88</v>
      </c>
      <c r="M4913" s="36">
        <v>0</v>
      </c>
      <c r="T4913" s="41">
        <v>0</v>
      </c>
      <c r="U4913" s="41">
        <v>0</v>
      </c>
      <c r="V4913" s="42" t="s">
        <v>113</v>
      </c>
      <c r="W4913" s="42">
        <v>590994.61</v>
      </c>
      <c r="X4913" s="42">
        <v>590994.61</v>
      </c>
    </row>
    <row r="4914" spans="1:24">
      <c r="A4914" s="27" t="s">
        <v>9091</v>
      </c>
      <c r="B4914" s="28" t="s">
        <v>5102</v>
      </c>
      <c r="C4914" s="27" t="s">
        <v>9092</v>
      </c>
      <c r="D4914" s="27" t="s">
        <v>230</v>
      </c>
      <c r="E4914" s="29">
        <v>37530</v>
      </c>
      <c r="F4914" s="27">
        <v>15</v>
      </c>
      <c r="G4914" s="18">
        <v>21569.15</v>
      </c>
      <c r="H4914" s="27">
        <f t="shared" si="152"/>
        <v>21569.15</v>
      </c>
      <c r="I4914" s="18">
        <v>20490.689999999999</v>
      </c>
      <c r="J4914" s="27">
        <v>21569.15</v>
      </c>
      <c r="K4914" s="18">
        <f t="shared" si="153"/>
        <v>21569.15</v>
      </c>
      <c r="L4914" s="27">
        <v>20490.689999999999</v>
      </c>
      <c r="M4914" s="36">
        <v>0</v>
      </c>
      <c r="T4914" s="41">
        <v>0</v>
      </c>
      <c r="U4914" s="41">
        <v>0</v>
      </c>
      <c r="V4914" s="42" t="s">
        <v>113</v>
      </c>
      <c r="W4914" s="42">
        <v>21569.15</v>
      </c>
      <c r="X4914" s="42">
        <v>21569.15</v>
      </c>
    </row>
    <row r="4915" spans="1:24">
      <c r="A4915" s="27" t="s">
        <v>9093</v>
      </c>
      <c r="B4915" s="28" t="s">
        <v>5102</v>
      </c>
      <c r="C4915" s="27" t="s">
        <v>9094</v>
      </c>
      <c r="D4915" s="27" t="s">
        <v>230</v>
      </c>
      <c r="E4915" s="29">
        <v>37530</v>
      </c>
      <c r="F4915" s="27">
        <v>15</v>
      </c>
      <c r="G4915" s="18">
        <v>43138.29</v>
      </c>
      <c r="H4915" s="27">
        <f t="shared" si="152"/>
        <v>43138.29</v>
      </c>
      <c r="I4915" s="18">
        <v>40981.379999999997</v>
      </c>
      <c r="J4915" s="27">
        <v>43138.29</v>
      </c>
      <c r="K4915" s="18">
        <f t="shared" si="153"/>
        <v>43138.29</v>
      </c>
      <c r="L4915" s="27">
        <v>40981.379999999997</v>
      </c>
      <c r="M4915" s="36">
        <v>0</v>
      </c>
      <c r="T4915" s="41">
        <v>0</v>
      </c>
      <c r="U4915" s="41">
        <v>0</v>
      </c>
      <c r="V4915" s="42" t="s">
        <v>113</v>
      </c>
      <c r="W4915" s="42">
        <v>43138.29</v>
      </c>
      <c r="X4915" s="42">
        <v>43138.29</v>
      </c>
    </row>
    <row r="4916" spans="1:24">
      <c r="A4916" s="27" t="s">
        <v>9095</v>
      </c>
      <c r="B4916" s="28" t="s">
        <v>5102</v>
      </c>
      <c r="C4916" s="27" t="s">
        <v>9096</v>
      </c>
      <c r="D4916" s="27" t="s">
        <v>230</v>
      </c>
      <c r="E4916" s="29">
        <v>37530</v>
      </c>
      <c r="F4916" s="27">
        <v>15</v>
      </c>
      <c r="G4916" s="18">
        <v>32353.72</v>
      </c>
      <c r="H4916" s="27">
        <f t="shared" si="152"/>
        <v>32353.72</v>
      </c>
      <c r="I4916" s="18">
        <v>30736.03</v>
      </c>
      <c r="J4916" s="27">
        <v>32353.72</v>
      </c>
      <c r="K4916" s="18">
        <f t="shared" si="153"/>
        <v>32353.72</v>
      </c>
      <c r="L4916" s="27">
        <v>30736.03</v>
      </c>
      <c r="M4916" s="36">
        <v>0</v>
      </c>
      <c r="T4916" s="41">
        <v>0</v>
      </c>
      <c r="U4916" s="41">
        <v>0</v>
      </c>
      <c r="V4916" s="42" t="s">
        <v>113</v>
      </c>
      <c r="W4916" s="42">
        <v>32353.72</v>
      </c>
      <c r="X4916" s="42">
        <v>32353.72</v>
      </c>
    </row>
    <row r="4917" spans="1:24">
      <c r="A4917" s="27" t="s">
        <v>9097</v>
      </c>
      <c r="B4917" s="28" t="s">
        <v>5102</v>
      </c>
      <c r="C4917" s="27" t="s">
        <v>9098</v>
      </c>
      <c r="D4917" s="27" t="s">
        <v>230</v>
      </c>
      <c r="E4917" s="29">
        <v>37530</v>
      </c>
      <c r="F4917" s="27">
        <v>15</v>
      </c>
      <c r="G4917" s="18">
        <v>43138.29</v>
      </c>
      <c r="H4917" s="27">
        <f t="shared" si="152"/>
        <v>43138.29</v>
      </c>
      <c r="I4917" s="18">
        <v>40981.379999999997</v>
      </c>
      <c r="J4917" s="27">
        <v>43138.29</v>
      </c>
      <c r="K4917" s="18">
        <f t="shared" si="153"/>
        <v>43138.29</v>
      </c>
      <c r="L4917" s="27">
        <v>40981.379999999997</v>
      </c>
      <c r="M4917" s="36">
        <v>0</v>
      </c>
      <c r="T4917" s="41">
        <v>0</v>
      </c>
      <c r="U4917" s="41">
        <v>0</v>
      </c>
      <c r="V4917" s="42" t="s">
        <v>113</v>
      </c>
      <c r="W4917" s="42">
        <v>43138.29</v>
      </c>
      <c r="X4917" s="42">
        <v>43138.29</v>
      </c>
    </row>
    <row r="4918" spans="1:24">
      <c r="A4918" s="27" t="s">
        <v>9099</v>
      </c>
      <c r="B4918" s="28" t="s">
        <v>5102</v>
      </c>
      <c r="C4918" s="27" t="s">
        <v>9100</v>
      </c>
      <c r="D4918" s="27" t="s">
        <v>230</v>
      </c>
      <c r="E4918" s="29">
        <v>37530</v>
      </c>
      <c r="F4918" s="27">
        <v>15</v>
      </c>
      <c r="G4918" s="18">
        <v>625505.25</v>
      </c>
      <c r="H4918" s="27">
        <f t="shared" si="152"/>
        <v>625505.25</v>
      </c>
      <c r="I4918" s="18">
        <v>594229.99</v>
      </c>
      <c r="J4918" s="27">
        <v>625505.25</v>
      </c>
      <c r="K4918" s="18">
        <f t="shared" si="153"/>
        <v>625505.25</v>
      </c>
      <c r="L4918" s="27">
        <v>594229.99</v>
      </c>
      <c r="M4918" s="36">
        <v>0</v>
      </c>
      <c r="T4918" s="41">
        <v>0</v>
      </c>
      <c r="U4918" s="41">
        <v>0</v>
      </c>
      <c r="V4918" s="42" t="s">
        <v>113</v>
      </c>
      <c r="W4918" s="42">
        <v>625505.25</v>
      </c>
      <c r="X4918" s="42">
        <v>625505.25</v>
      </c>
    </row>
    <row r="4919" spans="1:24">
      <c r="A4919" s="27" t="s">
        <v>9101</v>
      </c>
      <c r="B4919" s="28" t="s">
        <v>5102</v>
      </c>
      <c r="C4919" s="27" t="s">
        <v>9102</v>
      </c>
      <c r="D4919" s="27" t="s">
        <v>230</v>
      </c>
      <c r="E4919" s="29">
        <v>40843</v>
      </c>
      <c r="F4919" s="27">
        <v>15</v>
      </c>
      <c r="G4919" s="18">
        <v>2048214.71</v>
      </c>
      <c r="H4919" s="27">
        <f t="shared" si="152"/>
        <v>0</v>
      </c>
      <c r="I4919" s="18">
        <v>1594854.55</v>
      </c>
      <c r="J4919" s="27">
        <v>2048214.71</v>
      </c>
      <c r="K4919" s="18">
        <f t="shared" si="153"/>
        <v>0</v>
      </c>
      <c r="L4919" s="27">
        <v>1639656.6</v>
      </c>
      <c r="M4919" s="36">
        <v>44802.05</v>
      </c>
      <c r="T4919" s="41">
        <v>0</v>
      </c>
      <c r="U4919" s="41">
        <v>0</v>
      </c>
      <c r="V4919" s="42" t="s">
        <v>113</v>
      </c>
      <c r="W4919" s="42">
        <v>0</v>
      </c>
      <c r="X4919" s="42">
        <v>0</v>
      </c>
    </row>
    <row r="4920" spans="1:24">
      <c r="A4920" s="27" t="s">
        <v>9103</v>
      </c>
      <c r="B4920" s="28" t="s">
        <v>5102</v>
      </c>
      <c r="C4920" s="27" t="s">
        <v>9104</v>
      </c>
      <c r="D4920" s="27" t="s">
        <v>230</v>
      </c>
      <c r="E4920" s="29">
        <v>40843</v>
      </c>
      <c r="F4920" s="27">
        <v>15</v>
      </c>
      <c r="G4920" s="18">
        <v>228652.22</v>
      </c>
      <c r="H4920" s="27">
        <f t="shared" si="152"/>
        <v>0</v>
      </c>
      <c r="I4920" s="18">
        <v>157560.12</v>
      </c>
      <c r="J4920" s="27">
        <v>228652.22</v>
      </c>
      <c r="K4920" s="18">
        <f t="shared" si="153"/>
        <v>0</v>
      </c>
      <c r="L4920" s="27">
        <v>165176.23000000001</v>
      </c>
      <c r="M4920" s="36">
        <v>7616.11</v>
      </c>
      <c r="T4920" s="41">
        <v>0</v>
      </c>
      <c r="U4920" s="41">
        <v>0</v>
      </c>
      <c r="V4920" s="42" t="s">
        <v>113</v>
      </c>
      <c r="W4920" s="42">
        <v>0</v>
      </c>
      <c r="X4920" s="42">
        <v>0</v>
      </c>
    </row>
    <row r="4921" spans="1:24">
      <c r="A4921" s="27" t="s">
        <v>9105</v>
      </c>
      <c r="B4921" s="28" t="s">
        <v>5102</v>
      </c>
      <c r="C4921" s="27" t="s">
        <v>9106</v>
      </c>
      <c r="D4921" s="27" t="s">
        <v>230</v>
      </c>
      <c r="E4921" s="29">
        <v>40843</v>
      </c>
      <c r="F4921" s="27">
        <v>15</v>
      </c>
      <c r="G4921" s="18">
        <v>49819.040000000001</v>
      </c>
      <c r="H4921" s="27">
        <f t="shared" si="152"/>
        <v>0</v>
      </c>
      <c r="I4921" s="18">
        <v>34329.410000000003</v>
      </c>
      <c r="J4921" s="27">
        <v>49819.040000000001</v>
      </c>
      <c r="K4921" s="18">
        <f t="shared" si="153"/>
        <v>0</v>
      </c>
      <c r="L4921" s="27">
        <v>35988.82</v>
      </c>
      <c r="M4921" s="36">
        <v>1659.41</v>
      </c>
      <c r="T4921" s="41">
        <v>0</v>
      </c>
      <c r="U4921" s="41">
        <v>0</v>
      </c>
      <c r="V4921" s="42" t="s">
        <v>113</v>
      </c>
      <c r="W4921" s="42">
        <v>0</v>
      </c>
      <c r="X4921" s="42">
        <v>0</v>
      </c>
    </row>
    <row r="4922" spans="1:24">
      <c r="A4922" s="27" t="s">
        <v>9107</v>
      </c>
      <c r="B4922" s="28" t="s">
        <v>5102</v>
      </c>
      <c r="C4922" s="27" t="s">
        <v>9108</v>
      </c>
      <c r="D4922" s="27" t="s">
        <v>230</v>
      </c>
      <c r="E4922" s="29">
        <v>40843</v>
      </c>
      <c r="F4922" s="27">
        <v>15</v>
      </c>
      <c r="G4922" s="18">
        <v>255880.91</v>
      </c>
      <c r="H4922" s="27">
        <f t="shared" si="152"/>
        <v>0</v>
      </c>
      <c r="I4922" s="18">
        <v>176322.92</v>
      </c>
      <c r="J4922" s="27">
        <v>255880.91</v>
      </c>
      <c r="K4922" s="18">
        <f t="shared" si="153"/>
        <v>0</v>
      </c>
      <c r="L4922" s="27">
        <v>184845.98</v>
      </c>
      <c r="M4922" s="36">
        <v>8523.06</v>
      </c>
      <c r="T4922" s="41">
        <v>0</v>
      </c>
      <c r="U4922" s="41">
        <v>0</v>
      </c>
      <c r="V4922" s="42" t="s">
        <v>113</v>
      </c>
      <c r="W4922" s="42">
        <v>0</v>
      </c>
      <c r="X4922" s="42">
        <v>0</v>
      </c>
    </row>
    <row r="4923" spans="1:24">
      <c r="A4923" s="27" t="s">
        <v>9109</v>
      </c>
      <c r="B4923" s="28" t="s">
        <v>5102</v>
      </c>
      <c r="C4923" s="27" t="s">
        <v>9110</v>
      </c>
      <c r="D4923" s="27" t="s">
        <v>230</v>
      </c>
      <c r="E4923" s="29">
        <v>40843</v>
      </c>
      <c r="F4923" s="27">
        <v>15</v>
      </c>
      <c r="G4923" s="18">
        <v>281374.51</v>
      </c>
      <c r="H4923" s="27">
        <f t="shared" si="152"/>
        <v>0</v>
      </c>
      <c r="I4923" s="18">
        <v>193890.1</v>
      </c>
      <c r="J4923" s="27">
        <v>281374.51</v>
      </c>
      <c r="K4923" s="18">
        <f t="shared" si="153"/>
        <v>0</v>
      </c>
      <c r="L4923" s="27">
        <v>203262.31</v>
      </c>
      <c r="M4923" s="36">
        <v>9372.2099999999991</v>
      </c>
      <c r="T4923" s="41">
        <v>0</v>
      </c>
      <c r="U4923" s="41">
        <v>0</v>
      </c>
      <c r="V4923" s="42" t="s">
        <v>113</v>
      </c>
      <c r="W4923" s="42">
        <v>0</v>
      </c>
      <c r="X4923" s="42">
        <v>0</v>
      </c>
    </row>
    <row r="4924" spans="1:24">
      <c r="A4924" s="27" t="s">
        <v>9111</v>
      </c>
      <c r="B4924" s="28" t="s">
        <v>5102</v>
      </c>
      <c r="C4924" s="27" t="s">
        <v>9112</v>
      </c>
      <c r="D4924" s="27" t="s">
        <v>230</v>
      </c>
      <c r="E4924" s="29">
        <v>40843</v>
      </c>
      <c r="F4924" s="27">
        <v>15</v>
      </c>
      <c r="G4924" s="18">
        <v>16676.169999999998</v>
      </c>
      <c r="H4924" s="27">
        <f t="shared" si="152"/>
        <v>0</v>
      </c>
      <c r="I4924" s="18">
        <v>9656.01</v>
      </c>
      <c r="J4924" s="27">
        <v>16676.169999999998</v>
      </c>
      <c r="K4924" s="18">
        <f t="shared" si="153"/>
        <v>0</v>
      </c>
      <c r="L4924" s="27">
        <v>10445.76</v>
      </c>
      <c r="M4924" s="36">
        <v>789.75</v>
      </c>
      <c r="T4924" s="41">
        <v>0</v>
      </c>
      <c r="U4924" s="41">
        <v>0</v>
      </c>
      <c r="V4924" s="42" t="s">
        <v>113</v>
      </c>
      <c r="W4924" s="42">
        <v>0</v>
      </c>
      <c r="X4924" s="42">
        <v>0</v>
      </c>
    </row>
    <row r="4925" spans="1:24">
      <c r="A4925" s="27" t="s">
        <v>9113</v>
      </c>
      <c r="B4925" s="28" t="s">
        <v>5102</v>
      </c>
      <c r="C4925" s="27" t="s">
        <v>9114</v>
      </c>
      <c r="D4925" s="27" t="s">
        <v>230</v>
      </c>
      <c r="E4925" s="29">
        <v>40843</v>
      </c>
      <c r="F4925" s="27">
        <v>15</v>
      </c>
      <c r="G4925" s="18">
        <v>3519042.16</v>
      </c>
      <c r="H4925" s="27">
        <f t="shared" si="152"/>
        <v>0</v>
      </c>
      <c r="I4925" s="18">
        <v>2695331.31</v>
      </c>
      <c r="J4925" s="27">
        <v>3021071.56</v>
      </c>
      <c r="K4925" s="18">
        <f t="shared" si="153"/>
        <v>0</v>
      </c>
      <c r="L4925" s="27">
        <v>2778023.92</v>
      </c>
      <c r="M4925" s="36">
        <v>82692.61</v>
      </c>
      <c r="N4925" s="18" t="s">
        <v>123</v>
      </c>
      <c r="O4925" s="19">
        <v>-497970.6</v>
      </c>
      <c r="T4925" s="41">
        <v>0</v>
      </c>
      <c r="U4925" s="41">
        <v>0</v>
      </c>
      <c r="V4925" s="42" t="s">
        <v>113</v>
      </c>
      <c r="W4925" s="42">
        <v>0</v>
      </c>
      <c r="X4925" s="42">
        <v>0</v>
      </c>
    </row>
    <row r="4926" spans="1:24">
      <c r="A4926" s="27" t="s">
        <v>9115</v>
      </c>
      <c r="B4926" s="28" t="s">
        <v>5102</v>
      </c>
      <c r="C4926" s="27" t="s">
        <v>9116</v>
      </c>
      <c r="D4926" s="27" t="s">
        <v>230</v>
      </c>
      <c r="E4926" s="29">
        <v>40843</v>
      </c>
      <c r="F4926" s="27">
        <v>15</v>
      </c>
      <c r="G4926" s="18">
        <v>1161314.75</v>
      </c>
      <c r="H4926" s="27">
        <f t="shared" si="152"/>
        <v>0</v>
      </c>
      <c r="I4926" s="18">
        <v>183858.12</v>
      </c>
      <c r="J4926" s="27">
        <v>1161314.75</v>
      </c>
      <c r="K4926" s="18">
        <f t="shared" si="153"/>
        <v>0</v>
      </c>
      <c r="L4926" s="27">
        <v>301227.17</v>
      </c>
      <c r="M4926" s="36">
        <v>117369.05</v>
      </c>
      <c r="T4926" s="41">
        <v>0</v>
      </c>
      <c r="U4926" s="41">
        <v>0</v>
      </c>
      <c r="V4926" s="42" t="s">
        <v>113</v>
      </c>
      <c r="W4926" s="42">
        <v>0</v>
      </c>
      <c r="X4926" s="42">
        <v>0</v>
      </c>
    </row>
    <row r="4927" spans="1:24">
      <c r="A4927" s="27" t="s">
        <v>9117</v>
      </c>
      <c r="B4927" s="28" t="s">
        <v>5102</v>
      </c>
      <c r="C4927" s="27" t="s">
        <v>9118</v>
      </c>
      <c r="D4927" s="27" t="s">
        <v>230</v>
      </c>
      <c r="E4927" s="29">
        <v>38078</v>
      </c>
      <c r="F4927" s="27">
        <v>15</v>
      </c>
      <c r="G4927" s="18">
        <v>18660.71</v>
      </c>
      <c r="H4927" s="27">
        <f t="shared" si="152"/>
        <v>18660.71</v>
      </c>
      <c r="I4927" s="18">
        <v>17727.669999999998</v>
      </c>
      <c r="J4927" s="27">
        <v>18660.71</v>
      </c>
      <c r="K4927" s="18">
        <f t="shared" si="153"/>
        <v>18660.71</v>
      </c>
      <c r="L4927" s="27">
        <v>17727.669999999998</v>
      </c>
      <c r="M4927" s="36">
        <v>0</v>
      </c>
      <c r="T4927" s="41">
        <v>0</v>
      </c>
      <c r="U4927" s="41">
        <v>0</v>
      </c>
      <c r="V4927" s="42" t="s">
        <v>113</v>
      </c>
      <c r="W4927" s="42">
        <v>18660.71</v>
      </c>
      <c r="X4927" s="42">
        <v>18660.71</v>
      </c>
    </row>
    <row r="4928" spans="1:24">
      <c r="A4928" s="27" t="s">
        <v>9119</v>
      </c>
      <c r="B4928" s="28" t="s">
        <v>5102</v>
      </c>
      <c r="C4928" s="27" t="s">
        <v>9120</v>
      </c>
      <c r="D4928" s="27" t="s">
        <v>230</v>
      </c>
      <c r="E4928" s="29">
        <v>39417</v>
      </c>
      <c r="F4928" s="27">
        <v>15</v>
      </c>
      <c r="G4928" s="18">
        <v>396483.74</v>
      </c>
      <c r="H4928" s="27">
        <f t="shared" si="152"/>
        <v>0</v>
      </c>
      <c r="I4928" s="18">
        <v>337392</v>
      </c>
      <c r="J4928" s="27">
        <v>396483.74</v>
      </c>
      <c r="K4928" s="18">
        <f t="shared" si="153"/>
        <v>0</v>
      </c>
      <c r="L4928" s="27">
        <v>347208.89</v>
      </c>
      <c r="M4928" s="36">
        <v>9816.89</v>
      </c>
      <c r="T4928" s="41">
        <v>0</v>
      </c>
      <c r="U4928" s="41">
        <v>0</v>
      </c>
      <c r="V4928" s="42" t="s">
        <v>113</v>
      </c>
      <c r="W4928" s="42">
        <v>0</v>
      </c>
      <c r="X4928" s="42">
        <v>0</v>
      </c>
    </row>
    <row r="4929" spans="1:24">
      <c r="A4929" s="27" t="s">
        <v>9121</v>
      </c>
      <c r="B4929" s="28" t="s">
        <v>5102</v>
      </c>
      <c r="C4929" s="27" t="s">
        <v>9122</v>
      </c>
      <c r="D4929" s="27" t="s">
        <v>230</v>
      </c>
      <c r="E4929" s="29">
        <v>37226</v>
      </c>
      <c r="F4929" s="27">
        <v>15</v>
      </c>
      <c r="G4929" s="18">
        <v>2742891.8</v>
      </c>
      <c r="H4929" s="27">
        <f t="shared" si="152"/>
        <v>0</v>
      </c>
      <c r="I4929" s="18">
        <v>1312725.32</v>
      </c>
      <c r="J4929" s="27">
        <v>2742891.8</v>
      </c>
      <c r="K4929" s="18">
        <f t="shared" si="153"/>
        <v>0</v>
      </c>
      <c r="L4929" s="27">
        <v>1497442.73</v>
      </c>
      <c r="M4929" s="36">
        <v>184717.41</v>
      </c>
      <c r="T4929" s="41">
        <v>0</v>
      </c>
      <c r="U4929" s="41">
        <v>0</v>
      </c>
      <c r="V4929" s="42" t="s">
        <v>124</v>
      </c>
      <c r="W4929" s="42">
        <v>2742891.8</v>
      </c>
      <c r="X4929" s="42">
        <v>2742891.8</v>
      </c>
    </row>
    <row r="4930" spans="1:24">
      <c r="A4930" s="27" t="s">
        <v>9123</v>
      </c>
      <c r="B4930" s="28" t="s">
        <v>5102</v>
      </c>
      <c r="C4930" s="27" t="s">
        <v>9124</v>
      </c>
      <c r="D4930" s="27" t="s">
        <v>230</v>
      </c>
      <c r="E4930" s="29">
        <v>36495</v>
      </c>
      <c r="F4930" s="27">
        <v>15</v>
      </c>
      <c r="G4930" s="18">
        <v>108669.75999999999</v>
      </c>
      <c r="H4930" s="27">
        <f t="shared" si="152"/>
        <v>108669.75999999999</v>
      </c>
      <c r="I4930" s="18">
        <v>103236.27</v>
      </c>
      <c r="J4930" s="27">
        <v>108669.75999999999</v>
      </c>
      <c r="K4930" s="18">
        <f t="shared" si="153"/>
        <v>108669.75999999999</v>
      </c>
      <c r="L4930" s="27">
        <v>103236.27</v>
      </c>
      <c r="M4930" s="36">
        <v>0</v>
      </c>
      <c r="T4930" s="41">
        <v>0</v>
      </c>
      <c r="U4930" s="41">
        <v>0</v>
      </c>
      <c r="V4930" s="42" t="s">
        <v>113</v>
      </c>
      <c r="W4930" s="42">
        <v>108669.75999999999</v>
      </c>
      <c r="X4930" s="42">
        <v>108669.75999999999</v>
      </c>
    </row>
    <row r="4931" spans="1:24">
      <c r="A4931" s="27" t="s">
        <v>9125</v>
      </c>
      <c r="B4931" s="28" t="s">
        <v>5102</v>
      </c>
      <c r="C4931" s="27" t="s">
        <v>9126</v>
      </c>
      <c r="D4931" s="27" t="s">
        <v>230</v>
      </c>
      <c r="E4931" s="29">
        <v>41270</v>
      </c>
      <c r="F4931" s="27">
        <v>15</v>
      </c>
      <c r="G4931" s="18">
        <v>117438.37</v>
      </c>
      <c r="H4931" s="27">
        <f t="shared" si="152"/>
        <v>0</v>
      </c>
      <c r="I4931" s="18">
        <v>55289.760000000002</v>
      </c>
      <c r="J4931" s="27">
        <v>117438.37</v>
      </c>
      <c r="K4931" s="18">
        <f t="shared" si="153"/>
        <v>0</v>
      </c>
      <c r="L4931" s="27">
        <v>61542.73</v>
      </c>
      <c r="M4931" s="36">
        <v>6252.97</v>
      </c>
      <c r="T4931" s="41">
        <v>0</v>
      </c>
      <c r="U4931" s="41">
        <v>0</v>
      </c>
      <c r="V4931" s="42" t="s">
        <v>113</v>
      </c>
      <c r="W4931" s="42">
        <v>0</v>
      </c>
      <c r="X4931" s="42">
        <v>0</v>
      </c>
    </row>
    <row r="4932" spans="1:24">
      <c r="A4932" s="27" t="s">
        <v>9127</v>
      </c>
      <c r="B4932" s="28" t="s">
        <v>5102</v>
      </c>
      <c r="C4932" s="27" t="s">
        <v>9128</v>
      </c>
      <c r="D4932" s="27" t="s">
        <v>230</v>
      </c>
      <c r="E4932" s="29">
        <v>40843</v>
      </c>
      <c r="F4932" s="27">
        <v>15</v>
      </c>
      <c r="G4932" s="18">
        <v>46658.11</v>
      </c>
      <c r="H4932" s="27">
        <f t="shared" si="152"/>
        <v>0</v>
      </c>
      <c r="I4932" s="18">
        <v>32151.26</v>
      </c>
      <c r="J4932" s="27">
        <v>46658.11</v>
      </c>
      <c r="K4932" s="18">
        <f t="shared" si="153"/>
        <v>0</v>
      </c>
      <c r="L4932" s="27">
        <v>33705.379999999997</v>
      </c>
      <c r="M4932" s="36">
        <v>1554.12</v>
      </c>
      <c r="T4932" s="41">
        <v>0</v>
      </c>
      <c r="U4932" s="41">
        <v>0</v>
      </c>
      <c r="V4932" s="42" t="s">
        <v>113</v>
      </c>
      <c r="W4932" s="42">
        <v>0</v>
      </c>
      <c r="X4932" s="42">
        <v>0</v>
      </c>
    </row>
    <row r="4933" spans="1:24">
      <c r="A4933" s="27" t="s">
        <v>9129</v>
      </c>
      <c r="B4933" s="28" t="s">
        <v>5102</v>
      </c>
      <c r="C4933" s="27" t="s">
        <v>9130</v>
      </c>
      <c r="D4933" s="27" t="s">
        <v>230</v>
      </c>
      <c r="E4933" s="29">
        <v>40843</v>
      </c>
      <c r="F4933" s="27">
        <v>15</v>
      </c>
      <c r="G4933" s="18">
        <v>62239.44</v>
      </c>
      <c r="H4933" s="27">
        <f t="shared" si="152"/>
        <v>0</v>
      </c>
      <c r="I4933" s="18">
        <v>42888.08</v>
      </c>
      <c r="J4933" s="27">
        <v>62239.44</v>
      </c>
      <c r="K4933" s="18">
        <f t="shared" si="153"/>
        <v>0</v>
      </c>
      <c r="L4933" s="27">
        <v>44961.19</v>
      </c>
      <c r="M4933" s="36">
        <v>2073.11</v>
      </c>
      <c r="T4933" s="41">
        <v>0</v>
      </c>
      <c r="U4933" s="41">
        <v>0</v>
      </c>
      <c r="V4933" s="42" t="s">
        <v>113</v>
      </c>
      <c r="W4933" s="42">
        <v>0</v>
      </c>
      <c r="X4933" s="42">
        <v>0</v>
      </c>
    </row>
    <row r="4934" spans="1:24">
      <c r="A4934" s="27" t="s">
        <v>9131</v>
      </c>
      <c r="B4934" s="28" t="s">
        <v>5102</v>
      </c>
      <c r="C4934" s="27" t="s">
        <v>9132</v>
      </c>
      <c r="D4934" s="27" t="s">
        <v>230</v>
      </c>
      <c r="E4934" s="29">
        <v>40843</v>
      </c>
      <c r="F4934" s="27">
        <v>15</v>
      </c>
      <c r="G4934" s="18">
        <v>123671.48</v>
      </c>
      <c r="H4934" s="27">
        <f t="shared" ref="H4934:H4997" si="154">IFERROR(IF(ROUND((G4934-I4934)/G4934,2)&lt;=0.05,G4934,0),0)</f>
        <v>0</v>
      </c>
      <c r="I4934" s="18">
        <v>85219.79</v>
      </c>
      <c r="J4934" s="27">
        <v>123671.48</v>
      </c>
      <c r="K4934" s="18">
        <f t="shared" ref="K4934:K4997" si="155">IFERROR(IF(ROUND((J4934-L4934)/J4934,2)&lt;=0.05,J4934,0),0)</f>
        <v>0</v>
      </c>
      <c r="L4934" s="27">
        <v>89339.12</v>
      </c>
      <c r="M4934" s="36">
        <v>4119.33</v>
      </c>
      <c r="T4934" s="41">
        <v>0</v>
      </c>
      <c r="U4934" s="41">
        <v>0</v>
      </c>
      <c r="V4934" s="42" t="s">
        <v>113</v>
      </c>
      <c r="W4934" s="42">
        <v>0</v>
      </c>
      <c r="X4934" s="42">
        <v>0</v>
      </c>
    </row>
    <row r="4935" spans="1:24">
      <c r="A4935" s="27" t="s">
        <v>9133</v>
      </c>
      <c r="B4935" s="28" t="s">
        <v>5102</v>
      </c>
      <c r="C4935" s="27" t="s">
        <v>9134</v>
      </c>
      <c r="D4935" s="27" t="s">
        <v>230</v>
      </c>
      <c r="E4935" s="29">
        <v>40908</v>
      </c>
      <c r="F4935" s="27">
        <v>15</v>
      </c>
      <c r="G4935" s="18">
        <v>166635.93</v>
      </c>
      <c r="H4935" s="27">
        <f t="shared" si="154"/>
        <v>0</v>
      </c>
      <c r="I4935" s="18">
        <v>89479.97</v>
      </c>
      <c r="J4935" s="27">
        <v>166635.93</v>
      </c>
      <c r="K4935" s="18">
        <f t="shared" si="155"/>
        <v>0</v>
      </c>
      <c r="L4935" s="27">
        <v>98082.99</v>
      </c>
      <c r="M4935" s="36">
        <v>8603.02</v>
      </c>
      <c r="T4935" s="41">
        <v>0</v>
      </c>
      <c r="U4935" s="41">
        <v>0</v>
      </c>
      <c r="V4935" s="42" t="s">
        <v>113</v>
      </c>
      <c r="W4935" s="42">
        <v>0</v>
      </c>
      <c r="X4935" s="42">
        <v>0</v>
      </c>
    </row>
    <row r="4936" spans="1:24">
      <c r="A4936" s="27" t="s">
        <v>9135</v>
      </c>
      <c r="B4936" s="28" t="s">
        <v>5102</v>
      </c>
      <c r="C4936" s="27" t="s">
        <v>9136</v>
      </c>
      <c r="D4936" s="27" t="s">
        <v>230</v>
      </c>
      <c r="E4936" s="29">
        <v>40908</v>
      </c>
      <c r="F4936" s="27">
        <v>15</v>
      </c>
      <c r="G4936" s="18">
        <v>227902.32</v>
      </c>
      <c r="H4936" s="27">
        <f t="shared" si="154"/>
        <v>0</v>
      </c>
      <c r="I4936" s="18">
        <v>122574.24</v>
      </c>
      <c r="J4936" s="27">
        <v>227902.32</v>
      </c>
      <c r="K4936" s="18">
        <f t="shared" si="155"/>
        <v>0</v>
      </c>
      <c r="L4936" s="27">
        <v>134315.85999999999</v>
      </c>
      <c r="M4936" s="36">
        <v>11741.62</v>
      </c>
      <c r="T4936" s="41">
        <v>0</v>
      </c>
      <c r="U4936" s="41">
        <v>0</v>
      </c>
      <c r="V4936" s="42" t="s">
        <v>113</v>
      </c>
      <c r="W4936" s="42">
        <v>0</v>
      </c>
      <c r="X4936" s="42">
        <v>0</v>
      </c>
    </row>
    <row r="4937" spans="1:24">
      <c r="A4937" s="27" t="s">
        <v>9137</v>
      </c>
      <c r="B4937" s="28" t="s">
        <v>5102</v>
      </c>
      <c r="C4937" s="27" t="s">
        <v>9138</v>
      </c>
      <c r="D4937" s="27" t="s">
        <v>230</v>
      </c>
      <c r="E4937" s="29">
        <v>40843</v>
      </c>
      <c r="F4937" s="27">
        <v>15</v>
      </c>
      <c r="G4937" s="18">
        <v>12317.33</v>
      </c>
      <c r="H4937" s="27">
        <f t="shared" si="154"/>
        <v>0</v>
      </c>
      <c r="I4937" s="18">
        <v>8487.64</v>
      </c>
      <c r="J4937" s="27">
        <v>12317.33</v>
      </c>
      <c r="K4937" s="18">
        <f t="shared" si="155"/>
        <v>0</v>
      </c>
      <c r="L4937" s="27">
        <v>8897.91</v>
      </c>
      <c r="M4937" s="36">
        <v>410.27</v>
      </c>
      <c r="T4937" s="41">
        <v>0</v>
      </c>
      <c r="U4937" s="41">
        <v>0</v>
      </c>
      <c r="V4937" s="42" t="s">
        <v>113</v>
      </c>
      <c r="W4937" s="42">
        <v>0</v>
      </c>
      <c r="X4937" s="42">
        <v>0</v>
      </c>
    </row>
    <row r="4938" spans="1:24">
      <c r="A4938" s="27" t="s">
        <v>9139</v>
      </c>
      <c r="B4938" s="28" t="s">
        <v>5102</v>
      </c>
      <c r="C4938" s="27" t="s">
        <v>9140</v>
      </c>
      <c r="D4938" s="27" t="s">
        <v>230</v>
      </c>
      <c r="E4938" s="29">
        <v>40843</v>
      </c>
      <c r="F4938" s="27">
        <v>15</v>
      </c>
      <c r="G4938" s="18">
        <v>16423.099999999999</v>
      </c>
      <c r="H4938" s="27">
        <f t="shared" si="154"/>
        <v>0</v>
      </c>
      <c r="I4938" s="18">
        <v>11316.86</v>
      </c>
      <c r="J4938" s="27">
        <v>16423.099999999999</v>
      </c>
      <c r="K4938" s="18">
        <f t="shared" si="155"/>
        <v>0</v>
      </c>
      <c r="L4938" s="27">
        <v>11863.89</v>
      </c>
      <c r="M4938" s="36">
        <v>547.03</v>
      </c>
      <c r="T4938" s="41">
        <v>0</v>
      </c>
      <c r="U4938" s="41">
        <v>0</v>
      </c>
      <c r="V4938" s="42" t="s">
        <v>113</v>
      </c>
      <c r="W4938" s="42">
        <v>0</v>
      </c>
      <c r="X4938" s="42">
        <v>0</v>
      </c>
    </row>
    <row r="4939" spans="1:24">
      <c r="A4939" s="27" t="s">
        <v>9141</v>
      </c>
      <c r="B4939" s="28" t="s">
        <v>5102</v>
      </c>
      <c r="C4939" s="27" t="s">
        <v>9142</v>
      </c>
      <c r="D4939" s="27" t="s">
        <v>230</v>
      </c>
      <c r="E4939" s="29">
        <v>40843</v>
      </c>
      <c r="F4939" s="27">
        <v>15</v>
      </c>
      <c r="G4939" s="18">
        <v>1974700</v>
      </c>
      <c r="H4939" s="27">
        <f t="shared" si="154"/>
        <v>0</v>
      </c>
      <c r="I4939" s="18">
        <v>1360730.17</v>
      </c>
      <c r="J4939" s="27">
        <v>2207068.5299999998</v>
      </c>
      <c r="K4939" s="18">
        <f t="shared" si="155"/>
        <v>0</v>
      </c>
      <c r="L4939" s="27">
        <v>1426504.83</v>
      </c>
      <c r="M4939" s="36">
        <v>65774.66</v>
      </c>
      <c r="N4939" s="18" t="s">
        <v>123</v>
      </c>
      <c r="O4939" s="19">
        <v>232368.53</v>
      </c>
      <c r="T4939" s="41">
        <v>0</v>
      </c>
      <c r="U4939" s="41">
        <v>0</v>
      </c>
      <c r="V4939" s="42" t="s">
        <v>113</v>
      </c>
      <c r="W4939" s="42">
        <v>0</v>
      </c>
      <c r="X4939" s="42">
        <v>0</v>
      </c>
    </row>
    <row r="4940" spans="1:24">
      <c r="A4940" s="27" t="s">
        <v>9143</v>
      </c>
      <c r="B4940" s="28" t="s">
        <v>5102</v>
      </c>
      <c r="C4940" s="27" t="s">
        <v>9144</v>
      </c>
      <c r="D4940" s="27" t="s">
        <v>230</v>
      </c>
      <c r="E4940" s="29">
        <v>40843</v>
      </c>
      <c r="F4940" s="27">
        <v>15</v>
      </c>
      <c r="G4940" s="18">
        <v>934920</v>
      </c>
      <c r="H4940" s="27">
        <f t="shared" si="154"/>
        <v>0</v>
      </c>
      <c r="I4940" s="18">
        <v>644236.51</v>
      </c>
      <c r="J4940" s="27">
        <v>934920</v>
      </c>
      <c r="K4940" s="18">
        <f t="shared" si="155"/>
        <v>0</v>
      </c>
      <c r="L4940" s="27">
        <v>675377.47</v>
      </c>
      <c r="M4940" s="36">
        <v>31140.959999999999</v>
      </c>
      <c r="T4940" s="41">
        <v>0</v>
      </c>
      <c r="U4940" s="41">
        <v>0</v>
      </c>
      <c r="V4940" s="42" t="s">
        <v>113</v>
      </c>
      <c r="W4940" s="42">
        <v>0</v>
      </c>
      <c r="X4940" s="42">
        <v>0</v>
      </c>
    </row>
    <row r="4941" spans="1:24">
      <c r="A4941" s="27" t="s">
        <v>9145</v>
      </c>
      <c r="B4941" s="28" t="s">
        <v>5102</v>
      </c>
      <c r="C4941" s="27" t="s">
        <v>9146</v>
      </c>
      <c r="D4941" s="27" t="s">
        <v>230</v>
      </c>
      <c r="E4941" s="29">
        <v>40843</v>
      </c>
      <c r="F4941" s="27">
        <v>15</v>
      </c>
      <c r="G4941" s="18">
        <v>417480</v>
      </c>
      <c r="H4941" s="27">
        <f t="shared" si="154"/>
        <v>0</v>
      </c>
      <c r="I4941" s="18">
        <v>287677.94</v>
      </c>
      <c r="J4941" s="27">
        <v>417480</v>
      </c>
      <c r="K4941" s="18">
        <f t="shared" si="155"/>
        <v>0</v>
      </c>
      <c r="L4941" s="27">
        <v>301583.65000000002</v>
      </c>
      <c r="M4941" s="36">
        <v>13905.71</v>
      </c>
      <c r="T4941" s="41">
        <v>0</v>
      </c>
      <c r="U4941" s="41">
        <v>0</v>
      </c>
      <c r="V4941" s="42" t="s">
        <v>113</v>
      </c>
      <c r="W4941" s="42">
        <v>0</v>
      </c>
      <c r="X4941" s="42">
        <v>0</v>
      </c>
    </row>
    <row r="4942" spans="1:24">
      <c r="A4942" s="27" t="s">
        <v>9147</v>
      </c>
      <c r="B4942" s="28" t="s">
        <v>5102</v>
      </c>
      <c r="C4942" s="27" t="s">
        <v>9148</v>
      </c>
      <c r="D4942" s="27" t="s">
        <v>230</v>
      </c>
      <c r="E4942" s="29">
        <v>40843</v>
      </c>
      <c r="F4942" s="27">
        <v>15</v>
      </c>
      <c r="G4942" s="18">
        <v>680120</v>
      </c>
      <c r="H4942" s="27">
        <f t="shared" si="154"/>
        <v>0</v>
      </c>
      <c r="I4942" s="18">
        <v>468658.42</v>
      </c>
      <c r="J4942" s="27">
        <v>680120</v>
      </c>
      <c r="K4942" s="18">
        <f t="shared" si="155"/>
        <v>0</v>
      </c>
      <c r="L4942" s="27">
        <v>491312.32</v>
      </c>
      <c r="M4942" s="36">
        <v>22653.9</v>
      </c>
      <c r="T4942" s="41">
        <v>0</v>
      </c>
      <c r="U4942" s="41">
        <v>0</v>
      </c>
      <c r="V4942" s="42" t="s">
        <v>113</v>
      </c>
      <c r="W4942" s="42">
        <v>0</v>
      </c>
      <c r="X4942" s="42">
        <v>0</v>
      </c>
    </row>
    <row r="4943" spans="1:24">
      <c r="A4943" s="27" t="s">
        <v>9149</v>
      </c>
      <c r="B4943" s="28" t="s">
        <v>5102</v>
      </c>
      <c r="C4943" s="27" t="s">
        <v>9150</v>
      </c>
      <c r="D4943" s="27" t="s">
        <v>5104</v>
      </c>
      <c r="E4943" s="29">
        <v>42213</v>
      </c>
      <c r="F4943" s="27">
        <v>15</v>
      </c>
      <c r="G4943" s="18">
        <v>104168.22</v>
      </c>
      <c r="H4943" s="27">
        <f t="shared" si="154"/>
        <v>0</v>
      </c>
      <c r="I4943" s="18">
        <v>26696.080000000002</v>
      </c>
      <c r="J4943" s="27">
        <v>104168.22</v>
      </c>
      <c r="K4943" s="18">
        <f t="shared" si="155"/>
        <v>0</v>
      </c>
      <c r="L4943" s="27">
        <v>33119.519999999997</v>
      </c>
      <c r="M4943" s="36">
        <v>6423.44</v>
      </c>
      <c r="T4943" s="41">
        <v>0</v>
      </c>
      <c r="U4943" s="41">
        <v>0</v>
      </c>
      <c r="V4943" s="42" t="s">
        <v>113</v>
      </c>
      <c r="W4943" s="42">
        <v>0</v>
      </c>
      <c r="X4943" s="42">
        <v>0</v>
      </c>
    </row>
    <row r="4944" spans="1:24">
      <c r="A4944" s="27" t="s">
        <v>9151</v>
      </c>
      <c r="B4944" s="28" t="s">
        <v>5102</v>
      </c>
      <c r="C4944" s="27" t="s">
        <v>9152</v>
      </c>
      <c r="D4944" s="27" t="s">
        <v>5104</v>
      </c>
      <c r="E4944" s="29">
        <v>42213</v>
      </c>
      <c r="F4944" s="27">
        <v>12</v>
      </c>
      <c r="G4944" s="18">
        <v>1964.58</v>
      </c>
      <c r="H4944" s="27">
        <f t="shared" si="154"/>
        <v>1964.58</v>
      </c>
      <c r="I4944" s="18">
        <v>1964.58</v>
      </c>
      <c r="J4944" s="27">
        <v>1964.58</v>
      </c>
      <c r="K4944" s="18">
        <f t="shared" si="155"/>
        <v>1964.58</v>
      </c>
      <c r="L4944" s="27">
        <v>1964.58</v>
      </c>
      <c r="M4944" s="36">
        <v>0</v>
      </c>
      <c r="T4944" s="41">
        <v>0</v>
      </c>
      <c r="U4944" s="41">
        <v>0</v>
      </c>
      <c r="V4944" s="42" t="s">
        <v>113</v>
      </c>
      <c r="W4944" s="42">
        <v>1964.58</v>
      </c>
      <c r="X4944" s="42">
        <v>1964.58</v>
      </c>
    </row>
    <row r="4945" spans="1:24">
      <c r="A4945" s="27" t="s">
        <v>9153</v>
      </c>
      <c r="B4945" s="28" t="s">
        <v>5102</v>
      </c>
      <c r="C4945" s="27" t="s">
        <v>9152</v>
      </c>
      <c r="D4945" s="27" t="s">
        <v>5104</v>
      </c>
      <c r="E4945" s="29">
        <v>42213</v>
      </c>
      <c r="F4945" s="27">
        <v>15</v>
      </c>
      <c r="G4945" s="18">
        <v>223413.42</v>
      </c>
      <c r="H4945" s="27">
        <f t="shared" si="154"/>
        <v>0</v>
      </c>
      <c r="I4945" s="18">
        <v>57256.08</v>
      </c>
      <c r="J4945" s="27">
        <v>223413.42</v>
      </c>
      <c r="K4945" s="18">
        <f t="shared" si="155"/>
        <v>0</v>
      </c>
      <c r="L4945" s="27">
        <v>71032.67</v>
      </c>
      <c r="M4945" s="36">
        <v>13776.59</v>
      </c>
      <c r="T4945" s="41">
        <v>0</v>
      </c>
      <c r="U4945" s="41">
        <v>0</v>
      </c>
      <c r="V4945" s="42" t="s">
        <v>113</v>
      </c>
      <c r="W4945" s="42">
        <v>0</v>
      </c>
      <c r="X4945" s="42">
        <v>0</v>
      </c>
    </row>
    <row r="4946" spans="1:24">
      <c r="A4946" s="27" t="s">
        <v>9154</v>
      </c>
      <c r="B4946" s="28" t="s">
        <v>5102</v>
      </c>
      <c r="C4946" s="27" t="s">
        <v>9155</v>
      </c>
      <c r="D4946" s="27" t="s">
        <v>5104</v>
      </c>
      <c r="E4946" s="29">
        <v>42216</v>
      </c>
      <c r="F4946" s="27">
        <v>15</v>
      </c>
      <c r="G4946" s="18">
        <v>119205.01</v>
      </c>
      <c r="H4946" s="27">
        <f t="shared" si="154"/>
        <v>0</v>
      </c>
      <c r="I4946" s="18">
        <v>30549.69</v>
      </c>
      <c r="J4946" s="27">
        <v>119205.01</v>
      </c>
      <c r="K4946" s="18">
        <f t="shared" si="155"/>
        <v>0</v>
      </c>
      <c r="L4946" s="27">
        <v>37900.36</v>
      </c>
      <c r="M4946" s="36">
        <v>7350.67</v>
      </c>
      <c r="T4946" s="41">
        <v>0</v>
      </c>
      <c r="U4946" s="41">
        <v>0</v>
      </c>
      <c r="V4946" s="42" t="s">
        <v>113</v>
      </c>
      <c r="W4946" s="42">
        <v>0</v>
      </c>
      <c r="X4946" s="42">
        <v>0</v>
      </c>
    </row>
    <row r="4947" spans="1:24">
      <c r="A4947" s="27" t="s">
        <v>9156</v>
      </c>
      <c r="B4947" s="28" t="s">
        <v>5102</v>
      </c>
      <c r="C4947" s="27" t="s">
        <v>9155</v>
      </c>
      <c r="D4947" s="27" t="s">
        <v>5104</v>
      </c>
      <c r="E4947" s="29">
        <v>42216</v>
      </c>
      <c r="F4947" s="27">
        <v>15</v>
      </c>
      <c r="G4947" s="18">
        <v>60461.78</v>
      </c>
      <c r="H4947" s="27">
        <f t="shared" si="154"/>
        <v>0</v>
      </c>
      <c r="I4947" s="18">
        <v>15495.06</v>
      </c>
      <c r="J4947" s="27">
        <v>60461.78</v>
      </c>
      <c r="K4947" s="18">
        <f t="shared" si="155"/>
        <v>0</v>
      </c>
      <c r="L4947" s="27">
        <v>19223.38</v>
      </c>
      <c r="M4947" s="36">
        <v>3728.32</v>
      </c>
      <c r="T4947" s="41">
        <v>0</v>
      </c>
      <c r="U4947" s="41">
        <v>0</v>
      </c>
      <c r="V4947" s="42" t="s">
        <v>113</v>
      </c>
      <c r="W4947" s="42">
        <v>0</v>
      </c>
      <c r="X4947" s="42">
        <v>0</v>
      </c>
    </row>
    <row r="4948" spans="1:24">
      <c r="A4948" s="27" t="s">
        <v>9157</v>
      </c>
      <c r="B4948" s="28" t="s">
        <v>5102</v>
      </c>
      <c r="C4948" s="27" t="s">
        <v>9158</v>
      </c>
      <c r="D4948" s="27" t="s">
        <v>5104</v>
      </c>
      <c r="E4948" s="29">
        <v>42216</v>
      </c>
      <c r="F4948" s="27">
        <v>15</v>
      </c>
      <c r="G4948" s="18">
        <v>86318.18</v>
      </c>
      <c r="H4948" s="27">
        <f t="shared" si="154"/>
        <v>0</v>
      </c>
      <c r="I4948" s="18">
        <v>22121.5</v>
      </c>
      <c r="J4948" s="27">
        <v>86318.18</v>
      </c>
      <c r="K4948" s="18">
        <f t="shared" si="155"/>
        <v>0</v>
      </c>
      <c r="L4948" s="27">
        <v>27444.240000000002</v>
      </c>
      <c r="M4948" s="36">
        <v>5322.74</v>
      </c>
      <c r="T4948" s="41">
        <v>0</v>
      </c>
      <c r="U4948" s="41">
        <v>0</v>
      </c>
      <c r="V4948" s="42" t="s">
        <v>113</v>
      </c>
      <c r="W4948" s="42">
        <v>0</v>
      </c>
      <c r="X4948" s="42">
        <v>0</v>
      </c>
    </row>
    <row r="4949" spans="1:24">
      <c r="A4949" s="27" t="s">
        <v>9159</v>
      </c>
      <c r="B4949" s="28" t="s">
        <v>5102</v>
      </c>
      <c r="C4949" s="27" t="s">
        <v>9160</v>
      </c>
      <c r="D4949" s="27" t="s">
        <v>5104</v>
      </c>
      <c r="E4949" s="29">
        <v>42216</v>
      </c>
      <c r="F4949" s="27">
        <v>15</v>
      </c>
      <c r="G4949" s="18">
        <v>48356.62</v>
      </c>
      <c r="H4949" s="27">
        <f t="shared" si="154"/>
        <v>0</v>
      </c>
      <c r="I4949" s="18">
        <v>12392.77</v>
      </c>
      <c r="J4949" s="27">
        <v>48356.62</v>
      </c>
      <c r="K4949" s="18">
        <f t="shared" si="155"/>
        <v>0</v>
      </c>
      <c r="L4949" s="27">
        <v>15374.64</v>
      </c>
      <c r="M4949" s="36">
        <v>2981.87</v>
      </c>
      <c r="T4949" s="41">
        <v>0</v>
      </c>
      <c r="U4949" s="41">
        <v>0</v>
      </c>
      <c r="V4949" s="42" t="s">
        <v>113</v>
      </c>
      <c r="W4949" s="42">
        <v>0</v>
      </c>
      <c r="X4949" s="42">
        <v>0</v>
      </c>
    </row>
    <row r="4950" spans="1:24">
      <c r="A4950" s="27" t="s">
        <v>9161</v>
      </c>
      <c r="B4950" s="28" t="s">
        <v>5102</v>
      </c>
      <c r="C4950" s="27" t="s">
        <v>9162</v>
      </c>
      <c r="D4950" s="27" t="s">
        <v>5104</v>
      </c>
      <c r="E4950" s="29">
        <v>42216</v>
      </c>
      <c r="F4950" s="27">
        <v>15</v>
      </c>
      <c r="G4950" s="18">
        <v>89086.17</v>
      </c>
      <c r="H4950" s="27">
        <f t="shared" si="154"/>
        <v>0</v>
      </c>
      <c r="I4950" s="18">
        <v>22830.880000000001</v>
      </c>
      <c r="J4950" s="27">
        <v>89086.17</v>
      </c>
      <c r="K4950" s="18">
        <f t="shared" si="155"/>
        <v>0</v>
      </c>
      <c r="L4950" s="27">
        <v>28324.3</v>
      </c>
      <c r="M4950" s="36">
        <v>5493.42</v>
      </c>
      <c r="T4950" s="41">
        <v>0</v>
      </c>
      <c r="U4950" s="41">
        <v>0</v>
      </c>
      <c r="V4950" s="42" t="s">
        <v>113</v>
      </c>
      <c r="W4950" s="42">
        <v>0</v>
      </c>
      <c r="X4950" s="42">
        <v>0</v>
      </c>
    </row>
    <row r="4951" spans="1:24">
      <c r="A4951" s="27" t="s">
        <v>9163</v>
      </c>
      <c r="B4951" s="28" t="s">
        <v>5102</v>
      </c>
      <c r="C4951" s="27" t="s">
        <v>9162</v>
      </c>
      <c r="D4951" s="27" t="s">
        <v>5104</v>
      </c>
      <c r="E4951" s="29">
        <v>42216</v>
      </c>
      <c r="F4951" s="27">
        <v>15</v>
      </c>
      <c r="G4951" s="18">
        <v>9235.5</v>
      </c>
      <c r="H4951" s="27">
        <f t="shared" si="154"/>
        <v>0</v>
      </c>
      <c r="I4951" s="18">
        <v>2366.86</v>
      </c>
      <c r="J4951" s="27">
        <v>9235.5</v>
      </c>
      <c r="K4951" s="18">
        <f t="shared" si="155"/>
        <v>0</v>
      </c>
      <c r="L4951" s="27">
        <v>2936.36</v>
      </c>
      <c r="M4951" s="36">
        <v>569.5</v>
      </c>
      <c r="T4951" s="41">
        <v>0</v>
      </c>
      <c r="U4951" s="41">
        <v>0</v>
      </c>
      <c r="V4951" s="42" t="s">
        <v>113</v>
      </c>
      <c r="W4951" s="42">
        <v>0</v>
      </c>
      <c r="X4951" s="42">
        <v>0</v>
      </c>
    </row>
    <row r="4952" spans="1:24">
      <c r="A4952" s="27" t="s">
        <v>9164</v>
      </c>
      <c r="B4952" s="28" t="s">
        <v>5102</v>
      </c>
      <c r="C4952" s="27" t="s">
        <v>9165</v>
      </c>
      <c r="D4952" s="27" t="s">
        <v>5104</v>
      </c>
      <c r="E4952" s="29">
        <v>42216</v>
      </c>
      <c r="F4952" s="27">
        <v>15</v>
      </c>
      <c r="G4952" s="18">
        <v>61068.22</v>
      </c>
      <c r="H4952" s="27">
        <f t="shared" si="154"/>
        <v>0</v>
      </c>
      <c r="I4952" s="18">
        <v>15650.48</v>
      </c>
      <c r="J4952" s="27">
        <v>61068.22</v>
      </c>
      <c r="K4952" s="18">
        <f t="shared" si="155"/>
        <v>0</v>
      </c>
      <c r="L4952" s="27">
        <v>19416.2</v>
      </c>
      <c r="M4952" s="36">
        <v>3765.72</v>
      </c>
      <c r="T4952" s="41">
        <v>0</v>
      </c>
      <c r="U4952" s="41">
        <v>0</v>
      </c>
      <c r="V4952" s="42" t="s">
        <v>113</v>
      </c>
      <c r="W4952" s="42">
        <v>0</v>
      </c>
      <c r="X4952" s="42">
        <v>0</v>
      </c>
    </row>
    <row r="4953" spans="1:24">
      <c r="A4953" s="27" t="s">
        <v>9166</v>
      </c>
      <c r="B4953" s="28" t="s">
        <v>5102</v>
      </c>
      <c r="C4953" s="27" t="s">
        <v>9167</v>
      </c>
      <c r="D4953" s="27" t="s">
        <v>5104</v>
      </c>
      <c r="E4953" s="29">
        <v>42216</v>
      </c>
      <c r="F4953" s="27">
        <v>15</v>
      </c>
      <c r="G4953" s="18">
        <v>78693.77</v>
      </c>
      <c r="H4953" s="27">
        <f t="shared" si="154"/>
        <v>0</v>
      </c>
      <c r="I4953" s="18">
        <v>20167.52</v>
      </c>
      <c r="J4953" s="27">
        <v>78693.77</v>
      </c>
      <c r="K4953" s="18">
        <f t="shared" si="155"/>
        <v>0</v>
      </c>
      <c r="L4953" s="27">
        <v>25020.1</v>
      </c>
      <c r="M4953" s="36">
        <v>4852.58</v>
      </c>
      <c r="T4953" s="41">
        <v>0</v>
      </c>
      <c r="U4953" s="41">
        <v>0</v>
      </c>
      <c r="V4953" s="42" t="s">
        <v>113</v>
      </c>
      <c r="W4953" s="42">
        <v>0</v>
      </c>
      <c r="X4953" s="42">
        <v>0</v>
      </c>
    </row>
    <row r="4954" spans="1:24">
      <c r="A4954" s="27" t="s">
        <v>9168</v>
      </c>
      <c r="B4954" s="28" t="s">
        <v>5102</v>
      </c>
      <c r="C4954" s="27" t="s">
        <v>9167</v>
      </c>
      <c r="D4954" s="27" t="s">
        <v>5104</v>
      </c>
      <c r="E4954" s="29">
        <v>42216</v>
      </c>
      <c r="F4954" s="27">
        <v>15</v>
      </c>
      <c r="G4954" s="18">
        <v>16072.63</v>
      </c>
      <c r="H4954" s="27">
        <f t="shared" si="154"/>
        <v>0</v>
      </c>
      <c r="I4954" s="18">
        <v>4119.07</v>
      </c>
      <c r="J4954" s="27">
        <v>16072.63</v>
      </c>
      <c r="K4954" s="18">
        <f t="shared" si="155"/>
        <v>0</v>
      </c>
      <c r="L4954" s="27">
        <v>5110.17</v>
      </c>
      <c r="M4954" s="36">
        <v>991.1</v>
      </c>
      <c r="T4954" s="41">
        <v>0</v>
      </c>
      <c r="U4954" s="41">
        <v>0</v>
      </c>
      <c r="V4954" s="42" t="s">
        <v>113</v>
      </c>
      <c r="W4954" s="42">
        <v>0</v>
      </c>
      <c r="X4954" s="42">
        <v>0</v>
      </c>
    </row>
    <row r="4955" spans="1:24">
      <c r="A4955" s="27" t="s">
        <v>9169</v>
      </c>
      <c r="B4955" s="28" t="s">
        <v>5102</v>
      </c>
      <c r="C4955" s="27" t="s">
        <v>9170</v>
      </c>
      <c r="D4955" s="27" t="s">
        <v>5104</v>
      </c>
      <c r="E4955" s="29">
        <v>42216</v>
      </c>
      <c r="F4955" s="27">
        <v>15</v>
      </c>
      <c r="G4955" s="18">
        <v>40188.21</v>
      </c>
      <c r="H4955" s="27">
        <f t="shared" si="154"/>
        <v>0</v>
      </c>
      <c r="I4955" s="18">
        <v>10299.370000000001</v>
      </c>
      <c r="J4955" s="27">
        <v>40188.21</v>
      </c>
      <c r="K4955" s="18">
        <f t="shared" si="155"/>
        <v>0</v>
      </c>
      <c r="L4955" s="27">
        <v>12777.54</v>
      </c>
      <c r="M4955" s="36">
        <v>2478.17</v>
      </c>
      <c r="T4955" s="41">
        <v>0</v>
      </c>
      <c r="U4955" s="41">
        <v>0</v>
      </c>
      <c r="V4955" s="42" t="s">
        <v>113</v>
      </c>
      <c r="W4955" s="42">
        <v>0</v>
      </c>
      <c r="X4955" s="42">
        <v>0</v>
      </c>
    </row>
    <row r="4956" spans="1:24">
      <c r="A4956" s="27" t="s">
        <v>9171</v>
      </c>
      <c r="B4956" s="28" t="s">
        <v>5102</v>
      </c>
      <c r="C4956" s="27" t="s">
        <v>9172</v>
      </c>
      <c r="D4956" s="27" t="s">
        <v>5104</v>
      </c>
      <c r="E4956" s="29">
        <v>42216</v>
      </c>
      <c r="F4956" s="27">
        <v>15</v>
      </c>
      <c r="G4956" s="18">
        <v>151138.72</v>
      </c>
      <c r="H4956" s="27">
        <f t="shared" si="154"/>
        <v>0</v>
      </c>
      <c r="I4956" s="18">
        <v>38733.629999999997</v>
      </c>
      <c r="J4956" s="27">
        <v>151138.72</v>
      </c>
      <c r="K4956" s="18">
        <f t="shared" si="155"/>
        <v>0</v>
      </c>
      <c r="L4956" s="27">
        <v>48053.47</v>
      </c>
      <c r="M4956" s="36">
        <v>9319.84</v>
      </c>
      <c r="T4956" s="41">
        <v>0</v>
      </c>
      <c r="U4956" s="41">
        <v>0</v>
      </c>
      <c r="V4956" s="42" t="s">
        <v>113</v>
      </c>
      <c r="W4956" s="42">
        <v>0</v>
      </c>
      <c r="X4956" s="42">
        <v>0</v>
      </c>
    </row>
    <row r="4957" spans="1:24">
      <c r="A4957" s="27" t="s">
        <v>9173</v>
      </c>
      <c r="B4957" s="28" t="s">
        <v>5102</v>
      </c>
      <c r="C4957" s="27" t="s">
        <v>9174</v>
      </c>
      <c r="D4957" s="27" t="s">
        <v>5104</v>
      </c>
      <c r="E4957" s="29">
        <v>42216</v>
      </c>
      <c r="F4957" s="27">
        <v>15</v>
      </c>
      <c r="G4957" s="18">
        <v>47261.03</v>
      </c>
      <c r="H4957" s="27">
        <f t="shared" si="154"/>
        <v>0</v>
      </c>
      <c r="I4957" s="18">
        <v>12111.99</v>
      </c>
      <c r="J4957" s="27">
        <v>47261.03</v>
      </c>
      <c r="K4957" s="18">
        <f t="shared" si="155"/>
        <v>0</v>
      </c>
      <c r="L4957" s="27">
        <v>15026.3</v>
      </c>
      <c r="M4957" s="36">
        <v>2914.31</v>
      </c>
      <c r="T4957" s="41">
        <v>0</v>
      </c>
      <c r="U4957" s="41">
        <v>0</v>
      </c>
      <c r="V4957" s="42" t="s">
        <v>113</v>
      </c>
      <c r="W4957" s="42">
        <v>0</v>
      </c>
      <c r="X4957" s="42">
        <v>0</v>
      </c>
    </row>
    <row r="4958" spans="1:24">
      <c r="A4958" s="27" t="s">
        <v>9175</v>
      </c>
      <c r="B4958" s="28" t="s">
        <v>5102</v>
      </c>
      <c r="C4958" s="27" t="s">
        <v>9174</v>
      </c>
      <c r="D4958" s="27" t="s">
        <v>5104</v>
      </c>
      <c r="E4958" s="29">
        <v>42216</v>
      </c>
      <c r="F4958" s="27">
        <v>15</v>
      </c>
      <c r="G4958" s="18">
        <v>10045.36</v>
      </c>
      <c r="H4958" s="27">
        <f t="shared" si="154"/>
        <v>0</v>
      </c>
      <c r="I4958" s="18">
        <v>2574.42</v>
      </c>
      <c r="J4958" s="27">
        <v>10045.36</v>
      </c>
      <c r="K4958" s="18">
        <f t="shared" si="155"/>
        <v>0</v>
      </c>
      <c r="L4958" s="27">
        <v>3193.86</v>
      </c>
      <c r="M4958" s="36">
        <v>619.44000000000005</v>
      </c>
      <c r="T4958" s="41">
        <v>0</v>
      </c>
      <c r="U4958" s="41">
        <v>0</v>
      </c>
      <c r="V4958" s="42" t="s">
        <v>113</v>
      </c>
      <c r="W4958" s="42">
        <v>0</v>
      </c>
      <c r="X4958" s="42">
        <v>0</v>
      </c>
    </row>
    <row r="4959" spans="1:24">
      <c r="A4959" s="27" t="s">
        <v>9176</v>
      </c>
      <c r="B4959" s="28" t="s">
        <v>5102</v>
      </c>
      <c r="C4959" s="27" t="s">
        <v>9177</v>
      </c>
      <c r="D4959" s="27" t="s">
        <v>5104</v>
      </c>
      <c r="E4959" s="29">
        <v>42216</v>
      </c>
      <c r="F4959" s="27">
        <v>15</v>
      </c>
      <c r="G4959" s="18">
        <v>73187.62</v>
      </c>
      <c r="H4959" s="27">
        <f t="shared" si="154"/>
        <v>0</v>
      </c>
      <c r="I4959" s="18">
        <v>18756.419999999998</v>
      </c>
      <c r="J4959" s="27">
        <v>73187.62</v>
      </c>
      <c r="K4959" s="18">
        <f t="shared" si="155"/>
        <v>0</v>
      </c>
      <c r="L4959" s="27">
        <v>23269.47</v>
      </c>
      <c r="M4959" s="36">
        <v>4513.05</v>
      </c>
      <c r="T4959" s="41">
        <v>0</v>
      </c>
      <c r="U4959" s="41">
        <v>0</v>
      </c>
      <c r="V4959" s="42" t="s">
        <v>113</v>
      </c>
      <c r="W4959" s="42">
        <v>0</v>
      </c>
      <c r="X4959" s="42">
        <v>0</v>
      </c>
    </row>
    <row r="4960" spans="1:24">
      <c r="A4960" s="27" t="s">
        <v>9178</v>
      </c>
      <c r="B4960" s="28" t="s">
        <v>5102</v>
      </c>
      <c r="C4960" s="27" t="s">
        <v>9177</v>
      </c>
      <c r="D4960" s="27" t="s">
        <v>5104</v>
      </c>
      <c r="E4960" s="29">
        <v>42216</v>
      </c>
      <c r="F4960" s="27">
        <v>15</v>
      </c>
      <c r="G4960" s="18">
        <v>7797.11</v>
      </c>
      <c r="H4960" s="27">
        <f t="shared" si="154"/>
        <v>0</v>
      </c>
      <c r="I4960" s="18">
        <v>1998.24</v>
      </c>
      <c r="J4960" s="27">
        <v>7797.11</v>
      </c>
      <c r="K4960" s="18">
        <f t="shared" si="155"/>
        <v>0</v>
      </c>
      <c r="L4960" s="27">
        <v>2479.04</v>
      </c>
      <c r="M4960" s="36">
        <v>480.8</v>
      </c>
      <c r="T4960" s="41">
        <v>0</v>
      </c>
      <c r="U4960" s="41">
        <v>0</v>
      </c>
      <c r="V4960" s="42" t="s">
        <v>113</v>
      </c>
      <c r="W4960" s="42">
        <v>0</v>
      </c>
      <c r="X4960" s="42">
        <v>0</v>
      </c>
    </row>
    <row r="4961" spans="1:24">
      <c r="A4961" s="27" t="s">
        <v>9179</v>
      </c>
      <c r="B4961" s="28" t="s">
        <v>5102</v>
      </c>
      <c r="C4961" s="27" t="s">
        <v>9180</v>
      </c>
      <c r="D4961" s="27" t="s">
        <v>5104</v>
      </c>
      <c r="E4961" s="29">
        <v>41269</v>
      </c>
      <c r="F4961" s="27">
        <v>15</v>
      </c>
      <c r="G4961" s="18">
        <v>69278.460000000006</v>
      </c>
      <c r="H4961" s="27">
        <f t="shared" si="154"/>
        <v>0</v>
      </c>
      <c r="I4961" s="18">
        <v>35869.67</v>
      </c>
      <c r="J4961" s="27">
        <v>69278.460000000006</v>
      </c>
      <c r="K4961" s="18">
        <f t="shared" si="155"/>
        <v>0</v>
      </c>
      <c r="L4961" s="27">
        <v>39196.879999999997</v>
      </c>
      <c r="M4961" s="36">
        <v>3327.21</v>
      </c>
      <c r="T4961" s="41">
        <v>0</v>
      </c>
      <c r="U4961" s="41">
        <v>0</v>
      </c>
      <c r="V4961" s="42" t="s">
        <v>113</v>
      </c>
      <c r="W4961" s="42">
        <v>0</v>
      </c>
      <c r="X4961" s="42">
        <v>0</v>
      </c>
    </row>
    <row r="4962" spans="1:24">
      <c r="A4962" s="27" t="s">
        <v>9181</v>
      </c>
      <c r="B4962" s="28" t="s">
        <v>5102</v>
      </c>
      <c r="C4962" s="27" t="s">
        <v>9182</v>
      </c>
      <c r="D4962" s="27" t="s">
        <v>5104</v>
      </c>
      <c r="E4962" s="29">
        <v>41269</v>
      </c>
      <c r="F4962" s="27">
        <v>15</v>
      </c>
      <c r="G4962" s="18">
        <v>69278.460000000006</v>
      </c>
      <c r="H4962" s="27">
        <f t="shared" si="154"/>
        <v>0</v>
      </c>
      <c r="I4962" s="18">
        <v>35869.67</v>
      </c>
      <c r="J4962" s="27">
        <v>69278.460000000006</v>
      </c>
      <c r="K4962" s="18">
        <f t="shared" si="155"/>
        <v>0</v>
      </c>
      <c r="L4962" s="27">
        <v>39196.879999999997</v>
      </c>
      <c r="M4962" s="36">
        <v>3327.21</v>
      </c>
      <c r="T4962" s="41">
        <v>0</v>
      </c>
      <c r="U4962" s="41">
        <v>0</v>
      </c>
      <c r="V4962" s="42" t="s">
        <v>113</v>
      </c>
      <c r="W4962" s="42">
        <v>0</v>
      </c>
      <c r="X4962" s="42">
        <v>0</v>
      </c>
    </row>
    <row r="4963" spans="1:24">
      <c r="A4963" s="27" t="s">
        <v>9183</v>
      </c>
      <c r="B4963" s="28" t="s">
        <v>5102</v>
      </c>
      <c r="C4963" s="27" t="s">
        <v>9184</v>
      </c>
      <c r="D4963" s="27" t="s">
        <v>5104</v>
      </c>
      <c r="E4963" s="29">
        <v>42369</v>
      </c>
      <c r="F4963" s="27">
        <v>15</v>
      </c>
      <c r="G4963" s="18">
        <v>8572.14</v>
      </c>
      <c r="H4963" s="27">
        <f t="shared" si="154"/>
        <v>0</v>
      </c>
      <c r="I4963" s="18">
        <v>1879.28</v>
      </c>
      <c r="J4963" s="27">
        <v>8572.14</v>
      </c>
      <c r="K4963" s="18">
        <f t="shared" si="155"/>
        <v>0</v>
      </c>
      <c r="L4963" s="27">
        <v>2401.3000000000002</v>
      </c>
      <c r="M4963" s="36">
        <v>522.02</v>
      </c>
      <c r="T4963" s="41">
        <v>0</v>
      </c>
      <c r="U4963" s="41">
        <v>0</v>
      </c>
      <c r="V4963" s="42" t="s">
        <v>113</v>
      </c>
      <c r="W4963" s="42">
        <v>0</v>
      </c>
      <c r="X4963" s="42">
        <v>0</v>
      </c>
    </row>
    <row r="4964" spans="1:24">
      <c r="A4964" s="27" t="s">
        <v>9185</v>
      </c>
      <c r="B4964" s="28" t="s">
        <v>5102</v>
      </c>
      <c r="C4964" s="27" t="s">
        <v>9186</v>
      </c>
      <c r="D4964" s="27" t="s">
        <v>5104</v>
      </c>
      <c r="E4964" s="29">
        <v>42369</v>
      </c>
      <c r="F4964" s="27">
        <v>15</v>
      </c>
      <c r="G4964" s="18">
        <v>14408.5</v>
      </c>
      <c r="H4964" s="27">
        <f t="shared" si="154"/>
        <v>0</v>
      </c>
      <c r="I4964" s="18">
        <v>3158.78</v>
      </c>
      <c r="J4964" s="27">
        <v>14408.5</v>
      </c>
      <c r="K4964" s="18">
        <f t="shared" si="155"/>
        <v>0</v>
      </c>
      <c r="L4964" s="27">
        <v>4036.22</v>
      </c>
      <c r="M4964" s="36">
        <v>877.44</v>
      </c>
      <c r="T4964" s="41">
        <v>0</v>
      </c>
      <c r="U4964" s="41">
        <v>0</v>
      </c>
      <c r="V4964" s="42" t="s">
        <v>113</v>
      </c>
      <c r="W4964" s="42">
        <v>0</v>
      </c>
      <c r="X4964" s="42">
        <v>0</v>
      </c>
    </row>
    <row r="4965" spans="1:24">
      <c r="A4965" s="27" t="s">
        <v>9187</v>
      </c>
      <c r="B4965" s="28" t="s">
        <v>5102</v>
      </c>
      <c r="C4965" s="27" t="s">
        <v>9188</v>
      </c>
      <c r="D4965" s="27" t="s">
        <v>5104</v>
      </c>
      <c r="E4965" s="29">
        <v>42369</v>
      </c>
      <c r="F4965" s="27">
        <v>12</v>
      </c>
      <c r="G4965" s="18">
        <v>4037.65</v>
      </c>
      <c r="H4965" s="27">
        <f t="shared" si="154"/>
        <v>4037.65</v>
      </c>
      <c r="I4965" s="18">
        <v>4037.65</v>
      </c>
      <c r="J4965" s="27">
        <v>4037.65</v>
      </c>
      <c r="K4965" s="18">
        <f t="shared" si="155"/>
        <v>4037.65</v>
      </c>
      <c r="L4965" s="27">
        <v>4037.65</v>
      </c>
      <c r="M4965" s="36">
        <v>0</v>
      </c>
      <c r="T4965" s="41">
        <v>0</v>
      </c>
      <c r="U4965" s="41">
        <v>0</v>
      </c>
      <c r="V4965" s="42" t="s">
        <v>113</v>
      </c>
      <c r="W4965" s="42">
        <v>4037.65</v>
      </c>
      <c r="X4965" s="42">
        <v>4037.65</v>
      </c>
    </row>
    <row r="4966" spans="1:24">
      <c r="A4966" s="27" t="s">
        <v>9189</v>
      </c>
      <c r="B4966" s="28" t="s">
        <v>5102</v>
      </c>
      <c r="C4966" s="27" t="s">
        <v>9190</v>
      </c>
      <c r="D4966" s="27" t="s">
        <v>5104</v>
      </c>
      <c r="E4966" s="29">
        <v>42369</v>
      </c>
      <c r="F4966" s="27">
        <v>15</v>
      </c>
      <c r="G4966" s="18">
        <v>5742.02</v>
      </c>
      <c r="H4966" s="27">
        <f t="shared" si="154"/>
        <v>0</v>
      </c>
      <c r="I4966" s="18">
        <v>1258.83</v>
      </c>
      <c r="J4966" s="27">
        <v>5742.02</v>
      </c>
      <c r="K4966" s="18">
        <f t="shared" si="155"/>
        <v>0</v>
      </c>
      <c r="L4966" s="27">
        <v>1608.5</v>
      </c>
      <c r="M4966" s="36">
        <v>349.67</v>
      </c>
      <c r="T4966" s="41">
        <v>0</v>
      </c>
      <c r="U4966" s="41">
        <v>0</v>
      </c>
      <c r="V4966" s="42" t="s">
        <v>113</v>
      </c>
      <c r="W4966" s="42">
        <v>0</v>
      </c>
      <c r="X4966" s="42">
        <v>0</v>
      </c>
    </row>
    <row r="4967" spans="1:24">
      <c r="A4967" s="27" t="s">
        <v>9191</v>
      </c>
      <c r="B4967" s="28" t="s">
        <v>5102</v>
      </c>
      <c r="C4967" s="27" t="s">
        <v>9192</v>
      </c>
      <c r="D4967" s="27" t="s">
        <v>5104</v>
      </c>
      <c r="E4967" s="29">
        <v>42369</v>
      </c>
      <c r="F4967" s="27">
        <v>15</v>
      </c>
      <c r="G4967" s="18">
        <v>20817.16</v>
      </c>
      <c r="H4967" s="27">
        <f t="shared" si="154"/>
        <v>0</v>
      </c>
      <c r="I4967" s="18">
        <v>4563.76</v>
      </c>
      <c r="J4967" s="27">
        <v>20817.16</v>
      </c>
      <c r="K4967" s="18">
        <f t="shared" si="155"/>
        <v>0</v>
      </c>
      <c r="L4967" s="27">
        <v>5831.47</v>
      </c>
      <c r="M4967" s="36">
        <v>1267.71</v>
      </c>
      <c r="T4967" s="41">
        <v>0</v>
      </c>
      <c r="U4967" s="41">
        <v>0</v>
      </c>
      <c r="V4967" s="42" t="s">
        <v>113</v>
      </c>
      <c r="W4967" s="42">
        <v>0</v>
      </c>
      <c r="X4967" s="42">
        <v>0</v>
      </c>
    </row>
    <row r="4968" spans="1:24">
      <c r="A4968" s="27" t="s">
        <v>9193</v>
      </c>
      <c r="B4968" s="28" t="s">
        <v>5102</v>
      </c>
      <c r="C4968" s="27" t="s">
        <v>9194</v>
      </c>
      <c r="D4968" s="27" t="s">
        <v>5104</v>
      </c>
      <c r="E4968" s="29">
        <v>42369</v>
      </c>
      <c r="F4968" s="27">
        <v>15</v>
      </c>
      <c r="G4968" s="18">
        <v>14075.17</v>
      </c>
      <c r="H4968" s="27">
        <f t="shared" si="154"/>
        <v>0</v>
      </c>
      <c r="I4968" s="18">
        <v>3085.7</v>
      </c>
      <c r="J4968" s="27">
        <v>14075.17</v>
      </c>
      <c r="K4968" s="18">
        <f t="shared" si="155"/>
        <v>0</v>
      </c>
      <c r="L4968" s="27">
        <v>3942.84</v>
      </c>
      <c r="M4968" s="36">
        <v>857.14</v>
      </c>
      <c r="T4968" s="41">
        <v>0</v>
      </c>
      <c r="U4968" s="41">
        <v>0</v>
      </c>
      <c r="V4968" s="42" t="s">
        <v>113</v>
      </c>
      <c r="W4968" s="42">
        <v>0</v>
      </c>
      <c r="X4968" s="42">
        <v>0</v>
      </c>
    </row>
    <row r="4969" spans="1:24">
      <c r="A4969" s="27" t="s">
        <v>9195</v>
      </c>
      <c r="B4969" s="28" t="s">
        <v>5102</v>
      </c>
      <c r="C4969" s="27" t="s">
        <v>9194</v>
      </c>
      <c r="D4969" s="27" t="s">
        <v>5104</v>
      </c>
      <c r="E4969" s="29">
        <v>42369</v>
      </c>
      <c r="F4969" s="27">
        <v>15</v>
      </c>
      <c r="G4969" s="18">
        <v>22068.71</v>
      </c>
      <c r="H4969" s="27">
        <f t="shared" si="154"/>
        <v>0</v>
      </c>
      <c r="I4969" s="18">
        <v>4838.1499999999996</v>
      </c>
      <c r="J4969" s="27">
        <v>22068.71</v>
      </c>
      <c r="K4969" s="18">
        <f t="shared" si="155"/>
        <v>0</v>
      </c>
      <c r="L4969" s="27">
        <v>6182.08</v>
      </c>
      <c r="M4969" s="36">
        <v>1343.93</v>
      </c>
      <c r="T4969" s="41">
        <v>0</v>
      </c>
      <c r="U4969" s="41">
        <v>0</v>
      </c>
      <c r="V4969" s="42" t="s">
        <v>113</v>
      </c>
      <c r="W4969" s="42">
        <v>0</v>
      </c>
      <c r="X4969" s="42">
        <v>0</v>
      </c>
    </row>
    <row r="4970" spans="1:24">
      <c r="A4970" s="27" t="s">
        <v>9196</v>
      </c>
      <c r="B4970" s="28" t="s">
        <v>5102</v>
      </c>
      <c r="C4970" s="27" t="s">
        <v>9197</v>
      </c>
      <c r="D4970" s="27" t="s">
        <v>5104</v>
      </c>
      <c r="E4970" s="29">
        <v>42369</v>
      </c>
      <c r="F4970" s="27">
        <v>12</v>
      </c>
      <c r="G4970" s="18">
        <v>2937.04</v>
      </c>
      <c r="H4970" s="27">
        <f t="shared" si="154"/>
        <v>2937.04</v>
      </c>
      <c r="I4970" s="18">
        <v>2937.04</v>
      </c>
      <c r="J4970" s="27">
        <v>2937.04</v>
      </c>
      <c r="K4970" s="18">
        <f t="shared" si="155"/>
        <v>2937.04</v>
      </c>
      <c r="L4970" s="27">
        <v>2937.04</v>
      </c>
      <c r="M4970" s="36">
        <v>0</v>
      </c>
      <c r="T4970" s="41">
        <v>0</v>
      </c>
      <c r="U4970" s="41">
        <v>0</v>
      </c>
      <c r="V4970" s="42" t="s">
        <v>113</v>
      </c>
      <c r="W4970" s="42">
        <v>2937.04</v>
      </c>
      <c r="X4970" s="42">
        <v>2937.04</v>
      </c>
    </row>
    <row r="4971" spans="1:24">
      <c r="A4971" s="27" t="s">
        <v>9198</v>
      </c>
      <c r="B4971" s="28" t="s">
        <v>5102</v>
      </c>
      <c r="C4971" s="27" t="s">
        <v>9199</v>
      </c>
      <c r="D4971" s="27" t="s">
        <v>5104</v>
      </c>
      <c r="E4971" s="29">
        <v>42369</v>
      </c>
      <c r="F4971" s="27">
        <v>12</v>
      </c>
      <c r="G4971" s="18">
        <v>4880.3999999999996</v>
      </c>
      <c r="H4971" s="27">
        <f t="shared" si="154"/>
        <v>4880.3999999999996</v>
      </c>
      <c r="I4971" s="18">
        <v>4880.3999999999996</v>
      </c>
      <c r="J4971" s="27">
        <v>4880.3999999999996</v>
      </c>
      <c r="K4971" s="18">
        <f t="shared" si="155"/>
        <v>4880.3999999999996</v>
      </c>
      <c r="L4971" s="27">
        <v>4880.3999999999996</v>
      </c>
      <c r="M4971" s="36">
        <v>0</v>
      </c>
      <c r="T4971" s="41">
        <v>0</v>
      </c>
      <c r="U4971" s="41">
        <v>0</v>
      </c>
      <c r="V4971" s="42" t="s">
        <v>113</v>
      </c>
      <c r="W4971" s="42">
        <v>4880.3999999999996</v>
      </c>
      <c r="X4971" s="42">
        <v>4880.3999999999996</v>
      </c>
    </row>
    <row r="4972" spans="1:24">
      <c r="A4972" s="27" t="s">
        <v>9200</v>
      </c>
      <c r="B4972" s="28" t="s">
        <v>5102</v>
      </c>
      <c r="C4972" s="27" t="s">
        <v>9201</v>
      </c>
      <c r="D4972" s="27" t="s">
        <v>5104</v>
      </c>
      <c r="E4972" s="29">
        <v>42369</v>
      </c>
      <c r="F4972" s="27">
        <v>15</v>
      </c>
      <c r="G4972" s="18">
        <v>14559.44</v>
      </c>
      <c r="H4972" s="27">
        <f t="shared" si="154"/>
        <v>0</v>
      </c>
      <c r="I4972" s="18">
        <v>3191.87</v>
      </c>
      <c r="J4972" s="27">
        <v>14559.44</v>
      </c>
      <c r="K4972" s="18">
        <f t="shared" si="155"/>
        <v>0</v>
      </c>
      <c r="L4972" s="27">
        <v>4078.5</v>
      </c>
      <c r="M4972" s="36">
        <v>886.63</v>
      </c>
      <c r="T4972" s="41">
        <v>0</v>
      </c>
      <c r="U4972" s="41">
        <v>0</v>
      </c>
      <c r="V4972" s="42" t="s">
        <v>113</v>
      </c>
      <c r="W4972" s="42">
        <v>0</v>
      </c>
      <c r="X4972" s="42">
        <v>0</v>
      </c>
    </row>
    <row r="4973" spans="1:24">
      <c r="A4973" s="27" t="s">
        <v>9202</v>
      </c>
      <c r="B4973" s="28" t="s">
        <v>5102</v>
      </c>
      <c r="C4973" s="27" t="s">
        <v>9203</v>
      </c>
      <c r="D4973" s="27" t="s">
        <v>5104</v>
      </c>
      <c r="E4973" s="29">
        <v>42369</v>
      </c>
      <c r="F4973" s="27">
        <v>15</v>
      </c>
      <c r="G4973" s="18">
        <v>9723.06</v>
      </c>
      <c r="H4973" s="27">
        <f t="shared" si="154"/>
        <v>0</v>
      </c>
      <c r="I4973" s="18">
        <v>2131.59</v>
      </c>
      <c r="J4973" s="27">
        <v>9723.06</v>
      </c>
      <c r="K4973" s="18">
        <f t="shared" si="155"/>
        <v>0</v>
      </c>
      <c r="L4973" s="27">
        <v>2723.7</v>
      </c>
      <c r="M4973" s="36">
        <v>592.11</v>
      </c>
      <c r="T4973" s="41">
        <v>0</v>
      </c>
      <c r="U4973" s="41">
        <v>0</v>
      </c>
      <c r="V4973" s="42" t="s">
        <v>113</v>
      </c>
      <c r="W4973" s="42">
        <v>0</v>
      </c>
      <c r="X4973" s="42">
        <v>0</v>
      </c>
    </row>
    <row r="4974" spans="1:24">
      <c r="A4974" s="27" t="s">
        <v>9204</v>
      </c>
      <c r="B4974" s="28" t="s">
        <v>5102</v>
      </c>
      <c r="C4974" s="27" t="s">
        <v>9205</v>
      </c>
      <c r="D4974" s="27" t="s">
        <v>5104</v>
      </c>
      <c r="E4974" s="29">
        <v>42369</v>
      </c>
      <c r="F4974" s="27">
        <v>15</v>
      </c>
      <c r="G4974" s="18">
        <v>18974.439999999999</v>
      </c>
      <c r="H4974" s="27">
        <f t="shared" si="154"/>
        <v>0</v>
      </c>
      <c r="I4974" s="18">
        <v>4159.78</v>
      </c>
      <c r="J4974" s="27">
        <v>18974.439999999999</v>
      </c>
      <c r="K4974" s="18">
        <f t="shared" si="155"/>
        <v>0</v>
      </c>
      <c r="L4974" s="27">
        <v>5315.28</v>
      </c>
      <c r="M4974" s="36">
        <v>1155.5</v>
      </c>
      <c r="T4974" s="41">
        <v>0</v>
      </c>
      <c r="U4974" s="41">
        <v>0</v>
      </c>
      <c r="V4974" s="42" t="s">
        <v>113</v>
      </c>
      <c r="W4974" s="42">
        <v>0</v>
      </c>
      <c r="X4974" s="42">
        <v>0</v>
      </c>
    </row>
    <row r="4975" spans="1:24">
      <c r="A4975" s="27" t="s">
        <v>9206</v>
      </c>
      <c r="B4975" s="28" t="s">
        <v>5102</v>
      </c>
      <c r="C4975" s="27" t="s">
        <v>9205</v>
      </c>
      <c r="D4975" s="27" t="s">
        <v>5104</v>
      </c>
      <c r="E4975" s="29">
        <v>42369</v>
      </c>
      <c r="F4975" s="27">
        <v>12</v>
      </c>
      <c r="G4975" s="18">
        <v>691.81</v>
      </c>
      <c r="H4975" s="27">
        <f t="shared" si="154"/>
        <v>691.81</v>
      </c>
      <c r="I4975" s="18">
        <v>691.81</v>
      </c>
      <c r="J4975" s="27">
        <v>691.81</v>
      </c>
      <c r="K4975" s="18">
        <f t="shared" si="155"/>
        <v>691.81</v>
      </c>
      <c r="L4975" s="27">
        <v>691.81</v>
      </c>
      <c r="M4975" s="36">
        <v>0</v>
      </c>
      <c r="T4975" s="41">
        <v>0</v>
      </c>
      <c r="U4975" s="41">
        <v>0</v>
      </c>
      <c r="V4975" s="42" t="s">
        <v>113</v>
      </c>
      <c r="W4975" s="42">
        <v>691.81</v>
      </c>
      <c r="X4975" s="42">
        <v>691.81</v>
      </c>
    </row>
    <row r="4976" spans="1:24">
      <c r="A4976" s="27" t="s">
        <v>9207</v>
      </c>
      <c r="B4976" s="28" t="s">
        <v>5102</v>
      </c>
      <c r="C4976" s="27" t="s">
        <v>9208</v>
      </c>
      <c r="D4976" s="27" t="s">
        <v>5104</v>
      </c>
      <c r="E4976" s="29">
        <v>42369</v>
      </c>
      <c r="F4976" s="27">
        <v>12</v>
      </c>
      <c r="G4976" s="18">
        <v>4138.28</v>
      </c>
      <c r="H4976" s="27">
        <f t="shared" si="154"/>
        <v>4138.28</v>
      </c>
      <c r="I4976" s="18">
        <v>4138.28</v>
      </c>
      <c r="J4976" s="27">
        <v>4138.28</v>
      </c>
      <c r="K4976" s="18">
        <f t="shared" si="155"/>
        <v>4138.28</v>
      </c>
      <c r="L4976" s="27">
        <v>4138.28</v>
      </c>
      <c r="M4976" s="36">
        <v>0</v>
      </c>
      <c r="T4976" s="41">
        <v>0</v>
      </c>
      <c r="U4976" s="41">
        <v>0</v>
      </c>
      <c r="V4976" s="42" t="s">
        <v>113</v>
      </c>
      <c r="W4976" s="42">
        <v>4138.28</v>
      </c>
      <c r="X4976" s="42">
        <v>4138.28</v>
      </c>
    </row>
    <row r="4977" spans="1:24">
      <c r="A4977" s="27" t="s">
        <v>9209</v>
      </c>
      <c r="B4977" s="28" t="s">
        <v>5102</v>
      </c>
      <c r="C4977" s="27" t="s">
        <v>9208</v>
      </c>
      <c r="D4977" s="27" t="s">
        <v>5104</v>
      </c>
      <c r="E4977" s="29">
        <v>42369</v>
      </c>
      <c r="F4977" s="27">
        <v>15</v>
      </c>
      <c r="G4977" s="18">
        <v>23666.16</v>
      </c>
      <c r="H4977" s="27">
        <f t="shared" si="154"/>
        <v>0</v>
      </c>
      <c r="I4977" s="18">
        <v>5188.3500000000004</v>
      </c>
      <c r="J4977" s="27">
        <v>23666.16</v>
      </c>
      <c r="K4977" s="18">
        <f t="shared" si="155"/>
        <v>0</v>
      </c>
      <c r="L4977" s="27">
        <v>6629.56</v>
      </c>
      <c r="M4977" s="36">
        <v>1441.21</v>
      </c>
      <c r="T4977" s="41">
        <v>0</v>
      </c>
      <c r="U4977" s="41">
        <v>0</v>
      </c>
      <c r="V4977" s="42" t="s">
        <v>113</v>
      </c>
      <c r="W4977" s="42">
        <v>0</v>
      </c>
      <c r="X4977" s="42">
        <v>0</v>
      </c>
    </row>
    <row r="4978" spans="1:24">
      <c r="A4978" s="27" t="s">
        <v>9210</v>
      </c>
      <c r="B4978" s="28" t="s">
        <v>5102</v>
      </c>
      <c r="C4978" s="27" t="s">
        <v>9211</v>
      </c>
      <c r="D4978" s="27" t="s">
        <v>5104</v>
      </c>
      <c r="E4978" s="29">
        <v>42369</v>
      </c>
      <c r="F4978" s="27">
        <v>15</v>
      </c>
      <c r="G4978" s="18">
        <v>6383.51</v>
      </c>
      <c r="H4978" s="27">
        <f t="shared" si="154"/>
        <v>0</v>
      </c>
      <c r="I4978" s="18">
        <v>1399.46</v>
      </c>
      <c r="J4978" s="27">
        <v>6383.51</v>
      </c>
      <c r="K4978" s="18">
        <f t="shared" si="155"/>
        <v>0</v>
      </c>
      <c r="L4978" s="27">
        <v>1788.2</v>
      </c>
      <c r="M4978" s="36">
        <v>388.74</v>
      </c>
      <c r="T4978" s="41">
        <v>0</v>
      </c>
      <c r="U4978" s="41">
        <v>0</v>
      </c>
      <c r="V4978" s="42" t="s">
        <v>113</v>
      </c>
      <c r="W4978" s="42">
        <v>0</v>
      </c>
      <c r="X4978" s="42">
        <v>0</v>
      </c>
    </row>
    <row r="4979" spans="1:24">
      <c r="A4979" s="27" t="s">
        <v>9212</v>
      </c>
      <c r="B4979" s="28" t="s">
        <v>5102</v>
      </c>
      <c r="C4979" s="27" t="s">
        <v>9213</v>
      </c>
      <c r="D4979" s="27" t="s">
        <v>5104</v>
      </c>
      <c r="E4979" s="29">
        <v>42369</v>
      </c>
      <c r="F4979" s="27">
        <v>12</v>
      </c>
      <c r="G4979" s="18">
        <v>1446.51</v>
      </c>
      <c r="H4979" s="27">
        <f t="shared" si="154"/>
        <v>1446.51</v>
      </c>
      <c r="I4979" s="18">
        <v>1446.51</v>
      </c>
      <c r="J4979" s="27">
        <v>1446.51</v>
      </c>
      <c r="K4979" s="18">
        <f t="shared" si="155"/>
        <v>1446.51</v>
      </c>
      <c r="L4979" s="27">
        <v>1446.51</v>
      </c>
      <c r="M4979" s="36">
        <v>0</v>
      </c>
      <c r="T4979" s="41">
        <v>0</v>
      </c>
      <c r="U4979" s="41">
        <v>0</v>
      </c>
      <c r="V4979" s="42" t="s">
        <v>113</v>
      </c>
      <c r="W4979" s="42">
        <v>1446.51</v>
      </c>
      <c r="X4979" s="42">
        <v>1446.51</v>
      </c>
    </row>
    <row r="4980" spans="1:24">
      <c r="A4980" s="27" t="s">
        <v>9214</v>
      </c>
      <c r="B4980" s="28" t="s">
        <v>5102</v>
      </c>
      <c r="C4980" s="27" t="s">
        <v>9213</v>
      </c>
      <c r="D4980" s="27" t="s">
        <v>5104</v>
      </c>
      <c r="E4980" s="29">
        <v>42369</v>
      </c>
      <c r="F4980" s="27">
        <v>15</v>
      </c>
      <c r="G4980" s="18">
        <v>32879.800000000003</v>
      </c>
      <c r="H4980" s="27">
        <f t="shared" si="154"/>
        <v>0</v>
      </c>
      <c r="I4980" s="18">
        <v>7208.26</v>
      </c>
      <c r="J4980" s="27">
        <v>32879.800000000003</v>
      </c>
      <c r="K4980" s="18">
        <f t="shared" si="155"/>
        <v>0</v>
      </c>
      <c r="L4980" s="27">
        <v>9210.56</v>
      </c>
      <c r="M4980" s="36">
        <v>2002.3</v>
      </c>
      <c r="T4980" s="41">
        <v>0</v>
      </c>
      <c r="U4980" s="41">
        <v>0</v>
      </c>
      <c r="V4980" s="42" t="s">
        <v>113</v>
      </c>
      <c r="W4980" s="42">
        <v>0</v>
      </c>
      <c r="X4980" s="42">
        <v>0</v>
      </c>
    </row>
    <row r="4981" spans="1:24">
      <c r="A4981" s="27" t="s">
        <v>9215</v>
      </c>
      <c r="B4981" s="28" t="s">
        <v>5102</v>
      </c>
      <c r="C4981" s="27" t="s">
        <v>9216</v>
      </c>
      <c r="D4981" s="27" t="s">
        <v>5104</v>
      </c>
      <c r="E4981" s="29">
        <v>42369</v>
      </c>
      <c r="F4981" s="27">
        <v>15</v>
      </c>
      <c r="G4981" s="18">
        <v>8095.25</v>
      </c>
      <c r="H4981" s="27">
        <f t="shared" si="154"/>
        <v>0</v>
      </c>
      <c r="I4981" s="18">
        <v>1774.72</v>
      </c>
      <c r="J4981" s="27">
        <v>8095.25</v>
      </c>
      <c r="K4981" s="18">
        <f t="shared" si="155"/>
        <v>0</v>
      </c>
      <c r="L4981" s="27">
        <v>2267.6999999999998</v>
      </c>
      <c r="M4981" s="36">
        <v>492.98</v>
      </c>
      <c r="T4981" s="41">
        <v>0</v>
      </c>
      <c r="U4981" s="41">
        <v>0</v>
      </c>
      <c r="V4981" s="42" t="s">
        <v>113</v>
      </c>
      <c r="W4981" s="42">
        <v>0</v>
      </c>
      <c r="X4981" s="42">
        <v>0</v>
      </c>
    </row>
    <row r="4982" spans="1:24">
      <c r="A4982" s="27" t="s">
        <v>9217</v>
      </c>
      <c r="B4982" s="28" t="s">
        <v>5102</v>
      </c>
      <c r="C4982" s="27" t="s">
        <v>9218</v>
      </c>
      <c r="D4982" s="27" t="s">
        <v>5104</v>
      </c>
      <c r="E4982" s="29">
        <v>42369</v>
      </c>
      <c r="F4982" s="27">
        <v>12</v>
      </c>
      <c r="G4982" s="18">
        <v>3360.29</v>
      </c>
      <c r="H4982" s="27">
        <f t="shared" si="154"/>
        <v>3360.29</v>
      </c>
      <c r="I4982" s="18">
        <v>3360.29</v>
      </c>
      <c r="J4982" s="27">
        <v>3360.29</v>
      </c>
      <c r="K4982" s="18">
        <f t="shared" si="155"/>
        <v>3360.29</v>
      </c>
      <c r="L4982" s="27">
        <v>3360.29</v>
      </c>
      <c r="M4982" s="36">
        <v>0</v>
      </c>
      <c r="T4982" s="41">
        <v>0</v>
      </c>
      <c r="U4982" s="41">
        <v>0</v>
      </c>
      <c r="V4982" s="42" t="s">
        <v>113</v>
      </c>
      <c r="W4982" s="42">
        <v>3360.29</v>
      </c>
      <c r="X4982" s="42">
        <v>3360.29</v>
      </c>
    </row>
    <row r="4983" spans="1:24">
      <c r="A4983" s="27" t="s">
        <v>9219</v>
      </c>
      <c r="B4983" s="28" t="s">
        <v>5102</v>
      </c>
      <c r="C4983" s="27" t="s">
        <v>9220</v>
      </c>
      <c r="D4983" s="27" t="s">
        <v>5104</v>
      </c>
      <c r="E4983" s="29">
        <v>42369</v>
      </c>
      <c r="F4983" s="27">
        <v>12</v>
      </c>
      <c r="G4983" s="18">
        <v>1295.24</v>
      </c>
      <c r="H4983" s="27">
        <f t="shared" si="154"/>
        <v>1295.24</v>
      </c>
      <c r="I4983" s="18">
        <v>1295.24</v>
      </c>
      <c r="J4983" s="27">
        <v>1295.24</v>
      </c>
      <c r="K4983" s="18">
        <f t="shared" si="155"/>
        <v>1295.24</v>
      </c>
      <c r="L4983" s="27">
        <v>1295.24</v>
      </c>
      <c r="M4983" s="36">
        <v>0</v>
      </c>
      <c r="T4983" s="41">
        <v>0</v>
      </c>
      <c r="U4983" s="41">
        <v>0</v>
      </c>
      <c r="V4983" s="42" t="s">
        <v>113</v>
      </c>
      <c r="W4983" s="42">
        <v>1295.24</v>
      </c>
      <c r="X4983" s="42">
        <v>1295.24</v>
      </c>
    </row>
    <row r="4984" spans="1:24">
      <c r="A4984" s="27" t="s">
        <v>9221</v>
      </c>
      <c r="B4984" s="28" t="s">
        <v>5102</v>
      </c>
      <c r="C4984" s="27" t="s">
        <v>9222</v>
      </c>
      <c r="D4984" s="27" t="s">
        <v>5104</v>
      </c>
      <c r="E4984" s="29">
        <v>42369</v>
      </c>
      <c r="F4984" s="27">
        <v>15</v>
      </c>
      <c r="G4984" s="18">
        <v>5095.43</v>
      </c>
      <c r="H4984" s="27">
        <f t="shared" si="154"/>
        <v>0</v>
      </c>
      <c r="I4984" s="18">
        <v>1117.08</v>
      </c>
      <c r="J4984" s="27">
        <v>5095.43</v>
      </c>
      <c r="K4984" s="18">
        <f t="shared" si="155"/>
        <v>0</v>
      </c>
      <c r="L4984" s="27">
        <v>1427.38</v>
      </c>
      <c r="M4984" s="36">
        <v>310.3</v>
      </c>
      <c r="T4984" s="41">
        <v>0</v>
      </c>
      <c r="U4984" s="41">
        <v>0</v>
      </c>
      <c r="V4984" s="42" t="s">
        <v>113</v>
      </c>
      <c r="W4984" s="42">
        <v>0</v>
      </c>
      <c r="X4984" s="42">
        <v>0</v>
      </c>
    </row>
    <row r="4985" spans="1:24">
      <c r="A4985" s="27" t="s">
        <v>9223</v>
      </c>
      <c r="B4985" s="28" t="s">
        <v>5102</v>
      </c>
      <c r="C4985" s="27" t="s">
        <v>9224</v>
      </c>
      <c r="D4985" s="27" t="s">
        <v>5104</v>
      </c>
      <c r="E4985" s="29">
        <v>42369</v>
      </c>
      <c r="F4985" s="27">
        <v>12</v>
      </c>
      <c r="G4985" s="18">
        <v>2547.71</v>
      </c>
      <c r="H4985" s="27">
        <f t="shared" si="154"/>
        <v>2547.71</v>
      </c>
      <c r="I4985" s="18">
        <v>2547.71</v>
      </c>
      <c r="J4985" s="27">
        <v>2547.71</v>
      </c>
      <c r="K4985" s="18">
        <f t="shared" si="155"/>
        <v>2547.71</v>
      </c>
      <c r="L4985" s="27">
        <v>2547.71</v>
      </c>
      <c r="M4985" s="36">
        <v>0</v>
      </c>
      <c r="T4985" s="41">
        <v>0</v>
      </c>
      <c r="U4985" s="41">
        <v>0</v>
      </c>
      <c r="V4985" s="42" t="s">
        <v>113</v>
      </c>
      <c r="W4985" s="42">
        <v>2547.71</v>
      </c>
      <c r="X4985" s="42">
        <v>2547.71</v>
      </c>
    </row>
    <row r="4986" spans="1:24">
      <c r="A4986" s="27" t="s">
        <v>9225</v>
      </c>
      <c r="B4986" s="28" t="s">
        <v>5102</v>
      </c>
      <c r="C4986" s="27" t="s">
        <v>9226</v>
      </c>
      <c r="D4986" s="27" t="s">
        <v>5104</v>
      </c>
      <c r="E4986" s="29">
        <v>42369</v>
      </c>
      <c r="F4986" s="27">
        <v>12</v>
      </c>
      <c r="G4986" s="18">
        <v>763.7</v>
      </c>
      <c r="H4986" s="27">
        <f t="shared" si="154"/>
        <v>763.7</v>
      </c>
      <c r="I4986" s="18">
        <v>763.7</v>
      </c>
      <c r="J4986" s="27">
        <v>763.7</v>
      </c>
      <c r="K4986" s="18">
        <f t="shared" si="155"/>
        <v>763.7</v>
      </c>
      <c r="L4986" s="27">
        <v>763.7</v>
      </c>
      <c r="M4986" s="36">
        <v>0</v>
      </c>
      <c r="T4986" s="41">
        <v>0</v>
      </c>
      <c r="U4986" s="41">
        <v>0</v>
      </c>
      <c r="V4986" s="42" t="s">
        <v>113</v>
      </c>
      <c r="W4986" s="42">
        <v>763.7</v>
      </c>
      <c r="X4986" s="42">
        <v>763.7</v>
      </c>
    </row>
    <row r="4987" spans="1:24">
      <c r="A4987" s="27" t="s">
        <v>9227</v>
      </c>
      <c r="B4987" s="28" t="s">
        <v>5102</v>
      </c>
      <c r="C4987" s="27" t="s">
        <v>9228</v>
      </c>
      <c r="D4987" s="27" t="s">
        <v>5104</v>
      </c>
      <c r="E4987" s="29">
        <v>42369</v>
      </c>
      <c r="F4987" s="27">
        <v>15</v>
      </c>
      <c r="G4987" s="18">
        <v>7710.35</v>
      </c>
      <c r="H4987" s="27">
        <f t="shared" si="154"/>
        <v>0</v>
      </c>
      <c r="I4987" s="18">
        <v>1690.34</v>
      </c>
      <c r="J4987" s="27">
        <v>7710.35</v>
      </c>
      <c r="K4987" s="18">
        <f t="shared" si="155"/>
        <v>0</v>
      </c>
      <c r="L4987" s="27">
        <v>2159.88</v>
      </c>
      <c r="M4987" s="36">
        <v>469.54</v>
      </c>
      <c r="T4987" s="41">
        <v>0</v>
      </c>
      <c r="U4987" s="41">
        <v>0</v>
      </c>
      <c r="V4987" s="42" t="s">
        <v>113</v>
      </c>
      <c r="W4987" s="42">
        <v>0</v>
      </c>
      <c r="X4987" s="42">
        <v>0</v>
      </c>
    </row>
    <row r="4988" spans="1:24">
      <c r="A4988" s="27" t="s">
        <v>9229</v>
      </c>
      <c r="B4988" s="28" t="s">
        <v>5102</v>
      </c>
      <c r="C4988" s="27" t="s">
        <v>9230</v>
      </c>
      <c r="D4988" s="27" t="s">
        <v>5104</v>
      </c>
      <c r="E4988" s="29">
        <v>42369</v>
      </c>
      <c r="F4988" s="27">
        <v>12</v>
      </c>
      <c r="G4988" s="18">
        <v>696.5</v>
      </c>
      <c r="H4988" s="27">
        <f t="shared" si="154"/>
        <v>696.5</v>
      </c>
      <c r="I4988" s="18">
        <v>696.5</v>
      </c>
      <c r="J4988" s="27">
        <v>696.5</v>
      </c>
      <c r="K4988" s="18">
        <f t="shared" si="155"/>
        <v>696.5</v>
      </c>
      <c r="L4988" s="27">
        <v>696.5</v>
      </c>
      <c r="M4988" s="36">
        <v>0</v>
      </c>
      <c r="T4988" s="41">
        <v>0</v>
      </c>
      <c r="U4988" s="41">
        <v>0</v>
      </c>
      <c r="V4988" s="42" t="s">
        <v>113</v>
      </c>
      <c r="W4988" s="42">
        <v>696.5</v>
      </c>
      <c r="X4988" s="42">
        <v>696.5</v>
      </c>
    </row>
    <row r="4989" spans="1:24">
      <c r="A4989" s="27" t="s">
        <v>9231</v>
      </c>
      <c r="B4989" s="28" t="s">
        <v>5102</v>
      </c>
      <c r="C4989" s="27" t="s">
        <v>9232</v>
      </c>
      <c r="D4989" s="27" t="s">
        <v>5104</v>
      </c>
      <c r="E4989" s="29">
        <v>42369</v>
      </c>
      <c r="F4989" s="27">
        <v>12</v>
      </c>
      <c r="G4989" s="18">
        <v>1484.64</v>
      </c>
      <c r="H4989" s="27">
        <f t="shared" si="154"/>
        <v>1484.64</v>
      </c>
      <c r="I4989" s="18">
        <v>1484.64</v>
      </c>
      <c r="J4989" s="27">
        <v>1484.64</v>
      </c>
      <c r="K4989" s="18">
        <f t="shared" si="155"/>
        <v>1484.64</v>
      </c>
      <c r="L4989" s="27">
        <v>1484.64</v>
      </c>
      <c r="M4989" s="36">
        <v>0</v>
      </c>
      <c r="T4989" s="41">
        <v>0</v>
      </c>
      <c r="U4989" s="41">
        <v>0</v>
      </c>
      <c r="V4989" s="42" t="s">
        <v>113</v>
      </c>
      <c r="W4989" s="42">
        <v>1484.64</v>
      </c>
      <c r="X4989" s="42">
        <v>1484.64</v>
      </c>
    </row>
    <row r="4990" spans="1:24">
      <c r="A4990" s="27" t="s">
        <v>9233</v>
      </c>
      <c r="B4990" s="28" t="s">
        <v>5102</v>
      </c>
      <c r="C4990" s="27" t="s">
        <v>9232</v>
      </c>
      <c r="D4990" s="27" t="s">
        <v>5104</v>
      </c>
      <c r="E4990" s="29">
        <v>42369</v>
      </c>
      <c r="F4990" s="27">
        <v>12</v>
      </c>
      <c r="G4990" s="18">
        <v>580.41999999999996</v>
      </c>
      <c r="H4990" s="27">
        <f t="shared" si="154"/>
        <v>580.41999999999996</v>
      </c>
      <c r="I4990" s="18">
        <v>580.41999999999996</v>
      </c>
      <c r="J4990" s="27">
        <v>580.41999999999996</v>
      </c>
      <c r="K4990" s="18">
        <f t="shared" si="155"/>
        <v>580.41999999999996</v>
      </c>
      <c r="L4990" s="27">
        <v>580.41999999999996</v>
      </c>
      <c r="M4990" s="36">
        <v>0</v>
      </c>
      <c r="T4990" s="41">
        <v>0</v>
      </c>
      <c r="U4990" s="41">
        <v>0</v>
      </c>
      <c r="V4990" s="42" t="s">
        <v>113</v>
      </c>
      <c r="W4990" s="42">
        <v>580.41999999999996</v>
      </c>
      <c r="X4990" s="42">
        <v>580.41999999999996</v>
      </c>
    </row>
    <row r="4991" spans="1:24">
      <c r="A4991" s="27" t="s">
        <v>9234</v>
      </c>
      <c r="B4991" s="28" t="s">
        <v>5102</v>
      </c>
      <c r="C4991" s="27" t="s">
        <v>9235</v>
      </c>
      <c r="D4991" s="27" t="s">
        <v>5104</v>
      </c>
      <c r="E4991" s="29">
        <v>42369</v>
      </c>
      <c r="F4991" s="27">
        <v>12</v>
      </c>
      <c r="G4991" s="18">
        <v>4492.42</v>
      </c>
      <c r="H4991" s="27">
        <f t="shared" si="154"/>
        <v>4492.42</v>
      </c>
      <c r="I4991" s="18">
        <v>4492.42</v>
      </c>
      <c r="J4991" s="27">
        <v>4492.42</v>
      </c>
      <c r="K4991" s="18">
        <f t="shared" si="155"/>
        <v>4492.42</v>
      </c>
      <c r="L4991" s="27">
        <v>4492.42</v>
      </c>
      <c r="M4991" s="36">
        <v>0</v>
      </c>
      <c r="T4991" s="41">
        <v>0</v>
      </c>
      <c r="U4991" s="41">
        <v>0</v>
      </c>
      <c r="V4991" s="42" t="s">
        <v>113</v>
      </c>
      <c r="W4991" s="42">
        <v>4492.42</v>
      </c>
      <c r="X4991" s="42">
        <v>4492.42</v>
      </c>
    </row>
    <row r="4992" spans="1:24">
      <c r="A4992" s="27" t="s">
        <v>9236</v>
      </c>
      <c r="B4992" s="28" t="s">
        <v>5102</v>
      </c>
      <c r="C4992" s="27" t="s">
        <v>9237</v>
      </c>
      <c r="D4992" s="27" t="s">
        <v>5104</v>
      </c>
      <c r="E4992" s="29">
        <v>42369</v>
      </c>
      <c r="F4992" s="27">
        <v>15</v>
      </c>
      <c r="G4992" s="18">
        <v>15675.18</v>
      </c>
      <c r="H4992" s="27">
        <f t="shared" si="154"/>
        <v>0</v>
      </c>
      <c r="I4992" s="18">
        <v>3498.35</v>
      </c>
      <c r="J4992" s="27">
        <v>15675.18</v>
      </c>
      <c r="K4992" s="18">
        <f t="shared" si="155"/>
        <v>0</v>
      </c>
      <c r="L4992" s="27">
        <v>4447.7700000000004</v>
      </c>
      <c r="M4992" s="36">
        <v>949.42</v>
      </c>
      <c r="T4992" s="41">
        <v>0</v>
      </c>
      <c r="U4992" s="41">
        <v>0</v>
      </c>
      <c r="V4992" s="42" t="s">
        <v>113</v>
      </c>
      <c r="W4992" s="42">
        <v>0</v>
      </c>
      <c r="X4992" s="42">
        <v>0</v>
      </c>
    </row>
    <row r="4993" spans="1:24">
      <c r="A4993" s="27" t="s">
        <v>9238</v>
      </c>
      <c r="B4993" s="28" t="s">
        <v>5102</v>
      </c>
      <c r="C4993" s="27" t="s">
        <v>9216</v>
      </c>
      <c r="D4993" s="27" t="s">
        <v>5104</v>
      </c>
      <c r="E4993" s="29">
        <v>42369</v>
      </c>
      <c r="F4993" s="27">
        <v>15</v>
      </c>
      <c r="G4993" s="18">
        <v>5238.3</v>
      </c>
      <c r="H4993" s="27">
        <f t="shared" si="154"/>
        <v>0</v>
      </c>
      <c r="I4993" s="18">
        <v>1148.4000000000001</v>
      </c>
      <c r="J4993" s="27">
        <v>5238.3</v>
      </c>
      <c r="K4993" s="18">
        <f t="shared" si="155"/>
        <v>0</v>
      </c>
      <c r="L4993" s="27">
        <v>1467.4</v>
      </c>
      <c r="M4993" s="36">
        <v>319</v>
      </c>
      <c r="T4993" s="41">
        <v>0</v>
      </c>
      <c r="U4993" s="41">
        <v>0</v>
      </c>
      <c r="V4993" s="42" t="s">
        <v>113</v>
      </c>
      <c r="W4993" s="42">
        <v>0</v>
      </c>
      <c r="X4993" s="42">
        <v>0</v>
      </c>
    </row>
    <row r="4994" spans="1:24">
      <c r="A4994" s="27" t="s">
        <v>9239</v>
      </c>
      <c r="B4994" s="28" t="s">
        <v>5102</v>
      </c>
      <c r="C4994" s="27" t="s">
        <v>9230</v>
      </c>
      <c r="D4994" s="27" t="s">
        <v>5104</v>
      </c>
      <c r="E4994" s="29">
        <v>42369</v>
      </c>
      <c r="F4994" s="27">
        <v>12</v>
      </c>
      <c r="G4994" s="18">
        <v>4758.1899999999996</v>
      </c>
      <c r="H4994" s="27">
        <f t="shared" si="154"/>
        <v>4758.1899999999996</v>
      </c>
      <c r="I4994" s="18">
        <v>4758.1899999999996</v>
      </c>
      <c r="J4994" s="27">
        <v>4758.1899999999996</v>
      </c>
      <c r="K4994" s="18">
        <f t="shared" si="155"/>
        <v>4758.1899999999996</v>
      </c>
      <c r="L4994" s="27">
        <v>4758.1899999999996</v>
      </c>
      <c r="M4994" s="36">
        <v>0</v>
      </c>
      <c r="T4994" s="41">
        <v>0</v>
      </c>
      <c r="U4994" s="41">
        <v>0</v>
      </c>
      <c r="V4994" s="42" t="s">
        <v>113</v>
      </c>
      <c r="W4994" s="42">
        <v>4758.1899999999996</v>
      </c>
      <c r="X4994" s="42">
        <v>4758.1899999999996</v>
      </c>
    </row>
    <row r="4995" spans="1:24">
      <c r="A4995" s="27" t="s">
        <v>9240</v>
      </c>
      <c r="B4995" s="28" t="s">
        <v>5102</v>
      </c>
      <c r="C4995" s="27" t="s">
        <v>9232</v>
      </c>
      <c r="D4995" s="27" t="s">
        <v>5104</v>
      </c>
      <c r="E4995" s="29">
        <v>42369</v>
      </c>
      <c r="F4995" s="27">
        <v>12</v>
      </c>
      <c r="G4995" s="18">
        <v>3154.98</v>
      </c>
      <c r="H4995" s="27">
        <f t="shared" si="154"/>
        <v>3154.98</v>
      </c>
      <c r="I4995" s="18">
        <v>3154.98</v>
      </c>
      <c r="J4995" s="27">
        <v>3154.98</v>
      </c>
      <c r="K4995" s="18">
        <f t="shared" si="155"/>
        <v>3154.98</v>
      </c>
      <c r="L4995" s="27">
        <v>3154.98</v>
      </c>
      <c r="M4995" s="36">
        <v>0</v>
      </c>
      <c r="T4995" s="41">
        <v>0</v>
      </c>
      <c r="U4995" s="41">
        <v>0</v>
      </c>
      <c r="V4995" s="42" t="s">
        <v>113</v>
      </c>
      <c r="W4995" s="42">
        <v>3154.98</v>
      </c>
      <c r="X4995" s="42">
        <v>3154.98</v>
      </c>
    </row>
    <row r="4996" spans="1:24">
      <c r="A4996" s="27" t="s">
        <v>9241</v>
      </c>
      <c r="B4996" s="28" t="s">
        <v>5102</v>
      </c>
      <c r="C4996" s="27" t="s">
        <v>9242</v>
      </c>
      <c r="D4996" s="27" t="s">
        <v>5104</v>
      </c>
      <c r="E4996" s="29">
        <v>42369</v>
      </c>
      <c r="F4996" s="27">
        <v>15</v>
      </c>
      <c r="G4996" s="18">
        <v>7853.16</v>
      </c>
      <c r="H4996" s="27">
        <f t="shared" si="154"/>
        <v>0</v>
      </c>
      <c r="I4996" s="18">
        <v>1721.66</v>
      </c>
      <c r="J4996" s="27">
        <v>7853.16</v>
      </c>
      <c r="K4996" s="18">
        <f t="shared" si="155"/>
        <v>0</v>
      </c>
      <c r="L4996" s="27">
        <v>2199.9</v>
      </c>
      <c r="M4996" s="36">
        <v>478.24</v>
      </c>
      <c r="T4996" s="41">
        <v>0</v>
      </c>
      <c r="U4996" s="41">
        <v>0</v>
      </c>
      <c r="V4996" s="42" t="s">
        <v>113</v>
      </c>
      <c r="W4996" s="42">
        <v>0</v>
      </c>
      <c r="X4996" s="42">
        <v>0</v>
      </c>
    </row>
    <row r="4997" spans="1:24">
      <c r="A4997" s="27" t="s">
        <v>9243</v>
      </c>
      <c r="B4997" s="28" t="s">
        <v>5102</v>
      </c>
      <c r="C4997" s="27" t="s">
        <v>9244</v>
      </c>
      <c r="D4997" s="27" t="s">
        <v>5104</v>
      </c>
      <c r="E4997" s="29">
        <v>42369</v>
      </c>
      <c r="F4997" s="27">
        <v>12</v>
      </c>
      <c r="G4997" s="18">
        <v>823.04</v>
      </c>
      <c r="H4997" s="27">
        <f t="shared" si="154"/>
        <v>823.04</v>
      </c>
      <c r="I4997" s="18">
        <v>823.04</v>
      </c>
      <c r="J4997" s="27">
        <v>823.04</v>
      </c>
      <c r="K4997" s="18">
        <f t="shared" si="155"/>
        <v>823.04</v>
      </c>
      <c r="L4997" s="27">
        <v>823.04</v>
      </c>
      <c r="M4997" s="36">
        <v>0</v>
      </c>
      <c r="T4997" s="41">
        <v>0</v>
      </c>
      <c r="U4997" s="41">
        <v>0</v>
      </c>
      <c r="V4997" s="42" t="s">
        <v>113</v>
      </c>
      <c r="W4997" s="42">
        <v>823.04</v>
      </c>
      <c r="X4997" s="42">
        <v>823.04</v>
      </c>
    </row>
    <row r="4998" spans="1:24">
      <c r="A4998" s="27" t="s">
        <v>9245</v>
      </c>
      <c r="B4998" s="28" t="s">
        <v>5102</v>
      </c>
      <c r="C4998" s="27" t="s">
        <v>9246</v>
      </c>
      <c r="D4998" s="27" t="s">
        <v>5104</v>
      </c>
      <c r="E4998" s="29">
        <v>42369</v>
      </c>
      <c r="F4998" s="27">
        <v>15</v>
      </c>
      <c r="G4998" s="18">
        <v>154319.37</v>
      </c>
      <c r="H4998" s="27">
        <f t="shared" ref="H4998:H5061" si="156">IFERROR(IF(ROUND((G4998-I4998)/G4998,2)&lt;=0.05,G4998,0),0)</f>
        <v>0</v>
      </c>
      <c r="I4998" s="18">
        <v>33831.550000000003</v>
      </c>
      <c r="J4998" s="27">
        <v>154319.37</v>
      </c>
      <c r="K4998" s="18">
        <f t="shared" ref="K4998:K5061" si="157">IFERROR(IF(ROUND((J4998-L4998)/J4998,2)&lt;=0.05,J4998,0),0)</f>
        <v>0</v>
      </c>
      <c r="L4998" s="27">
        <v>43229.2</v>
      </c>
      <c r="M4998" s="36">
        <v>9397.65</v>
      </c>
      <c r="T4998" s="41">
        <v>0</v>
      </c>
      <c r="U4998" s="41">
        <v>0</v>
      </c>
      <c r="V4998" s="42" t="s">
        <v>113</v>
      </c>
      <c r="W4998" s="42">
        <v>0</v>
      </c>
      <c r="X4998" s="42">
        <v>0</v>
      </c>
    </row>
    <row r="4999" spans="1:24">
      <c r="A4999" s="27" t="s">
        <v>9247</v>
      </c>
      <c r="B4999" s="28" t="s">
        <v>5102</v>
      </c>
      <c r="C4999" s="27" t="s">
        <v>9248</v>
      </c>
      <c r="D4999" s="27" t="s">
        <v>5104</v>
      </c>
      <c r="E4999" s="29">
        <v>42369</v>
      </c>
      <c r="F4999" s="27">
        <v>15</v>
      </c>
      <c r="G4999" s="18">
        <v>200115.12</v>
      </c>
      <c r="H4999" s="27">
        <f t="shared" si="156"/>
        <v>0</v>
      </c>
      <c r="I4999" s="18">
        <v>43871.4</v>
      </c>
      <c r="J4999" s="27">
        <v>200115.12</v>
      </c>
      <c r="K4999" s="18">
        <f t="shared" si="157"/>
        <v>0</v>
      </c>
      <c r="L4999" s="27">
        <v>56057.9</v>
      </c>
      <c r="M4999" s="36">
        <v>12186.5</v>
      </c>
      <c r="T4999" s="41">
        <v>0</v>
      </c>
      <c r="U4999" s="41">
        <v>0</v>
      </c>
      <c r="V4999" s="42" t="s">
        <v>113</v>
      </c>
      <c r="W4999" s="42">
        <v>0</v>
      </c>
      <c r="X4999" s="42">
        <v>0</v>
      </c>
    </row>
    <row r="5000" spans="1:24">
      <c r="A5000" s="27" t="s">
        <v>9249</v>
      </c>
      <c r="B5000" s="28" t="s">
        <v>5102</v>
      </c>
      <c r="C5000" s="27" t="s">
        <v>9250</v>
      </c>
      <c r="D5000" s="27" t="s">
        <v>5104</v>
      </c>
      <c r="E5000" s="29">
        <v>42369</v>
      </c>
      <c r="F5000" s="27">
        <v>15</v>
      </c>
      <c r="G5000" s="18">
        <v>52989.71</v>
      </c>
      <c r="H5000" s="27">
        <f t="shared" si="156"/>
        <v>0</v>
      </c>
      <c r="I5000" s="18">
        <v>11616.98</v>
      </c>
      <c r="J5000" s="27">
        <v>52989.71</v>
      </c>
      <c r="K5000" s="18">
        <f t="shared" si="157"/>
        <v>0</v>
      </c>
      <c r="L5000" s="27">
        <v>14843.92</v>
      </c>
      <c r="M5000" s="36">
        <v>3226.94</v>
      </c>
      <c r="T5000" s="41">
        <v>0</v>
      </c>
      <c r="U5000" s="41">
        <v>0</v>
      </c>
      <c r="V5000" s="42" t="s">
        <v>113</v>
      </c>
      <c r="W5000" s="42">
        <v>0</v>
      </c>
      <c r="X5000" s="42">
        <v>0</v>
      </c>
    </row>
    <row r="5001" spans="1:24">
      <c r="A5001" s="27" t="s">
        <v>9251</v>
      </c>
      <c r="B5001" s="28" t="s">
        <v>5102</v>
      </c>
      <c r="C5001" s="27" t="s">
        <v>9252</v>
      </c>
      <c r="D5001" s="27" t="s">
        <v>5104</v>
      </c>
      <c r="E5001" s="29">
        <v>42369</v>
      </c>
      <c r="F5001" s="27">
        <v>15</v>
      </c>
      <c r="G5001" s="18">
        <v>58429.05</v>
      </c>
      <c r="H5001" s="27">
        <f t="shared" si="156"/>
        <v>0</v>
      </c>
      <c r="I5001" s="18">
        <v>12809.44</v>
      </c>
      <c r="J5001" s="27">
        <v>58429.05</v>
      </c>
      <c r="K5001" s="18">
        <f t="shared" si="157"/>
        <v>0</v>
      </c>
      <c r="L5001" s="27">
        <v>16367.62</v>
      </c>
      <c r="M5001" s="36">
        <v>3558.18</v>
      </c>
      <c r="T5001" s="41">
        <v>0</v>
      </c>
      <c r="U5001" s="41">
        <v>0</v>
      </c>
      <c r="V5001" s="42" t="s">
        <v>113</v>
      </c>
      <c r="W5001" s="42">
        <v>0</v>
      </c>
      <c r="X5001" s="42">
        <v>0</v>
      </c>
    </row>
    <row r="5002" spans="1:24">
      <c r="A5002" s="27" t="s">
        <v>9253</v>
      </c>
      <c r="B5002" s="28" t="s">
        <v>5102</v>
      </c>
      <c r="C5002" s="27" t="s">
        <v>9254</v>
      </c>
      <c r="D5002" s="27" t="s">
        <v>5104</v>
      </c>
      <c r="E5002" s="29">
        <v>42369</v>
      </c>
      <c r="F5002" s="27">
        <v>15</v>
      </c>
      <c r="G5002" s="18">
        <v>92731.99</v>
      </c>
      <c r="H5002" s="27">
        <f t="shared" si="156"/>
        <v>0</v>
      </c>
      <c r="I5002" s="18">
        <v>20329.71</v>
      </c>
      <c r="J5002" s="27">
        <v>92731.99</v>
      </c>
      <c r="K5002" s="18">
        <f t="shared" si="157"/>
        <v>0</v>
      </c>
      <c r="L5002" s="27">
        <v>25976.85</v>
      </c>
      <c r="M5002" s="36">
        <v>5647.14</v>
      </c>
      <c r="T5002" s="41">
        <v>0</v>
      </c>
      <c r="U5002" s="41">
        <v>0</v>
      </c>
      <c r="V5002" s="42" t="s">
        <v>113</v>
      </c>
      <c r="W5002" s="42">
        <v>0</v>
      </c>
      <c r="X5002" s="42">
        <v>0</v>
      </c>
    </row>
    <row r="5003" spans="1:24">
      <c r="A5003" s="27" t="s">
        <v>9255</v>
      </c>
      <c r="B5003" s="28" t="s">
        <v>5102</v>
      </c>
      <c r="C5003" s="27" t="s">
        <v>9256</v>
      </c>
      <c r="D5003" s="27" t="s">
        <v>5104</v>
      </c>
      <c r="E5003" s="29">
        <v>42369</v>
      </c>
      <c r="F5003" s="27">
        <v>15</v>
      </c>
      <c r="G5003" s="18">
        <v>73080.179999999993</v>
      </c>
      <c r="H5003" s="27">
        <f t="shared" si="156"/>
        <v>0</v>
      </c>
      <c r="I5003" s="18">
        <v>16021.42</v>
      </c>
      <c r="J5003" s="27">
        <v>73080.179999999993</v>
      </c>
      <c r="K5003" s="18">
        <f t="shared" si="157"/>
        <v>0</v>
      </c>
      <c r="L5003" s="27">
        <v>20471.82</v>
      </c>
      <c r="M5003" s="36">
        <v>4450.3999999999996</v>
      </c>
      <c r="T5003" s="41">
        <v>0</v>
      </c>
      <c r="U5003" s="41">
        <v>0</v>
      </c>
      <c r="V5003" s="42" t="s">
        <v>113</v>
      </c>
      <c r="W5003" s="42">
        <v>0</v>
      </c>
      <c r="X5003" s="42">
        <v>0</v>
      </c>
    </row>
    <row r="5004" spans="1:24">
      <c r="A5004" s="27" t="s">
        <v>9257</v>
      </c>
      <c r="B5004" s="28" t="s">
        <v>5102</v>
      </c>
      <c r="C5004" s="27" t="s">
        <v>9258</v>
      </c>
      <c r="D5004" s="27" t="s">
        <v>5104</v>
      </c>
      <c r="E5004" s="29">
        <v>42369</v>
      </c>
      <c r="F5004" s="27">
        <v>15</v>
      </c>
      <c r="G5004" s="18">
        <v>133439.32</v>
      </c>
      <c r="H5004" s="27">
        <f t="shared" si="156"/>
        <v>0</v>
      </c>
      <c r="I5004" s="18">
        <v>29254</v>
      </c>
      <c r="J5004" s="27">
        <v>133439.32</v>
      </c>
      <c r="K5004" s="18">
        <f t="shared" si="157"/>
        <v>0</v>
      </c>
      <c r="L5004" s="27">
        <v>37380.11</v>
      </c>
      <c r="M5004" s="36">
        <v>8126.11</v>
      </c>
      <c r="T5004" s="41">
        <v>0</v>
      </c>
      <c r="U5004" s="41">
        <v>0</v>
      </c>
      <c r="V5004" s="42" t="s">
        <v>113</v>
      </c>
      <c r="W5004" s="42">
        <v>0</v>
      </c>
      <c r="X5004" s="42">
        <v>0</v>
      </c>
    </row>
    <row r="5005" spans="1:24">
      <c r="A5005" s="27" t="s">
        <v>9259</v>
      </c>
      <c r="B5005" s="28" t="s">
        <v>5102</v>
      </c>
      <c r="C5005" s="27" t="s">
        <v>9260</v>
      </c>
      <c r="D5005" s="27" t="s">
        <v>5104</v>
      </c>
      <c r="E5005" s="29">
        <v>42369</v>
      </c>
      <c r="F5005" s="27">
        <v>15</v>
      </c>
      <c r="G5005" s="18">
        <v>367594.19</v>
      </c>
      <c r="H5005" s="27">
        <f t="shared" si="156"/>
        <v>0</v>
      </c>
      <c r="I5005" s="18">
        <v>80592.320000000007</v>
      </c>
      <c r="J5005" s="27">
        <v>367594.19</v>
      </c>
      <c r="K5005" s="18">
        <f t="shared" si="157"/>
        <v>0</v>
      </c>
      <c r="L5005" s="27">
        <v>102977.5</v>
      </c>
      <c r="M5005" s="36">
        <v>22385.18</v>
      </c>
      <c r="T5005" s="41">
        <v>0</v>
      </c>
      <c r="U5005" s="41">
        <v>0</v>
      </c>
      <c r="V5005" s="42" t="s">
        <v>113</v>
      </c>
      <c r="W5005" s="42">
        <v>0</v>
      </c>
      <c r="X5005" s="42">
        <v>0</v>
      </c>
    </row>
    <row r="5006" spans="1:24">
      <c r="A5006" s="27" t="s">
        <v>9261</v>
      </c>
      <c r="B5006" s="28" t="s">
        <v>5102</v>
      </c>
      <c r="C5006" s="27" t="s">
        <v>9262</v>
      </c>
      <c r="D5006" s="27" t="s">
        <v>5104</v>
      </c>
      <c r="E5006" s="29">
        <v>42369</v>
      </c>
      <c r="F5006" s="27">
        <v>15</v>
      </c>
      <c r="G5006" s="18">
        <v>121683.33</v>
      </c>
      <c r="H5006" s="27">
        <f t="shared" si="156"/>
        <v>0</v>
      </c>
      <c r="I5006" s="18">
        <v>26676.720000000001</v>
      </c>
      <c r="J5006" s="27">
        <v>121683.33</v>
      </c>
      <c r="K5006" s="18">
        <f t="shared" si="157"/>
        <v>0</v>
      </c>
      <c r="L5006" s="27">
        <v>34086.92</v>
      </c>
      <c r="M5006" s="36">
        <v>7410.2</v>
      </c>
      <c r="T5006" s="41">
        <v>0</v>
      </c>
      <c r="U5006" s="41">
        <v>0</v>
      </c>
      <c r="V5006" s="42" t="s">
        <v>113</v>
      </c>
      <c r="W5006" s="42">
        <v>0</v>
      </c>
      <c r="X5006" s="42">
        <v>0</v>
      </c>
    </row>
    <row r="5007" spans="1:24">
      <c r="A5007" s="27" t="s">
        <v>9263</v>
      </c>
      <c r="B5007" s="28" t="s">
        <v>5102</v>
      </c>
      <c r="C5007" s="27" t="s">
        <v>9264</v>
      </c>
      <c r="D5007" s="27" t="s">
        <v>5104</v>
      </c>
      <c r="E5007" s="29">
        <v>42369</v>
      </c>
      <c r="F5007" s="27">
        <v>15</v>
      </c>
      <c r="G5007" s="18">
        <v>272317.98</v>
      </c>
      <c r="H5007" s="27">
        <f t="shared" si="156"/>
        <v>0</v>
      </c>
      <c r="I5007" s="18">
        <v>59700.5</v>
      </c>
      <c r="J5007" s="27">
        <v>272317.98</v>
      </c>
      <c r="K5007" s="18">
        <f t="shared" si="157"/>
        <v>0</v>
      </c>
      <c r="L5007" s="27">
        <v>76283.97</v>
      </c>
      <c r="M5007" s="36">
        <v>16583.47</v>
      </c>
      <c r="T5007" s="41">
        <v>0</v>
      </c>
      <c r="U5007" s="41">
        <v>0</v>
      </c>
      <c r="V5007" s="42" t="s">
        <v>113</v>
      </c>
      <c r="W5007" s="42">
        <v>0</v>
      </c>
      <c r="X5007" s="42">
        <v>0</v>
      </c>
    </row>
    <row r="5008" spans="1:24">
      <c r="A5008" s="27" t="s">
        <v>9265</v>
      </c>
      <c r="B5008" s="28" t="s">
        <v>5102</v>
      </c>
      <c r="C5008" s="27" t="s">
        <v>9266</v>
      </c>
      <c r="D5008" s="27" t="s">
        <v>5104</v>
      </c>
      <c r="E5008" s="29">
        <v>42369</v>
      </c>
      <c r="F5008" s="27">
        <v>15</v>
      </c>
      <c r="G5008" s="18">
        <v>180726.5</v>
      </c>
      <c r="H5008" s="27">
        <f t="shared" si="156"/>
        <v>0</v>
      </c>
      <c r="I5008" s="18">
        <v>39943.96</v>
      </c>
      <c r="J5008" s="27">
        <v>180726.5</v>
      </c>
      <c r="K5008" s="18">
        <f t="shared" si="157"/>
        <v>0</v>
      </c>
      <c r="L5008" s="27">
        <v>50922.81</v>
      </c>
      <c r="M5008" s="36">
        <v>10978.85</v>
      </c>
      <c r="T5008" s="41">
        <v>0</v>
      </c>
      <c r="U5008" s="41">
        <v>0</v>
      </c>
      <c r="V5008" s="42" t="s">
        <v>113</v>
      </c>
      <c r="W5008" s="42">
        <v>0</v>
      </c>
      <c r="X5008" s="42">
        <v>0</v>
      </c>
    </row>
    <row r="5009" spans="1:24">
      <c r="A5009" s="27" t="s">
        <v>9267</v>
      </c>
      <c r="B5009" s="28" t="s">
        <v>5102</v>
      </c>
      <c r="C5009" s="27" t="s">
        <v>9268</v>
      </c>
      <c r="D5009" s="27" t="s">
        <v>5104</v>
      </c>
      <c r="E5009" s="29">
        <v>42369</v>
      </c>
      <c r="F5009" s="27">
        <v>15</v>
      </c>
      <c r="G5009" s="18">
        <v>93872.5</v>
      </c>
      <c r="H5009" s="27">
        <f t="shared" si="156"/>
        <v>0</v>
      </c>
      <c r="I5009" s="18">
        <v>20579.73</v>
      </c>
      <c r="J5009" s="27">
        <v>93872.5</v>
      </c>
      <c r="K5009" s="18">
        <f t="shared" si="157"/>
        <v>0</v>
      </c>
      <c r="L5009" s="27">
        <v>26296.33</v>
      </c>
      <c r="M5009" s="36">
        <v>5716.6</v>
      </c>
      <c r="T5009" s="41">
        <v>0</v>
      </c>
      <c r="U5009" s="41">
        <v>0</v>
      </c>
      <c r="V5009" s="42" t="s">
        <v>113</v>
      </c>
      <c r="W5009" s="42">
        <v>0</v>
      </c>
      <c r="X5009" s="42">
        <v>0</v>
      </c>
    </row>
    <row r="5010" spans="1:24">
      <c r="A5010" s="27" t="s">
        <v>9269</v>
      </c>
      <c r="B5010" s="28" t="s">
        <v>5102</v>
      </c>
      <c r="C5010" s="27" t="s">
        <v>9268</v>
      </c>
      <c r="D5010" s="27" t="s">
        <v>5104</v>
      </c>
      <c r="E5010" s="29">
        <v>42369</v>
      </c>
      <c r="F5010" s="27">
        <v>15</v>
      </c>
      <c r="G5010" s="18">
        <v>154056.18</v>
      </c>
      <c r="H5010" s="27">
        <f t="shared" si="156"/>
        <v>0</v>
      </c>
      <c r="I5010" s="18">
        <v>33773.85</v>
      </c>
      <c r="J5010" s="27">
        <v>154056.18</v>
      </c>
      <c r="K5010" s="18">
        <f t="shared" si="157"/>
        <v>0</v>
      </c>
      <c r="L5010" s="27">
        <v>43155.48</v>
      </c>
      <c r="M5010" s="36">
        <v>9381.6299999999992</v>
      </c>
      <c r="T5010" s="41">
        <v>0</v>
      </c>
      <c r="U5010" s="41">
        <v>0</v>
      </c>
      <c r="V5010" s="42" t="s">
        <v>113</v>
      </c>
      <c r="W5010" s="42">
        <v>0</v>
      </c>
      <c r="X5010" s="42">
        <v>0</v>
      </c>
    </row>
    <row r="5011" spans="1:24">
      <c r="A5011" s="27" t="s">
        <v>9270</v>
      </c>
      <c r="B5011" s="28" t="s">
        <v>5102</v>
      </c>
      <c r="C5011" s="27" t="s">
        <v>9271</v>
      </c>
      <c r="D5011" s="27" t="s">
        <v>5104</v>
      </c>
      <c r="E5011" s="29">
        <v>42369</v>
      </c>
      <c r="F5011" s="27">
        <v>15</v>
      </c>
      <c r="G5011" s="18">
        <v>40619.599999999999</v>
      </c>
      <c r="H5011" s="27">
        <f t="shared" si="156"/>
        <v>0</v>
      </c>
      <c r="I5011" s="18">
        <v>8905.07</v>
      </c>
      <c r="J5011" s="27">
        <v>40619.599999999999</v>
      </c>
      <c r="K5011" s="18">
        <f t="shared" si="157"/>
        <v>0</v>
      </c>
      <c r="L5011" s="27">
        <v>11378.7</v>
      </c>
      <c r="M5011" s="36">
        <v>2473.63</v>
      </c>
      <c r="T5011" s="41">
        <v>0</v>
      </c>
      <c r="U5011" s="41">
        <v>0</v>
      </c>
      <c r="V5011" s="42" t="s">
        <v>113</v>
      </c>
      <c r="W5011" s="42">
        <v>0</v>
      </c>
      <c r="X5011" s="42">
        <v>0</v>
      </c>
    </row>
    <row r="5012" spans="1:24">
      <c r="A5012" s="27" t="s">
        <v>9272</v>
      </c>
      <c r="B5012" s="28" t="s">
        <v>5102</v>
      </c>
      <c r="C5012" s="27" t="s">
        <v>9271</v>
      </c>
      <c r="D5012" s="27" t="s">
        <v>5104</v>
      </c>
      <c r="E5012" s="29">
        <v>42369</v>
      </c>
      <c r="F5012" s="27">
        <v>15</v>
      </c>
      <c r="G5012" s="18">
        <v>24477.03</v>
      </c>
      <c r="H5012" s="27">
        <f t="shared" si="156"/>
        <v>0</v>
      </c>
      <c r="I5012" s="18">
        <v>5366.12</v>
      </c>
      <c r="J5012" s="27">
        <v>24477.03</v>
      </c>
      <c r="K5012" s="18">
        <f t="shared" si="157"/>
        <v>0</v>
      </c>
      <c r="L5012" s="27">
        <v>6856.71</v>
      </c>
      <c r="M5012" s="36">
        <v>1490.59</v>
      </c>
      <c r="T5012" s="41">
        <v>0</v>
      </c>
      <c r="U5012" s="41">
        <v>0</v>
      </c>
      <c r="V5012" s="42" t="s">
        <v>113</v>
      </c>
      <c r="W5012" s="42">
        <v>0</v>
      </c>
      <c r="X5012" s="42">
        <v>0</v>
      </c>
    </row>
    <row r="5013" spans="1:24">
      <c r="A5013" s="27" t="s">
        <v>9273</v>
      </c>
      <c r="B5013" s="28" t="s">
        <v>5102</v>
      </c>
      <c r="C5013" s="27" t="s">
        <v>9274</v>
      </c>
      <c r="D5013" s="27" t="s">
        <v>5104</v>
      </c>
      <c r="E5013" s="29">
        <v>42369</v>
      </c>
      <c r="F5013" s="27">
        <v>15</v>
      </c>
      <c r="G5013" s="18">
        <v>27898.560000000001</v>
      </c>
      <c r="H5013" s="27">
        <f t="shared" si="156"/>
        <v>0</v>
      </c>
      <c r="I5013" s="18">
        <v>6116.23</v>
      </c>
      <c r="J5013" s="27">
        <v>27898.560000000001</v>
      </c>
      <c r="K5013" s="18">
        <f t="shared" si="157"/>
        <v>0</v>
      </c>
      <c r="L5013" s="27">
        <v>7815.18</v>
      </c>
      <c r="M5013" s="36">
        <v>1698.95</v>
      </c>
      <c r="T5013" s="41">
        <v>0</v>
      </c>
      <c r="U5013" s="41">
        <v>0</v>
      </c>
      <c r="V5013" s="42" t="s">
        <v>113</v>
      </c>
      <c r="W5013" s="42">
        <v>0</v>
      </c>
      <c r="X5013" s="42">
        <v>0</v>
      </c>
    </row>
    <row r="5014" spans="1:24">
      <c r="A5014" s="27" t="s">
        <v>9275</v>
      </c>
      <c r="B5014" s="28" t="s">
        <v>5102</v>
      </c>
      <c r="C5014" s="27" t="s">
        <v>9276</v>
      </c>
      <c r="D5014" s="27" t="s">
        <v>5104</v>
      </c>
      <c r="E5014" s="29">
        <v>42369</v>
      </c>
      <c r="F5014" s="27">
        <v>15</v>
      </c>
      <c r="G5014" s="18">
        <v>84268.32</v>
      </c>
      <c r="H5014" s="27">
        <f t="shared" si="156"/>
        <v>0</v>
      </c>
      <c r="I5014" s="18">
        <v>18474.2</v>
      </c>
      <c r="J5014" s="27">
        <v>84268.32</v>
      </c>
      <c r="K5014" s="18">
        <f t="shared" si="157"/>
        <v>0</v>
      </c>
      <c r="L5014" s="27">
        <v>23605.93</v>
      </c>
      <c r="M5014" s="36">
        <v>5131.7299999999996</v>
      </c>
      <c r="T5014" s="41">
        <v>0</v>
      </c>
      <c r="U5014" s="41">
        <v>0</v>
      </c>
      <c r="V5014" s="42" t="s">
        <v>113</v>
      </c>
      <c r="W5014" s="42">
        <v>0</v>
      </c>
      <c r="X5014" s="42">
        <v>0</v>
      </c>
    </row>
    <row r="5015" spans="1:24">
      <c r="A5015" s="27" t="s">
        <v>9277</v>
      </c>
      <c r="B5015" s="28" t="s">
        <v>5102</v>
      </c>
      <c r="C5015" s="27" t="s">
        <v>9278</v>
      </c>
      <c r="D5015" s="27" t="s">
        <v>5104</v>
      </c>
      <c r="E5015" s="29">
        <v>42369</v>
      </c>
      <c r="F5015" s="27">
        <v>15</v>
      </c>
      <c r="G5015" s="18">
        <v>54033.87</v>
      </c>
      <c r="H5015" s="27">
        <f t="shared" si="156"/>
        <v>0</v>
      </c>
      <c r="I5015" s="18">
        <v>11845.88</v>
      </c>
      <c r="J5015" s="27">
        <v>54033.87</v>
      </c>
      <c r="K5015" s="18">
        <f t="shared" si="157"/>
        <v>0</v>
      </c>
      <c r="L5015" s="27">
        <v>15136.41</v>
      </c>
      <c r="M5015" s="36">
        <v>3290.53</v>
      </c>
      <c r="T5015" s="41">
        <v>0</v>
      </c>
      <c r="U5015" s="41">
        <v>0</v>
      </c>
      <c r="V5015" s="42" t="s">
        <v>113</v>
      </c>
      <c r="W5015" s="42">
        <v>0</v>
      </c>
      <c r="X5015" s="42">
        <v>0</v>
      </c>
    </row>
    <row r="5016" spans="1:24">
      <c r="A5016" s="27" t="s">
        <v>9279</v>
      </c>
      <c r="B5016" s="28" t="s">
        <v>5102</v>
      </c>
      <c r="C5016" s="27" t="s">
        <v>9280</v>
      </c>
      <c r="D5016" s="27" t="s">
        <v>5104</v>
      </c>
      <c r="E5016" s="29">
        <v>42369</v>
      </c>
      <c r="F5016" s="27">
        <v>15</v>
      </c>
      <c r="G5016" s="18">
        <v>46475.25</v>
      </c>
      <c r="H5016" s="27">
        <f t="shared" si="156"/>
        <v>0</v>
      </c>
      <c r="I5016" s="18">
        <v>10188.799999999999</v>
      </c>
      <c r="J5016" s="27">
        <v>46475.25</v>
      </c>
      <c r="K5016" s="18">
        <f t="shared" si="157"/>
        <v>0</v>
      </c>
      <c r="L5016" s="27">
        <v>13019.02</v>
      </c>
      <c r="M5016" s="36">
        <v>2830.22</v>
      </c>
      <c r="T5016" s="41">
        <v>0</v>
      </c>
      <c r="U5016" s="41">
        <v>0</v>
      </c>
      <c r="V5016" s="42" t="s">
        <v>113</v>
      </c>
      <c r="W5016" s="42">
        <v>0</v>
      </c>
      <c r="X5016" s="42">
        <v>0</v>
      </c>
    </row>
    <row r="5017" spans="1:24">
      <c r="A5017" s="27" t="s">
        <v>9281</v>
      </c>
      <c r="B5017" s="28" t="s">
        <v>5102</v>
      </c>
      <c r="C5017" s="27" t="s">
        <v>9282</v>
      </c>
      <c r="D5017" s="27" t="s">
        <v>5104</v>
      </c>
      <c r="E5017" s="29">
        <v>42369</v>
      </c>
      <c r="F5017" s="27">
        <v>15</v>
      </c>
      <c r="G5017" s="18">
        <v>136463.6</v>
      </c>
      <c r="H5017" s="27">
        <f t="shared" si="156"/>
        <v>0</v>
      </c>
      <c r="I5017" s="18">
        <v>29917.02</v>
      </c>
      <c r="J5017" s="27">
        <v>136463.6</v>
      </c>
      <c r="K5017" s="18">
        <f t="shared" si="157"/>
        <v>0</v>
      </c>
      <c r="L5017" s="27">
        <v>38227.300000000003</v>
      </c>
      <c r="M5017" s="36">
        <v>8310.2800000000007</v>
      </c>
      <c r="T5017" s="41">
        <v>0</v>
      </c>
      <c r="U5017" s="41">
        <v>0</v>
      </c>
      <c r="V5017" s="42" t="s">
        <v>113</v>
      </c>
      <c r="W5017" s="42">
        <v>0</v>
      </c>
      <c r="X5017" s="42">
        <v>0</v>
      </c>
    </row>
    <row r="5018" spans="1:24">
      <c r="A5018" s="27" t="s">
        <v>9283</v>
      </c>
      <c r="B5018" s="28" t="s">
        <v>5102</v>
      </c>
      <c r="C5018" s="27" t="s">
        <v>9282</v>
      </c>
      <c r="D5018" s="27" t="s">
        <v>5104</v>
      </c>
      <c r="E5018" s="29">
        <v>42369</v>
      </c>
      <c r="F5018" s="27">
        <v>15</v>
      </c>
      <c r="G5018" s="18">
        <v>27680.87</v>
      </c>
      <c r="H5018" s="27">
        <f t="shared" si="156"/>
        <v>0</v>
      </c>
      <c r="I5018" s="18">
        <v>6068.49</v>
      </c>
      <c r="J5018" s="27">
        <v>27680.87</v>
      </c>
      <c r="K5018" s="18">
        <f t="shared" si="157"/>
        <v>0</v>
      </c>
      <c r="L5018" s="27">
        <v>7754.19</v>
      </c>
      <c r="M5018" s="36">
        <v>1685.7</v>
      </c>
      <c r="T5018" s="41">
        <v>0</v>
      </c>
      <c r="U5018" s="41">
        <v>0</v>
      </c>
      <c r="V5018" s="42" t="s">
        <v>113</v>
      </c>
      <c r="W5018" s="42">
        <v>0</v>
      </c>
      <c r="X5018" s="42">
        <v>0</v>
      </c>
    </row>
    <row r="5019" spans="1:24">
      <c r="A5019" s="27" t="s">
        <v>9284</v>
      </c>
      <c r="B5019" s="28" t="s">
        <v>5102</v>
      </c>
      <c r="C5019" s="27" t="s">
        <v>9285</v>
      </c>
      <c r="D5019" s="27" t="s">
        <v>5104</v>
      </c>
      <c r="E5019" s="29">
        <v>42369</v>
      </c>
      <c r="F5019" s="27">
        <v>15</v>
      </c>
      <c r="G5019" s="18">
        <v>169353.78</v>
      </c>
      <c r="H5019" s="27">
        <f t="shared" si="156"/>
        <v>0</v>
      </c>
      <c r="I5019" s="18">
        <v>37127.56</v>
      </c>
      <c r="J5019" s="27">
        <v>169353.78</v>
      </c>
      <c r="K5019" s="18">
        <f t="shared" si="157"/>
        <v>0</v>
      </c>
      <c r="L5019" s="27">
        <v>47440.77</v>
      </c>
      <c r="M5019" s="36">
        <v>10313.209999999999</v>
      </c>
      <c r="T5019" s="41">
        <v>0</v>
      </c>
      <c r="U5019" s="41">
        <v>0</v>
      </c>
      <c r="V5019" s="42" t="s">
        <v>113</v>
      </c>
      <c r="W5019" s="42">
        <v>0</v>
      </c>
      <c r="X5019" s="42">
        <v>0</v>
      </c>
    </row>
    <row r="5020" spans="1:24">
      <c r="A5020" s="27" t="s">
        <v>9286</v>
      </c>
      <c r="B5020" s="28" t="s">
        <v>5102</v>
      </c>
      <c r="C5020" s="27" t="s">
        <v>9287</v>
      </c>
      <c r="D5020" s="27" t="s">
        <v>5104</v>
      </c>
      <c r="E5020" s="29">
        <v>42369</v>
      </c>
      <c r="F5020" s="27">
        <v>15</v>
      </c>
      <c r="G5020" s="18">
        <v>226349.81</v>
      </c>
      <c r="H5020" s="27">
        <f t="shared" si="156"/>
        <v>0</v>
      </c>
      <c r="I5020" s="18">
        <v>49622.84</v>
      </c>
      <c r="J5020" s="27">
        <v>226349.81</v>
      </c>
      <c r="K5020" s="18">
        <f t="shared" si="157"/>
        <v>0</v>
      </c>
      <c r="L5020" s="27">
        <v>63406.96</v>
      </c>
      <c r="M5020" s="36">
        <v>13784.12</v>
      </c>
      <c r="T5020" s="41">
        <v>0</v>
      </c>
      <c r="U5020" s="41">
        <v>0</v>
      </c>
      <c r="V5020" s="42" t="s">
        <v>113</v>
      </c>
      <c r="W5020" s="42">
        <v>0</v>
      </c>
      <c r="X5020" s="42">
        <v>0</v>
      </c>
    </row>
    <row r="5021" spans="1:24">
      <c r="A5021" s="27" t="s">
        <v>9288</v>
      </c>
      <c r="B5021" s="28" t="s">
        <v>5102</v>
      </c>
      <c r="C5021" s="27" t="s">
        <v>9289</v>
      </c>
      <c r="D5021" s="27" t="s">
        <v>5104</v>
      </c>
      <c r="E5021" s="29">
        <v>42369</v>
      </c>
      <c r="F5021" s="27">
        <v>15</v>
      </c>
      <c r="G5021" s="18">
        <v>90703.35</v>
      </c>
      <c r="H5021" s="27">
        <f t="shared" si="156"/>
        <v>0</v>
      </c>
      <c r="I5021" s="18">
        <v>19884.96</v>
      </c>
      <c r="J5021" s="27">
        <v>90703.35</v>
      </c>
      <c r="K5021" s="18">
        <f t="shared" si="157"/>
        <v>0</v>
      </c>
      <c r="L5021" s="27">
        <v>25408.560000000001</v>
      </c>
      <c r="M5021" s="36">
        <v>5523.6</v>
      </c>
      <c r="T5021" s="41">
        <v>0</v>
      </c>
      <c r="U5021" s="41">
        <v>0</v>
      </c>
      <c r="V5021" s="42" t="s">
        <v>113</v>
      </c>
      <c r="W5021" s="42">
        <v>0</v>
      </c>
      <c r="X5021" s="42">
        <v>0</v>
      </c>
    </row>
    <row r="5022" spans="1:24">
      <c r="A5022" s="27" t="s">
        <v>9290</v>
      </c>
      <c r="B5022" s="28" t="s">
        <v>5102</v>
      </c>
      <c r="C5022" s="27" t="s">
        <v>9291</v>
      </c>
      <c r="D5022" s="27" t="s">
        <v>5104</v>
      </c>
      <c r="E5022" s="29">
        <v>42369</v>
      </c>
      <c r="F5022" s="27">
        <v>15</v>
      </c>
      <c r="G5022" s="18">
        <v>93256.93</v>
      </c>
      <c r="H5022" s="27">
        <f t="shared" si="156"/>
        <v>0</v>
      </c>
      <c r="I5022" s="18">
        <v>20444.79</v>
      </c>
      <c r="J5022" s="27">
        <v>93256.93</v>
      </c>
      <c r="K5022" s="18">
        <f t="shared" si="157"/>
        <v>0</v>
      </c>
      <c r="L5022" s="27">
        <v>26123.9</v>
      </c>
      <c r="M5022" s="36">
        <v>5679.11</v>
      </c>
      <c r="T5022" s="41">
        <v>0</v>
      </c>
      <c r="U5022" s="41">
        <v>0</v>
      </c>
      <c r="V5022" s="42" t="s">
        <v>113</v>
      </c>
      <c r="W5022" s="42">
        <v>0</v>
      </c>
      <c r="X5022" s="42">
        <v>0</v>
      </c>
    </row>
    <row r="5023" spans="1:24">
      <c r="A5023" s="27" t="s">
        <v>9292</v>
      </c>
      <c r="B5023" s="28" t="s">
        <v>5102</v>
      </c>
      <c r="C5023" s="27" t="s">
        <v>9293</v>
      </c>
      <c r="D5023" s="27" t="s">
        <v>5104</v>
      </c>
      <c r="E5023" s="29">
        <v>42369</v>
      </c>
      <c r="F5023" s="27">
        <v>15</v>
      </c>
      <c r="G5023" s="18">
        <v>59549.599999999999</v>
      </c>
      <c r="H5023" s="27">
        <f t="shared" si="156"/>
        <v>0</v>
      </c>
      <c r="I5023" s="18">
        <v>13055.1</v>
      </c>
      <c r="J5023" s="27">
        <v>59549.599999999999</v>
      </c>
      <c r="K5023" s="18">
        <f t="shared" si="157"/>
        <v>0</v>
      </c>
      <c r="L5023" s="27">
        <v>16681.52</v>
      </c>
      <c r="M5023" s="36">
        <v>3626.42</v>
      </c>
      <c r="T5023" s="41">
        <v>0</v>
      </c>
      <c r="U5023" s="41">
        <v>0</v>
      </c>
      <c r="V5023" s="42" t="s">
        <v>113</v>
      </c>
      <c r="W5023" s="42">
        <v>0</v>
      </c>
      <c r="X5023" s="42">
        <v>0</v>
      </c>
    </row>
    <row r="5024" spans="1:24">
      <c r="A5024" s="27" t="s">
        <v>9294</v>
      </c>
      <c r="B5024" s="28" t="s">
        <v>5102</v>
      </c>
      <c r="C5024" s="27" t="s">
        <v>9295</v>
      </c>
      <c r="D5024" s="27" t="s">
        <v>5104</v>
      </c>
      <c r="E5024" s="29">
        <v>42369</v>
      </c>
      <c r="F5024" s="27">
        <v>15</v>
      </c>
      <c r="G5024" s="18">
        <v>223183.37</v>
      </c>
      <c r="H5024" s="27">
        <f t="shared" si="156"/>
        <v>0</v>
      </c>
      <c r="I5024" s="18">
        <v>48928.66</v>
      </c>
      <c r="J5024" s="27">
        <v>223183.37</v>
      </c>
      <c r="K5024" s="18">
        <f t="shared" si="157"/>
        <v>0</v>
      </c>
      <c r="L5024" s="27">
        <v>62519.96</v>
      </c>
      <c r="M5024" s="36">
        <v>13591.3</v>
      </c>
      <c r="T5024" s="41">
        <v>0</v>
      </c>
      <c r="U5024" s="41">
        <v>0</v>
      </c>
      <c r="V5024" s="42" t="s">
        <v>113</v>
      </c>
      <c r="W5024" s="42">
        <v>0</v>
      </c>
      <c r="X5024" s="42">
        <v>0</v>
      </c>
    </row>
    <row r="5025" spans="1:24">
      <c r="A5025" s="27" t="s">
        <v>9296</v>
      </c>
      <c r="B5025" s="28" t="s">
        <v>5102</v>
      </c>
      <c r="C5025" s="27" t="s">
        <v>9295</v>
      </c>
      <c r="D5025" s="27" t="s">
        <v>5104</v>
      </c>
      <c r="E5025" s="29">
        <v>42369</v>
      </c>
      <c r="F5025" s="27">
        <v>15</v>
      </c>
      <c r="G5025" s="18">
        <v>5107.17</v>
      </c>
      <c r="H5025" s="27">
        <f t="shared" si="156"/>
        <v>0</v>
      </c>
      <c r="I5025" s="18">
        <v>1119.6500000000001</v>
      </c>
      <c r="J5025" s="27">
        <v>5107.17</v>
      </c>
      <c r="K5025" s="18">
        <f t="shared" si="157"/>
        <v>0</v>
      </c>
      <c r="L5025" s="27">
        <v>1430.66</v>
      </c>
      <c r="M5025" s="36">
        <v>311.01</v>
      </c>
      <c r="T5025" s="41">
        <v>0</v>
      </c>
      <c r="U5025" s="41">
        <v>0</v>
      </c>
      <c r="V5025" s="42" t="s">
        <v>113</v>
      </c>
      <c r="W5025" s="42">
        <v>0</v>
      </c>
      <c r="X5025" s="42">
        <v>0</v>
      </c>
    </row>
    <row r="5026" spans="1:24">
      <c r="A5026" s="27" t="s">
        <v>9297</v>
      </c>
      <c r="B5026" s="28" t="s">
        <v>5102</v>
      </c>
      <c r="C5026" s="27" t="s">
        <v>9298</v>
      </c>
      <c r="D5026" s="27" t="s">
        <v>5104</v>
      </c>
      <c r="E5026" s="29">
        <v>42369</v>
      </c>
      <c r="F5026" s="27">
        <v>15</v>
      </c>
      <c r="G5026" s="18">
        <v>22777.98</v>
      </c>
      <c r="H5026" s="27">
        <f t="shared" si="156"/>
        <v>0</v>
      </c>
      <c r="I5026" s="18">
        <v>4993.6400000000003</v>
      </c>
      <c r="J5026" s="27">
        <v>22777.98</v>
      </c>
      <c r="K5026" s="18">
        <f t="shared" si="157"/>
        <v>0</v>
      </c>
      <c r="L5026" s="27">
        <v>6380.76</v>
      </c>
      <c r="M5026" s="36">
        <v>1387.12</v>
      </c>
      <c r="T5026" s="41">
        <v>0</v>
      </c>
      <c r="U5026" s="41">
        <v>0</v>
      </c>
      <c r="V5026" s="42" t="s">
        <v>113</v>
      </c>
      <c r="W5026" s="42">
        <v>0</v>
      </c>
      <c r="X5026" s="42">
        <v>0</v>
      </c>
    </row>
    <row r="5027" spans="1:24">
      <c r="A5027" s="27" t="s">
        <v>9299</v>
      </c>
      <c r="B5027" s="28" t="s">
        <v>5102</v>
      </c>
      <c r="C5027" s="27" t="s">
        <v>9300</v>
      </c>
      <c r="D5027" s="27" t="s">
        <v>5104</v>
      </c>
      <c r="E5027" s="29">
        <v>42369</v>
      </c>
      <c r="F5027" s="27">
        <v>15</v>
      </c>
      <c r="G5027" s="18">
        <v>87434.76</v>
      </c>
      <c r="H5027" s="27">
        <f t="shared" si="156"/>
        <v>0</v>
      </c>
      <c r="I5027" s="18">
        <v>19168.39</v>
      </c>
      <c r="J5027" s="27">
        <v>87434.76</v>
      </c>
      <c r="K5027" s="18">
        <f t="shared" si="157"/>
        <v>0</v>
      </c>
      <c r="L5027" s="27">
        <v>24492.94</v>
      </c>
      <c r="M5027" s="36">
        <v>5324.55</v>
      </c>
      <c r="T5027" s="41">
        <v>0</v>
      </c>
      <c r="U5027" s="41">
        <v>0</v>
      </c>
      <c r="V5027" s="42" t="s">
        <v>113</v>
      </c>
      <c r="W5027" s="42">
        <v>0</v>
      </c>
      <c r="X5027" s="42">
        <v>0</v>
      </c>
    </row>
    <row r="5028" spans="1:24">
      <c r="A5028" s="27" t="s">
        <v>9301</v>
      </c>
      <c r="B5028" s="28" t="s">
        <v>5102</v>
      </c>
      <c r="C5028" s="27" t="s">
        <v>9300</v>
      </c>
      <c r="D5028" s="27" t="s">
        <v>5104</v>
      </c>
      <c r="E5028" s="29">
        <v>42369</v>
      </c>
      <c r="F5028" s="27">
        <v>15</v>
      </c>
      <c r="G5028" s="18">
        <v>27476.58</v>
      </c>
      <c r="H5028" s="27">
        <f t="shared" si="156"/>
        <v>0</v>
      </c>
      <c r="I5028" s="18">
        <v>6023.71</v>
      </c>
      <c r="J5028" s="27">
        <v>27476.58</v>
      </c>
      <c r="K5028" s="18">
        <f t="shared" si="157"/>
        <v>0</v>
      </c>
      <c r="L5028" s="27">
        <v>7696.96</v>
      </c>
      <c r="M5028" s="36">
        <v>1673.25</v>
      </c>
      <c r="T5028" s="41">
        <v>0</v>
      </c>
      <c r="U5028" s="41">
        <v>0</v>
      </c>
      <c r="V5028" s="42" t="s">
        <v>113</v>
      </c>
      <c r="W5028" s="42">
        <v>0</v>
      </c>
      <c r="X5028" s="42">
        <v>0</v>
      </c>
    </row>
    <row r="5029" spans="1:24">
      <c r="A5029" s="27" t="s">
        <v>9302</v>
      </c>
      <c r="B5029" s="28" t="s">
        <v>5102</v>
      </c>
      <c r="C5029" s="27" t="s">
        <v>9303</v>
      </c>
      <c r="D5029" s="27" t="s">
        <v>5104</v>
      </c>
      <c r="E5029" s="29">
        <v>42369</v>
      </c>
      <c r="F5029" s="27">
        <v>15</v>
      </c>
      <c r="G5029" s="18">
        <v>98428.39</v>
      </c>
      <c r="H5029" s="27">
        <f t="shared" si="156"/>
        <v>0</v>
      </c>
      <c r="I5029" s="18">
        <v>21578.54</v>
      </c>
      <c r="J5029" s="27">
        <v>98428.39</v>
      </c>
      <c r="K5029" s="18">
        <f t="shared" si="157"/>
        <v>0</v>
      </c>
      <c r="L5029" s="27">
        <v>27572.58</v>
      </c>
      <c r="M5029" s="36">
        <v>5994.04</v>
      </c>
      <c r="T5029" s="41">
        <v>0</v>
      </c>
      <c r="U5029" s="41">
        <v>0</v>
      </c>
      <c r="V5029" s="42" t="s">
        <v>113</v>
      </c>
      <c r="W5029" s="42">
        <v>0</v>
      </c>
      <c r="X5029" s="42">
        <v>0</v>
      </c>
    </row>
    <row r="5030" spans="1:24">
      <c r="A5030" s="27" t="s">
        <v>9304</v>
      </c>
      <c r="B5030" s="28" t="s">
        <v>5102</v>
      </c>
      <c r="C5030" s="27" t="s">
        <v>9303</v>
      </c>
      <c r="D5030" s="27" t="s">
        <v>5104</v>
      </c>
      <c r="E5030" s="29">
        <v>42369</v>
      </c>
      <c r="F5030" s="27">
        <v>15</v>
      </c>
      <c r="G5030" s="18">
        <v>5778.57</v>
      </c>
      <c r="H5030" s="27">
        <f t="shared" si="156"/>
        <v>0</v>
      </c>
      <c r="I5030" s="18">
        <v>1266.8399999999999</v>
      </c>
      <c r="J5030" s="27">
        <v>5778.57</v>
      </c>
      <c r="K5030" s="18">
        <f t="shared" si="157"/>
        <v>0</v>
      </c>
      <c r="L5030" s="27">
        <v>1618.74</v>
      </c>
      <c r="M5030" s="36">
        <v>351.9</v>
      </c>
      <c r="T5030" s="41">
        <v>0</v>
      </c>
      <c r="U5030" s="41">
        <v>0</v>
      </c>
      <c r="V5030" s="42" t="s">
        <v>113</v>
      </c>
      <c r="W5030" s="42">
        <v>0</v>
      </c>
      <c r="X5030" s="42">
        <v>0</v>
      </c>
    </row>
    <row r="5031" spans="1:24">
      <c r="A5031" s="27" t="s">
        <v>9305</v>
      </c>
      <c r="B5031" s="28" t="s">
        <v>5102</v>
      </c>
      <c r="C5031" s="27" t="s">
        <v>9306</v>
      </c>
      <c r="D5031" s="27" t="s">
        <v>5104</v>
      </c>
      <c r="E5031" s="29">
        <v>42369</v>
      </c>
      <c r="F5031" s="27">
        <v>12</v>
      </c>
      <c r="G5031" s="18">
        <v>2504.0500000000002</v>
      </c>
      <c r="H5031" s="27">
        <f t="shared" si="156"/>
        <v>2504.0500000000002</v>
      </c>
      <c r="I5031" s="18">
        <v>2504.0500000000002</v>
      </c>
      <c r="J5031" s="27">
        <v>2504.0500000000002</v>
      </c>
      <c r="K5031" s="18">
        <f t="shared" si="157"/>
        <v>2504.0500000000002</v>
      </c>
      <c r="L5031" s="27">
        <v>2504.0500000000002</v>
      </c>
      <c r="M5031" s="36">
        <v>0</v>
      </c>
      <c r="T5031" s="41">
        <v>0</v>
      </c>
      <c r="U5031" s="41">
        <v>0</v>
      </c>
      <c r="V5031" s="42" t="s">
        <v>113</v>
      </c>
      <c r="W5031" s="42">
        <v>2504.0500000000002</v>
      </c>
      <c r="X5031" s="42">
        <v>2504.0500000000002</v>
      </c>
    </row>
    <row r="5032" spans="1:24">
      <c r="A5032" s="27" t="s">
        <v>9307</v>
      </c>
      <c r="B5032" s="28" t="s">
        <v>5102</v>
      </c>
      <c r="C5032" s="27" t="s">
        <v>9308</v>
      </c>
      <c r="D5032" s="27" t="s">
        <v>5104</v>
      </c>
      <c r="E5032" s="29">
        <v>42369</v>
      </c>
      <c r="F5032" s="27">
        <v>15</v>
      </c>
      <c r="G5032" s="18">
        <v>46517.53</v>
      </c>
      <c r="H5032" s="27">
        <f t="shared" si="156"/>
        <v>0</v>
      </c>
      <c r="I5032" s="18">
        <v>10198.08</v>
      </c>
      <c r="J5032" s="27">
        <v>46517.53</v>
      </c>
      <c r="K5032" s="18">
        <f t="shared" si="157"/>
        <v>0</v>
      </c>
      <c r="L5032" s="27">
        <v>13030.88</v>
      </c>
      <c r="M5032" s="36">
        <v>2832.8</v>
      </c>
      <c r="T5032" s="41">
        <v>0</v>
      </c>
      <c r="U5032" s="41">
        <v>0</v>
      </c>
      <c r="V5032" s="42" t="s">
        <v>113</v>
      </c>
      <c r="W5032" s="42">
        <v>0</v>
      </c>
      <c r="X5032" s="42">
        <v>0</v>
      </c>
    </row>
    <row r="5033" spans="1:24">
      <c r="A5033" s="27" t="s">
        <v>9309</v>
      </c>
      <c r="B5033" s="28" t="s">
        <v>5102</v>
      </c>
      <c r="C5033" s="27" t="s">
        <v>9310</v>
      </c>
      <c r="D5033" s="27" t="s">
        <v>5104</v>
      </c>
      <c r="E5033" s="29">
        <v>42369</v>
      </c>
      <c r="F5033" s="27">
        <v>15</v>
      </c>
      <c r="G5033" s="18">
        <v>36019.78</v>
      </c>
      <c r="H5033" s="27">
        <f t="shared" si="156"/>
        <v>0</v>
      </c>
      <c r="I5033" s="18">
        <v>7896.65</v>
      </c>
      <c r="J5033" s="27">
        <v>36019.78</v>
      </c>
      <c r="K5033" s="18">
        <f t="shared" si="157"/>
        <v>0</v>
      </c>
      <c r="L5033" s="27">
        <v>10090.16</v>
      </c>
      <c r="M5033" s="36">
        <v>2193.5100000000002</v>
      </c>
      <c r="T5033" s="41">
        <v>0</v>
      </c>
      <c r="U5033" s="41">
        <v>0</v>
      </c>
      <c r="V5033" s="42" t="s">
        <v>113</v>
      </c>
      <c r="W5033" s="42">
        <v>0</v>
      </c>
      <c r="X5033" s="42">
        <v>0</v>
      </c>
    </row>
    <row r="5034" spans="1:24">
      <c r="A5034" s="27" t="s">
        <v>9311</v>
      </c>
      <c r="B5034" s="28" t="s">
        <v>5102</v>
      </c>
      <c r="C5034" s="27" t="s">
        <v>9312</v>
      </c>
      <c r="D5034" s="27" t="s">
        <v>5104</v>
      </c>
      <c r="E5034" s="29">
        <v>42369</v>
      </c>
      <c r="F5034" s="27">
        <v>15</v>
      </c>
      <c r="G5034" s="18">
        <v>12327.63</v>
      </c>
      <c r="H5034" s="27">
        <f t="shared" si="156"/>
        <v>0</v>
      </c>
      <c r="I5034" s="18">
        <v>2702.6</v>
      </c>
      <c r="J5034" s="27">
        <v>12327.63</v>
      </c>
      <c r="K5034" s="18">
        <f t="shared" si="157"/>
        <v>0</v>
      </c>
      <c r="L5034" s="27">
        <v>3453.32</v>
      </c>
      <c r="M5034" s="36">
        <v>750.72</v>
      </c>
      <c r="T5034" s="41">
        <v>0</v>
      </c>
      <c r="U5034" s="41">
        <v>0</v>
      </c>
      <c r="V5034" s="42" t="s">
        <v>113</v>
      </c>
      <c r="W5034" s="42">
        <v>0</v>
      </c>
      <c r="X5034" s="42">
        <v>0</v>
      </c>
    </row>
    <row r="5035" spans="1:24">
      <c r="A5035" s="27" t="s">
        <v>9313</v>
      </c>
      <c r="B5035" s="28" t="s">
        <v>5102</v>
      </c>
      <c r="C5035" s="27" t="s">
        <v>9312</v>
      </c>
      <c r="D5035" s="27" t="s">
        <v>5104</v>
      </c>
      <c r="E5035" s="29">
        <v>42369</v>
      </c>
      <c r="F5035" s="27">
        <v>15</v>
      </c>
      <c r="G5035" s="18">
        <v>102110.13</v>
      </c>
      <c r="H5035" s="27">
        <f t="shared" si="156"/>
        <v>0</v>
      </c>
      <c r="I5035" s="18">
        <v>22480.2</v>
      </c>
      <c r="J5035" s="27">
        <v>102110.13</v>
      </c>
      <c r="K5035" s="18">
        <f t="shared" si="157"/>
        <v>0</v>
      </c>
      <c r="L5035" s="27">
        <v>28690.57</v>
      </c>
      <c r="M5035" s="36">
        <v>6210.37</v>
      </c>
      <c r="T5035" s="41">
        <v>0</v>
      </c>
      <c r="U5035" s="41">
        <v>0</v>
      </c>
      <c r="V5035" s="42" t="s">
        <v>113</v>
      </c>
      <c r="W5035" s="42">
        <v>0</v>
      </c>
      <c r="X5035" s="42">
        <v>0</v>
      </c>
    </row>
    <row r="5036" spans="1:24">
      <c r="A5036" s="27" t="s">
        <v>9314</v>
      </c>
      <c r="B5036" s="28" t="s">
        <v>5102</v>
      </c>
      <c r="C5036" s="27" t="s">
        <v>9315</v>
      </c>
      <c r="D5036" s="27" t="s">
        <v>5104</v>
      </c>
      <c r="E5036" s="29">
        <v>42369</v>
      </c>
      <c r="F5036" s="27">
        <v>15</v>
      </c>
      <c r="G5036" s="18">
        <v>16276.32</v>
      </c>
      <c r="H5036" s="27">
        <f t="shared" si="156"/>
        <v>0</v>
      </c>
      <c r="I5036" s="18">
        <v>3568.27</v>
      </c>
      <c r="J5036" s="27">
        <v>16276.32</v>
      </c>
      <c r="K5036" s="18">
        <f t="shared" si="157"/>
        <v>0</v>
      </c>
      <c r="L5036" s="27">
        <v>4559.46</v>
      </c>
      <c r="M5036" s="36">
        <v>991.19</v>
      </c>
      <c r="T5036" s="41">
        <v>0</v>
      </c>
      <c r="U5036" s="41">
        <v>0</v>
      </c>
      <c r="V5036" s="42" t="s">
        <v>113</v>
      </c>
      <c r="W5036" s="42">
        <v>0</v>
      </c>
      <c r="X5036" s="42">
        <v>0</v>
      </c>
    </row>
    <row r="5037" spans="1:24">
      <c r="A5037" s="27" t="s">
        <v>9316</v>
      </c>
      <c r="B5037" s="28" t="s">
        <v>5102</v>
      </c>
      <c r="C5037" s="27" t="s">
        <v>9317</v>
      </c>
      <c r="D5037" s="27" t="s">
        <v>5104</v>
      </c>
      <c r="E5037" s="29">
        <v>42369</v>
      </c>
      <c r="F5037" s="27">
        <v>15</v>
      </c>
      <c r="G5037" s="18">
        <v>34756.19</v>
      </c>
      <c r="H5037" s="27">
        <f t="shared" si="156"/>
        <v>0</v>
      </c>
      <c r="I5037" s="18">
        <v>7619.62</v>
      </c>
      <c r="J5037" s="27">
        <v>34756.19</v>
      </c>
      <c r="K5037" s="18">
        <f t="shared" si="157"/>
        <v>0</v>
      </c>
      <c r="L5037" s="27">
        <v>9736.18</v>
      </c>
      <c r="M5037" s="36">
        <v>2116.56</v>
      </c>
      <c r="T5037" s="41">
        <v>0</v>
      </c>
      <c r="U5037" s="41">
        <v>0</v>
      </c>
      <c r="V5037" s="42" t="s">
        <v>113</v>
      </c>
      <c r="W5037" s="42">
        <v>0</v>
      </c>
      <c r="X5037" s="42">
        <v>0</v>
      </c>
    </row>
    <row r="5038" spans="1:24">
      <c r="A5038" s="27" t="s">
        <v>9318</v>
      </c>
      <c r="B5038" s="28" t="s">
        <v>5102</v>
      </c>
      <c r="C5038" s="27" t="s">
        <v>9317</v>
      </c>
      <c r="D5038" s="27" t="s">
        <v>5104</v>
      </c>
      <c r="E5038" s="29">
        <v>42369</v>
      </c>
      <c r="F5038" s="27">
        <v>15</v>
      </c>
      <c r="G5038" s="18">
        <v>40983.42</v>
      </c>
      <c r="H5038" s="27">
        <f t="shared" si="156"/>
        <v>0</v>
      </c>
      <c r="I5038" s="18">
        <v>9195.18</v>
      </c>
      <c r="J5038" s="27">
        <v>40983.42</v>
      </c>
      <c r="K5038" s="18">
        <f t="shared" si="157"/>
        <v>0</v>
      </c>
      <c r="L5038" s="27">
        <v>11673.44</v>
      </c>
      <c r="M5038" s="36">
        <v>2478.2600000000002</v>
      </c>
      <c r="T5038" s="41">
        <v>0</v>
      </c>
      <c r="U5038" s="41">
        <v>0</v>
      </c>
      <c r="V5038" s="42" t="s">
        <v>113</v>
      </c>
      <c r="W5038" s="42">
        <v>0</v>
      </c>
      <c r="X5038" s="42">
        <v>0</v>
      </c>
    </row>
    <row r="5039" spans="1:24">
      <c r="A5039" s="27" t="s">
        <v>9319</v>
      </c>
      <c r="B5039" s="28" t="s">
        <v>5102</v>
      </c>
      <c r="C5039" s="27" t="s">
        <v>9320</v>
      </c>
      <c r="D5039" s="27" t="s">
        <v>5104</v>
      </c>
      <c r="E5039" s="29">
        <v>42369</v>
      </c>
      <c r="F5039" s="27">
        <v>15</v>
      </c>
      <c r="G5039" s="18">
        <v>40306.93</v>
      </c>
      <c r="H5039" s="27">
        <f t="shared" si="156"/>
        <v>0</v>
      </c>
      <c r="I5039" s="18">
        <v>8836.52</v>
      </c>
      <c r="J5039" s="27">
        <v>40306.93</v>
      </c>
      <c r="K5039" s="18">
        <f t="shared" si="157"/>
        <v>0</v>
      </c>
      <c r="L5039" s="27">
        <v>11291.11</v>
      </c>
      <c r="M5039" s="36">
        <v>2454.59</v>
      </c>
      <c r="T5039" s="41">
        <v>0</v>
      </c>
      <c r="U5039" s="41">
        <v>0</v>
      </c>
      <c r="V5039" s="42" t="s">
        <v>113</v>
      </c>
      <c r="W5039" s="42">
        <v>0</v>
      </c>
      <c r="X5039" s="42">
        <v>0</v>
      </c>
    </row>
    <row r="5040" spans="1:24">
      <c r="A5040" s="27" t="s">
        <v>9321</v>
      </c>
      <c r="B5040" s="28" t="s">
        <v>5102</v>
      </c>
      <c r="C5040" s="27" t="s">
        <v>9322</v>
      </c>
      <c r="D5040" s="27" t="s">
        <v>5104</v>
      </c>
      <c r="E5040" s="29">
        <v>42369</v>
      </c>
      <c r="F5040" s="27">
        <v>15</v>
      </c>
      <c r="G5040" s="18">
        <v>138939.37</v>
      </c>
      <c r="H5040" s="27">
        <f t="shared" si="156"/>
        <v>0</v>
      </c>
      <c r="I5040" s="18">
        <v>30459.79</v>
      </c>
      <c r="J5040" s="27">
        <v>138939.37</v>
      </c>
      <c r="K5040" s="18">
        <f t="shared" si="157"/>
        <v>0</v>
      </c>
      <c r="L5040" s="27">
        <v>38920.839999999997</v>
      </c>
      <c r="M5040" s="36">
        <v>8461.0499999999993</v>
      </c>
      <c r="T5040" s="41">
        <v>0</v>
      </c>
      <c r="U5040" s="41">
        <v>0</v>
      </c>
      <c r="V5040" s="42" t="s">
        <v>113</v>
      </c>
      <c r="W5040" s="42">
        <v>0</v>
      </c>
      <c r="X5040" s="42">
        <v>0</v>
      </c>
    </row>
    <row r="5041" spans="1:24">
      <c r="A5041" s="27" t="s">
        <v>9323</v>
      </c>
      <c r="B5041" s="28" t="s">
        <v>5102</v>
      </c>
      <c r="C5041" s="27" t="s">
        <v>9324</v>
      </c>
      <c r="D5041" s="27" t="s">
        <v>5104</v>
      </c>
      <c r="E5041" s="29">
        <v>42369</v>
      </c>
      <c r="F5041" s="27">
        <v>15</v>
      </c>
      <c r="G5041" s="18">
        <v>81126.240000000005</v>
      </c>
      <c r="H5041" s="27">
        <f t="shared" si="156"/>
        <v>0</v>
      </c>
      <c r="I5041" s="18">
        <v>17785.36</v>
      </c>
      <c r="J5041" s="27">
        <v>81126.240000000005</v>
      </c>
      <c r="K5041" s="18">
        <f t="shared" si="157"/>
        <v>0</v>
      </c>
      <c r="L5041" s="27">
        <v>22725.74</v>
      </c>
      <c r="M5041" s="36">
        <v>4940.38</v>
      </c>
      <c r="T5041" s="41">
        <v>0</v>
      </c>
      <c r="U5041" s="41">
        <v>0</v>
      </c>
      <c r="V5041" s="42" t="s">
        <v>113</v>
      </c>
      <c r="W5041" s="42">
        <v>0</v>
      </c>
      <c r="X5041" s="42">
        <v>0</v>
      </c>
    </row>
    <row r="5042" spans="1:24">
      <c r="A5042" s="27" t="s">
        <v>9325</v>
      </c>
      <c r="B5042" s="28" t="s">
        <v>5102</v>
      </c>
      <c r="C5042" s="27" t="s">
        <v>9326</v>
      </c>
      <c r="D5042" s="27" t="s">
        <v>5104</v>
      </c>
      <c r="E5042" s="29">
        <v>42369</v>
      </c>
      <c r="F5042" s="27">
        <v>15</v>
      </c>
      <c r="G5042" s="18">
        <v>347561.91</v>
      </c>
      <c r="H5042" s="27">
        <f t="shared" si="156"/>
        <v>0</v>
      </c>
      <c r="I5042" s="18">
        <v>76196.27</v>
      </c>
      <c r="J5042" s="27">
        <v>347561.91</v>
      </c>
      <c r="K5042" s="18">
        <f t="shared" si="157"/>
        <v>0</v>
      </c>
      <c r="L5042" s="27">
        <v>97361.9</v>
      </c>
      <c r="M5042" s="36">
        <v>21165.63</v>
      </c>
      <c r="T5042" s="41">
        <v>0</v>
      </c>
      <c r="U5042" s="41">
        <v>0</v>
      </c>
      <c r="V5042" s="42" t="s">
        <v>113</v>
      </c>
      <c r="W5042" s="42">
        <v>0</v>
      </c>
      <c r="X5042" s="42">
        <v>0</v>
      </c>
    </row>
    <row r="5043" spans="1:24">
      <c r="A5043" s="27" t="s">
        <v>9327</v>
      </c>
      <c r="B5043" s="28" t="s">
        <v>5102</v>
      </c>
      <c r="C5043" s="27" t="s">
        <v>9328</v>
      </c>
      <c r="D5043" s="27" t="s">
        <v>5104</v>
      </c>
      <c r="E5043" s="29">
        <v>42369</v>
      </c>
      <c r="F5043" s="27">
        <v>15</v>
      </c>
      <c r="G5043" s="18">
        <v>642690.65</v>
      </c>
      <c r="H5043" s="27">
        <f t="shared" si="156"/>
        <v>0</v>
      </c>
      <c r="I5043" s="18">
        <v>140897.57</v>
      </c>
      <c r="J5043" s="27">
        <v>642690.65</v>
      </c>
      <c r="K5043" s="18">
        <f t="shared" si="157"/>
        <v>0</v>
      </c>
      <c r="L5043" s="27">
        <v>180035.78</v>
      </c>
      <c r="M5043" s="36">
        <v>39138.21</v>
      </c>
      <c r="T5043" s="41">
        <v>0</v>
      </c>
      <c r="U5043" s="41">
        <v>0</v>
      </c>
      <c r="V5043" s="42" t="s">
        <v>113</v>
      </c>
      <c r="W5043" s="42">
        <v>0</v>
      </c>
      <c r="X5043" s="42">
        <v>0</v>
      </c>
    </row>
    <row r="5044" spans="1:24">
      <c r="A5044" s="27" t="s">
        <v>9329</v>
      </c>
      <c r="B5044" s="28" t="s">
        <v>5102</v>
      </c>
      <c r="C5044" s="27" t="s">
        <v>9330</v>
      </c>
      <c r="D5044" s="27" t="s">
        <v>5104</v>
      </c>
      <c r="E5044" s="29">
        <v>42369</v>
      </c>
      <c r="F5044" s="27">
        <v>15</v>
      </c>
      <c r="G5044" s="18">
        <v>123841.19</v>
      </c>
      <c r="H5044" s="27">
        <f t="shared" si="156"/>
        <v>0</v>
      </c>
      <c r="I5044" s="18">
        <v>27152.27</v>
      </c>
      <c r="J5044" s="27">
        <v>123841.19</v>
      </c>
      <c r="K5044" s="18">
        <f t="shared" si="157"/>
        <v>0</v>
      </c>
      <c r="L5044" s="27">
        <v>34693.68</v>
      </c>
      <c r="M5044" s="36">
        <v>7541.41</v>
      </c>
      <c r="T5044" s="41">
        <v>0</v>
      </c>
      <c r="U5044" s="41">
        <v>0</v>
      </c>
      <c r="V5044" s="42" t="s">
        <v>113</v>
      </c>
      <c r="W5044" s="42">
        <v>0</v>
      </c>
      <c r="X5044" s="42">
        <v>0</v>
      </c>
    </row>
    <row r="5045" spans="1:24">
      <c r="A5045" s="27" t="s">
        <v>9331</v>
      </c>
      <c r="B5045" s="28" t="s">
        <v>5102</v>
      </c>
      <c r="C5045" s="27" t="s">
        <v>9332</v>
      </c>
      <c r="D5045" s="27" t="s">
        <v>5104</v>
      </c>
      <c r="E5045" s="29">
        <v>42369</v>
      </c>
      <c r="F5045" s="27">
        <v>15</v>
      </c>
      <c r="G5045" s="18">
        <v>173621.11</v>
      </c>
      <c r="H5045" s="27">
        <f t="shared" si="156"/>
        <v>0</v>
      </c>
      <c r="I5045" s="18">
        <v>38063.08</v>
      </c>
      <c r="J5045" s="27">
        <v>173621.11</v>
      </c>
      <c r="K5045" s="18">
        <f t="shared" si="157"/>
        <v>0</v>
      </c>
      <c r="L5045" s="27">
        <v>48636.160000000003</v>
      </c>
      <c r="M5045" s="36">
        <v>10573.08</v>
      </c>
      <c r="T5045" s="41">
        <v>0</v>
      </c>
      <c r="U5045" s="41">
        <v>0</v>
      </c>
      <c r="V5045" s="42" t="s">
        <v>113</v>
      </c>
      <c r="W5045" s="42">
        <v>0</v>
      </c>
      <c r="X5045" s="42">
        <v>0</v>
      </c>
    </row>
    <row r="5046" spans="1:24">
      <c r="A5046" s="27" t="s">
        <v>9333</v>
      </c>
      <c r="B5046" s="28" t="s">
        <v>5102</v>
      </c>
      <c r="C5046" s="27" t="s">
        <v>9332</v>
      </c>
      <c r="D5046" s="27" t="s">
        <v>5104</v>
      </c>
      <c r="E5046" s="29">
        <v>42369</v>
      </c>
      <c r="F5046" s="27">
        <v>15</v>
      </c>
      <c r="G5046" s="18">
        <v>53059.08</v>
      </c>
      <c r="H5046" s="27">
        <f t="shared" si="156"/>
        <v>0</v>
      </c>
      <c r="I5046" s="18">
        <v>11632.18</v>
      </c>
      <c r="J5046" s="27">
        <v>53059.08</v>
      </c>
      <c r="K5046" s="18">
        <f t="shared" si="157"/>
        <v>0</v>
      </c>
      <c r="L5046" s="27">
        <v>14863.34</v>
      </c>
      <c r="M5046" s="36">
        <v>3231.16</v>
      </c>
      <c r="T5046" s="41">
        <v>0</v>
      </c>
      <c r="U5046" s="41">
        <v>0</v>
      </c>
      <c r="V5046" s="42" t="s">
        <v>113</v>
      </c>
      <c r="W5046" s="42">
        <v>0</v>
      </c>
      <c r="X5046" s="42">
        <v>0</v>
      </c>
    </row>
    <row r="5047" spans="1:24">
      <c r="A5047" s="27" t="s">
        <v>9334</v>
      </c>
      <c r="B5047" s="28" t="s">
        <v>5102</v>
      </c>
      <c r="C5047" s="27" t="s">
        <v>9335</v>
      </c>
      <c r="D5047" s="27" t="s">
        <v>5104</v>
      </c>
      <c r="E5047" s="29">
        <v>42369</v>
      </c>
      <c r="F5047" s="27">
        <v>15</v>
      </c>
      <c r="G5047" s="18">
        <v>116819.35</v>
      </c>
      <c r="H5047" s="27">
        <f t="shared" si="156"/>
        <v>0</v>
      </c>
      <c r="I5047" s="18">
        <v>25610.400000000001</v>
      </c>
      <c r="J5047" s="27">
        <v>116819.35</v>
      </c>
      <c r="K5047" s="18">
        <f t="shared" si="157"/>
        <v>0</v>
      </c>
      <c r="L5047" s="27">
        <v>32724.400000000001</v>
      </c>
      <c r="M5047" s="36">
        <v>7114</v>
      </c>
      <c r="T5047" s="41">
        <v>0</v>
      </c>
      <c r="U5047" s="41">
        <v>0</v>
      </c>
      <c r="V5047" s="42" t="s">
        <v>113</v>
      </c>
      <c r="W5047" s="42">
        <v>0</v>
      </c>
      <c r="X5047" s="42">
        <v>0</v>
      </c>
    </row>
    <row r="5048" spans="1:24">
      <c r="A5048" s="27" t="s">
        <v>9336</v>
      </c>
      <c r="B5048" s="28" t="s">
        <v>5102</v>
      </c>
      <c r="C5048" s="27" t="s">
        <v>9337</v>
      </c>
      <c r="D5048" s="27" t="s">
        <v>5104</v>
      </c>
      <c r="E5048" s="29">
        <v>42369</v>
      </c>
      <c r="F5048" s="27">
        <v>15</v>
      </c>
      <c r="G5048" s="18">
        <v>57973.24</v>
      </c>
      <c r="H5048" s="27">
        <f t="shared" si="156"/>
        <v>0</v>
      </c>
      <c r="I5048" s="18">
        <v>12709.52</v>
      </c>
      <c r="J5048" s="27">
        <v>57973.24</v>
      </c>
      <c r="K5048" s="18">
        <f t="shared" si="157"/>
        <v>0</v>
      </c>
      <c r="L5048" s="27">
        <v>16239.94</v>
      </c>
      <c r="M5048" s="36">
        <v>3530.42</v>
      </c>
      <c r="T5048" s="41">
        <v>0</v>
      </c>
      <c r="U5048" s="41">
        <v>0</v>
      </c>
      <c r="V5048" s="42" t="s">
        <v>113</v>
      </c>
      <c r="W5048" s="42">
        <v>0</v>
      </c>
      <c r="X5048" s="42">
        <v>0</v>
      </c>
    </row>
    <row r="5049" spans="1:24">
      <c r="A5049" s="27" t="s">
        <v>9338</v>
      </c>
      <c r="B5049" s="28" t="s">
        <v>5102</v>
      </c>
      <c r="C5049" s="27" t="s">
        <v>9339</v>
      </c>
      <c r="D5049" s="27" t="s">
        <v>5104</v>
      </c>
      <c r="E5049" s="29">
        <v>42369</v>
      </c>
      <c r="F5049" s="27">
        <v>15</v>
      </c>
      <c r="G5049" s="18">
        <v>6110.1</v>
      </c>
      <c r="H5049" s="27">
        <f t="shared" si="156"/>
        <v>0</v>
      </c>
      <c r="I5049" s="18">
        <v>1339.53</v>
      </c>
      <c r="J5049" s="27">
        <v>6110.1</v>
      </c>
      <c r="K5049" s="18">
        <f t="shared" si="157"/>
        <v>0</v>
      </c>
      <c r="L5049" s="27">
        <v>1711.62</v>
      </c>
      <c r="M5049" s="36">
        <v>372.09</v>
      </c>
      <c r="T5049" s="41">
        <v>0</v>
      </c>
      <c r="U5049" s="41">
        <v>0</v>
      </c>
      <c r="V5049" s="42" t="s">
        <v>113</v>
      </c>
      <c r="W5049" s="42">
        <v>0</v>
      </c>
      <c r="X5049" s="42">
        <v>0</v>
      </c>
    </row>
    <row r="5050" spans="1:24">
      <c r="A5050" s="27" t="s">
        <v>9340</v>
      </c>
      <c r="B5050" s="28" t="s">
        <v>5102</v>
      </c>
      <c r="C5050" s="27" t="s">
        <v>9341</v>
      </c>
      <c r="D5050" s="27" t="s">
        <v>5104</v>
      </c>
      <c r="E5050" s="29">
        <v>42369</v>
      </c>
      <c r="F5050" s="27">
        <v>15</v>
      </c>
      <c r="G5050" s="18">
        <v>21230.7</v>
      </c>
      <c r="H5050" s="27">
        <f t="shared" si="156"/>
        <v>0</v>
      </c>
      <c r="I5050" s="18">
        <v>4766.18</v>
      </c>
      <c r="J5050" s="27">
        <v>21230.7</v>
      </c>
      <c r="K5050" s="18">
        <f t="shared" si="157"/>
        <v>0</v>
      </c>
      <c r="L5050" s="27">
        <v>6049.76</v>
      </c>
      <c r="M5050" s="36">
        <v>1283.58</v>
      </c>
      <c r="T5050" s="41">
        <v>0</v>
      </c>
      <c r="U5050" s="41">
        <v>0</v>
      </c>
      <c r="V5050" s="42" t="s">
        <v>113</v>
      </c>
      <c r="W5050" s="42">
        <v>0</v>
      </c>
      <c r="X5050" s="42">
        <v>0</v>
      </c>
    </row>
    <row r="5051" spans="1:24">
      <c r="A5051" s="27" t="s">
        <v>9342</v>
      </c>
      <c r="B5051" s="28" t="s">
        <v>5102</v>
      </c>
      <c r="C5051" s="27" t="s">
        <v>9343</v>
      </c>
      <c r="D5051" s="27" t="s">
        <v>5104</v>
      </c>
      <c r="E5051" s="29">
        <v>42369</v>
      </c>
      <c r="F5051" s="27">
        <v>12</v>
      </c>
      <c r="G5051" s="18">
        <v>1600.26</v>
      </c>
      <c r="H5051" s="27">
        <f t="shared" si="156"/>
        <v>1600.26</v>
      </c>
      <c r="I5051" s="18">
        <v>1600.26</v>
      </c>
      <c r="J5051" s="27">
        <v>1600.26</v>
      </c>
      <c r="K5051" s="18">
        <f t="shared" si="157"/>
        <v>1600.26</v>
      </c>
      <c r="L5051" s="27">
        <v>1600.26</v>
      </c>
      <c r="M5051" s="36">
        <v>0</v>
      </c>
      <c r="T5051" s="41">
        <v>0</v>
      </c>
      <c r="U5051" s="41">
        <v>0</v>
      </c>
      <c r="V5051" s="42" t="s">
        <v>113</v>
      </c>
      <c r="W5051" s="42">
        <v>1600.26</v>
      </c>
      <c r="X5051" s="42">
        <v>1600.26</v>
      </c>
    </row>
    <row r="5052" spans="1:24">
      <c r="A5052" s="27" t="s">
        <v>9344</v>
      </c>
      <c r="B5052" s="28" t="s">
        <v>5102</v>
      </c>
      <c r="C5052" s="27" t="s">
        <v>9345</v>
      </c>
      <c r="D5052" s="27" t="s">
        <v>5104</v>
      </c>
      <c r="E5052" s="29">
        <v>42369</v>
      </c>
      <c r="F5052" s="27">
        <v>15</v>
      </c>
      <c r="G5052" s="18">
        <v>50408.35</v>
      </c>
      <c r="H5052" s="27">
        <f t="shared" si="156"/>
        <v>0</v>
      </c>
      <c r="I5052" s="18">
        <v>11051.06</v>
      </c>
      <c r="J5052" s="27">
        <v>50408.35</v>
      </c>
      <c r="K5052" s="18">
        <f t="shared" si="157"/>
        <v>0</v>
      </c>
      <c r="L5052" s="27">
        <v>14120.8</v>
      </c>
      <c r="M5052" s="36">
        <v>3069.74</v>
      </c>
      <c r="T5052" s="41">
        <v>0</v>
      </c>
      <c r="U5052" s="41">
        <v>0</v>
      </c>
      <c r="V5052" s="42" t="s">
        <v>113</v>
      </c>
      <c r="W5052" s="42">
        <v>0</v>
      </c>
      <c r="X5052" s="42">
        <v>0</v>
      </c>
    </row>
    <row r="5053" spans="1:24">
      <c r="A5053" s="27" t="s">
        <v>9346</v>
      </c>
      <c r="B5053" s="28" t="s">
        <v>5102</v>
      </c>
      <c r="C5053" s="27" t="s">
        <v>9347</v>
      </c>
      <c r="D5053" s="27" t="s">
        <v>5104</v>
      </c>
      <c r="E5053" s="29">
        <v>42369</v>
      </c>
      <c r="F5053" s="27">
        <v>15</v>
      </c>
      <c r="G5053" s="18">
        <v>103289.83</v>
      </c>
      <c r="H5053" s="27">
        <f t="shared" si="156"/>
        <v>0</v>
      </c>
      <c r="I5053" s="18">
        <v>22644.31</v>
      </c>
      <c r="J5053" s="27">
        <v>103289.83</v>
      </c>
      <c r="K5053" s="18">
        <f t="shared" si="157"/>
        <v>0</v>
      </c>
      <c r="L5053" s="27">
        <v>28934.400000000001</v>
      </c>
      <c r="M5053" s="36">
        <v>6290.09</v>
      </c>
      <c r="T5053" s="41">
        <v>0</v>
      </c>
      <c r="U5053" s="41">
        <v>0</v>
      </c>
      <c r="V5053" s="42" t="s">
        <v>113</v>
      </c>
      <c r="W5053" s="42">
        <v>0</v>
      </c>
      <c r="X5053" s="42">
        <v>0</v>
      </c>
    </row>
    <row r="5054" spans="1:24">
      <c r="A5054" s="27" t="s">
        <v>9348</v>
      </c>
      <c r="B5054" s="28" t="s">
        <v>5102</v>
      </c>
      <c r="C5054" s="27" t="s">
        <v>9349</v>
      </c>
      <c r="D5054" s="27" t="s">
        <v>5104</v>
      </c>
      <c r="E5054" s="29">
        <v>42369</v>
      </c>
      <c r="F5054" s="27">
        <v>15</v>
      </c>
      <c r="G5054" s="18">
        <v>28150.12</v>
      </c>
      <c r="H5054" s="27">
        <f t="shared" si="156"/>
        <v>0</v>
      </c>
      <c r="I5054" s="18">
        <v>6171.37</v>
      </c>
      <c r="J5054" s="27">
        <v>28150.12</v>
      </c>
      <c r="K5054" s="18">
        <f t="shared" si="157"/>
        <v>0</v>
      </c>
      <c r="L5054" s="27">
        <v>7885.64</v>
      </c>
      <c r="M5054" s="36">
        <v>1714.27</v>
      </c>
      <c r="T5054" s="41">
        <v>0</v>
      </c>
      <c r="U5054" s="41">
        <v>0</v>
      </c>
      <c r="V5054" s="42" t="s">
        <v>113</v>
      </c>
      <c r="W5054" s="42">
        <v>0</v>
      </c>
      <c r="X5054" s="42">
        <v>0</v>
      </c>
    </row>
    <row r="5055" spans="1:24">
      <c r="A5055" s="27" t="s">
        <v>9350</v>
      </c>
      <c r="B5055" s="28" t="s">
        <v>5102</v>
      </c>
      <c r="C5055" s="27" t="s">
        <v>9351</v>
      </c>
      <c r="D5055" s="27" t="s">
        <v>5104</v>
      </c>
      <c r="E5055" s="29">
        <v>42369</v>
      </c>
      <c r="F5055" s="27">
        <v>15</v>
      </c>
      <c r="G5055" s="18">
        <v>41388.67</v>
      </c>
      <c r="H5055" s="27">
        <f t="shared" si="156"/>
        <v>0</v>
      </c>
      <c r="I5055" s="18">
        <v>9073.66</v>
      </c>
      <c r="J5055" s="27">
        <v>41388.67</v>
      </c>
      <c r="K5055" s="18">
        <f t="shared" si="157"/>
        <v>0</v>
      </c>
      <c r="L5055" s="27">
        <v>11594.13</v>
      </c>
      <c r="M5055" s="36">
        <v>2520.4699999999998</v>
      </c>
      <c r="T5055" s="41">
        <v>0</v>
      </c>
      <c r="U5055" s="41">
        <v>0</v>
      </c>
      <c r="V5055" s="42" t="s">
        <v>113</v>
      </c>
      <c r="W5055" s="42">
        <v>0</v>
      </c>
      <c r="X5055" s="42">
        <v>0</v>
      </c>
    </row>
    <row r="5056" spans="1:24">
      <c r="A5056" s="27" t="s">
        <v>9352</v>
      </c>
      <c r="B5056" s="28" t="s">
        <v>5102</v>
      </c>
      <c r="C5056" s="27" t="s">
        <v>9353</v>
      </c>
      <c r="D5056" s="27" t="s">
        <v>5104</v>
      </c>
      <c r="E5056" s="29">
        <v>42369</v>
      </c>
      <c r="F5056" s="27">
        <v>15</v>
      </c>
      <c r="G5056" s="18">
        <v>35860.480000000003</v>
      </c>
      <c r="H5056" s="27">
        <f t="shared" si="156"/>
        <v>0</v>
      </c>
      <c r="I5056" s="18">
        <v>7861.72</v>
      </c>
      <c r="J5056" s="27">
        <v>35860.480000000003</v>
      </c>
      <c r="K5056" s="18">
        <f t="shared" si="157"/>
        <v>0</v>
      </c>
      <c r="L5056" s="27">
        <v>10045.530000000001</v>
      </c>
      <c r="M5056" s="36">
        <v>2183.81</v>
      </c>
      <c r="T5056" s="41">
        <v>0</v>
      </c>
      <c r="U5056" s="41">
        <v>0</v>
      </c>
      <c r="V5056" s="42" t="s">
        <v>113</v>
      </c>
      <c r="W5056" s="42">
        <v>0</v>
      </c>
      <c r="X5056" s="42">
        <v>0</v>
      </c>
    </row>
    <row r="5057" spans="1:24">
      <c r="A5057" s="27" t="s">
        <v>9354</v>
      </c>
      <c r="B5057" s="28" t="s">
        <v>5102</v>
      </c>
      <c r="C5057" s="27" t="s">
        <v>9351</v>
      </c>
      <c r="D5057" s="27" t="s">
        <v>5104</v>
      </c>
      <c r="E5057" s="29">
        <v>42369</v>
      </c>
      <c r="F5057" s="27">
        <v>15</v>
      </c>
      <c r="G5057" s="18">
        <v>57728.89</v>
      </c>
      <c r="H5057" s="27">
        <f t="shared" si="156"/>
        <v>0</v>
      </c>
      <c r="I5057" s="18">
        <v>12655.94</v>
      </c>
      <c r="J5057" s="27">
        <v>57728.89</v>
      </c>
      <c r="K5057" s="18">
        <f t="shared" si="157"/>
        <v>0</v>
      </c>
      <c r="L5057" s="27">
        <v>16171.48</v>
      </c>
      <c r="M5057" s="36">
        <v>3515.54</v>
      </c>
      <c r="T5057" s="41">
        <v>0</v>
      </c>
      <c r="U5057" s="41">
        <v>0</v>
      </c>
      <c r="V5057" s="42" t="s">
        <v>113</v>
      </c>
      <c r="W5057" s="42">
        <v>0</v>
      </c>
      <c r="X5057" s="42">
        <v>0</v>
      </c>
    </row>
    <row r="5058" spans="1:24">
      <c r="A5058" s="27" t="s">
        <v>9355</v>
      </c>
      <c r="B5058" s="28" t="s">
        <v>5102</v>
      </c>
      <c r="C5058" s="27" t="s">
        <v>9353</v>
      </c>
      <c r="D5058" s="27" t="s">
        <v>5104</v>
      </c>
      <c r="E5058" s="29">
        <v>42369</v>
      </c>
      <c r="F5058" s="27">
        <v>15</v>
      </c>
      <c r="G5058" s="18">
        <v>31816.19</v>
      </c>
      <c r="H5058" s="27">
        <f t="shared" si="156"/>
        <v>0</v>
      </c>
      <c r="I5058" s="18">
        <v>6975.08</v>
      </c>
      <c r="J5058" s="27">
        <v>31816.19</v>
      </c>
      <c r="K5058" s="18">
        <f t="shared" si="157"/>
        <v>0</v>
      </c>
      <c r="L5058" s="27">
        <v>8912.61</v>
      </c>
      <c r="M5058" s="36">
        <v>1937.53</v>
      </c>
      <c r="T5058" s="41">
        <v>0</v>
      </c>
      <c r="U5058" s="41">
        <v>0</v>
      </c>
      <c r="V5058" s="42" t="s">
        <v>113</v>
      </c>
      <c r="W5058" s="42">
        <v>0</v>
      </c>
      <c r="X5058" s="42">
        <v>0</v>
      </c>
    </row>
    <row r="5059" spans="1:24">
      <c r="A5059" s="27" t="s">
        <v>9356</v>
      </c>
      <c r="B5059" s="28" t="s">
        <v>5102</v>
      </c>
      <c r="C5059" s="27" t="s">
        <v>9351</v>
      </c>
      <c r="D5059" s="27" t="s">
        <v>5104</v>
      </c>
      <c r="E5059" s="29">
        <v>42369</v>
      </c>
      <c r="F5059" s="27">
        <v>15</v>
      </c>
      <c r="G5059" s="18">
        <v>36152.39</v>
      </c>
      <c r="H5059" s="27">
        <f t="shared" si="156"/>
        <v>0</v>
      </c>
      <c r="I5059" s="18">
        <v>7925.71</v>
      </c>
      <c r="J5059" s="27">
        <v>36152.39</v>
      </c>
      <c r="K5059" s="18">
        <f t="shared" si="157"/>
        <v>0</v>
      </c>
      <c r="L5059" s="27">
        <v>10127.299999999999</v>
      </c>
      <c r="M5059" s="36">
        <v>2201.59</v>
      </c>
      <c r="T5059" s="41">
        <v>0</v>
      </c>
      <c r="U5059" s="41">
        <v>0</v>
      </c>
      <c r="V5059" s="42" t="s">
        <v>113</v>
      </c>
      <c r="W5059" s="42">
        <v>0</v>
      </c>
      <c r="X5059" s="42">
        <v>0</v>
      </c>
    </row>
    <row r="5060" spans="1:24">
      <c r="A5060" s="27" t="s">
        <v>9357</v>
      </c>
      <c r="B5060" s="28" t="s">
        <v>5102</v>
      </c>
      <c r="C5060" s="27" t="s">
        <v>9353</v>
      </c>
      <c r="D5060" s="27" t="s">
        <v>5104</v>
      </c>
      <c r="E5060" s="29">
        <v>42369</v>
      </c>
      <c r="F5060" s="27">
        <v>15</v>
      </c>
      <c r="G5060" s="18">
        <v>53131.47</v>
      </c>
      <c r="H5060" s="27">
        <f t="shared" si="156"/>
        <v>0</v>
      </c>
      <c r="I5060" s="18">
        <v>11648.05</v>
      </c>
      <c r="J5060" s="27">
        <v>53131.47</v>
      </c>
      <c r="K5060" s="18">
        <f t="shared" si="157"/>
        <v>0</v>
      </c>
      <c r="L5060" s="27">
        <v>14883.62</v>
      </c>
      <c r="M5060" s="36">
        <v>3235.57</v>
      </c>
      <c r="T5060" s="41">
        <v>0</v>
      </c>
      <c r="U5060" s="41">
        <v>0</v>
      </c>
      <c r="V5060" s="42" t="s">
        <v>113</v>
      </c>
      <c r="W5060" s="42">
        <v>0</v>
      </c>
      <c r="X5060" s="42">
        <v>0</v>
      </c>
    </row>
    <row r="5061" spans="1:24">
      <c r="A5061" s="27" t="s">
        <v>9358</v>
      </c>
      <c r="B5061" s="28" t="s">
        <v>5102</v>
      </c>
      <c r="C5061" s="27" t="s">
        <v>9359</v>
      </c>
      <c r="D5061" s="27" t="s">
        <v>5104</v>
      </c>
      <c r="E5061" s="29">
        <v>42369</v>
      </c>
      <c r="F5061" s="27">
        <v>15</v>
      </c>
      <c r="G5061" s="18">
        <v>10030.719999999999</v>
      </c>
      <c r="H5061" s="27">
        <f t="shared" si="156"/>
        <v>0</v>
      </c>
      <c r="I5061" s="18">
        <v>2199.04</v>
      </c>
      <c r="J5061" s="27">
        <v>10030.719999999999</v>
      </c>
      <c r="K5061" s="18">
        <f t="shared" si="157"/>
        <v>0</v>
      </c>
      <c r="L5061" s="27">
        <v>2809.89</v>
      </c>
      <c r="M5061" s="36">
        <v>610.85</v>
      </c>
      <c r="T5061" s="41">
        <v>0</v>
      </c>
      <c r="U5061" s="41">
        <v>0</v>
      </c>
      <c r="V5061" s="42" t="s">
        <v>113</v>
      </c>
      <c r="W5061" s="42">
        <v>0</v>
      </c>
      <c r="X5061" s="42">
        <v>0</v>
      </c>
    </row>
    <row r="5062" spans="1:24">
      <c r="A5062" s="27" t="s">
        <v>9360</v>
      </c>
      <c r="B5062" s="28" t="s">
        <v>5102</v>
      </c>
      <c r="C5062" s="27" t="s">
        <v>9361</v>
      </c>
      <c r="D5062" s="27" t="s">
        <v>5104</v>
      </c>
      <c r="E5062" s="29">
        <v>42369</v>
      </c>
      <c r="F5062" s="27">
        <v>15</v>
      </c>
      <c r="G5062" s="18">
        <v>85188.33</v>
      </c>
      <c r="H5062" s="27">
        <f t="shared" ref="H5062:H5125" si="158">IFERROR(IF(ROUND((G5062-I5062)/G5062,2)&lt;=0.05,G5062,0),0)</f>
        <v>0</v>
      </c>
      <c r="I5062" s="18">
        <v>18642.560000000001</v>
      </c>
      <c r="J5062" s="27">
        <v>85188.33</v>
      </c>
      <c r="K5062" s="18">
        <f t="shared" ref="K5062:K5125" si="159">IFERROR(IF(ROUND((J5062-L5062)/J5062,2)&lt;=0.05,J5062,0),0)</f>
        <v>0</v>
      </c>
      <c r="L5062" s="27">
        <v>23833.09</v>
      </c>
      <c r="M5062" s="36">
        <v>5190.53</v>
      </c>
      <c r="T5062" s="41">
        <v>0</v>
      </c>
      <c r="U5062" s="41">
        <v>0</v>
      </c>
      <c r="V5062" s="42" t="s">
        <v>113</v>
      </c>
      <c r="W5062" s="42">
        <v>0</v>
      </c>
      <c r="X5062" s="42">
        <v>0</v>
      </c>
    </row>
    <row r="5063" spans="1:24">
      <c r="A5063" s="27" t="s">
        <v>9362</v>
      </c>
      <c r="B5063" s="28" t="s">
        <v>5102</v>
      </c>
      <c r="C5063" s="27" t="s">
        <v>9359</v>
      </c>
      <c r="D5063" s="27" t="s">
        <v>5104</v>
      </c>
      <c r="E5063" s="29">
        <v>42369</v>
      </c>
      <c r="F5063" s="27">
        <v>15</v>
      </c>
      <c r="G5063" s="18">
        <v>6269.2</v>
      </c>
      <c r="H5063" s="27">
        <f t="shared" si="158"/>
        <v>0</v>
      </c>
      <c r="I5063" s="18">
        <v>1374.4</v>
      </c>
      <c r="J5063" s="27">
        <v>6269.2</v>
      </c>
      <c r="K5063" s="18">
        <f t="shared" si="159"/>
        <v>0</v>
      </c>
      <c r="L5063" s="27">
        <v>1756.18</v>
      </c>
      <c r="M5063" s="36">
        <v>381.78</v>
      </c>
      <c r="T5063" s="41">
        <v>0</v>
      </c>
      <c r="U5063" s="41">
        <v>0</v>
      </c>
      <c r="V5063" s="42" t="s">
        <v>113</v>
      </c>
      <c r="W5063" s="42">
        <v>0</v>
      </c>
      <c r="X5063" s="42">
        <v>0</v>
      </c>
    </row>
    <row r="5064" spans="1:24">
      <c r="A5064" s="27" t="s">
        <v>9363</v>
      </c>
      <c r="B5064" s="28" t="s">
        <v>5102</v>
      </c>
      <c r="C5064" s="27" t="s">
        <v>9361</v>
      </c>
      <c r="D5064" s="27" t="s">
        <v>5104</v>
      </c>
      <c r="E5064" s="29">
        <v>42369</v>
      </c>
      <c r="F5064" s="27">
        <v>15</v>
      </c>
      <c r="G5064" s="18">
        <v>39861.67</v>
      </c>
      <c r="H5064" s="27">
        <f t="shared" si="158"/>
        <v>0</v>
      </c>
      <c r="I5064" s="18">
        <v>8738.91</v>
      </c>
      <c r="J5064" s="27">
        <v>39861.67</v>
      </c>
      <c r="K5064" s="18">
        <f t="shared" si="159"/>
        <v>0</v>
      </c>
      <c r="L5064" s="27">
        <v>11166.38</v>
      </c>
      <c r="M5064" s="36">
        <v>2427.4699999999998</v>
      </c>
      <c r="T5064" s="41">
        <v>0</v>
      </c>
      <c r="U5064" s="41">
        <v>0</v>
      </c>
      <c r="V5064" s="42" t="s">
        <v>113</v>
      </c>
      <c r="W5064" s="42">
        <v>0</v>
      </c>
      <c r="X5064" s="42">
        <v>0</v>
      </c>
    </row>
    <row r="5065" spans="1:24">
      <c r="A5065" s="27" t="s">
        <v>9364</v>
      </c>
      <c r="B5065" s="28" t="s">
        <v>5102</v>
      </c>
      <c r="C5065" s="27" t="s">
        <v>9365</v>
      </c>
      <c r="D5065" s="27" t="s">
        <v>5104</v>
      </c>
      <c r="E5065" s="29">
        <v>42369</v>
      </c>
      <c r="F5065" s="27">
        <v>15</v>
      </c>
      <c r="G5065" s="18">
        <v>44250.11</v>
      </c>
      <c r="H5065" s="27">
        <f t="shared" si="158"/>
        <v>0</v>
      </c>
      <c r="I5065" s="18">
        <v>9700.98</v>
      </c>
      <c r="J5065" s="27">
        <v>44250.11</v>
      </c>
      <c r="K5065" s="18">
        <f t="shared" si="159"/>
        <v>0</v>
      </c>
      <c r="L5065" s="27">
        <v>12395.7</v>
      </c>
      <c r="M5065" s="36">
        <v>2694.72</v>
      </c>
      <c r="T5065" s="41">
        <v>0</v>
      </c>
      <c r="U5065" s="41">
        <v>0</v>
      </c>
      <c r="V5065" s="42" t="s">
        <v>113</v>
      </c>
      <c r="W5065" s="42">
        <v>0</v>
      </c>
      <c r="X5065" s="42">
        <v>0</v>
      </c>
    </row>
    <row r="5066" spans="1:24">
      <c r="A5066" s="27" t="s">
        <v>9366</v>
      </c>
      <c r="B5066" s="28" t="s">
        <v>5102</v>
      </c>
      <c r="C5066" s="27" t="s">
        <v>9367</v>
      </c>
      <c r="D5066" s="27" t="s">
        <v>5104</v>
      </c>
      <c r="E5066" s="29">
        <v>42369</v>
      </c>
      <c r="F5066" s="27">
        <v>15</v>
      </c>
      <c r="G5066" s="18">
        <v>86462.73</v>
      </c>
      <c r="H5066" s="27">
        <f t="shared" si="158"/>
        <v>0</v>
      </c>
      <c r="I5066" s="18">
        <v>18955.3</v>
      </c>
      <c r="J5066" s="27">
        <v>86462.73</v>
      </c>
      <c r="K5066" s="18">
        <f t="shared" si="159"/>
        <v>0</v>
      </c>
      <c r="L5066" s="27">
        <v>24220.66</v>
      </c>
      <c r="M5066" s="36">
        <v>5265.36</v>
      </c>
      <c r="T5066" s="41">
        <v>0</v>
      </c>
      <c r="U5066" s="41">
        <v>0</v>
      </c>
      <c r="V5066" s="42" t="s">
        <v>113</v>
      </c>
      <c r="W5066" s="42">
        <v>0</v>
      </c>
      <c r="X5066" s="42">
        <v>0</v>
      </c>
    </row>
    <row r="5067" spans="1:24">
      <c r="A5067" s="27" t="s">
        <v>9368</v>
      </c>
      <c r="B5067" s="28" t="s">
        <v>5102</v>
      </c>
      <c r="C5067" s="27" t="s">
        <v>9369</v>
      </c>
      <c r="D5067" s="27" t="s">
        <v>5104</v>
      </c>
      <c r="E5067" s="29">
        <v>42369</v>
      </c>
      <c r="F5067" s="27">
        <v>15</v>
      </c>
      <c r="G5067" s="18">
        <v>28106.91</v>
      </c>
      <c r="H5067" s="27">
        <f t="shared" si="158"/>
        <v>0</v>
      </c>
      <c r="I5067" s="18">
        <v>6161.9</v>
      </c>
      <c r="J5067" s="27">
        <v>28106.91</v>
      </c>
      <c r="K5067" s="18">
        <f t="shared" si="159"/>
        <v>0</v>
      </c>
      <c r="L5067" s="27">
        <v>7873.54</v>
      </c>
      <c r="M5067" s="36">
        <v>1711.64</v>
      </c>
      <c r="T5067" s="41">
        <v>0</v>
      </c>
      <c r="U5067" s="41">
        <v>0</v>
      </c>
      <c r="V5067" s="42" t="s">
        <v>113</v>
      </c>
      <c r="W5067" s="42">
        <v>0</v>
      </c>
      <c r="X5067" s="42">
        <v>0</v>
      </c>
    </row>
    <row r="5068" spans="1:24">
      <c r="A5068" s="27" t="s">
        <v>9370</v>
      </c>
      <c r="B5068" s="28" t="s">
        <v>5102</v>
      </c>
      <c r="C5068" s="27" t="s">
        <v>9371</v>
      </c>
      <c r="D5068" s="27" t="s">
        <v>5104</v>
      </c>
      <c r="E5068" s="29">
        <v>42369</v>
      </c>
      <c r="F5068" s="27">
        <v>15</v>
      </c>
      <c r="G5068" s="18">
        <v>59714.13</v>
      </c>
      <c r="H5068" s="27">
        <f t="shared" si="158"/>
        <v>0</v>
      </c>
      <c r="I5068" s="18">
        <v>13091.18</v>
      </c>
      <c r="J5068" s="27">
        <v>59714.13</v>
      </c>
      <c r="K5068" s="18">
        <f t="shared" si="159"/>
        <v>0</v>
      </c>
      <c r="L5068" s="27">
        <v>16727.62</v>
      </c>
      <c r="M5068" s="36">
        <v>3636.44</v>
      </c>
      <c r="T5068" s="41">
        <v>0</v>
      </c>
      <c r="U5068" s="41">
        <v>0</v>
      </c>
      <c r="V5068" s="42" t="s">
        <v>113</v>
      </c>
      <c r="W5068" s="42">
        <v>0</v>
      </c>
      <c r="X5068" s="42">
        <v>0</v>
      </c>
    </row>
    <row r="5069" spans="1:24">
      <c r="A5069" s="27" t="s">
        <v>9372</v>
      </c>
      <c r="B5069" s="28" t="s">
        <v>5102</v>
      </c>
      <c r="C5069" s="27" t="s">
        <v>9373</v>
      </c>
      <c r="D5069" s="27" t="s">
        <v>5104</v>
      </c>
      <c r="E5069" s="29">
        <v>42369</v>
      </c>
      <c r="F5069" s="27">
        <v>15</v>
      </c>
      <c r="G5069" s="18">
        <v>9142.58</v>
      </c>
      <c r="H5069" s="27">
        <f t="shared" si="158"/>
        <v>0</v>
      </c>
      <c r="I5069" s="18">
        <v>2004.34</v>
      </c>
      <c r="J5069" s="27">
        <v>9142.58</v>
      </c>
      <c r="K5069" s="18">
        <f t="shared" si="159"/>
        <v>0</v>
      </c>
      <c r="L5069" s="27">
        <v>2561.1</v>
      </c>
      <c r="M5069" s="36">
        <v>556.76</v>
      </c>
      <c r="T5069" s="41">
        <v>0</v>
      </c>
      <c r="U5069" s="41">
        <v>0</v>
      </c>
      <c r="V5069" s="42" t="s">
        <v>113</v>
      </c>
      <c r="W5069" s="42">
        <v>0</v>
      </c>
      <c r="X5069" s="42">
        <v>0</v>
      </c>
    </row>
    <row r="5070" spans="1:24">
      <c r="A5070" s="27" t="s">
        <v>9374</v>
      </c>
      <c r="B5070" s="28" t="s">
        <v>5102</v>
      </c>
      <c r="C5070" s="27" t="s">
        <v>9375</v>
      </c>
      <c r="D5070" s="27" t="s">
        <v>5104</v>
      </c>
      <c r="E5070" s="29">
        <v>42369</v>
      </c>
      <c r="F5070" s="27">
        <v>15</v>
      </c>
      <c r="G5070" s="18">
        <v>18703.11</v>
      </c>
      <c r="H5070" s="27">
        <f t="shared" si="158"/>
        <v>0</v>
      </c>
      <c r="I5070" s="18">
        <v>4100.29</v>
      </c>
      <c r="J5070" s="27">
        <v>18703.11</v>
      </c>
      <c r="K5070" s="18">
        <f t="shared" si="159"/>
        <v>0</v>
      </c>
      <c r="L5070" s="27">
        <v>5239.26</v>
      </c>
      <c r="M5070" s="36">
        <v>1138.97</v>
      </c>
      <c r="T5070" s="41">
        <v>0</v>
      </c>
      <c r="U5070" s="41">
        <v>0</v>
      </c>
      <c r="V5070" s="42" t="s">
        <v>113</v>
      </c>
      <c r="W5070" s="42">
        <v>0</v>
      </c>
      <c r="X5070" s="42">
        <v>0</v>
      </c>
    </row>
    <row r="5071" spans="1:24">
      <c r="A5071" s="27" t="s">
        <v>9376</v>
      </c>
      <c r="B5071" s="28" t="s">
        <v>5102</v>
      </c>
      <c r="C5071" s="27" t="s">
        <v>9377</v>
      </c>
      <c r="D5071" s="27" t="s">
        <v>5104</v>
      </c>
      <c r="E5071" s="29">
        <v>42234</v>
      </c>
      <c r="F5071" s="27">
        <v>15</v>
      </c>
      <c r="G5071" s="18">
        <v>27204.55</v>
      </c>
      <c r="H5071" s="27">
        <f t="shared" si="158"/>
        <v>0</v>
      </c>
      <c r="I5071" s="18">
        <v>6668.89</v>
      </c>
      <c r="J5071" s="27">
        <v>27204.55</v>
      </c>
      <c r="K5071" s="18">
        <f t="shared" si="159"/>
        <v>0</v>
      </c>
      <c r="L5071" s="27">
        <v>8312.5</v>
      </c>
      <c r="M5071" s="36">
        <v>1643.61</v>
      </c>
      <c r="T5071" s="41">
        <v>0</v>
      </c>
      <c r="U5071" s="41">
        <v>0</v>
      </c>
      <c r="V5071" s="42" t="s">
        <v>113</v>
      </c>
      <c r="W5071" s="42">
        <v>0</v>
      </c>
      <c r="X5071" s="42">
        <v>0</v>
      </c>
    </row>
    <row r="5072" spans="1:24">
      <c r="A5072" s="27" t="s">
        <v>9378</v>
      </c>
      <c r="B5072" s="28" t="s">
        <v>5102</v>
      </c>
      <c r="C5072" s="27" t="s">
        <v>9379</v>
      </c>
      <c r="D5072" s="27" t="s">
        <v>5104</v>
      </c>
      <c r="E5072" s="29">
        <v>42234</v>
      </c>
      <c r="F5072" s="27">
        <v>15</v>
      </c>
      <c r="G5072" s="18">
        <v>33897.050000000003</v>
      </c>
      <c r="H5072" s="27">
        <f t="shared" si="158"/>
        <v>0</v>
      </c>
      <c r="I5072" s="18">
        <v>8309.5</v>
      </c>
      <c r="J5072" s="27">
        <v>33897.050000000003</v>
      </c>
      <c r="K5072" s="18">
        <f t="shared" si="159"/>
        <v>0</v>
      </c>
      <c r="L5072" s="27">
        <v>10357.450000000001</v>
      </c>
      <c r="M5072" s="36">
        <v>2047.95</v>
      </c>
      <c r="T5072" s="41">
        <v>0</v>
      </c>
      <c r="U5072" s="41">
        <v>0</v>
      </c>
      <c r="V5072" s="42" t="s">
        <v>113</v>
      </c>
      <c r="W5072" s="42">
        <v>0</v>
      </c>
      <c r="X5072" s="42">
        <v>0</v>
      </c>
    </row>
    <row r="5073" spans="1:24">
      <c r="A5073" s="27" t="s">
        <v>9380</v>
      </c>
      <c r="B5073" s="28" t="s">
        <v>5102</v>
      </c>
      <c r="C5073" s="27" t="s">
        <v>9379</v>
      </c>
      <c r="D5073" s="27" t="s">
        <v>5104</v>
      </c>
      <c r="E5073" s="29">
        <v>42234</v>
      </c>
      <c r="F5073" s="27">
        <v>15</v>
      </c>
      <c r="G5073" s="18">
        <v>85568.320000000007</v>
      </c>
      <c r="H5073" s="27">
        <f t="shared" si="158"/>
        <v>0</v>
      </c>
      <c r="I5073" s="18">
        <v>20976.12</v>
      </c>
      <c r="J5073" s="27">
        <v>85568.320000000007</v>
      </c>
      <c r="K5073" s="18">
        <f t="shared" si="159"/>
        <v>0</v>
      </c>
      <c r="L5073" s="27">
        <v>26145.87</v>
      </c>
      <c r="M5073" s="36">
        <v>5169.75</v>
      </c>
      <c r="T5073" s="41">
        <v>0</v>
      </c>
      <c r="U5073" s="41">
        <v>0</v>
      </c>
      <c r="V5073" s="42" t="s">
        <v>113</v>
      </c>
      <c r="W5073" s="42">
        <v>0</v>
      </c>
      <c r="X5073" s="42">
        <v>0</v>
      </c>
    </row>
    <row r="5074" spans="1:24">
      <c r="A5074" s="27" t="s">
        <v>9381</v>
      </c>
      <c r="B5074" s="28" t="s">
        <v>5102</v>
      </c>
      <c r="C5074" s="27" t="s">
        <v>9382</v>
      </c>
      <c r="D5074" s="27" t="s">
        <v>5104</v>
      </c>
      <c r="E5074" s="29">
        <v>42234</v>
      </c>
      <c r="F5074" s="27">
        <v>15</v>
      </c>
      <c r="G5074" s="18">
        <v>31811.08</v>
      </c>
      <c r="H5074" s="27">
        <f t="shared" si="158"/>
        <v>0</v>
      </c>
      <c r="I5074" s="18">
        <v>7798.14</v>
      </c>
      <c r="J5074" s="27">
        <v>31811.08</v>
      </c>
      <c r="K5074" s="18">
        <f t="shared" si="159"/>
        <v>0</v>
      </c>
      <c r="L5074" s="27">
        <v>9720.06</v>
      </c>
      <c r="M5074" s="36">
        <v>1921.92</v>
      </c>
      <c r="T5074" s="41">
        <v>0</v>
      </c>
      <c r="U5074" s="41">
        <v>0</v>
      </c>
      <c r="V5074" s="42" t="s">
        <v>113</v>
      </c>
      <c r="W5074" s="42">
        <v>0</v>
      </c>
      <c r="X5074" s="42">
        <v>0</v>
      </c>
    </row>
    <row r="5075" spans="1:24">
      <c r="A5075" s="27" t="s">
        <v>9383</v>
      </c>
      <c r="B5075" s="28" t="s">
        <v>5102</v>
      </c>
      <c r="C5075" s="27" t="s">
        <v>9384</v>
      </c>
      <c r="D5075" s="27" t="s">
        <v>5104</v>
      </c>
      <c r="E5075" s="29">
        <v>42234</v>
      </c>
      <c r="F5075" s="27">
        <v>15</v>
      </c>
      <c r="G5075" s="18">
        <v>32289.11</v>
      </c>
      <c r="H5075" s="27">
        <f t="shared" si="158"/>
        <v>0</v>
      </c>
      <c r="I5075" s="18">
        <v>7915.31</v>
      </c>
      <c r="J5075" s="27">
        <v>32289.11</v>
      </c>
      <c r="K5075" s="18">
        <f t="shared" si="159"/>
        <v>0</v>
      </c>
      <c r="L5075" s="27">
        <v>9866.11</v>
      </c>
      <c r="M5075" s="36">
        <v>1950.8</v>
      </c>
      <c r="T5075" s="41">
        <v>0</v>
      </c>
      <c r="U5075" s="41">
        <v>0</v>
      </c>
      <c r="V5075" s="42" t="s">
        <v>113</v>
      </c>
      <c r="W5075" s="42">
        <v>0</v>
      </c>
      <c r="X5075" s="42">
        <v>0</v>
      </c>
    </row>
    <row r="5076" spans="1:24">
      <c r="A5076" s="27" t="s">
        <v>9385</v>
      </c>
      <c r="B5076" s="28" t="s">
        <v>5102</v>
      </c>
      <c r="C5076" s="27" t="s">
        <v>9386</v>
      </c>
      <c r="D5076" s="27" t="s">
        <v>5104</v>
      </c>
      <c r="E5076" s="29">
        <v>42234</v>
      </c>
      <c r="F5076" s="27">
        <v>15</v>
      </c>
      <c r="G5076" s="18">
        <v>17301.53</v>
      </c>
      <c r="H5076" s="27">
        <f t="shared" si="158"/>
        <v>0</v>
      </c>
      <c r="I5076" s="18">
        <v>4215.96</v>
      </c>
      <c r="J5076" s="27">
        <v>17301.53</v>
      </c>
      <c r="K5076" s="18">
        <f t="shared" si="159"/>
        <v>0</v>
      </c>
      <c r="L5076" s="27">
        <v>5263.43</v>
      </c>
      <c r="M5076" s="36">
        <v>1047.47</v>
      </c>
      <c r="T5076" s="41">
        <v>0</v>
      </c>
      <c r="U5076" s="41">
        <v>0</v>
      </c>
      <c r="V5076" s="42" t="s">
        <v>113</v>
      </c>
      <c r="W5076" s="42">
        <v>0</v>
      </c>
      <c r="X5076" s="42">
        <v>0</v>
      </c>
    </row>
    <row r="5077" spans="1:24">
      <c r="A5077" s="27" t="s">
        <v>9387</v>
      </c>
      <c r="B5077" s="28" t="s">
        <v>5102</v>
      </c>
      <c r="C5077" s="27" t="s">
        <v>9388</v>
      </c>
      <c r="D5077" s="27" t="s">
        <v>5104</v>
      </c>
      <c r="E5077" s="29">
        <v>42234</v>
      </c>
      <c r="F5077" s="27">
        <v>15</v>
      </c>
      <c r="G5077" s="18">
        <v>49281.09</v>
      </c>
      <c r="H5077" s="27">
        <f t="shared" si="158"/>
        <v>0</v>
      </c>
      <c r="I5077" s="18">
        <v>12080.71</v>
      </c>
      <c r="J5077" s="27">
        <v>49281.09</v>
      </c>
      <c r="K5077" s="18">
        <f t="shared" si="159"/>
        <v>0</v>
      </c>
      <c r="L5077" s="27">
        <v>15058.11</v>
      </c>
      <c r="M5077" s="36">
        <v>2977.4</v>
      </c>
      <c r="T5077" s="41">
        <v>0</v>
      </c>
      <c r="U5077" s="41">
        <v>0</v>
      </c>
      <c r="V5077" s="42" t="s">
        <v>113</v>
      </c>
      <c r="W5077" s="42">
        <v>0</v>
      </c>
      <c r="X5077" s="42">
        <v>0</v>
      </c>
    </row>
    <row r="5078" spans="1:24">
      <c r="A5078" s="27" t="s">
        <v>9389</v>
      </c>
      <c r="B5078" s="28" t="s">
        <v>5102</v>
      </c>
      <c r="C5078" s="27" t="s">
        <v>9390</v>
      </c>
      <c r="D5078" s="27" t="s">
        <v>5104</v>
      </c>
      <c r="E5078" s="29">
        <v>42234</v>
      </c>
      <c r="F5078" s="27">
        <v>15</v>
      </c>
      <c r="G5078" s="18">
        <v>22815.32</v>
      </c>
      <c r="H5078" s="27">
        <f t="shared" si="158"/>
        <v>0</v>
      </c>
      <c r="I5078" s="18">
        <v>5592.92</v>
      </c>
      <c r="J5078" s="27">
        <v>22815.32</v>
      </c>
      <c r="K5078" s="18">
        <f t="shared" si="159"/>
        <v>0</v>
      </c>
      <c r="L5078" s="27">
        <v>6971.35</v>
      </c>
      <c r="M5078" s="36">
        <v>1378.43</v>
      </c>
      <c r="T5078" s="41">
        <v>0</v>
      </c>
      <c r="U5078" s="41">
        <v>0</v>
      </c>
      <c r="V5078" s="42" t="s">
        <v>113</v>
      </c>
      <c r="W5078" s="42">
        <v>0</v>
      </c>
      <c r="X5078" s="42">
        <v>0</v>
      </c>
    </row>
    <row r="5079" spans="1:24">
      <c r="A5079" s="27" t="s">
        <v>9391</v>
      </c>
      <c r="B5079" s="28" t="s">
        <v>5102</v>
      </c>
      <c r="C5079" s="27" t="s">
        <v>9392</v>
      </c>
      <c r="D5079" s="27" t="s">
        <v>5104</v>
      </c>
      <c r="E5079" s="29">
        <v>42234</v>
      </c>
      <c r="F5079" s="27">
        <v>15</v>
      </c>
      <c r="G5079" s="18">
        <v>34766.199999999997</v>
      </c>
      <c r="H5079" s="27">
        <f t="shared" si="158"/>
        <v>0</v>
      </c>
      <c r="I5079" s="18">
        <v>8522.5400000000009</v>
      </c>
      <c r="J5079" s="27">
        <v>34766.199999999997</v>
      </c>
      <c r="K5079" s="18">
        <f t="shared" si="159"/>
        <v>0</v>
      </c>
      <c r="L5079" s="27">
        <v>10623</v>
      </c>
      <c r="M5079" s="36">
        <v>2100.46</v>
      </c>
      <c r="T5079" s="41">
        <v>0</v>
      </c>
      <c r="U5079" s="41">
        <v>0</v>
      </c>
      <c r="V5079" s="42" t="s">
        <v>113</v>
      </c>
      <c r="W5079" s="42">
        <v>0</v>
      </c>
      <c r="X5079" s="42">
        <v>0</v>
      </c>
    </row>
    <row r="5080" spans="1:24">
      <c r="A5080" s="27" t="s">
        <v>9393</v>
      </c>
      <c r="B5080" s="28" t="s">
        <v>5102</v>
      </c>
      <c r="C5080" s="27" t="s">
        <v>9394</v>
      </c>
      <c r="D5080" s="27" t="s">
        <v>5104</v>
      </c>
      <c r="E5080" s="29">
        <v>42234</v>
      </c>
      <c r="F5080" s="27">
        <v>15</v>
      </c>
      <c r="G5080" s="18">
        <v>5084.55</v>
      </c>
      <c r="H5080" s="27">
        <f t="shared" si="158"/>
        <v>0</v>
      </c>
      <c r="I5080" s="18">
        <v>1246.43</v>
      </c>
      <c r="J5080" s="27">
        <v>5084.55</v>
      </c>
      <c r="K5080" s="18">
        <f t="shared" si="159"/>
        <v>0</v>
      </c>
      <c r="L5080" s="27">
        <v>1553.62</v>
      </c>
      <c r="M5080" s="36">
        <v>307.19</v>
      </c>
      <c r="T5080" s="41">
        <v>0</v>
      </c>
      <c r="U5080" s="41">
        <v>0</v>
      </c>
      <c r="V5080" s="42" t="s">
        <v>113</v>
      </c>
      <c r="W5080" s="42">
        <v>0</v>
      </c>
      <c r="X5080" s="42">
        <v>0</v>
      </c>
    </row>
    <row r="5081" spans="1:24">
      <c r="A5081" s="27" t="s">
        <v>9395</v>
      </c>
      <c r="B5081" s="28" t="s">
        <v>5102</v>
      </c>
      <c r="C5081" s="27" t="s">
        <v>9396</v>
      </c>
      <c r="D5081" s="27" t="s">
        <v>5104</v>
      </c>
      <c r="E5081" s="29">
        <v>42234</v>
      </c>
      <c r="F5081" s="27">
        <v>12</v>
      </c>
      <c r="G5081" s="18">
        <v>2216.35</v>
      </c>
      <c r="H5081" s="27">
        <f t="shared" si="158"/>
        <v>2216.35</v>
      </c>
      <c r="I5081" s="18">
        <v>2216.35</v>
      </c>
      <c r="J5081" s="27">
        <v>2216.35</v>
      </c>
      <c r="K5081" s="18">
        <f t="shared" si="159"/>
        <v>2216.35</v>
      </c>
      <c r="L5081" s="27">
        <v>2216.35</v>
      </c>
      <c r="M5081" s="36">
        <v>0</v>
      </c>
      <c r="T5081" s="41">
        <v>0</v>
      </c>
      <c r="U5081" s="41">
        <v>0</v>
      </c>
      <c r="V5081" s="42" t="s">
        <v>113</v>
      </c>
      <c r="W5081" s="42">
        <v>2216.35</v>
      </c>
      <c r="X5081" s="42">
        <v>2216.35</v>
      </c>
    </row>
    <row r="5082" spans="1:24">
      <c r="A5082" s="27" t="s">
        <v>9397</v>
      </c>
      <c r="B5082" s="28" t="s">
        <v>5102</v>
      </c>
      <c r="C5082" s="27" t="s">
        <v>9398</v>
      </c>
      <c r="D5082" s="27" t="s">
        <v>5104</v>
      </c>
      <c r="E5082" s="29">
        <v>42234</v>
      </c>
      <c r="F5082" s="27">
        <v>15</v>
      </c>
      <c r="G5082" s="18">
        <v>80415.350000000006</v>
      </c>
      <c r="H5082" s="27">
        <f t="shared" si="158"/>
        <v>0</v>
      </c>
      <c r="I5082" s="18">
        <v>19687.189999999999</v>
      </c>
      <c r="J5082" s="27">
        <v>80415.350000000006</v>
      </c>
      <c r="K5082" s="18">
        <f t="shared" si="159"/>
        <v>0</v>
      </c>
      <c r="L5082" s="27">
        <v>24547.82</v>
      </c>
      <c r="M5082" s="36">
        <v>4860.63</v>
      </c>
      <c r="T5082" s="41">
        <v>0</v>
      </c>
      <c r="U5082" s="41">
        <v>0</v>
      </c>
      <c r="V5082" s="42" t="s">
        <v>113</v>
      </c>
      <c r="W5082" s="42">
        <v>0</v>
      </c>
      <c r="X5082" s="42">
        <v>0</v>
      </c>
    </row>
    <row r="5083" spans="1:24">
      <c r="A5083" s="27" t="s">
        <v>9399</v>
      </c>
      <c r="B5083" s="28" t="s">
        <v>5102</v>
      </c>
      <c r="C5083" s="27" t="s">
        <v>9398</v>
      </c>
      <c r="D5083" s="27" t="s">
        <v>5104</v>
      </c>
      <c r="E5083" s="29">
        <v>42234</v>
      </c>
      <c r="F5083" s="27">
        <v>15</v>
      </c>
      <c r="G5083" s="18">
        <v>24076.59</v>
      </c>
      <c r="H5083" s="27">
        <f t="shared" si="158"/>
        <v>0</v>
      </c>
      <c r="I5083" s="18">
        <v>5902.1</v>
      </c>
      <c r="J5083" s="27">
        <v>24076.59</v>
      </c>
      <c r="K5083" s="18">
        <f t="shared" si="159"/>
        <v>0</v>
      </c>
      <c r="L5083" s="27">
        <v>7356.73</v>
      </c>
      <c r="M5083" s="36">
        <v>1454.63</v>
      </c>
      <c r="T5083" s="41">
        <v>0</v>
      </c>
      <c r="U5083" s="41">
        <v>0</v>
      </c>
      <c r="V5083" s="42" t="s">
        <v>113</v>
      </c>
      <c r="W5083" s="42">
        <v>0</v>
      </c>
      <c r="X5083" s="42">
        <v>0</v>
      </c>
    </row>
    <row r="5084" spans="1:24">
      <c r="A5084" s="27" t="s">
        <v>9400</v>
      </c>
      <c r="B5084" s="28" t="s">
        <v>5102</v>
      </c>
      <c r="C5084" s="27" t="s">
        <v>9401</v>
      </c>
      <c r="D5084" s="27" t="s">
        <v>5104</v>
      </c>
      <c r="E5084" s="29">
        <v>42234</v>
      </c>
      <c r="F5084" s="27">
        <v>15</v>
      </c>
      <c r="G5084" s="18">
        <v>173261.94</v>
      </c>
      <c r="H5084" s="27">
        <f t="shared" si="158"/>
        <v>0</v>
      </c>
      <c r="I5084" s="18">
        <v>42473.24</v>
      </c>
      <c r="J5084" s="27">
        <v>173261.94</v>
      </c>
      <c r="K5084" s="18">
        <f t="shared" si="159"/>
        <v>0</v>
      </c>
      <c r="L5084" s="27">
        <v>52941.15</v>
      </c>
      <c r="M5084" s="36">
        <v>10467.91</v>
      </c>
      <c r="T5084" s="41">
        <v>0</v>
      </c>
      <c r="U5084" s="41">
        <v>0</v>
      </c>
      <c r="V5084" s="42" t="s">
        <v>113</v>
      </c>
      <c r="W5084" s="42">
        <v>0</v>
      </c>
      <c r="X5084" s="42">
        <v>0</v>
      </c>
    </row>
    <row r="5085" spans="1:24">
      <c r="A5085" s="27" t="s">
        <v>9402</v>
      </c>
      <c r="B5085" s="28" t="s">
        <v>5102</v>
      </c>
      <c r="C5085" s="27" t="s">
        <v>9401</v>
      </c>
      <c r="D5085" s="27" t="s">
        <v>5104</v>
      </c>
      <c r="E5085" s="29">
        <v>42234</v>
      </c>
      <c r="F5085" s="27">
        <v>12</v>
      </c>
      <c r="G5085" s="18">
        <v>4178.58</v>
      </c>
      <c r="H5085" s="27">
        <f t="shared" si="158"/>
        <v>4178.58</v>
      </c>
      <c r="I5085" s="18">
        <v>4178.58</v>
      </c>
      <c r="J5085" s="27">
        <v>4178.58</v>
      </c>
      <c r="K5085" s="18">
        <f t="shared" si="159"/>
        <v>4178.58</v>
      </c>
      <c r="L5085" s="27">
        <v>4178.58</v>
      </c>
      <c r="M5085" s="36">
        <v>0</v>
      </c>
      <c r="T5085" s="41">
        <v>0</v>
      </c>
      <c r="U5085" s="41">
        <v>0</v>
      </c>
      <c r="V5085" s="42" t="s">
        <v>113</v>
      </c>
      <c r="W5085" s="42">
        <v>4178.58</v>
      </c>
      <c r="X5085" s="42">
        <v>4178.58</v>
      </c>
    </row>
    <row r="5086" spans="1:24">
      <c r="A5086" s="27" t="s">
        <v>9403</v>
      </c>
      <c r="B5086" s="28" t="s">
        <v>5102</v>
      </c>
      <c r="C5086" s="27" t="s">
        <v>9404</v>
      </c>
      <c r="D5086" s="27" t="s">
        <v>5104</v>
      </c>
      <c r="E5086" s="29">
        <v>42234</v>
      </c>
      <c r="F5086" s="27">
        <v>15</v>
      </c>
      <c r="G5086" s="18">
        <v>74742.210000000006</v>
      </c>
      <c r="H5086" s="27">
        <f t="shared" si="158"/>
        <v>0</v>
      </c>
      <c r="I5086" s="18">
        <v>18322.22</v>
      </c>
      <c r="J5086" s="27">
        <v>74742.210000000006</v>
      </c>
      <c r="K5086" s="18">
        <f t="shared" si="159"/>
        <v>0</v>
      </c>
      <c r="L5086" s="27">
        <v>22837.9</v>
      </c>
      <c r="M5086" s="36">
        <v>4515.68</v>
      </c>
      <c r="T5086" s="41">
        <v>0</v>
      </c>
      <c r="U5086" s="41">
        <v>0</v>
      </c>
      <c r="V5086" s="42" t="s">
        <v>113</v>
      </c>
      <c r="W5086" s="42">
        <v>0</v>
      </c>
      <c r="X5086" s="42">
        <v>0</v>
      </c>
    </row>
    <row r="5087" spans="1:24">
      <c r="A5087" s="27" t="s">
        <v>9405</v>
      </c>
      <c r="B5087" s="28" t="s">
        <v>5102</v>
      </c>
      <c r="C5087" s="27" t="s">
        <v>9406</v>
      </c>
      <c r="D5087" s="27" t="s">
        <v>5104</v>
      </c>
      <c r="E5087" s="29">
        <v>42234</v>
      </c>
      <c r="F5087" s="27">
        <v>15</v>
      </c>
      <c r="G5087" s="18">
        <v>17381.91</v>
      </c>
      <c r="H5087" s="27">
        <f t="shared" si="158"/>
        <v>0</v>
      </c>
      <c r="I5087" s="18">
        <v>4260.99</v>
      </c>
      <c r="J5087" s="27">
        <v>17381.91</v>
      </c>
      <c r="K5087" s="18">
        <f t="shared" si="159"/>
        <v>0</v>
      </c>
      <c r="L5087" s="27">
        <v>5311.15</v>
      </c>
      <c r="M5087" s="36">
        <v>1050.1600000000001</v>
      </c>
      <c r="T5087" s="41">
        <v>0</v>
      </c>
      <c r="U5087" s="41">
        <v>0</v>
      </c>
      <c r="V5087" s="42" t="s">
        <v>113</v>
      </c>
      <c r="W5087" s="42">
        <v>0</v>
      </c>
      <c r="X5087" s="42">
        <v>0</v>
      </c>
    </row>
    <row r="5088" spans="1:24">
      <c r="A5088" s="27" t="s">
        <v>9407</v>
      </c>
      <c r="B5088" s="28" t="s">
        <v>5102</v>
      </c>
      <c r="C5088" s="27" t="s">
        <v>9406</v>
      </c>
      <c r="D5088" s="27" t="s">
        <v>5104</v>
      </c>
      <c r="E5088" s="29">
        <v>42234</v>
      </c>
      <c r="F5088" s="27">
        <v>15</v>
      </c>
      <c r="G5088" s="18">
        <v>9894.32</v>
      </c>
      <c r="H5088" s="27">
        <f t="shared" si="158"/>
        <v>0</v>
      </c>
      <c r="I5088" s="18">
        <v>2425.48</v>
      </c>
      <c r="J5088" s="27">
        <v>9894.32</v>
      </c>
      <c r="K5088" s="18">
        <f t="shared" si="159"/>
        <v>0</v>
      </c>
      <c r="L5088" s="27">
        <v>3023.26</v>
      </c>
      <c r="M5088" s="36">
        <v>597.78</v>
      </c>
      <c r="T5088" s="41">
        <v>0</v>
      </c>
      <c r="U5088" s="41">
        <v>0</v>
      </c>
      <c r="V5088" s="42" t="s">
        <v>113</v>
      </c>
      <c r="W5088" s="42">
        <v>0</v>
      </c>
      <c r="X5088" s="42">
        <v>0</v>
      </c>
    </row>
    <row r="5089" spans="1:24">
      <c r="A5089" s="27" t="s">
        <v>9408</v>
      </c>
      <c r="B5089" s="28" t="s">
        <v>5102</v>
      </c>
      <c r="C5089" s="27" t="s">
        <v>9409</v>
      </c>
      <c r="D5089" s="27" t="s">
        <v>5104</v>
      </c>
      <c r="E5089" s="29">
        <v>42234</v>
      </c>
      <c r="F5089" s="27">
        <v>15</v>
      </c>
      <c r="G5089" s="18">
        <v>35432.35</v>
      </c>
      <c r="H5089" s="27">
        <f t="shared" si="158"/>
        <v>0</v>
      </c>
      <c r="I5089" s="18">
        <v>8685.84</v>
      </c>
      <c r="J5089" s="27">
        <v>35432.35</v>
      </c>
      <c r="K5089" s="18">
        <f t="shared" si="159"/>
        <v>0</v>
      </c>
      <c r="L5089" s="27">
        <v>10826.54</v>
      </c>
      <c r="M5089" s="36">
        <v>2140.6999999999998</v>
      </c>
      <c r="T5089" s="41">
        <v>0</v>
      </c>
      <c r="U5089" s="41">
        <v>0</v>
      </c>
      <c r="V5089" s="42" t="s">
        <v>113</v>
      </c>
      <c r="W5089" s="42">
        <v>0</v>
      </c>
      <c r="X5089" s="42">
        <v>0</v>
      </c>
    </row>
    <row r="5090" spans="1:24">
      <c r="A5090" s="27" t="s">
        <v>9410</v>
      </c>
      <c r="B5090" s="28" t="s">
        <v>5102</v>
      </c>
      <c r="C5090" s="27" t="s">
        <v>9411</v>
      </c>
      <c r="D5090" s="27" t="s">
        <v>5104</v>
      </c>
      <c r="E5090" s="29">
        <v>42234</v>
      </c>
      <c r="F5090" s="27">
        <v>15</v>
      </c>
      <c r="G5090" s="18">
        <v>6819.06</v>
      </c>
      <c r="H5090" s="27">
        <f t="shared" si="158"/>
        <v>0</v>
      </c>
      <c r="I5090" s="18">
        <v>1671.62</v>
      </c>
      <c r="J5090" s="27">
        <v>6819.06</v>
      </c>
      <c r="K5090" s="18">
        <f t="shared" si="159"/>
        <v>0</v>
      </c>
      <c r="L5090" s="27">
        <v>2083.6</v>
      </c>
      <c r="M5090" s="36">
        <v>411.98</v>
      </c>
      <c r="T5090" s="41">
        <v>0</v>
      </c>
      <c r="U5090" s="41">
        <v>0</v>
      </c>
      <c r="V5090" s="42" t="s">
        <v>113</v>
      </c>
      <c r="W5090" s="42">
        <v>0</v>
      </c>
      <c r="X5090" s="42">
        <v>0</v>
      </c>
    </row>
    <row r="5091" spans="1:24">
      <c r="A5091" s="27" t="s">
        <v>9412</v>
      </c>
      <c r="B5091" s="28" t="s">
        <v>5102</v>
      </c>
      <c r="C5091" s="27" t="s">
        <v>9411</v>
      </c>
      <c r="D5091" s="27" t="s">
        <v>5104</v>
      </c>
      <c r="E5091" s="29">
        <v>42234</v>
      </c>
      <c r="F5091" s="27">
        <v>15</v>
      </c>
      <c r="G5091" s="18">
        <v>5281.43</v>
      </c>
      <c r="H5091" s="27">
        <f t="shared" si="158"/>
        <v>0</v>
      </c>
      <c r="I5091" s="18">
        <v>1294.68</v>
      </c>
      <c r="J5091" s="27">
        <v>5281.43</v>
      </c>
      <c r="K5091" s="18">
        <f t="shared" si="159"/>
        <v>0</v>
      </c>
      <c r="L5091" s="27">
        <v>1613.77</v>
      </c>
      <c r="M5091" s="36">
        <v>319.08999999999997</v>
      </c>
      <c r="T5091" s="41">
        <v>0</v>
      </c>
      <c r="U5091" s="41">
        <v>0</v>
      </c>
      <c r="V5091" s="42" t="s">
        <v>113</v>
      </c>
      <c r="W5091" s="42">
        <v>0</v>
      </c>
      <c r="X5091" s="42">
        <v>0</v>
      </c>
    </row>
    <row r="5092" spans="1:24">
      <c r="A5092" s="27" t="s">
        <v>9413</v>
      </c>
      <c r="B5092" s="28" t="s">
        <v>5102</v>
      </c>
      <c r="C5092" s="27" t="s">
        <v>9414</v>
      </c>
      <c r="D5092" s="27" t="s">
        <v>5104</v>
      </c>
      <c r="E5092" s="29">
        <v>42234</v>
      </c>
      <c r="F5092" s="27">
        <v>15</v>
      </c>
      <c r="G5092" s="18">
        <v>28947.56</v>
      </c>
      <c r="H5092" s="27">
        <f t="shared" si="158"/>
        <v>0</v>
      </c>
      <c r="I5092" s="18">
        <v>7096.17</v>
      </c>
      <c r="J5092" s="27">
        <v>28947.56</v>
      </c>
      <c r="K5092" s="18">
        <f t="shared" si="159"/>
        <v>0</v>
      </c>
      <c r="L5092" s="27">
        <v>8845.09</v>
      </c>
      <c r="M5092" s="36">
        <v>1748.92</v>
      </c>
      <c r="T5092" s="41">
        <v>0</v>
      </c>
      <c r="U5092" s="41">
        <v>0</v>
      </c>
      <c r="V5092" s="42" t="s">
        <v>113</v>
      </c>
      <c r="W5092" s="42">
        <v>0</v>
      </c>
      <c r="X5092" s="42">
        <v>0</v>
      </c>
    </row>
    <row r="5093" spans="1:24">
      <c r="A5093" s="27" t="s">
        <v>9415</v>
      </c>
      <c r="B5093" s="28" t="s">
        <v>5102</v>
      </c>
      <c r="C5093" s="27" t="s">
        <v>9416</v>
      </c>
      <c r="D5093" s="27" t="s">
        <v>5104</v>
      </c>
      <c r="E5093" s="29">
        <v>42234</v>
      </c>
      <c r="F5093" s="27">
        <v>15</v>
      </c>
      <c r="G5093" s="18">
        <v>16913.93</v>
      </c>
      <c r="H5093" s="27">
        <f t="shared" si="158"/>
        <v>0</v>
      </c>
      <c r="I5093" s="18">
        <v>4146.26</v>
      </c>
      <c r="J5093" s="27">
        <v>16913.93</v>
      </c>
      <c r="K5093" s="18">
        <f t="shared" si="159"/>
        <v>0</v>
      </c>
      <c r="L5093" s="27">
        <v>5168.1400000000003</v>
      </c>
      <c r="M5093" s="36">
        <v>1021.88</v>
      </c>
      <c r="T5093" s="41">
        <v>0</v>
      </c>
      <c r="U5093" s="41">
        <v>0</v>
      </c>
      <c r="V5093" s="42" t="s">
        <v>113</v>
      </c>
      <c r="W5093" s="42">
        <v>0</v>
      </c>
      <c r="X5093" s="42">
        <v>0</v>
      </c>
    </row>
    <row r="5094" spans="1:24">
      <c r="A5094" s="27" t="s">
        <v>9417</v>
      </c>
      <c r="B5094" s="28" t="s">
        <v>5102</v>
      </c>
      <c r="C5094" s="27" t="s">
        <v>9418</v>
      </c>
      <c r="D5094" s="27" t="s">
        <v>5104</v>
      </c>
      <c r="E5094" s="29">
        <v>42234</v>
      </c>
      <c r="F5094" s="27">
        <v>15</v>
      </c>
      <c r="G5094" s="18">
        <v>24134.11</v>
      </c>
      <c r="H5094" s="27">
        <f t="shared" si="158"/>
        <v>0</v>
      </c>
      <c r="I5094" s="18">
        <v>5916.21</v>
      </c>
      <c r="J5094" s="27">
        <v>24134.11</v>
      </c>
      <c r="K5094" s="18">
        <f t="shared" si="159"/>
        <v>0</v>
      </c>
      <c r="L5094" s="27">
        <v>7374.31</v>
      </c>
      <c r="M5094" s="36">
        <v>1458.1</v>
      </c>
      <c r="T5094" s="41">
        <v>0</v>
      </c>
      <c r="U5094" s="41">
        <v>0</v>
      </c>
      <c r="V5094" s="42" t="s">
        <v>113</v>
      </c>
      <c r="W5094" s="42">
        <v>0</v>
      </c>
      <c r="X5094" s="42">
        <v>0</v>
      </c>
    </row>
    <row r="5095" spans="1:24">
      <c r="A5095" s="27" t="s">
        <v>9419</v>
      </c>
      <c r="B5095" s="28" t="s">
        <v>5102</v>
      </c>
      <c r="C5095" s="27" t="s">
        <v>9420</v>
      </c>
      <c r="D5095" s="27" t="s">
        <v>5104</v>
      </c>
      <c r="E5095" s="29">
        <v>42234</v>
      </c>
      <c r="F5095" s="27">
        <v>15</v>
      </c>
      <c r="G5095" s="18">
        <v>13236.99</v>
      </c>
      <c r="H5095" s="27">
        <f t="shared" si="158"/>
        <v>0</v>
      </c>
      <c r="I5095" s="18">
        <v>3244.9</v>
      </c>
      <c r="J5095" s="27">
        <v>13236.99</v>
      </c>
      <c r="K5095" s="18">
        <f t="shared" si="159"/>
        <v>0</v>
      </c>
      <c r="L5095" s="27">
        <v>4044.63</v>
      </c>
      <c r="M5095" s="36">
        <v>799.73</v>
      </c>
      <c r="T5095" s="41">
        <v>0</v>
      </c>
      <c r="U5095" s="41">
        <v>0</v>
      </c>
      <c r="V5095" s="42" t="s">
        <v>113</v>
      </c>
      <c r="W5095" s="42">
        <v>0</v>
      </c>
      <c r="X5095" s="42">
        <v>0</v>
      </c>
    </row>
    <row r="5096" spans="1:24">
      <c r="A5096" s="27" t="s">
        <v>9421</v>
      </c>
      <c r="B5096" s="28" t="s">
        <v>5102</v>
      </c>
      <c r="C5096" s="27" t="s">
        <v>9422</v>
      </c>
      <c r="D5096" s="27" t="s">
        <v>5104</v>
      </c>
      <c r="E5096" s="29">
        <v>42234</v>
      </c>
      <c r="F5096" s="27">
        <v>15</v>
      </c>
      <c r="G5096" s="18">
        <v>11365.09</v>
      </c>
      <c r="H5096" s="27">
        <f t="shared" si="158"/>
        <v>0</v>
      </c>
      <c r="I5096" s="18">
        <v>2786.03</v>
      </c>
      <c r="J5096" s="27">
        <v>11365.09</v>
      </c>
      <c r="K5096" s="18">
        <f t="shared" si="159"/>
        <v>0</v>
      </c>
      <c r="L5096" s="27">
        <v>3472.67</v>
      </c>
      <c r="M5096" s="36">
        <v>686.64</v>
      </c>
      <c r="T5096" s="41">
        <v>0</v>
      </c>
      <c r="U5096" s="41">
        <v>0</v>
      </c>
      <c r="V5096" s="42" t="s">
        <v>113</v>
      </c>
      <c r="W5096" s="42">
        <v>0</v>
      </c>
      <c r="X5096" s="42">
        <v>0</v>
      </c>
    </row>
    <row r="5097" spans="1:24">
      <c r="A5097" s="27" t="s">
        <v>9423</v>
      </c>
      <c r="B5097" s="28" t="s">
        <v>5102</v>
      </c>
      <c r="C5097" s="27" t="s">
        <v>9422</v>
      </c>
      <c r="D5097" s="27" t="s">
        <v>5104</v>
      </c>
      <c r="E5097" s="29">
        <v>42234</v>
      </c>
      <c r="F5097" s="27">
        <v>15</v>
      </c>
      <c r="G5097" s="18">
        <v>109974</v>
      </c>
      <c r="H5097" s="27">
        <f t="shared" si="158"/>
        <v>0</v>
      </c>
      <c r="I5097" s="18">
        <v>26958.9</v>
      </c>
      <c r="J5097" s="27">
        <v>109974</v>
      </c>
      <c r="K5097" s="18">
        <f t="shared" si="159"/>
        <v>0</v>
      </c>
      <c r="L5097" s="27">
        <v>33603.160000000003</v>
      </c>
      <c r="M5097" s="36">
        <v>6644.26</v>
      </c>
      <c r="T5097" s="41">
        <v>0</v>
      </c>
      <c r="U5097" s="41">
        <v>0</v>
      </c>
      <c r="V5097" s="42" t="s">
        <v>113</v>
      </c>
      <c r="W5097" s="42">
        <v>0</v>
      </c>
      <c r="X5097" s="42">
        <v>0</v>
      </c>
    </row>
    <row r="5098" spans="1:24">
      <c r="A5098" s="27" t="s">
        <v>9424</v>
      </c>
      <c r="B5098" s="28" t="s">
        <v>5102</v>
      </c>
      <c r="C5098" s="27" t="s">
        <v>9422</v>
      </c>
      <c r="D5098" s="27" t="s">
        <v>5104</v>
      </c>
      <c r="E5098" s="29">
        <v>42234</v>
      </c>
      <c r="F5098" s="27">
        <v>15</v>
      </c>
      <c r="G5098" s="18">
        <v>17983.59</v>
      </c>
      <c r="H5098" s="27">
        <f t="shared" si="158"/>
        <v>0</v>
      </c>
      <c r="I5098" s="18">
        <v>4408.4799999999996</v>
      </c>
      <c r="J5098" s="27">
        <v>17983.59</v>
      </c>
      <c r="K5098" s="18">
        <f t="shared" si="159"/>
        <v>0</v>
      </c>
      <c r="L5098" s="27">
        <v>5494.99</v>
      </c>
      <c r="M5098" s="36">
        <v>1086.51</v>
      </c>
      <c r="T5098" s="41">
        <v>0</v>
      </c>
      <c r="U5098" s="41">
        <v>0</v>
      </c>
      <c r="V5098" s="42" t="s">
        <v>113</v>
      </c>
      <c r="W5098" s="42">
        <v>0</v>
      </c>
      <c r="X5098" s="42">
        <v>0</v>
      </c>
    </row>
    <row r="5099" spans="1:24">
      <c r="A5099" s="27" t="s">
        <v>9425</v>
      </c>
      <c r="B5099" s="28" t="s">
        <v>5102</v>
      </c>
      <c r="C5099" s="27" t="s">
        <v>9426</v>
      </c>
      <c r="D5099" s="27" t="s">
        <v>5104</v>
      </c>
      <c r="E5099" s="29">
        <v>42234</v>
      </c>
      <c r="F5099" s="27">
        <v>15</v>
      </c>
      <c r="G5099" s="18">
        <v>18852.689999999999</v>
      </c>
      <c r="H5099" s="27">
        <f t="shared" si="158"/>
        <v>0</v>
      </c>
      <c r="I5099" s="18">
        <v>4621.53</v>
      </c>
      <c r="J5099" s="27">
        <v>18852.689999999999</v>
      </c>
      <c r="K5099" s="18">
        <f t="shared" si="159"/>
        <v>0</v>
      </c>
      <c r="L5099" s="27">
        <v>5760.55</v>
      </c>
      <c r="M5099" s="36">
        <v>1139.02</v>
      </c>
      <c r="T5099" s="41">
        <v>0</v>
      </c>
      <c r="U5099" s="41">
        <v>0</v>
      </c>
      <c r="V5099" s="42" t="s">
        <v>113</v>
      </c>
      <c r="W5099" s="42">
        <v>0</v>
      </c>
      <c r="X5099" s="42">
        <v>0</v>
      </c>
    </row>
    <row r="5100" spans="1:24">
      <c r="A5100" s="27" t="s">
        <v>9427</v>
      </c>
      <c r="B5100" s="28" t="s">
        <v>5102</v>
      </c>
      <c r="C5100" s="27" t="s">
        <v>9426</v>
      </c>
      <c r="D5100" s="27" t="s">
        <v>5104</v>
      </c>
      <c r="E5100" s="29">
        <v>42234</v>
      </c>
      <c r="F5100" s="27">
        <v>15</v>
      </c>
      <c r="G5100" s="18">
        <v>122208.19</v>
      </c>
      <c r="H5100" s="27">
        <f t="shared" si="158"/>
        <v>0</v>
      </c>
      <c r="I5100" s="18">
        <v>29957.98</v>
      </c>
      <c r="J5100" s="27">
        <v>122208.19</v>
      </c>
      <c r="K5100" s="18">
        <f t="shared" si="159"/>
        <v>0</v>
      </c>
      <c r="L5100" s="27">
        <v>37341.39</v>
      </c>
      <c r="M5100" s="36">
        <v>7383.41</v>
      </c>
      <c r="T5100" s="41">
        <v>0</v>
      </c>
      <c r="U5100" s="41">
        <v>0</v>
      </c>
      <c r="V5100" s="42" t="s">
        <v>113</v>
      </c>
      <c r="W5100" s="42">
        <v>0</v>
      </c>
      <c r="X5100" s="42">
        <v>0</v>
      </c>
    </row>
    <row r="5101" spans="1:24">
      <c r="A5101" s="27" t="s">
        <v>9428</v>
      </c>
      <c r="B5101" s="28" t="s">
        <v>5102</v>
      </c>
      <c r="C5101" s="27" t="s">
        <v>9429</v>
      </c>
      <c r="D5101" s="27" t="s">
        <v>5104</v>
      </c>
      <c r="E5101" s="29">
        <v>42234</v>
      </c>
      <c r="F5101" s="27">
        <v>15</v>
      </c>
      <c r="G5101" s="18">
        <v>86909.55</v>
      </c>
      <c r="H5101" s="27">
        <f t="shared" si="158"/>
        <v>0</v>
      </c>
      <c r="I5101" s="18">
        <v>21304.91</v>
      </c>
      <c r="J5101" s="27">
        <v>86909.55</v>
      </c>
      <c r="K5101" s="18">
        <f t="shared" si="159"/>
        <v>0</v>
      </c>
      <c r="L5101" s="27">
        <v>26555.7</v>
      </c>
      <c r="M5101" s="36">
        <v>5250.79</v>
      </c>
      <c r="T5101" s="41">
        <v>0</v>
      </c>
      <c r="U5101" s="41">
        <v>0</v>
      </c>
      <c r="V5101" s="42" t="s">
        <v>113</v>
      </c>
      <c r="W5101" s="42">
        <v>0</v>
      </c>
      <c r="X5101" s="42">
        <v>0</v>
      </c>
    </row>
    <row r="5102" spans="1:24">
      <c r="A5102" s="27" t="s">
        <v>9430</v>
      </c>
      <c r="B5102" s="28" t="s">
        <v>5102</v>
      </c>
      <c r="C5102" s="27" t="s">
        <v>9431</v>
      </c>
      <c r="D5102" s="27" t="s">
        <v>5104</v>
      </c>
      <c r="E5102" s="29">
        <v>42234</v>
      </c>
      <c r="F5102" s="27">
        <v>15</v>
      </c>
      <c r="G5102" s="18">
        <v>41382.31</v>
      </c>
      <c r="H5102" s="27">
        <f t="shared" si="158"/>
        <v>0</v>
      </c>
      <c r="I5102" s="18">
        <v>10144.41</v>
      </c>
      <c r="J5102" s="27">
        <v>41382.31</v>
      </c>
      <c r="K5102" s="18">
        <f t="shared" si="159"/>
        <v>0</v>
      </c>
      <c r="L5102" s="27">
        <v>12644.59</v>
      </c>
      <c r="M5102" s="36">
        <v>2500.1799999999998</v>
      </c>
      <c r="T5102" s="41">
        <v>0</v>
      </c>
      <c r="U5102" s="41">
        <v>0</v>
      </c>
      <c r="V5102" s="42" t="s">
        <v>113</v>
      </c>
      <c r="W5102" s="42">
        <v>0</v>
      </c>
      <c r="X5102" s="42">
        <v>0</v>
      </c>
    </row>
    <row r="5103" spans="1:24">
      <c r="A5103" s="27" t="s">
        <v>9432</v>
      </c>
      <c r="B5103" s="28" t="s">
        <v>5102</v>
      </c>
      <c r="C5103" s="27" t="s">
        <v>9431</v>
      </c>
      <c r="D5103" s="27" t="s">
        <v>5104</v>
      </c>
      <c r="E5103" s="29">
        <v>42234</v>
      </c>
      <c r="F5103" s="27">
        <v>15</v>
      </c>
      <c r="G5103" s="18">
        <v>34630.120000000003</v>
      </c>
      <c r="H5103" s="27">
        <f t="shared" si="158"/>
        <v>0</v>
      </c>
      <c r="I5103" s="18">
        <v>8489.19</v>
      </c>
      <c r="J5103" s="27">
        <v>34630.120000000003</v>
      </c>
      <c r="K5103" s="18">
        <f t="shared" si="159"/>
        <v>0</v>
      </c>
      <c r="L5103" s="27">
        <v>10581.43</v>
      </c>
      <c r="M5103" s="36">
        <v>2092.2399999999998</v>
      </c>
      <c r="T5103" s="41">
        <v>0</v>
      </c>
      <c r="U5103" s="41">
        <v>0</v>
      </c>
      <c r="V5103" s="42" t="s">
        <v>113</v>
      </c>
      <c r="W5103" s="42">
        <v>0</v>
      </c>
      <c r="X5103" s="42">
        <v>0</v>
      </c>
    </row>
    <row r="5104" spans="1:24">
      <c r="A5104" s="27" t="s">
        <v>9433</v>
      </c>
      <c r="B5104" s="28" t="s">
        <v>5102</v>
      </c>
      <c r="C5104" s="27" t="s">
        <v>9434</v>
      </c>
      <c r="D5104" s="27" t="s">
        <v>5104</v>
      </c>
      <c r="E5104" s="29">
        <v>42234</v>
      </c>
      <c r="F5104" s="27">
        <v>15</v>
      </c>
      <c r="G5104" s="18">
        <v>30970.880000000001</v>
      </c>
      <c r="H5104" s="27">
        <f t="shared" si="158"/>
        <v>0</v>
      </c>
      <c r="I5104" s="18">
        <v>7592.17</v>
      </c>
      <c r="J5104" s="27">
        <v>30970.880000000001</v>
      </c>
      <c r="K5104" s="18">
        <f t="shared" si="159"/>
        <v>0</v>
      </c>
      <c r="L5104" s="27">
        <v>9463.33</v>
      </c>
      <c r="M5104" s="36">
        <v>1871.16</v>
      </c>
      <c r="T5104" s="41">
        <v>0</v>
      </c>
      <c r="U5104" s="41">
        <v>0</v>
      </c>
      <c r="V5104" s="42" t="s">
        <v>113</v>
      </c>
      <c r="W5104" s="42">
        <v>0</v>
      </c>
      <c r="X5104" s="42">
        <v>0</v>
      </c>
    </row>
    <row r="5105" spans="1:24">
      <c r="A5105" s="27" t="s">
        <v>9435</v>
      </c>
      <c r="B5105" s="28" t="s">
        <v>5102</v>
      </c>
      <c r="C5105" s="27" t="s">
        <v>9436</v>
      </c>
      <c r="D5105" s="27" t="s">
        <v>5104</v>
      </c>
      <c r="E5105" s="29">
        <v>42234</v>
      </c>
      <c r="F5105" s="27">
        <v>15</v>
      </c>
      <c r="G5105" s="18">
        <v>27108.14</v>
      </c>
      <c r="H5105" s="27">
        <f t="shared" si="158"/>
        <v>0</v>
      </c>
      <c r="I5105" s="18">
        <v>6645.25</v>
      </c>
      <c r="J5105" s="27">
        <v>27108.14</v>
      </c>
      <c r="K5105" s="18">
        <f t="shared" si="159"/>
        <v>0</v>
      </c>
      <c r="L5105" s="27">
        <v>8283.0300000000007</v>
      </c>
      <c r="M5105" s="36">
        <v>1637.78</v>
      </c>
      <c r="T5105" s="41">
        <v>0</v>
      </c>
      <c r="U5105" s="41">
        <v>0</v>
      </c>
      <c r="V5105" s="42" t="s">
        <v>113</v>
      </c>
      <c r="W5105" s="42">
        <v>0</v>
      </c>
      <c r="X5105" s="42">
        <v>0</v>
      </c>
    </row>
    <row r="5106" spans="1:24">
      <c r="A5106" s="27" t="s">
        <v>9437</v>
      </c>
      <c r="B5106" s="28" t="s">
        <v>5102</v>
      </c>
      <c r="C5106" s="27" t="s">
        <v>9438</v>
      </c>
      <c r="D5106" s="27" t="s">
        <v>5104</v>
      </c>
      <c r="E5106" s="29">
        <v>42234</v>
      </c>
      <c r="F5106" s="27">
        <v>15</v>
      </c>
      <c r="G5106" s="18">
        <v>115744.18</v>
      </c>
      <c r="H5106" s="27">
        <f t="shared" si="158"/>
        <v>0</v>
      </c>
      <c r="I5106" s="18">
        <v>28373.4</v>
      </c>
      <c r="J5106" s="27">
        <v>115744.18</v>
      </c>
      <c r="K5106" s="18">
        <f t="shared" si="159"/>
        <v>0</v>
      </c>
      <c r="L5106" s="27">
        <v>35366.28</v>
      </c>
      <c r="M5106" s="36">
        <v>6992.88</v>
      </c>
      <c r="T5106" s="41">
        <v>0</v>
      </c>
      <c r="U5106" s="41">
        <v>0</v>
      </c>
      <c r="V5106" s="42" t="s">
        <v>113</v>
      </c>
      <c r="W5106" s="42">
        <v>0</v>
      </c>
      <c r="X5106" s="42">
        <v>0</v>
      </c>
    </row>
    <row r="5107" spans="1:24">
      <c r="A5107" s="27" t="s">
        <v>9439</v>
      </c>
      <c r="B5107" s="28" t="s">
        <v>5102</v>
      </c>
      <c r="C5107" s="27" t="s">
        <v>9440</v>
      </c>
      <c r="D5107" s="27" t="s">
        <v>5104</v>
      </c>
      <c r="E5107" s="29">
        <v>42234</v>
      </c>
      <c r="F5107" s="27">
        <v>15</v>
      </c>
      <c r="G5107" s="18">
        <v>80703.63</v>
      </c>
      <c r="H5107" s="27">
        <f t="shared" si="158"/>
        <v>0</v>
      </c>
      <c r="I5107" s="18">
        <v>19783.599999999999</v>
      </c>
      <c r="J5107" s="27">
        <v>80703.63</v>
      </c>
      <c r="K5107" s="18">
        <f t="shared" si="159"/>
        <v>0</v>
      </c>
      <c r="L5107" s="27">
        <v>24659.439999999999</v>
      </c>
      <c r="M5107" s="36">
        <v>4875.84</v>
      </c>
      <c r="T5107" s="41">
        <v>0</v>
      </c>
      <c r="U5107" s="41">
        <v>0</v>
      </c>
      <c r="V5107" s="42" t="s">
        <v>113</v>
      </c>
      <c r="W5107" s="42">
        <v>0</v>
      </c>
      <c r="X5107" s="42">
        <v>0</v>
      </c>
    </row>
    <row r="5108" spans="1:24">
      <c r="A5108" s="27" t="s">
        <v>9441</v>
      </c>
      <c r="B5108" s="28" t="s">
        <v>5102</v>
      </c>
      <c r="C5108" s="27" t="s">
        <v>9442</v>
      </c>
      <c r="D5108" s="27" t="s">
        <v>5104</v>
      </c>
      <c r="E5108" s="29">
        <v>42234</v>
      </c>
      <c r="F5108" s="27">
        <v>15</v>
      </c>
      <c r="G5108" s="18">
        <v>8070.36</v>
      </c>
      <c r="H5108" s="27">
        <f t="shared" si="158"/>
        <v>0</v>
      </c>
      <c r="I5108" s="18">
        <v>1978.35</v>
      </c>
      <c r="J5108" s="27">
        <v>8070.36</v>
      </c>
      <c r="K5108" s="18">
        <f t="shared" si="159"/>
        <v>0</v>
      </c>
      <c r="L5108" s="27">
        <v>2465.9299999999998</v>
      </c>
      <c r="M5108" s="36">
        <v>487.58</v>
      </c>
      <c r="T5108" s="41">
        <v>0</v>
      </c>
      <c r="U5108" s="41">
        <v>0</v>
      </c>
      <c r="V5108" s="42" t="s">
        <v>113</v>
      </c>
      <c r="W5108" s="42">
        <v>0</v>
      </c>
      <c r="X5108" s="42">
        <v>0</v>
      </c>
    </row>
    <row r="5109" spans="1:24">
      <c r="A5109" s="27" t="s">
        <v>9443</v>
      </c>
      <c r="B5109" s="28" t="s">
        <v>5102</v>
      </c>
      <c r="C5109" s="27" t="s">
        <v>9444</v>
      </c>
      <c r="D5109" s="27" t="s">
        <v>5104</v>
      </c>
      <c r="E5109" s="29">
        <v>42234</v>
      </c>
      <c r="F5109" s="27">
        <v>15</v>
      </c>
      <c r="G5109" s="18">
        <v>101551.05</v>
      </c>
      <c r="H5109" s="27">
        <f t="shared" si="158"/>
        <v>0</v>
      </c>
      <c r="I5109" s="18">
        <v>24737.18</v>
      </c>
      <c r="J5109" s="27">
        <v>101551.05</v>
      </c>
      <c r="K5109" s="18">
        <f t="shared" si="159"/>
        <v>0</v>
      </c>
      <c r="L5109" s="27">
        <v>30886.01</v>
      </c>
      <c r="M5109" s="36">
        <v>6148.83</v>
      </c>
      <c r="T5109" s="41">
        <v>0</v>
      </c>
      <c r="U5109" s="41">
        <v>0</v>
      </c>
      <c r="V5109" s="42" t="s">
        <v>113</v>
      </c>
      <c r="W5109" s="42">
        <v>0</v>
      </c>
      <c r="X5109" s="42">
        <v>0</v>
      </c>
    </row>
    <row r="5110" spans="1:24">
      <c r="A5110" s="27" t="s">
        <v>9445</v>
      </c>
      <c r="B5110" s="28" t="s">
        <v>5102</v>
      </c>
      <c r="C5110" s="27" t="s">
        <v>9446</v>
      </c>
      <c r="D5110" s="27" t="s">
        <v>5104</v>
      </c>
      <c r="E5110" s="29">
        <v>42234</v>
      </c>
      <c r="F5110" s="27">
        <v>15</v>
      </c>
      <c r="G5110" s="18">
        <v>132988.54</v>
      </c>
      <c r="H5110" s="27">
        <f t="shared" si="158"/>
        <v>0</v>
      </c>
      <c r="I5110" s="18">
        <v>32600.66</v>
      </c>
      <c r="J5110" s="27">
        <v>132988.54</v>
      </c>
      <c r="K5110" s="18">
        <f t="shared" si="159"/>
        <v>0</v>
      </c>
      <c r="L5110" s="27">
        <v>40635.379999999997</v>
      </c>
      <c r="M5110" s="36">
        <v>8034.72</v>
      </c>
      <c r="T5110" s="41">
        <v>0</v>
      </c>
      <c r="U5110" s="41">
        <v>0</v>
      </c>
      <c r="V5110" s="42" t="s">
        <v>113</v>
      </c>
      <c r="W5110" s="42">
        <v>0</v>
      </c>
      <c r="X5110" s="42">
        <v>0</v>
      </c>
    </row>
    <row r="5111" spans="1:24">
      <c r="A5111" s="27" t="s">
        <v>9447</v>
      </c>
      <c r="B5111" s="28" t="s">
        <v>5102</v>
      </c>
      <c r="C5111" s="27" t="s">
        <v>9448</v>
      </c>
      <c r="D5111" s="27" t="s">
        <v>5104</v>
      </c>
      <c r="E5111" s="29">
        <v>42234</v>
      </c>
      <c r="F5111" s="27">
        <v>15</v>
      </c>
      <c r="G5111" s="18">
        <v>82979.88</v>
      </c>
      <c r="H5111" s="27">
        <f t="shared" si="158"/>
        <v>0</v>
      </c>
      <c r="I5111" s="18">
        <v>20341.599999999999</v>
      </c>
      <c r="J5111" s="27">
        <v>82979.88</v>
      </c>
      <c r="K5111" s="18">
        <f t="shared" si="159"/>
        <v>0</v>
      </c>
      <c r="L5111" s="27">
        <v>25354.97</v>
      </c>
      <c r="M5111" s="36">
        <v>5013.37</v>
      </c>
      <c r="T5111" s="41">
        <v>0</v>
      </c>
      <c r="U5111" s="41">
        <v>0</v>
      </c>
      <c r="V5111" s="42" t="s">
        <v>113</v>
      </c>
      <c r="W5111" s="42">
        <v>0</v>
      </c>
      <c r="X5111" s="42">
        <v>0</v>
      </c>
    </row>
    <row r="5112" spans="1:24">
      <c r="A5112" s="27" t="s">
        <v>9449</v>
      </c>
      <c r="B5112" s="28" t="s">
        <v>5102</v>
      </c>
      <c r="C5112" s="27" t="s">
        <v>9450</v>
      </c>
      <c r="D5112" s="27" t="s">
        <v>5104</v>
      </c>
      <c r="E5112" s="29">
        <v>42234</v>
      </c>
      <c r="F5112" s="27">
        <v>15</v>
      </c>
      <c r="G5112" s="18">
        <v>59803.46</v>
      </c>
      <c r="H5112" s="27">
        <f t="shared" si="158"/>
        <v>0</v>
      </c>
      <c r="I5112" s="18">
        <v>14660.16</v>
      </c>
      <c r="J5112" s="27">
        <v>59803.46</v>
      </c>
      <c r="K5112" s="18">
        <f t="shared" si="159"/>
        <v>0</v>
      </c>
      <c r="L5112" s="27">
        <v>18273.29</v>
      </c>
      <c r="M5112" s="36">
        <v>3613.13</v>
      </c>
      <c r="T5112" s="41">
        <v>0</v>
      </c>
      <c r="U5112" s="41">
        <v>0</v>
      </c>
      <c r="V5112" s="42" t="s">
        <v>113</v>
      </c>
      <c r="W5112" s="42">
        <v>0</v>
      </c>
      <c r="X5112" s="42">
        <v>0</v>
      </c>
    </row>
    <row r="5113" spans="1:24">
      <c r="A5113" s="27" t="s">
        <v>9451</v>
      </c>
      <c r="B5113" s="28" t="s">
        <v>5102</v>
      </c>
      <c r="C5113" s="27" t="s">
        <v>9452</v>
      </c>
      <c r="D5113" s="27" t="s">
        <v>5104</v>
      </c>
      <c r="E5113" s="29">
        <v>42234</v>
      </c>
      <c r="F5113" s="27">
        <v>15</v>
      </c>
      <c r="G5113" s="18">
        <v>128367.05</v>
      </c>
      <c r="H5113" s="27">
        <f t="shared" si="158"/>
        <v>0</v>
      </c>
      <c r="I5113" s="18">
        <v>31467.75</v>
      </c>
      <c r="J5113" s="27">
        <v>128367.05</v>
      </c>
      <c r="K5113" s="18">
        <f t="shared" si="159"/>
        <v>0</v>
      </c>
      <c r="L5113" s="27">
        <v>39223.26</v>
      </c>
      <c r="M5113" s="36">
        <v>7755.51</v>
      </c>
      <c r="T5113" s="41">
        <v>0</v>
      </c>
      <c r="U5113" s="41">
        <v>0</v>
      </c>
      <c r="V5113" s="42" t="s">
        <v>113</v>
      </c>
      <c r="W5113" s="42">
        <v>0</v>
      </c>
      <c r="X5113" s="42">
        <v>0</v>
      </c>
    </row>
    <row r="5114" spans="1:24">
      <c r="A5114" s="27" t="s">
        <v>9453</v>
      </c>
      <c r="B5114" s="28" t="s">
        <v>5102</v>
      </c>
      <c r="C5114" s="27" t="s">
        <v>9454</v>
      </c>
      <c r="D5114" s="27" t="s">
        <v>5104</v>
      </c>
      <c r="E5114" s="29">
        <v>42234</v>
      </c>
      <c r="F5114" s="27">
        <v>15</v>
      </c>
      <c r="G5114" s="18">
        <v>160924.41</v>
      </c>
      <c r="H5114" s="27">
        <f t="shared" si="158"/>
        <v>0</v>
      </c>
      <c r="I5114" s="18">
        <v>39448.839999999997</v>
      </c>
      <c r="J5114" s="27">
        <v>160924.41</v>
      </c>
      <c r="K5114" s="18">
        <f t="shared" si="159"/>
        <v>0</v>
      </c>
      <c r="L5114" s="27">
        <v>49171.360000000001</v>
      </c>
      <c r="M5114" s="36">
        <v>9722.52</v>
      </c>
      <c r="T5114" s="41">
        <v>0</v>
      </c>
      <c r="U5114" s="41">
        <v>0</v>
      </c>
      <c r="V5114" s="42" t="s">
        <v>113</v>
      </c>
      <c r="W5114" s="42">
        <v>0</v>
      </c>
      <c r="X5114" s="42">
        <v>0</v>
      </c>
    </row>
    <row r="5115" spans="1:24">
      <c r="A5115" s="27" t="s">
        <v>9455</v>
      </c>
      <c r="B5115" s="28" t="s">
        <v>5102</v>
      </c>
      <c r="C5115" s="27" t="s">
        <v>9456</v>
      </c>
      <c r="D5115" s="27" t="s">
        <v>5104</v>
      </c>
      <c r="E5115" s="29">
        <v>42234</v>
      </c>
      <c r="F5115" s="27">
        <v>15</v>
      </c>
      <c r="G5115" s="18">
        <v>171064.1</v>
      </c>
      <c r="H5115" s="27">
        <f t="shared" si="158"/>
        <v>0</v>
      </c>
      <c r="I5115" s="18">
        <v>41934.449999999997</v>
      </c>
      <c r="J5115" s="27">
        <v>171064.1</v>
      </c>
      <c r="K5115" s="18">
        <f t="shared" si="159"/>
        <v>0</v>
      </c>
      <c r="L5115" s="27">
        <v>52269.57</v>
      </c>
      <c r="M5115" s="36">
        <v>10335.120000000001</v>
      </c>
      <c r="T5115" s="41">
        <v>0</v>
      </c>
      <c r="U5115" s="41">
        <v>0</v>
      </c>
      <c r="V5115" s="42" t="s">
        <v>113</v>
      </c>
      <c r="W5115" s="42">
        <v>0</v>
      </c>
      <c r="X5115" s="42">
        <v>0</v>
      </c>
    </row>
    <row r="5116" spans="1:24">
      <c r="A5116" s="27" t="s">
        <v>9457</v>
      </c>
      <c r="B5116" s="28" t="s">
        <v>5102</v>
      </c>
      <c r="C5116" s="27" t="s">
        <v>9458</v>
      </c>
      <c r="D5116" s="27" t="s">
        <v>5104</v>
      </c>
      <c r="E5116" s="29">
        <v>42234</v>
      </c>
      <c r="F5116" s="27">
        <v>15</v>
      </c>
      <c r="G5116" s="18">
        <v>28970.53</v>
      </c>
      <c r="H5116" s="27">
        <f t="shared" si="158"/>
        <v>0</v>
      </c>
      <c r="I5116" s="18">
        <v>7101.8</v>
      </c>
      <c r="J5116" s="27">
        <v>28970.53</v>
      </c>
      <c r="K5116" s="18">
        <f t="shared" si="159"/>
        <v>0</v>
      </c>
      <c r="L5116" s="27">
        <v>8852.1</v>
      </c>
      <c r="M5116" s="36">
        <v>1750.3</v>
      </c>
      <c r="T5116" s="41">
        <v>0</v>
      </c>
      <c r="U5116" s="41">
        <v>0</v>
      </c>
      <c r="V5116" s="42" t="s">
        <v>113</v>
      </c>
      <c r="W5116" s="42">
        <v>0</v>
      </c>
      <c r="X5116" s="42">
        <v>0</v>
      </c>
    </row>
    <row r="5117" spans="1:24">
      <c r="A5117" s="27" t="s">
        <v>9459</v>
      </c>
      <c r="B5117" s="28" t="s">
        <v>5102</v>
      </c>
      <c r="C5117" s="27" t="s">
        <v>9458</v>
      </c>
      <c r="D5117" s="27" t="s">
        <v>5104</v>
      </c>
      <c r="E5117" s="29">
        <v>42234</v>
      </c>
      <c r="F5117" s="27">
        <v>15</v>
      </c>
      <c r="G5117" s="18">
        <v>226521.98</v>
      </c>
      <c r="H5117" s="27">
        <f t="shared" si="158"/>
        <v>0</v>
      </c>
      <c r="I5117" s="18">
        <v>55529.34</v>
      </c>
      <c r="J5117" s="27">
        <v>226521.98</v>
      </c>
      <c r="K5117" s="18">
        <f t="shared" si="159"/>
        <v>0</v>
      </c>
      <c r="L5117" s="27">
        <v>69215.039999999994</v>
      </c>
      <c r="M5117" s="36">
        <v>13685.7</v>
      </c>
      <c r="T5117" s="41">
        <v>0</v>
      </c>
      <c r="U5117" s="41">
        <v>0</v>
      </c>
      <c r="V5117" s="42" t="s">
        <v>113</v>
      </c>
      <c r="W5117" s="42">
        <v>0</v>
      </c>
      <c r="X5117" s="42">
        <v>0</v>
      </c>
    </row>
    <row r="5118" spans="1:24">
      <c r="A5118" s="27" t="s">
        <v>9460</v>
      </c>
      <c r="B5118" s="28" t="s">
        <v>5102</v>
      </c>
      <c r="C5118" s="27" t="s">
        <v>9461</v>
      </c>
      <c r="D5118" s="27" t="s">
        <v>5104</v>
      </c>
      <c r="E5118" s="29">
        <v>42234</v>
      </c>
      <c r="F5118" s="27">
        <v>15</v>
      </c>
      <c r="G5118" s="18">
        <v>92567.75</v>
      </c>
      <c r="H5118" s="27">
        <f t="shared" si="158"/>
        <v>0</v>
      </c>
      <c r="I5118" s="18">
        <v>22691.95</v>
      </c>
      <c r="J5118" s="27">
        <v>92567.75</v>
      </c>
      <c r="K5118" s="18">
        <f t="shared" si="159"/>
        <v>0</v>
      </c>
      <c r="L5118" s="27">
        <v>28284.59</v>
      </c>
      <c r="M5118" s="36">
        <v>5592.64</v>
      </c>
      <c r="T5118" s="41">
        <v>0</v>
      </c>
      <c r="U5118" s="41">
        <v>0</v>
      </c>
      <c r="V5118" s="42" t="s">
        <v>113</v>
      </c>
      <c r="W5118" s="42">
        <v>0</v>
      </c>
      <c r="X5118" s="42">
        <v>0</v>
      </c>
    </row>
    <row r="5119" spans="1:24">
      <c r="A5119" s="27" t="s">
        <v>9462</v>
      </c>
      <c r="B5119" s="28" t="s">
        <v>5102</v>
      </c>
      <c r="C5119" s="27" t="s">
        <v>9463</v>
      </c>
      <c r="D5119" s="27" t="s">
        <v>5104</v>
      </c>
      <c r="E5119" s="29">
        <v>42234</v>
      </c>
      <c r="F5119" s="27">
        <v>15</v>
      </c>
      <c r="G5119" s="18">
        <v>44559.44</v>
      </c>
      <c r="H5119" s="27">
        <f t="shared" si="158"/>
        <v>0</v>
      </c>
      <c r="I5119" s="18">
        <v>10923.24</v>
      </c>
      <c r="J5119" s="27">
        <v>44559.44</v>
      </c>
      <c r="K5119" s="18">
        <f t="shared" si="159"/>
        <v>0</v>
      </c>
      <c r="L5119" s="27">
        <v>13615.37</v>
      </c>
      <c r="M5119" s="36">
        <v>2692.13</v>
      </c>
      <c r="T5119" s="41">
        <v>0</v>
      </c>
      <c r="U5119" s="41">
        <v>0</v>
      </c>
      <c r="V5119" s="42" t="s">
        <v>113</v>
      </c>
      <c r="W5119" s="42">
        <v>0</v>
      </c>
      <c r="X5119" s="42">
        <v>0</v>
      </c>
    </row>
    <row r="5120" spans="1:24">
      <c r="A5120" s="27" t="s">
        <v>9464</v>
      </c>
      <c r="B5120" s="28" t="s">
        <v>5102</v>
      </c>
      <c r="C5120" s="27" t="s">
        <v>9463</v>
      </c>
      <c r="D5120" s="27" t="s">
        <v>5104</v>
      </c>
      <c r="E5120" s="29">
        <v>42234</v>
      </c>
      <c r="F5120" s="27">
        <v>15</v>
      </c>
      <c r="G5120" s="18">
        <v>101258.91</v>
      </c>
      <c r="H5120" s="27">
        <f t="shared" si="158"/>
        <v>0</v>
      </c>
      <c r="I5120" s="18">
        <v>24822.5</v>
      </c>
      <c r="J5120" s="27">
        <v>101258.91</v>
      </c>
      <c r="K5120" s="18">
        <f t="shared" si="159"/>
        <v>0</v>
      </c>
      <c r="L5120" s="27">
        <v>30940.23</v>
      </c>
      <c r="M5120" s="36">
        <v>6117.73</v>
      </c>
      <c r="T5120" s="41">
        <v>0</v>
      </c>
      <c r="U5120" s="41">
        <v>0</v>
      </c>
      <c r="V5120" s="42" t="s">
        <v>113</v>
      </c>
      <c r="W5120" s="42">
        <v>0</v>
      </c>
      <c r="X5120" s="42">
        <v>0</v>
      </c>
    </row>
    <row r="5121" spans="1:24">
      <c r="A5121" s="27" t="s">
        <v>9465</v>
      </c>
      <c r="B5121" s="28" t="s">
        <v>5102</v>
      </c>
      <c r="C5121" s="27" t="s">
        <v>9466</v>
      </c>
      <c r="D5121" s="27" t="s">
        <v>5104</v>
      </c>
      <c r="E5121" s="29">
        <v>42234</v>
      </c>
      <c r="F5121" s="27">
        <v>15</v>
      </c>
      <c r="G5121" s="18">
        <v>70081.100000000006</v>
      </c>
      <c r="H5121" s="27">
        <f t="shared" si="158"/>
        <v>0</v>
      </c>
      <c r="I5121" s="18">
        <v>17179.61</v>
      </c>
      <c r="J5121" s="27">
        <v>70081.100000000006</v>
      </c>
      <c r="K5121" s="18">
        <f t="shared" si="159"/>
        <v>0</v>
      </c>
      <c r="L5121" s="27">
        <v>21413.68</v>
      </c>
      <c r="M5121" s="36">
        <v>4234.07</v>
      </c>
      <c r="T5121" s="41">
        <v>0</v>
      </c>
      <c r="U5121" s="41">
        <v>0</v>
      </c>
      <c r="V5121" s="42" t="s">
        <v>113</v>
      </c>
      <c r="W5121" s="42">
        <v>0</v>
      </c>
      <c r="X5121" s="42">
        <v>0</v>
      </c>
    </row>
    <row r="5122" spans="1:24">
      <c r="A5122" s="27" t="s">
        <v>9467</v>
      </c>
      <c r="B5122" s="28" t="s">
        <v>5102</v>
      </c>
      <c r="C5122" s="27" t="s">
        <v>9468</v>
      </c>
      <c r="D5122" s="27" t="s">
        <v>5104</v>
      </c>
      <c r="E5122" s="29">
        <v>42234</v>
      </c>
      <c r="F5122" s="27">
        <v>15</v>
      </c>
      <c r="G5122" s="18">
        <v>15726.86</v>
      </c>
      <c r="H5122" s="27">
        <f t="shared" si="158"/>
        <v>0</v>
      </c>
      <c r="I5122" s="18">
        <v>3855.26</v>
      </c>
      <c r="J5122" s="27">
        <v>15726.86</v>
      </c>
      <c r="K5122" s="18">
        <f t="shared" si="159"/>
        <v>0</v>
      </c>
      <c r="L5122" s="27">
        <v>4805.43</v>
      </c>
      <c r="M5122" s="36">
        <v>950.17</v>
      </c>
      <c r="T5122" s="41">
        <v>0</v>
      </c>
      <c r="U5122" s="41">
        <v>0</v>
      </c>
      <c r="V5122" s="42" t="s">
        <v>113</v>
      </c>
      <c r="W5122" s="42">
        <v>0</v>
      </c>
      <c r="X5122" s="42">
        <v>0</v>
      </c>
    </row>
    <row r="5123" spans="1:24">
      <c r="A5123" s="27" t="s">
        <v>9469</v>
      </c>
      <c r="B5123" s="28" t="s">
        <v>5102</v>
      </c>
      <c r="C5123" s="27" t="s">
        <v>9468</v>
      </c>
      <c r="D5123" s="27" t="s">
        <v>5104</v>
      </c>
      <c r="E5123" s="29">
        <v>42234</v>
      </c>
      <c r="F5123" s="27">
        <v>15</v>
      </c>
      <c r="G5123" s="18">
        <v>82152.149999999994</v>
      </c>
      <c r="H5123" s="27">
        <f t="shared" si="158"/>
        <v>0</v>
      </c>
      <c r="I5123" s="18">
        <v>20138.68</v>
      </c>
      <c r="J5123" s="27">
        <v>82152.149999999994</v>
      </c>
      <c r="K5123" s="18">
        <f t="shared" si="159"/>
        <v>0</v>
      </c>
      <c r="L5123" s="27">
        <v>25102.04</v>
      </c>
      <c r="M5123" s="36">
        <v>4963.3599999999997</v>
      </c>
      <c r="T5123" s="41">
        <v>0</v>
      </c>
      <c r="U5123" s="41">
        <v>0</v>
      </c>
      <c r="V5123" s="42" t="s">
        <v>113</v>
      </c>
      <c r="W5123" s="42">
        <v>0</v>
      </c>
      <c r="X5123" s="42">
        <v>0</v>
      </c>
    </row>
    <row r="5124" spans="1:24">
      <c r="A5124" s="27" t="s">
        <v>9470</v>
      </c>
      <c r="B5124" s="28" t="s">
        <v>5102</v>
      </c>
      <c r="C5124" s="27" t="s">
        <v>9471</v>
      </c>
      <c r="D5124" s="27" t="s">
        <v>5104</v>
      </c>
      <c r="E5124" s="29">
        <v>42234</v>
      </c>
      <c r="F5124" s="27">
        <v>15</v>
      </c>
      <c r="G5124" s="18">
        <v>11450.26</v>
      </c>
      <c r="H5124" s="27">
        <f t="shared" si="158"/>
        <v>0</v>
      </c>
      <c r="I5124" s="18">
        <v>2806.91</v>
      </c>
      <c r="J5124" s="27">
        <v>11450.26</v>
      </c>
      <c r="K5124" s="18">
        <f t="shared" si="159"/>
        <v>0</v>
      </c>
      <c r="L5124" s="27">
        <v>3498.7</v>
      </c>
      <c r="M5124" s="36">
        <v>691.79</v>
      </c>
      <c r="T5124" s="41">
        <v>0</v>
      </c>
      <c r="U5124" s="41">
        <v>0</v>
      </c>
      <c r="V5124" s="42" t="s">
        <v>113</v>
      </c>
      <c r="W5124" s="42">
        <v>0</v>
      </c>
      <c r="X5124" s="42">
        <v>0</v>
      </c>
    </row>
    <row r="5125" spans="1:24">
      <c r="A5125" s="27" t="s">
        <v>9472</v>
      </c>
      <c r="B5125" s="28" t="s">
        <v>5102</v>
      </c>
      <c r="C5125" s="27" t="s">
        <v>9473</v>
      </c>
      <c r="D5125" s="27" t="s">
        <v>5104</v>
      </c>
      <c r="E5125" s="29">
        <v>42234</v>
      </c>
      <c r="F5125" s="27">
        <v>15</v>
      </c>
      <c r="G5125" s="18">
        <v>39110.22</v>
      </c>
      <c r="H5125" s="27">
        <f t="shared" si="158"/>
        <v>0</v>
      </c>
      <c r="I5125" s="18">
        <v>9587.4500000000007</v>
      </c>
      <c r="J5125" s="27">
        <v>39110.22</v>
      </c>
      <c r="K5125" s="18">
        <f t="shared" si="159"/>
        <v>0</v>
      </c>
      <c r="L5125" s="27">
        <v>11950.36</v>
      </c>
      <c r="M5125" s="36">
        <v>2362.91</v>
      </c>
      <c r="T5125" s="41">
        <v>0</v>
      </c>
      <c r="U5125" s="41">
        <v>0</v>
      </c>
      <c r="V5125" s="42" t="s">
        <v>113</v>
      </c>
      <c r="W5125" s="42">
        <v>0</v>
      </c>
      <c r="X5125" s="42">
        <v>0</v>
      </c>
    </row>
    <row r="5126" spans="1:24">
      <c r="A5126" s="27" t="s">
        <v>9474</v>
      </c>
      <c r="B5126" s="28" t="s">
        <v>5102</v>
      </c>
      <c r="C5126" s="27" t="s">
        <v>9475</v>
      </c>
      <c r="D5126" s="27" t="s">
        <v>5104</v>
      </c>
      <c r="E5126" s="29">
        <v>42234</v>
      </c>
      <c r="F5126" s="27">
        <v>15</v>
      </c>
      <c r="G5126" s="18">
        <v>65666.539999999994</v>
      </c>
      <c r="H5126" s="27">
        <f t="shared" ref="H5126:H5189" si="160">IFERROR(IF(ROUND((G5126-I5126)/G5126,2)&lt;=0.05,G5126,0),0)</f>
        <v>0</v>
      </c>
      <c r="I5126" s="18">
        <v>16097.42</v>
      </c>
      <c r="J5126" s="27">
        <v>65666.539999999994</v>
      </c>
      <c r="K5126" s="18">
        <f t="shared" ref="K5126:K5189" si="161">IFERROR(IF(ROUND((J5126-L5126)/J5126,2)&lt;=0.05,J5126,0),0)</f>
        <v>0</v>
      </c>
      <c r="L5126" s="27">
        <v>20064.77</v>
      </c>
      <c r="M5126" s="36">
        <v>3967.35</v>
      </c>
      <c r="T5126" s="41">
        <v>0</v>
      </c>
      <c r="U5126" s="41">
        <v>0</v>
      </c>
      <c r="V5126" s="42" t="s">
        <v>113</v>
      </c>
      <c r="W5126" s="42">
        <v>0</v>
      </c>
      <c r="X5126" s="42">
        <v>0</v>
      </c>
    </row>
    <row r="5127" spans="1:24">
      <c r="A5127" s="27" t="s">
        <v>9476</v>
      </c>
      <c r="B5127" s="28" t="s">
        <v>5102</v>
      </c>
      <c r="C5127" s="27" t="s">
        <v>9477</v>
      </c>
      <c r="D5127" s="27" t="s">
        <v>5104</v>
      </c>
      <c r="E5127" s="29">
        <v>42234</v>
      </c>
      <c r="F5127" s="27">
        <v>15</v>
      </c>
      <c r="G5127" s="18">
        <v>93188.56</v>
      </c>
      <c r="H5127" s="27">
        <f t="shared" si="160"/>
        <v>0</v>
      </c>
      <c r="I5127" s="18">
        <v>22844.14</v>
      </c>
      <c r="J5127" s="27">
        <v>93188.56</v>
      </c>
      <c r="K5127" s="18">
        <f t="shared" si="161"/>
        <v>0</v>
      </c>
      <c r="L5127" s="27">
        <v>28474.28</v>
      </c>
      <c r="M5127" s="36">
        <v>5630.14</v>
      </c>
      <c r="T5127" s="41">
        <v>0</v>
      </c>
      <c r="U5127" s="41">
        <v>0</v>
      </c>
      <c r="V5127" s="42" t="s">
        <v>113</v>
      </c>
      <c r="W5127" s="42">
        <v>0</v>
      </c>
      <c r="X5127" s="42">
        <v>0</v>
      </c>
    </row>
    <row r="5128" spans="1:24">
      <c r="A5128" s="27" t="s">
        <v>9478</v>
      </c>
      <c r="B5128" s="28" t="s">
        <v>5102</v>
      </c>
      <c r="C5128" s="27" t="s">
        <v>9479</v>
      </c>
      <c r="D5128" s="27" t="s">
        <v>5104</v>
      </c>
      <c r="E5128" s="29">
        <v>42234</v>
      </c>
      <c r="F5128" s="27">
        <v>15</v>
      </c>
      <c r="G5128" s="18">
        <v>134011.95000000001</v>
      </c>
      <c r="H5128" s="27">
        <f t="shared" si="160"/>
        <v>0</v>
      </c>
      <c r="I5128" s="18">
        <v>32851.54</v>
      </c>
      <c r="J5128" s="27">
        <v>134011.95000000001</v>
      </c>
      <c r="K5128" s="18">
        <f t="shared" si="161"/>
        <v>0</v>
      </c>
      <c r="L5128" s="27">
        <v>40948.1</v>
      </c>
      <c r="M5128" s="36">
        <v>8096.56</v>
      </c>
      <c r="T5128" s="41">
        <v>0</v>
      </c>
      <c r="U5128" s="41">
        <v>0</v>
      </c>
      <c r="V5128" s="42" t="s">
        <v>113</v>
      </c>
      <c r="W5128" s="42">
        <v>0</v>
      </c>
      <c r="X5128" s="42">
        <v>0</v>
      </c>
    </row>
    <row r="5129" spans="1:24">
      <c r="A5129" s="27" t="s">
        <v>9480</v>
      </c>
      <c r="B5129" s="28" t="s">
        <v>5102</v>
      </c>
      <c r="C5129" s="27" t="s">
        <v>9479</v>
      </c>
      <c r="D5129" s="27" t="s">
        <v>5104</v>
      </c>
      <c r="E5129" s="29">
        <v>42234</v>
      </c>
      <c r="F5129" s="27">
        <v>12</v>
      </c>
      <c r="G5129" s="18">
        <v>3277.15</v>
      </c>
      <c r="H5129" s="27">
        <f t="shared" si="160"/>
        <v>3277.15</v>
      </c>
      <c r="I5129" s="18">
        <v>3277.15</v>
      </c>
      <c r="J5129" s="27">
        <v>3277.15</v>
      </c>
      <c r="K5129" s="18">
        <f t="shared" si="161"/>
        <v>3277.15</v>
      </c>
      <c r="L5129" s="27">
        <v>3277.15</v>
      </c>
      <c r="M5129" s="36">
        <v>0</v>
      </c>
      <c r="T5129" s="41">
        <v>0</v>
      </c>
      <c r="U5129" s="41">
        <v>0</v>
      </c>
      <c r="V5129" s="42" t="s">
        <v>113</v>
      </c>
      <c r="W5129" s="42">
        <v>3277.15</v>
      </c>
      <c r="X5129" s="42">
        <v>3277.15</v>
      </c>
    </row>
    <row r="5130" spans="1:24">
      <c r="A5130" s="27" t="s">
        <v>9481</v>
      </c>
      <c r="B5130" s="28" t="s">
        <v>5102</v>
      </c>
      <c r="C5130" s="27" t="s">
        <v>9482</v>
      </c>
      <c r="D5130" s="27" t="s">
        <v>5104</v>
      </c>
      <c r="E5130" s="29">
        <v>42234</v>
      </c>
      <c r="F5130" s="27">
        <v>15</v>
      </c>
      <c r="G5130" s="18">
        <v>64138.47</v>
      </c>
      <c r="H5130" s="27">
        <f t="shared" si="160"/>
        <v>0</v>
      </c>
      <c r="I5130" s="18">
        <v>15722.83</v>
      </c>
      <c r="J5130" s="27">
        <v>64138.47</v>
      </c>
      <c r="K5130" s="18">
        <f t="shared" si="161"/>
        <v>0</v>
      </c>
      <c r="L5130" s="27">
        <v>19597.86</v>
      </c>
      <c r="M5130" s="36">
        <v>3875.03</v>
      </c>
      <c r="T5130" s="41">
        <v>0</v>
      </c>
      <c r="U5130" s="41">
        <v>0</v>
      </c>
      <c r="V5130" s="42" t="s">
        <v>113</v>
      </c>
      <c r="W5130" s="42">
        <v>0</v>
      </c>
      <c r="X5130" s="42">
        <v>0</v>
      </c>
    </row>
    <row r="5131" spans="1:24">
      <c r="A5131" s="27" t="s">
        <v>9483</v>
      </c>
      <c r="B5131" s="28" t="s">
        <v>5102</v>
      </c>
      <c r="C5131" s="27" t="s">
        <v>9484</v>
      </c>
      <c r="D5131" s="27" t="s">
        <v>5104</v>
      </c>
      <c r="E5131" s="29">
        <v>42234</v>
      </c>
      <c r="F5131" s="27">
        <v>15</v>
      </c>
      <c r="G5131" s="18">
        <v>28323.919999999998</v>
      </c>
      <c r="H5131" s="27">
        <f t="shared" si="160"/>
        <v>0</v>
      </c>
      <c r="I5131" s="18">
        <v>6943.3</v>
      </c>
      <c r="J5131" s="27">
        <v>28323.919999999998</v>
      </c>
      <c r="K5131" s="18">
        <f t="shared" si="161"/>
        <v>0</v>
      </c>
      <c r="L5131" s="27">
        <v>8654.5400000000009</v>
      </c>
      <c r="M5131" s="36">
        <v>1711.24</v>
      </c>
      <c r="T5131" s="41">
        <v>0</v>
      </c>
      <c r="U5131" s="41">
        <v>0</v>
      </c>
      <c r="V5131" s="42" t="s">
        <v>113</v>
      </c>
      <c r="W5131" s="42">
        <v>0</v>
      </c>
      <c r="X5131" s="42">
        <v>0</v>
      </c>
    </row>
    <row r="5132" spans="1:24">
      <c r="A5132" s="27" t="s">
        <v>9485</v>
      </c>
      <c r="B5132" s="28" t="s">
        <v>5102</v>
      </c>
      <c r="C5132" s="27" t="s">
        <v>9486</v>
      </c>
      <c r="D5132" s="27" t="s">
        <v>5104</v>
      </c>
      <c r="E5132" s="29">
        <v>42234</v>
      </c>
      <c r="F5132" s="27">
        <v>15</v>
      </c>
      <c r="G5132" s="18">
        <v>63026.58</v>
      </c>
      <c r="H5132" s="27">
        <f t="shared" si="160"/>
        <v>0</v>
      </c>
      <c r="I5132" s="18">
        <v>15450.26</v>
      </c>
      <c r="J5132" s="27">
        <v>63026.58</v>
      </c>
      <c r="K5132" s="18">
        <f t="shared" si="161"/>
        <v>0</v>
      </c>
      <c r="L5132" s="27">
        <v>19258.12</v>
      </c>
      <c r="M5132" s="36">
        <v>3807.86</v>
      </c>
      <c r="T5132" s="41">
        <v>0</v>
      </c>
      <c r="U5132" s="41">
        <v>0</v>
      </c>
      <c r="V5132" s="42" t="s">
        <v>113</v>
      </c>
      <c r="W5132" s="42">
        <v>0</v>
      </c>
      <c r="X5132" s="42">
        <v>0</v>
      </c>
    </row>
    <row r="5133" spans="1:24">
      <c r="A5133" s="27" t="s">
        <v>9487</v>
      </c>
      <c r="B5133" s="28" t="s">
        <v>5102</v>
      </c>
      <c r="C5133" s="27" t="s">
        <v>9488</v>
      </c>
      <c r="D5133" s="27" t="s">
        <v>5104</v>
      </c>
      <c r="E5133" s="29">
        <v>42234</v>
      </c>
      <c r="F5133" s="27">
        <v>15</v>
      </c>
      <c r="G5133" s="18">
        <v>115929.12</v>
      </c>
      <c r="H5133" s="27">
        <f t="shared" si="160"/>
        <v>0</v>
      </c>
      <c r="I5133" s="18">
        <v>28418.73</v>
      </c>
      <c r="J5133" s="27">
        <v>115929.12</v>
      </c>
      <c r="K5133" s="18">
        <f t="shared" si="161"/>
        <v>0</v>
      </c>
      <c r="L5133" s="27">
        <v>35422.78</v>
      </c>
      <c r="M5133" s="36">
        <v>7004.05</v>
      </c>
      <c r="T5133" s="41">
        <v>0</v>
      </c>
      <c r="U5133" s="41">
        <v>0</v>
      </c>
      <c r="V5133" s="42" t="s">
        <v>113</v>
      </c>
      <c r="W5133" s="42">
        <v>0</v>
      </c>
      <c r="X5133" s="42">
        <v>0</v>
      </c>
    </row>
    <row r="5134" spans="1:24">
      <c r="A5134" s="27" t="s">
        <v>9489</v>
      </c>
      <c r="B5134" s="28" t="s">
        <v>5102</v>
      </c>
      <c r="C5134" s="27" t="s">
        <v>9490</v>
      </c>
      <c r="D5134" s="27" t="s">
        <v>5104</v>
      </c>
      <c r="E5134" s="29">
        <v>42234</v>
      </c>
      <c r="F5134" s="27">
        <v>12</v>
      </c>
      <c r="G5134" s="18">
        <v>3218.63</v>
      </c>
      <c r="H5134" s="27">
        <f t="shared" si="160"/>
        <v>3218.63</v>
      </c>
      <c r="I5134" s="18">
        <v>3218.63</v>
      </c>
      <c r="J5134" s="27">
        <v>3218.63</v>
      </c>
      <c r="K5134" s="18">
        <f t="shared" si="161"/>
        <v>3218.63</v>
      </c>
      <c r="L5134" s="27">
        <v>3218.63</v>
      </c>
      <c r="M5134" s="36">
        <v>0</v>
      </c>
      <c r="T5134" s="41">
        <v>0</v>
      </c>
      <c r="U5134" s="41">
        <v>0</v>
      </c>
      <c r="V5134" s="42" t="s">
        <v>113</v>
      </c>
      <c r="W5134" s="42">
        <v>3218.63</v>
      </c>
      <c r="X5134" s="42">
        <v>3218.63</v>
      </c>
    </row>
    <row r="5135" spans="1:24">
      <c r="A5135" s="27" t="s">
        <v>9491</v>
      </c>
      <c r="B5135" s="28" t="s">
        <v>5102</v>
      </c>
      <c r="C5135" s="27" t="s">
        <v>9492</v>
      </c>
      <c r="D5135" s="27" t="s">
        <v>5104</v>
      </c>
      <c r="E5135" s="29">
        <v>42234</v>
      </c>
      <c r="F5135" s="27">
        <v>15</v>
      </c>
      <c r="G5135" s="18">
        <v>65367.4</v>
      </c>
      <c r="H5135" s="27">
        <f t="shared" si="160"/>
        <v>0</v>
      </c>
      <c r="I5135" s="18">
        <v>16024.09</v>
      </c>
      <c r="J5135" s="27">
        <v>65367.4</v>
      </c>
      <c r="K5135" s="18">
        <f t="shared" si="161"/>
        <v>0</v>
      </c>
      <c r="L5135" s="27">
        <v>19973.37</v>
      </c>
      <c r="M5135" s="36">
        <v>3949.28</v>
      </c>
      <c r="T5135" s="41">
        <v>0</v>
      </c>
      <c r="U5135" s="41">
        <v>0</v>
      </c>
      <c r="V5135" s="42" t="s">
        <v>113</v>
      </c>
      <c r="W5135" s="42">
        <v>0</v>
      </c>
      <c r="X5135" s="42">
        <v>0</v>
      </c>
    </row>
    <row r="5136" spans="1:24">
      <c r="A5136" s="27" t="s">
        <v>9493</v>
      </c>
      <c r="B5136" s="28" t="s">
        <v>5102</v>
      </c>
      <c r="C5136" s="27" t="s">
        <v>9494</v>
      </c>
      <c r="D5136" s="27" t="s">
        <v>5104</v>
      </c>
      <c r="E5136" s="29">
        <v>42234</v>
      </c>
      <c r="F5136" s="27">
        <v>15</v>
      </c>
      <c r="G5136" s="18">
        <v>5676.49</v>
      </c>
      <c r="H5136" s="27">
        <f t="shared" si="160"/>
        <v>0</v>
      </c>
      <c r="I5136" s="18">
        <v>1391.53</v>
      </c>
      <c r="J5136" s="27">
        <v>5676.49</v>
      </c>
      <c r="K5136" s="18">
        <f t="shared" si="161"/>
        <v>0</v>
      </c>
      <c r="L5136" s="27">
        <v>1734.48</v>
      </c>
      <c r="M5136" s="36">
        <v>342.95</v>
      </c>
      <c r="T5136" s="41">
        <v>0</v>
      </c>
      <c r="U5136" s="41">
        <v>0</v>
      </c>
      <c r="V5136" s="42" t="s">
        <v>113</v>
      </c>
      <c r="W5136" s="42">
        <v>0</v>
      </c>
      <c r="X5136" s="42">
        <v>0</v>
      </c>
    </row>
    <row r="5137" spans="1:24">
      <c r="A5137" s="27" t="s">
        <v>9495</v>
      </c>
      <c r="B5137" s="28" t="s">
        <v>5102</v>
      </c>
      <c r="C5137" s="27" t="s">
        <v>9496</v>
      </c>
      <c r="D5137" s="27" t="s">
        <v>5104</v>
      </c>
      <c r="E5137" s="29">
        <v>42234</v>
      </c>
      <c r="F5137" s="27">
        <v>15</v>
      </c>
      <c r="G5137" s="18">
        <v>130208.12</v>
      </c>
      <c r="H5137" s="27">
        <f t="shared" si="160"/>
        <v>0</v>
      </c>
      <c r="I5137" s="18">
        <v>31919.07</v>
      </c>
      <c r="J5137" s="27">
        <v>130208.12</v>
      </c>
      <c r="K5137" s="18">
        <f t="shared" si="161"/>
        <v>0</v>
      </c>
      <c r="L5137" s="27">
        <v>39785.81</v>
      </c>
      <c r="M5137" s="36">
        <v>7866.74</v>
      </c>
      <c r="T5137" s="41">
        <v>0</v>
      </c>
      <c r="U5137" s="41">
        <v>0</v>
      </c>
      <c r="V5137" s="42" t="s">
        <v>113</v>
      </c>
      <c r="W5137" s="42">
        <v>0</v>
      </c>
      <c r="X5137" s="42">
        <v>0</v>
      </c>
    </row>
    <row r="5138" spans="1:24">
      <c r="A5138" s="27" t="s">
        <v>9497</v>
      </c>
      <c r="B5138" s="28" t="s">
        <v>5102</v>
      </c>
      <c r="C5138" s="27" t="s">
        <v>9496</v>
      </c>
      <c r="D5138" s="27" t="s">
        <v>5104</v>
      </c>
      <c r="E5138" s="29">
        <v>42234</v>
      </c>
      <c r="F5138" s="27">
        <v>15</v>
      </c>
      <c r="G5138" s="18">
        <v>19604.37</v>
      </c>
      <c r="H5138" s="27">
        <f t="shared" si="160"/>
        <v>0</v>
      </c>
      <c r="I5138" s="18">
        <v>4805.79</v>
      </c>
      <c r="J5138" s="27">
        <v>19604.37</v>
      </c>
      <c r="K5138" s="18">
        <f t="shared" si="161"/>
        <v>0</v>
      </c>
      <c r="L5138" s="27">
        <v>5990.22</v>
      </c>
      <c r="M5138" s="36">
        <v>1184.43</v>
      </c>
      <c r="T5138" s="41">
        <v>0</v>
      </c>
      <c r="U5138" s="41">
        <v>0</v>
      </c>
      <c r="V5138" s="42" t="s">
        <v>113</v>
      </c>
      <c r="W5138" s="42">
        <v>0</v>
      </c>
      <c r="X5138" s="42">
        <v>0</v>
      </c>
    </row>
    <row r="5139" spans="1:24">
      <c r="A5139" s="27" t="s">
        <v>9498</v>
      </c>
      <c r="B5139" s="28" t="s">
        <v>5102</v>
      </c>
      <c r="C5139" s="27" t="s">
        <v>9499</v>
      </c>
      <c r="D5139" s="27" t="s">
        <v>5104</v>
      </c>
      <c r="E5139" s="29">
        <v>42234</v>
      </c>
      <c r="F5139" s="27">
        <v>15</v>
      </c>
      <c r="G5139" s="18">
        <v>30021.02</v>
      </c>
      <c r="H5139" s="27">
        <f t="shared" si="160"/>
        <v>0</v>
      </c>
      <c r="I5139" s="18">
        <v>7359.31</v>
      </c>
      <c r="J5139" s="27">
        <v>30021.02</v>
      </c>
      <c r="K5139" s="18">
        <f t="shared" si="161"/>
        <v>0</v>
      </c>
      <c r="L5139" s="27">
        <v>9173.08</v>
      </c>
      <c r="M5139" s="36">
        <v>1813.77</v>
      </c>
      <c r="T5139" s="41">
        <v>0</v>
      </c>
      <c r="U5139" s="41">
        <v>0</v>
      </c>
      <c r="V5139" s="42" t="s">
        <v>113</v>
      </c>
      <c r="W5139" s="42">
        <v>0</v>
      </c>
      <c r="X5139" s="42">
        <v>0</v>
      </c>
    </row>
    <row r="5140" spans="1:24">
      <c r="A5140" s="27" t="s">
        <v>9500</v>
      </c>
      <c r="B5140" s="28" t="s">
        <v>5102</v>
      </c>
      <c r="C5140" s="27" t="s">
        <v>9499</v>
      </c>
      <c r="D5140" s="27" t="s">
        <v>5104</v>
      </c>
      <c r="E5140" s="29">
        <v>42234</v>
      </c>
      <c r="F5140" s="27">
        <v>15</v>
      </c>
      <c r="G5140" s="18">
        <v>58637.55</v>
      </c>
      <c r="H5140" s="27">
        <f t="shared" si="160"/>
        <v>0</v>
      </c>
      <c r="I5140" s="18">
        <v>14374.35</v>
      </c>
      <c r="J5140" s="27">
        <v>58637.55</v>
      </c>
      <c r="K5140" s="18">
        <f t="shared" si="161"/>
        <v>0</v>
      </c>
      <c r="L5140" s="27">
        <v>17917.03</v>
      </c>
      <c r="M5140" s="36">
        <v>3542.68</v>
      </c>
      <c r="T5140" s="41">
        <v>0</v>
      </c>
      <c r="U5140" s="41">
        <v>0</v>
      </c>
      <c r="V5140" s="42" t="s">
        <v>113</v>
      </c>
      <c r="W5140" s="42">
        <v>0</v>
      </c>
      <c r="X5140" s="42">
        <v>0</v>
      </c>
    </row>
    <row r="5141" spans="1:24">
      <c r="A5141" s="27" t="s">
        <v>9501</v>
      </c>
      <c r="B5141" s="28" t="s">
        <v>5102</v>
      </c>
      <c r="C5141" s="27" t="s">
        <v>9502</v>
      </c>
      <c r="D5141" s="27" t="s">
        <v>5104</v>
      </c>
      <c r="E5141" s="29">
        <v>42234</v>
      </c>
      <c r="F5141" s="27">
        <v>15</v>
      </c>
      <c r="G5141" s="18">
        <v>34117.449999999997</v>
      </c>
      <c r="H5141" s="27">
        <f t="shared" si="160"/>
        <v>0</v>
      </c>
      <c r="I5141" s="18">
        <v>8363.51</v>
      </c>
      <c r="J5141" s="27">
        <v>34117.449999999997</v>
      </c>
      <c r="K5141" s="18">
        <f t="shared" si="161"/>
        <v>0</v>
      </c>
      <c r="L5141" s="27">
        <v>10424.77</v>
      </c>
      <c r="M5141" s="36">
        <v>2061.2600000000002</v>
      </c>
      <c r="T5141" s="41">
        <v>0</v>
      </c>
      <c r="U5141" s="41">
        <v>0</v>
      </c>
      <c r="V5141" s="42" t="s">
        <v>113</v>
      </c>
      <c r="W5141" s="42">
        <v>0</v>
      </c>
      <c r="X5141" s="42">
        <v>0</v>
      </c>
    </row>
    <row r="5142" spans="1:24">
      <c r="A5142" s="27" t="s">
        <v>9503</v>
      </c>
      <c r="B5142" s="28" t="s">
        <v>5102</v>
      </c>
      <c r="C5142" s="27" t="s">
        <v>9504</v>
      </c>
      <c r="D5142" s="27" t="s">
        <v>230</v>
      </c>
      <c r="E5142" s="29">
        <v>42369</v>
      </c>
      <c r="F5142" s="27">
        <v>15</v>
      </c>
      <c r="G5142" s="18">
        <v>6356.43</v>
      </c>
      <c r="H5142" s="27">
        <f t="shared" si="160"/>
        <v>0</v>
      </c>
      <c r="I5142" s="18">
        <v>1393.53</v>
      </c>
      <c r="J5142" s="27">
        <v>6356.43</v>
      </c>
      <c r="K5142" s="18">
        <f t="shared" si="161"/>
        <v>0</v>
      </c>
      <c r="L5142" s="27">
        <v>1780.62</v>
      </c>
      <c r="M5142" s="36">
        <v>387.09</v>
      </c>
      <c r="T5142" s="41">
        <v>0</v>
      </c>
      <c r="U5142" s="41">
        <v>0</v>
      </c>
      <c r="V5142" s="42" t="s">
        <v>113</v>
      </c>
      <c r="W5142" s="42">
        <v>0</v>
      </c>
      <c r="X5142" s="42">
        <v>0</v>
      </c>
    </row>
    <row r="5143" spans="1:24">
      <c r="A5143" s="27" t="s">
        <v>9505</v>
      </c>
      <c r="B5143" s="28" t="s">
        <v>5102</v>
      </c>
      <c r="C5143" s="27" t="s">
        <v>9506</v>
      </c>
      <c r="D5143" s="27" t="s">
        <v>230</v>
      </c>
      <c r="E5143" s="29">
        <v>42369</v>
      </c>
      <c r="F5143" s="27">
        <v>15</v>
      </c>
      <c r="G5143" s="18">
        <v>14639.06</v>
      </c>
      <c r="H5143" s="27">
        <f t="shared" si="160"/>
        <v>0</v>
      </c>
      <c r="I5143" s="18">
        <v>3209.34</v>
      </c>
      <c r="J5143" s="27">
        <v>14639.06</v>
      </c>
      <c r="K5143" s="18">
        <f t="shared" si="161"/>
        <v>0</v>
      </c>
      <c r="L5143" s="27">
        <v>4100.82</v>
      </c>
      <c r="M5143" s="36">
        <v>891.48</v>
      </c>
      <c r="T5143" s="41">
        <v>0</v>
      </c>
      <c r="U5143" s="41">
        <v>0</v>
      </c>
      <c r="V5143" s="42" t="s">
        <v>113</v>
      </c>
      <c r="W5143" s="42">
        <v>0</v>
      </c>
      <c r="X5143" s="42">
        <v>0</v>
      </c>
    </row>
    <row r="5144" spans="1:24">
      <c r="A5144" s="27" t="s">
        <v>9507</v>
      </c>
      <c r="B5144" s="28" t="s">
        <v>5102</v>
      </c>
      <c r="C5144" s="27" t="s">
        <v>9508</v>
      </c>
      <c r="D5144" s="27" t="s">
        <v>230</v>
      </c>
      <c r="E5144" s="29">
        <v>42369</v>
      </c>
      <c r="F5144" s="27">
        <v>15</v>
      </c>
      <c r="G5144" s="18">
        <v>50273.599999999999</v>
      </c>
      <c r="H5144" s="27">
        <f t="shared" si="160"/>
        <v>0</v>
      </c>
      <c r="I5144" s="18">
        <v>11021.51</v>
      </c>
      <c r="J5144" s="27">
        <v>50273.599999999999</v>
      </c>
      <c r="K5144" s="18">
        <f t="shared" si="161"/>
        <v>0</v>
      </c>
      <c r="L5144" s="27">
        <v>14083.04</v>
      </c>
      <c r="M5144" s="36">
        <v>3061.53</v>
      </c>
      <c r="T5144" s="41">
        <v>0</v>
      </c>
      <c r="U5144" s="41">
        <v>0</v>
      </c>
      <c r="V5144" s="42" t="s">
        <v>113</v>
      </c>
      <c r="W5144" s="42">
        <v>0</v>
      </c>
      <c r="X5144" s="42">
        <v>0</v>
      </c>
    </row>
    <row r="5145" spans="1:24">
      <c r="A5145" s="27" t="s">
        <v>9509</v>
      </c>
      <c r="B5145" s="28" t="s">
        <v>5102</v>
      </c>
      <c r="C5145" s="27" t="s">
        <v>9510</v>
      </c>
      <c r="D5145" s="27" t="s">
        <v>230</v>
      </c>
      <c r="E5145" s="29">
        <v>42369</v>
      </c>
      <c r="F5145" s="27">
        <v>15</v>
      </c>
      <c r="G5145" s="18">
        <v>21477.03</v>
      </c>
      <c r="H5145" s="27">
        <f t="shared" si="160"/>
        <v>0</v>
      </c>
      <c r="I5145" s="18">
        <v>4708.43</v>
      </c>
      <c r="J5145" s="27">
        <v>21477.03</v>
      </c>
      <c r="K5145" s="18">
        <f t="shared" si="161"/>
        <v>0</v>
      </c>
      <c r="L5145" s="27">
        <v>6016.33</v>
      </c>
      <c r="M5145" s="36">
        <v>1307.9000000000001</v>
      </c>
      <c r="T5145" s="41">
        <v>0</v>
      </c>
      <c r="U5145" s="41">
        <v>0</v>
      </c>
      <c r="V5145" s="42" t="s">
        <v>113</v>
      </c>
      <c r="W5145" s="42">
        <v>0</v>
      </c>
      <c r="X5145" s="42">
        <v>0</v>
      </c>
    </row>
    <row r="5146" spans="1:24">
      <c r="A5146" s="27" t="s">
        <v>9511</v>
      </c>
      <c r="B5146" s="28" t="s">
        <v>5102</v>
      </c>
      <c r="C5146" s="27" t="s">
        <v>9512</v>
      </c>
      <c r="D5146" s="27" t="s">
        <v>230</v>
      </c>
      <c r="E5146" s="29">
        <v>42369</v>
      </c>
      <c r="F5146" s="27">
        <v>15</v>
      </c>
      <c r="G5146" s="18">
        <v>18530.939999999999</v>
      </c>
      <c r="H5146" s="27">
        <f t="shared" si="160"/>
        <v>0</v>
      </c>
      <c r="I5146" s="18">
        <v>4062.55</v>
      </c>
      <c r="J5146" s="27">
        <v>18530.939999999999</v>
      </c>
      <c r="K5146" s="18">
        <f t="shared" si="161"/>
        <v>0</v>
      </c>
      <c r="L5146" s="27">
        <v>5191.04</v>
      </c>
      <c r="M5146" s="36">
        <v>1128.49</v>
      </c>
      <c r="T5146" s="41">
        <v>0</v>
      </c>
      <c r="U5146" s="41">
        <v>0</v>
      </c>
      <c r="V5146" s="42" t="s">
        <v>113</v>
      </c>
      <c r="W5146" s="42">
        <v>0</v>
      </c>
      <c r="X5146" s="42">
        <v>0</v>
      </c>
    </row>
    <row r="5147" spans="1:24">
      <c r="A5147" s="27" t="s">
        <v>9513</v>
      </c>
      <c r="B5147" s="28" t="s">
        <v>5102</v>
      </c>
      <c r="C5147" s="27" t="s">
        <v>9514</v>
      </c>
      <c r="D5147" s="27" t="s">
        <v>230</v>
      </c>
      <c r="E5147" s="29">
        <v>42369</v>
      </c>
      <c r="F5147" s="27">
        <v>15</v>
      </c>
      <c r="G5147" s="18">
        <v>29386.68</v>
      </c>
      <c r="H5147" s="27">
        <f t="shared" si="160"/>
        <v>0</v>
      </c>
      <c r="I5147" s="18">
        <v>6442.47</v>
      </c>
      <c r="J5147" s="27">
        <v>29386.68</v>
      </c>
      <c r="K5147" s="18">
        <f t="shared" si="161"/>
        <v>0</v>
      </c>
      <c r="L5147" s="27">
        <v>8232.0400000000009</v>
      </c>
      <c r="M5147" s="36">
        <v>1789.57</v>
      </c>
      <c r="T5147" s="41">
        <v>0</v>
      </c>
      <c r="U5147" s="41">
        <v>0</v>
      </c>
      <c r="V5147" s="42" t="s">
        <v>113</v>
      </c>
      <c r="W5147" s="42">
        <v>0</v>
      </c>
      <c r="X5147" s="42">
        <v>0</v>
      </c>
    </row>
    <row r="5148" spans="1:24">
      <c r="A5148" s="27" t="s">
        <v>9515</v>
      </c>
      <c r="B5148" s="28" t="s">
        <v>5102</v>
      </c>
      <c r="C5148" s="27" t="s">
        <v>9516</v>
      </c>
      <c r="D5148" s="27" t="s">
        <v>230</v>
      </c>
      <c r="E5148" s="29">
        <v>42369</v>
      </c>
      <c r="F5148" s="27">
        <v>15</v>
      </c>
      <c r="G5148" s="18">
        <v>21001.82</v>
      </c>
      <c r="H5148" s="27">
        <f t="shared" si="160"/>
        <v>0</v>
      </c>
      <c r="I5148" s="18">
        <v>4604.24</v>
      </c>
      <c r="J5148" s="27">
        <v>21001.82</v>
      </c>
      <c r="K5148" s="18">
        <f t="shared" si="161"/>
        <v>0</v>
      </c>
      <c r="L5148" s="27">
        <v>5883.2</v>
      </c>
      <c r="M5148" s="36">
        <v>1278.96</v>
      </c>
      <c r="T5148" s="41">
        <v>0</v>
      </c>
      <c r="U5148" s="41">
        <v>0</v>
      </c>
      <c r="V5148" s="42" t="s">
        <v>113</v>
      </c>
      <c r="W5148" s="42">
        <v>0</v>
      </c>
      <c r="X5148" s="42">
        <v>0</v>
      </c>
    </row>
    <row r="5149" spans="1:24">
      <c r="A5149" s="27" t="s">
        <v>9517</v>
      </c>
      <c r="B5149" s="28" t="s">
        <v>5102</v>
      </c>
      <c r="C5149" s="27" t="s">
        <v>9518</v>
      </c>
      <c r="D5149" s="27" t="s">
        <v>230</v>
      </c>
      <c r="E5149" s="29">
        <v>42370</v>
      </c>
      <c r="F5149" s="27">
        <v>15</v>
      </c>
      <c r="G5149" s="18">
        <v>753398.89</v>
      </c>
      <c r="H5149" s="27">
        <f t="shared" si="160"/>
        <v>0</v>
      </c>
      <c r="I5149" s="18">
        <v>161339.9</v>
      </c>
      <c r="J5149" s="27">
        <v>753398.89</v>
      </c>
      <c r="K5149" s="18">
        <f t="shared" si="161"/>
        <v>0</v>
      </c>
      <c r="L5149" s="27">
        <v>207538.99</v>
      </c>
      <c r="M5149" s="36">
        <v>46199.09</v>
      </c>
      <c r="T5149" s="41">
        <v>0</v>
      </c>
      <c r="U5149" s="41">
        <v>0</v>
      </c>
      <c r="V5149" s="42" t="s">
        <v>113</v>
      </c>
      <c r="W5149" s="42">
        <v>0</v>
      </c>
      <c r="X5149" s="42">
        <v>0</v>
      </c>
    </row>
    <row r="5150" spans="1:24">
      <c r="A5150" s="27" t="s">
        <v>9519</v>
      </c>
      <c r="B5150" s="28" t="s">
        <v>5102</v>
      </c>
      <c r="C5150" s="27" t="s">
        <v>9520</v>
      </c>
      <c r="D5150" s="27" t="s">
        <v>5104</v>
      </c>
      <c r="E5150" s="29">
        <v>41547</v>
      </c>
      <c r="F5150" s="27">
        <v>15</v>
      </c>
      <c r="G5150" s="18">
        <v>471940.71</v>
      </c>
      <c r="H5150" s="27">
        <f t="shared" si="160"/>
        <v>0</v>
      </c>
      <c r="I5150" s="18">
        <v>123858.83</v>
      </c>
      <c r="J5150" s="27">
        <v>471940.71</v>
      </c>
      <c r="K5150" s="18">
        <f t="shared" si="161"/>
        <v>0</v>
      </c>
      <c r="L5150" s="27">
        <v>157426.23000000001</v>
      </c>
      <c r="M5150" s="36">
        <v>33567.4</v>
      </c>
      <c r="T5150" s="41">
        <v>0</v>
      </c>
      <c r="U5150" s="41">
        <v>0</v>
      </c>
      <c r="V5150" s="42" t="s">
        <v>113</v>
      </c>
      <c r="W5150" s="42">
        <v>0</v>
      </c>
      <c r="X5150" s="42">
        <v>0</v>
      </c>
    </row>
    <row r="5151" spans="1:24">
      <c r="A5151" s="27" t="s">
        <v>9521</v>
      </c>
      <c r="B5151" s="28" t="s">
        <v>5102</v>
      </c>
      <c r="C5151" s="27" t="s">
        <v>9522</v>
      </c>
      <c r="D5151" s="27" t="s">
        <v>230</v>
      </c>
      <c r="E5151" s="29">
        <v>41547</v>
      </c>
      <c r="F5151" s="27">
        <v>15</v>
      </c>
      <c r="G5151" s="18">
        <v>30301.49</v>
      </c>
      <c r="H5151" s="27">
        <f t="shared" si="160"/>
        <v>0</v>
      </c>
      <c r="I5151" s="18">
        <v>7952.5</v>
      </c>
      <c r="J5151" s="27">
        <v>30301.49</v>
      </c>
      <c r="K5151" s="18">
        <f t="shared" si="161"/>
        <v>0</v>
      </c>
      <c r="L5151" s="27">
        <v>10107.73</v>
      </c>
      <c r="M5151" s="36">
        <v>2155.23</v>
      </c>
      <c r="T5151" s="41">
        <v>0</v>
      </c>
      <c r="U5151" s="41">
        <v>0</v>
      </c>
      <c r="V5151" s="42" t="s">
        <v>113</v>
      </c>
      <c r="W5151" s="42">
        <v>0</v>
      </c>
      <c r="X5151" s="42">
        <v>0</v>
      </c>
    </row>
    <row r="5152" spans="1:24">
      <c r="A5152" s="27" t="s">
        <v>9523</v>
      </c>
      <c r="B5152" s="28" t="s">
        <v>5102</v>
      </c>
      <c r="C5152" s="27" t="s">
        <v>9524</v>
      </c>
      <c r="D5152" s="27" t="s">
        <v>230</v>
      </c>
      <c r="E5152" s="29">
        <v>41547</v>
      </c>
      <c r="F5152" s="27">
        <v>15</v>
      </c>
      <c r="G5152" s="18">
        <v>17625.43</v>
      </c>
      <c r="H5152" s="27">
        <f t="shared" si="160"/>
        <v>0</v>
      </c>
      <c r="I5152" s="18">
        <v>4625.71</v>
      </c>
      <c r="J5152" s="27">
        <v>17625.43</v>
      </c>
      <c r="K5152" s="18">
        <f t="shared" si="161"/>
        <v>0</v>
      </c>
      <c r="L5152" s="27">
        <v>5879.34</v>
      </c>
      <c r="M5152" s="36">
        <v>1253.6300000000001</v>
      </c>
      <c r="T5152" s="41">
        <v>0</v>
      </c>
      <c r="U5152" s="41">
        <v>0</v>
      </c>
      <c r="V5152" s="42" t="s">
        <v>113</v>
      </c>
      <c r="W5152" s="42">
        <v>0</v>
      </c>
      <c r="X5152" s="42">
        <v>0</v>
      </c>
    </row>
    <row r="5153" spans="1:24">
      <c r="A5153" s="27" t="s">
        <v>9525</v>
      </c>
      <c r="B5153" s="28" t="s">
        <v>5102</v>
      </c>
      <c r="C5153" s="27" t="s">
        <v>9526</v>
      </c>
      <c r="D5153" s="27" t="s">
        <v>230</v>
      </c>
      <c r="E5153" s="29">
        <v>41547</v>
      </c>
      <c r="F5153" s="27">
        <v>15</v>
      </c>
      <c r="G5153" s="18">
        <v>41965.32</v>
      </c>
      <c r="H5153" s="27">
        <f t="shared" si="160"/>
        <v>0</v>
      </c>
      <c r="I5153" s="18">
        <v>11013.62</v>
      </c>
      <c r="J5153" s="27">
        <v>41965.32</v>
      </c>
      <c r="K5153" s="18">
        <f t="shared" si="161"/>
        <v>0</v>
      </c>
      <c r="L5153" s="27">
        <v>13998.46</v>
      </c>
      <c r="M5153" s="36">
        <v>2984.84</v>
      </c>
      <c r="T5153" s="41">
        <v>0</v>
      </c>
      <c r="U5153" s="41">
        <v>0</v>
      </c>
      <c r="V5153" s="42" t="s">
        <v>113</v>
      </c>
      <c r="W5153" s="42">
        <v>0</v>
      </c>
      <c r="X5153" s="42">
        <v>0</v>
      </c>
    </row>
    <row r="5154" spans="1:24">
      <c r="A5154" s="27" t="s">
        <v>9527</v>
      </c>
      <c r="B5154" s="28" t="s">
        <v>5102</v>
      </c>
      <c r="C5154" s="27" t="s">
        <v>9528</v>
      </c>
      <c r="D5154" s="27" t="s">
        <v>5104</v>
      </c>
      <c r="E5154" s="29">
        <v>41547</v>
      </c>
      <c r="F5154" s="27">
        <v>15</v>
      </c>
      <c r="G5154" s="18">
        <v>134830.57999999999</v>
      </c>
      <c r="H5154" s="27">
        <f t="shared" si="160"/>
        <v>0</v>
      </c>
      <c r="I5154" s="18">
        <v>35385.71</v>
      </c>
      <c r="J5154" s="27">
        <v>134830.57999999999</v>
      </c>
      <c r="K5154" s="18">
        <f t="shared" si="161"/>
        <v>0</v>
      </c>
      <c r="L5154" s="27">
        <v>44975.71</v>
      </c>
      <c r="M5154" s="36">
        <v>9590</v>
      </c>
      <c r="T5154" s="41">
        <v>0</v>
      </c>
      <c r="U5154" s="41">
        <v>0</v>
      </c>
      <c r="V5154" s="42" t="s">
        <v>113</v>
      </c>
      <c r="W5154" s="42">
        <v>0</v>
      </c>
      <c r="X5154" s="42">
        <v>0</v>
      </c>
    </row>
    <row r="5155" spans="1:24">
      <c r="A5155" s="27" t="s">
        <v>9529</v>
      </c>
      <c r="B5155" s="28" t="s">
        <v>5102</v>
      </c>
      <c r="C5155" s="27" t="s">
        <v>9530</v>
      </c>
      <c r="D5155" s="27" t="s">
        <v>5104</v>
      </c>
      <c r="E5155" s="29">
        <v>41547</v>
      </c>
      <c r="F5155" s="27">
        <v>15</v>
      </c>
      <c r="G5155" s="18">
        <v>347541.78</v>
      </c>
      <c r="H5155" s="27">
        <f t="shared" si="160"/>
        <v>0</v>
      </c>
      <c r="I5155" s="18">
        <v>91210.86</v>
      </c>
      <c r="J5155" s="27">
        <v>347541.78</v>
      </c>
      <c r="K5155" s="18">
        <f t="shared" si="161"/>
        <v>0</v>
      </c>
      <c r="L5155" s="27">
        <v>115930.22</v>
      </c>
      <c r="M5155" s="36">
        <v>24719.360000000001</v>
      </c>
      <c r="T5155" s="41">
        <v>0</v>
      </c>
      <c r="U5155" s="41">
        <v>0</v>
      </c>
      <c r="V5155" s="42" t="s">
        <v>113</v>
      </c>
      <c r="W5155" s="42">
        <v>0</v>
      </c>
      <c r="X5155" s="42">
        <v>0</v>
      </c>
    </row>
    <row r="5156" spans="1:24">
      <c r="A5156" s="27" t="s">
        <v>9531</v>
      </c>
      <c r="B5156" s="28" t="s">
        <v>5102</v>
      </c>
      <c r="C5156" s="27" t="s">
        <v>9532</v>
      </c>
      <c r="D5156" s="27" t="s">
        <v>230</v>
      </c>
      <c r="E5156" s="29">
        <v>43101</v>
      </c>
      <c r="F5156" s="27">
        <v>15</v>
      </c>
      <c r="G5156" s="18">
        <v>762728.37</v>
      </c>
      <c r="H5156" s="27">
        <f t="shared" si="160"/>
        <v>0</v>
      </c>
      <c r="I5156" s="18">
        <v>44280.62</v>
      </c>
      <c r="J5156" s="27">
        <v>762728.37</v>
      </c>
      <c r="K5156" s="18">
        <f t="shared" si="161"/>
        <v>0</v>
      </c>
      <c r="L5156" s="27">
        <v>92586.75</v>
      </c>
      <c r="M5156" s="36">
        <v>48306.13</v>
      </c>
      <c r="T5156" s="41">
        <v>0</v>
      </c>
      <c r="U5156" s="41">
        <v>0</v>
      </c>
      <c r="V5156" s="42" t="s">
        <v>113</v>
      </c>
      <c r="W5156" s="42">
        <v>0</v>
      </c>
      <c r="X5156" s="42">
        <v>0</v>
      </c>
    </row>
    <row r="5157" spans="1:24">
      <c r="A5157" s="27" t="s">
        <v>9533</v>
      </c>
      <c r="B5157" s="28" t="s">
        <v>5102</v>
      </c>
      <c r="C5157" s="27" t="s">
        <v>8903</v>
      </c>
      <c r="D5157" s="27" t="s">
        <v>230</v>
      </c>
      <c r="E5157" s="29">
        <v>39539</v>
      </c>
      <c r="F5157" s="27">
        <v>15</v>
      </c>
      <c r="G5157" s="18">
        <v>749135.98</v>
      </c>
      <c r="H5157" s="27">
        <f t="shared" si="160"/>
        <v>0</v>
      </c>
      <c r="I5157" s="18">
        <v>601279.85</v>
      </c>
      <c r="J5157" s="27">
        <v>749135.98</v>
      </c>
      <c r="K5157" s="18">
        <f t="shared" si="161"/>
        <v>0</v>
      </c>
      <c r="L5157" s="27">
        <v>626756.62</v>
      </c>
      <c r="M5157" s="36">
        <v>25476.77</v>
      </c>
      <c r="T5157" s="41">
        <v>0</v>
      </c>
      <c r="U5157" s="41">
        <v>0</v>
      </c>
      <c r="V5157" s="42" t="s">
        <v>113</v>
      </c>
      <c r="W5157" s="42">
        <v>0</v>
      </c>
      <c r="X5157" s="42">
        <v>0</v>
      </c>
    </row>
    <row r="5158" spans="1:24">
      <c r="A5158" s="27" t="s">
        <v>9534</v>
      </c>
      <c r="B5158" s="28" t="s">
        <v>5102</v>
      </c>
      <c r="C5158" s="27" t="s">
        <v>9535</v>
      </c>
      <c r="D5158" s="27" t="s">
        <v>230</v>
      </c>
      <c r="E5158" s="29">
        <v>43189</v>
      </c>
      <c r="F5158" s="27">
        <v>15</v>
      </c>
      <c r="G5158" s="18">
        <v>1540747.3</v>
      </c>
      <c r="H5158" s="27">
        <f t="shared" si="160"/>
        <v>0</v>
      </c>
      <c r="I5158" s="18">
        <v>73126.31</v>
      </c>
      <c r="J5158" s="27">
        <v>1540747.3</v>
      </c>
      <c r="K5158" s="18">
        <f t="shared" si="161"/>
        <v>0</v>
      </c>
      <c r="L5158" s="27">
        <v>170711.13</v>
      </c>
      <c r="M5158" s="36">
        <v>97584.82</v>
      </c>
      <c r="T5158" s="41">
        <v>0</v>
      </c>
      <c r="U5158" s="41">
        <v>0</v>
      </c>
      <c r="V5158" s="42" t="s">
        <v>113</v>
      </c>
      <c r="W5158" s="42">
        <v>0</v>
      </c>
      <c r="X5158" s="42">
        <v>0</v>
      </c>
    </row>
    <row r="5159" spans="1:24">
      <c r="A5159" s="27" t="s">
        <v>9536</v>
      </c>
      <c r="B5159" s="28" t="s">
        <v>5102</v>
      </c>
      <c r="C5159" s="27" t="s">
        <v>9537</v>
      </c>
      <c r="D5159" s="27" t="s">
        <v>230</v>
      </c>
      <c r="E5159" s="29">
        <v>40843</v>
      </c>
      <c r="F5159" s="27">
        <v>15</v>
      </c>
      <c r="G5159" s="18">
        <v>1118378.1399999999</v>
      </c>
      <c r="H5159" s="27">
        <f t="shared" si="160"/>
        <v>0</v>
      </c>
      <c r="I5159" s="18">
        <v>638944.77</v>
      </c>
      <c r="J5159" s="27">
        <v>1118378.1399999999</v>
      </c>
      <c r="K5159" s="18">
        <f t="shared" si="161"/>
        <v>0</v>
      </c>
      <c r="L5159" s="27">
        <v>693010.45</v>
      </c>
      <c r="M5159" s="36">
        <v>54065.68</v>
      </c>
      <c r="T5159" s="41">
        <v>0</v>
      </c>
      <c r="U5159" s="41">
        <v>0</v>
      </c>
      <c r="V5159" s="42" t="s">
        <v>113</v>
      </c>
      <c r="W5159" s="42">
        <v>0</v>
      </c>
      <c r="X5159" s="42">
        <v>0</v>
      </c>
    </row>
    <row r="5160" spans="1:24">
      <c r="A5160" s="27" t="s">
        <v>9538</v>
      </c>
      <c r="B5160" s="28" t="s">
        <v>5102</v>
      </c>
      <c r="C5160" s="27" t="s">
        <v>9539</v>
      </c>
      <c r="D5160" s="27" t="s">
        <v>230</v>
      </c>
      <c r="E5160" s="29">
        <v>39539</v>
      </c>
      <c r="F5160" s="27">
        <v>15</v>
      </c>
      <c r="G5160" s="18">
        <v>898395.65</v>
      </c>
      <c r="H5160" s="27">
        <f t="shared" si="160"/>
        <v>0</v>
      </c>
      <c r="I5160" s="18">
        <v>740161.04</v>
      </c>
      <c r="J5160" s="27">
        <v>898395.65</v>
      </c>
      <c r="K5160" s="18">
        <f t="shared" si="161"/>
        <v>0</v>
      </c>
      <c r="L5160" s="27">
        <v>766310.62</v>
      </c>
      <c r="M5160" s="36">
        <v>26149.58</v>
      </c>
      <c r="T5160" s="41">
        <v>0</v>
      </c>
      <c r="U5160" s="41">
        <v>0</v>
      </c>
      <c r="V5160" s="42" t="s">
        <v>113</v>
      </c>
      <c r="W5160" s="42">
        <v>0</v>
      </c>
      <c r="X5160" s="42">
        <v>0</v>
      </c>
    </row>
    <row r="5161" spans="1:24">
      <c r="A5161" s="27" t="s">
        <v>9540</v>
      </c>
      <c r="B5161" s="28" t="s">
        <v>5102</v>
      </c>
      <c r="C5161" s="27" t="s">
        <v>9541</v>
      </c>
      <c r="D5161" s="27" t="s">
        <v>230</v>
      </c>
      <c r="E5161" s="29">
        <v>40843</v>
      </c>
      <c r="F5161" s="27">
        <v>15</v>
      </c>
      <c r="G5161" s="18">
        <v>217536.4</v>
      </c>
      <c r="H5161" s="27">
        <f t="shared" si="160"/>
        <v>0</v>
      </c>
      <c r="I5161" s="18">
        <v>53578.66</v>
      </c>
      <c r="J5161" s="27">
        <v>338289.63</v>
      </c>
      <c r="K5161" s="18">
        <f t="shared" si="161"/>
        <v>0</v>
      </c>
      <c r="L5161" s="27">
        <v>80942.42</v>
      </c>
      <c r="M5161" s="36">
        <v>27363.759999999998</v>
      </c>
      <c r="N5161" s="18" t="s">
        <v>123</v>
      </c>
      <c r="O5161" s="19">
        <v>120753.23</v>
      </c>
      <c r="T5161" s="41">
        <v>0</v>
      </c>
      <c r="U5161" s="41">
        <v>0</v>
      </c>
      <c r="V5161" s="42" t="s">
        <v>113</v>
      </c>
      <c r="W5161" s="42">
        <v>0</v>
      </c>
      <c r="X5161" s="42">
        <v>0</v>
      </c>
    </row>
    <row r="5162" spans="1:24">
      <c r="A5162" s="27" t="s">
        <v>9542</v>
      </c>
      <c r="B5162" s="28" t="s">
        <v>5102</v>
      </c>
      <c r="C5162" s="27" t="s">
        <v>9543</v>
      </c>
      <c r="D5162" s="27" t="s">
        <v>230</v>
      </c>
      <c r="E5162" s="29">
        <v>40843</v>
      </c>
      <c r="F5162" s="27">
        <v>15</v>
      </c>
      <c r="G5162" s="18">
        <v>840338.37</v>
      </c>
      <c r="H5162" s="27">
        <f t="shared" si="160"/>
        <v>0</v>
      </c>
      <c r="I5162" s="18">
        <v>480908.9</v>
      </c>
      <c r="J5162" s="27">
        <v>840338.37</v>
      </c>
      <c r="K5162" s="18">
        <f t="shared" si="161"/>
        <v>0</v>
      </c>
      <c r="L5162" s="27">
        <v>521429.65</v>
      </c>
      <c r="M5162" s="36">
        <v>40520.75</v>
      </c>
      <c r="T5162" s="41">
        <v>0</v>
      </c>
      <c r="U5162" s="41">
        <v>0</v>
      </c>
      <c r="V5162" s="42" t="s">
        <v>113</v>
      </c>
      <c r="W5162" s="42">
        <v>0</v>
      </c>
      <c r="X5162" s="42">
        <v>0</v>
      </c>
    </row>
    <row r="5163" spans="1:24">
      <c r="A5163" s="27" t="s">
        <v>9544</v>
      </c>
      <c r="B5163" s="28" t="s">
        <v>5102</v>
      </c>
      <c r="C5163" s="27" t="s">
        <v>9545</v>
      </c>
      <c r="D5163" s="27" t="s">
        <v>230</v>
      </c>
      <c r="E5163" s="29">
        <v>39417</v>
      </c>
      <c r="F5163" s="27">
        <v>15</v>
      </c>
      <c r="G5163" s="18">
        <v>75060.37</v>
      </c>
      <c r="H5163" s="27">
        <f t="shared" si="160"/>
        <v>0</v>
      </c>
      <c r="I5163" s="18">
        <v>64018.93</v>
      </c>
      <c r="J5163" s="27">
        <v>75060.37</v>
      </c>
      <c r="K5163" s="18">
        <f t="shared" si="161"/>
        <v>0</v>
      </c>
      <c r="L5163" s="27">
        <v>65841.039999999994</v>
      </c>
      <c r="M5163" s="36">
        <v>1822.11</v>
      </c>
      <c r="T5163" s="41">
        <v>0</v>
      </c>
      <c r="U5163" s="41">
        <v>0</v>
      </c>
      <c r="V5163" s="42" t="s">
        <v>113</v>
      </c>
      <c r="W5163" s="42">
        <v>0</v>
      </c>
      <c r="X5163" s="42">
        <v>0</v>
      </c>
    </row>
    <row r="5164" spans="1:24">
      <c r="A5164" s="27" t="s">
        <v>9546</v>
      </c>
      <c r="B5164" s="28" t="s">
        <v>5102</v>
      </c>
      <c r="C5164" s="27" t="s">
        <v>9547</v>
      </c>
      <c r="D5164" s="27" t="s">
        <v>230</v>
      </c>
      <c r="E5164" s="29">
        <v>41729</v>
      </c>
      <c r="F5164" s="27">
        <v>15</v>
      </c>
      <c r="G5164" s="18">
        <v>18268.52</v>
      </c>
      <c r="H5164" s="27">
        <f t="shared" si="160"/>
        <v>0</v>
      </c>
      <c r="I5164" s="18">
        <v>6406.18</v>
      </c>
      <c r="J5164" s="27">
        <v>18268.52</v>
      </c>
      <c r="K5164" s="18">
        <f t="shared" si="161"/>
        <v>0</v>
      </c>
      <c r="L5164" s="27">
        <v>7483.12</v>
      </c>
      <c r="M5164" s="36">
        <v>1076.94</v>
      </c>
      <c r="T5164" s="41">
        <v>0</v>
      </c>
      <c r="U5164" s="41">
        <v>0</v>
      </c>
      <c r="V5164" s="42" t="s">
        <v>113</v>
      </c>
      <c r="W5164" s="42">
        <v>0</v>
      </c>
      <c r="X5164" s="42">
        <v>0</v>
      </c>
    </row>
    <row r="5165" spans="1:24">
      <c r="A5165" s="27" t="s">
        <v>9548</v>
      </c>
      <c r="B5165" s="28" t="s">
        <v>5102</v>
      </c>
      <c r="C5165" s="27" t="s">
        <v>9549</v>
      </c>
      <c r="D5165" s="27" t="s">
        <v>230</v>
      </c>
      <c r="E5165" s="29">
        <v>39417</v>
      </c>
      <c r="F5165" s="27">
        <v>15</v>
      </c>
      <c r="G5165" s="18">
        <v>182391.03</v>
      </c>
      <c r="H5165" s="27">
        <f t="shared" si="160"/>
        <v>0</v>
      </c>
      <c r="I5165" s="18">
        <v>155708.87</v>
      </c>
      <c r="J5165" s="27">
        <v>182391.03</v>
      </c>
      <c r="K5165" s="18">
        <f t="shared" si="161"/>
        <v>0</v>
      </c>
      <c r="L5165" s="27">
        <v>160099.51999999999</v>
      </c>
      <c r="M5165" s="36">
        <v>4390.6499999999996</v>
      </c>
      <c r="T5165" s="41">
        <v>0</v>
      </c>
      <c r="U5165" s="41">
        <v>0</v>
      </c>
      <c r="V5165" s="42" t="s">
        <v>113</v>
      </c>
      <c r="W5165" s="42">
        <v>0</v>
      </c>
      <c r="X5165" s="42">
        <v>0</v>
      </c>
    </row>
    <row r="5166" spans="1:24">
      <c r="A5166" s="27" t="s">
        <v>9550</v>
      </c>
      <c r="B5166" s="28" t="s">
        <v>5102</v>
      </c>
      <c r="C5166" s="27" t="s">
        <v>9551</v>
      </c>
      <c r="D5166" s="27" t="s">
        <v>230</v>
      </c>
      <c r="E5166" s="29">
        <v>40843</v>
      </c>
      <c r="F5166" s="27">
        <v>15</v>
      </c>
      <c r="G5166" s="18">
        <v>723944.06</v>
      </c>
      <c r="H5166" s="27">
        <f t="shared" si="160"/>
        <v>0</v>
      </c>
      <c r="I5166" s="18">
        <v>364707.62</v>
      </c>
      <c r="J5166" s="27">
        <v>723944.06</v>
      </c>
      <c r="K5166" s="18">
        <f t="shared" si="161"/>
        <v>0</v>
      </c>
      <c r="L5166" s="27">
        <v>405946.67</v>
      </c>
      <c r="M5166" s="36">
        <v>41239.050000000003</v>
      </c>
      <c r="T5166" s="41">
        <v>0</v>
      </c>
      <c r="U5166" s="41">
        <v>0</v>
      </c>
      <c r="V5166" s="42" t="s">
        <v>113</v>
      </c>
      <c r="W5166" s="42">
        <v>0</v>
      </c>
      <c r="X5166" s="42">
        <v>0</v>
      </c>
    </row>
    <row r="5167" spans="1:24">
      <c r="A5167" s="27" t="s">
        <v>9552</v>
      </c>
      <c r="B5167" s="28" t="s">
        <v>5102</v>
      </c>
      <c r="C5167" s="27" t="s">
        <v>9126</v>
      </c>
      <c r="D5167" s="27" t="s">
        <v>230</v>
      </c>
      <c r="E5167" s="29">
        <v>43008</v>
      </c>
      <c r="F5167" s="27">
        <v>15</v>
      </c>
      <c r="G5167" s="18">
        <v>278666.21000000002</v>
      </c>
      <c r="H5167" s="27">
        <f t="shared" si="160"/>
        <v>0</v>
      </c>
      <c r="I5167" s="18">
        <v>23089.35</v>
      </c>
      <c r="J5167" s="27">
        <v>278666.21000000002</v>
      </c>
      <c r="K5167" s="18">
        <f t="shared" si="161"/>
        <v>0</v>
      </c>
      <c r="L5167" s="27">
        <v>40663.43</v>
      </c>
      <c r="M5167" s="36">
        <v>17574.080000000002</v>
      </c>
      <c r="T5167" s="41">
        <v>0</v>
      </c>
      <c r="U5167" s="41">
        <v>0</v>
      </c>
      <c r="V5167" s="42" t="s">
        <v>113</v>
      </c>
      <c r="W5167" s="42">
        <v>0</v>
      </c>
      <c r="X5167" s="42">
        <v>0</v>
      </c>
    </row>
    <row r="5168" spans="1:24">
      <c r="A5168" s="27" t="s">
        <v>9553</v>
      </c>
      <c r="B5168" s="28" t="s">
        <v>5102</v>
      </c>
      <c r="C5168" s="27" t="s">
        <v>9554</v>
      </c>
      <c r="D5168" s="27" t="s">
        <v>230</v>
      </c>
      <c r="E5168" s="29">
        <v>43189</v>
      </c>
      <c r="F5168" s="27">
        <v>15</v>
      </c>
      <c r="G5168" s="18">
        <v>28478.58</v>
      </c>
      <c r="H5168" s="27">
        <f t="shared" si="160"/>
        <v>0</v>
      </c>
      <c r="I5168" s="18">
        <v>1351.6</v>
      </c>
      <c r="J5168" s="27">
        <v>28478.58</v>
      </c>
      <c r="K5168" s="18">
        <f t="shared" si="161"/>
        <v>0</v>
      </c>
      <c r="L5168" s="27">
        <v>3155.32</v>
      </c>
      <c r="M5168" s="36">
        <v>1803.72</v>
      </c>
      <c r="T5168" s="41">
        <v>0</v>
      </c>
      <c r="U5168" s="41">
        <v>0</v>
      </c>
      <c r="V5168" s="42" t="s">
        <v>113</v>
      </c>
      <c r="W5168" s="42">
        <v>0</v>
      </c>
      <c r="X5168" s="42">
        <v>0</v>
      </c>
    </row>
    <row r="5169" spans="1:24">
      <c r="A5169" s="27" t="s">
        <v>9555</v>
      </c>
      <c r="B5169" s="28" t="s">
        <v>5102</v>
      </c>
      <c r="C5169" s="27" t="s">
        <v>9556</v>
      </c>
      <c r="D5169" s="27" t="s">
        <v>230</v>
      </c>
      <c r="E5169" s="29">
        <v>42737</v>
      </c>
      <c r="F5169" s="27">
        <v>15</v>
      </c>
      <c r="G5169" s="18">
        <v>2129024.56</v>
      </c>
      <c r="H5169" s="27">
        <f t="shared" si="160"/>
        <v>0</v>
      </c>
      <c r="I5169" s="18">
        <v>161303.21</v>
      </c>
      <c r="J5169" s="27">
        <v>2129024.56</v>
      </c>
      <c r="K5169" s="18">
        <f t="shared" si="161"/>
        <v>0</v>
      </c>
      <c r="L5169" s="27">
        <v>303565.89</v>
      </c>
      <c r="M5169" s="36">
        <v>142262.68</v>
      </c>
      <c r="T5169" s="41">
        <v>0</v>
      </c>
      <c r="U5169" s="41">
        <v>0</v>
      </c>
      <c r="V5169" s="42" t="s">
        <v>113</v>
      </c>
      <c r="W5169" s="42">
        <v>0</v>
      </c>
      <c r="X5169" s="42">
        <v>0</v>
      </c>
    </row>
    <row r="5170" spans="1:24">
      <c r="A5170" s="27" t="s">
        <v>9557</v>
      </c>
      <c r="B5170" s="28" t="s">
        <v>5102</v>
      </c>
      <c r="C5170" s="27" t="s">
        <v>9558</v>
      </c>
      <c r="D5170" s="27" t="s">
        <v>230</v>
      </c>
      <c r="E5170" s="29">
        <v>40843</v>
      </c>
      <c r="F5170" s="27">
        <v>15</v>
      </c>
      <c r="G5170" s="18">
        <v>1042133.64</v>
      </c>
      <c r="H5170" s="27">
        <f t="shared" si="160"/>
        <v>0</v>
      </c>
      <c r="I5170" s="18">
        <v>602192.82999999996</v>
      </c>
      <c r="J5170" s="27">
        <v>1042133.64</v>
      </c>
      <c r="K5170" s="18">
        <f t="shared" si="161"/>
        <v>0</v>
      </c>
      <c r="L5170" s="27">
        <v>651703.56999999995</v>
      </c>
      <c r="M5170" s="36">
        <v>49510.74</v>
      </c>
      <c r="T5170" s="41">
        <v>0</v>
      </c>
      <c r="U5170" s="41">
        <v>0</v>
      </c>
      <c r="V5170" s="42" t="s">
        <v>113</v>
      </c>
      <c r="W5170" s="42">
        <v>0</v>
      </c>
      <c r="X5170" s="42">
        <v>0</v>
      </c>
    </row>
    <row r="5171" spans="1:24">
      <c r="A5171" s="27" t="s">
        <v>9559</v>
      </c>
      <c r="B5171" s="28" t="s">
        <v>5102</v>
      </c>
      <c r="C5171" s="27" t="s">
        <v>9560</v>
      </c>
      <c r="D5171" s="27" t="s">
        <v>230</v>
      </c>
      <c r="E5171" s="29">
        <v>43189</v>
      </c>
      <c r="F5171" s="27">
        <v>15</v>
      </c>
      <c r="G5171" s="18">
        <v>76245.570000000007</v>
      </c>
      <c r="H5171" s="27">
        <f t="shared" si="160"/>
        <v>0</v>
      </c>
      <c r="I5171" s="18">
        <v>3618.49</v>
      </c>
      <c r="J5171" s="27">
        <v>76245.570000000007</v>
      </c>
      <c r="K5171" s="18">
        <f t="shared" si="161"/>
        <v>0</v>
      </c>
      <c r="L5171" s="27">
        <v>8447.6</v>
      </c>
      <c r="M5171" s="36">
        <v>4829.1099999999997</v>
      </c>
      <c r="T5171" s="41">
        <v>0</v>
      </c>
      <c r="U5171" s="41">
        <v>0</v>
      </c>
      <c r="V5171" s="42" t="s">
        <v>113</v>
      </c>
      <c r="W5171" s="42">
        <v>0</v>
      </c>
      <c r="X5171" s="42">
        <v>0</v>
      </c>
    </row>
    <row r="5172" spans="1:24">
      <c r="A5172" s="27" t="s">
        <v>9561</v>
      </c>
      <c r="B5172" s="28" t="s">
        <v>5102</v>
      </c>
      <c r="C5172" s="27" t="s">
        <v>9562</v>
      </c>
      <c r="D5172" s="27" t="s">
        <v>230</v>
      </c>
      <c r="E5172" s="29">
        <v>43189</v>
      </c>
      <c r="F5172" s="27">
        <v>15</v>
      </c>
      <c r="G5172" s="18">
        <v>51902.11</v>
      </c>
      <c r="H5172" s="27">
        <f t="shared" si="160"/>
        <v>0</v>
      </c>
      <c r="I5172" s="18">
        <v>2463.19</v>
      </c>
      <c r="J5172" s="27">
        <v>51902.11</v>
      </c>
      <c r="K5172" s="18">
        <f t="shared" si="161"/>
        <v>0</v>
      </c>
      <c r="L5172" s="27">
        <v>5750.47</v>
      </c>
      <c r="M5172" s="36">
        <v>3287.28</v>
      </c>
      <c r="T5172" s="41">
        <v>0</v>
      </c>
      <c r="U5172" s="41">
        <v>0</v>
      </c>
      <c r="V5172" s="42" t="s">
        <v>113</v>
      </c>
      <c r="W5172" s="42">
        <v>0</v>
      </c>
      <c r="X5172" s="42">
        <v>0</v>
      </c>
    </row>
    <row r="5173" spans="1:24">
      <c r="A5173" s="27" t="s">
        <v>9563</v>
      </c>
      <c r="B5173" s="28" t="s">
        <v>5102</v>
      </c>
      <c r="C5173" s="27" t="s">
        <v>9564</v>
      </c>
      <c r="D5173" s="27" t="s">
        <v>230</v>
      </c>
      <c r="E5173" s="29">
        <v>43189</v>
      </c>
      <c r="F5173" s="27">
        <v>15</v>
      </c>
      <c r="G5173" s="18">
        <v>27328.99</v>
      </c>
      <c r="H5173" s="27">
        <f t="shared" si="160"/>
        <v>0</v>
      </c>
      <c r="I5173" s="18">
        <v>1296.99</v>
      </c>
      <c r="J5173" s="27">
        <v>27328.99</v>
      </c>
      <c r="K5173" s="18">
        <f t="shared" si="161"/>
        <v>0</v>
      </c>
      <c r="L5173" s="27">
        <v>3027.91</v>
      </c>
      <c r="M5173" s="36">
        <v>1730.92</v>
      </c>
      <c r="T5173" s="41">
        <v>0</v>
      </c>
      <c r="U5173" s="41">
        <v>0</v>
      </c>
      <c r="V5173" s="42" t="s">
        <v>113</v>
      </c>
      <c r="W5173" s="42">
        <v>0</v>
      </c>
      <c r="X5173" s="42">
        <v>0</v>
      </c>
    </row>
    <row r="5174" spans="1:24">
      <c r="A5174" s="27" t="s">
        <v>9565</v>
      </c>
      <c r="B5174" s="28" t="s">
        <v>5102</v>
      </c>
      <c r="C5174" s="27" t="s">
        <v>9566</v>
      </c>
      <c r="D5174" s="27" t="s">
        <v>230</v>
      </c>
      <c r="E5174" s="29">
        <v>42691</v>
      </c>
      <c r="F5174" s="27">
        <v>15</v>
      </c>
      <c r="G5174" s="18">
        <v>1337282.3</v>
      </c>
      <c r="H5174" s="27">
        <f t="shared" si="160"/>
        <v>0</v>
      </c>
      <c r="I5174" s="18">
        <v>185568.4</v>
      </c>
      <c r="J5174" s="27">
        <v>1337282.3</v>
      </c>
      <c r="K5174" s="18">
        <f t="shared" si="161"/>
        <v>0</v>
      </c>
      <c r="L5174" s="27">
        <v>269556.77</v>
      </c>
      <c r="M5174" s="36">
        <v>83988.37</v>
      </c>
      <c r="T5174" s="41">
        <v>0</v>
      </c>
      <c r="U5174" s="41">
        <v>0</v>
      </c>
      <c r="V5174" s="42" t="s">
        <v>113</v>
      </c>
      <c r="W5174" s="42">
        <v>0</v>
      </c>
      <c r="X5174" s="42">
        <v>0</v>
      </c>
    </row>
    <row r="5175" spans="1:24">
      <c r="A5175" s="27" t="s">
        <v>9567</v>
      </c>
      <c r="B5175" s="28" t="s">
        <v>5102</v>
      </c>
      <c r="C5175" s="27" t="s">
        <v>9568</v>
      </c>
      <c r="D5175" s="27" t="s">
        <v>230</v>
      </c>
      <c r="E5175" s="29">
        <v>37226</v>
      </c>
      <c r="F5175" s="27">
        <v>15</v>
      </c>
      <c r="G5175" s="18">
        <v>522264.25</v>
      </c>
      <c r="H5175" s="27">
        <f t="shared" si="160"/>
        <v>522264.25</v>
      </c>
      <c r="I5175" s="18">
        <v>496151.03999999998</v>
      </c>
      <c r="J5175" s="27">
        <v>522264.25</v>
      </c>
      <c r="K5175" s="18">
        <f t="shared" si="161"/>
        <v>522264.25</v>
      </c>
      <c r="L5175" s="27">
        <v>496151.03999999998</v>
      </c>
      <c r="M5175" s="36">
        <v>0</v>
      </c>
      <c r="T5175" s="41">
        <v>0</v>
      </c>
      <c r="U5175" s="41">
        <v>0</v>
      </c>
      <c r="V5175" s="42" t="s">
        <v>113</v>
      </c>
      <c r="W5175" s="42">
        <v>522264.25</v>
      </c>
      <c r="X5175" s="42">
        <v>522264.25</v>
      </c>
    </row>
    <row r="5176" spans="1:24">
      <c r="A5176" s="27" t="s">
        <v>9569</v>
      </c>
      <c r="B5176" s="28" t="s">
        <v>5102</v>
      </c>
      <c r="C5176" s="27" t="s">
        <v>9570</v>
      </c>
      <c r="D5176" s="27" t="s">
        <v>5104</v>
      </c>
      <c r="E5176" s="29">
        <v>42488</v>
      </c>
      <c r="F5176" s="27">
        <v>15</v>
      </c>
      <c r="G5176" s="18">
        <v>680511.5</v>
      </c>
      <c r="H5176" s="27">
        <f t="shared" si="160"/>
        <v>0</v>
      </c>
      <c r="I5176" s="18">
        <v>131541.93</v>
      </c>
      <c r="J5176" s="27">
        <v>680511.5</v>
      </c>
      <c r="K5176" s="18">
        <f t="shared" si="161"/>
        <v>0</v>
      </c>
      <c r="L5176" s="27">
        <v>173294.15</v>
      </c>
      <c r="M5176" s="36">
        <v>41752.22</v>
      </c>
      <c r="T5176" s="41">
        <v>0</v>
      </c>
      <c r="U5176" s="41">
        <v>0</v>
      </c>
      <c r="V5176" s="42" t="s">
        <v>113</v>
      </c>
      <c r="W5176" s="42">
        <v>0</v>
      </c>
      <c r="X5176" s="42">
        <v>0</v>
      </c>
    </row>
    <row r="5177" spans="1:24">
      <c r="A5177" s="27" t="s">
        <v>9571</v>
      </c>
      <c r="B5177" s="28" t="s">
        <v>5102</v>
      </c>
      <c r="C5177" s="27" t="s">
        <v>9572</v>
      </c>
      <c r="D5177" s="27" t="s">
        <v>5104</v>
      </c>
      <c r="E5177" s="29">
        <v>42510</v>
      </c>
      <c r="F5177" s="27">
        <v>15</v>
      </c>
      <c r="G5177" s="18">
        <v>53564.66</v>
      </c>
      <c r="H5177" s="27">
        <f t="shared" si="160"/>
        <v>0</v>
      </c>
      <c r="I5177" s="18">
        <v>10005.280000000001</v>
      </c>
      <c r="J5177" s="27">
        <v>53564.66</v>
      </c>
      <c r="K5177" s="18">
        <f t="shared" si="161"/>
        <v>0</v>
      </c>
      <c r="L5177" s="27">
        <v>13297.72</v>
      </c>
      <c r="M5177" s="36">
        <v>3292.44</v>
      </c>
      <c r="T5177" s="41">
        <v>0</v>
      </c>
      <c r="U5177" s="41">
        <v>0</v>
      </c>
      <c r="V5177" s="42" t="s">
        <v>113</v>
      </c>
      <c r="W5177" s="42">
        <v>0</v>
      </c>
      <c r="X5177" s="42">
        <v>0</v>
      </c>
    </row>
    <row r="5178" spans="1:24">
      <c r="A5178" s="27" t="s">
        <v>9573</v>
      </c>
      <c r="B5178" s="28" t="s">
        <v>5102</v>
      </c>
      <c r="C5178" s="27" t="s">
        <v>9572</v>
      </c>
      <c r="D5178" s="27" t="s">
        <v>5104</v>
      </c>
      <c r="E5178" s="29">
        <v>42510</v>
      </c>
      <c r="F5178" s="27">
        <v>15</v>
      </c>
      <c r="G5178" s="18">
        <v>11266.51</v>
      </c>
      <c r="H5178" s="27">
        <f t="shared" si="160"/>
        <v>0</v>
      </c>
      <c r="I5178" s="18">
        <v>2104.4499999999998</v>
      </c>
      <c r="J5178" s="27">
        <v>11266.51</v>
      </c>
      <c r="K5178" s="18">
        <f t="shared" si="161"/>
        <v>0</v>
      </c>
      <c r="L5178" s="27">
        <v>2796.97</v>
      </c>
      <c r="M5178" s="36">
        <v>692.52</v>
      </c>
      <c r="T5178" s="41">
        <v>0</v>
      </c>
      <c r="U5178" s="41">
        <v>0</v>
      </c>
      <c r="V5178" s="42" t="s">
        <v>113</v>
      </c>
      <c r="W5178" s="42">
        <v>0</v>
      </c>
      <c r="X5178" s="42">
        <v>0</v>
      </c>
    </row>
    <row r="5179" spans="1:24">
      <c r="A5179" s="27" t="s">
        <v>9574</v>
      </c>
      <c r="B5179" s="28" t="s">
        <v>5102</v>
      </c>
      <c r="C5179" s="27" t="s">
        <v>9575</v>
      </c>
      <c r="D5179" s="27" t="s">
        <v>5104</v>
      </c>
      <c r="E5179" s="29">
        <v>42510</v>
      </c>
      <c r="F5179" s="27">
        <v>15</v>
      </c>
      <c r="G5179" s="18">
        <v>104010.55</v>
      </c>
      <c r="H5179" s="27">
        <f t="shared" si="160"/>
        <v>0</v>
      </c>
      <c r="I5179" s="18">
        <v>19428.009999999998</v>
      </c>
      <c r="J5179" s="27">
        <v>104010.55</v>
      </c>
      <c r="K5179" s="18">
        <f t="shared" si="161"/>
        <v>0</v>
      </c>
      <c r="L5179" s="27">
        <v>25821.19</v>
      </c>
      <c r="M5179" s="36">
        <v>6393.18</v>
      </c>
      <c r="T5179" s="41">
        <v>0</v>
      </c>
      <c r="U5179" s="41">
        <v>0</v>
      </c>
      <c r="V5179" s="42" t="s">
        <v>113</v>
      </c>
      <c r="W5179" s="42">
        <v>0</v>
      </c>
      <c r="X5179" s="42">
        <v>0</v>
      </c>
    </row>
    <row r="5180" spans="1:24">
      <c r="A5180" s="27" t="s">
        <v>9576</v>
      </c>
      <c r="B5180" s="28" t="s">
        <v>5102</v>
      </c>
      <c r="C5180" s="27" t="s">
        <v>9577</v>
      </c>
      <c r="D5180" s="27" t="s">
        <v>5104</v>
      </c>
      <c r="E5180" s="29">
        <v>42510</v>
      </c>
      <c r="F5180" s="27">
        <v>15</v>
      </c>
      <c r="G5180" s="18">
        <v>103688.77</v>
      </c>
      <c r="H5180" s="27">
        <f t="shared" si="160"/>
        <v>0</v>
      </c>
      <c r="I5180" s="18">
        <v>19367.900000000001</v>
      </c>
      <c r="J5180" s="27">
        <v>103688.77</v>
      </c>
      <c r="K5180" s="18">
        <f t="shared" si="161"/>
        <v>0</v>
      </c>
      <c r="L5180" s="27">
        <v>25741.3</v>
      </c>
      <c r="M5180" s="36">
        <v>6373.4</v>
      </c>
      <c r="T5180" s="41">
        <v>0</v>
      </c>
      <c r="U5180" s="41">
        <v>0</v>
      </c>
      <c r="V5180" s="42" t="s">
        <v>113</v>
      </c>
      <c r="W5180" s="42">
        <v>0</v>
      </c>
      <c r="X5180" s="42">
        <v>0</v>
      </c>
    </row>
    <row r="5181" spans="1:24">
      <c r="A5181" s="27" t="s">
        <v>9578</v>
      </c>
      <c r="B5181" s="28" t="s">
        <v>5102</v>
      </c>
      <c r="C5181" s="27" t="s">
        <v>9577</v>
      </c>
      <c r="D5181" s="27" t="s">
        <v>5104</v>
      </c>
      <c r="E5181" s="29">
        <v>42510</v>
      </c>
      <c r="F5181" s="27">
        <v>15</v>
      </c>
      <c r="G5181" s="18">
        <v>133541.76999999999</v>
      </c>
      <c r="H5181" s="27">
        <f t="shared" si="160"/>
        <v>0</v>
      </c>
      <c r="I5181" s="18">
        <v>24944.12</v>
      </c>
      <c r="J5181" s="27">
        <v>133541.76999999999</v>
      </c>
      <c r="K5181" s="18">
        <f t="shared" si="161"/>
        <v>0</v>
      </c>
      <c r="L5181" s="27">
        <v>33152.49</v>
      </c>
      <c r="M5181" s="36">
        <v>8208.3700000000008</v>
      </c>
      <c r="T5181" s="41">
        <v>0</v>
      </c>
      <c r="U5181" s="41">
        <v>0</v>
      </c>
      <c r="V5181" s="42" t="s">
        <v>113</v>
      </c>
      <c r="W5181" s="42">
        <v>0</v>
      </c>
      <c r="X5181" s="42">
        <v>0</v>
      </c>
    </row>
    <row r="5182" spans="1:24">
      <c r="A5182" s="27" t="s">
        <v>9579</v>
      </c>
      <c r="B5182" s="28" t="s">
        <v>5102</v>
      </c>
      <c r="C5182" s="27" t="s">
        <v>9580</v>
      </c>
      <c r="D5182" s="27" t="s">
        <v>5104</v>
      </c>
      <c r="E5182" s="29">
        <v>42510</v>
      </c>
      <c r="F5182" s="27">
        <v>15</v>
      </c>
      <c r="G5182" s="18">
        <v>64097.32</v>
      </c>
      <c r="H5182" s="27">
        <f t="shared" si="160"/>
        <v>0</v>
      </c>
      <c r="I5182" s="18">
        <v>11972.66</v>
      </c>
      <c r="J5182" s="27">
        <v>64097.32</v>
      </c>
      <c r="K5182" s="18">
        <f t="shared" si="161"/>
        <v>0</v>
      </c>
      <c r="L5182" s="27">
        <v>15912.51</v>
      </c>
      <c r="M5182" s="36">
        <v>3939.85</v>
      </c>
      <c r="T5182" s="41">
        <v>0</v>
      </c>
      <c r="U5182" s="41">
        <v>0</v>
      </c>
      <c r="V5182" s="42" t="s">
        <v>113</v>
      </c>
      <c r="W5182" s="42">
        <v>0</v>
      </c>
      <c r="X5182" s="42">
        <v>0</v>
      </c>
    </row>
    <row r="5183" spans="1:24">
      <c r="A5183" s="27" t="s">
        <v>9581</v>
      </c>
      <c r="B5183" s="28" t="s">
        <v>5102</v>
      </c>
      <c r="C5183" s="27" t="s">
        <v>9580</v>
      </c>
      <c r="D5183" s="27" t="s">
        <v>5104</v>
      </c>
      <c r="E5183" s="29">
        <v>42510</v>
      </c>
      <c r="F5183" s="27">
        <v>15</v>
      </c>
      <c r="G5183" s="18">
        <v>51380.34</v>
      </c>
      <c r="H5183" s="27">
        <f t="shared" si="160"/>
        <v>0</v>
      </c>
      <c r="I5183" s="18">
        <v>9597.27</v>
      </c>
      <c r="J5183" s="27">
        <v>51380.34</v>
      </c>
      <c r="K5183" s="18">
        <f t="shared" si="161"/>
        <v>0</v>
      </c>
      <c r="L5183" s="27">
        <v>12755.45</v>
      </c>
      <c r="M5183" s="36">
        <v>3158.18</v>
      </c>
      <c r="T5183" s="41">
        <v>0</v>
      </c>
      <c r="U5183" s="41">
        <v>0</v>
      </c>
      <c r="V5183" s="42" t="s">
        <v>113</v>
      </c>
      <c r="W5183" s="42">
        <v>0</v>
      </c>
      <c r="X5183" s="42">
        <v>0</v>
      </c>
    </row>
    <row r="5184" spans="1:24">
      <c r="A5184" s="27" t="s">
        <v>9582</v>
      </c>
      <c r="B5184" s="28" t="s">
        <v>5102</v>
      </c>
      <c r="C5184" s="27" t="s">
        <v>9583</v>
      </c>
      <c r="D5184" s="27" t="s">
        <v>5104</v>
      </c>
      <c r="E5184" s="29">
        <v>42510</v>
      </c>
      <c r="F5184" s="27">
        <v>15</v>
      </c>
      <c r="G5184" s="18">
        <v>77186.960000000006</v>
      </c>
      <c r="H5184" s="27">
        <f t="shared" si="160"/>
        <v>0</v>
      </c>
      <c r="I5184" s="18">
        <v>14417.67</v>
      </c>
      <c r="J5184" s="27">
        <v>77186.960000000006</v>
      </c>
      <c r="K5184" s="18">
        <f t="shared" si="161"/>
        <v>0</v>
      </c>
      <c r="L5184" s="27">
        <v>19162.09</v>
      </c>
      <c r="M5184" s="36">
        <v>4744.42</v>
      </c>
      <c r="T5184" s="41">
        <v>0</v>
      </c>
      <c r="U5184" s="41">
        <v>0</v>
      </c>
      <c r="V5184" s="42" t="s">
        <v>113</v>
      </c>
      <c r="W5184" s="42">
        <v>0</v>
      </c>
      <c r="X5184" s="42">
        <v>0</v>
      </c>
    </row>
    <row r="5185" spans="1:24">
      <c r="A5185" s="27" t="s">
        <v>9584</v>
      </c>
      <c r="B5185" s="28" t="s">
        <v>5102</v>
      </c>
      <c r="C5185" s="27" t="s">
        <v>9585</v>
      </c>
      <c r="D5185" s="27" t="s">
        <v>5104</v>
      </c>
      <c r="E5185" s="29">
        <v>42510</v>
      </c>
      <c r="F5185" s="27">
        <v>15</v>
      </c>
      <c r="G5185" s="18">
        <v>17961.900000000001</v>
      </c>
      <c r="H5185" s="27">
        <f t="shared" si="160"/>
        <v>0</v>
      </c>
      <c r="I5185" s="18">
        <v>3355.09</v>
      </c>
      <c r="J5185" s="27">
        <v>17961.900000000001</v>
      </c>
      <c r="K5185" s="18">
        <f t="shared" si="161"/>
        <v>0</v>
      </c>
      <c r="L5185" s="27">
        <v>4459.1499999999996</v>
      </c>
      <c r="M5185" s="36">
        <v>1104.06</v>
      </c>
      <c r="T5185" s="41">
        <v>0</v>
      </c>
      <c r="U5185" s="41">
        <v>0</v>
      </c>
      <c r="V5185" s="42" t="s">
        <v>113</v>
      </c>
      <c r="W5185" s="42">
        <v>0</v>
      </c>
      <c r="X5185" s="42">
        <v>0</v>
      </c>
    </row>
    <row r="5186" spans="1:24">
      <c r="A5186" s="27" t="s">
        <v>9586</v>
      </c>
      <c r="B5186" s="28" t="s">
        <v>5102</v>
      </c>
      <c r="C5186" s="27" t="s">
        <v>9585</v>
      </c>
      <c r="D5186" s="27" t="s">
        <v>5104</v>
      </c>
      <c r="E5186" s="29">
        <v>42510</v>
      </c>
      <c r="F5186" s="27">
        <v>15</v>
      </c>
      <c r="G5186" s="18">
        <v>6889.49</v>
      </c>
      <c r="H5186" s="27">
        <f t="shared" si="160"/>
        <v>0</v>
      </c>
      <c r="I5186" s="18">
        <v>1286.8800000000001</v>
      </c>
      <c r="J5186" s="27">
        <v>6889.49</v>
      </c>
      <c r="K5186" s="18">
        <f t="shared" si="161"/>
        <v>0</v>
      </c>
      <c r="L5186" s="27">
        <v>1710.35</v>
      </c>
      <c r="M5186" s="36">
        <v>423.47</v>
      </c>
      <c r="T5186" s="41">
        <v>0</v>
      </c>
      <c r="U5186" s="41">
        <v>0</v>
      </c>
      <c r="V5186" s="42" t="s">
        <v>113</v>
      </c>
      <c r="W5186" s="42">
        <v>0</v>
      </c>
      <c r="X5186" s="42">
        <v>0</v>
      </c>
    </row>
    <row r="5187" spans="1:24">
      <c r="A5187" s="27" t="s">
        <v>9587</v>
      </c>
      <c r="B5187" s="28" t="s">
        <v>5102</v>
      </c>
      <c r="C5187" s="27" t="s">
        <v>9588</v>
      </c>
      <c r="D5187" s="27" t="s">
        <v>5104</v>
      </c>
      <c r="E5187" s="29">
        <v>42510</v>
      </c>
      <c r="F5187" s="27">
        <v>15</v>
      </c>
      <c r="G5187" s="18">
        <v>115337.49</v>
      </c>
      <c r="H5187" s="27">
        <f t="shared" si="160"/>
        <v>0</v>
      </c>
      <c r="I5187" s="18">
        <v>21543.759999999998</v>
      </c>
      <c r="J5187" s="27">
        <v>115337.49</v>
      </c>
      <c r="K5187" s="18">
        <f t="shared" si="161"/>
        <v>0</v>
      </c>
      <c r="L5187" s="27">
        <v>28633.17</v>
      </c>
      <c r="M5187" s="36">
        <v>7089.41</v>
      </c>
      <c r="T5187" s="41">
        <v>0</v>
      </c>
      <c r="U5187" s="41">
        <v>0</v>
      </c>
      <c r="V5187" s="42" t="s">
        <v>113</v>
      </c>
      <c r="W5187" s="42">
        <v>0</v>
      </c>
      <c r="X5187" s="42">
        <v>0</v>
      </c>
    </row>
    <row r="5188" spans="1:24">
      <c r="A5188" s="27" t="s">
        <v>9589</v>
      </c>
      <c r="B5188" s="28" t="s">
        <v>5102</v>
      </c>
      <c r="C5188" s="27" t="s">
        <v>9590</v>
      </c>
      <c r="D5188" s="27" t="s">
        <v>5104</v>
      </c>
      <c r="E5188" s="29">
        <v>42510</v>
      </c>
      <c r="F5188" s="27">
        <v>15</v>
      </c>
      <c r="G5188" s="18">
        <v>43885.54</v>
      </c>
      <c r="H5188" s="27">
        <f t="shared" si="160"/>
        <v>0</v>
      </c>
      <c r="I5188" s="18">
        <v>8197.33</v>
      </c>
      <c r="J5188" s="27">
        <v>43885.54</v>
      </c>
      <c r="K5188" s="18">
        <f t="shared" si="161"/>
        <v>0</v>
      </c>
      <c r="L5188" s="27">
        <v>10894.83</v>
      </c>
      <c r="M5188" s="36">
        <v>2697.5</v>
      </c>
      <c r="T5188" s="41">
        <v>0</v>
      </c>
      <c r="U5188" s="41">
        <v>0</v>
      </c>
      <c r="V5188" s="42" t="s">
        <v>113</v>
      </c>
      <c r="W5188" s="42">
        <v>0</v>
      </c>
      <c r="X5188" s="42">
        <v>0</v>
      </c>
    </row>
    <row r="5189" spans="1:24">
      <c r="A5189" s="27" t="s">
        <v>9591</v>
      </c>
      <c r="B5189" s="28" t="s">
        <v>5102</v>
      </c>
      <c r="C5189" s="27" t="s">
        <v>9592</v>
      </c>
      <c r="D5189" s="27" t="s">
        <v>5104</v>
      </c>
      <c r="E5189" s="29">
        <v>42510</v>
      </c>
      <c r="F5189" s="27">
        <v>15</v>
      </c>
      <c r="G5189" s="18">
        <v>87954.7</v>
      </c>
      <c r="H5189" s="27">
        <f t="shared" si="160"/>
        <v>0</v>
      </c>
      <c r="I5189" s="18">
        <v>16428.95</v>
      </c>
      <c r="J5189" s="27">
        <v>87954.7</v>
      </c>
      <c r="K5189" s="18">
        <f t="shared" si="161"/>
        <v>0</v>
      </c>
      <c r="L5189" s="27">
        <v>21835.23</v>
      </c>
      <c r="M5189" s="36">
        <v>5406.28</v>
      </c>
      <c r="T5189" s="41">
        <v>0</v>
      </c>
      <c r="U5189" s="41">
        <v>0</v>
      </c>
      <c r="V5189" s="42" t="s">
        <v>113</v>
      </c>
      <c r="W5189" s="42">
        <v>0</v>
      </c>
      <c r="X5189" s="42">
        <v>0</v>
      </c>
    </row>
    <row r="5190" spans="1:24">
      <c r="A5190" s="27" t="s">
        <v>9593</v>
      </c>
      <c r="B5190" s="28" t="s">
        <v>5102</v>
      </c>
      <c r="C5190" s="27" t="s">
        <v>9594</v>
      </c>
      <c r="D5190" s="27" t="s">
        <v>5104</v>
      </c>
      <c r="E5190" s="29">
        <v>42510</v>
      </c>
      <c r="F5190" s="27">
        <v>15</v>
      </c>
      <c r="G5190" s="18">
        <v>44987.28</v>
      </c>
      <c r="H5190" s="27">
        <f t="shared" ref="H5190:H5253" si="162">IFERROR(IF(ROUND((G5190-I5190)/G5190,2)&lt;=0.05,G5190,0),0)</f>
        <v>0</v>
      </c>
      <c r="I5190" s="18">
        <v>8403.1200000000008</v>
      </c>
      <c r="J5190" s="27">
        <v>44987.28</v>
      </c>
      <c r="K5190" s="18">
        <f t="shared" ref="K5190:K5253" si="163">IFERROR(IF(ROUND((J5190-L5190)/J5190,2)&lt;=0.05,J5190,0),0)</f>
        <v>0</v>
      </c>
      <c r="L5190" s="27">
        <v>11168.34</v>
      </c>
      <c r="M5190" s="36">
        <v>2765.22</v>
      </c>
      <c r="T5190" s="41">
        <v>0</v>
      </c>
      <c r="U5190" s="41">
        <v>0</v>
      </c>
      <c r="V5190" s="42" t="s">
        <v>113</v>
      </c>
      <c r="W5190" s="42">
        <v>0</v>
      </c>
      <c r="X5190" s="42">
        <v>0</v>
      </c>
    </row>
    <row r="5191" spans="1:24">
      <c r="A5191" s="27" t="s">
        <v>9595</v>
      </c>
      <c r="B5191" s="28" t="s">
        <v>5102</v>
      </c>
      <c r="C5191" s="27" t="s">
        <v>9596</v>
      </c>
      <c r="D5191" s="27" t="s">
        <v>5104</v>
      </c>
      <c r="E5191" s="29">
        <v>42510</v>
      </c>
      <c r="F5191" s="27">
        <v>15</v>
      </c>
      <c r="G5191" s="18">
        <v>23319.93</v>
      </c>
      <c r="H5191" s="27">
        <f t="shared" si="162"/>
        <v>0</v>
      </c>
      <c r="I5191" s="18">
        <v>4355.91</v>
      </c>
      <c r="J5191" s="27">
        <v>23319.93</v>
      </c>
      <c r="K5191" s="18">
        <f t="shared" si="163"/>
        <v>0</v>
      </c>
      <c r="L5191" s="27">
        <v>5789.31</v>
      </c>
      <c r="M5191" s="36">
        <v>1433.4</v>
      </c>
      <c r="T5191" s="41">
        <v>0</v>
      </c>
      <c r="U5191" s="41">
        <v>0</v>
      </c>
      <c r="V5191" s="42" t="s">
        <v>113</v>
      </c>
      <c r="W5191" s="42">
        <v>0</v>
      </c>
      <c r="X5191" s="42">
        <v>0</v>
      </c>
    </row>
    <row r="5192" spans="1:24">
      <c r="A5192" s="27" t="s">
        <v>9597</v>
      </c>
      <c r="B5192" s="28" t="s">
        <v>5102</v>
      </c>
      <c r="C5192" s="27" t="s">
        <v>9598</v>
      </c>
      <c r="D5192" s="27" t="s">
        <v>5104</v>
      </c>
      <c r="E5192" s="29">
        <v>42510</v>
      </c>
      <c r="F5192" s="27">
        <v>15</v>
      </c>
      <c r="G5192" s="18">
        <v>12699.68</v>
      </c>
      <c r="H5192" s="27">
        <f t="shared" si="162"/>
        <v>0</v>
      </c>
      <c r="I5192" s="18">
        <v>2372.16</v>
      </c>
      <c r="J5192" s="27">
        <v>12699.68</v>
      </c>
      <c r="K5192" s="18">
        <f t="shared" si="163"/>
        <v>0</v>
      </c>
      <c r="L5192" s="27">
        <v>3152.77</v>
      </c>
      <c r="M5192" s="36">
        <v>780.61</v>
      </c>
      <c r="T5192" s="41">
        <v>0</v>
      </c>
      <c r="U5192" s="41">
        <v>0</v>
      </c>
      <c r="V5192" s="42" t="s">
        <v>113</v>
      </c>
      <c r="W5192" s="42">
        <v>0</v>
      </c>
      <c r="X5192" s="42">
        <v>0</v>
      </c>
    </row>
    <row r="5193" spans="1:24">
      <c r="A5193" s="27" t="s">
        <v>9599</v>
      </c>
      <c r="B5193" s="28" t="s">
        <v>5102</v>
      </c>
      <c r="C5193" s="27" t="s">
        <v>9598</v>
      </c>
      <c r="D5193" s="27" t="s">
        <v>5104</v>
      </c>
      <c r="E5193" s="29">
        <v>42510</v>
      </c>
      <c r="F5193" s="27">
        <v>15</v>
      </c>
      <c r="G5193" s="18">
        <v>10195.52</v>
      </c>
      <c r="H5193" s="27">
        <f t="shared" si="162"/>
        <v>0</v>
      </c>
      <c r="I5193" s="18">
        <v>1904.41</v>
      </c>
      <c r="J5193" s="27">
        <v>10195.52</v>
      </c>
      <c r="K5193" s="18">
        <f t="shared" si="163"/>
        <v>0</v>
      </c>
      <c r="L5193" s="27">
        <v>2531.09</v>
      </c>
      <c r="M5193" s="36">
        <v>626.67999999999995</v>
      </c>
      <c r="T5193" s="41">
        <v>0</v>
      </c>
      <c r="U5193" s="41">
        <v>0</v>
      </c>
      <c r="V5193" s="42" t="s">
        <v>113</v>
      </c>
      <c r="W5193" s="42">
        <v>0</v>
      </c>
      <c r="X5193" s="42">
        <v>0</v>
      </c>
    </row>
    <row r="5194" spans="1:24">
      <c r="A5194" s="27" t="s">
        <v>9600</v>
      </c>
      <c r="B5194" s="28" t="s">
        <v>5102</v>
      </c>
      <c r="C5194" s="27" t="s">
        <v>9601</v>
      </c>
      <c r="D5194" s="27" t="s">
        <v>5104</v>
      </c>
      <c r="E5194" s="29">
        <v>42510</v>
      </c>
      <c r="F5194" s="27">
        <v>15</v>
      </c>
      <c r="G5194" s="18">
        <v>54698.06</v>
      </c>
      <c r="H5194" s="27">
        <f t="shared" si="162"/>
        <v>0</v>
      </c>
      <c r="I5194" s="18">
        <v>10216.99</v>
      </c>
      <c r="J5194" s="27">
        <v>54698.06</v>
      </c>
      <c r="K5194" s="18">
        <f t="shared" si="163"/>
        <v>0</v>
      </c>
      <c r="L5194" s="27">
        <v>13579.1</v>
      </c>
      <c r="M5194" s="36">
        <v>3362.11</v>
      </c>
      <c r="T5194" s="41">
        <v>0</v>
      </c>
      <c r="U5194" s="41">
        <v>0</v>
      </c>
      <c r="V5194" s="42" t="s">
        <v>113</v>
      </c>
      <c r="W5194" s="42">
        <v>0</v>
      </c>
      <c r="X5194" s="42">
        <v>0</v>
      </c>
    </row>
    <row r="5195" spans="1:24">
      <c r="A5195" s="27" t="s">
        <v>9602</v>
      </c>
      <c r="B5195" s="28" t="s">
        <v>5102</v>
      </c>
      <c r="C5195" s="27" t="s">
        <v>9603</v>
      </c>
      <c r="D5195" s="27" t="s">
        <v>5104</v>
      </c>
      <c r="E5195" s="29">
        <v>42510</v>
      </c>
      <c r="F5195" s="27">
        <v>15</v>
      </c>
      <c r="G5195" s="18">
        <v>29406.02</v>
      </c>
      <c r="H5195" s="27">
        <f t="shared" si="162"/>
        <v>0</v>
      </c>
      <c r="I5195" s="18">
        <v>5492.72</v>
      </c>
      <c r="J5195" s="27">
        <v>29406.02</v>
      </c>
      <c r="K5195" s="18">
        <f t="shared" si="163"/>
        <v>0</v>
      </c>
      <c r="L5195" s="27">
        <v>7300.21</v>
      </c>
      <c r="M5195" s="36">
        <v>1807.49</v>
      </c>
      <c r="T5195" s="41">
        <v>0</v>
      </c>
      <c r="U5195" s="41">
        <v>0</v>
      </c>
      <c r="V5195" s="42" t="s">
        <v>113</v>
      </c>
      <c r="W5195" s="42">
        <v>0</v>
      </c>
      <c r="X5195" s="42">
        <v>0</v>
      </c>
    </row>
    <row r="5196" spans="1:24">
      <c r="A5196" s="27" t="s">
        <v>9604</v>
      </c>
      <c r="B5196" s="28" t="s">
        <v>5102</v>
      </c>
      <c r="C5196" s="27" t="s">
        <v>9605</v>
      </c>
      <c r="D5196" s="27" t="s">
        <v>5104</v>
      </c>
      <c r="E5196" s="29">
        <v>42510</v>
      </c>
      <c r="F5196" s="27">
        <v>15</v>
      </c>
      <c r="G5196" s="18">
        <v>8728.7999999999993</v>
      </c>
      <c r="H5196" s="27">
        <f t="shared" si="162"/>
        <v>0</v>
      </c>
      <c r="I5196" s="18">
        <v>1630.44</v>
      </c>
      <c r="J5196" s="27">
        <v>8728.7999999999993</v>
      </c>
      <c r="K5196" s="18">
        <f t="shared" si="163"/>
        <v>0</v>
      </c>
      <c r="L5196" s="27">
        <v>2166.9699999999998</v>
      </c>
      <c r="M5196" s="36">
        <v>536.53</v>
      </c>
      <c r="T5196" s="41">
        <v>0</v>
      </c>
      <c r="U5196" s="41">
        <v>0</v>
      </c>
      <c r="V5196" s="42" t="s">
        <v>113</v>
      </c>
      <c r="W5196" s="42">
        <v>0</v>
      </c>
      <c r="X5196" s="42">
        <v>0</v>
      </c>
    </row>
    <row r="5197" spans="1:24">
      <c r="A5197" s="27" t="s">
        <v>9606</v>
      </c>
      <c r="B5197" s="28" t="s">
        <v>5102</v>
      </c>
      <c r="C5197" s="27" t="s">
        <v>9607</v>
      </c>
      <c r="D5197" s="27" t="s">
        <v>5104</v>
      </c>
      <c r="E5197" s="29">
        <v>42510</v>
      </c>
      <c r="F5197" s="27">
        <v>15</v>
      </c>
      <c r="G5197" s="18">
        <v>46441.56</v>
      </c>
      <c r="H5197" s="27">
        <f t="shared" si="162"/>
        <v>0</v>
      </c>
      <c r="I5197" s="18">
        <v>8674.77</v>
      </c>
      <c r="J5197" s="27">
        <v>46441.56</v>
      </c>
      <c r="K5197" s="18">
        <f t="shared" si="163"/>
        <v>0</v>
      </c>
      <c r="L5197" s="27">
        <v>11529.38</v>
      </c>
      <c r="M5197" s="36">
        <v>2854.61</v>
      </c>
      <c r="T5197" s="41">
        <v>0</v>
      </c>
      <c r="U5197" s="41">
        <v>0</v>
      </c>
      <c r="V5197" s="42" t="s">
        <v>113</v>
      </c>
      <c r="W5197" s="42">
        <v>0</v>
      </c>
      <c r="X5197" s="42">
        <v>0</v>
      </c>
    </row>
    <row r="5198" spans="1:24">
      <c r="A5198" s="27" t="s">
        <v>9608</v>
      </c>
      <c r="B5198" s="28" t="s">
        <v>5102</v>
      </c>
      <c r="C5198" s="27" t="s">
        <v>9607</v>
      </c>
      <c r="D5198" s="27" t="s">
        <v>5104</v>
      </c>
      <c r="E5198" s="29">
        <v>42510</v>
      </c>
      <c r="F5198" s="27">
        <v>15</v>
      </c>
      <c r="G5198" s="18">
        <v>21376.14</v>
      </c>
      <c r="H5198" s="27">
        <f t="shared" si="162"/>
        <v>0</v>
      </c>
      <c r="I5198" s="18">
        <v>3992.83</v>
      </c>
      <c r="J5198" s="27">
        <v>21376.14</v>
      </c>
      <c r="K5198" s="18">
        <f t="shared" si="163"/>
        <v>0</v>
      </c>
      <c r="L5198" s="27">
        <v>5306.75</v>
      </c>
      <c r="M5198" s="36">
        <v>1313.92</v>
      </c>
      <c r="T5198" s="41">
        <v>0</v>
      </c>
      <c r="U5198" s="41">
        <v>0</v>
      </c>
      <c r="V5198" s="42" t="s">
        <v>113</v>
      </c>
      <c r="W5198" s="42">
        <v>0</v>
      </c>
      <c r="X5198" s="42">
        <v>0</v>
      </c>
    </row>
    <row r="5199" spans="1:24">
      <c r="A5199" s="27" t="s">
        <v>9609</v>
      </c>
      <c r="B5199" s="28" t="s">
        <v>5102</v>
      </c>
      <c r="C5199" s="27" t="s">
        <v>9610</v>
      </c>
      <c r="D5199" s="27" t="s">
        <v>5104</v>
      </c>
      <c r="E5199" s="29">
        <v>42510</v>
      </c>
      <c r="F5199" s="27">
        <v>15</v>
      </c>
      <c r="G5199" s="18">
        <v>18771.93</v>
      </c>
      <c r="H5199" s="27">
        <f t="shared" si="162"/>
        <v>0</v>
      </c>
      <c r="I5199" s="18">
        <v>3506.39</v>
      </c>
      <c r="J5199" s="27">
        <v>18771.93</v>
      </c>
      <c r="K5199" s="18">
        <f t="shared" si="163"/>
        <v>0</v>
      </c>
      <c r="L5199" s="27">
        <v>4660.24</v>
      </c>
      <c r="M5199" s="36">
        <v>1153.8499999999999</v>
      </c>
      <c r="T5199" s="41">
        <v>0</v>
      </c>
      <c r="U5199" s="41">
        <v>0</v>
      </c>
      <c r="V5199" s="42" t="s">
        <v>113</v>
      </c>
      <c r="W5199" s="42">
        <v>0</v>
      </c>
      <c r="X5199" s="42">
        <v>0</v>
      </c>
    </row>
    <row r="5200" spans="1:24">
      <c r="A5200" s="27" t="s">
        <v>9611</v>
      </c>
      <c r="B5200" s="28" t="s">
        <v>5102</v>
      </c>
      <c r="C5200" s="27" t="s">
        <v>9612</v>
      </c>
      <c r="D5200" s="27" t="s">
        <v>5104</v>
      </c>
      <c r="E5200" s="29">
        <v>42510</v>
      </c>
      <c r="F5200" s="27">
        <v>15</v>
      </c>
      <c r="G5200" s="18">
        <v>46761.49</v>
      </c>
      <c r="H5200" s="27">
        <f t="shared" si="162"/>
        <v>0</v>
      </c>
      <c r="I5200" s="18">
        <v>8734.52</v>
      </c>
      <c r="J5200" s="27">
        <v>46761.49</v>
      </c>
      <c r="K5200" s="18">
        <f t="shared" si="163"/>
        <v>0</v>
      </c>
      <c r="L5200" s="27">
        <v>11608.79</v>
      </c>
      <c r="M5200" s="36">
        <v>2874.27</v>
      </c>
      <c r="T5200" s="41">
        <v>0</v>
      </c>
      <c r="U5200" s="41">
        <v>0</v>
      </c>
      <c r="V5200" s="42" t="s">
        <v>113</v>
      </c>
      <c r="W5200" s="42">
        <v>0</v>
      </c>
      <c r="X5200" s="42">
        <v>0</v>
      </c>
    </row>
    <row r="5201" spans="1:24">
      <c r="A5201" s="27" t="s">
        <v>9613</v>
      </c>
      <c r="B5201" s="28" t="s">
        <v>5102</v>
      </c>
      <c r="C5201" s="27" t="s">
        <v>9614</v>
      </c>
      <c r="D5201" s="27" t="s">
        <v>5104</v>
      </c>
      <c r="E5201" s="29">
        <v>42510</v>
      </c>
      <c r="F5201" s="27">
        <v>15</v>
      </c>
      <c r="G5201" s="18">
        <v>97450.64</v>
      </c>
      <c r="H5201" s="27">
        <f t="shared" si="162"/>
        <v>0</v>
      </c>
      <c r="I5201" s="18">
        <v>18202.7</v>
      </c>
      <c r="J5201" s="27">
        <v>97450.64</v>
      </c>
      <c r="K5201" s="18">
        <f t="shared" si="163"/>
        <v>0</v>
      </c>
      <c r="L5201" s="27">
        <v>24192.67</v>
      </c>
      <c r="M5201" s="36">
        <v>5989.97</v>
      </c>
      <c r="T5201" s="41">
        <v>0</v>
      </c>
      <c r="U5201" s="41">
        <v>0</v>
      </c>
      <c r="V5201" s="42" t="s">
        <v>113</v>
      </c>
      <c r="W5201" s="42">
        <v>0</v>
      </c>
      <c r="X5201" s="42">
        <v>0</v>
      </c>
    </row>
    <row r="5202" spans="1:24">
      <c r="A5202" s="27" t="s">
        <v>9615</v>
      </c>
      <c r="B5202" s="28" t="s">
        <v>5102</v>
      </c>
      <c r="C5202" s="27" t="s">
        <v>9614</v>
      </c>
      <c r="D5202" s="27" t="s">
        <v>5104</v>
      </c>
      <c r="E5202" s="29">
        <v>42510</v>
      </c>
      <c r="F5202" s="27">
        <v>15</v>
      </c>
      <c r="G5202" s="18">
        <v>39165.519999999997</v>
      </c>
      <c r="H5202" s="27">
        <f t="shared" si="162"/>
        <v>0</v>
      </c>
      <c r="I5202" s="18">
        <v>7315.68</v>
      </c>
      <c r="J5202" s="27">
        <v>39165.519999999997</v>
      </c>
      <c r="K5202" s="18">
        <f t="shared" si="163"/>
        <v>0</v>
      </c>
      <c r="L5202" s="27">
        <v>9723.0499999999993</v>
      </c>
      <c r="M5202" s="36">
        <v>2407.37</v>
      </c>
      <c r="T5202" s="41">
        <v>0</v>
      </c>
      <c r="U5202" s="41">
        <v>0</v>
      </c>
      <c r="V5202" s="42" t="s">
        <v>113</v>
      </c>
      <c r="W5202" s="42">
        <v>0</v>
      </c>
      <c r="X5202" s="42">
        <v>0</v>
      </c>
    </row>
    <row r="5203" spans="1:24">
      <c r="A5203" s="27" t="s">
        <v>9616</v>
      </c>
      <c r="B5203" s="28" t="s">
        <v>5102</v>
      </c>
      <c r="C5203" s="27" t="s">
        <v>9617</v>
      </c>
      <c r="D5203" s="27" t="s">
        <v>5104</v>
      </c>
      <c r="E5203" s="29">
        <v>42510</v>
      </c>
      <c r="F5203" s="27">
        <v>15</v>
      </c>
      <c r="G5203" s="18">
        <v>62920.5</v>
      </c>
      <c r="H5203" s="27">
        <f t="shared" si="162"/>
        <v>0</v>
      </c>
      <c r="I5203" s="18">
        <v>11752.85</v>
      </c>
      <c r="J5203" s="27">
        <v>62920.5</v>
      </c>
      <c r="K5203" s="18">
        <f t="shared" si="163"/>
        <v>0</v>
      </c>
      <c r="L5203" s="27">
        <v>15620.36</v>
      </c>
      <c r="M5203" s="36">
        <v>3867.51</v>
      </c>
      <c r="T5203" s="41">
        <v>0</v>
      </c>
      <c r="U5203" s="41">
        <v>0</v>
      </c>
      <c r="V5203" s="42" t="s">
        <v>113</v>
      </c>
      <c r="W5203" s="42">
        <v>0</v>
      </c>
      <c r="X5203" s="42">
        <v>0</v>
      </c>
    </row>
    <row r="5204" spans="1:24">
      <c r="A5204" s="27" t="s">
        <v>9618</v>
      </c>
      <c r="B5204" s="28" t="s">
        <v>5102</v>
      </c>
      <c r="C5204" s="27" t="s">
        <v>9617</v>
      </c>
      <c r="D5204" s="27" t="s">
        <v>5104</v>
      </c>
      <c r="E5204" s="29">
        <v>42510</v>
      </c>
      <c r="F5204" s="27">
        <v>15</v>
      </c>
      <c r="G5204" s="18">
        <v>82592.289999999994</v>
      </c>
      <c r="H5204" s="27">
        <f t="shared" si="162"/>
        <v>0</v>
      </c>
      <c r="I5204" s="18">
        <v>15427.32</v>
      </c>
      <c r="J5204" s="27">
        <v>82592.289999999994</v>
      </c>
      <c r="K5204" s="18">
        <f t="shared" si="163"/>
        <v>0</v>
      </c>
      <c r="L5204" s="27">
        <v>20503.990000000002</v>
      </c>
      <c r="M5204" s="36">
        <v>5076.67</v>
      </c>
      <c r="T5204" s="41">
        <v>0</v>
      </c>
      <c r="U5204" s="41">
        <v>0</v>
      </c>
      <c r="V5204" s="42" t="s">
        <v>113</v>
      </c>
      <c r="W5204" s="42">
        <v>0</v>
      </c>
      <c r="X5204" s="42">
        <v>0</v>
      </c>
    </row>
    <row r="5205" spans="1:24">
      <c r="A5205" s="27" t="s">
        <v>9619</v>
      </c>
      <c r="B5205" s="28" t="s">
        <v>5102</v>
      </c>
      <c r="C5205" s="27" t="s">
        <v>9620</v>
      </c>
      <c r="D5205" s="27" t="s">
        <v>5104</v>
      </c>
      <c r="E5205" s="29">
        <v>42510</v>
      </c>
      <c r="F5205" s="27">
        <v>15</v>
      </c>
      <c r="G5205" s="18">
        <v>81811.28</v>
      </c>
      <c r="H5205" s="27">
        <f t="shared" si="162"/>
        <v>0</v>
      </c>
      <c r="I5205" s="18">
        <v>15281.44</v>
      </c>
      <c r="J5205" s="27">
        <v>81811.28</v>
      </c>
      <c r="K5205" s="18">
        <f t="shared" si="163"/>
        <v>0</v>
      </c>
      <c r="L5205" s="27">
        <v>20310.11</v>
      </c>
      <c r="M5205" s="36">
        <v>5028.67</v>
      </c>
      <c r="T5205" s="41">
        <v>0</v>
      </c>
      <c r="U5205" s="41">
        <v>0</v>
      </c>
      <c r="V5205" s="42" t="s">
        <v>113</v>
      </c>
      <c r="W5205" s="42">
        <v>0</v>
      </c>
      <c r="X5205" s="42">
        <v>0</v>
      </c>
    </row>
    <row r="5206" spans="1:24">
      <c r="A5206" s="27" t="s">
        <v>9621</v>
      </c>
      <c r="B5206" s="28" t="s">
        <v>5102</v>
      </c>
      <c r="C5206" s="27" t="s">
        <v>9620</v>
      </c>
      <c r="D5206" s="27" t="s">
        <v>5104</v>
      </c>
      <c r="E5206" s="29">
        <v>42510</v>
      </c>
      <c r="F5206" s="27">
        <v>15</v>
      </c>
      <c r="G5206" s="18">
        <v>88986.85</v>
      </c>
      <c r="H5206" s="27">
        <f t="shared" si="162"/>
        <v>0</v>
      </c>
      <c r="I5206" s="18">
        <v>16621.759999999998</v>
      </c>
      <c r="J5206" s="27">
        <v>88986.85</v>
      </c>
      <c r="K5206" s="18">
        <f t="shared" si="163"/>
        <v>0</v>
      </c>
      <c r="L5206" s="27">
        <v>22091.48</v>
      </c>
      <c r="M5206" s="36">
        <v>5469.72</v>
      </c>
      <c r="T5206" s="41">
        <v>0</v>
      </c>
      <c r="U5206" s="41">
        <v>0</v>
      </c>
      <c r="V5206" s="42" t="s">
        <v>113</v>
      </c>
      <c r="W5206" s="42">
        <v>0</v>
      </c>
      <c r="X5206" s="42">
        <v>0</v>
      </c>
    </row>
    <row r="5207" spans="1:24">
      <c r="A5207" s="27" t="s">
        <v>9622</v>
      </c>
      <c r="B5207" s="28" t="s">
        <v>5102</v>
      </c>
      <c r="C5207" s="27" t="s">
        <v>9623</v>
      </c>
      <c r="D5207" s="27" t="s">
        <v>5104</v>
      </c>
      <c r="E5207" s="29">
        <v>42510</v>
      </c>
      <c r="F5207" s="27">
        <v>15</v>
      </c>
      <c r="G5207" s="18">
        <v>166051</v>
      </c>
      <c r="H5207" s="27">
        <f t="shared" si="162"/>
        <v>0</v>
      </c>
      <c r="I5207" s="18">
        <v>31016.47</v>
      </c>
      <c r="J5207" s="27">
        <v>166051</v>
      </c>
      <c r="K5207" s="18">
        <f t="shared" si="163"/>
        <v>0</v>
      </c>
      <c r="L5207" s="27">
        <v>41223.07</v>
      </c>
      <c r="M5207" s="36">
        <v>10206.6</v>
      </c>
      <c r="T5207" s="41">
        <v>0</v>
      </c>
      <c r="U5207" s="41">
        <v>0</v>
      </c>
      <c r="V5207" s="42" t="s">
        <v>113</v>
      </c>
      <c r="W5207" s="42">
        <v>0</v>
      </c>
      <c r="X5207" s="42">
        <v>0</v>
      </c>
    </row>
    <row r="5208" spans="1:24">
      <c r="A5208" s="27" t="s">
        <v>9624</v>
      </c>
      <c r="B5208" s="28" t="s">
        <v>5102</v>
      </c>
      <c r="C5208" s="27" t="s">
        <v>9625</v>
      </c>
      <c r="D5208" s="27" t="s">
        <v>5104</v>
      </c>
      <c r="E5208" s="29">
        <v>42510</v>
      </c>
      <c r="F5208" s="27">
        <v>15</v>
      </c>
      <c r="G5208" s="18">
        <v>211042.31</v>
      </c>
      <c r="H5208" s="27">
        <f t="shared" si="162"/>
        <v>0</v>
      </c>
      <c r="I5208" s="18">
        <v>39420.35</v>
      </c>
      <c r="J5208" s="27">
        <v>211042.31</v>
      </c>
      <c r="K5208" s="18">
        <f t="shared" si="163"/>
        <v>0</v>
      </c>
      <c r="L5208" s="27">
        <v>52392.42</v>
      </c>
      <c r="M5208" s="36">
        <v>12972.07</v>
      </c>
      <c r="T5208" s="41">
        <v>0</v>
      </c>
      <c r="U5208" s="41">
        <v>0</v>
      </c>
      <c r="V5208" s="42" t="s">
        <v>113</v>
      </c>
      <c r="W5208" s="42">
        <v>0</v>
      </c>
      <c r="X5208" s="42">
        <v>0</v>
      </c>
    </row>
    <row r="5209" spans="1:24">
      <c r="A5209" s="27" t="s">
        <v>9626</v>
      </c>
      <c r="B5209" s="28" t="s">
        <v>5102</v>
      </c>
      <c r="C5209" s="27" t="s">
        <v>9627</v>
      </c>
      <c r="D5209" s="27" t="s">
        <v>5104</v>
      </c>
      <c r="E5209" s="29">
        <v>42510</v>
      </c>
      <c r="F5209" s="27">
        <v>15</v>
      </c>
      <c r="G5209" s="18">
        <v>22269.09</v>
      </c>
      <c r="H5209" s="27">
        <f t="shared" si="162"/>
        <v>0</v>
      </c>
      <c r="I5209" s="18">
        <v>4159.62</v>
      </c>
      <c r="J5209" s="27">
        <v>22269.09</v>
      </c>
      <c r="K5209" s="18">
        <f t="shared" si="163"/>
        <v>0</v>
      </c>
      <c r="L5209" s="27">
        <v>5528.43</v>
      </c>
      <c r="M5209" s="36">
        <v>1368.81</v>
      </c>
      <c r="T5209" s="41">
        <v>0</v>
      </c>
      <c r="U5209" s="41">
        <v>0</v>
      </c>
      <c r="V5209" s="42" t="s">
        <v>113</v>
      </c>
      <c r="W5209" s="42">
        <v>0</v>
      </c>
      <c r="X5209" s="42">
        <v>0</v>
      </c>
    </row>
    <row r="5210" spans="1:24">
      <c r="A5210" s="27" t="s">
        <v>9628</v>
      </c>
      <c r="B5210" s="28" t="s">
        <v>5102</v>
      </c>
      <c r="C5210" s="27" t="s">
        <v>9627</v>
      </c>
      <c r="D5210" s="27" t="s">
        <v>5104</v>
      </c>
      <c r="E5210" s="29">
        <v>42510</v>
      </c>
      <c r="F5210" s="27">
        <v>15</v>
      </c>
      <c r="G5210" s="18">
        <v>101024.24</v>
      </c>
      <c r="H5210" s="27">
        <f t="shared" si="162"/>
        <v>0</v>
      </c>
      <c r="I5210" s="18">
        <v>18870.2</v>
      </c>
      <c r="J5210" s="27">
        <v>101024.24</v>
      </c>
      <c r="K5210" s="18">
        <f t="shared" si="163"/>
        <v>0</v>
      </c>
      <c r="L5210" s="27">
        <v>25079.82</v>
      </c>
      <c r="M5210" s="36">
        <v>6209.62</v>
      </c>
      <c r="T5210" s="41">
        <v>0</v>
      </c>
      <c r="U5210" s="41">
        <v>0</v>
      </c>
      <c r="V5210" s="42" t="s">
        <v>113</v>
      </c>
      <c r="W5210" s="42">
        <v>0</v>
      </c>
      <c r="X5210" s="42">
        <v>0</v>
      </c>
    </row>
    <row r="5211" spans="1:24">
      <c r="A5211" s="27" t="s">
        <v>9629</v>
      </c>
      <c r="B5211" s="28" t="s">
        <v>5102</v>
      </c>
      <c r="C5211" s="27" t="s">
        <v>9630</v>
      </c>
      <c r="D5211" s="27" t="s">
        <v>5104</v>
      </c>
      <c r="E5211" s="29">
        <v>42510</v>
      </c>
      <c r="F5211" s="27">
        <v>15</v>
      </c>
      <c r="G5211" s="18">
        <v>186061.87</v>
      </c>
      <c r="H5211" s="27">
        <f t="shared" si="162"/>
        <v>0</v>
      </c>
      <c r="I5211" s="18">
        <v>34754.29</v>
      </c>
      <c r="J5211" s="27">
        <v>186061.87</v>
      </c>
      <c r="K5211" s="18">
        <f t="shared" si="163"/>
        <v>0</v>
      </c>
      <c r="L5211" s="27">
        <v>46190.89</v>
      </c>
      <c r="M5211" s="36">
        <v>11436.6</v>
      </c>
      <c r="T5211" s="41">
        <v>0</v>
      </c>
      <c r="U5211" s="41">
        <v>0</v>
      </c>
      <c r="V5211" s="42" t="s">
        <v>113</v>
      </c>
      <c r="W5211" s="42">
        <v>0</v>
      </c>
      <c r="X5211" s="42">
        <v>0</v>
      </c>
    </row>
    <row r="5212" spans="1:24">
      <c r="A5212" s="27" t="s">
        <v>9631</v>
      </c>
      <c r="B5212" s="28" t="s">
        <v>5102</v>
      </c>
      <c r="C5212" s="27" t="s">
        <v>9632</v>
      </c>
      <c r="D5212" s="27" t="s">
        <v>5104</v>
      </c>
      <c r="E5212" s="29">
        <v>42510</v>
      </c>
      <c r="F5212" s="27">
        <v>15</v>
      </c>
      <c r="G5212" s="18">
        <v>85707.18</v>
      </c>
      <c r="H5212" s="27">
        <f t="shared" si="162"/>
        <v>0</v>
      </c>
      <c r="I5212" s="18">
        <v>16009.14</v>
      </c>
      <c r="J5212" s="27">
        <v>85707.18</v>
      </c>
      <c r="K5212" s="18">
        <f t="shared" si="163"/>
        <v>0</v>
      </c>
      <c r="L5212" s="27">
        <v>21277.279999999999</v>
      </c>
      <c r="M5212" s="36">
        <v>5268.14</v>
      </c>
      <c r="T5212" s="41">
        <v>0</v>
      </c>
      <c r="U5212" s="41">
        <v>0</v>
      </c>
      <c r="V5212" s="42" t="s">
        <v>113</v>
      </c>
      <c r="W5212" s="42">
        <v>0</v>
      </c>
      <c r="X5212" s="42">
        <v>0</v>
      </c>
    </row>
    <row r="5213" spans="1:24">
      <c r="A5213" s="27" t="s">
        <v>9633</v>
      </c>
      <c r="B5213" s="28" t="s">
        <v>5102</v>
      </c>
      <c r="C5213" s="27" t="s">
        <v>9634</v>
      </c>
      <c r="D5213" s="27" t="s">
        <v>5104</v>
      </c>
      <c r="E5213" s="29">
        <v>42510</v>
      </c>
      <c r="F5213" s="27">
        <v>15</v>
      </c>
      <c r="G5213" s="18">
        <v>235167.58</v>
      </c>
      <c r="H5213" s="27">
        <f t="shared" si="162"/>
        <v>0</v>
      </c>
      <c r="I5213" s="18">
        <v>43926.69</v>
      </c>
      <c r="J5213" s="27">
        <v>235167.58</v>
      </c>
      <c r="K5213" s="18">
        <f t="shared" si="163"/>
        <v>0</v>
      </c>
      <c r="L5213" s="27">
        <v>58381.66</v>
      </c>
      <c r="M5213" s="36">
        <v>14454.97</v>
      </c>
      <c r="T5213" s="41">
        <v>0</v>
      </c>
      <c r="U5213" s="41">
        <v>0</v>
      </c>
      <c r="V5213" s="42" t="s">
        <v>113</v>
      </c>
      <c r="W5213" s="42">
        <v>0</v>
      </c>
      <c r="X5213" s="42">
        <v>0</v>
      </c>
    </row>
    <row r="5214" spans="1:24">
      <c r="A5214" s="27" t="s">
        <v>9635</v>
      </c>
      <c r="B5214" s="28" t="s">
        <v>5102</v>
      </c>
      <c r="C5214" s="27" t="s">
        <v>9636</v>
      </c>
      <c r="D5214" s="27" t="s">
        <v>5104</v>
      </c>
      <c r="E5214" s="29">
        <v>42510</v>
      </c>
      <c r="F5214" s="27">
        <v>15</v>
      </c>
      <c r="G5214" s="18">
        <v>137593.21</v>
      </c>
      <c r="H5214" s="27">
        <f t="shared" si="162"/>
        <v>0</v>
      </c>
      <c r="I5214" s="18">
        <v>25700.89</v>
      </c>
      <c r="J5214" s="27">
        <v>137593.21</v>
      </c>
      <c r="K5214" s="18">
        <f t="shared" si="163"/>
        <v>0</v>
      </c>
      <c r="L5214" s="27">
        <v>34158.29</v>
      </c>
      <c r="M5214" s="36">
        <v>8457.4</v>
      </c>
      <c r="T5214" s="41">
        <v>0</v>
      </c>
      <c r="U5214" s="41">
        <v>0</v>
      </c>
      <c r="V5214" s="42" t="s">
        <v>113</v>
      </c>
      <c r="W5214" s="42">
        <v>0</v>
      </c>
      <c r="X5214" s="42">
        <v>0</v>
      </c>
    </row>
    <row r="5215" spans="1:24">
      <c r="A5215" s="27" t="s">
        <v>9637</v>
      </c>
      <c r="B5215" s="28" t="s">
        <v>5102</v>
      </c>
      <c r="C5215" s="27" t="s">
        <v>9636</v>
      </c>
      <c r="D5215" s="27" t="s">
        <v>5104</v>
      </c>
      <c r="E5215" s="29">
        <v>42510</v>
      </c>
      <c r="F5215" s="27">
        <v>15</v>
      </c>
      <c r="G5215" s="18">
        <v>18496.57</v>
      </c>
      <c r="H5215" s="27">
        <f t="shared" si="162"/>
        <v>0</v>
      </c>
      <c r="I5215" s="18">
        <v>3454.95</v>
      </c>
      <c r="J5215" s="27">
        <v>18496.57</v>
      </c>
      <c r="K5215" s="18">
        <f t="shared" si="163"/>
        <v>0</v>
      </c>
      <c r="L5215" s="27">
        <v>4591.87</v>
      </c>
      <c r="M5215" s="36">
        <v>1136.92</v>
      </c>
      <c r="T5215" s="41">
        <v>0</v>
      </c>
      <c r="U5215" s="41">
        <v>0</v>
      </c>
      <c r="V5215" s="42" t="s">
        <v>113</v>
      </c>
      <c r="W5215" s="42">
        <v>0</v>
      </c>
      <c r="X5215" s="42">
        <v>0</v>
      </c>
    </row>
    <row r="5216" spans="1:24">
      <c r="A5216" s="27" t="s">
        <v>9638</v>
      </c>
      <c r="B5216" s="28" t="s">
        <v>5102</v>
      </c>
      <c r="C5216" s="27" t="s">
        <v>9639</v>
      </c>
      <c r="D5216" s="27" t="s">
        <v>5104</v>
      </c>
      <c r="E5216" s="29">
        <v>42510</v>
      </c>
      <c r="F5216" s="27">
        <v>15</v>
      </c>
      <c r="G5216" s="18">
        <v>239923.18</v>
      </c>
      <c r="H5216" s="27">
        <f t="shared" si="162"/>
        <v>0</v>
      </c>
      <c r="I5216" s="18">
        <v>44814.98</v>
      </c>
      <c r="J5216" s="27">
        <v>239923.18</v>
      </c>
      <c r="K5216" s="18">
        <f t="shared" si="163"/>
        <v>0</v>
      </c>
      <c r="L5216" s="27">
        <v>59562.26</v>
      </c>
      <c r="M5216" s="36">
        <v>14747.28</v>
      </c>
      <c r="T5216" s="41">
        <v>0</v>
      </c>
      <c r="U5216" s="41">
        <v>0</v>
      </c>
      <c r="V5216" s="42" t="s">
        <v>113</v>
      </c>
      <c r="W5216" s="42">
        <v>0</v>
      </c>
      <c r="X5216" s="42">
        <v>0</v>
      </c>
    </row>
    <row r="5217" spans="1:24">
      <c r="A5217" s="27" t="s">
        <v>9640</v>
      </c>
      <c r="B5217" s="28" t="s">
        <v>5102</v>
      </c>
      <c r="C5217" s="27" t="s">
        <v>9641</v>
      </c>
      <c r="D5217" s="27" t="s">
        <v>5104</v>
      </c>
      <c r="E5217" s="29">
        <v>42510</v>
      </c>
      <c r="F5217" s="27">
        <v>15</v>
      </c>
      <c r="G5217" s="18">
        <v>50760.39</v>
      </c>
      <c r="H5217" s="27">
        <f t="shared" si="162"/>
        <v>0</v>
      </c>
      <c r="I5217" s="18">
        <v>9481.4699999999993</v>
      </c>
      <c r="J5217" s="27">
        <v>50760.39</v>
      </c>
      <c r="K5217" s="18">
        <f t="shared" si="163"/>
        <v>0</v>
      </c>
      <c r="L5217" s="27">
        <v>12601.54</v>
      </c>
      <c r="M5217" s="36">
        <v>3120.07</v>
      </c>
      <c r="T5217" s="41">
        <v>0</v>
      </c>
      <c r="U5217" s="41">
        <v>0</v>
      </c>
      <c r="V5217" s="42" t="s">
        <v>113</v>
      </c>
      <c r="W5217" s="42">
        <v>0</v>
      </c>
      <c r="X5217" s="42">
        <v>0</v>
      </c>
    </row>
    <row r="5218" spans="1:24">
      <c r="A5218" s="27" t="s">
        <v>9642</v>
      </c>
      <c r="B5218" s="28" t="s">
        <v>5102</v>
      </c>
      <c r="C5218" s="27" t="s">
        <v>9643</v>
      </c>
      <c r="D5218" s="27" t="s">
        <v>5104</v>
      </c>
      <c r="E5218" s="29">
        <v>42510</v>
      </c>
      <c r="F5218" s="27">
        <v>15</v>
      </c>
      <c r="G5218" s="18">
        <v>175950.35</v>
      </c>
      <c r="H5218" s="27">
        <f t="shared" si="162"/>
        <v>0</v>
      </c>
      <c r="I5218" s="18">
        <v>32865.57</v>
      </c>
      <c r="J5218" s="27">
        <v>175950.35</v>
      </c>
      <c r="K5218" s="18">
        <f t="shared" si="163"/>
        <v>0</v>
      </c>
      <c r="L5218" s="27">
        <v>43680.65</v>
      </c>
      <c r="M5218" s="36">
        <v>10815.08</v>
      </c>
      <c r="T5218" s="41">
        <v>0</v>
      </c>
      <c r="U5218" s="41">
        <v>0</v>
      </c>
      <c r="V5218" s="42" t="s">
        <v>113</v>
      </c>
      <c r="W5218" s="42">
        <v>0</v>
      </c>
      <c r="X5218" s="42">
        <v>0</v>
      </c>
    </row>
    <row r="5219" spans="1:24">
      <c r="A5219" s="27" t="s">
        <v>9644</v>
      </c>
      <c r="B5219" s="28" t="s">
        <v>5102</v>
      </c>
      <c r="C5219" s="27" t="s">
        <v>9645</v>
      </c>
      <c r="D5219" s="27" t="s">
        <v>5104</v>
      </c>
      <c r="E5219" s="29">
        <v>42510</v>
      </c>
      <c r="F5219" s="27">
        <v>15</v>
      </c>
      <c r="G5219" s="18">
        <v>63407.7</v>
      </c>
      <c r="H5219" s="27">
        <f t="shared" si="162"/>
        <v>0</v>
      </c>
      <c r="I5219" s="18">
        <v>11843.85</v>
      </c>
      <c r="J5219" s="27">
        <v>63407.7</v>
      </c>
      <c r="K5219" s="18">
        <f t="shared" si="163"/>
        <v>0</v>
      </c>
      <c r="L5219" s="27">
        <v>15741.31</v>
      </c>
      <c r="M5219" s="36">
        <v>3897.46</v>
      </c>
      <c r="T5219" s="41">
        <v>0</v>
      </c>
      <c r="U5219" s="41">
        <v>0</v>
      </c>
      <c r="V5219" s="42" t="s">
        <v>113</v>
      </c>
      <c r="W5219" s="42">
        <v>0</v>
      </c>
      <c r="X5219" s="42">
        <v>0</v>
      </c>
    </row>
    <row r="5220" spans="1:24">
      <c r="A5220" s="27" t="s">
        <v>9646</v>
      </c>
      <c r="B5220" s="28" t="s">
        <v>5102</v>
      </c>
      <c r="C5220" s="27" t="s">
        <v>9647</v>
      </c>
      <c r="D5220" s="27" t="s">
        <v>5104</v>
      </c>
      <c r="E5220" s="29">
        <v>42510</v>
      </c>
      <c r="F5220" s="27">
        <v>15</v>
      </c>
      <c r="G5220" s="18">
        <v>43557.09</v>
      </c>
      <c r="H5220" s="27">
        <f t="shared" si="162"/>
        <v>0</v>
      </c>
      <c r="I5220" s="18">
        <v>8135.98</v>
      </c>
      <c r="J5220" s="27">
        <v>43557.09</v>
      </c>
      <c r="K5220" s="18">
        <f t="shared" si="163"/>
        <v>0</v>
      </c>
      <c r="L5220" s="27">
        <v>10813.29</v>
      </c>
      <c r="M5220" s="36">
        <v>2677.31</v>
      </c>
      <c r="T5220" s="41">
        <v>0</v>
      </c>
      <c r="U5220" s="41">
        <v>0</v>
      </c>
      <c r="V5220" s="42" t="s">
        <v>113</v>
      </c>
      <c r="W5220" s="42">
        <v>0</v>
      </c>
      <c r="X5220" s="42">
        <v>0</v>
      </c>
    </row>
    <row r="5221" spans="1:24">
      <c r="A5221" s="27" t="s">
        <v>9648</v>
      </c>
      <c r="B5221" s="28" t="s">
        <v>5102</v>
      </c>
      <c r="C5221" s="27" t="s">
        <v>9289</v>
      </c>
      <c r="D5221" s="27" t="s">
        <v>5104</v>
      </c>
      <c r="E5221" s="29">
        <v>42510</v>
      </c>
      <c r="F5221" s="27">
        <v>15</v>
      </c>
      <c r="G5221" s="18">
        <v>89943.29</v>
      </c>
      <c r="H5221" s="27">
        <f t="shared" si="162"/>
        <v>0</v>
      </c>
      <c r="I5221" s="18">
        <v>16800.400000000001</v>
      </c>
      <c r="J5221" s="27">
        <v>89943.29</v>
      </c>
      <c r="K5221" s="18">
        <f t="shared" si="163"/>
        <v>0</v>
      </c>
      <c r="L5221" s="27">
        <v>22328.92</v>
      </c>
      <c r="M5221" s="36">
        <v>5528.52</v>
      </c>
      <c r="T5221" s="41">
        <v>0</v>
      </c>
      <c r="U5221" s="41">
        <v>0</v>
      </c>
      <c r="V5221" s="42" t="s">
        <v>113</v>
      </c>
      <c r="W5221" s="42">
        <v>0</v>
      </c>
      <c r="X5221" s="42">
        <v>0</v>
      </c>
    </row>
    <row r="5222" spans="1:24">
      <c r="A5222" s="27" t="s">
        <v>9649</v>
      </c>
      <c r="B5222" s="28" t="s">
        <v>5102</v>
      </c>
      <c r="C5222" s="27" t="s">
        <v>9291</v>
      </c>
      <c r="D5222" s="27" t="s">
        <v>5104</v>
      </c>
      <c r="E5222" s="29">
        <v>42510</v>
      </c>
      <c r="F5222" s="27">
        <v>15</v>
      </c>
      <c r="G5222" s="18">
        <v>92824.23</v>
      </c>
      <c r="H5222" s="27">
        <f t="shared" si="162"/>
        <v>0</v>
      </c>
      <c r="I5222" s="18">
        <v>17338.54</v>
      </c>
      <c r="J5222" s="27">
        <v>92824.23</v>
      </c>
      <c r="K5222" s="18">
        <f t="shared" si="163"/>
        <v>0</v>
      </c>
      <c r="L5222" s="27">
        <v>23044.14</v>
      </c>
      <c r="M5222" s="36">
        <v>5705.6</v>
      </c>
      <c r="T5222" s="41">
        <v>0</v>
      </c>
      <c r="U5222" s="41">
        <v>0</v>
      </c>
      <c r="V5222" s="42" t="s">
        <v>113</v>
      </c>
      <c r="W5222" s="42">
        <v>0</v>
      </c>
      <c r="X5222" s="42">
        <v>0</v>
      </c>
    </row>
    <row r="5223" spans="1:24">
      <c r="A5223" s="27" t="s">
        <v>9650</v>
      </c>
      <c r="B5223" s="28" t="s">
        <v>5102</v>
      </c>
      <c r="C5223" s="27" t="s">
        <v>9651</v>
      </c>
      <c r="D5223" s="27" t="s">
        <v>5104</v>
      </c>
      <c r="E5223" s="29">
        <v>42510</v>
      </c>
      <c r="F5223" s="27">
        <v>15</v>
      </c>
      <c r="G5223" s="18">
        <v>98658.53</v>
      </c>
      <c r="H5223" s="27">
        <f t="shared" si="162"/>
        <v>0</v>
      </c>
      <c r="I5223" s="18">
        <v>18428.310000000001</v>
      </c>
      <c r="J5223" s="27">
        <v>98658.53</v>
      </c>
      <c r="K5223" s="18">
        <f t="shared" si="163"/>
        <v>0</v>
      </c>
      <c r="L5223" s="27">
        <v>24492.52</v>
      </c>
      <c r="M5223" s="36">
        <v>6064.21</v>
      </c>
      <c r="T5223" s="41">
        <v>0</v>
      </c>
      <c r="U5223" s="41">
        <v>0</v>
      </c>
      <c r="V5223" s="42" t="s">
        <v>113</v>
      </c>
      <c r="W5223" s="42">
        <v>0</v>
      </c>
      <c r="X5223" s="42">
        <v>0</v>
      </c>
    </row>
    <row r="5224" spans="1:24">
      <c r="A5224" s="27" t="s">
        <v>9652</v>
      </c>
      <c r="B5224" s="28" t="s">
        <v>5102</v>
      </c>
      <c r="C5224" s="27" t="s">
        <v>9651</v>
      </c>
      <c r="D5224" s="27" t="s">
        <v>5104</v>
      </c>
      <c r="E5224" s="29">
        <v>42510</v>
      </c>
      <c r="F5224" s="27">
        <v>15</v>
      </c>
      <c r="G5224" s="18">
        <v>11187.25</v>
      </c>
      <c r="H5224" s="27">
        <f t="shared" si="162"/>
        <v>0</v>
      </c>
      <c r="I5224" s="18">
        <v>2089.65</v>
      </c>
      <c r="J5224" s="27">
        <v>11187.25</v>
      </c>
      <c r="K5224" s="18">
        <f t="shared" si="163"/>
        <v>0</v>
      </c>
      <c r="L5224" s="27">
        <v>2777.29</v>
      </c>
      <c r="M5224" s="36">
        <v>687.64</v>
      </c>
      <c r="T5224" s="41">
        <v>0</v>
      </c>
      <c r="U5224" s="41">
        <v>0</v>
      </c>
      <c r="V5224" s="42" t="s">
        <v>113</v>
      </c>
      <c r="W5224" s="42">
        <v>0</v>
      </c>
      <c r="X5224" s="42">
        <v>0</v>
      </c>
    </row>
    <row r="5225" spans="1:24">
      <c r="A5225" s="27" t="s">
        <v>9653</v>
      </c>
      <c r="B5225" s="28" t="s">
        <v>5102</v>
      </c>
      <c r="C5225" s="27" t="s">
        <v>9654</v>
      </c>
      <c r="D5225" s="27" t="s">
        <v>5104</v>
      </c>
      <c r="E5225" s="29">
        <v>42510</v>
      </c>
      <c r="F5225" s="27">
        <v>15</v>
      </c>
      <c r="G5225" s="18">
        <v>27481.71</v>
      </c>
      <c r="H5225" s="27">
        <f t="shared" si="162"/>
        <v>0</v>
      </c>
      <c r="I5225" s="18">
        <v>5133.28</v>
      </c>
      <c r="J5225" s="27">
        <v>27481.71</v>
      </c>
      <c r="K5225" s="18">
        <f t="shared" si="163"/>
        <v>0</v>
      </c>
      <c r="L5225" s="27">
        <v>6822.49</v>
      </c>
      <c r="M5225" s="36">
        <v>1689.21</v>
      </c>
      <c r="T5225" s="41">
        <v>0</v>
      </c>
      <c r="U5225" s="41">
        <v>0</v>
      </c>
      <c r="V5225" s="42" t="s">
        <v>113</v>
      </c>
      <c r="W5225" s="42">
        <v>0</v>
      </c>
      <c r="X5225" s="42">
        <v>0</v>
      </c>
    </row>
    <row r="5226" spans="1:24">
      <c r="A5226" s="27" t="s">
        <v>9655</v>
      </c>
      <c r="B5226" s="28" t="s">
        <v>5102</v>
      </c>
      <c r="C5226" s="27" t="s">
        <v>9656</v>
      </c>
      <c r="D5226" s="27" t="s">
        <v>5104</v>
      </c>
      <c r="E5226" s="29">
        <v>42510</v>
      </c>
      <c r="F5226" s="27">
        <v>15</v>
      </c>
      <c r="G5226" s="18">
        <v>80484.259999999995</v>
      </c>
      <c r="H5226" s="27">
        <f t="shared" si="162"/>
        <v>0</v>
      </c>
      <c r="I5226" s="18">
        <v>15033.56</v>
      </c>
      <c r="J5226" s="27">
        <v>80484.259999999995</v>
      </c>
      <c r="K5226" s="18">
        <f t="shared" si="163"/>
        <v>0</v>
      </c>
      <c r="L5226" s="27">
        <v>19980.66</v>
      </c>
      <c r="M5226" s="36">
        <v>4947.1000000000004</v>
      </c>
      <c r="T5226" s="41">
        <v>0</v>
      </c>
      <c r="U5226" s="41">
        <v>0</v>
      </c>
      <c r="V5226" s="42" t="s">
        <v>113</v>
      </c>
      <c r="W5226" s="42">
        <v>0</v>
      </c>
      <c r="X5226" s="42">
        <v>0</v>
      </c>
    </row>
    <row r="5227" spans="1:24">
      <c r="A5227" s="27" t="s">
        <v>9657</v>
      </c>
      <c r="B5227" s="28" t="s">
        <v>5102</v>
      </c>
      <c r="C5227" s="27" t="s">
        <v>9658</v>
      </c>
      <c r="D5227" s="27" t="s">
        <v>5104</v>
      </c>
      <c r="E5227" s="29">
        <v>42510</v>
      </c>
      <c r="F5227" s="27">
        <v>15</v>
      </c>
      <c r="G5227" s="18">
        <v>205031.84</v>
      </c>
      <c r="H5227" s="27">
        <f t="shared" si="162"/>
        <v>0</v>
      </c>
      <c r="I5227" s="18">
        <v>38297.660000000003</v>
      </c>
      <c r="J5227" s="27">
        <v>205031.84</v>
      </c>
      <c r="K5227" s="18">
        <f t="shared" si="163"/>
        <v>0</v>
      </c>
      <c r="L5227" s="27">
        <v>50900.28</v>
      </c>
      <c r="M5227" s="36">
        <v>12602.62</v>
      </c>
      <c r="T5227" s="41">
        <v>0</v>
      </c>
      <c r="U5227" s="41">
        <v>0</v>
      </c>
      <c r="V5227" s="42" t="s">
        <v>113</v>
      </c>
      <c r="W5227" s="42">
        <v>0</v>
      </c>
      <c r="X5227" s="42">
        <v>0</v>
      </c>
    </row>
    <row r="5228" spans="1:24">
      <c r="A5228" s="27" t="s">
        <v>9659</v>
      </c>
      <c r="B5228" s="28" t="s">
        <v>5102</v>
      </c>
      <c r="C5228" s="27" t="s">
        <v>9658</v>
      </c>
      <c r="D5228" s="27" t="s">
        <v>5104</v>
      </c>
      <c r="E5228" s="29">
        <v>42510</v>
      </c>
      <c r="F5228" s="27">
        <v>15</v>
      </c>
      <c r="G5228" s="18">
        <v>9254.49</v>
      </c>
      <c r="H5228" s="27">
        <f t="shared" si="162"/>
        <v>0</v>
      </c>
      <c r="I5228" s="18">
        <v>1728.63</v>
      </c>
      <c r="J5228" s="27">
        <v>9254.49</v>
      </c>
      <c r="K5228" s="18">
        <f t="shared" si="163"/>
        <v>0</v>
      </c>
      <c r="L5228" s="27">
        <v>2297.4699999999998</v>
      </c>
      <c r="M5228" s="36">
        <v>568.84</v>
      </c>
      <c r="T5228" s="41">
        <v>0</v>
      </c>
      <c r="U5228" s="41">
        <v>0</v>
      </c>
      <c r="V5228" s="42" t="s">
        <v>113</v>
      </c>
      <c r="W5228" s="42">
        <v>0</v>
      </c>
      <c r="X5228" s="42">
        <v>0</v>
      </c>
    </row>
    <row r="5229" spans="1:24">
      <c r="A5229" s="27" t="s">
        <v>9660</v>
      </c>
      <c r="B5229" s="28" t="s">
        <v>5102</v>
      </c>
      <c r="C5229" s="27" t="s">
        <v>9661</v>
      </c>
      <c r="D5229" s="27" t="s">
        <v>5104</v>
      </c>
      <c r="E5229" s="29">
        <v>42510</v>
      </c>
      <c r="F5229" s="27">
        <v>15</v>
      </c>
      <c r="G5229" s="18">
        <v>69513.649999999994</v>
      </c>
      <c r="H5229" s="27">
        <f t="shared" si="162"/>
        <v>0</v>
      </c>
      <c r="I5229" s="18">
        <v>12984.37</v>
      </c>
      <c r="J5229" s="27">
        <v>69513.649999999994</v>
      </c>
      <c r="K5229" s="18">
        <f t="shared" si="163"/>
        <v>0</v>
      </c>
      <c r="L5229" s="27">
        <v>17257.14</v>
      </c>
      <c r="M5229" s="36">
        <v>4272.7700000000004</v>
      </c>
      <c r="T5229" s="41">
        <v>0</v>
      </c>
      <c r="U5229" s="41">
        <v>0</v>
      </c>
      <c r="V5229" s="42" t="s">
        <v>113</v>
      </c>
      <c r="W5229" s="42">
        <v>0</v>
      </c>
      <c r="X5229" s="42">
        <v>0</v>
      </c>
    </row>
    <row r="5230" spans="1:24">
      <c r="A5230" s="27" t="s">
        <v>9662</v>
      </c>
      <c r="B5230" s="28" t="s">
        <v>5102</v>
      </c>
      <c r="C5230" s="27" t="s">
        <v>9663</v>
      </c>
      <c r="D5230" s="27" t="s">
        <v>5104</v>
      </c>
      <c r="E5230" s="29">
        <v>42510</v>
      </c>
      <c r="F5230" s="27">
        <v>15</v>
      </c>
      <c r="G5230" s="18">
        <v>4549.49</v>
      </c>
      <c r="H5230" s="27">
        <f t="shared" si="162"/>
        <v>0</v>
      </c>
      <c r="I5230" s="18">
        <v>849.79</v>
      </c>
      <c r="J5230" s="27">
        <v>4549.49</v>
      </c>
      <c r="K5230" s="18">
        <f t="shared" si="163"/>
        <v>0</v>
      </c>
      <c r="L5230" s="27">
        <v>1129.43</v>
      </c>
      <c r="M5230" s="36">
        <v>279.64</v>
      </c>
      <c r="T5230" s="41">
        <v>0</v>
      </c>
      <c r="U5230" s="41">
        <v>0</v>
      </c>
      <c r="V5230" s="42" t="s">
        <v>113</v>
      </c>
      <c r="W5230" s="42">
        <v>0</v>
      </c>
      <c r="X5230" s="42">
        <v>0</v>
      </c>
    </row>
    <row r="5231" spans="1:24">
      <c r="A5231" s="27" t="s">
        <v>9664</v>
      </c>
      <c r="B5231" s="28" t="s">
        <v>5102</v>
      </c>
      <c r="C5231" s="27" t="s">
        <v>9663</v>
      </c>
      <c r="D5231" s="27" t="s">
        <v>5104</v>
      </c>
      <c r="E5231" s="29">
        <v>42510</v>
      </c>
      <c r="F5231" s="27">
        <v>15</v>
      </c>
      <c r="G5231" s="18">
        <v>72725.06</v>
      </c>
      <c r="H5231" s="27">
        <f t="shared" si="162"/>
        <v>0</v>
      </c>
      <c r="I5231" s="18">
        <v>13584.24</v>
      </c>
      <c r="J5231" s="27">
        <v>72725.06</v>
      </c>
      <c r="K5231" s="18">
        <f t="shared" si="163"/>
        <v>0</v>
      </c>
      <c r="L5231" s="27">
        <v>18054.41</v>
      </c>
      <c r="M5231" s="36">
        <v>4470.17</v>
      </c>
      <c r="T5231" s="41">
        <v>0</v>
      </c>
      <c r="U5231" s="41">
        <v>0</v>
      </c>
      <c r="V5231" s="42" t="s">
        <v>113</v>
      </c>
      <c r="W5231" s="42">
        <v>0</v>
      </c>
      <c r="X5231" s="42">
        <v>0</v>
      </c>
    </row>
    <row r="5232" spans="1:24">
      <c r="A5232" s="27" t="s">
        <v>9665</v>
      </c>
      <c r="B5232" s="28" t="s">
        <v>5102</v>
      </c>
      <c r="C5232" s="27" t="s">
        <v>9666</v>
      </c>
      <c r="D5232" s="27" t="s">
        <v>5104</v>
      </c>
      <c r="E5232" s="29">
        <v>42510</v>
      </c>
      <c r="F5232" s="27">
        <v>15</v>
      </c>
      <c r="G5232" s="18">
        <v>72796.81</v>
      </c>
      <c r="H5232" s="27">
        <f t="shared" si="162"/>
        <v>0</v>
      </c>
      <c r="I5232" s="18">
        <v>13597.64</v>
      </c>
      <c r="J5232" s="27">
        <v>72796.81</v>
      </c>
      <c r="K5232" s="18">
        <f t="shared" si="163"/>
        <v>0</v>
      </c>
      <c r="L5232" s="27">
        <v>18072.22</v>
      </c>
      <c r="M5232" s="36">
        <v>4474.58</v>
      </c>
      <c r="T5232" s="41">
        <v>0</v>
      </c>
      <c r="U5232" s="41">
        <v>0</v>
      </c>
      <c r="V5232" s="42" t="s">
        <v>113</v>
      </c>
      <c r="W5232" s="42">
        <v>0</v>
      </c>
      <c r="X5232" s="42">
        <v>0</v>
      </c>
    </row>
    <row r="5233" spans="1:24">
      <c r="A5233" s="27" t="s">
        <v>9667</v>
      </c>
      <c r="B5233" s="28" t="s">
        <v>5102</v>
      </c>
      <c r="C5233" s="27" t="s">
        <v>9668</v>
      </c>
      <c r="D5233" s="27" t="s">
        <v>5104</v>
      </c>
      <c r="E5233" s="29">
        <v>42510</v>
      </c>
      <c r="F5233" s="27">
        <v>15</v>
      </c>
      <c r="G5233" s="18">
        <v>77815.41</v>
      </c>
      <c r="H5233" s="27">
        <f t="shared" si="162"/>
        <v>0</v>
      </c>
      <c r="I5233" s="18">
        <v>14535.04</v>
      </c>
      <c r="J5233" s="27">
        <v>77815.41</v>
      </c>
      <c r="K5233" s="18">
        <f t="shared" si="163"/>
        <v>0</v>
      </c>
      <c r="L5233" s="27">
        <v>19318.099999999999</v>
      </c>
      <c r="M5233" s="36">
        <v>4783.0600000000004</v>
      </c>
      <c r="T5233" s="41">
        <v>0</v>
      </c>
      <c r="U5233" s="41">
        <v>0</v>
      </c>
      <c r="V5233" s="42" t="s">
        <v>113</v>
      </c>
      <c r="W5233" s="42">
        <v>0</v>
      </c>
      <c r="X5233" s="42">
        <v>0</v>
      </c>
    </row>
    <row r="5234" spans="1:24">
      <c r="A5234" s="27" t="s">
        <v>9669</v>
      </c>
      <c r="B5234" s="28" t="s">
        <v>5102</v>
      </c>
      <c r="C5234" s="27" t="s">
        <v>9670</v>
      </c>
      <c r="D5234" s="27" t="s">
        <v>5104</v>
      </c>
      <c r="E5234" s="29">
        <v>42510</v>
      </c>
      <c r="F5234" s="27">
        <v>15</v>
      </c>
      <c r="G5234" s="18">
        <v>115784.98</v>
      </c>
      <c r="H5234" s="27">
        <f t="shared" si="162"/>
        <v>0</v>
      </c>
      <c r="I5234" s="18">
        <v>21627.35</v>
      </c>
      <c r="J5234" s="27">
        <v>115784.98</v>
      </c>
      <c r="K5234" s="18">
        <f t="shared" si="163"/>
        <v>0</v>
      </c>
      <c r="L5234" s="27">
        <v>28744.27</v>
      </c>
      <c r="M5234" s="36">
        <v>7116.92</v>
      </c>
      <c r="T5234" s="41">
        <v>0</v>
      </c>
      <c r="U5234" s="41">
        <v>0</v>
      </c>
      <c r="V5234" s="42" t="s">
        <v>113</v>
      </c>
      <c r="W5234" s="42">
        <v>0</v>
      </c>
      <c r="X5234" s="42">
        <v>0</v>
      </c>
    </row>
    <row r="5235" spans="1:24">
      <c r="A5235" s="27" t="s">
        <v>9671</v>
      </c>
      <c r="B5235" s="28" t="s">
        <v>5102</v>
      </c>
      <c r="C5235" s="27" t="s">
        <v>9672</v>
      </c>
      <c r="D5235" s="27" t="s">
        <v>5104</v>
      </c>
      <c r="E5235" s="29">
        <v>42510</v>
      </c>
      <c r="F5235" s="27">
        <v>15</v>
      </c>
      <c r="G5235" s="18">
        <v>77145.91</v>
      </c>
      <c r="H5235" s="27">
        <f t="shared" si="162"/>
        <v>0</v>
      </c>
      <c r="I5235" s="18">
        <v>14410</v>
      </c>
      <c r="J5235" s="27">
        <v>77145.91</v>
      </c>
      <c r="K5235" s="18">
        <f t="shared" si="163"/>
        <v>0</v>
      </c>
      <c r="L5235" s="27">
        <v>19151.900000000001</v>
      </c>
      <c r="M5235" s="36">
        <v>4741.8999999999996</v>
      </c>
      <c r="T5235" s="41">
        <v>0</v>
      </c>
      <c r="U5235" s="41">
        <v>0</v>
      </c>
      <c r="V5235" s="42" t="s">
        <v>113</v>
      </c>
      <c r="W5235" s="42">
        <v>0</v>
      </c>
      <c r="X5235" s="42">
        <v>0</v>
      </c>
    </row>
    <row r="5236" spans="1:24">
      <c r="A5236" s="27" t="s">
        <v>9673</v>
      </c>
      <c r="B5236" s="28" t="s">
        <v>5102</v>
      </c>
      <c r="C5236" s="27" t="s">
        <v>9672</v>
      </c>
      <c r="D5236" s="27" t="s">
        <v>5104</v>
      </c>
      <c r="E5236" s="29">
        <v>42510</v>
      </c>
      <c r="F5236" s="27">
        <v>15</v>
      </c>
      <c r="G5236" s="18">
        <v>40787.519999999997</v>
      </c>
      <c r="H5236" s="27">
        <f t="shared" si="162"/>
        <v>0</v>
      </c>
      <c r="I5236" s="18">
        <v>7618.65</v>
      </c>
      <c r="J5236" s="27">
        <v>40787.519999999997</v>
      </c>
      <c r="K5236" s="18">
        <f t="shared" si="163"/>
        <v>0</v>
      </c>
      <c r="L5236" s="27">
        <v>10125.719999999999</v>
      </c>
      <c r="M5236" s="36">
        <v>2507.0700000000002</v>
      </c>
      <c r="T5236" s="41">
        <v>0</v>
      </c>
      <c r="U5236" s="41">
        <v>0</v>
      </c>
      <c r="V5236" s="42" t="s">
        <v>113</v>
      </c>
      <c r="W5236" s="42">
        <v>0</v>
      </c>
      <c r="X5236" s="42">
        <v>0</v>
      </c>
    </row>
    <row r="5237" spans="1:24">
      <c r="A5237" s="27" t="s">
        <v>9674</v>
      </c>
      <c r="B5237" s="28" t="s">
        <v>5102</v>
      </c>
      <c r="C5237" s="27" t="s">
        <v>9675</v>
      </c>
      <c r="D5237" s="27" t="s">
        <v>5104</v>
      </c>
      <c r="E5237" s="29">
        <v>42582</v>
      </c>
      <c r="F5237" s="27">
        <v>15</v>
      </c>
      <c r="G5237" s="18">
        <v>77170.73</v>
      </c>
      <c r="H5237" s="27">
        <f t="shared" si="162"/>
        <v>0</v>
      </c>
      <c r="I5237" s="18">
        <v>13413.68</v>
      </c>
      <c r="J5237" s="27">
        <v>77170.73</v>
      </c>
      <c r="K5237" s="18">
        <f t="shared" si="163"/>
        <v>0</v>
      </c>
      <c r="L5237" s="27">
        <v>18173.830000000002</v>
      </c>
      <c r="M5237" s="36">
        <v>4760.1499999999996</v>
      </c>
      <c r="T5237" s="41">
        <v>0</v>
      </c>
      <c r="U5237" s="41">
        <v>0</v>
      </c>
      <c r="V5237" s="42" t="s">
        <v>113</v>
      </c>
      <c r="W5237" s="42">
        <v>0</v>
      </c>
      <c r="X5237" s="42">
        <v>0</v>
      </c>
    </row>
    <row r="5238" spans="1:24">
      <c r="A5238" s="27" t="s">
        <v>9676</v>
      </c>
      <c r="B5238" s="28" t="s">
        <v>5102</v>
      </c>
      <c r="C5238" s="27" t="s">
        <v>9677</v>
      </c>
      <c r="D5238" s="27" t="s">
        <v>5104</v>
      </c>
      <c r="E5238" s="29">
        <v>42582</v>
      </c>
      <c r="F5238" s="27">
        <v>15</v>
      </c>
      <c r="G5238" s="18">
        <v>154050.79</v>
      </c>
      <c r="H5238" s="27">
        <f t="shared" si="162"/>
        <v>0</v>
      </c>
      <c r="I5238" s="18">
        <v>26776.83</v>
      </c>
      <c r="J5238" s="27">
        <v>154050.79</v>
      </c>
      <c r="K5238" s="18">
        <f t="shared" si="163"/>
        <v>0</v>
      </c>
      <c r="L5238" s="27">
        <v>36279.19</v>
      </c>
      <c r="M5238" s="36">
        <v>9502.36</v>
      </c>
      <c r="T5238" s="41">
        <v>0</v>
      </c>
      <c r="U5238" s="41">
        <v>0</v>
      </c>
      <c r="V5238" s="42" t="s">
        <v>113</v>
      </c>
      <c r="W5238" s="42">
        <v>0</v>
      </c>
      <c r="X5238" s="42">
        <v>0</v>
      </c>
    </row>
    <row r="5239" spans="1:24">
      <c r="A5239" s="27" t="s">
        <v>9678</v>
      </c>
      <c r="B5239" s="28" t="s">
        <v>5102</v>
      </c>
      <c r="C5239" s="27" t="s">
        <v>9677</v>
      </c>
      <c r="D5239" s="27" t="s">
        <v>5104</v>
      </c>
      <c r="E5239" s="29">
        <v>42582</v>
      </c>
      <c r="F5239" s="27">
        <v>15</v>
      </c>
      <c r="G5239" s="18">
        <v>14932.75</v>
      </c>
      <c r="H5239" s="27">
        <f t="shared" si="162"/>
        <v>0</v>
      </c>
      <c r="I5239" s="18">
        <v>2595.58</v>
      </c>
      <c r="J5239" s="27">
        <v>14932.75</v>
      </c>
      <c r="K5239" s="18">
        <f t="shared" si="163"/>
        <v>0</v>
      </c>
      <c r="L5239" s="27">
        <v>3516.68</v>
      </c>
      <c r="M5239" s="36">
        <v>921.1</v>
      </c>
      <c r="T5239" s="41">
        <v>0</v>
      </c>
      <c r="U5239" s="41">
        <v>0</v>
      </c>
      <c r="V5239" s="42" t="s">
        <v>113</v>
      </c>
      <c r="W5239" s="42">
        <v>0</v>
      </c>
      <c r="X5239" s="42">
        <v>0</v>
      </c>
    </row>
    <row r="5240" spans="1:24">
      <c r="A5240" s="27" t="s">
        <v>9679</v>
      </c>
      <c r="B5240" s="28" t="s">
        <v>5102</v>
      </c>
      <c r="C5240" s="27" t="s">
        <v>9680</v>
      </c>
      <c r="D5240" s="27" t="s">
        <v>5104</v>
      </c>
      <c r="E5240" s="29">
        <v>42510</v>
      </c>
      <c r="F5240" s="27">
        <v>15</v>
      </c>
      <c r="G5240" s="18">
        <v>47534.91</v>
      </c>
      <c r="H5240" s="27">
        <f t="shared" si="162"/>
        <v>0</v>
      </c>
      <c r="I5240" s="18">
        <v>8879.01</v>
      </c>
      <c r="J5240" s="27">
        <v>47534.91</v>
      </c>
      <c r="K5240" s="18">
        <f t="shared" si="163"/>
        <v>0</v>
      </c>
      <c r="L5240" s="27">
        <v>11800.82</v>
      </c>
      <c r="M5240" s="36">
        <v>2921.81</v>
      </c>
      <c r="T5240" s="41">
        <v>0</v>
      </c>
      <c r="U5240" s="41">
        <v>0</v>
      </c>
      <c r="V5240" s="42" t="s">
        <v>113</v>
      </c>
      <c r="W5240" s="42">
        <v>0</v>
      </c>
      <c r="X5240" s="42">
        <v>0</v>
      </c>
    </row>
    <row r="5241" spans="1:24">
      <c r="A5241" s="27" t="s">
        <v>9681</v>
      </c>
      <c r="B5241" s="28" t="s">
        <v>5102</v>
      </c>
      <c r="C5241" s="27" t="s">
        <v>9682</v>
      </c>
      <c r="D5241" s="27" t="s">
        <v>5104</v>
      </c>
      <c r="E5241" s="29">
        <v>42510</v>
      </c>
      <c r="F5241" s="27">
        <v>15</v>
      </c>
      <c r="G5241" s="18">
        <v>22829</v>
      </c>
      <c r="H5241" s="27">
        <f t="shared" si="162"/>
        <v>0</v>
      </c>
      <c r="I5241" s="18">
        <v>4264.2</v>
      </c>
      <c r="J5241" s="27">
        <v>22829</v>
      </c>
      <c r="K5241" s="18">
        <f t="shared" si="163"/>
        <v>0</v>
      </c>
      <c r="L5241" s="27">
        <v>5667.42</v>
      </c>
      <c r="M5241" s="36">
        <v>1403.22</v>
      </c>
      <c r="T5241" s="41">
        <v>0</v>
      </c>
      <c r="U5241" s="41">
        <v>0</v>
      </c>
      <c r="V5241" s="42" t="s">
        <v>113</v>
      </c>
      <c r="W5241" s="42">
        <v>0</v>
      </c>
      <c r="X5241" s="42">
        <v>0</v>
      </c>
    </row>
    <row r="5242" spans="1:24">
      <c r="A5242" s="27" t="s">
        <v>9683</v>
      </c>
      <c r="B5242" s="28" t="s">
        <v>5102</v>
      </c>
      <c r="C5242" s="27" t="s">
        <v>9682</v>
      </c>
      <c r="D5242" s="27" t="s">
        <v>5104</v>
      </c>
      <c r="E5242" s="29">
        <v>42510</v>
      </c>
      <c r="F5242" s="27">
        <v>15</v>
      </c>
      <c r="G5242" s="18">
        <v>25990.91</v>
      </c>
      <c r="H5242" s="27">
        <f t="shared" si="162"/>
        <v>0</v>
      </c>
      <c r="I5242" s="18">
        <v>4854.8</v>
      </c>
      <c r="J5242" s="27">
        <v>25990.91</v>
      </c>
      <c r="K5242" s="18">
        <f t="shared" si="163"/>
        <v>0</v>
      </c>
      <c r="L5242" s="27">
        <v>6452.38</v>
      </c>
      <c r="M5242" s="36">
        <v>1597.58</v>
      </c>
      <c r="T5242" s="41">
        <v>0</v>
      </c>
      <c r="U5242" s="41">
        <v>0</v>
      </c>
      <c r="V5242" s="42" t="s">
        <v>113</v>
      </c>
      <c r="W5242" s="42">
        <v>0</v>
      </c>
      <c r="X5242" s="42">
        <v>0</v>
      </c>
    </row>
    <row r="5243" spans="1:24">
      <c r="A5243" s="27" t="s">
        <v>9684</v>
      </c>
      <c r="B5243" s="28" t="s">
        <v>5102</v>
      </c>
      <c r="C5243" s="27" t="s">
        <v>9685</v>
      </c>
      <c r="D5243" s="27" t="s">
        <v>5104</v>
      </c>
      <c r="E5243" s="29">
        <v>42510</v>
      </c>
      <c r="F5243" s="27">
        <v>15</v>
      </c>
      <c r="G5243" s="18">
        <v>74674.649999999994</v>
      </c>
      <c r="H5243" s="27">
        <f t="shared" si="162"/>
        <v>0</v>
      </c>
      <c r="I5243" s="18">
        <v>13948.39</v>
      </c>
      <c r="J5243" s="27">
        <v>74674.649999999994</v>
      </c>
      <c r="K5243" s="18">
        <f t="shared" si="163"/>
        <v>0</v>
      </c>
      <c r="L5243" s="27">
        <v>18538.39</v>
      </c>
      <c r="M5243" s="36">
        <v>4590</v>
      </c>
      <c r="T5243" s="41">
        <v>0</v>
      </c>
      <c r="U5243" s="41">
        <v>0</v>
      </c>
      <c r="V5243" s="42" t="s">
        <v>113</v>
      </c>
      <c r="W5243" s="42">
        <v>0</v>
      </c>
      <c r="X5243" s="42">
        <v>0</v>
      </c>
    </row>
    <row r="5244" spans="1:24">
      <c r="A5244" s="27" t="s">
        <v>9686</v>
      </c>
      <c r="B5244" s="28" t="s">
        <v>5102</v>
      </c>
      <c r="C5244" s="27" t="s">
        <v>9685</v>
      </c>
      <c r="D5244" s="27" t="s">
        <v>5104</v>
      </c>
      <c r="E5244" s="29">
        <v>42510</v>
      </c>
      <c r="F5244" s="27">
        <v>15</v>
      </c>
      <c r="G5244" s="18">
        <v>124496.04</v>
      </c>
      <c r="H5244" s="27">
        <f t="shared" si="162"/>
        <v>0</v>
      </c>
      <c r="I5244" s="18">
        <v>23254.48</v>
      </c>
      <c r="J5244" s="27">
        <v>124496.04</v>
      </c>
      <c r="K5244" s="18">
        <f t="shared" si="163"/>
        <v>0</v>
      </c>
      <c r="L5244" s="27">
        <v>30906.84</v>
      </c>
      <c r="M5244" s="36">
        <v>7652.36</v>
      </c>
      <c r="T5244" s="41">
        <v>0</v>
      </c>
      <c r="U5244" s="41">
        <v>0</v>
      </c>
      <c r="V5244" s="42" t="s">
        <v>113</v>
      </c>
      <c r="W5244" s="42">
        <v>0</v>
      </c>
      <c r="X5244" s="42">
        <v>0</v>
      </c>
    </row>
    <row r="5245" spans="1:24">
      <c r="A5245" s="27" t="s">
        <v>9687</v>
      </c>
      <c r="B5245" s="28" t="s">
        <v>5102</v>
      </c>
      <c r="C5245" s="27" t="s">
        <v>9688</v>
      </c>
      <c r="D5245" s="27" t="s">
        <v>5104</v>
      </c>
      <c r="E5245" s="29">
        <v>42510</v>
      </c>
      <c r="F5245" s="27">
        <v>15</v>
      </c>
      <c r="G5245" s="18">
        <v>11947.94</v>
      </c>
      <c r="H5245" s="27">
        <f t="shared" si="162"/>
        <v>0</v>
      </c>
      <c r="I5245" s="18">
        <v>2231.7399999999998</v>
      </c>
      <c r="J5245" s="27">
        <v>11947.94</v>
      </c>
      <c r="K5245" s="18">
        <f t="shared" si="163"/>
        <v>0</v>
      </c>
      <c r="L5245" s="27">
        <v>2966.14</v>
      </c>
      <c r="M5245" s="36">
        <v>734.4</v>
      </c>
      <c r="T5245" s="41">
        <v>0</v>
      </c>
      <c r="U5245" s="41">
        <v>0</v>
      </c>
      <c r="V5245" s="42" t="s">
        <v>113</v>
      </c>
      <c r="W5245" s="42">
        <v>0</v>
      </c>
      <c r="X5245" s="42">
        <v>0</v>
      </c>
    </row>
    <row r="5246" spans="1:24">
      <c r="A5246" s="27" t="s">
        <v>9689</v>
      </c>
      <c r="B5246" s="28" t="s">
        <v>5102</v>
      </c>
      <c r="C5246" s="27" t="s">
        <v>9690</v>
      </c>
      <c r="D5246" s="27" t="s">
        <v>5104</v>
      </c>
      <c r="E5246" s="29">
        <v>42510</v>
      </c>
      <c r="F5246" s="27">
        <v>15</v>
      </c>
      <c r="G5246" s="18">
        <v>21368.43</v>
      </c>
      <c r="H5246" s="27">
        <f t="shared" si="162"/>
        <v>0</v>
      </c>
      <c r="I5246" s="18">
        <v>3991.39</v>
      </c>
      <c r="J5246" s="27">
        <v>21368.43</v>
      </c>
      <c r="K5246" s="18">
        <f t="shared" si="163"/>
        <v>0</v>
      </c>
      <c r="L5246" s="27">
        <v>5304.84</v>
      </c>
      <c r="M5246" s="36">
        <v>1313.45</v>
      </c>
      <c r="T5246" s="41">
        <v>0</v>
      </c>
      <c r="U5246" s="41">
        <v>0</v>
      </c>
      <c r="V5246" s="42" t="s">
        <v>113</v>
      </c>
      <c r="W5246" s="42">
        <v>0</v>
      </c>
      <c r="X5246" s="42">
        <v>0</v>
      </c>
    </row>
    <row r="5247" spans="1:24">
      <c r="A5247" s="27" t="s">
        <v>9691</v>
      </c>
      <c r="B5247" s="28" t="s">
        <v>5102</v>
      </c>
      <c r="C5247" s="27" t="s">
        <v>9690</v>
      </c>
      <c r="D5247" s="27" t="s">
        <v>5104</v>
      </c>
      <c r="E5247" s="29">
        <v>42510</v>
      </c>
      <c r="F5247" s="27">
        <v>15</v>
      </c>
      <c r="G5247" s="18">
        <v>13479.73</v>
      </c>
      <c r="H5247" s="27">
        <f t="shared" si="162"/>
        <v>0</v>
      </c>
      <c r="I5247" s="18">
        <v>2517.86</v>
      </c>
      <c r="J5247" s="27">
        <v>13479.73</v>
      </c>
      <c r="K5247" s="18">
        <f t="shared" si="163"/>
        <v>0</v>
      </c>
      <c r="L5247" s="27">
        <v>3346.41</v>
      </c>
      <c r="M5247" s="36">
        <v>828.55</v>
      </c>
      <c r="T5247" s="41">
        <v>0</v>
      </c>
      <c r="U5247" s="41">
        <v>0</v>
      </c>
      <c r="V5247" s="42" t="s">
        <v>113</v>
      </c>
      <c r="W5247" s="42">
        <v>0</v>
      </c>
      <c r="X5247" s="42">
        <v>0</v>
      </c>
    </row>
    <row r="5248" spans="1:24">
      <c r="A5248" s="27" t="s">
        <v>9692</v>
      </c>
      <c r="B5248" s="28" t="s">
        <v>5102</v>
      </c>
      <c r="C5248" s="27" t="s">
        <v>9693</v>
      </c>
      <c r="D5248" s="27" t="s">
        <v>5104</v>
      </c>
      <c r="E5248" s="29">
        <v>42510</v>
      </c>
      <c r="F5248" s="27">
        <v>15</v>
      </c>
      <c r="G5248" s="18">
        <v>59778.01</v>
      </c>
      <c r="H5248" s="27">
        <f t="shared" si="162"/>
        <v>0</v>
      </c>
      <c r="I5248" s="18">
        <v>11165.87</v>
      </c>
      <c r="J5248" s="27">
        <v>59778.01</v>
      </c>
      <c r="K5248" s="18">
        <f t="shared" si="163"/>
        <v>0</v>
      </c>
      <c r="L5248" s="27">
        <v>14840.22</v>
      </c>
      <c r="M5248" s="36">
        <v>3674.35</v>
      </c>
      <c r="T5248" s="41">
        <v>0</v>
      </c>
      <c r="U5248" s="41">
        <v>0</v>
      </c>
      <c r="V5248" s="42" t="s">
        <v>113</v>
      </c>
      <c r="W5248" s="42">
        <v>0</v>
      </c>
      <c r="X5248" s="42">
        <v>0</v>
      </c>
    </row>
    <row r="5249" spans="1:24">
      <c r="A5249" s="27" t="s">
        <v>9694</v>
      </c>
      <c r="B5249" s="28" t="s">
        <v>5102</v>
      </c>
      <c r="C5249" s="27" t="s">
        <v>9695</v>
      </c>
      <c r="D5249" s="27" t="s">
        <v>5104</v>
      </c>
      <c r="E5249" s="29">
        <v>42510</v>
      </c>
      <c r="F5249" s="27">
        <v>15</v>
      </c>
      <c r="G5249" s="18">
        <v>10290.68</v>
      </c>
      <c r="H5249" s="27">
        <f t="shared" si="162"/>
        <v>0</v>
      </c>
      <c r="I5249" s="18">
        <v>1922.18</v>
      </c>
      <c r="J5249" s="27">
        <v>10290.68</v>
      </c>
      <c r="K5249" s="18">
        <f t="shared" si="163"/>
        <v>0</v>
      </c>
      <c r="L5249" s="27">
        <v>2554.71</v>
      </c>
      <c r="M5249" s="36">
        <v>632.53</v>
      </c>
      <c r="T5249" s="41">
        <v>0</v>
      </c>
      <c r="U5249" s="41">
        <v>0</v>
      </c>
      <c r="V5249" s="42" t="s">
        <v>113</v>
      </c>
      <c r="W5249" s="42">
        <v>0</v>
      </c>
      <c r="X5249" s="42">
        <v>0</v>
      </c>
    </row>
    <row r="5250" spans="1:24">
      <c r="A5250" s="27" t="s">
        <v>9696</v>
      </c>
      <c r="B5250" s="28" t="s">
        <v>5102</v>
      </c>
      <c r="C5250" s="27" t="s">
        <v>9697</v>
      </c>
      <c r="D5250" s="27" t="s">
        <v>5104</v>
      </c>
      <c r="E5250" s="29">
        <v>42510</v>
      </c>
      <c r="F5250" s="27">
        <v>15</v>
      </c>
      <c r="G5250" s="18">
        <v>12800.61</v>
      </c>
      <c r="H5250" s="27">
        <f t="shared" si="162"/>
        <v>0</v>
      </c>
      <c r="I5250" s="18">
        <v>2391.0100000000002</v>
      </c>
      <c r="J5250" s="27">
        <v>12800.61</v>
      </c>
      <c r="K5250" s="18">
        <f t="shared" si="163"/>
        <v>0</v>
      </c>
      <c r="L5250" s="27">
        <v>3177.82</v>
      </c>
      <c r="M5250" s="36">
        <v>786.81</v>
      </c>
      <c r="T5250" s="41">
        <v>0</v>
      </c>
      <c r="U5250" s="41">
        <v>0</v>
      </c>
      <c r="V5250" s="42" t="s">
        <v>113</v>
      </c>
      <c r="W5250" s="42">
        <v>0</v>
      </c>
      <c r="X5250" s="42">
        <v>0</v>
      </c>
    </row>
    <row r="5251" spans="1:24">
      <c r="A5251" s="27" t="s">
        <v>9698</v>
      </c>
      <c r="B5251" s="28" t="s">
        <v>5102</v>
      </c>
      <c r="C5251" s="27" t="s">
        <v>9697</v>
      </c>
      <c r="D5251" s="27" t="s">
        <v>5104</v>
      </c>
      <c r="E5251" s="29">
        <v>42510</v>
      </c>
      <c r="F5251" s="27">
        <v>15</v>
      </c>
      <c r="G5251" s="18">
        <v>145776.43</v>
      </c>
      <c r="H5251" s="27">
        <f t="shared" si="162"/>
        <v>0</v>
      </c>
      <c r="I5251" s="18">
        <v>27229.41</v>
      </c>
      <c r="J5251" s="27">
        <v>145776.43</v>
      </c>
      <c r="K5251" s="18">
        <f t="shared" si="163"/>
        <v>0</v>
      </c>
      <c r="L5251" s="27">
        <v>36189.800000000003</v>
      </c>
      <c r="M5251" s="36">
        <v>8960.39</v>
      </c>
      <c r="T5251" s="41">
        <v>0</v>
      </c>
      <c r="U5251" s="41">
        <v>0</v>
      </c>
      <c r="V5251" s="42" t="s">
        <v>113</v>
      </c>
      <c r="W5251" s="42">
        <v>0</v>
      </c>
      <c r="X5251" s="42">
        <v>0</v>
      </c>
    </row>
    <row r="5252" spans="1:24">
      <c r="A5252" s="27" t="s">
        <v>9699</v>
      </c>
      <c r="B5252" s="28" t="s">
        <v>5102</v>
      </c>
      <c r="C5252" s="27" t="s">
        <v>9235</v>
      </c>
      <c r="D5252" s="27" t="s">
        <v>5104</v>
      </c>
      <c r="E5252" s="29">
        <v>42510</v>
      </c>
      <c r="F5252" s="27">
        <v>15</v>
      </c>
      <c r="G5252" s="18">
        <v>81938.95</v>
      </c>
      <c r="H5252" s="27">
        <f t="shared" si="162"/>
        <v>0</v>
      </c>
      <c r="I5252" s="18">
        <v>15305.28</v>
      </c>
      <c r="J5252" s="27">
        <v>81938.95</v>
      </c>
      <c r="K5252" s="18">
        <f t="shared" si="163"/>
        <v>0</v>
      </c>
      <c r="L5252" s="27">
        <v>20341.79</v>
      </c>
      <c r="M5252" s="36">
        <v>5036.51</v>
      </c>
      <c r="T5252" s="41">
        <v>0</v>
      </c>
      <c r="U5252" s="41">
        <v>0</v>
      </c>
      <c r="V5252" s="42" t="s">
        <v>113</v>
      </c>
      <c r="W5252" s="42">
        <v>0</v>
      </c>
      <c r="X5252" s="42">
        <v>0</v>
      </c>
    </row>
    <row r="5253" spans="1:24">
      <c r="A5253" s="27" t="s">
        <v>9700</v>
      </c>
      <c r="B5253" s="28" t="s">
        <v>5102</v>
      </c>
      <c r="C5253" s="27" t="s">
        <v>9237</v>
      </c>
      <c r="D5253" s="27" t="s">
        <v>5104</v>
      </c>
      <c r="E5253" s="29">
        <v>42510</v>
      </c>
      <c r="F5253" s="27">
        <v>15</v>
      </c>
      <c r="G5253" s="18">
        <v>151847.37</v>
      </c>
      <c r="H5253" s="27">
        <f t="shared" si="162"/>
        <v>0</v>
      </c>
      <c r="I5253" s="18">
        <v>28363.39</v>
      </c>
      <c r="J5253" s="27">
        <v>151847.37</v>
      </c>
      <c r="K5253" s="18">
        <f t="shared" si="163"/>
        <v>0</v>
      </c>
      <c r="L5253" s="27">
        <v>37696.94</v>
      </c>
      <c r="M5253" s="36">
        <v>9333.5499999999993</v>
      </c>
      <c r="T5253" s="41">
        <v>0</v>
      </c>
      <c r="U5253" s="41">
        <v>0</v>
      </c>
      <c r="V5253" s="42" t="s">
        <v>113</v>
      </c>
      <c r="W5253" s="42">
        <v>0</v>
      </c>
      <c r="X5253" s="42">
        <v>0</v>
      </c>
    </row>
    <row r="5254" spans="1:24">
      <c r="A5254" s="27" t="s">
        <v>9701</v>
      </c>
      <c r="B5254" s="28" t="s">
        <v>5102</v>
      </c>
      <c r="C5254" s="27" t="s">
        <v>9702</v>
      </c>
      <c r="D5254" s="27" t="s">
        <v>5104</v>
      </c>
      <c r="E5254" s="29">
        <v>42510</v>
      </c>
      <c r="F5254" s="27">
        <v>15</v>
      </c>
      <c r="G5254" s="18">
        <v>39579.410000000003</v>
      </c>
      <c r="H5254" s="27">
        <f t="shared" ref="H5254:H5317" si="164">IFERROR(IF(ROUND((G5254-I5254)/G5254,2)&lt;=0.05,G5254,0),0)</f>
        <v>0</v>
      </c>
      <c r="I5254" s="18">
        <v>7392.99</v>
      </c>
      <c r="J5254" s="27">
        <v>39579.410000000003</v>
      </c>
      <c r="K5254" s="18">
        <f t="shared" ref="K5254:K5317" si="165">IFERROR(IF(ROUND((J5254-L5254)/J5254,2)&lt;=0.05,J5254,0),0)</f>
        <v>0</v>
      </c>
      <c r="L5254" s="27">
        <v>9825.7999999999993</v>
      </c>
      <c r="M5254" s="36">
        <v>2432.81</v>
      </c>
      <c r="T5254" s="41">
        <v>0</v>
      </c>
      <c r="U5254" s="41">
        <v>0</v>
      </c>
      <c r="V5254" s="42" t="s">
        <v>113</v>
      </c>
      <c r="W5254" s="42">
        <v>0</v>
      </c>
      <c r="X5254" s="42">
        <v>0</v>
      </c>
    </row>
    <row r="5255" spans="1:24">
      <c r="A5255" s="27" t="s">
        <v>9703</v>
      </c>
      <c r="B5255" s="28" t="s">
        <v>5102</v>
      </c>
      <c r="C5255" s="27" t="s">
        <v>9704</v>
      </c>
      <c r="D5255" s="27" t="s">
        <v>5104</v>
      </c>
      <c r="E5255" s="29">
        <v>42510</v>
      </c>
      <c r="F5255" s="27">
        <v>15</v>
      </c>
      <c r="G5255" s="18">
        <v>20615.71</v>
      </c>
      <c r="H5255" s="27">
        <f t="shared" si="164"/>
        <v>0</v>
      </c>
      <c r="I5255" s="18">
        <v>3850.79</v>
      </c>
      <c r="J5255" s="27">
        <v>20615.71</v>
      </c>
      <c r="K5255" s="18">
        <f t="shared" si="165"/>
        <v>0</v>
      </c>
      <c r="L5255" s="27">
        <v>5117.97</v>
      </c>
      <c r="M5255" s="36">
        <v>1267.18</v>
      </c>
      <c r="T5255" s="41">
        <v>0</v>
      </c>
      <c r="U5255" s="41">
        <v>0</v>
      </c>
      <c r="V5255" s="42" t="s">
        <v>113</v>
      </c>
      <c r="W5255" s="42">
        <v>0</v>
      </c>
      <c r="X5255" s="42">
        <v>0</v>
      </c>
    </row>
    <row r="5256" spans="1:24">
      <c r="A5256" s="27" t="s">
        <v>9705</v>
      </c>
      <c r="B5256" s="28" t="s">
        <v>5102</v>
      </c>
      <c r="C5256" s="27" t="s">
        <v>9706</v>
      </c>
      <c r="D5256" s="27" t="s">
        <v>5104</v>
      </c>
      <c r="E5256" s="29">
        <v>42510</v>
      </c>
      <c r="F5256" s="27">
        <v>15</v>
      </c>
      <c r="G5256" s="18">
        <v>66988.59</v>
      </c>
      <c r="H5256" s="27">
        <f t="shared" si="164"/>
        <v>0</v>
      </c>
      <c r="I5256" s="18">
        <v>12512.72</v>
      </c>
      <c r="J5256" s="27">
        <v>66988.59</v>
      </c>
      <c r="K5256" s="18">
        <f t="shared" si="165"/>
        <v>0</v>
      </c>
      <c r="L5256" s="27">
        <v>16630.29</v>
      </c>
      <c r="M5256" s="36">
        <v>4117.57</v>
      </c>
      <c r="T5256" s="41">
        <v>0</v>
      </c>
      <c r="U5256" s="41">
        <v>0</v>
      </c>
      <c r="V5256" s="42" t="s">
        <v>113</v>
      </c>
      <c r="W5256" s="42">
        <v>0</v>
      </c>
      <c r="X5256" s="42">
        <v>0</v>
      </c>
    </row>
    <row r="5257" spans="1:24">
      <c r="A5257" s="27" t="s">
        <v>9707</v>
      </c>
      <c r="B5257" s="28" t="s">
        <v>5102</v>
      </c>
      <c r="C5257" s="27" t="s">
        <v>9708</v>
      </c>
      <c r="D5257" s="27" t="s">
        <v>5104</v>
      </c>
      <c r="E5257" s="29">
        <v>42510</v>
      </c>
      <c r="F5257" s="27">
        <v>15</v>
      </c>
      <c r="G5257" s="18">
        <v>98236.62</v>
      </c>
      <c r="H5257" s="27">
        <f t="shared" si="164"/>
        <v>0</v>
      </c>
      <c r="I5257" s="18">
        <v>18349.509999999998</v>
      </c>
      <c r="J5257" s="27">
        <v>98236.62</v>
      </c>
      <c r="K5257" s="18">
        <f t="shared" si="165"/>
        <v>0</v>
      </c>
      <c r="L5257" s="27">
        <v>24387.79</v>
      </c>
      <c r="M5257" s="36">
        <v>6038.28</v>
      </c>
      <c r="T5257" s="41">
        <v>0</v>
      </c>
      <c r="U5257" s="41">
        <v>0</v>
      </c>
      <c r="V5257" s="42" t="s">
        <v>113</v>
      </c>
      <c r="W5257" s="42">
        <v>0</v>
      </c>
      <c r="X5257" s="42">
        <v>0</v>
      </c>
    </row>
    <row r="5258" spans="1:24">
      <c r="A5258" s="27" t="s">
        <v>9709</v>
      </c>
      <c r="B5258" s="28" t="s">
        <v>5102</v>
      </c>
      <c r="C5258" s="27" t="s">
        <v>9710</v>
      </c>
      <c r="D5258" s="27" t="s">
        <v>5104</v>
      </c>
      <c r="E5258" s="29">
        <v>42510</v>
      </c>
      <c r="F5258" s="27">
        <v>15</v>
      </c>
      <c r="G5258" s="18">
        <v>23860.32</v>
      </c>
      <c r="H5258" s="27">
        <f t="shared" si="164"/>
        <v>0</v>
      </c>
      <c r="I5258" s="18">
        <v>4456.84</v>
      </c>
      <c r="J5258" s="27">
        <v>23860.32</v>
      </c>
      <c r="K5258" s="18">
        <f t="shared" si="165"/>
        <v>0</v>
      </c>
      <c r="L5258" s="27">
        <v>5923.45</v>
      </c>
      <c r="M5258" s="36">
        <v>1466.61</v>
      </c>
      <c r="T5258" s="41">
        <v>0</v>
      </c>
      <c r="U5258" s="41">
        <v>0</v>
      </c>
      <c r="V5258" s="42" t="s">
        <v>113</v>
      </c>
      <c r="W5258" s="42">
        <v>0</v>
      </c>
      <c r="X5258" s="42">
        <v>0</v>
      </c>
    </row>
    <row r="5259" spans="1:24">
      <c r="A5259" s="27" t="s">
        <v>9711</v>
      </c>
      <c r="B5259" s="28" t="s">
        <v>5102</v>
      </c>
      <c r="C5259" s="27" t="s">
        <v>9712</v>
      </c>
      <c r="D5259" s="27" t="s">
        <v>5104</v>
      </c>
      <c r="E5259" s="29">
        <v>42510</v>
      </c>
      <c r="F5259" s="27">
        <v>15</v>
      </c>
      <c r="G5259" s="18">
        <v>32272.66</v>
      </c>
      <c r="H5259" s="27">
        <f t="shared" si="164"/>
        <v>0</v>
      </c>
      <c r="I5259" s="18">
        <v>6028.17</v>
      </c>
      <c r="J5259" s="27">
        <v>32272.66</v>
      </c>
      <c r="K5259" s="18">
        <f t="shared" si="165"/>
        <v>0</v>
      </c>
      <c r="L5259" s="27">
        <v>8011.86</v>
      </c>
      <c r="M5259" s="36">
        <v>1983.69</v>
      </c>
      <c r="T5259" s="41">
        <v>0</v>
      </c>
      <c r="U5259" s="41">
        <v>0</v>
      </c>
      <c r="V5259" s="42" t="s">
        <v>113</v>
      </c>
      <c r="W5259" s="42">
        <v>0</v>
      </c>
      <c r="X5259" s="42">
        <v>0</v>
      </c>
    </row>
    <row r="5260" spans="1:24">
      <c r="A5260" s="27" t="s">
        <v>9713</v>
      </c>
      <c r="B5260" s="28" t="s">
        <v>5102</v>
      </c>
      <c r="C5260" s="27" t="s">
        <v>9714</v>
      </c>
      <c r="D5260" s="27" t="s">
        <v>5104</v>
      </c>
      <c r="E5260" s="29">
        <v>42510</v>
      </c>
      <c r="F5260" s="27">
        <v>15</v>
      </c>
      <c r="G5260" s="18">
        <v>28222.07</v>
      </c>
      <c r="H5260" s="27">
        <f t="shared" si="164"/>
        <v>0</v>
      </c>
      <c r="I5260" s="18">
        <v>5271.58</v>
      </c>
      <c r="J5260" s="27">
        <v>28222.07</v>
      </c>
      <c r="K5260" s="18">
        <f t="shared" si="165"/>
        <v>0</v>
      </c>
      <c r="L5260" s="27">
        <v>7006.3</v>
      </c>
      <c r="M5260" s="36">
        <v>1734.72</v>
      </c>
      <c r="T5260" s="41">
        <v>0</v>
      </c>
      <c r="U5260" s="41">
        <v>0</v>
      </c>
      <c r="V5260" s="42" t="s">
        <v>113</v>
      </c>
      <c r="W5260" s="42">
        <v>0</v>
      </c>
      <c r="X5260" s="42">
        <v>0</v>
      </c>
    </row>
    <row r="5261" spans="1:24">
      <c r="A5261" s="27" t="s">
        <v>9715</v>
      </c>
      <c r="B5261" s="28" t="s">
        <v>5102</v>
      </c>
      <c r="C5261" s="27" t="s">
        <v>9714</v>
      </c>
      <c r="D5261" s="27" t="s">
        <v>5104</v>
      </c>
      <c r="E5261" s="29">
        <v>42510</v>
      </c>
      <c r="F5261" s="27">
        <v>15</v>
      </c>
      <c r="G5261" s="18">
        <v>66174.37</v>
      </c>
      <c r="H5261" s="27">
        <f t="shared" si="164"/>
        <v>0</v>
      </c>
      <c r="I5261" s="18">
        <v>12360.63</v>
      </c>
      <c r="J5261" s="27">
        <v>66174.37</v>
      </c>
      <c r="K5261" s="18">
        <f t="shared" si="165"/>
        <v>0</v>
      </c>
      <c r="L5261" s="27">
        <v>16428.150000000001</v>
      </c>
      <c r="M5261" s="36">
        <v>4067.52</v>
      </c>
      <c r="T5261" s="41">
        <v>0</v>
      </c>
      <c r="U5261" s="41">
        <v>0</v>
      </c>
      <c r="V5261" s="42" t="s">
        <v>113</v>
      </c>
      <c r="W5261" s="42">
        <v>0</v>
      </c>
      <c r="X5261" s="42">
        <v>0</v>
      </c>
    </row>
    <row r="5262" spans="1:24">
      <c r="A5262" s="27" t="s">
        <v>9716</v>
      </c>
      <c r="B5262" s="28" t="s">
        <v>5102</v>
      </c>
      <c r="C5262" s="27" t="s">
        <v>9717</v>
      </c>
      <c r="D5262" s="27" t="s">
        <v>5104</v>
      </c>
      <c r="E5262" s="29">
        <v>42510</v>
      </c>
      <c r="F5262" s="27">
        <v>15</v>
      </c>
      <c r="G5262" s="18">
        <v>50715.360000000001</v>
      </c>
      <c r="H5262" s="27">
        <f t="shared" si="164"/>
        <v>0</v>
      </c>
      <c r="I5262" s="18">
        <v>9473.06</v>
      </c>
      <c r="J5262" s="27">
        <v>50715.360000000001</v>
      </c>
      <c r="K5262" s="18">
        <f t="shared" si="165"/>
        <v>0</v>
      </c>
      <c r="L5262" s="27">
        <v>12590.36</v>
      </c>
      <c r="M5262" s="36">
        <v>3117.3</v>
      </c>
      <c r="T5262" s="41">
        <v>0</v>
      </c>
      <c r="U5262" s="41">
        <v>0</v>
      </c>
      <c r="V5262" s="42" t="s">
        <v>113</v>
      </c>
      <c r="W5262" s="42">
        <v>0</v>
      </c>
      <c r="X5262" s="42">
        <v>0</v>
      </c>
    </row>
    <row r="5263" spans="1:24">
      <c r="A5263" s="27" t="s">
        <v>9718</v>
      </c>
      <c r="B5263" s="28" t="s">
        <v>5102</v>
      </c>
      <c r="C5263" s="27" t="s">
        <v>9719</v>
      </c>
      <c r="D5263" s="27" t="s">
        <v>5104</v>
      </c>
      <c r="E5263" s="29">
        <v>42510</v>
      </c>
      <c r="F5263" s="27">
        <v>15</v>
      </c>
      <c r="G5263" s="18">
        <v>74348.13</v>
      </c>
      <c r="H5263" s="27">
        <f t="shared" si="164"/>
        <v>0</v>
      </c>
      <c r="I5263" s="18">
        <v>13887.4</v>
      </c>
      <c r="J5263" s="27">
        <v>74348.13</v>
      </c>
      <c r="K5263" s="18">
        <f t="shared" si="165"/>
        <v>0</v>
      </c>
      <c r="L5263" s="27">
        <v>18457.330000000002</v>
      </c>
      <c r="M5263" s="36">
        <v>4569.93</v>
      </c>
      <c r="T5263" s="41">
        <v>0</v>
      </c>
      <c r="U5263" s="41">
        <v>0</v>
      </c>
      <c r="V5263" s="42" t="s">
        <v>113</v>
      </c>
      <c r="W5263" s="42">
        <v>0</v>
      </c>
      <c r="X5263" s="42">
        <v>0</v>
      </c>
    </row>
    <row r="5264" spans="1:24">
      <c r="A5264" s="27" t="s">
        <v>9720</v>
      </c>
      <c r="B5264" s="28" t="s">
        <v>5102</v>
      </c>
      <c r="C5264" s="27" t="s">
        <v>9719</v>
      </c>
      <c r="D5264" s="27" t="s">
        <v>5104</v>
      </c>
      <c r="E5264" s="29">
        <v>42510</v>
      </c>
      <c r="F5264" s="27">
        <v>15</v>
      </c>
      <c r="G5264" s="18">
        <v>128900.21</v>
      </c>
      <c r="H5264" s="27">
        <f t="shared" si="164"/>
        <v>0</v>
      </c>
      <c r="I5264" s="18">
        <v>24077.13</v>
      </c>
      <c r="J5264" s="27">
        <v>128900.21</v>
      </c>
      <c r="K5264" s="18">
        <f t="shared" si="165"/>
        <v>0</v>
      </c>
      <c r="L5264" s="27">
        <v>32000.2</v>
      </c>
      <c r="M5264" s="36">
        <v>7923.07</v>
      </c>
      <c r="T5264" s="41">
        <v>0</v>
      </c>
      <c r="U5264" s="41">
        <v>0</v>
      </c>
      <c r="V5264" s="42" t="s">
        <v>113</v>
      </c>
      <c r="W5264" s="42">
        <v>0</v>
      </c>
      <c r="X5264" s="42">
        <v>0</v>
      </c>
    </row>
    <row r="5265" spans="1:24">
      <c r="A5265" s="27" t="s">
        <v>9721</v>
      </c>
      <c r="B5265" s="28" t="s">
        <v>5102</v>
      </c>
      <c r="C5265" s="27" t="s">
        <v>9712</v>
      </c>
      <c r="D5265" s="27" t="s">
        <v>5104</v>
      </c>
      <c r="E5265" s="29">
        <v>42510</v>
      </c>
      <c r="F5265" s="27">
        <v>15</v>
      </c>
      <c r="G5265" s="18">
        <v>22052.959999999999</v>
      </c>
      <c r="H5265" s="27">
        <f t="shared" si="164"/>
        <v>0</v>
      </c>
      <c r="I5265" s="18">
        <v>4119.24</v>
      </c>
      <c r="J5265" s="27">
        <v>22052.959999999999</v>
      </c>
      <c r="K5265" s="18">
        <f t="shared" si="165"/>
        <v>0</v>
      </c>
      <c r="L5265" s="27">
        <v>5474.76</v>
      </c>
      <c r="M5265" s="36">
        <v>1355.52</v>
      </c>
      <c r="T5265" s="41">
        <v>0</v>
      </c>
      <c r="U5265" s="41">
        <v>0</v>
      </c>
      <c r="V5265" s="42" t="s">
        <v>113</v>
      </c>
      <c r="W5265" s="42">
        <v>0</v>
      </c>
      <c r="X5265" s="42">
        <v>0</v>
      </c>
    </row>
    <row r="5266" spans="1:24">
      <c r="A5266" s="27" t="s">
        <v>9722</v>
      </c>
      <c r="B5266" s="28" t="s">
        <v>5102</v>
      </c>
      <c r="C5266" s="27" t="s">
        <v>9723</v>
      </c>
      <c r="D5266" s="27" t="s">
        <v>5104</v>
      </c>
      <c r="E5266" s="29">
        <v>42510</v>
      </c>
      <c r="F5266" s="27">
        <v>15</v>
      </c>
      <c r="G5266" s="18">
        <v>127109.78</v>
      </c>
      <c r="H5266" s="27">
        <f t="shared" si="164"/>
        <v>0</v>
      </c>
      <c r="I5266" s="18">
        <v>23742.69</v>
      </c>
      <c r="J5266" s="27">
        <v>127109.78</v>
      </c>
      <c r="K5266" s="18">
        <f t="shared" si="165"/>
        <v>0</v>
      </c>
      <c r="L5266" s="27">
        <v>31555.7</v>
      </c>
      <c r="M5266" s="36">
        <v>7813.01</v>
      </c>
      <c r="T5266" s="41">
        <v>0</v>
      </c>
      <c r="U5266" s="41">
        <v>0</v>
      </c>
      <c r="V5266" s="42" t="s">
        <v>113</v>
      </c>
      <c r="W5266" s="42">
        <v>0</v>
      </c>
      <c r="X5266" s="42">
        <v>0</v>
      </c>
    </row>
    <row r="5267" spans="1:24">
      <c r="A5267" s="27" t="s">
        <v>9724</v>
      </c>
      <c r="B5267" s="28" t="s">
        <v>5102</v>
      </c>
      <c r="C5267" s="27" t="s">
        <v>9725</v>
      </c>
      <c r="D5267" s="27" t="s">
        <v>5104</v>
      </c>
      <c r="E5267" s="29">
        <v>42510</v>
      </c>
      <c r="F5267" s="27">
        <v>15</v>
      </c>
      <c r="G5267" s="18">
        <v>145512.65</v>
      </c>
      <c r="H5267" s="27">
        <f t="shared" si="164"/>
        <v>0</v>
      </c>
      <c r="I5267" s="18">
        <v>27180.14</v>
      </c>
      <c r="J5267" s="27">
        <v>145512.65</v>
      </c>
      <c r="K5267" s="18">
        <f t="shared" si="165"/>
        <v>0</v>
      </c>
      <c r="L5267" s="27">
        <v>36124.32</v>
      </c>
      <c r="M5267" s="36">
        <v>8944.18</v>
      </c>
      <c r="T5267" s="41">
        <v>0</v>
      </c>
      <c r="U5267" s="41">
        <v>0</v>
      </c>
      <c r="V5267" s="42" t="s">
        <v>113</v>
      </c>
      <c r="W5267" s="42">
        <v>0</v>
      </c>
      <c r="X5267" s="42">
        <v>0</v>
      </c>
    </row>
    <row r="5268" spans="1:24">
      <c r="A5268" s="27" t="s">
        <v>9726</v>
      </c>
      <c r="B5268" s="28" t="s">
        <v>5102</v>
      </c>
      <c r="C5268" s="27" t="s">
        <v>9727</v>
      </c>
      <c r="D5268" s="27" t="s">
        <v>5104</v>
      </c>
      <c r="E5268" s="29">
        <v>42510</v>
      </c>
      <c r="F5268" s="27">
        <v>15</v>
      </c>
      <c r="G5268" s="18">
        <v>84420.6</v>
      </c>
      <c r="H5268" s="27">
        <f t="shared" si="164"/>
        <v>0</v>
      </c>
      <c r="I5268" s="18">
        <v>15768.82</v>
      </c>
      <c r="J5268" s="27">
        <v>84420.6</v>
      </c>
      <c r="K5268" s="18">
        <f t="shared" si="165"/>
        <v>0</v>
      </c>
      <c r="L5268" s="27">
        <v>20957.87</v>
      </c>
      <c r="M5268" s="36">
        <v>5189.05</v>
      </c>
      <c r="T5268" s="41">
        <v>0</v>
      </c>
      <c r="U5268" s="41">
        <v>0</v>
      </c>
      <c r="V5268" s="42" t="s">
        <v>113</v>
      </c>
      <c r="W5268" s="42">
        <v>0</v>
      </c>
      <c r="X5268" s="42">
        <v>0</v>
      </c>
    </row>
    <row r="5269" spans="1:24">
      <c r="A5269" s="27" t="s">
        <v>9728</v>
      </c>
      <c r="B5269" s="28" t="s">
        <v>5102</v>
      </c>
      <c r="C5269" s="27" t="s">
        <v>9729</v>
      </c>
      <c r="D5269" s="27" t="s">
        <v>5104</v>
      </c>
      <c r="E5269" s="29">
        <v>42510</v>
      </c>
      <c r="F5269" s="27">
        <v>15</v>
      </c>
      <c r="G5269" s="18">
        <v>69687.87</v>
      </c>
      <c r="H5269" s="27">
        <f t="shared" si="164"/>
        <v>0</v>
      </c>
      <c r="I5269" s="18">
        <v>13016.91</v>
      </c>
      <c r="J5269" s="27">
        <v>69687.87</v>
      </c>
      <c r="K5269" s="18">
        <f t="shared" si="165"/>
        <v>0</v>
      </c>
      <c r="L5269" s="27">
        <v>17300.39</v>
      </c>
      <c r="M5269" s="36">
        <v>4283.4799999999996</v>
      </c>
      <c r="T5269" s="41">
        <v>0</v>
      </c>
      <c r="U5269" s="41">
        <v>0</v>
      </c>
      <c r="V5269" s="42" t="s">
        <v>113</v>
      </c>
      <c r="W5269" s="42">
        <v>0</v>
      </c>
      <c r="X5269" s="42">
        <v>0</v>
      </c>
    </row>
    <row r="5270" spans="1:24">
      <c r="A5270" s="27" t="s">
        <v>9730</v>
      </c>
      <c r="B5270" s="28" t="s">
        <v>5102</v>
      </c>
      <c r="C5270" s="27" t="s">
        <v>9729</v>
      </c>
      <c r="D5270" s="27" t="s">
        <v>5104</v>
      </c>
      <c r="E5270" s="29">
        <v>42510</v>
      </c>
      <c r="F5270" s="27">
        <v>15</v>
      </c>
      <c r="G5270" s="18">
        <v>44522.8</v>
      </c>
      <c r="H5270" s="27">
        <f t="shared" si="164"/>
        <v>0</v>
      </c>
      <c r="I5270" s="18">
        <v>8316.3700000000008</v>
      </c>
      <c r="J5270" s="27">
        <v>44522.8</v>
      </c>
      <c r="K5270" s="18">
        <f t="shared" si="165"/>
        <v>0</v>
      </c>
      <c r="L5270" s="27">
        <v>11053.04</v>
      </c>
      <c r="M5270" s="36">
        <v>2736.67</v>
      </c>
      <c r="T5270" s="41">
        <v>0</v>
      </c>
      <c r="U5270" s="41">
        <v>0</v>
      </c>
      <c r="V5270" s="42" t="s">
        <v>113</v>
      </c>
      <c r="W5270" s="42">
        <v>0</v>
      </c>
      <c r="X5270" s="42">
        <v>0</v>
      </c>
    </row>
    <row r="5271" spans="1:24">
      <c r="A5271" s="27" t="s">
        <v>9731</v>
      </c>
      <c r="B5271" s="28" t="s">
        <v>5102</v>
      </c>
      <c r="C5271" s="27" t="s">
        <v>9732</v>
      </c>
      <c r="D5271" s="27" t="s">
        <v>5104</v>
      </c>
      <c r="E5271" s="29">
        <v>42510</v>
      </c>
      <c r="F5271" s="27">
        <v>15</v>
      </c>
      <c r="G5271" s="18">
        <v>40702.19</v>
      </c>
      <c r="H5271" s="27">
        <f t="shared" si="164"/>
        <v>0</v>
      </c>
      <c r="I5271" s="18">
        <v>7602.71</v>
      </c>
      <c r="J5271" s="27">
        <v>40702.19</v>
      </c>
      <c r="K5271" s="18">
        <f t="shared" si="165"/>
        <v>0</v>
      </c>
      <c r="L5271" s="27">
        <v>10104.540000000001</v>
      </c>
      <c r="M5271" s="36">
        <v>2501.83</v>
      </c>
      <c r="T5271" s="41">
        <v>0</v>
      </c>
      <c r="U5271" s="41">
        <v>0</v>
      </c>
      <c r="V5271" s="42" t="s">
        <v>113</v>
      </c>
      <c r="W5271" s="42">
        <v>0</v>
      </c>
      <c r="X5271" s="42">
        <v>0</v>
      </c>
    </row>
    <row r="5272" spans="1:24">
      <c r="A5272" s="27" t="s">
        <v>9733</v>
      </c>
      <c r="B5272" s="28" t="s">
        <v>5102</v>
      </c>
      <c r="C5272" s="27" t="s">
        <v>9734</v>
      </c>
      <c r="D5272" s="27" t="s">
        <v>5104</v>
      </c>
      <c r="E5272" s="29">
        <v>42510</v>
      </c>
      <c r="F5272" s="27">
        <v>15</v>
      </c>
      <c r="G5272" s="18">
        <v>41531.230000000003</v>
      </c>
      <c r="H5272" s="27">
        <f t="shared" si="164"/>
        <v>0</v>
      </c>
      <c r="I5272" s="18">
        <v>7757.58</v>
      </c>
      <c r="J5272" s="27">
        <v>41531.230000000003</v>
      </c>
      <c r="K5272" s="18">
        <f t="shared" si="165"/>
        <v>0</v>
      </c>
      <c r="L5272" s="27">
        <v>10310.370000000001</v>
      </c>
      <c r="M5272" s="36">
        <v>2552.79</v>
      </c>
      <c r="T5272" s="41">
        <v>0</v>
      </c>
      <c r="U5272" s="41">
        <v>0</v>
      </c>
      <c r="V5272" s="42" t="s">
        <v>113</v>
      </c>
      <c r="W5272" s="42">
        <v>0</v>
      </c>
      <c r="X5272" s="42">
        <v>0</v>
      </c>
    </row>
    <row r="5273" spans="1:24">
      <c r="A5273" s="27" t="s">
        <v>9735</v>
      </c>
      <c r="B5273" s="28" t="s">
        <v>5102</v>
      </c>
      <c r="C5273" s="27" t="s">
        <v>9727</v>
      </c>
      <c r="D5273" s="27" t="s">
        <v>5104</v>
      </c>
      <c r="E5273" s="29">
        <v>42510</v>
      </c>
      <c r="F5273" s="27">
        <v>15</v>
      </c>
      <c r="G5273" s="18">
        <v>38000.410000000003</v>
      </c>
      <c r="H5273" s="27">
        <f t="shared" si="164"/>
        <v>0</v>
      </c>
      <c r="I5273" s="18">
        <v>7098.06</v>
      </c>
      <c r="J5273" s="27">
        <v>38000.410000000003</v>
      </c>
      <c r="K5273" s="18">
        <f t="shared" si="165"/>
        <v>0</v>
      </c>
      <c r="L5273" s="27">
        <v>9433.82</v>
      </c>
      <c r="M5273" s="36">
        <v>2335.7600000000002</v>
      </c>
      <c r="T5273" s="41">
        <v>0</v>
      </c>
      <c r="U5273" s="41">
        <v>0</v>
      </c>
      <c r="V5273" s="42" t="s">
        <v>113</v>
      </c>
      <c r="W5273" s="42">
        <v>0</v>
      </c>
      <c r="X5273" s="42">
        <v>0</v>
      </c>
    </row>
    <row r="5274" spans="1:24">
      <c r="A5274" s="27" t="s">
        <v>9736</v>
      </c>
      <c r="B5274" s="28" t="s">
        <v>5102</v>
      </c>
      <c r="C5274" s="27" t="s">
        <v>9737</v>
      </c>
      <c r="D5274" s="27" t="s">
        <v>5104</v>
      </c>
      <c r="E5274" s="29">
        <v>42510</v>
      </c>
      <c r="F5274" s="27">
        <v>15</v>
      </c>
      <c r="G5274" s="18">
        <v>233210.42</v>
      </c>
      <c r="H5274" s="27">
        <f t="shared" si="164"/>
        <v>0</v>
      </c>
      <c r="I5274" s="18">
        <v>43561.11</v>
      </c>
      <c r="J5274" s="27">
        <v>233210.42</v>
      </c>
      <c r="K5274" s="18">
        <f t="shared" si="165"/>
        <v>0</v>
      </c>
      <c r="L5274" s="27">
        <v>57895.78</v>
      </c>
      <c r="M5274" s="36">
        <v>14334.67</v>
      </c>
      <c r="T5274" s="41">
        <v>0</v>
      </c>
      <c r="U5274" s="41">
        <v>0</v>
      </c>
      <c r="V5274" s="42" t="s">
        <v>113</v>
      </c>
      <c r="W5274" s="42">
        <v>0</v>
      </c>
      <c r="X5274" s="42">
        <v>0</v>
      </c>
    </row>
    <row r="5275" spans="1:24">
      <c r="A5275" s="27" t="s">
        <v>9738</v>
      </c>
      <c r="B5275" s="28" t="s">
        <v>5102</v>
      </c>
      <c r="C5275" s="27" t="s">
        <v>9739</v>
      </c>
      <c r="D5275" s="27" t="s">
        <v>5104</v>
      </c>
      <c r="E5275" s="29">
        <v>42582</v>
      </c>
      <c r="F5275" s="27">
        <v>15</v>
      </c>
      <c r="G5275" s="18">
        <v>47869.75</v>
      </c>
      <c r="H5275" s="27">
        <f t="shared" si="164"/>
        <v>0</v>
      </c>
      <c r="I5275" s="18">
        <v>8320.6299999999992</v>
      </c>
      <c r="J5275" s="27">
        <v>47869.75</v>
      </c>
      <c r="K5275" s="18">
        <f t="shared" si="165"/>
        <v>0</v>
      </c>
      <c r="L5275" s="27">
        <v>11273.4</v>
      </c>
      <c r="M5275" s="36">
        <v>2952.77</v>
      </c>
      <c r="T5275" s="41">
        <v>0</v>
      </c>
      <c r="U5275" s="41">
        <v>0</v>
      </c>
      <c r="V5275" s="42" t="s">
        <v>113</v>
      </c>
      <c r="W5275" s="42">
        <v>0</v>
      </c>
      <c r="X5275" s="42">
        <v>0</v>
      </c>
    </row>
    <row r="5276" spans="1:24">
      <c r="A5276" s="27" t="s">
        <v>9740</v>
      </c>
      <c r="B5276" s="28" t="s">
        <v>5102</v>
      </c>
      <c r="C5276" s="27" t="s">
        <v>9739</v>
      </c>
      <c r="D5276" s="27" t="s">
        <v>5104</v>
      </c>
      <c r="E5276" s="29">
        <v>42582</v>
      </c>
      <c r="F5276" s="27">
        <v>15</v>
      </c>
      <c r="G5276" s="18">
        <v>29115.200000000001</v>
      </c>
      <c r="H5276" s="27">
        <f t="shared" si="164"/>
        <v>0</v>
      </c>
      <c r="I5276" s="18">
        <v>5060.75</v>
      </c>
      <c r="J5276" s="27">
        <v>29115.200000000001</v>
      </c>
      <c r="K5276" s="18">
        <f t="shared" si="165"/>
        <v>0</v>
      </c>
      <c r="L5276" s="27">
        <v>6856.67</v>
      </c>
      <c r="M5276" s="36">
        <v>1795.92</v>
      </c>
      <c r="T5276" s="41">
        <v>0</v>
      </c>
      <c r="U5276" s="41">
        <v>0</v>
      </c>
      <c r="V5276" s="42" t="s">
        <v>113</v>
      </c>
      <c r="W5276" s="42">
        <v>0</v>
      </c>
      <c r="X5276" s="42">
        <v>0</v>
      </c>
    </row>
    <row r="5277" spans="1:24">
      <c r="A5277" s="27" t="s">
        <v>9741</v>
      </c>
      <c r="B5277" s="28" t="s">
        <v>5102</v>
      </c>
      <c r="C5277" s="27" t="s">
        <v>9742</v>
      </c>
      <c r="D5277" s="27" t="s">
        <v>5104</v>
      </c>
      <c r="E5277" s="29">
        <v>42582</v>
      </c>
      <c r="F5277" s="27">
        <v>15</v>
      </c>
      <c r="G5277" s="18">
        <v>24619.72</v>
      </c>
      <c r="H5277" s="27">
        <f t="shared" si="164"/>
        <v>0</v>
      </c>
      <c r="I5277" s="18">
        <v>4279.3599999999997</v>
      </c>
      <c r="J5277" s="27">
        <v>24619.72</v>
      </c>
      <c r="K5277" s="18">
        <f t="shared" si="165"/>
        <v>0</v>
      </c>
      <c r="L5277" s="27">
        <v>5797.99</v>
      </c>
      <c r="M5277" s="36">
        <v>1518.63</v>
      </c>
      <c r="T5277" s="41">
        <v>0</v>
      </c>
      <c r="U5277" s="41">
        <v>0</v>
      </c>
      <c r="V5277" s="42" t="s">
        <v>113</v>
      </c>
      <c r="W5277" s="42">
        <v>0</v>
      </c>
      <c r="X5277" s="42">
        <v>0</v>
      </c>
    </row>
    <row r="5278" spans="1:24">
      <c r="A5278" s="27" t="s">
        <v>9743</v>
      </c>
      <c r="B5278" s="28" t="s">
        <v>5102</v>
      </c>
      <c r="C5278" s="27" t="s">
        <v>9744</v>
      </c>
      <c r="D5278" s="27" t="s">
        <v>5104</v>
      </c>
      <c r="E5278" s="29">
        <v>42582</v>
      </c>
      <c r="F5278" s="27">
        <v>15</v>
      </c>
      <c r="G5278" s="18">
        <v>5408.61</v>
      </c>
      <c r="H5278" s="27">
        <f t="shared" si="164"/>
        <v>0</v>
      </c>
      <c r="I5278" s="18">
        <v>940.11</v>
      </c>
      <c r="J5278" s="27">
        <v>5408.61</v>
      </c>
      <c r="K5278" s="18">
        <f t="shared" si="165"/>
        <v>0</v>
      </c>
      <c r="L5278" s="27">
        <v>1273.73</v>
      </c>
      <c r="M5278" s="36">
        <v>333.62</v>
      </c>
      <c r="T5278" s="41">
        <v>0</v>
      </c>
      <c r="U5278" s="41">
        <v>0</v>
      </c>
      <c r="V5278" s="42" t="s">
        <v>113</v>
      </c>
      <c r="W5278" s="42">
        <v>0</v>
      </c>
      <c r="X5278" s="42">
        <v>0</v>
      </c>
    </row>
    <row r="5279" spans="1:24">
      <c r="A5279" s="27" t="s">
        <v>9745</v>
      </c>
      <c r="B5279" s="28" t="s">
        <v>5102</v>
      </c>
      <c r="C5279" s="27" t="s">
        <v>9744</v>
      </c>
      <c r="D5279" s="27" t="s">
        <v>5104</v>
      </c>
      <c r="E5279" s="29">
        <v>42582</v>
      </c>
      <c r="F5279" s="27">
        <v>15</v>
      </c>
      <c r="G5279" s="18">
        <v>20545.72</v>
      </c>
      <c r="H5279" s="27">
        <f t="shared" si="164"/>
        <v>0</v>
      </c>
      <c r="I5279" s="18">
        <v>3571.22</v>
      </c>
      <c r="J5279" s="27">
        <v>20545.72</v>
      </c>
      <c r="K5279" s="18">
        <f t="shared" si="165"/>
        <v>0</v>
      </c>
      <c r="L5279" s="27">
        <v>4838.55</v>
      </c>
      <c r="M5279" s="36">
        <v>1267.33</v>
      </c>
      <c r="T5279" s="41">
        <v>0</v>
      </c>
      <c r="U5279" s="41">
        <v>0</v>
      </c>
      <c r="V5279" s="42" t="s">
        <v>113</v>
      </c>
      <c r="W5279" s="42">
        <v>0</v>
      </c>
      <c r="X5279" s="42">
        <v>0</v>
      </c>
    </row>
    <row r="5280" spans="1:24">
      <c r="A5280" s="27" t="s">
        <v>9746</v>
      </c>
      <c r="B5280" s="28" t="s">
        <v>5102</v>
      </c>
      <c r="C5280" s="27" t="s">
        <v>9747</v>
      </c>
      <c r="D5280" s="27" t="s">
        <v>5104</v>
      </c>
      <c r="E5280" s="29">
        <v>42582</v>
      </c>
      <c r="F5280" s="27">
        <v>15</v>
      </c>
      <c r="G5280" s="18">
        <v>7410.5</v>
      </c>
      <c r="H5280" s="27">
        <f t="shared" si="164"/>
        <v>0</v>
      </c>
      <c r="I5280" s="18">
        <v>1288.08</v>
      </c>
      <c r="J5280" s="27">
        <v>7410.5</v>
      </c>
      <c r="K5280" s="18">
        <f t="shared" si="165"/>
        <v>0</v>
      </c>
      <c r="L5280" s="27">
        <v>1745.18</v>
      </c>
      <c r="M5280" s="36">
        <v>457.1</v>
      </c>
      <c r="T5280" s="41">
        <v>0</v>
      </c>
      <c r="U5280" s="41">
        <v>0</v>
      </c>
      <c r="V5280" s="42" t="s">
        <v>113</v>
      </c>
      <c r="W5280" s="42">
        <v>0</v>
      </c>
      <c r="X5280" s="42">
        <v>0</v>
      </c>
    </row>
    <row r="5281" spans="1:24">
      <c r="A5281" s="27" t="s">
        <v>9748</v>
      </c>
      <c r="B5281" s="28" t="s">
        <v>5102</v>
      </c>
      <c r="C5281" s="27" t="s">
        <v>9747</v>
      </c>
      <c r="D5281" s="27" t="s">
        <v>5104</v>
      </c>
      <c r="E5281" s="29">
        <v>42582</v>
      </c>
      <c r="F5281" s="27">
        <v>15</v>
      </c>
      <c r="G5281" s="18">
        <v>1510.19</v>
      </c>
      <c r="H5281" s="27">
        <f t="shared" si="164"/>
        <v>0</v>
      </c>
      <c r="I5281" s="18">
        <v>262.5</v>
      </c>
      <c r="J5281" s="27">
        <v>1510.19</v>
      </c>
      <c r="K5281" s="18">
        <f t="shared" si="165"/>
        <v>0</v>
      </c>
      <c r="L5281" s="27">
        <v>355.65</v>
      </c>
      <c r="M5281" s="36">
        <v>93.15</v>
      </c>
      <c r="T5281" s="41">
        <v>0</v>
      </c>
      <c r="U5281" s="41">
        <v>0</v>
      </c>
      <c r="V5281" s="42" t="s">
        <v>113</v>
      </c>
      <c r="W5281" s="42">
        <v>0</v>
      </c>
      <c r="X5281" s="42">
        <v>0</v>
      </c>
    </row>
    <row r="5282" spans="1:24">
      <c r="A5282" s="27" t="s">
        <v>9749</v>
      </c>
      <c r="B5282" s="28" t="s">
        <v>5102</v>
      </c>
      <c r="C5282" s="27" t="s">
        <v>9750</v>
      </c>
      <c r="D5282" s="27" t="s">
        <v>5104</v>
      </c>
      <c r="E5282" s="29">
        <v>42510</v>
      </c>
      <c r="F5282" s="27">
        <v>15</v>
      </c>
      <c r="G5282" s="18">
        <v>51470.51</v>
      </c>
      <c r="H5282" s="27">
        <f t="shared" si="164"/>
        <v>0</v>
      </c>
      <c r="I5282" s="18">
        <v>9614.11</v>
      </c>
      <c r="J5282" s="27">
        <v>51470.51</v>
      </c>
      <c r="K5282" s="18">
        <f t="shared" si="165"/>
        <v>0</v>
      </c>
      <c r="L5282" s="27">
        <v>12777.83</v>
      </c>
      <c r="M5282" s="36">
        <v>3163.72</v>
      </c>
      <c r="T5282" s="41">
        <v>0</v>
      </c>
      <c r="U5282" s="41">
        <v>0</v>
      </c>
      <c r="V5282" s="42" t="s">
        <v>113</v>
      </c>
      <c r="W5282" s="42">
        <v>0</v>
      </c>
      <c r="X5282" s="42">
        <v>0</v>
      </c>
    </row>
    <row r="5283" spans="1:24">
      <c r="A5283" s="27" t="s">
        <v>9751</v>
      </c>
      <c r="B5283" s="28" t="s">
        <v>5102</v>
      </c>
      <c r="C5283" s="27" t="s">
        <v>9752</v>
      </c>
      <c r="D5283" s="27" t="s">
        <v>5104</v>
      </c>
      <c r="E5283" s="29">
        <v>42510</v>
      </c>
      <c r="F5283" s="27">
        <v>15</v>
      </c>
      <c r="G5283" s="18">
        <v>114431.53</v>
      </c>
      <c r="H5283" s="27">
        <f t="shared" si="164"/>
        <v>0</v>
      </c>
      <c r="I5283" s="18">
        <v>21374.53</v>
      </c>
      <c r="J5283" s="27">
        <v>114431.53</v>
      </c>
      <c r="K5283" s="18">
        <f t="shared" si="165"/>
        <v>0</v>
      </c>
      <c r="L5283" s="27">
        <v>28408.26</v>
      </c>
      <c r="M5283" s="36">
        <v>7033.73</v>
      </c>
      <c r="T5283" s="41">
        <v>0</v>
      </c>
      <c r="U5283" s="41">
        <v>0</v>
      </c>
      <c r="V5283" s="42" t="s">
        <v>113</v>
      </c>
      <c r="W5283" s="42">
        <v>0</v>
      </c>
      <c r="X5283" s="42">
        <v>0</v>
      </c>
    </row>
    <row r="5284" spans="1:24">
      <c r="A5284" s="27" t="s">
        <v>9753</v>
      </c>
      <c r="B5284" s="28" t="s">
        <v>5102</v>
      </c>
      <c r="C5284" s="27" t="s">
        <v>9708</v>
      </c>
      <c r="D5284" s="27" t="s">
        <v>5104</v>
      </c>
      <c r="E5284" s="29">
        <v>42510</v>
      </c>
      <c r="F5284" s="27">
        <v>15</v>
      </c>
      <c r="G5284" s="18">
        <v>104777.11</v>
      </c>
      <c r="H5284" s="27">
        <f t="shared" si="164"/>
        <v>0</v>
      </c>
      <c r="I5284" s="18">
        <v>19571.2</v>
      </c>
      <c r="J5284" s="27">
        <v>104777.11</v>
      </c>
      <c r="K5284" s="18">
        <f t="shared" si="165"/>
        <v>0</v>
      </c>
      <c r="L5284" s="27">
        <v>26011.5</v>
      </c>
      <c r="M5284" s="36">
        <v>6440.3</v>
      </c>
      <c r="T5284" s="41">
        <v>0</v>
      </c>
      <c r="U5284" s="41">
        <v>0</v>
      </c>
      <c r="V5284" s="42" t="s">
        <v>113</v>
      </c>
      <c r="W5284" s="42">
        <v>0</v>
      </c>
      <c r="X5284" s="42">
        <v>0</v>
      </c>
    </row>
    <row r="5285" spans="1:24">
      <c r="A5285" s="27" t="s">
        <v>9754</v>
      </c>
      <c r="B5285" s="28" t="s">
        <v>5102</v>
      </c>
      <c r="C5285" s="27" t="s">
        <v>9755</v>
      </c>
      <c r="D5285" s="27" t="s">
        <v>5104</v>
      </c>
      <c r="E5285" s="29">
        <v>42510</v>
      </c>
      <c r="F5285" s="27">
        <v>15</v>
      </c>
      <c r="G5285" s="18">
        <v>13030.51</v>
      </c>
      <c r="H5285" s="27">
        <f t="shared" si="164"/>
        <v>0</v>
      </c>
      <c r="I5285" s="18">
        <v>2433.9499999999998</v>
      </c>
      <c r="J5285" s="27">
        <v>13030.51</v>
      </c>
      <c r="K5285" s="18">
        <f t="shared" si="165"/>
        <v>0</v>
      </c>
      <c r="L5285" s="27">
        <v>3234.89</v>
      </c>
      <c r="M5285" s="36">
        <v>800.94</v>
      </c>
      <c r="T5285" s="41">
        <v>0</v>
      </c>
      <c r="U5285" s="41">
        <v>0</v>
      </c>
      <c r="V5285" s="42" t="s">
        <v>113</v>
      </c>
      <c r="W5285" s="42">
        <v>0</v>
      </c>
      <c r="X5285" s="42">
        <v>0</v>
      </c>
    </row>
    <row r="5286" spans="1:24">
      <c r="A5286" s="27" t="s">
        <v>9756</v>
      </c>
      <c r="B5286" s="28" t="s">
        <v>5102</v>
      </c>
      <c r="C5286" s="27" t="s">
        <v>9757</v>
      </c>
      <c r="D5286" s="27" t="s">
        <v>5104</v>
      </c>
      <c r="E5286" s="29">
        <v>42510</v>
      </c>
      <c r="F5286" s="27">
        <v>15</v>
      </c>
      <c r="G5286" s="18">
        <v>33760.49</v>
      </c>
      <c r="H5286" s="27">
        <f t="shared" si="164"/>
        <v>0</v>
      </c>
      <c r="I5286" s="18">
        <v>6306.09</v>
      </c>
      <c r="J5286" s="27">
        <v>33760.49</v>
      </c>
      <c r="K5286" s="18">
        <f t="shared" si="165"/>
        <v>0</v>
      </c>
      <c r="L5286" s="27">
        <v>8381.23</v>
      </c>
      <c r="M5286" s="36">
        <v>2075.14</v>
      </c>
      <c r="T5286" s="41">
        <v>0</v>
      </c>
      <c r="U5286" s="41">
        <v>0</v>
      </c>
      <c r="V5286" s="42" t="s">
        <v>113</v>
      </c>
      <c r="W5286" s="42">
        <v>0</v>
      </c>
      <c r="X5286" s="42">
        <v>0</v>
      </c>
    </row>
    <row r="5287" spans="1:24">
      <c r="A5287" s="27" t="s">
        <v>9758</v>
      </c>
      <c r="B5287" s="28" t="s">
        <v>5102</v>
      </c>
      <c r="C5287" s="27" t="s">
        <v>9759</v>
      </c>
      <c r="D5287" s="27" t="s">
        <v>5104</v>
      </c>
      <c r="E5287" s="29">
        <v>42510</v>
      </c>
      <c r="F5287" s="27">
        <v>15</v>
      </c>
      <c r="G5287" s="18">
        <v>189366.94</v>
      </c>
      <c r="H5287" s="27">
        <f t="shared" si="164"/>
        <v>0</v>
      </c>
      <c r="I5287" s="18">
        <v>35371.629999999997</v>
      </c>
      <c r="J5287" s="27">
        <v>189366.94</v>
      </c>
      <c r="K5287" s="18">
        <f t="shared" si="165"/>
        <v>0</v>
      </c>
      <c r="L5287" s="27">
        <v>47011.39</v>
      </c>
      <c r="M5287" s="36">
        <v>11639.76</v>
      </c>
      <c r="T5287" s="41">
        <v>0</v>
      </c>
      <c r="U5287" s="41">
        <v>0</v>
      </c>
      <c r="V5287" s="42" t="s">
        <v>113</v>
      </c>
      <c r="W5287" s="42">
        <v>0</v>
      </c>
      <c r="X5287" s="42">
        <v>0</v>
      </c>
    </row>
    <row r="5288" spans="1:24">
      <c r="A5288" s="27" t="s">
        <v>9760</v>
      </c>
      <c r="B5288" s="28" t="s">
        <v>5102</v>
      </c>
      <c r="C5288" s="27" t="s">
        <v>9761</v>
      </c>
      <c r="D5288" s="27" t="s">
        <v>5104</v>
      </c>
      <c r="E5288" s="29">
        <v>42582</v>
      </c>
      <c r="F5288" s="27">
        <v>15</v>
      </c>
      <c r="G5288" s="18">
        <v>60835.38</v>
      </c>
      <c r="H5288" s="27">
        <f t="shared" si="164"/>
        <v>0</v>
      </c>
      <c r="I5288" s="18">
        <v>10574.3</v>
      </c>
      <c r="J5288" s="27">
        <v>60835.38</v>
      </c>
      <c r="K5288" s="18">
        <f t="shared" si="165"/>
        <v>0</v>
      </c>
      <c r="L5288" s="27">
        <v>14326.83</v>
      </c>
      <c r="M5288" s="36">
        <v>3752.53</v>
      </c>
      <c r="T5288" s="41">
        <v>0</v>
      </c>
      <c r="U5288" s="41">
        <v>0</v>
      </c>
      <c r="V5288" s="42" t="s">
        <v>113</v>
      </c>
      <c r="W5288" s="42">
        <v>0</v>
      </c>
      <c r="X5288" s="42">
        <v>0</v>
      </c>
    </row>
    <row r="5289" spans="1:24">
      <c r="A5289" s="27" t="s">
        <v>9762</v>
      </c>
      <c r="B5289" s="28" t="s">
        <v>5102</v>
      </c>
      <c r="C5289" s="27" t="s">
        <v>9761</v>
      </c>
      <c r="D5289" s="27" t="s">
        <v>5104</v>
      </c>
      <c r="E5289" s="29">
        <v>42582</v>
      </c>
      <c r="F5289" s="27">
        <v>15</v>
      </c>
      <c r="G5289" s="18">
        <v>31511.52</v>
      </c>
      <c r="H5289" s="27">
        <f t="shared" si="164"/>
        <v>0</v>
      </c>
      <c r="I5289" s="18">
        <v>5477.27</v>
      </c>
      <c r="J5289" s="27">
        <v>31511.52</v>
      </c>
      <c r="K5289" s="18">
        <f t="shared" si="165"/>
        <v>0</v>
      </c>
      <c r="L5289" s="27">
        <v>7421.01</v>
      </c>
      <c r="M5289" s="36">
        <v>1943.74</v>
      </c>
      <c r="T5289" s="41">
        <v>0</v>
      </c>
      <c r="U5289" s="41">
        <v>0</v>
      </c>
      <c r="V5289" s="42" t="s">
        <v>113</v>
      </c>
      <c r="W5289" s="42">
        <v>0</v>
      </c>
      <c r="X5289" s="42">
        <v>0</v>
      </c>
    </row>
    <row r="5290" spans="1:24">
      <c r="A5290" s="27" t="s">
        <v>9763</v>
      </c>
      <c r="B5290" s="28" t="s">
        <v>5102</v>
      </c>
      <c r="C5290" s="27" t="s">
        <v>9764</v>
      </c>
      <c r="D5290" s="27" t="s">
        <v>5104</v>
      </c>
      <c r="E5290" s="29">
        <v>42582</v>
      </c>
      <c r="F5290" s="27">
        <v>15</v>
      </c>
      <c r="G5290" s="18">
        <v>146619.32</v>
      </c>
      <c r="H5290" s="27">
        <f t="shared" si="164"/>
        <v>0</v>
      </c>
      <c r="I5290" s="18">
        <v>25485.11</v>
      </c>
      <c r="J5290" s="27">
        <v>146619.32</v>
      </c>
      <c r="K5290" s="18">
        <f t="shared" si="165"/>
        <v>0</v>
      </c>
      <c r="L5290" s="27">
        <v>34529.08</v>
      </c>
      <c r="M5290" s="36">
        <v>9043.9699999999993</v>
      </c>
      <c r="T5290" s="41">
        <v>0</v>
      </c>
      <c r="U5290" s="41">
        <v>0</v>
      </c>
      <c r="V5290" s="42" t="s">
        <v>113</v>
      </c>
      <c r="W5290" s="42">
        <v>0</v>
      </c>
      <c r="X5290" s="42">
        <v>0</v>
      </c>
    </row>
    <row r="5291" spans="1:24">
      <c r="A5291" s="27" t="s">
        <v>9765</v>
      </c>
      <c r="B5291" s="28" t="s">
        <v>5102</v>
      </c>
      <c r="C5291" s="27" t="s">
        <v>9766</v>
      </c>
      <c r="D5291" s="27" t="s">
        <v>5104</v>
      </c>
      <c r="E5291" s="29">
        <v>42582</v>
      </c>
      <c r="F5291" s="27">
        <v>15</v>
      </c>
      <c r="G5291" s="18">
        <v>160112.28</v>
      </c>
      <c r="H5291" s="27">
        <f t="shared" si="164"/>
        <v>0</v>
      </c>
      <c r="I5291" s="18">
        <v>27830.43</v>
      </c>
      <c r="J5291" s="27">
        <v>160112.28</v>
      </c>
      <c r="K5291" s="18">
        <f t="shared" si="165"/>
        <v>0</v>
      </c>
      <c r="L5291" s="27">
        <v>37706.69</v>
      </c>
      <c r="M5291" s="36">
        <v>9876.26</v>
      </c>
      <c r="T5291" s="41">
        <v>0</v>
      </c>
      <c r="U5291" s="41">
        <v>0</v>
      </c>
      <c r="V5291" s="42" t="s">
        <v>113</v>
      </c>
      <c r="W5291" s="42">
        <v>0</v>
      </c>
      <c r="X5291" s="42">
        <v>0</v>
      </c>
    </row>
    <row r="5292" spans="1:24">
      <c r="A5292" s="27" t="s">
        <v>9767</v>
      </c>
      <c r="B5292" s="28" t="s">
        <v>5102</v>
      </c>
      <c r="C5292" s="27" t="s">
        <v>9768</v>
      </c>
      <c r="D5292" s="27" t="s">
        <v>5104</v>
      </c>
      <c r="E5292" s="29">
        <v>42582</v>
      </c>
      <c r="F5292" s="27">
        <v>15</v>
      </c>
      <c r="G5292" s="18">
        <v>94629.01</v>
      </c>
      <c r="H5292" s="27">
        <f t="shared" si="164"/>
        <v>0</v>
      </c>
      <c r="I5292" s="18">
        <v>16448.240000000002</v>
      </c>
      <c r="J5292" s="27">
        <v>94629.01</v>
      </c>
      <c r="K5292" s="18">
        <f t="shared" si="165"/>
        <v>0</v>
      </c>
      <c r="L5292" s="27">
        <v>22285.27</v>
      </c>
      <c r="M5292" s="36">
        <v>5837.03</v>
      </c>
      <c r="T5292" s="41">
        <v>0</v>
      </c>
      <c r="U5292" s="41">
        <v>0</v>
      </c>
      <c r="V5292" s="42" t="s">
        <v>113</v>
      </c>
      <c r="W5292" s="42">
        <v>0</v>
      </c>
      <c r="X5292" s="42">
        <v>0</v>
      </c>
    </row>
    <row r="5293" spans="1:24">
      <c r="A5293" s="27" t="s">
        <v>9769</v>
      </c>
      <c r="B5293" s="28" t="s">
        <v>5102</v>
      </c>
      <c r="C5293" s="27" t="s">
        <v>9768</v>
      </c>
      <c r="D5293" s="27" t="s">
        <v>5104</v>
      </c>
      <c r="E5293" s="29">
        <v>42582</v>
      </c>
      <c r="F5293" s="27">
        <v>15</v>
      </c>
      <c r="G5293" s="18">
        <v>58922.32</v>
      </c>
      <c r="H5293" s="27">
        <f t="shared" si="164"/>
        <v>0</v>
      </c>
      <c r="I5293" s="18">
        <v>10241.76</v>
      </c>
      <c r="J5293" s="27">
        <v>58922.32</v>
      </c>
      <c r="K5293" s="18">
        <f t="shared" si="165"/>
        <v>0</v>
      </c>
      <c r="L5293" s="27">
        <v>13876.29</v>
      </c>
      <c r="M5293" s="36">
        <v>3634.53</v>
      </c>
      <c r="T5293" s="41">
        <v>0</v>
      </c>
      <c r="U5293" s="41">
        <v>0</v>
      </c>
      <c r="V5293" s="42" t="s">
        <v>113</v>
      </c>
      <c r="W5293" s="42">
        <v>0</v>
      </c>
      <c r="X5293" s="42">
        <v>0</v>
      </c>
    </row>
    <row r="5294" spans="1:24">
      <c r="A5294" s="27" t="s">
        <v>9770</v>
      </c>
      <c r="B5294" s="28" t="s">
        <v>5102</v>
      </c>
      <c r="C5294" s="27" t="s">
        <v>9771</v>
      </c>
      <c r="D5294" s="27" t="s">
        <v>5104</v>
      </c>
      <c r="E5294" s="29">
        <v>42510</v>
      </c>
      <c r="F5294" s="27">
        <v>15</v>
      </c>
      <c r="G5294" s="18">
        <v>69933.740000000005</v>
      </c>
      <c r="H5294" s="27">
        <f t="shared" si="164"/>
        <v>0</v>
      </c>
      <c r="I5294" s="18">
        <v>13062.84</v>
      </c>
      <c r="J5294" s="27">
        <v>69933.740000000005</v>
      </c>
      <c r="K5294" s="18">
        <f t="shared" si="165"/>
        <v>0</v>
      </c>
      <c r="L5294" s="27">
        <v>17361.43</v>
      </c>
      <c r="M5294" s="36">
        <v>4298.59</v>
      </c>
      <c r="T5294" s="41">
        <v>0</v>
      </c>
      <c r="U5294" s="41">
        <v>0</v>
      </c>
      <c r="V5294" s="42" t="s">
        <v>113</v>
      </c>
      <c r="W5294" s="42">
        <v>0</v>
      </c>
      <c r="X5294" s="42">
        <v>0</v>
      </c>
    </row>
    <row r="5295" spans="1:24">
      <c r="A5295" s="27" t="s">
        <v>9772</v>
      </c>
      <c r="B5295" s="28" t="s">
        <v>5102</v>
      </c>
      <c r="C5295" s="27" t="s">
        <v>9773</v>
      </c>
      <c r="D5295" s="27" t="s">
        <v>5104</v>
      </c>
      <c r="E5295" s="29">
        <v>42510</v>
      </c>
      <c r="F5295" s="27">
        <v>15</v>
      </c>
      <c r="G5295" s="18">
        <v>80707.19</v>
      </c>
      <c r="H5295" s="27">
        <f t="shared" si="164"/>
        <v>0</v>
      </c>
      <c r="I5295" s="18">
        <v>15075.2</v>
      </c>
      <c r="J5295" s="27">
        <v>80707.19</v>
      </c>
      <c r="K5295" s="18">
        <f t="shared" si="165"/>
        <v>0</v>
      </c>
      <c r="L5295" s="27">
        <v>20036</v>
      </c>
      <c r="M5295" s="36">
        <v>4960.8</v>
      </c>
      <c r="T5295" s="41">
        <v>0</v>
      </c>
      <c r="U5295" s="41">
        <v>0</v>
      </c>
      <c r="V5295" s="42" t="s">
        <v>113</v>
      </c>
      <c r="W5295" s="42">
        <v>0</v>
      </c>
      <c r="X5295" s="42">
        <v>0</v>
      </c>
    </row>
    <row r="5296" spans="1:24">
      <c r="A5296" s="27" t="s">
        <v>9774</v>
      </c>
      <c r="B5296" s="28" t="s">
        <v>5102</v>
      </c>
      <c r="C5296" s="27" t="s">
        <v>9775</v>
      </c>
      <c r="D5296" s="27" t="s">
        <v>5104</v>
      </c>
      <c r="E5296" s="29">
        <v>42582</v>
      </c>
      <c r="F5296" s="27">
        <v>15</v>
      </c>
      <c r="G5296" s="18">
        <v>40762.22</v>
      </c>
      <c r="H5296" s="27">
        <f t="shared" si="164"/>
        <v>0</v>
      </c>
      <c r="I5296" s="18">
        <v>7085.27</v>
      </c>
      <c r="J5296" s="27">
        <v>40762.22</v>
      </c>
      <c r="K5296" s="18">
        <f t="shared" si="165"/>
        <v>0</v>
      </c>
      <c r="L5296" s="27">
        <v>9599.61</v>
      </c>
      <c r="M5296" s="36">
        <v>2514.34</v>
      </c>
      <c r="T5296" s="41">
        <v>0</v>
      </c>
      <c r="U5296" s="41">
        <v>0</v>
      </c>
      <c r="V5296" s="42" t="s">
        <v>113</v>
      </c>
      <c r="W5296" s="42">
        <v>0</v>
      </c>
      <c r="X5296" s="42">
        <v>0</v>
      </c>
    </row>
    <row r="5297" spans="1:24">
      <c r="A5297" s="27" t="s">
        <v>9776</v>
      </c>
      <c r="B5297" s="28" t="s">
        <v>5102</v>
      </c>
      <c r="C5297" s="27" t="s">
        <v>9775</v>
      </c>
      <c r="D5297" s="27" t="s">
        <v>5104</v>
      </c>
      <c r="E5297" s="29">
        <v>42582</v>
      </c>
      <c r="F5297" s="27">
        <v>15</v>
      </c>
      <c r="G5297" s="18">
        <v>2441.52</v>
      </c>
      <c r="H5297" s="27">
        <f t="shared" si="164"/>
        <v>0</v>
      </c>
      <c r="I5297" s="18">
        <v>424.38</v>
      </c>
      <c r="J5297" s="27">
        <v>2441.52</v>
      </c>
      <c r="K5297" s="18">
        <f t="shared" si="165"/>
        <v>0</v>
      </c>
      <c r="L5297" s="27">
        <v>574.98</v>
      </c>
      <c r="M5297" s="36">
        <v>150.6</v>
      </c>
      <c r="T5297" s="41">
        <v>0</v>
      </c>
      <c r="U5297" s="41">
        <v>0</v>
      </c>
      <c r="V5297" s="42" t="s">
        <v>113</v>
      </c>
      <c r="W5297" s="42">
        <v>0</v>
      </c>
      <c r="X5297" s="42">
        <v>0</v>
      </c>
    </row>
    <row r="5298" spans="1:24">
      <c r="A5298" s="27" t="s">
        <v>9777</v>
      </c>
      <c r="B5298" s="28" t="s">
        <v>5102</v>
      </c>
      <c r="C5298" s="27" t="s">
        <v>9778</v>
      </c>
      <c r="D5298" s="27" t="s">
        <v>5104</v>
      </c>
      <c r="E5298" s="29">
        <v>42582</v>
      </c>
      <c r="F5298" s="27">
        <v>15</v>
      </c>
      <c r="G5298" s="18">
        <v>35494.68</v>
      </c>
      <c r="H5298" s="27">
        <f t="shared" si="164"/>
        <v>0</v>
      </c>
      <c r="I5298" s="18">
        <v>6169.57</v>
      </c>
      <c r="J5298" s="27">
        <v>35494.68</v>
      </c>
      <c r="K5298" s="18">
        <f t="shared" si="165"/>
        <v>0</v>
      </c>
      <c r="L5298" s="27">
        <v>8359</v>
      </c>
      <c r="M5298" s="36">
        <v>2189.4299999999998</v>
      </c>
      <c r="T5298" s="41">
        <v>0</v>
      </c>
      <c r="U5298" s="41">
        <v>0</v>
      </c>
      <c r="V5298" s="42" t="s">
        <v>113</v>
      </c>
      <c r="W5298" s="42">
        <v>0</v>
      </c>
      <c r="X5298" s="42">
        <v>0</v>
      </c>
    </row>
    <row r="5299" spans="1:24">
      <c r="A5299" s="27" t="s">
        <v>9779</v>
      </c>
      <c r="B5299" s="28" t="s">
        <v>5102</v>
      </c>
      <c r="C5299" s="27" t="s">
        <v>9780</v>
      </c>
      <c r="D5299" s="27" t="s">
        <v>5104</v>
      </c>
      <c r="E5299" s="29">
        <v>42510</v>
      </c>
      <c r="F5299" s="27">
        <v>15</v>
      </c>
      <c r="G5299" s="18">
        <v>103624.88</v>
      </c>
      <c r="H5299" s="27">
        <f t="shared" si="164"/>
        <v>0</v>
      </c>
      <c r="I5299" s="18">
        <v>19355.98</v>
      </c>
      <c r="J5299" s="27">
        <v>103624.88</v>
      </c>
      <c r="K5299" s="18">
        <f t="shared" si="165"/>
        <v>0</v>
      </c>
      <c r="L5299" s="27">
        <v>25725.46</v>
      </c>
      <c r="M5299" s="36">
        <v>6369.48</v>
      </c>
      <c r="T5299" s="41">
        <v>0</v>
      </c>
      <c r="U5299" s="41">
        <v>0</v>
      </c>
      <c r="V5299" s="42" t="s">
        <v>113</v>
      </c>
      <c r="W5299" s="42">
        <v>0</v>
      </c>
      <c r="X5299" s="42">
        <v>0</v>
      </c>
    </row>
    <row r="5300" spans="1:24">
      <c r="A5300" s="27" t="s">
        <v>9781</v>
      </c>
      <c r="B5300" s="28" t="s">
        <v>5102</v>
      </c>
      <c r="C5300" s="27" t="s">
        <v>9780</v>
      </c>
      <c r="D5300" s="27" t="s">
        <v>5104</v>
      </c>
      <c r="E5300" s="29">
        <v>42510</v>
      </c>
      <c r="F5300" s="27">
        <v>15</v>
      </c>
      <c r="G5300" s="18">
        <v>10657.83</v>
      </c>
      <c r="H5300" s="27">
        <f t="shared" si="164"/>
        <v>0</v>
      </c>
      <c r="I5300" s="18">
        <v>1990.76</v>
      </c>
      <c r="J5300" s="27">
        <v>10657.83</v>
      </c>
      <c r="K5300" s="18">
        <f t="shared" si="165"/>
        <v>0</v>
      </c>
      <c r="L5300" s="27">
        <v>2645.86</v>
      </c>
      <c r="M5300" s="36">
        <v>655.1</v>
      </c>
      <c r="T5300" s="41">
        <v>0</v>
      </c>
      <c r="U5300" s="41">
        <v>0</v>
      </c>
      <c r="V5300" s="42" t="s">
        <v>113</v>
      </c>
      <c r="W5300" s="42">
        <v>0</v>
      </c>
      <c r="X5300" s="42">
        <v>0</v>
      </c>
    </row>
    <row r="5301" spans="1:24">
      <c r="A5301" s="27" t="s">
        <v>9782</v>
      </c>
      <c r="B5301" s="28" t="s">
        <v>5102</v>
      </c>
      <c r="C5301" s="27" t="s">
        <v>9783</v>
      </c>
      <c r="D5301" s="27" t="s">
        <v>5104</v>
      </c>
      <c r="E5301" s="29">
        <v>42510</v>
      </c>
      <c r="F5301" s="27">
        <v>15</v>
      </c>
      <c r="G5301" s="18">
        <v>46290.91</v>
      </c>
      <c r="H5301" s="27">
        <f t="shared" si="164"/>
        <v>0</v>
      </c>
      <c r="I5301" s="18">
        <v>8646.6299999999992</v>
      </c>
      <c r="J5301" s="27">
        <v>46290.91</v>
      </c>
      <c r="K5301" s="18">
        <f t="shared" si="165"/>
        <v>0</v>
      </c>
      <c r="L5301" s="27">
        <v>11491.98</v>
      </c>
      <c r="M5301" s="36">
        <v>2845.35</v>
      </c>
      <c r="T5301" s="41">
        <v>0</v>
      </c>
      <c r="U5301" s="41">
        <v>0</v>
      </c>
      <c r="V5301" s="42" t="s">
        <v>113</v>
      </c>
      <c r="W5301" s="42">
        <v>0</v>
      </c>
      <c r="X5301" s="42">
        <v>0</v>
      </c>
    </row>
    <row r="5302" spans="1:24">
      <c r="A5302" s="27" t="s">
        <v>9784</v>
      </c>
      <c r="B5302" s="28" t="s">
        <v>5102</v>
      </c>
      <c r="C5302" s="27" t="s">
        <v>9785</v>
      </c>
      <c r="D5302" s="27" t="s">
        <v>5104</v>
      </c>
      <c r="E5302" s="29">
        <v>42510</v>
      </c>
      <c r="F5302" s="27">
        <v>15</v>
      </c>
      <c r="G5302" s="18">
        <v>95920.43</v>
      </c>
      <c r="H5302" s="27">
        <f t="shared" si="164"/>
        <v>0</v>
      </c>
      <c r="I5302" s="18">
        <v>17916.87</v>
      </c>
      <c r="J5302" s="27">
        <v>95920.43</v>
      </c>
      <c r="K5302" s="18">
        <f t="shared" si="165"/>
        <v>0</v>
      </c>
      <c r="L5302" s="27">
        <v>23812.78</v>
      </c>
      <c r="M5302" s="36">
        <v>5895.91</v>
      </c>
      <c r="T5302" s="41">
        <v>0</v>
      </c>
      <c r="U5302" s="41">
        <v>0</v>
      </c>
      <c r="V5302" s="42" t="s">
        <v>113</v>
      </c>
      <c r="W5302" s="42">
        <v>0</v>
      </c>
      <c r="X5302" s="42">
        <v>0</v>
      </c>
    </row>
    <row r="5303" spans="1:24">
      <c r="A5303" s="27" t="s">
        <v>9786</v>
      </c>
      <c r="B5303" s="28" t="s">
        <v>5102</v>
      </c>
      <c r="C5303" s="27" t="s">
        <v>9787</v>
      </c>
      <c r="D5303" s="27" t="s">
        <v>5104</v>
      </c>
      <c r="E5303" s="29">
        <v>42510</v>
      </c>
      <c r="F5303" s="27">
        <v>15</v>
      </c>
      <c r="G5303" s="18">
        <v>26066.73</v>
      </c>
      <c r="H5303" s="27">
        <f t="shared" si="164"/>
        <v>0</v>
      </c>
      <c r="I5303" s="18">
        <v>4868.97</v>
      </c>
      <c r="J5303" s="27">
        <v>26066.73</v>
      </c>
      <c r="K5303" s="18">
        <f t="shared" si="165"/>
        <v>0</v>
      </c>
      <c r="L5303" s="27">
        <v>6471.21</v>
      </c>
      <c r="M5303" s="36">
        <v>1602.24</v>
      </c>
      <c r="T5303" s="41">
        <v>0</v>
      </c>
      <c r="U5303" s="41">
        <v>0</v>
      </c>
      <c r="V5303" s="42" t="s">
        <v>113</v>
      </c>
      <c r="W5303" s="42">
        <v>0</v>
      </c>
      <c r="X5303" s="42">
        <v>0</v>
      </c>
    </row>
    <row r="5304" spans="1:24">
      <c r="A5304" s="27" t="s">
        <v>9788</v>
      </c>
      <c r="B5304" s="28" t="s">
        <v>5102</v>
      </c>
      <c r="C5304" s="27" t="s">
        <v>9789</v>
      </c>
      <c r="D5304" s="27" t="s">
        <v>5104</v>
      </c>
      <c r="E5304" s="29">
        <v>42510</v>
      </c>
      <c r="F5304" s="27">
        <v>15</v>
      </c>
      <c r="G5304" s="18">
        <v>71779.81</v>
      </c>
      <c r="H5304" s="27">
        <f t="shared" si="164"/>
        <v>0</v>
      </c>
      <c r="I5304" s="18">
        <v>13407.67</v>
      </c>
      <c r="J5304" s="27">
        <v>71779.81</v>
      </c>
      <c r="K5304" s="18">
        <f t="shared" si="165"/>
        <v>0</v>
      </c>
      <c r="L5304" s="27">
        <v>17819.740000000002</v>
      </c>
      <c r="M5304" s="36">
        <v>4412.07</v>
      </c>
      <c r="T5304" s="41">
        <v>0</v>
      </c>
      <c r="U5304" s="41">
        <v>0</v>
      </c>
      <c r="V5304" s="42" t="s">
        <v>113</v>
      </c>
      <c r="W5304" s="42">
        <v>0</v>
      </c>
      <c r="X5304" s="42">
        <v>0</v>
      </c>
    </row>
    <row r="5305" spans="1:24">
      <c r="A5305" s="27" t="s">
        <v>9790</v>
      </c>
      <c r="B5305" s="28" t="s">
        <v>5102</v>
      </c>
      <c r="C5305" s="27" t="s">
        <v>9791</v>
      </c>
      <c r="D5305" s="27" t="s">
        <v>5104</v>
      </c>
      <c r="E5305" s="29">
        <v>42510</v>
      </c>
      <c r="F5305" s="27">
        <v>15</v>
      </c>
      <c r="G5305" s="18">
        <v>24461.64</v>
      </c>
      <c r="H5305" s="27">
        <f t="shared" si="164"/>
        <v>0</v>
      </c>
      <c r="I5305" s="18">
        <v>4569.17</v>
      </c>
      <c r="J5305" s="27">
        <v>24461.64</v>
      </c>
      <c r="K5305" s="18">
        <f t="shared" si="165"/>
        <v>0</v>
      </c>
      <c r="L5305" s="27">
        <v>6072.75</v>
      </c>
      <c r="M5305" s="36">
        <v>1503.58</v>
      </c>
      <c r="T5305" s="41">
        <v>0</v>
      </c>
      <c r="U5305" s="41">
        <v>0</v>
      </c>
      <c r="V5305" s="42" t="s">
        <v>113</v>
      </c>
      <c r="W5305" s="42">
        <v>0</v>
      </c>
      <c r="X5305" s="42">
        <v>0</v>
      </c>
    </row>
    <row r="5306" spans="1:24">
      <c r="A5306" s="27" t="s">
        <v>9792</v>
      </c>
      <c r="B5306" s="28" t="s">
        <v>5102</v>
      </c>
      <c r="C5306" s="27" t="s">
        <v>9793</v>
      </c>
      <c r="D5306" s="27" t="s">
        <v>5104</v>
      </c>
      <c r="E5306" s="29">
        <v>42510</v>
      </c>
      <c r="F5306" s="27">
        <v>15</v>
      </c>
      <c r="G5306" s="18">
        <v>31309.24</v>
      </c>
      <c r="H5306" s="27">
        <f t="shared" si="164"/>
        <v>0</v>
      </c>
      <c r="I5306" s="18">
        <v>5848.22</v>
      </c>
      <c r="J5306" s="27">
        <v>31309.24</v>
      </c>
      <c r="K5306" s="18">
        <f t="shared" si="165"/>
        <v>0</v>
      </c>
      <c r="L5306" s="27">
        <v>7772.69</v>
      </c>
      <c r="M5306" s="36">
        <v>1924.47</v>
      </c>
      <c r="T5306" s="41">
        <v>0</v>
      </c>
      <c r="U5306" s="41">
        <v>0</v>
      </c>
      <c r="V5306" s="42" t="s">
        <v>113</v>
      </c>
      <c r="W5306" s="42">
        <v>0</v>
      </c>
      <c r="X5306" s="42">
        <v>0</v>
      </c>
    </row>
    <row r="5307" spans="1:24">
      <c r="A5307" s="27" t="s">
        <v>9794</v>
      </c>
      <c r="B5307" s="28" t="s">
        <v>5102</v>
      </c>
      <c r="C5307" s="27" t="s">
        <v>9795</v>
      </c>
      <c r="D5307" s="27" t="s">
        <v>5104</v>
      </c>
      <c r="E5307" s="29">
        <v>42510</v>
      </c>
      <c r="F5307" s="27">
        <v>15</v>
      </c>
      <c r="G5307" s="18">
        <v>128748.27</v>
      </c>
      <c r="H5307" s="27">
        <f t="shared" si="164"/>
        <v>0</v>
      </c>
      <c r="I5307" s="18">
        <v>24048.75</v>
      </c>
      <c r="J5307" s="27">
        <v>128748.27</v>
      </c>
      <c r="K5307" s="18">
        <f t="shared" si="165"/>
        <v>0</v>
      </c>
      <c r="L5307" s="27">
        <v>31962.48</v>
      </c>
      <c r="M5307" s="36">
        <v>7913.73</v>
      </c>
      <c r="T5307" s="41">
        <v>0</v>
      </c>
      <c r="U5307" s="41">
        <v>0</v>
      </c>
      <c r="V5307" s="42" t="s">
        <v>113</v>
      </c>
      <c r="W5307" s="42">
        <v>0</v>
      </c>
      <c r="X5307" s="42">
        <v>0</v>
      </c>
    </row>
    <row r="5308" spans="1:24">
      <c r="A5308" s="27" t="s">
        <v>9796</v>
      </c>
      <c r="B5308" s="28" t="s">
        <v>5102</v>
      </c>
      <c r="C5308" s="27" t="s">
        <v>9797</v>
      </c>
      <c r="D5308" s="27" t="s">
        <v>5104</v>
      </c>
      <c r="E5308" s="29">
        <v>42510</v>
      </c>
      <c r="F5308" s="27">
        <v>15</v>
      </c>
      <c r="G5308" s="18">
        <v>28383.14</v>
      </c>
      <c r="H5308" s="27">
        <f t="shared" si="164"/>
        <v>0</v>
      </c>
      <c r="I5308" s="18">
        <v>5301.66</v>
      </c>
      <c r="J5308" s="27">
        <v>28383.14</v>
      </c>
      <c r="K5308" s="18">
        <f t="shared" si="165"/>
        <v>0</v>
      </c>
      <c r="L5308" s="27">
        <v>7046.28</v>
      </c>
      <c r="M5308" s="36">
        <v>1744.62</v>
      </c>
      <c r="T5308" s="41">
        <v>0</v>
      </c>
      <c r="U5308" s="41">
        <v>0</v>
      </c>
      <c r="V5308" s="42" t="s">
        <v>113</v>
      </c>
      <c r="W5308" s="42">
        <v>0</v>
      </c>
      <c r="X5308" s="42">
        <v>0</v>
      </c>
    </row>
    <row r="5309" spans="1:24">
      <c r="A5309" s="27" t="s">
        <v>9798</v>
      </c>
      <c r="B5309" s="28" t="s">
        <v>5102</v>
      </c>
      <c r="C5309" s="27" t="s">
        <v>9799</v>
      </c>
      <c r="D5309" s="27" t="s">
        <v>5104</v>
      </c>
      <c r="E5309" s="29">
        <v>42510</v>
      </c>
      <c r="F5309" s="27">
        <v>15</v>
      </c>
      <c r="G5309" s="18">
        <v>2223.83</v>
      </c>
      <c r="H5309" s="27">
        <f t="shared" si="164"/>
        <v>0</v>
      </c>
      <c r="I5309" s="18">
        <v>415.39</v>
      </c>
      <c r="J5309" s="27">
        <v>2223.83</v>
      </c>
      <c r="K5309" s="18">
        <f t="shared" si="165"/>
        <v>0</v>
      </c>
      <c r="L5309" s="27">
        <v>552.08000000000004</v>
      </c>
      <c r="M5309" s="36">
        <v>136.69</v>
      </c>
      <c r="T5309" s="41">
        <v>0</v>
      </c>
      <c r="U5309" s="41">
        <v>0</v>
      </c>
      <c r="V5309" s="42" t="s">
        <v>113</v>
      </c>
      <c r="W5309" s="42">
        <v>0</v>
      </c>
      <c r="X5309" s="42">
        <v>0</v>
      </c>
    </row>
    <row r="5310" spans="1:24">
      <c r="A5310" s="27" t="s">
        <v>9800</v>
      </c>
      <c r="B5310" s="28" t="s">
        <v>5102</v>
      </c>
      <c r="C5310" s="27" t="s">
        <v>9801</v>
      </c>
      <c r="D5310" s="27" t="s">
        <v>5104</v>
      </c>
      <c r="E5310" s="29">
        <v>42457</v>
      </c>
      <c r="F5310" s="27">
        <v>15</v>
      </c>
      <c r="G5310" s="18">
        <v>81499.570000000007</v>
      </c>
      <c r="H5310" s="27">
        <f t="shared" si="164"/>
        <v>0</v>
      </c>
      <c r="I5310" s="18">
        <v>15376.48</v>
      </c>
      <c r="J5310" s="27">
        <v>81499.570000000007</v>
      </c>
      <c r="K5310" s="18">
        <f t="shared" si="165"/>
        <v>0</v>
      </c>
      <c r="L5310" s="27">
        <v>20441.63</v>
      </c>
      <c r="M5310" s="36">
        <v>5065.1499999999996</v>
      </c>
      <c r="T5310" s="41">
        <v>0</v>
      </c>
      <c r="U5310" s="41">
        <v>0</v>
      </c>
      <c r="V5310" s="42" t="s">
        <v>113</v>
      </c>
      <c r="W5310" s="42">
        <v>0</v>
      </c>
      <c r="X5310" s="42">
        <v>0</v>
      </c>
    </row>
    <row r="5311" spans="1:24">
      <c r="A5311" s="27" t="s">
        <v>9802</v>
      </c>
      <c r="B5311" s="28" t="s">
        <v>5102</v>
      </c>
      <c r="C5311" s="27" t="s">
        <v>9803</v>
      </c>
      <c r="D5311" s="27" t="s">
        <v>5104</v>
      </c>
      <c r="E5311" s="29">
        <v>42457</v>
      </c>
      <c r="F5311" s="27">
        <v>15</v>
      </c>
      <c r="G5311" s="18">
        <v>30211.040000000001</v>
      </c>
      <c r="H5311" s="27">
        <f t="shared" si="164"/>
        <v>0</v>
      </c>
      <c r="I5311" s="18">
        <v>5699.91</v>
      </c>
      <c r="J5311" s="27">
        <v>30211.040000000001</v>
      </c>
      <c r="K5311" s="18">
        <f t="shared" si="165"/>
        <v>0</v>
      </c>
      <c r="L5311" s="27">
        <v>7577.51</v>
      </c>
      <c r="M5311" s="36">
        <v>1877.6</v>
      </c>
      <c r="T5311" s="41">
        <v>0</v>
      </c>
      <c r="U5311" s="41">
        <v>0</v>
      </c>
      <c r="V5311" s="42" t="s">
        <v>113</v>
      </c>
      <c r="W5311" s="42">
        <v>0</v>
      </c>
      <c r="X5311" s="42">
        <v>0</v>
      </c>
    </row>
    <row r="5312" spans="1:24">
      <c r="A5312" s="27" t="s">
        <v>9804</v>
      </c>
      <c r="B5312" s="28" t="s">
        <v>5102</v>
      </c>
      <c r="C5312" s="27" t="s">
        <v>9803</v>
      </c>
      <c r="D5312" s="27" t="s">
        <v>5104</v>
      </c>
      <c r="E5312" s="29">
        <v>42457</v>
      </c>
      <c r="F5312" s="27">
        <v>15</v>
      </c>
      <c r="G5312" s="18">
        <v>59935.69</v>
      </c>
      <c r="H5312" s="27">
        <f t="shared" si="164"/>
        <v>0</v>
      </c>
      <c r="I5312" s="18">
        <v>11308.03</v>
      </c>
      <c r="J5312" s="27">
        <v>59935.69</v>
      </c>
      <c r="K5312" s="18">
        <f t="shared" si="165"/>
        <v>0</v>
      </c>
      <c r="L5312" s="27">
        <v>15033</v>
      </c>
      <c r="M5312" s="36">
        <v>3724.97</v>
      </c>
      <c r="T5312" s="41">
        <v>0</v>
      </c>
      <c r="U5312" s="41">
        <v>0</v>
      </c>
      <c r="V5312" s="42" t="s">
        <v>113</v>
      </c>
      <c r="W5312" s="42">
        <v>0</v>
      </c>
      <c r="X5312" s="42">
        <v>0</v>
      </c>
    </row>
    <row r="5313" spans="1:24">
      <c r="A5313" s="27" t="s">
        <v>9805</v>
      </c>
      <c r="B5313" s="28" t="s">
        <v>5102</v>
      </c>
      <c r="C5313" s="27" t="s">
        <v>9806</v>
      </c>
      <c r="D5313" s="27" t="s">
        <v>5104</v>
      </c>
      <c r="E5313" s="29">
        <v>42457</v>
      </c>
      <c r="F5313" s="27">
        <v>15</v>
      </c>
      <c r="G5313" s="18">
        <v>124341.81</v>
      </c>
      <c r="H5313" s="27">
        <f t="shared" si="164"/>
        <v>0</v>
      </c>
      <c r="I5313" s="18">
        <v>23459.5</v>
      </c>
      <c r="J5313" s="27">
        <v>124341.81</v>
      </c>
      <c r="K5313" s="18">
        <f t="shared" si="165"/>
        <v>0</v>
      </c>
      <c r="L5313" s="27">
        <v>31187.27</v>
      </c>
      <c r="M5313" s="36">
        <v>7727.77</v>
      </c>
      <c r="T5313" s="41">
        <v>0</v>
      </c>
      <c r="U5313" s="41">
        <v>0</v>
      </c>
      <c r="V5313" s="42" t="s">
        <v>113</v>
      </c>
      <c r="W5313" s="42">
        <v>0</v>
      </c>
      <c r="X5313" s="42">
        <v>0</v>
      </c>
    </row>
    <row r="5314" spans="1:24">
      <c r="A5314" s="27" t="s">
        <v>9807</v>
      </c>
      <c r="B5314" s="28" t="s">
        <v>5102</v>
      </c>
      <c r="C5314" s="27" t="s">
        <v>9808</v>
      </c>
      <c r="D5314" s="27" t="s">
        <v>5104</v>
      </c>
      <c r="E5314" s="29">
        <v>42457</v>
      </c>
      <c r="F5314" s="27">
        <v>15</v>
      </c>
      <c r="G5314" s="18">
        <v>92267.34</v>
      </c>
      <c r="H5314" s="27">
        <f t="shared" si="164"/>
        <v>0</v>
      </c>
      <c r="I5314" s="18">
        <v>17408.02</v>
      </c>
      <c r="J5314" s="27">
        <v>92267.34</v>
      </c>
      <c r="K5314" s="18">
        <f t="shared" si="165"/>
        <v>0</v>
      </c>
      <c r="L5314" s="27">
        <v>23142.38</v>
      </c>
      <c r="M5314" s="36">
        <v>5734.36</v>
      </c>
      <c r="T5314" s="41">
        <v>0</v>
      </c>
      <c r="U5314" s="41">
        <v>0</v>
      </c>
      <c r="V5314" s="42" t="s">
        <v>113</v>
      </c>
      <c r="W5314" s="42">
        <v>0</v>
      </c>
      <c r="X5314" s="42">
        <v>0</v>
      </c>
    </row>
    <row r="5315" spans="1:24">
      <c r="A5315" s="27" t="s">
        <v>9809</v>
      </c>
      <c r="B5315" s="28" t="s">
        <v>5102</v>
      </c>
      <c r="C5315" s="27" t="s">
        <v>9808</v>
      </c>
      <c r="D5315" s="27" t="s">
        <v>5104</v>
      </c>
      <c r="E5315" s="29">
        <v>42457</v>
      </c>
      <c r="F5315" s="27">
        <v>15</v>
      </c>
      <c r="G5315" s="18">
        <v>47472.639999999999</v>
      </c>
      <c r="H5315" s="27">
        <f t="shared" si="164"/>
        <v>0</v>
      </c>
      <c r="I5315" s="18">
        <v>8956.64</v>
      </c>
      <c r="J5315" s="27">
        <v>47472.639999999999</v>
      </c>
      <c r="K5315" s="18">
        <f t="shared" si="165"/>
        <v>0</v>
      </c>
      <c r="L5315" s="27">
        <v>11907.04</v>
      </c>
      <c r="M5315" s="36">
        <v>2950.4</v>
      </c>
      <c r="T5315" s="41">
        <v>0</v>
      </c>
      <c r="U5315" s="41">
        <v>0</v>
      </c>
      <c r="V5315" s="42" t="s">
        <v>113</v>
      </c>
      <c r="W5315" s="42">
        <v>0</v>
      </c>
      <c r="X5315" s="42">
        <v>0</v>
      </c>
    </row>
    <row r="5316" spans="1:24">
      <c r="A5316" s="27" t="s">
        <v>9810</v>
      </c>
      <c r="B5316" s="28" t="s">
        <v>5102</v>
      </c>
      <c r="C5316" s="27" t="s">
        <v>9811</v>
      </c>
      <c r="D5316" s="27" t="s">
        <v>5104</v>
      </c>
      <c r="E5316" s="29">
        <v>42457</v>
      </c>
      <c r="F5316" s="27">
        <v>15</v>
      </c>
      <c r="G5316" s="18">
        <v>103970.62</v>
      </c>
      <c r="H5316" s="27">
        <f t="shared" si="164"/>
        <v>0</v>
      </c>
      <c r="I5316" s="18">
        <v>19616.080000000002</v>
      </c>
      <c r="J5316" s="27">
        <v>103970.62</v>
      </c>
      <c r="K5316" s="18">
        <f t="shared" si="165"/>
        <v>0</v>
      </c>
      <c r="L5316" s="27">
        <v>26077.8</v>
      </c>
      <c r="M5316" s="36">
        <v>6461.72</v>
      </c>
      <c r="T5316" s="41">
        <v>0</v>
      </c>
      <c r="U5316" s="41">
        <v>0</v>
      </c>
      <c r="V5316" s="42" t="s">
        <v>113</v>
      </c>
      <c r="W5316" s="42">
        <v>0</v>
      </c>
      <c r="X5316" s="42">
        <v>0</v>
      </c>
    </row>
    <row r="5317" spans="1:24">
      <c r="A5317" s="27" t="s">
        <v>9812</v>
      </c>
      <c r="B5317" s="28" t="s">
        <v>5102</v>
      </c>
      <c r="C5317" s="27" t="s">
        <v>9813</v>
      </c>
      <c r="D5317" s="27" t="s">
        <v>5104</v>
      </c>
      <c r="E5317" s="29">
        <v>42457</v>
      </c>
      <c r="F5317" s="27">
        <v>15</v>
      </c>
      <c r="G5317" s="18">
        <v>98373</v>
      </c>
      <c r="H5317" s="27">
        <f t="shared" si="164"/>
        <v>0</v>
      </c>
      <c r="I5317" s="18">
        <v>18559.990000000002</v>
      </c>
      <c r="J5317" s="27">
        <v>98373</v>
      </c>
      <c r="K5317" s="18">
        <f t="shared" si="165"/>
        <v>0</v>
      </c>
      <c r="L5317" s="27">
        <v>24673.82</v>
      </c>
      <c r="M5317" s="36">
        <v>6113.83</v>
      </c>
      <c r="T5317" s="41">
        <v>0</v>
      </c>
      <c r="U5317" s="41">
        <v>0</v>
      </c>
      <c r="V5317" s="42" t="s">
        <v>113</v>
      </c>
      <c r="W5317" s="42">
        <v>0</v>
      </c>
      <c r="X5317" s="42">
        <v>0</v>
      </c>
    </row>
    <row r="5318" spans="1:24">
      <c r="A5318" s="27" t="s">
        <v>9814</v>
      </c>
      <c r="B5318" s="28" t="s">
        <v>5102</v>
      </c>
      <c r="C5318" s="27" t="s">
        <v>9813</v>
      </c>
      <c r="D5318" s="27" t="s">
        <v>5104</v>
      </c>
      <c r="E5318" s="29">
        <v>42457</v>
      </c>
      <c r="F5318" s="27">
        <v>15</v>
      </c>
      <c r="G5318" s="18">
        <v>22027.68</v>
      </c>
      <c r="H5318" s="27">
        <f t="shared" ref="H5318:H5381" si="166">IFERROR(IF(ROUND((G5318-I5318)/G5318,2)&lt;=0.05,G5318,0),0)</f>
        <v>0</v>
      </c>
      <c r="I5318" s="18">
        <v>4155.95</v>
      </c>
      <c r="J5318" s="27">
        <v>22027.68</v>
      </c>
      <c r="K5318" s="18">
        <f t="shared" ref="K5318:K5381" si="167">IFERROR(IF(ROUND((J5318-L5318)/J5318,2)&lt;=0.05,J5318,0),0)</f>
        <v>0</v>
      </c>
      <c r="L5318" s="27">
        <v>5524.96</v>
      </c>
      <c r="M5318" s="36">
        <v>1369.01</v>
      </c>
      <c r="T5318" s="41">
        <v>0</v>
      </c>
      <c r="U5318" s="41">
        <v>0</v>
      </c>
      <c r="V5318" s="42" t="s">
        <v>113</v>
      </c>
      <c r="W5318" s="42">
        <v>0</v>
      </c>
      <c r="X5318" s="42">
        <v>0</v>
      </c>
    </row>
    <row r="5319" spans="1:24">
      <c r="A5319" s="27" t="s">
        <v>9815</v>
      </c>
      <c r="B5319" s="28" t="s">
        <v>5102</v>
      </c>
      <c r="C5319" s="27" t="s">
        <v>9816</v>
      </c>
      <c r="D5319" s="27" t="s">
        <v>5104</v>
      </c>
      <c r="E5319" s="29">
        <v>42457</v>
      </c>
      <c r="F5319" s="27">
        <v>15</v>
      </c>
      <c r="G5319" s="18">
        <v>161544.76999999999</v>
      </c>
      <c r="H5319" s="27">
        <f t="shared" si="166"/>
        <v>0</v>
      </c>
      <c r="I5319" s="18">
        <v>30478.57</v>
      </c>
      <c r="J5319" s="27">
        <v>161544.76999999999</v>
      </c>
      <c r="K5319" s="18">
        <f t="shared" si="167"/>
        <v>0</v>
      </c>
      <c r="L5319" s="27">
        <v>40518.49</v>
      </c>
      <c r="M5319" s="36">
        <v>10039.92</v>
      </c>
      <c r="T5319" s="41">
        <v>0</v>
      </c>
      <c r="U5319" s="41">
        <v>0</v>
      </c>
      <c r="V5319" s="42" t="s">
        <v>113</v>
      </c>
      <c r="W5319" s="42">
        <v>0</v>
      </c>
      <c r="X5319" s="42">
        <v>0</v>
      </c>
    </row>
    <row r="5320" spans="1:24">
      <c r="A5320" s="27" t="s">
        <v>9817</v>
      </c>
      <c r="B5320" s="28" t="s">
        <v>5102</v>
      </c>
      <c r="C5320" s="27" t="s">
        <v>9816</v>
      </c>
      <c r="D5320" s="27" t="s">
        <v>5104</v>
      </c>
      <c r="E5320" s="29">
        <v>42457</v>
      </c>
      <c r="F5320" s="27">
        <v>15</v>
      </c>
      <c r="G5320" s="18">
        <v>30485.16</v>
      </c>
      <c r="H5320" s="27">
        <f t="shared" si="166"/>
        <v>0</v>
      </c>
      <c r="I5320" s="18">
        <v>5751.62</v>
      </c>
      <c r="J5320" s="27">
        <v>30485.16</v>
      </c>
      <c r="K5320" s="18">
        <f t="shared" si="167"/>
        <v>0</v>
      </c>
      <c r="L5320" s="27">
        <v>7646.26</v>
      </c>
      <c r="M5320" s="36">
        <v>1894.64</v>
      </c>
      <c r="T5320" s="41">
        <v>0</v>
      </c>
      <c r="U5320" s="41">
        <v>0</v>
      </c>
      <c r="V5320" s="42" t="s">
        <v>113</v>
      </c>
      <c r="W5320" s="42">
        <v>0</v>
      </c>
      <c r="X5320" s="42">
        <v>0</v>
      </c>
    </row>
    <row r="5321" spans="1:24">
      <c r="A5321" s="27" t="s">
        <v>9818</v>
      </c>
      <c r="B5321" s="28" t="s">
        <v>5102</v>
      </c>
      <c r="C5321" s="27" t="s">
        <v>9816</v>
      </c>
      <c r="D5321" s="27" t="s">
        <v>5104</v>
      </c>
      <c r="E5321" s="29">
        <v>42457</v>
      </c>
      <c r="F5321" s="27">
        <v>15</v>
      </c>
      <c r="G5321" s="18">
        <v>22364.67</v>
      </c>
      <c r="H5321" s="27">
        <f t="shared" si="166"/>
        <v>0</v>
      </c>
      <c r="I5321" s="18">
        <v>4219.53</v>
      </c>
      <c r="J5321" s="27">
        <v>22364.67</v>
      </c>
      <c r="K5321" s="18">
        <f t="shared" si="167"/>
        <v>0</v>
      </c>
      <c r="L5321" s="27">
        <v>5609.48</v>
      </c>
      <c r="M5321" s="36">
        <v>1389.95</v>
      </c>
      <c r="T5321" s="41">
        <v>0</v>
      </c>
      <c r="U5321" s="41">
        <v>0</v>
      </c>
      <c r="V5321" s="42" t="s">
        <v>113</v>
      </c>
      <c r="W5321" s="42">
        <v>0</v>
      </c>
      <c r="X5321" s="42">
        <v>0</v>
      </c>
    </row>
    <row r="5322" spans="1:24">
      <c r="A5322" s="27" t="s">
        <v>9819</v>
      </c>
      <c r="B5322" s="28" t="s">
        <v>5102</v>
      </c>
      <c r="C5322" s="27" t="s">
        <v>9820</v>
      </c>
      <c r="D5322" s="27" t="s">
        <v>5104</v>
      </c>
      <c r="E5322" s="29">
        <v>42457</v>
      </c>
      <c r="F5322" s="27">
        <v>15</v>
      </c>
      <c r="G5322" s="18">
        <v>131192.72</v>
      </c>
      <c r="H5322" s="27">
        <f t="shared" si="166"/>
        <v>0</v>
      </c>
      <c r="I5322" s="18">
        <v>24752.06</v>
      </c>
      <c r="J5322" s="27">
        <v>131192.72</v>
      </c>
      <c r="K5322" s="18">
        <f t="shared" si="167"/>
        <v>0</v>
      </c>
      <c r="L5322" s="27">
        <v>32905.61</v>
      </c>
      <c r="M5322" s="36">
        <v>8153.55</v>
      </c>
      <c r="T5322" s="41">
        <v>0</v>
      </c>
      <c r="U5322" s="41">
        <v>0</v>
      </c>
      <c r="V5322" s="42" t="s">
        <v>113</v>
      </c>
      <c r="W5322" s="42">
        <v>0</v>
      </c>
      <c r="X5322" s="42">
        <v>0</v>
      </c>
    </row>
    <row r="5323" spans="1:24">
      <c r="A5323" s="27" t="s">
        <v>9821</v>
      </c>
      <c r="B5323" s="28" t="s">
        <v>5102</v>
      </c>
      <c r="C5323" s="27" t="s">
        <v>9822</v>
      </c>
      <c r="D5323" s="27" t="s">
        <v>5104</v>
      </c>
      <c r="E5323" s="29">
        <v>42457</v>
      </c>
      <c r="F5323" s="27">
        <v>15</v>
      </c>
      <c r="G5323" s="18">
        <v>97453.42</v>
      </c>
      <c r="H5323" s="27">
        <f t="shared" si="166"/>
        <v>0</v>
      </c>
      <c r="I5323" s="18">
        <v>18386.490000000002</v>
      </c>
      <c r="J5323" s="27">
        <v>97453.42</v>
      </c>
      <c r="K5323" s="18">
        <f t="shared" si="167"/>
        <v>0</v>
      </c>
      <c r="L5323" s="27">
        <v>24443.16</v>
      </c>
      <c r="M5323" s="36">
        <v>6056.67</v>
      </c>
      <c r="T5323" s="41">
        <v>0</v>
      </c>
      <c r="U5323" s="41">
        <v>0</v>
      </c>
      <c r="V5323" s="42" t="s">
        <v>113</v>
      </c>
      <c r="W5323" s="42">
        <v>0</v>
      </c>
      <c r="X5323" s="42">
        <v>0</v>
      </c>
    </row>
    <row r="5324" spans="1:24">
      <c r="A5324" s="27" t="s">
        <v>9823</v>
      </c>
      <c r="B5324" s="28" t="s">
        <v>5102</v>
      </c>
      <c r="C5324" s="27" t="s">
        <v>9824</v>
      </c>
      <c r="D5324" s="27" t="s">
        <v>5104</v>
      </c>
      <c r="E5324" s="29">
        <v>42457</v>
      </c>
      <c r="F5324" s="27">
        <v>15</v>
      </c>
      <c r="G5324" s="18">
        <v>90143.45</v>
      </c>
      <c r="H5324" s="27">
        <f t="shared" si="166"/>
        <v>0</v>
      </c>
      <c r="I5324" s="18">
        <v>17007.32</v>
      </c>
      <c r="J5324" s="27">
        <v>90143.45</v>
      </c>
      <c r="K5324" s="18">
        <f t="shared" si="167"/>
        <v>0</v>
      </c>
      <c r="L5324" s="27">
        <v>22609.68</v>
      </c>
      <c r="M5324" s="36">
        <v>5602.36</v>
      </c>
      <c r="T5324" s="41">
        <v>0</v>
      </c>
      <c r="U5324" s="41">
        <v>0</v>
      </c>
      <c r="V5324" s="42" t="s">
        <v>113</v>
      </c>
      <c r="W5324" s="42">
        <v>0</v>
      </c>
      <c r="X5324" s="42">
        <v>0</v>
      </c>
    </row>
    <row r="5325" spans="1:24">
      <c r="A5325" s="27" t="s">
        <v>9825</v>
      </c>
      <c r="B5325" s="28" t="s">
        <v>5102</v>
      </c>
      <c r="C5325" s="27" t="s">
        <v>9826</v>
      </c>
      <c r="D5325" s="27" t="s">
        <v>5104</v>
      </c>
      <c r="E5325" s="29">
        <v>42457</v>
      </c>
      <c r="F5325" s="27">
        <v>15</v>
      </c>
      <c r="G5325" s="18">
        <v>37694.21</v>
      </c>
      <c r="H5325" s="27">
        <f t="shared" si="166"/>
        <v>0</v>
      </c>
      <c r="I5325" s="18">
        <v>7111.74</v>
      </c>
      <c r="J5325" s="27">
        <v>37694.21</v>
      </c>
      <c r="K5325" s="18">
        <f t="shared" si="167"/>
        <v>0</v>
      </c>
      <c r="L5325" s="27">
        <v>9454.41</v>
      </c>
      <c r="M5325" s="36">
        <v>2342.67</v>
      </c>
      <c r="T5325" s="41">
        <v>0</v>
      </c>
      <c r="U5325" s="41">
        <v>0</v>
      </c>
      <c r="V5325" s="42" t="s">
        <v>113</v>
      </c>
      <c r="W5325" s="42">
        <v>0</v>
      </c>
      <c r="X5325" s="42">
        <v>0</v>
      </c>
    </row>
    <row r="5326" spans="1:24">
      <c r="A5326" s="27" t="s">
        <v>9827</v>
      </c>
      <c r="B5326" s="28" t="s">
        <v>5102</v>
      </c>
      <c r="C5326" s="27" t="s">
        <v>9828</v>
      </c>
      <c r="D5326" s="27" t="s">
        <v>5104</v>
      </c>
      <c r="E5326" s="29">
        <v>42457</v>
      </c>
      <c r="F5326" s="27">
        <v>15</v>
      </c>
      <c r="G5326" s="18">
        <v>93057.58</v>
      </c>
      <c r="H5326" s="27">
        <f t="shared" si="166"/>
        <v>0</v>
      </c>
      <c r="I5326" s="18">
        <v>17557.13</v>
      </c>
      <c r="J5326" s="27">
        <v>93057.58</v>
      </c>
      <c r="K5326" s="18">
        <f t="shared" si="167"/>
        <v>0</v>
      </c>
      <c r="L5326" s="27">
        <v>23340.61</v>
      </c>
      <c r="M5326" s="36">
        <v>5783.48</v>
      </c>
      <c r="T5326" s="41">
        <v>0</v>
      </c>
      <c r="U5326" s="41">
        <v>0</v>
      </c>
      <c r="V5326" s="42" t="s">
        <v>113</v>
      </c>
      <c r="W5326" s="42">
        <v>0</v>
      </c>
      <c r="X5326" s="42">
        <v>0</v>
      </c>
    </row>
    <row r="5327" spans="1:24">
      <c r="A5327" s="27" t="s">
        <v>9829</v>
      </c>
      <c r="B5327" s="28" t="s">
        <v>5102</v>
      </c>
      <c r="C5327" s="27" t="s">
        <v>9830</v>
      </c>
      <c r="D5327" s="27" t="s">
        <v>5104</v>
      </c>
      <c r="E5327" s="29">
        <v>42457</v>
      </c>
      <c r="F5327" s="27">
        <v>15</v>
      </c>
      <c r="G5327" s="18">
        <v>11552.6</v>
      </c>
      <c r="H5327" s="27">
        <f t="shared" si="166"/>
        <v>0</v>
      </c>
      <c r="I5327" s="18">
        <v>2179.63</v>
      </c>
      <c r="J5327" s="27">
        <v>11552.6</v>
      </c>
      <c r="K5327" s="18">
        <f t="shared" si="167"/>
        <v>0</v>
      </c>
      <c r="L5327" s="27">
        <v>2897.62</v>
      </c>
      <c r="M5327" s="36">
        <v>717.99</v>
      </c>
      <c r="T5327" s="41">
        <v>0</v>
      </c>
      <c r="U5327" s="41">
        <v>0</v>
      </c>
      <c r="V5327" s="42" t="s">
        <v>113</v>
      </c>
      <c r="W5327" s="42">
        <v>0</v>
      </c>
      <c r="X5327" s="42">
        <v>0</v>
      </c>
    </row>
    <row r="5328" spans="1:24">
      <c r="A5328" s="27" t="s">
        <v>9831</v>
      </c>
      <c r="B5328" s="28" t="s">
        <v>5102</v>
      </c>
      <c r="C5328" s="27" t="s">
        <v>9832</v>
      </c>
      <c r="D5328" s="27" t="s">
        <v>5104</v>
      </c>
      <c r="E5328" s="29">
        <v>42457</v>
      </c>
      <c r="F5328" s="27">
        <v>15</v>
      </c>
      <c r="G5328" s="18">
        <v>12232.16</v>
      </c>
      <c r="H5328" s="27">
        <f t="shared" si="166"/>
        <v>0</v>
      </c>
      <c r="I5328" s="18">
        <v>2307.84</v>
      </c>
      <c r="J5328" s="27">
        <v>12232.16</v>
      </c>
      <c r="K5328" s="18">
        <f t="shared" si="167"/>
        <v>0</v>
      </c>
      <c r="L5328" s="27">
        <v>3068.06</v>
      </c>
      <c r="M5328" s="36">
        <v>760.22</v>
      </c>
      <c r="T5328" s="41">
        <v>0</v>
      </c>
      <c r="U5328" s="41">
        <v>0</v>
      </c>
      <c r="V5328" s="42" t="s">
        <v>113</v>
      </c>
      <c r="W5328" s="42">
        <v>0</v>
      </c>
      <c r="X5328" s="42">
        <v>0</v>
      </c>
    </row>
    <row r="5329" spans="1:24">
      <c r="A5329" s="27" t="s">
        <v>9833</v>
      </c>
      <c r="B5329" s="28" t="s">
        <v>5102</v>
      </c>
      <c r="C5329" s="27" t="s">
        <v>9832</v>
      </c>
      <c r="D5329" s="27" t="s">
        <v>5104</v>
      </c>
      <c r="E5329" s="29">
        <v>42457</v>
      </c>
      <c r="F5329" s="27">
        <v>15</v>
      </c>
      <c r="G5329" s="18">
        <v>48291.56</v>
      </c>
      <c r="H5329" s="27">
        <f t="shared" si="166"/>
        <v>0</v>
      </c>
      <c r="I5329" s="18">
        <v>9111.14</v>
      </c>
      <c r="J5329" s="27">
        <v>48291.56</v>
      </c>
      <c r="K5329" s="18">
        <f t="shared" si="167"/>
        <v>0</v>
      </c>
      <c r="L5329" s="27">
        <v>12112.43</v>
      </c>
      <c r="M5329" s="36">
        <v>3001.29</v>
      </c>
      <c r="T5329" s="41">
        <v>0</v>
      </c>
      <c r="U5329" s="41">
        <v>0</v>
      </c>
      <c r="V5329" s="42" t="s">
        <v>113</v>
      </c>
      <c r="W5329" s="42">
        <v>0</v>
      </c>
      <c r="X5329" s="42">
        <v>0</v>
      </c>
    </row>
    <row r="5330" spans="1:24">
      <c r="A5330" s="27" t="s">
        <v>9834</v>
      </c>
      <c r="B5330" s="28" t="s">
        <v>5102</v>
      </c>
      <c r="C5330" s="27" t="s">
        <v>9835</v>
      </c>
      <c r="D5330" s="27" t="s">
        <v>5104</v>
      </c>
      <c r="E5330" s="29">
        <v>42457</v>
      </c>
      <c r="F5330" s="27">
        <v>15</v>
      </c>
      <c r="G5330" s="18">
        <v>106438.88</v>
      </c>
      <c r="H5330" s="27">
        <f t="shared" si="166"/>
        <v>0</v>
      </c>
      <c r="I5330" s="18">
        <v>20081.78</v>
      </c>
      <c r="J5330" s="27">
        <v>106438.88</v>
      </c>
      <c r="K5330" s="18">
        <f t="shared" si="167"/>
        <v>0</v>
      </c>
      <c r="L5330" s="27">
        <v>26696.9</v>
      </c>
      <c r="M5330" s="36">
        <v>6615.12</v>
      </c>
      <c r="T5330" s="41">
        <v>0</v>
      </c>
      <c r="U5330" s="41">
        <v>0</v>
      </c>
      <c r="V5330" s="42" t="s">
        <v>113</v>
      </c>
      <c r="W5330" s="42">
        <v>0</v>
      </c>
      <c r="X5330" s="42">
        <v>0</v>
      </c>
    </row>
    <row r="5331" spans="1:24">
      <c r="A5331" s="27" t="s">
        <v>9836</v>
      </c>
      <c r="B5331" s="28" t="s">
        <v>5102</v>
      </c>
      <c r="C5331" s="27" t="s">
        <v>9835</v>
      </c>
      <c r="D5331" s="27" t="s">
        <v>5104</v>
      </c>
      <c r="E5331" s="29">
        <v>42457</v>
      </c>
      <c r="F5331" s="27">
        <v>15</v>
      </c>
      <c r="G5331" s="18">
        <v>14461.56</v>
      </c>
      <c r="H5331" s="27">
        <f t="shared" si="166"/>
        <v>0</v>
      </c>
      <c r="I5331" s="18">
        <v>2728.45</v>
      </c>
      <c r="J5331" s="27">
        <v>14461.56</v>
      </c>
      <c r="K5331" s="18">
        <f t="shared" si="167"/>
        <v>0</v>
      </c>
      <c r="L5331" s="27">
        <v>3627.23</v>
      </c>
      <c r="M5331" s="36">
        <v>898.78</v>
      </c>
      <c r="T5331" s="41">
        <v>0</v>
      </c>
      <c r="U5331" s="41">
        <v>0</v>
      </c>
      <c r="V5331" s="42" t="s">
        <v>113</v>
      </c>
      <c r="W5331" s="42">
        <v>0</v>
      </c>
      <c r="X5331" s="42">
        <v>0</v>
      </c>
    </row>
    <row r="5332" spans="1:24">
      <c r="A5332" s="27" t="s">
        <v>9837</v>
      </c>
      <c r="B5332" s="28" t="s">
        <v>5102</v>
      </c>
      <c r="C5332" s="27" t="s">
        <v>9838</v>
      </c>
      <c r="D5332" s="27" t="s">
        <v>5104</v>
      </c>
      <c r="E5332" s="29">
        <v>42457</v>
      </c>
      <c r="F5332" s="27">
        <v>15</v>
      </c>
      <c r="G5332" s="18">
        <v>74865.27</v>
      </c>
      <c r="H5332" s="27">
        <f t="shared" si="166"/>
        <v>0</v>
      </c>
      <c r="I5332" s="18">
        <v>14124.79</v>
      </c>
      <c r="J5332" s="27">
        <v>74865.27</v>
      </c>
      <c r="K5332" s="18">
        <f t="shared" si="167"/>
        <v>0</v>
      </c>
      <c r="L5332" s="27">
        <v>18777.62</v>
      </c>
      <c r="M5332" s="36">
        <v>4652.83</v>
      </c>
      <c r="T5332" s="41">
        <v>0</v>
      </c>
      <c r="U5332" s="41">
        <v>0</v>
      </c>
      <c r="V5332" s="42" t="s">
        <v>113</v>
      </c>
      <c r="W5332" s="42">
        <v>0</v>
      </c>
      <c r="X5332" s="42">
        <v>0</v>
      </c>
    </row>
    <row r="5333" spans="1:24">
      <c r="A5333" s="27" t="s">
        <v>9839</v>
      </c>
      <c r="B5333" s="28" t="s">
        <v>5102</v>
      </c>
      <c r="C5333" s="27" t="s">
        <v>9840</v>
      </c>
      <c r="D5333" s="27" t="s">
        <v>5104</v>
      </c>
      <c r="E5333" s="29">
        <v>42457</v>
      </c>
      <c r="F5333" s="27">
        <v>15</v>
      </c>
      <c r="G5333" s="18">
        <v>62326.51</v>
      </c>
      <c r="H5333" s="27">
        <f t="shared" si="166"/>
        <v>0</v>
      </c>
      <c r="I5333" s="18">
        <v>11759.11</v>
      </c>
      <c r="J5333" s="27">
        <v>62326.51</v>
      </c>
      <c r="K5333" s="18">
        <f t="shared" si="167"/>
        <v>0</v>
      </c>
      <c r="L5333" s="27">
        <v>15632.67</v>
      </c>
      <c r="M5333" s="36">
        <v>3873.56</v>
      </c>
      <c r="T5333" s="41">
        <v>0</v>
      </c>
      <c r="U5333" s="41">
        <v>0</v>
      </c>
      <c r="V5333" s="42" t="s">
        <v>113</v>
      </c>
      <c r="W5333" s="42">
        <v>0</v>
      </c>
      <c r="X5333" s="42">
        <v>0</v>
      </c>
    </row>
    <row r="5334" spans="1:24">
      <c r="A5334" s="27" t="s">
        <v>9841</v>
      </c>
      <c r="B5334" s="28" t="s">
        <v>5102</v>
      </c>
      <c r="C5334" s="27" t="s">
        <v>9842</v>
      </c>
      <c r="D5334" s="27" t="s">
        <v>5104</v>
      </c>
      <c r="E5334" s="29">
        <v>42457</v>
      </c>
      <c r="F5334" s="27">
        <v>15</v>
      </c>
      <c r="G5334" s="18">
        <v>69160.56</v>
      </c>
      <c r="H5334" s="27">
        <f t="shared" si="166"/>
        <v>0</v>
      </c>
      <c r="I5334" s="18">
        <v>13048.49</v>
      </c>
      <c r="J5334" s="27">
        <v>69160.56</v>
      </c>
      <c r="K5334" s="18">
        <f t="shared" si="167"/>
        <v>0</v>
      </c>
      <c r="L5334" s="27">
        <v>17346.78</v>
      </c>
      <c r="M5334" s="36">
        <v>4298.29</v>
      </c>
      <c r="T5334" s="41">
        <v>0</v>
      </c>
      <c r="U5334" s="41">
        <v>0</v>
      </c>
      <c r="V5334" s="42" t="s">
        <v>113</v>
      </c>
      <c r="W5334" s="42">
        <v>0</v>
      </c>
      <c r="X5334" s="42">
        <v>0</v>
      </c>
    </row>
    <row r="5335" spans="1:24">
      <c r="A5335" s="27" t="s">
        <v>9843</v>
      </c>
      <c r="B5335" s="28" t="s">
        <v>5102</v>
      </c>
      <c r="C5335" s="27" t="s">
        <v>9844</v>
      </c>
      <c r="D5335" s="27" t="s">
        <v>5104</v>
      </c>
      <c r="E5335" s="29">
        <v>42457</v>
      </c>
      <c r="F5335" s="27">
        <v>15</v>
      </c>
      <c r="G5335" s="18">
        <v>12672.65</v>
      </c>
      <c r="H5335" s="27">
        <f t="shared" si="166"/>
        <v>0</v>
      </c>
      <c r="I5335" s="18">
        <v>2390.94</v>
      </c>
      <c r="J5335" s="27">
        <v>12672.65</v>
      </c>
      <c r="K5335" s="18">
        <f t="shared" si="167"/>
        <v>0</v>
      </c>
      <c r="L5335" s="27">
        <v>3178.54</v>
      </c>
      <c r="M5335" s="36">
        <v>787.6</v>
      </c>
      <c r="T5335" s="41">
        <v>0</v>
      </c>
      <c r="U5335" s="41">
        <v>0</v>
      </c>
      <c r="V5335" s="42" t="s">
        <v>113</v>
      </c>
      <c r="W5335" s="42">
        <v>0</v>
      </c>
      <c r="X5335" s="42">
        <v>0</v>
      </c>
    </row>
    <row r="5336" spans="1:24">
      <c r="A5336" s="27" t="s">
        <v>9845</v>
      </c>
      <c r="B5336" s="28" t="s">
        <v>5102</v>
      </c>
      <c r="C5336" s="27" t="s">
        <v>9846</v>
      </c>
      <c r="D5336" s="27" t="s">
        <v>5104</v>
      </c>
      <c r="E5336" s="29">
        <v>42457</v>
      </c>
      <c r="F5336" s="27">
        <v>15</v>
      </c>
      <c r="G5336" s="18">
        <v>23479.38</v>
      </c>
      <c r="H5336" s="27">
        <f t="shared" si="166"/>
        <v>0</v>
      </c>
      <c r="I5336" s="18">
        <v>4429.84</v>
      </c>
      <c r="J5336" s="27">
        <v>23479.38</v>
      </c>
      <c r="K5336" s="18">
        <f t="shared" si="167"/>
        <v>0</v>
      </c>
      <c r="L5336" s="27">
        <v>5889.07</v>
      </c>
      <c r="M5336" s="36">
        <v>1459.23</v>
      </c>
      <c r="T5336" s="41">
        <v>0</v>
      </c>
      <c r="U5336" s="41">
        <v>0</v>
      </c>
      <c r="V5336" s="42" t="s">
        <v>113</v>
      </c>
      <c r="W5336" s="42">
        <v>0</v>
      </c>
      <c r="X5336" s="42">
        <v>0</v>
      </c>
    </row>
    <row r="5337" spans="1:24">
      <c r="A5337" s="27" t="s">
        <v>9847</v>
      </c>
      <c r="B5337" s="28" t="s">
        <v>5102</v>
      </c>
      <c r="C5337" s="27" t="s">
        <v>9848</v>
      </c>
      <c r="D5337" s="27" t="s">
        <v>5104</v>
      </c>
      <c r="E5337" s="29">
        <v>42457</v>
      </c>
      <c r="F5337" s="27">
        <v>15</v>
      </c>
      <c r="G5337" s="18">
        <v>7463.64</v>
      </c>
      <c r="H5337" s="27">
        <f t="shared" si="166"/>
        <v>0</v>
      </c>
      <c r="I5337" s="18">
        <v>1408.16</v>
      </c>
      <c r="J5337" s="27">
        <v>7463.64</v>
      </c>
      <c r="K5337" s="18">
        <f t="shared" si="167"/>
        <v>0</v>
      </c>
      <c r="L5337" s="27">
        <v>1872.02</v>
      </c>
      <c r="M5337" s="36">
        <v>463.86</v>
      </c>
      <c r="T5337" s="41">
        <v>0</v>
      </c>
      <c r="U5337" s="41">
        <v>0</v>
      </c>
      <c r="V5337" s="42" t="s">
        <v>113</v>
      </c>
      <c r="W5337" s="42">
        <v>0</v>
      </c>
      <c r="X5337" s="42">
        <v>0</v>
      </c>
    </row>
    <row r="5338" spans="1:24">
      <c r="A5338" s="27" t="s">
        <v>9849</v>
      </c>
      <c r="B5338" s="28" t="s">
        <v>5102</v>
      </c>
      <c r="C5338" s="27" t="s">
        <v>9840</v>
      </c>
      <c r="D5338" s="27" t="s">
        <v>5104</v>
      </c>
      <c r="E5338" s="29">
        <v>42457</v>
      </c>
      <c r="F5338" s="27">
        <v>15</v>
      </c>
      <c r="G5338" s="18">
        <v>45792.57</v>
      </c>
      <c r="H5338" s="27">
        <f t="shared" si="166"/>
        <v>0</v>
      </c>
      <c r="I5338" s="18">
        <v>8639.66</v>
      </c>
      <c r="J5338" s="27">
        <v>45792.57</v>
      </c>
      <c r="K5338" s="18">
        <f t="shared" si="167"/>
        <v>0</v>
      </c>
      <c r="L5338" s="27">
        <v>11485.64</v>
      </c>
      <c r="M5338" s="36">
        <v>2845.98</v>
      </c>
      <c r="T5338" s="41">
        <v>0</v>
      </c>
      <c r="U5338" s="41">
        <v>0</v>
      </c>
      <c r="V5338" s="42" t="s">
        <v>113</v>
      </c>
      <c r="W5338" s="42">
        <v>0</v>
      </c>
      <c r="X5338" s="42">
        <v>0</v>
      </c>
    </row>
    <row r="5339" spans="1:24">
      <c r="A5339" s="27" t="s">
        <v>9850</v>
      </c>
      <c r="B5339" s="28" t="s">
        <v>5102</v>
      </c>
      <c r="C5339" s="27" t="s">
        <v>9842</v>
      </c>
      <c r="D5339" s="27" t="s">
        <v>5104</v>
      </c>
      <c r="E5339" s="29">
        <v>42457</v>
      </c>
      <c r="F5339" s="27">
        <v>15</v>
      </c>
      <c r="G5339" s="18">
        <v>17337.43</v>
      </c>
      <c r="H5339" s="27">
        <f t="shared" si="166"/>
        <v>0</v>
      </c>
      <c r="I5339" s="18">
        <v>3271.04</v>
      </c>
      <c r="J5339" s="27">
        <v>17337.43</v>
      </c>
      <c r="K5339" s="18">
        <f t="shared" si="167"/>
        <v>0</v>
      </c>
      <c r="L5339" s="27">
        <v>4348.55</v>
      </c>
      <c r="M5339" s="36">
        <v>1077.51</v>
      </c>
      <c r="T5339" s="41">
        <v>0</v>
      </c>
      <c r="U5339" s="41">
        <v>0</v>
      </c>
      <c r="V5339" s="42" t="s">
        <v>113</v>
      </c>
      <c r="W5339" s="42">
        <v>0</v>
      </c>
      <c r="X5339" s="42">
        <v>0</v>
      </c>
    </row>
    <row r="5340" spans="1:24">
      <c r="A5340" s="27" t="s">
        <v>9851</v>
      </c>
      <c r="B5340" s="28" t="s">
        <v>5102</v>
      </c>
      <c r="C5340" s="27" t="s">
        <v>9852</v>
      </c>
      <c r="D5340" s="27" t="s">
        <v>5104</v>
      </c>
      <c r="E5340" s="29">
        <v>42457</v>
      </c>
      <c r="F5340" s="27">
        <v>15</v>
      </c>
      <c r="G5340" s="18">
        <v>78705.56</v>
      </c>
      <c r="H5340" s="27">
        <f t="shared" si="166"/>
        <v>0</v>
      </c>
      <c r="I5340" s="18">
        <v>14849.34</v>
      </c>
      <c r="J5340" s="27">
        <v>78705.56</v>
      </c>
      <c r="K5340" s="18">
        <f t="shared" si="167"/>
        <v>0</v>
      </c>
      <c r="L5340" s="27">
        <v>19740.849999999999</v>
      </c>
      <c r="M5340" s="36">
        <v>4891.51</v>
      </c>
      <c r="T5340" s="41">
        <v>0</v>
      </c>
      <c r="U5340" s="41">
        <v>0</v>
      </c>
      <c r="V5340" s="42" t="s">
        <v>113</v>
      </c>
      <c r="W5340" s="42">
        <v>0</v>
      </c>
      <c r="X5340" s="42">
        <v>0</v>
      </c>
    </row>
    <row r="5341" spans="1:24">
      <c r="A5341" s="27" t="s">
        <v>9853</v>
      </c>
      <c r="B5341" s="28" t="s">
        <v>5102</v>
      </c>
      <c r="C5341" s="27" t="s">
        <v>9854</v>
      </c>
      <c r="D5341" s="27" t="s">
        <v>5104</v>
      </c>
      <c r="E5341" s="29">
        <v>42457</v>
      </c>
      <c r="F5341" s="27">
        <v>15</v>
      </c>
      <c r="G5341" s="18">
        <v>9347.4599999999991</v>
      </c>
      <c r="H5341" s="27">
        <f t="shared" si="166"/>
        <v>0</v>
      </c>
      <c r="I5341" s="18">
        <v>1763.59</v>
      </c>
      <c r="J5341" s="27">
        <v>9347.4599999999991</v>
      </c>
      <c r="K5341" s="18">
        <f t="shared" si="167"/>
        <v>0</v>
      </c>
      <c r="L5341" s="27">
        <v>2344.5300000000002</v>
      </c>
      <c r="M5341" s="36">
        <v>580.94000000000005</v>
      </c>
      <c r="T5341" s="41">
        <v>0</v>
      </c>
      <c r="U5341" s="41">
        <v>0</v>
      </c>
      <c r="V5341" s="42" t="s">
        <v>113</v>
      </c>
      <c r="W5341" s="42">
        <v>0</v>
      </c>
      <c r="X5341" s="42">
        <v>0</v>
      </c>
    </row>
    <row r="5342" spans="1:24">
      <c r="A5342" s="27" t="s">
        <v>9855</v>
      </c>
      <c r="B5342" s="28" t="s">
        <v>5102</v>
      </c>
      <c r="C5342" s="27" t="s">
        <v>9856</v>
      </c>
      <c r="D5342" s="27" t="s">
        <v>5104</v>
      </c>
      <c r="E5342" s="29">
        <v>42457</v>
      </c>
      <c r="F5342" s="27">
        <v>15</v>
      </c>
      <c r="G5342" s="18">
        <v>24988.87</v>
      </c>
      <c r="H5342" s="27">
        <f t="shared" si="166"/>
        <v>0</v>
      </c>
      <c r="I5342" s="18">
        <v>4714.63</v>
      </c>
      <c r="J5342" s="27">
        <v>24988.87</v>
      </c>
      <c r="K5342" s="18">
        <f t="shared" si="167"/>
        <v>0</v>
      </c>
      <c r="L5342" s="27">
        <v>6267.67</v>
      </c>
      <c r="M5342" s="36">
        <v>1553.04</v>
      </c>
      <c r="T5342" s="41">
        <v>0</v>
      </c>
      <c r="U5342" s="41">
        <v>0</v>
      </c>
      <c r="V5342" s="42" t="s">
        <v>113</v>
      </c>
      <c r="W5342" s="42">
        <v>0</v>
      </c>
      <c r="X5342" s="42">
        <v>0</v>
      </c>
    </row>
    <row r="5343" spans="1:24">
      <c r="A5343" s="27" t="s">
        <v>9857</v>
      </c>
      <c r="B5343" s="28" t="s">
        <v>5102</v>
      </c>
      <c r="C5343" s="27" t="s">
        <v>9858</v>
      </c>
      <c r="D5343" s="27" t="s">
        <v>5104</v>
      </c>
      <c r="E5343" s="29">
        <v>42457</v>
      </c>
      <c r="F5343" s="27">
        <v>15</v>
      </c>
      <c r="G5343" s="18">
        <v>18445.64</v>
      </c>
      <c r="H5343" s="27">
        <f t="shared" si="166"/>
        <v>0</v>
      </c>
      <c r="I5343" s="18">
        <v>3480.13</v>
      </c>
      <c r="J5343" s="27">
        <v>18445.64</v>
      </c>
      <c r="K5343" s="18">
        <f t="shared" si="167"/>
        <v>0</v>
      </c>
      <c r="L5343" s="27">
        <v>4626.5200000000004</v>
      </c>
      <c r="M5343" s="36">
        <v>1146.3900000000001</v>
      </c>
      <c r="T5343" s="41">
        <v>0</v>
      </c>
      <c r="U5343" s="41">
        <v>0</v>
      </c>
      <c r="V5343" s="42" t="s">
        <v>113</v>
      </c>
      <c r="W5343" s="42">
        <v>0</v>
      </c>
      <c r="X5343" s="42">
        <v>0</v>
      </c>
    </row>
    <row r="5344" spans="1:24">
      <c r="A5344" s="27" t="s">
        <v>9859</v>
      </c>
      <c r="B5344" s="28" t="s">
        <v>5102</v>
      </c>
      <c r="C5344" s="27" t="s">
        <v>9860</v>
      </c>
      <c r="D5344" s="27" t="s">
        <v>5104</v>
      </c>
      <c r="E5344" s="29">
        <v>42457</v>
      </c>
      <c r="F5344" s="27">
        <v>15</v>
      </c>
      <c r="G5344" s="18">
        <v>83603.600000000006</v>
      </c>
      <c r="H5344" s="27">
        <f t="shared" si="166"/>
        <v>0</v>
      </c>
      <c r="I5344" s="18">
        <v>15773.44</v>
      </c>
      <c r="J5344" s="27">
        <v>83603.600000000006</v>
      </c>
      <c r="K5344" s="18">
        <f t="shared" si="167"/>
        <v>0</v>
      </c>
      <c r="L5344" s="27">
        <v>20969.36</v>
      </c>
      <c r="M5344" s="36">
        <v>5195.92</v>
      </c>
      <c r="T5344" s="41">
        <v>0</v>
      </c>
      <c r="U5344" s="41">
        <v>0</v>
      </c>
      <c r="V5344" s="42" t="s">
        <v>113</v>
      </c>
      <c r="W5344" s="42">
        <v>0</v>
      </c>
      <c r="X5344" s="42">
        <v>0</v>
      </c>
    </row>
    <row r="5345" spans="1:24">
      <c r="A5345" s="27" t="s">
        <v>9861</v>
      </c>
      <c r="B5345" s="28" t="s">
        <v>5102</v>
      </c>
      <c r="C5345" s="27" t="s">
        <v>9860</v>
      </c>
      <c r="D5345" s="27" t="s">
        <v>5104</v>
      </c>
      <c r="E5345" s="29">
        <v>42457</v>
      </c>
      <c r="F5345" s="27">
        <v>15</v>
      </c>
      <c r="G5345" s="18">
        <v>19014.36</v>
      </c>
      <c r="H5345" s="27">
        <f t="shared" si="166"/>
        <v>0</v>
      </c>
      <c r="I5345" s="18">
        <v>3587.42</v>
      </c>
      <c r="J5345" s="27">
        <v>19014.36</v>
      </c>
      <c r="K5345" s="18">
        <f t="shared" si="167"/>
        <v>0</v>
      </c>
      <c r="L5345" s="27">
        <v>4769.1499999999996</v>
      </c>
      <c r="M5345" s="36">
        <v>1181.73</v>
      </c>
      <c r="T5345" s="41">
        <v>0</v>
      </c>
      <c r="U5345" s="41">
        <v>0</v>
      </c>
      <c r="V5345" s="42" t="s">
        <v>113</v>
      </c>
      <c r="W5345" s="42">
        <v>0</v>
      </c>
      <c r="X5345" s="42">
        <v>0</v>
      </c>
    </row>
    <row r="5346" spans="1:24">
      <c r="A5346" s="27" t="s">
        <v>9862</v>
      </c>
      <c r="B5346" s="28" t="s">
        <v>5102</v>
      </c>
      <c r="C5346" s="27" t="s">
        <v>9863</v>
      </c>
      <c r="D5346" s="27" t="s">
        <v>5104</v>
      </c>
      <c r="E5346" s="29">
        <v>42457</v>
      </c>
      <c r="F5346" s="27">
        <v>15</v>
      </c>
      <c r="G5346" s="18">
        <v>58879.97</v>
      </c>
      <c r="H5346" s="27">
        <f t="shared" si="166"/>
        <v>0</v>
      </c>
      <c r="I5346" s="18">
        <v>11108.86</v>
      </c>
      <c r="J5346" s="27">
        <v>58879.97</v>
      </c>
      <c r="K5346" s="18">
        <f t="shared" si="167"/>
        <v>0</v>
      </c>
      <c r="L5346" s="27">
        <v>14768.22</v>
      </c>
      <c r="M5346" s="36">
        <v>3659.36</v>
      </c>
      <c r="T5346" s="41">
        <v>0</v>
      </c>
      <c r="U5346" s="41">
        <v>0</v>
      </c>
      <c r="V5346" s="42" t="s">
        <v>113</v>
      </c>
      <c r="W5346" s="42">
        <v>0</v>
      </c>
      <c r="X5346" s="42">
        <v>0</v>
      </c>
    </row>
    <row r="5347" spans="1:24">
      <c r="A5347" s="27" t="s">
        <v>9864</v>
      </c>
      <c r="B5347" s="28" t="s">
        <v>5102</v>
      </c>
      <c r="C5347" s="27" t="s">
        <v>9863</v>
      </c>
      <c r="D5347" s="27" t="s">
        <v>5104</v>
      </c>
      <c r="E5347" s="29">
        <v>42457</v>
      </c>
      <c r="F5347" s="27">
        <v>15</v>
      </c>
      <c r="G5347" s="18">
        <v>18716.48</v>
      </c>
      <c r="H5347" s="27">
        <f t="shared" si="166"/>
        <v>0</v>
      </c>
      <c r="I5347" s="18">
        <v>3531.24</v>
      </c>
      <c r="J5347" s="27">
        <v>18716.48</v>
      </c>
      <c r="K5347" s="18">
        <f t="shared" si="167"/>
        <v>0</v>
      </c>
      <c r="L5347" s="27">
        <v>4694.46</v>
      </c>
      <c r="M5347" s="36">
        <v>1163.22</v>
      </c>
      <c r="T5347" s="41">
        <v>0</v>
      </c>
      <c r="U5347" s="41">
        <v>0</v>
      </c>
      <c r="V5347" s="42" t="s">
        <v>113</v>
      </c>
      <c r="W5347" s="42">
        <v>0</v>
      </c>
      <c r="X5347" s="42">
        <v>0</v>
      </c>
    </row>
    <row r="5348" spans="1:24">
      <c r="A5348" s="27" t="s">
        <v>9865</v>
      </c>
      <c r="B5348" s="28" t="s">
        <v>5102</v>
      </c>
      <c r="C5348" s="27" t="s">
        <v>9866</v>
      </c>
      <c r="D5348" s="27" t="s">
        <v>5104</v>
      </c>
      <c r="E5348" s="29">
        <v>42457</v>
      </c>
      <c r="F5348" s="27">
        <v>15</v>
      </c>
      <c r="G5348" s="18">
        <v>81917.16</v>
      </c>
      <c r="H5348" s="27">
        <f t="shared" si="166"/>
        <v>0</v>
      </c>
      <c r="I5348" s="18">
        <v>15455.27</v>
      </c>
      <c r="J5348" s="27">
        <v>81917.16</v>
      </c>
      <c r="K5348" s="18">
        <f t="shared" si="167"/>
        <v>0</v>
      </c>
      <c r="L5348" s="27">
        <v>20546.37</v>
      </c>
      <c r="M5348" s="36">
        <v>5091.1000000000004</v>
      </c>
      <c r="T5348" s="41">
        <v>0</v>
      </c>
      <c r="U5348" s="41">
        <v>0</v>
      </c>
      <c r="V5348" s="42" t="s">
        <v>113</v>
      </c>
      <c r="W5348" s="42">
        <v>0</v>
      </c>
      <c r="X5348" s="42">
        <v>0</v>
      </c>
    </row>
    <row r="5349" spans="1:24">
      <c r="A5349" s="27" t="s">
        <v>9867</v>
      </c>
      <c r="B5349" s="28" t="s">
        <v>5102</v>
      </c>
      <c r="C5349" s="27" t="s">
        <v>9866</v>
      </c>
      <c r="D5349" s="27" t="s">
        <v>5104</v>
      </c>
      <c r="E5349" s="29">
        <v>42457</v>
      </c>
      <c r="F5349" s="27">
        <v>15</v>
      </c>
      <c r="G5349" s="18">
        <v>5517.74</v>
      </c>
      <c r="H5349" s="27">
        <f t="shared" si="166"/>
        <v>0</v>
      </c>
      <c r="I5349" s="18">
        <v>1041.02</v>
      </c>
      <c r="J5349" s="27">
        <v>5517.74</v>
      </c>
      <c r="K5349" s="18">
        <f t="shared" si="167"/>
        <v>0</v>
      </c>
      <c r="L5349" s="27">
        <v>1383.94</v>
      </c>
      <c r="M5349" s="36">
        <v>342.92</v>
      </c>
      <c r="T5349" s="41">
        <v>0</v>
      </c>
      <c r="U5349" s="41">
        <v>0</v>
      </c>
      <c r="V5349" s="42" t="s">
        <v>113</v>
      </c>
      <c r="W5349" s="42">
        <v>0</v>
      </c>
      <c r="X5349" s="42">
        <v>0</v>
      </c>
    </row>
    <row r="5350" spans="1:24">
      <c r="A5350" s="27" t="s">
        <v>9868</v>
      </c>
      <c r="B5350" s="28" t="s">
        <v>5102</v>
      </c>
      <c r="C5350" s="27" t="s">
        <v>9866</v>
      </c>
      <c r="D5350" s="27" t="s">
        <v>5104</v>
      </c>
      <c r="E5350" s="29">
        <v>42457</v>
      </c>
      <c r="F5350" s="27">
        <v>15</v>
      </c>
      <c r="G5350" s="18">
        <v>9243.39</v>
      </c>
      <c r="H5350" s="27">
        <f t="shared" si="166"/>
        <v>0</v>
      </c>
      <c r="I5350" s="18">
        <v>1743.93</v>
      </c>
      <c r="J5350" s="27">
        <v>9243.39</v>
      </c>
      <c r="K5350" s="18">
        <f t="shared" si="167"/>
        <v>0</v>
      </c>
      <c r="L5350" s="27">
        <v>2318.4</v>
      </c>
      <c r="M5350" s="36">
        <v>574.47</v>
      </c>
      <c r="T5350" s="41">
        <v>0</v>
      </c>
      <c r="U5350" s="41">
        <v>0</v>
      </c>
      <c r="V5350" s="42" t="s">
        <v>113</v>
      </c>
      <c r="W5350" s="42">
        <v>0</v>
      </c>
      <c r="X5350" s="42">
        <v>0</v>
      </c>
    </row>
    <row r="5351" spans="1:24">
      <c r="A5351" s="27" t="s">
        <v>9869</v>
      </c>
      <c r="B5351" s="28" t="s">
        <v>5102</v>
      </c>
      <c r="C5351" s="27" t="s">
        <v>9866</v>
      </c>
      <c r="D5351" s="27" t="s">
        <v>5104</v>
      </c>
      <c r="E5351" s="29">
        <v>42457</v>
      </c>
      <c r="F5351" s="27">
        <v>15</v>
      </c>
      <c r="G5351" s="18">
        <v>47254.47</v>
      </c>
      <c r="H5351" s="27">
        <f t="shared" si="166"/>
        <v>0</v>
      </c>
      <c r="I5351" s="18">
        <v>8915.48</v>
      </c>
      <c r="J5351" s="27">
        <v>47254.47</v>
      </c>
      <c r="K5351" s="18">
        <f t="shared" si="167"/>
        <v>0</v>
      </c>
      <c r="L5351" s="27">
        <v>11852.32</v>
      </c>
      <c r="M5351" s="36">
        <v>2936.84</v>
      </c>
      <c r="T5351" s="41">
        <v>0</v>
      </c>
      <c r="U5351" s="41">
        <v>0</v>
      </c>
      <c r="V5351" s="42" t="s">
        <v>113</v>
      </c>
      <c r="W5351" s="42">
        <v>0</v>
      </c>
      <c r="X5351" s="42">
        <v>0</v>
      </c>
    </row>
    <row r="5352" spans="1:24">
      <c r="A5352" s="27" t="s">
        <v>9870</v>
      </c>
      <c r="B5352" s="28" t="s">
        <v>5102</v>
      </c>
      <c r="C5352" s="27" t="s">
        <v>9871</v>
      </c>
      <c r="D5352" s="27" t="s">
        <v>5104</v>
      </c>
      <c r="E5352" s="29">
        <v>42457</v>
      </c>
      <c r="F5352" s="27">
        <v>15</v>
      </c>
      <c r="G5352" s="18">
        <v>55220.26</v>
      </c>
      <c r="H5352" s="27">
        <f t="shared" si="166"/>
        <v>0</v>
      </c>
      <c r="I5352" s="18">
        <v>10418.370000000001</v>
      </c>
      <c r="J5352" s="27">
        <v>55220.26</v>
      </c>
      <c r="K5352" s="18">
        <f t="shared" si="167"/>
        <v>0</v>
      </c>
      <c r="L5352" s="27">
        <v>13850.28</v>
      </c>
      <c r="M5352" s="36">
        <v>3431.91</v>
      </c>
      <c r="T5352" s="41">
        <v>0</v>
      </c>
      <c r="U5352" s="41">
        <v>0</v>
      </c>
      <c r="V5352" s="42" t="s">
        <v>113</v>
      </c>
      <c r="W5352" s="42">
        <v>0</v>
      </c>
      <c r="X5352" s="42">
        <v>0</v>
      </c>
    </row>
    <row r="5353" spans="1:24">
      <c r="A5353" s="27" t="s">
        <v>9872</v>
      </c>
      <c r="B5353" s="28" t="s">
        <v>5102</v>
      </c>
      <c r="C5353" s="27" t="s">
        <v>9871</v>
      </c>
      <c r="D5353" s="27" t="s">
        <v>5104</v>
      </c>
      <c r="E5353" s="29">
        <v>42457</v>
      </c>
      <c r="F5353" s="27">
        <v>15</v>
      </c>
      <c r="G5353" s="18">
        <v>27528.2</v>
      </c>
      <c r="H5353" s="27">
        <f t="shared" si="166"/>
        <v>0</v>
      </c>
      <c r="I5353" s="18">
        <v>5193.7299999999996</v>
      </c>
      <c r="J5353" s="27">
        <v>27528.2</v>
      </c>
      <c r="K5353" s="18">
        <f t="shared" si="167"/>
        <v>0</v>
      </c>
      <c r="L5353" s="27">
        <v>6904.59</v>
      </c>
      <c r="M5353" s="36">
        <v>1710.86</v>
      </c>
      <c r="T5353" s="41">
        <v>0</v>
      </c>
      <c r="U5353" s="41">
        <v>0</v>
      </c>
      <c r="V5353" s="42" t="s">
        <v>113</v>
      </c>
      <c r="W5353" s="42">
        <v>0</v>
      </c>
      <c r="X5353" s="42">
        <v>0</v>
      </c>
    </row>
    <row r="5354" spans="1:24">
      <c r="A5354" s="27" t="s">
        <v>9873</v>
      </c>
      <c r="B5354" s="28" t="s">
        <v>5102</v>
      </c>
      <c r="C5354" s="27" t="s">
        <v>9874</v>
      </c>
      <c r="D5354" s="27" t="s">
        <v>5104</v>
      </c>
      <c r="E5354" s="29">
        <v>42457</v>
      </c>
      <c r="F5354" s="27">
        <v>15</v>
      </c>
      <c r="G5354" s="18">
        <v>33959.65</v>
      </c>
      <c r="H5354" s="27">
        <f t="shared" si="166"/>
        <v>0</v>
      </c>
      <c r="I5354" s="18">
        <v>6407.16</v>
      </c>
      <c r="J5354" s="27">
        <v>33959.65</v>
      </c>
      <c r="K5354" s="18">
        <f t="shared" si="167"/>
        <v>0</v>
      </c>
      <c r="L5354" s="27">
        <v>8517.73</v>
      </c>
      <c r="M5354" s="36">
        <v>2110.5700000000002</v>
      </c>
      <c r="T5354" s="41">
        <v>0</v>
      </c>
      <c r="U5354" s="41">
        <v>0</v>
      </c>
      <c r="V5354" s="42" t="s">
        <v>113</v>
      </c>
      <c r="W5354" s="42">
        <v>0</v>
      </c>
      <c r="X5354" s="42">
        <v>0</v>
      </c>
    </row>
    <row r="5355" spans="1:24">
      <c r="A5355" s="27" t="s">
        <v>9875</v>
      </c>
      <c r="B5355" s="28" t="s">
        <v>5102</v>
      </c>
      <c r="C5355" s="27" t="s">
        <v>9874</v>
      </c>
      <c r="D5355" s="27" t="s">
        <v>5104</v>
      </c>
      <c r="E5355" s="29">
        <v>42457</v>
      </c>
      <c r="F5355" s="27">
        <v>15</v>
      </c>
      <c r="G5355" s="18">
        <v>491.58</v>
      </c>
      <c r="H5355" s="27">
        <f t="shared" si="166"/>
        <v>0</v>
      </c>
      <c r="I5355" s="18">
        <v>92.74</v>
      </c>
      <c r="J5355" s="27">
        <v>491.58</v>
      </c>
      <c r="K5355" s="18">
        <f t="shared" si="167"/>
        <v>0</v>
      </c>
      <c r="L5355" s="27">
        <v>123.29</v>
      </c>
      <c r="M5355" s="36">
        <v>30.55</v>
      </c>
      <c r="T5355" s="41">
        <v>0</v>
      </c>
      <c r="U5355" s="41">
        <v>0</v>
      </c>
      <c r="V5355" s="42" t="s">
        <v>113</v>
      </c>
      <c r="W5355" s="42">
        <v>0</v>
      </c>
      <c r="X5355" s="42">
        <v>0</v>
      </c>
    </row>
    <row r="5356" spans="1:24">
      <c r="A5356" s="27" t="s">
        <v>9876</v>
      </c>
      <c r="B5356" s="28" t="s">
        <v>5102</v>
      </c>
      <c r="C5356" s="27" t="s">
        <v>9877</v>
      </c>
      <c r="D5356" s="27" t="s">
        <v>5104</v>
      </c>
      <c r="E5356" s="29">
        <v>42457</v>
      </c>
      <c r="F5356" s="27">
        <v>15</v>
      </c>
      <c r="G5356" s="18">
        <v>24964.73</v>
      </c>
      <c r="H5356" s="27">
        <f t="shared" si="166"/>
        <v>0</v>
      </c>
      <c r="I5356" s="18">
        <v>4710.08</v>
      </c>
      <c r="J5356" s="27">
        <v>24964.73</v>
      </c>
      <c r="K5356" s="18">
        <f t="shared" si="167"/>
        <v>0</v>
      </c>
      <c r="L5356" s="27">
        <v>6261.62</v>
      </c>
      <c r="M5356" s="36">
        <v>1551.54</v>
      </c>
      <c r="T5356" s="41">
        <v>0</v>
      </c>
      <c r="U5356" s="41">
        <v>0</v>
      </c>
      <c r="V5356" s="42" t="s">
        <v>113</v>
      </c>
      <c r="W5356" s="42">
        <v>0</v>
      </c>
      <c r="X5356" s="42">
        <v>0</v>
      </c>
    </row>
    <row r="5357" spans="1:24">
      <c r="A5357" s="27" t="s">
        <v>9878</v>
      </c>
      <c r="B5357" s="28" t="s">
        <v>5102</v>
      </c>
      <c r="C5357" s="27" t="s">
        <v>9877</v>
      </c>
      <c r="D5357" s="27" t="s">
        <v>5104</v>
      </c>
      <c r="E5357" s="29">
        <v>42457</v>
      </c>
      <c r="F5357" s="27">
        <v>15</v>
      </c>
      <c r="G5357" s="18">
        <v>18998.009999999998</v>
      </c>
      <c r="H5357" s="27">
        <f t="shared" si="166"/>
        <v>0</v>
      </c>
      <c r="I5357" s="18">
        <v>3584.35</v>
      </c>
      <c r="J5357" s="27">
        <v>18998.009999999998</v>
      </c>
      <c r="K5357" s="18">
        <f t="shared" si="167"/>
        <v>0</v>
      </c>
      <c r="L5357" s="27">
        <v>4765.07</v>
      </c>
      <c r="M5357" s="36">
        <v>1180.72</v>
      </c>
      <c r="T5357" s="41">
        <v>0</v>
      </c>
      <c r="U5357" s="41">
        <v>0</v>
      </c>
      <c r="V5357" s="42" t="s">
        <v>113</v>
      </c>
      <c r="W5357" s="42">
        <v>0</v>
      </c>
      <c r="X5357" s="42">
        <v>0</v>
      </c>
    </row>
    <row r="5358" spans="1:24">
      <c r="A5358" s="27" t="s">
        <v>9879</v>
      </c>
      <c r="B5358" s="28" t="s">
        <v>5102</v>
      </c>
      <c r="C5358" s="27" t="s">
        <v>9880</v>
      </c>
      <c r="D5358" s="27" t="s">
        <v>5104</v>
      </c>
      <c r="E5358" s="29">
        <v>42457</v>
      </c>
      <c r="F5358" s="27">
        <v>15</v>
      </c>
      <c r="G5358" s="18">
        <v>29976.76</v>
      </c>
      <c r="H5358" s="27">
        <f t="shared" si="166"/>
        <v>0</v>
      </c>
      <c r="I5358" s="18">
        <v>5655.7</v>
      </c>
      <c r="J5358" s="27">
        <v>29976.76</v>
      </c>
      <c r="K5358" s="18">
        <f t="shared" si="167"/>
        <v>0</v>
      </c>
      <c r="L5358" s="27">
        <v>7518.74</v>
      </c>
      <c r="M5358" s="36">
        <v>1863.04</v>
      </c>
      <c r="T5358" s="41">
        <v>0</v>
      </c>
      <c r="U5358" s="41">
        <v>0</v>
      </c>
      <c r="V5358" s="42" t="s">
        <v>113</v>
      </c>
      <c r="W5358" s="42">
        <v>0</v>
      </c>
      <c r="X5358" s="42">
        <v>0</v>
      </c>
    </row>
    <row r="5359" spans="1:24">
      <c r="A5359" s="27" t="s">
        <v>9881</v>
      </c>
      <c r="B5359" s="28" t="s">
        <v>5102</v>
      </c>
      <c r="C5359" s="27" t="s">
        <v>9882</v>
      </c>
      <c r="D5359" s="27" t="s">
        <v>5104</v>
      </c>
      <c r="E5359" s="29">
        <v>42457</v>
      </c>
      <c r="F5359" s="27">
        <v>15</v>
      </c>
      <c r="G5359" s="18">
        <v>148367.04999999999</v>
      </c>
      <c r="H5359" s="27">
        <f t="shared" si="166"/>
        <v>0</v>
      </c>
      <c r="I5359" s="18">
        <v>27992.34</v>
      </c>
      <c r="J5359" s="27">
        <v>148367.04999999999</v>
      </c>
      <c r="K5359" s="18">
        <f t="shared" si="167"/>
        <v>0</v>
      </c>
      <c r="L5359" s="27">
        <v>37213.269999999997</v>
      </c>
      <c r="M5359" s="36">
        <v>9220.93</v>
      </c>
      <c r="T5359" s="41">
        <v>0</v>
      </c>
      <c r="U5359" s="41">
        <v>0</v>
      </c>
      <c r="V5359" s="42" t="s">
        <v>113</v>
      </c>
      <c r="W5359" s="42">
        <v>0</v>
      </c>
      <c r="X5359" s="42">
        <v>0</v>
      </c>
    </row>
    <row r="5360" spans="1:24">
      <c r="A5360" s="27" t="s">
        <v>9883</v>
      </c>
      <c r="B5360" s="28" t="s">
        <v>5102</v>
      </c>
      <c r="C5360" s="27" t="s">
        <v>9882</v>
      </c>
      <c r="D5360" s="27" t="s">
        <v>5104</v>
      </c>
      <c r="E5360" s="29">
        <v>42457</v>
      </c>
      <c r="F5360" s="27">
        <v>15</v>
      </c>
      <c r="G5360" s="18">
        <v>2519.44</v>
      </c>
      <c r="H5360" s="27">
        <f t="shared" si="166"/>
        <v>0</v>
      </c>
      <c r="I5360" s="18">
        <v>475.34</v>
      </c>
      <c r="J5360" s="27">
        <v>2519.44</v>
      </c>
      <c r="K5360" s="18">
        <f t="shared" si="167"/>
        <v>0</v>
      </c>
      <c r="L5360" s="27">
        <v>631.91999999999996</v>
      </c>
      <c r="M5360" s="36">
        <v>156.58000000000001</v>
      </c>
      <c r="T5360" s="41">
        <v>0</v>
      </c>
      <c r="U5360" s="41">
        <v>0</v>
      </c>
      <c r="V5360" s="42" t="s">
        <v>113</v>
      </c>
      <c r="W5360" s="42">
        <v>0</v>
      </c>
      <c r="X5360" s="42">
        <v>0</v>
      </c>
    </row>
    <row r="5361" spans="1:24">
      <c r="A5361" s="27" t="s">
        <v>9884</v>
      </c>
      <c r="B5361" s="28" t="s">
        <v>5102</v>
      </c>
      <c r="C5361" s="27" t="s">
        <v>9885</v>
      </c>
      <c r="D5361" s="27" t="s">
        <v>5104</v>
      </c>
      <c r="E5361" s="29">
        <v>42457</v>
      </c>
      <c r="F5361" s="27">
        <v>15</v>
      </c>
      <c r="G5361" s="18">
        <v>90739.85</v>
      </c>
      <c r="H5361" s="27">
        <f t="shared" si="166"/>
        <v>0</v>
      </c>
      <c r="I5361" s="18">
        <v>17119.84</v>
      </c>
      <c r="J5361" s="27">
        <v>90739.85</v>
      </c>
      <c r="K5361" s="18">
        <f t="shared" si="167"/>
        <v>0</v>
      </c>
      <c r="L5361" s="27">
        <v>22759.27</v>
      </c>
      <c r="M5361" s="36">
        <v>5639.43</v>
      </c>
      <c r="T5361" s="41">
        <v>0</v>
      </c>
      <c r="U5361" s="41">
        <v>0</v>
      </c>
      <c r="V5361" s="42" t="s">
        <v>113</v>
      </c>
      <c r="W5361" s="42">
        <v>0</v>
      </c>
      <c r="X5361" s="42">
        <v>0</v>
      </c>
    </row>
    <row r="5362" spans="1:24">
      <c r="A5362" s="27" t="s">
        <v>9886</v>
      </c>
      <c r="B5362" s="28" t="s">
        <v>5102</v>
      </c>
      <c r="C5362" s="27" t="s">
        <v>9885</v>
      </c>
      <c r="D5362" s="27" t="s">
        <v>5104</v>
      </c>
      <c r="E5362" s="29">
        <v>42457</v>
      </c>
      <c r="F5362" s="27">
        <v>15</v>
      </c>
      <c r="G5362" s="18">
        <v>2039.55</v>
      </c>
      <c r="H5362" s="27">
        <f t="shared" si="166"/>
        <v>0</v>
      </c>
      <c r="I5362" s="18">
        <v>384.81</v>
      </c>
      <c r="J5362" s="27">
        <v>2039.55</v>
      </c>
      <c r="K5362" s="18">
        <f t="shared" si="167"/>
        <v>0</v>
      </c>
      <c r="L5362" s="27">
        <v>511.57</v>
      </c>
      <c r="M5362" s="36">
        <v>126.76</v>
      </c>
      <c r="T5362" s="41">
        <v>0</v>
      </c>
      <c r="U5362" s="41">
        <v>0</v>
      </c>
      <c r="V5362" s="42" t="s">
        <v>113</v>
      </c>
      <c r="W5362" s="42">
        <v>0</v>
      </c>
      <c r="X5362" s="42">
        <v>0</v>
      </c>
    </row>
    <row r="5363" spans="1:24">
      <c r="A5363" s="27" t="s">
        <v>9887</v>
      </c>
      <c r="B5363" s="28" t="s">
        <v>5102</v>
      </c>
      <c r="C5363" s="27" t="s">
        <v>9888</v>
      </c>
      <c r="D5363" s="27" t="s">
        <v>5104</v>
      </c>
      <c r="E5363" s="29">
        <v>42457</v>
      </c>
      <c r="F5363" s="27">
        <v>15</v>
      </c>
      <c r="G5363" s="18">
        <v>68456.539999999994</v>
      </c>
      <c r="H5363" s="27">
        <f t="shared" si="166"/>
        <v>0</v>
      </c>
      <c r="I5363" s="18">
        <v>12915.66</v>
      </c>
      <c r="J5363" s="27">
        <v>68456.539999999994</v>
      </c>
      <c r="K5363" s="18">
        <f t="shared" si="167"/>
        <v>0</v>
      </c>
      <c r="L5363" s="27">
        <v>17170.189999999999</v>
      </c>
      <c r="M5363" s="36">
        <v>4254.53</v>
      </c>
      <c r="T5363" s="41">
        <v>0</v>
      </c>
      <c r="U5363" s="41">
        <v>0</v>
      </c>
      <c r="V5363" s="42" t="s">
        <v>113</v>
      </c>
      <c r="W5363" s="42">
        <v>0</v>
      </c>
      <c r="X5363" s="42">
        <v>0</v>
      </c>
    </row>
    <row r="5364" spans="1:24">
      <c r="A5364" s="27" t="s">
        <v>9889</v>
      </c>
      <c r="B5364" s="28" t="s">
        <v>5102</v>
      </c>
      <c r="C5364" s="27" t="s">
        <v>9890</v>
      </c>
      <c r="D5364" s="27" t="s">
        <v>5104</v>
      </c>
      <c r="E5364" s="29">
        <v>42457</v>
      </c>
      <c r="F5364" s="27">
        <v>15</v>
      </c>
      <c r="G5364" s="18">
        <v>39508.67</v>
      </c>
      <c r="H5364" s="27">
        <f t="shared" si="166"/>
        <v>0</v>
      </c>
      <c r="I5364" s="18">
        <v>7454.08</v>
      </c>
      <c r="J5364" s="27">
        <v>39508.67</v>
      </c>
      <c r="K5364" s="18">
        <f t="shared" si="167"/>
        <v>0</v>
      </c>
      <c r="L5364" s="27">
        <v>9909.52</v>
      </c>
      <c r="M5364" s="36">
        <v>2455.44</v>
      </c>
      <c r="T5364" s="41">
        <v>0</v>
      </c>
      <c r="U5364" s="41">
        <v>0</v>
      </c>
      <c r="V5364" s="42" t="s">
        <v>113</v>
      </c>
      <c r="W5364" s="42">
        <v>0</v>
      </c>
      <c r="X5364" s="42">
        <v>0</v>
      </c>
    </row>
    <row r="5365" spans="1:24">
      <c r="A5365" s="27" t="s">
        <v>9891</v>
      </c>
      <c r="B5365" s="28" t="s">
        <v>5102</v>
      </c>
      <c r="C5365" s="27" t="s">
        <v>9892</v>
      </c>
      <c r="D5365" s="27" t="s">
        <v>5104</v>
      </c>
      <c r="E5365" s="29">
        <v>42457</v>
      </c>
      <c r="F5365" s="27">
        <v>15</v>
      </c>
      <c r="G5365" s="18">
        <v>33373.620000000003</v>
      </c>
      <c r="H5365" s="27">
        <f t="shared" si="166"/>
        <v>0</v>
      </c>
      <c r="I5365" s="18">
        <v>6296.58</v>
      </c>
      <c r="J5365" s="27">
        <v>33373.620000000003</v>
      </c>
      <c r="K5365" s="18">
        <f t="shared" si="167"/>
        <v>0</v>
      </c>
      <c r="L5365" s="27">
        <v>8370.73</v>
      </c>
      <c r="M5365" s="36">
        <v>2074.15</v>
      </c>
      <c r="T5365" s="41">
        <v>0</v>
      </c>
      <c r="U5365" s="41">
        <v>0</v>
      </c>
      <c r="V5365" s="42" t="s">
        <v>113</v>
      </c>
      <c r="W5365" s="42">
        <v>0</v>
      </c>
      <c r="X5365" s="42">
        <v>0</v>
      </c>
    </row>
    <row r="5366" spans="1:24">
      <c r="A5366" s="27" t="s">
        <v>9893</v>
      </c>
      <c r="B5366" s="28" t="s">
        <v>5102</v>
      </c>
      <c r="C5366" s="27" t="s">
        <v>9894</v>
      </c>
      <c r="D5366" s="27" t="s">
        <v>5104</v>
      </c>
      <c r="E5366" s="29">
        <v>42457</v>
      </c>
      <c r="F5366" s="27">
        <v>15</v>
      </c>
      <c r="G5366" s="18">
        <v>46940.82</v>
      </c>
      <c r="H5366" s="27">
        <f t="shared" si="166"/>
        <v>0</v>
      </c>
      <c r="I5366" s="18">
        <v>8856.2999999999993</v>
      </c>
      <c r="J5366" s="27">
        <v>46940.82</v>
      </c>
      <c r="K5366" s="18">
        <f t="shared" si="167"/>
        <v>0</v>
      </c>
      <c r="L5366" s="27">
        <v>11773.65</v>
      </c>
      <c r="M5366" s="36">
        <v>2917.35</v>
      </c>
      <c r="T5366" s="41">
        <v>0</v>
      </c>
      <c r="U5366" s="41">
        <v>0</v>
      </c>
      <c r="V5366" s="42" t="s">
        <v>113</v>
      </c>
      <c r="W5366" s="42">
        <v>0</v>
      </c>
      <c r="X5366" s="42">
        <v>0</v>
      </c>
    </row>
    <row r="5367" spans="1:24">
      <c r="A5367" s="27" t="s">
        <v>9895</v>
      </c>
      <c r="B5367" s="28" t="s">
        <v>5102</v>
      </c>
      <c r="C5367" s="27" t="s">
        <v>9894</v>
      </c>
      <c r="D5367" s="27" t="s">
        <v>5104</v>
      </c>
      <c r="E5367" s="29">
        <v>42457</v>
      </c>
      <c r="F5367" s="27">
        <v>15</v>
      </c>
      <c r="G5367" s="18">
        <v>1130.5999999999999</v>
      </c>
      <c r="H5367" s="27">
        <f t="shared" si="166"/>
        <v>0</v>
      </c>
      <c r="I5367" s="18">
        <v>213.31</v>
      </c>
      <c r="J5367" s="27">
        <v>1130.5999999999999</v>
      </c>
      <c r="K5367" s="18">
        <f t="shared" si="167"/>
        <v>0</v>
      </c>
      <c r="L5367" s="27">
        <v>283.58</v>
      </c>
      <c r="M5367" s="36">
        <v>70.27</v>
      </c>
      <c r="T5367" s="41">
        <v>0</v>
      </c>
      <c r="U5367" s="41">
        <v>0</v>
      </c>
      <c r="V5367" s="42" t="s">
        <v>113</v>
      </c>
      <c r="W5367" s="42">
        <v>0</v>
      </c>
      <c r="X5367" s="42">
        <v>0</v>
      </c>
    </row>
    <row r="5368" spans="1:24">
      <c r="A5368" s="27" t="s">
        <v>9896</v>
      </c>
      <c r="B5368" s="28" t="s">
        <v>5102</v>
      </c>
      <c r="C5368" s="27" t="s">
        <v>9894</v>
      </c>
      <c r="D5368" s="27" t="s">
        <v>5104</v>
      </c>
      <c r="E5368" s="29">
        <v>42457</v>
      </c>
      <c r="F5368" s="27">
        <v>15</v>
      </c>
      <c r="G5368" s="18">
        <v>17503.36</v>
      </c>
      <c r="H5368" s="27">
        <f t="shared" si="166"/>
        <v>0</v>
      </c>
      <c r="I5368" s="18">
        <v>3302.34</v>
      </c>
      <c r="J5368" s="27">
        <v>17503.36</v>
      </c>
      <c r="K5368" s="18">
        <f t="shared" si="167"/>
        <v>0</v>
      </c>
      <c r="L5368" s="27">
        <v>4390.16</v>
      </c>
      <c r="M5368" s="36">
        <v>1087.82</v>
      </c>
      <c r="T5368" s="41">
        <v>0</v>
      </c>
      <c r="U5368" s="41">
        <v>0</v>
      </c>
      <c r="V5368" s="42" t="s">
        <v>113</v>
      </c>
      <c r="W5368" s="42">
        <v>0</v>
      </c>
      <c r="X5368" s="42">
        <v>0</v>
      </c>
    </row>
    <row r="5369" spans="1:24">
      <c r="A5369" s="27" t="s">
        <v>9897</v>
      </c>
      <c r="B5369" s="28" t="s">
        <v>5102</v>
      </c>
      <c r="C5369" s="27" t="s">
        <v>9898</v>
      </c>
      <c r="D5369" s="27" t="s">
        <v>5104</v>
      </c>
      <c r="E5369" s="29">
        <v>42457</v>
      </c>
      <c r="F5369" s="27">
        <v>15</v>
      </c>
      <c r="G5369" s="18">
        <v>52258.82</v>
      </c>
      <c r="H5369" s="27">
        <f t="shared" si="166"/>
        <v>0</v>
      </c>
      <c r="I5369" s="18">
        <v>9859.64</v>
      </c>
      <c r="J5369" s="27">
        <v>52258.82</v>
      </c>
      <c r="K5369" s="18">
        <f t="shared" si="167"/>
        <v>0</v>
      </c>
      <c r="L5369" s="27">
        <v>13107.5</v>
      </c>
      <c r="M5369" s="36">
        <v>3247.86</v>
      </c>
      <c r="T5369" s="41">
        <v>0</v>
      </c>
      <c r="U5369" s="41">
        <v>0</v>
      </c>
      <c r="V5369" s="42" t="s">
        <v>113</v>
      </c>
      <c r="W5369" s="42">
        <v>0</v>
      </c>
      <c r="X5369" s="42">
        <v>0</v>
      </c>
    </row>
    <row r="5370" spans="1:24">
      <c r="A5370" s="27" t="s">
        <v>9899</v>
      </c>
      <c r="B5370" s="28" t="s">
        <v>5102</v>
      </c>
      <c r="C5370" s="27" t="s">
        <v>9900</v>
      </c>
      <c r="D5370" s="27" t="s">
        <v>5104</v>
      </c>
      <c r="E5370" s="29">
        <v>42457</v>
      </c>
      <c r="F5370" s="27">
        <v>15</v>
      </c>
      <c r="G5370" s="18">
        <v>40534.089999999997</v>
      </c>
      <c r="H5370" s="27">
        <f t="shared" si="166"/>
        <v>0</v>
      </c>
      <c r="I5370" s="18">
        <v>7647.54</v>
      </c>
      <c r="J5370" s="27">
        <v>40534.089999999997</v>
      </c>
      <c r="K5370" s="18">
        <f t="shared" si="167"/>
        <v>0</v>
      </c>
      <c r="L5370" s="27">
        <v>10166.709999999999</v>
      </c>
      <c r="M5370" s="36">
        <v>2519.17</v>
      </c>
      <c r="T5370" s="41">
        <v>0</v>
      </c>
      <c r="U5370" s="41">
        <v>0</v>
      </c>
      <c r="V5370" s="42" t="s">
        <v>113</v>
      </c>
      <c r="W5370" s="42">
        <v>0</v>
      </c>
      <c r="X5370" s="42">
        <v>0</v>
      </c>
    </row>
    <row r="5371" spans="1:24">
      <c r="A5371" s="27" t="s">
        <v>9901</v>
      </c>
      <c r="B5371" s="28" t="s">
        <v>5102</v>
      </c>
      <c r="C5371" s="27" t="s">
        <v>9902</v>
      </c>
      <c r="D5371" s="27" t="s">
        <v>5104</v>
      </c>
      <c r="E5371" s="29">
        <v>42457</v>
      </c>
      <c r="F5371" s="27">
        <v>15</v>
      </c>
      <c r="G5371" s="18">
        <v>113928.73</v>
      </c>
      <c r="H5371" s="27">
        <f t="shared" si="166"/>
        <v>0</v>
      </c>
      <c r="I5371" s="18">
        <v>21494.880000000001</v>
      </c>
      <c r="J5371" s="27">
        <v>113928.73</v>
      </c>
      <c r="K5371" s="18">
        <f t="shared" si="167"/>
        <v>0</v>
      </c>
      <c r="L5371" s="27">
        <v>28575.48</v>
      </c>
      <c r="M5371" s="36">
        <v>7080.6</v>
      </c>
      <c r="T5371" s="41">
        <v>0</v>
      </c>
      <c r="U5371" s="41">
        <v>0</v>
      </c>
      <c r="V5371" s="42" t="s">
        <v>113</v>
      </c>
      <c r="W5371" s="42">
        <v>0</v>
      </c>
      <c r="X5371" s="42">
        <v>0</v>
      </c>
    </row>
    <row r="5372" spans="1:24">
      <c r="A5372" s="27" t="s">
        <v>9903</v>
      </c>
      <c r="B5372" s="28" t="s">
        <v>5102</v>
      </c>
      <c r="C5372" s="27" t="s">
        <v>9902</v>
      </c>
      <c r="D5372" s="27" t="s">
        <v>5104</v>
      </c>
      <c r="E5372" s="29">
        <v>42457</v>
      </c>
      <c r="F5372" s="27">
        <v>15</v>
      </c>
      <c r="G5372" s="18">
        <v>63298.559999999998</v>
      </c>
      <c r="H5372" s="27">
        <f t="shared" si="166"/>
        <v>0</v>
      </c>
      <c r="I5372" s="18">
        <v>11942.51</v>
      </c>
      <c r="J5372" s="27">
        <v>63298.559999999998</v>
      </c>
      <c r="K5372" s="18">
        <f t="shared" si="167"/>
        <v>0</v>
      </c>
      <c r="L5372" s="27">
        <v>15876.48</v>
      </c>
      <c r="M5372" s="36">
        <v>3933.97</v>
      </c>
      <c r="T5372" s="41">
        <v>0</v>
      </c>
      <c r="U5372" s="41">
        <v>0</v>
      </c>
      <c r="V5372" s="42" t="s">
        <v>113</v>
      </c>
      <c r="W5372" s="42">
        <v>0</v>
      </c>
      <c r="X5372" s="42">
        <v>0</v>
      </c>
    </row>
    <row r="5373" spans="1:24">
      <c r="A5373" s="27" t="s">
        <v>9904</v>
      </c>
      <c r="B5373" s="28" t="s">
        <v>5102</v>
      </c>
      <c r="C5373" s="27" t="s">
        <v>9905</v>
      </c>
      <c r="D5373" s="27" t="s">
        <v>5104</v>
      </c>
      <c r="E5373" s="29">
        <v>42457</v>
      </c>
      <c r="F5373" s="27">
        <v>15</v>
      </c>
      <c r="G5373" s="18">
        <v>6551.12</v>
      </c>
      <c r="H5373" s="27">
        <f t="shared" si="166"/>
        <v>0</v>
      </c>
      <c r="I5373" s="18">
        <v>1235.98</v>
      </c>
      <c r="J5373" s="27">
        <v>6551.12</v>
      </c>
      <c r="K5373" s="18">
        <f t="shared" si="167"/>
        <v>0</v>
      </c>
      <c r="L5373" s="27">
        <v>1643.13</v>
      </c>
      <c r="M5373" s="36">
        <v>407.15</v>
      </c>
      <c r="T5373" s="41">
        <v>0</v>
      </c>
      <c r="U5373" s="41">
        <v>0</v>
      </c>
      <c r="V5373" s="42" t="s">
        <v>113</v>
      </c>
      <c r="W5373" s="42">
        <v>0</v>
      </c>
      <c r="X5373" s="42">
        <v>0</v>
      </c>
    </row>
    <row r="5374" spans="1:24">
      <c r="A5374" s="27" t="s">
        <v>9906</v>
      </c>
      <c r="B5374" s="28" t="s">
        <v>5102</v>
      </c>
      <c r="C5374" s="27" t="s">
        <v>9907</v>
      </c>
      <c r="D5374" s="27" t="s">
        <v>5104</v>
      </c>
      <c r="E5374" s="29">
        <v>42457</v>
      </c>
      <c r="F5374" s="27">
        <v>15</v>
      </c>
      <c r="G5374" s="18">
        <v>155755.9</v>
      </c>
      <c r="H5374" s="27">
        <f t="shared" si="166"/>
        <v>0</v>
      </c>
      <c r="I5374" s="18">
        <v>29386.39</v>
      </c>
      <c r="J5374" s="27">
        <v>155755.9</v>
      </c>
      <c r="K5374" s="18">
        <f t="shared" si="167"/>
        <v>0</v>
      </c>
      <c r="L5374" s="27">
        <v>39066.53</v>
      </c>
      <c r="M5374" s="36">
        <v>9680.14</v>
      </c>
      <c r="T5374" s="41">
        <v>0</v>
      </c>
      <c r="U5374" s="41">
        <v>0</v>
      </c>
      <c r="V5374" s="42" t="s">
        <v>113</v>
      </c>
      <c r="W5374" s="42">
        <v>0</v>
      </c>
      <c r="X5374" s="42">
        <v>0</v>
      </c>
    </row>
    <row r="5375" spans="1:24">
      <c r="A5375" s="27" t="s">
        <v>9908</v>
      </c>
      <c r="B5375" s="28" t="s">
        <v>5102</v>
      </c>
      <c r="C5375" s="27" t="s">
        <v>9909</v>
      </c>
      <c r="D5375" s="27" t="s">
        <v>5104</v>
      </c>
      <c r="E5375" s="29">
        <v>42457</v>
      </c>
      <c r="F5375" s="27">
        <v>15</v>
      </c>
      <c r="G5375" s="18">
        <v>33522.269999999997</v>
      </c>
      <c r="H5375" s="27">
        <f t="shared" si="166"/>
        <v>0</v>
      </c>
      <c r="I5375" s="18">
        <v>6324.63</v>
      </c>
      <c r="J5375" s="27">
        <v>33522.269999999997</v>
      </c>
      <c r="K5375" s="18">
        <f t="shared" si="167"/>
        <v>0</v>
      </c>
      <c r="L5375" s="27">
        <v>8408.02</v>
      </c>
      <c r="M5375" s="36">
        <v>2083.39</v>
      </c>
      <c r="T5375" s="41">
        <v>0</v>
      </c>
      <c r="U5375" s="41">
        <v>0</v>
      </c>
      <c r="V5375" s="42" t="s">
        <v>113</v>
      </c>
      <c r="W5375" s="42">
        <v>0</v>
      </c>
      <c r="X5375" s="42">
        <v>0</v>
      </c>
    </row>
    <row r="5376" spans="1:24">
      <c r="A5376" s="27" t="s">
        <v>9910</v>
      </c>
      <c r="B5376" s="28" t="s">
        <v>5102</v>
      </c>
      <c r="C5376" s="27" t="s">
        <v>9911</v>
      </c>
      <c r="D5376" s="27" t="s">
        <v>5104</v>
      </c>
      <c r="E5376" s="29">
        <v>42457</v>
      </c>
      <c r="F5376" s="27">
        <v>15</v>
      </c>
      <c r="G5376" s="18">
        <v>101767.99</v>
      </c>
      <c r="H5376" s="27">
        <f t="shared" si="166"/>
        <v>0</v>
      </c>
      <c r="I5376" s="18">
        <v>19200.509999999998</v>
      </c>
      <c r="J5376" s="27">
        <v>101767.99</v>
      </c>
      <c r="K5376" s="18">
        <f t="shared" si="167"/>
        <v>0</v>
      </c>
      <c r="L5376" s="27">
        <v>25525.33</v>
      </c>
      <c r="M5376" s="36">
        <v>6324.82</v>
      </c>
      <c r="T5376" s="41">
        <v>0</v>
      </c>
      <c r="U5376" s="41">
        <v>0</v>
      </c>
      <c r="V5376" s="42" t="s">
        <v>113</v>
      </c>
      <c r="W5376" s="42">
        <v>0</v>
      </c>
      <c r="X5376" s="42">
        <v>0</v>
      </c>
    </row>
    <row r="5377" spans="1:24">
      <c r="A5377" s="27" t="s">
        <v>9912</v>
      </c>
      <c r="B5377" s="28" t="s">
        <v>5102</v>
      </c>
      <c r="C5377" s="27" t="s">
        <v>9913</v>
      </c>
      <c r="D5377" s="27" t="s">
        <v>5104</v>
      </c>
      <c r="E5377" s="29">
        <v>42457</v>
      </c>
      <c r="F5377" s="27">
        <v>15</v>
      </c>
      <c r="G5377" s="18">
        <v>40916.54</v>
      </c>
      <c r="H5377" s="27">
        <f t="shared" si="166"/>
        <v>0</v>
      </c>
      <c r="I5377" s="18">
        <v>7719.71</v>
      </c>
      <c r="J5377" s="27">
        <v>40916.54</v>
      </c>
      <c r="K5377" s="18">
        <f t="shared" si="167"/>
        <v>0</v>
      </c>
      <c r="L5377" s="27">
        <v>10262.65</v>
      </c>
      <c r="M5377" s="36">
        <v>2542.94</v>
      </c>
      <c r="T5377" s="41">
        <v>0</v>
      </c>
      <c r="U5377" s="41">
        <v>0</v>
      </c>
      <c r="V5377" s="42" t="s">
        <v>113</v>
      </c>
      <c r="W5377" s="42">
        <v>0</v>
      </c>
      <c r="X5377" s="42">
        <v>0</v>
      </c>
    </row>
    <row r="5378" spans="1:24">
      <c r="A5378" s="27" t="s">
        <v>9914</v>
      </c>
      <c r="B5378" s="28" t="s">
        <v>5102</v>
      </c>
      <c r="C5378" s="27" t="s">
        <v>9915</v>
      </c>
      <c r="D5378" s="27" t="s">
        <v>5104</v>
      </c>
      <c r="E5378" s="29">
        <v>42457</v>
      </c>
      <c r="F5378" s="27">
        <v>15</v>
      </c>
      <c r="G5378" s="18">
        <v>21029.200000000001</v>
      </c>
      <c r="H5378" s="27">
        <f t="shared" si="166"/>
        <v>0</v>
      </c>
      <c r="I5378" s="18">
        <v>3967.56</v>
      </c>
      <c r="J5378" s="27">
        <v>21029.200000000001</v>
      </c>
      <c r="K5378" s="18">
        <f t="shared" si="167"/>
        <v>0</v>
      </c>
      <c r="L5378" s="27">
        <v>5274.51</v>
      </c>
      <c r="M5378" s="36">
        <v>1306.95</v>
      </c>
      <c r="T5378" s="41">
        <v>0</v>
      </c>
      <c r="U5378" s="41">
        <v>0</v>
      </c>
      <c r="V5378" s="42" t="s">
        <v>113</v>
      </c>
      <c r="W5378" s="42">
        <v>0</v>
      </c>
      <c r="X5378" s="42">
        <v>0</v>
      </c>
    </row>
    <row r="5379" spans="1:24">
      <c r="A5379" s="27" t="s">
        <v>9916</v>
      </c>
      <c r="B5379" s="28" t="s">
        <v>5102</v>
      </c>
      <c r="C5379" s="27" t="s">
        <v>9917</v>
      </c>
      <c r="D5379" s="27" t="s">
        <v>5104</v>
      </c>
      <c r="E5379" s="29">
        <v>42457</v>
      </c>
      <c r="F5379" s="27">
        <v>15</v>
      </c>
      <c r="G5379" s="18">
        <v>56434.55</v>
      </c>
      <c r="H5379" s="27">
        <f t="shared" si="166"/>
        <v>0</v>
      </c>
      <c r="I5379" s="18">
        <v>10647.48</v>
      </c>
      <c r="J5379" s="27">
        <v>56434.55</v>
      </c>
      <c r="K5379" s="18">
        <f t="shared" si="167"/>
        <v>0</v>
      </c>
      <c r="L5379" s="27">
        <v>14154.85</v>
      </c>
      <c r="M5379" s="36">
        <v>3507.37</v>
      </c>
      <c r="T5379" s="41">
        <v>0</v>
      </c>
      <c r="U5379" s="41">
        <v>0</v>
      </c>
      <c r="V5379" s="42" t="s">
        <v>113</v>
      </c>
      <c r="W5379" s="42">
        <v>0</v>
      </c>
      <c r="X5379" s="42">
        <v>0</v>
      </c>
    </row>
    <row r="5380" spans="1:24">
      <c r="A5380" s="27" t="s">
        <v>9918</v>
      </c>
      <c r="B5380" s="28" t="s">
        <v>5102</v>
      </c>
      <c r="C5380" s="27" t="s">
        <v>9919</v>
      </c>
      <c r="D5380" s="27" t="s">
        <v>5104</v>
      </c>
      <c r="E5380" s="29">
        <v>42457</v>
      </c>
      <c r="F5380" s="27">
        <v>15</v>
      </c>
      <c r="G5380" s="18">
        <v>28510.97</v>
      </c>
      <c r="H5380" s="27">
        <f t="shared" si="166"/>
        <v>0</v>
      </c>
      <c r="I5380" s="18">
        <v>5379.15</v>
      </c>
      <c r="J5380" s="27">
        <v>28510.97</v>
      </c>
      <c r="K5380" s="18">
        <f t="shared" si="167"/>
        <v>0</v>
      </c>
      <c r="L5380" s="27">
        <v>7151.09</v>
      </c>
      <c r="M5380" s="36">
        <v>1771.94</v>
      </c>
      <c r="T5380" s="41">
        <v>0</v>
      </c>
      <c r="U5380" s="41">
        <v>0</v>
      </c>
      <c r="V5380" s="42" t="s">
        <v>113</v>
      </c>
      <c r="W5380" s="42">
        <v>0</v>
      </c>
      <c r="X5380" s="42">
        <v>0</v>
      </c>
    </row>
    <row r="5381" spans="1:24">
      <c r="A5381" s="27" t="s">
        <v>9920</v>
      </c>
      <c r="B5381" s="28" t="s">
        <v>5102</v>
      </c>
      <c r="C5381" s="27" t="s">
        <v>9919</v>
      </c>
      <c r="D5381" s="27" t="s">
        <v>5104</v>
      </c>
      <c r="E5381" s="29">
        <v>42457</v>
      </c>
      <c r="F5381" s="27">
        <v>15</v>
      </c>
      <c r="G5381" s="18">
        <v>13826.24</v>
      </c>
      <c r="H5381" s="27">
        <f t="shared" si="166"/>
        <v>0</v>
      </c>
      <c r="I5381" s="18">
        <v>2608.59</v>
      </c>
      <c r="J5381" s="27">
        <v>13826.24</v>
      </c>
      <c r="K5381" s="18">
        <f t="shared" si="167"/>
        <v>0</v>
      </c>
      <c r="L5381" s="27">
        <v>3467.88</v>
      </c>
      <c r="M5381" s="36">
        <v>859.29</v>
      </c>
      <c r="T5381" s="41">
        <v>0</v>
      </c>
      <c r="U5381" s="41">
        <v>0</v>
      </c>
      <c r="V5381" s="42" t="s">
        <v>113</v>
      </c>
      <c r="W5381" s="42">
        <v>0</v>
      </c>
      <c r="X5381" s="42">
        <v>0</v>
      </c>
    </row>
    <row r="5382" spans="1:24">
      <c r="A5382" s="27" t="s">
        <v>9921</v>
      </c>
      <c r="B5382" s="28" t="s">
        <v>5102</v>
      </c>
      <c r="C5382" s="27" t="s">
        <v>9922</v>
      </c>
      <c r="D5382" s="27" t="s">
        <v>5104</v>
      </c>
      <c r="E5382" s="29">
        <v>42457</v>
      </c>
      <c r="F5382" s="27">
        <v>15</v>
      </c>
      <c r="G5382" s="18">
        <v>80858.7</v>
      </c>
      <c r="H5382" s="27">
        <f t="shared" ref="H5382:H5445" si="168">IFERROR(IF(ROUND((G5382-I5382)/G5382,2)&lt;=0.05,G5382,0),0)</f>
        <v>0</v>
      </c>
      <c r="I5382" s="18">
        <v>15255.56</v>
      </c>
      <c r="J5382" s="27">
        <v>80858.7</v>
      </c>
      <c r="K5382" s="18">
        <f t="shared" ref="K5382:K5445" si="169">IFERROR(IF(ROUND((J5382-L5382)/J5382,2)&lt;=0.05,J5382,0),0)</f>
        <v>0</v>
      </c>
      <c r="L5382" s="27">
        <v>20280.88</v>
      </c>
      <c r="M5382" s="36">
        <v>5025.32</v>
      </c>
      <c r="T5382" s="41">
        <v>0</v>
      </c>
      <c r="U5382" s="41">
        <v>0</v>
      </c>
      <c r="V5382" s="42" t="s">
        <v>113</v>
      </c>
      <c r="W5382" s="42">
        <v>0</v>
      </c>
      <c r="X5382" s="42">
        <v>0</v>
      </c>
    </row>
    <row r="5383" spans="1:24">
      <c r="A5383" s="27" t="s">
        <v>9923</v>
      </c>
      <c r="B5383" s="28" t="s">
        <v>5102</v>
      </c>
      <c r="C5383" s="27" t="s">
        <v>9924</v>
      </c>
      <c r="D5383" s="27" t="s">
        <v>5104</v>
      </c>
      <c r="E5383" s="29">
        <v>42457</v>
      </c>
      <c r="F5383" s="27">
        <v>15</v>
      </c>
      <c r="G5383" s="18">
        <v>29244.1</v>
      </c>
      <c r="H5383" s="27">
        <f t="shared" si="168"/>
        <v>0</v>
      </c>
      <c r="I5383" s="18">
        <v>5517.47</v>
      </c>
      <c r="J5383" s="27">
        <v>29244.1</v>
      </c>
      <c r="K5383" s="18">
        <f t="shared" si="169"/>
        <v>0</v>
      </c>
      <c r="L5383" s="27">
        <v>7334.97</v>
      </c>
      <c r="M5383" s="36">
        <v>1817.5</v>
      </c>
      <c r="T5383" s="41">
        <v>0</v>
      </c>
      <c r="U5383" s="41">
        <v>0</v>
      </c>
      <c r="V5383" s="42" t="s">
        <v>113</v>
      </c>
      <c r="W5383" s="42">
        <v>0</v>
      </c>
      <c r="X5383" s="42">
        <v>0</v>
      </c>
    </row>
    <row r="5384" spans="1:24">
      <c r="A5384" s="27" t="s">
        <v>9925</v>
      </c>
      <c r="B5384" s="28" t="s">
        <v>5102</v>
      </c>
      <c r="C5384" s="27" t="s">
        <v>9924</v>
      </c>
      <c r="D5384" s="27" t="s">
        <v>5104</v>
      </c>
      <c r="E5384" s="29">
        <v>42457</v>
      </c>
      <c r="F5384" s="27">
        <v>15</v>
      </c>
      <c r="G5384" s="18">
        <v>5248.94</v>
      </c>
      <c r="H5384" s="27">
        <f t="shared" si="168"/>
        <v>0</v>
      </c>
      <c r="I5384" s="18">
        <v>990.31</v>
      </c>
      <c r="J5384" s="27">
        <v>5248.94</v>
      </c>
      <c r="K5384" s="18">
        <f t="shared" si="169"/>
        <v>0</v>
      </c>
      <c r="L5384" s="27">
        <v>1316.53</v>
      </c>
      <c r="M5384" s="36">
        <v>326.22000000000003</v>
      </c>
      <c r="T5384" s="41">
        <v>0</v>
      </c>
      <c r="U5384" s="41">
        <v>0</v>
      </c>
      <c r="V5384" s="42" t="s">
        <v>113</v>
      </c>
      <c r="W5384" s="42">
        <v>0</v>
      </c>
      <c r="X5384" s="42">
        <v>0</v>
      </c>
    </row>
    <row r="5385" spans="1:24">
      <c r="A5385" s="27" t="s">
        <v>9926</v>
      </c>
      <c r="B5385" s="28" t="s">
        <v>5102</v>
      </c>
      <c r="C5385" s="27" t="s">
        <v>9927</v>
      </c>
      <c r="D5385" s="27" t="s">
        <v>5104</v>
      </c>
      <c r="E5385" s="29">
        <v>42457</v>
      </c>
      <c r="F5385" s="27">
        <v>15</v>
      </c>
      <c r="G5385" s="18">
        <v>98727.4</v>
      </c>
      <c r="H5385" s="27">
        <f t="shared" si="168"/>
        <v>0</v>
      </c>
      <c r="I5385" s="18">
        <v>18626.86</v>
      </c>
      <c r="J5385" s="27">
        <v>98727.4</v>
      </c>
      <c r="K5385" s="18">
        <f t="shared" si="169"/>
        <v>0</v>
      </c>
      <c r="L5385" s="27">
        <v>24762.71</v>
      </c>
      <c r="M5385" s="36">
        <v>6135.85</v>
      </c>
      <c r="T5385" s="41">
        <v>0</v>
      </c>
      <c r="U5385" s="41">
        <v>0</v>
      </c>
      <c r="V5385" s="42" t="s">
        <v>113</v>
      </c>
      <c r="W5385" s="42">
        <v>0</v>
      </c>
      <c r="X5385" s="42">
        <v>0</v>
      </c>
    </row>
    <row r="5386" spans="1:24">
      <c r="A5386" s="27" t="s">
        <v>9928</v>
      </c>
      <c r="B5386" s="28" t="s">
        <v>5102</v>
      </c>
      <c r="C5386" s="27" t="s">
        <v>9929</v>
      </c>
      <c r="D5386" s="27" t="s">
        <v>5104</v>
      </c>
      <c r="E5386" s="29">
        <v>42457</v>
      </c>
      <c r="F5386" s="27">
        <v>15</v>
      </c>
      <c r="G5386" s="18">
        <v>50631.839999999997</v>
      </c>
      <c r="H5386" s="27">
        <f t="shared" si="168"/>
        <v>0</v>
      </c>
      <c r="I5386" s="18">
        <v>9552.69</v>
      </c>
      <c r="J5386" s="27">
        <v>50631.839999999997</v>
      </c>
      <c r="K5386" s="18">
        <f t="shared" si="169"/>
        <v>0</v>
      </c>
      <c r="L5386" s="27">
        <v>12699.43</v>
      </c>
      <c r="M5386" s="36">
        <v>3146.74</v>
      </c>
      <c r="T5386" s="41">
        <v>0</v>
      </c>
      <c r="U5386" s="41">
        <v>0</v>
      </c>
      <c r="V5386" s="42" t="s">
        <v>113</v>
      </c>
      <c r="W5386" s="42">
        <v>0</v>
      </c>
      <c r="X5386" s="42">
        <v>0</v>
      </c>
    </row>
    <row r="5387" spans="1:24">
      <c r="A5387" s="27" t="s">
        <v>9930</v>
      </c>
      <c r="B5387" s="28" t="s">
        <v>5102</v>
      </c>
      <c r="C5387" s="27" t="s">
        <v>9929</v>
      </c>
      <c r="D5387" s="27" t="s">
        <v>5104</v>
      </c>
      <c r="E5387" s="29">
        <v>42457</v>
      </c>
      <c r="F5387" s="27">
        <v>15</v>
      </c>
      <c r="G5387" s="18">
        <v>30135.94</v>
      </c>
      <c r="H5387" s="27">
        <f t="shared" si="168"/>
        <v>0</v>
      </c>
      <c r="I5387" s="18">
        <v>5685.74</v>
      </c>
      <c r="J5387" s="27">
        <v>30135.94</v>
      </c>
      <c r="K5387" s="18">
        <f t="shared" si="169"/>
        <v>0</v>
      </c>
      <c r="L5387" s="27">
        <v>7558.67</v>
      </c>
      <c r="M5387" s="36">
        <v>1872.93</v>
      </c>
      <c r="T5387" s="41">
        <v>0</v>
      </c>
      <c r="U5387" s="41">
        <v>0</v>
      </c>
      <c r="V5387" s="42" t="s">
        <v>113</v>
      </c>
      <c r="W5387" s="42">
        <v>0</v>
      </c>
      <c r="X5387" s="42">
        <v>0</v>
      </c>
    </row>
    <row r="5388" spans="1:24">
      <c r="A5388" s="27" t="s">
        <v>9931</v>
      </c>
      <c r="B5388" s="28" t="s">
        <v>5102</v>
      </c>
      <c r="C5388" s="27" t="s">
        <v>9932</v>
      </c>
      <c r="D5388" s="27" t="s">
        <v>5104</v>
      </c>
      <c r="E5388" s="29">
        <v>42457</v>
      </c>
      <c r="F5388" s="27">
        <v>15</v>
      </c>
      <c r="G5388" s="18">
        <v>55668.97</v>
      </c>
      <c r="H5388" s="27">
        <f t="shared" si="168"/>
        <v>0</v>
      </c>
      <c r="I5388" s="18">
        <v>10503.03</v>
      </c>
      <c r="J5388" s="27">
        <v>55668.97</v>
      </c>
      <c r="K5388" s="18">
        <f t="shared" si="169"/>
        <v>0</v>
      </c>
      <c r="L5388" s="27">
        <v>13962.83</v>
      </c>
      <c r="M5388" s="36">
        <v>3459.8</v>
      </c>
      <c r="T5388" s="41">
        <v>0</v>
      </c>
      <c r="U5388" s="41">
        <v>0</v>
      </c>
      <c r="V5388" s="42" t="s">
        <v>113</v>
      </c>
      <c r="W5388" s="42">
        <v>0</v>
      </c>
      <c r="X5388" s="42">
        <v>0</v>
      </c>
    </row>
    <row r="5389" spans="1:24">
      <c r="A5389" s="27" t="s">
        <v>9933</v>
      </c>
      <c r="B5389" s="28" t="s">
        <v>5102</v>
      </c>
      <c r="C5389" s="27" t="s">
        <v>9934</v>
      </c>
      <c r="D5389" s="27" t="s">
        <v>5104</v>
      </c>
      <c r="E5389" s="29">
        <v>42457</v>
      </c>
      <c r="F5389" s="27">
        <v>15</v>
      </c>
      <c r="G5389" s="18">
        <v>75251.44</v>
      </c>
      <c r="H5389" s="27">
        <f t="shared" si="168"/>
        <v>0</v>
      </c>
      <c r="I5389" s="18">
        <v>14197.65</v>
      </c>
      <c r="J5389" s="27">
        <v>75251.44</v>
      </c>
      <c r="K5389" s="18">
        <f t="shared" si="169"/>
        <v>0</v>
      </c>
      <c r="L5389" s="27">
        <v>18874.48</v>
      </c>
      <c r="M5389" s="36">
        <v>4676.83</v>
      </c>
      <c r="T5389" s="41">
        <v>0</v>
      </c>
      <c r="U5389" s="41">
        <v>0</v>
      </c>
      <c r="V5389" s="42" t="s">
        <v>113</v>
      </c>
      <c r="W5389" s="42">
        <v>0</v>
      </c>
      <c r="X5389" s="42">
        <v>0</v>
      </c>
    </row>
    <row r="5390" spans="1:24">
      <c r="A5390" s="27" t="s">
        <v>9935</v>
      </c>
      <c r="B5390" s="28" t="s">
        <v>5102</v>
      </c>
      <c r="C5390" s="27" t="s">
        <v>9936</v>
      </c>
      <c r="D5390" s="27" t="s">
        <v>5104</v>
      </c>
      <c r="E5390" s="29">
        <v>42457</v>
      </c>
      <c r="F5390" s="27">
        <v>15</v>
      </c>
      <c r="G5390" s="18">
        <v>91281.87</v>
      </c>
      <c r="H5390" s="27">
        <f t="shared" si="168"/>
        <v>0</v>
      </c>
      <c r="I5390" s="18">
        <v>17222.11</v>
      </c>
      <c r="J5390" s="27">
        <v>91281.87</v>
      </c>
      <c r="K5390" s="18">
        <f t="shared" si="169"/>
        <v>0</v>
      </c>
      <c r="L5390" s="27">
        <v>22895.23</v>
      </c>
      <c r="M5390" s="36">
        <v>5673.12</v>
      </c>
      <c r="T5390" s="41">
        <v>0</v>
      </c>
      <c r="U5390" s="41">
        <v>0</v>
      </c>
      <c r="V5390" s="42" t="s">
        <v>113</v>
      </c>
      <c r="W5390" s="42">
        <v>0</v>
      </c>
      <c r="X5390" s="42">
        <v>0</v>
      </c>
    </row>
    <row r="5391" spans="1:24">
      <c r="A5391" s="27" t="s">
        <v>9937</v>
      </c>
      <c r="B5391" s="28" t="s">
        <v>5102</v>
      </c>
      <c r="C5391" s="27" t="s">
        <v>9938</v>
      </c>
      <c r="D5391" s="27" t="s">
        <v>5104</v>
      </c>
      <c r="E5391" s="29">
        <v>42457</v>
      </c>
      <c r="F5391" s="27">
        <v>15</v>
      </c>
      <c r="G5391" s="18">
        <v>98091.27</v>
      </c>
      <c r="H5391" s="27">
        <f t="shared" si="168"/>
        <v>0</v>
      </c>
      <c r="I5391" s="18">
        <v>18506.830000000002</v>
      </c>
      <c r="J5391" s="27">
        <v>98091.27</v>
      </c>
      <c r="K5391" s="18">
        <f t="shared" si="169"/>
        <v>0</v>
      </c>
      <c r="L5391" s="27">
        <v>24603.15</v>
      </c>
      <c r="M5391" s="36">
        <v>6096.32</v>
      </c>
      <c r="T5391" s="41">
        <v>0</v>
      </c>
      <c r="U5391" s="41">
        <v>0</v>
      </c>
      <c r="V5391" s="42" t="s">
        <v>113</v>
      </c>
      <c r="W5391" s="42">
        <v>0</v>
      </c>
      <c r="X5391" s="42">
        <v>0</v>
      </c>
    </row>
    <row r="5392" spans="1:24">
      <c r="A5392" s="27" t="s">
        <v>9939</v>
      </c>
      <c r="B5392" s="28" t="s">
        <v>5102</v>
      </c>
      <c r="C5392" s="27" t="s">
        <v>9938</v>
      </c>
      <c r="D5392" s="27" t="s">
        <v>5104</v>
      </c>
      <c r="E5392" s="29">
        <v>42457</v>
      </c>
      <c r="F5392" s="27">
        <v>15</v>
      </c>
      <c r="G5392" s="18">
        <v>15828.79</v>
      </c>
      <c r="H5392" s="27">
        <f t="shared" si="168"/>
        <v>0</v>
      </c>
      <c r="I5392" s="18">
        <v>2986.41</v>
      </c>
      <c r="J5392" s="27">
        <v>15828.79</v>
      </c>
      <c r="K5392" s="18">
        <f t="shared" si="169"/>
        <v>0</v>
      </c>
      <c r="L5392" s="27">
        <v>3970.16</v>
      </c>
      <c r="M5392" s="36">
        <v>983.75</v>
      </c>
      <c r="T5392" s="41">
        <v>0</v>
      </c>
      <c r="U5392" s="41">
        <v>0</v>
      </c>
      <c r="V5392" s="42" t="s">
        <v>113</v>
      </c>
      <c r="W5392" s="42">
        <v>0</v>
      </c>
      <c r="X5392" s="42">
        <v>0</v>
      </c>
    </row>
    <row r="5393" spans="1:24">
      <c r="A5393" s="27" t="s">
        <v>9940</v>
      </c>
      <c r="B5393" s="28" t="s">
        <v>5102</v>
      </c>
      <c r="C5393" s="27" t="s">
        <v>9941</v>
      </c>
      <c r="D5393" s="27" t="s">
        <v>5104</v>
      </c>
      <c r="E5393" s="29">
        <v>42457</v>
      </c>
      <c r="F5393" s="27">
        <v>15</v>
      </c>
      <c r="G5393" s="18">
        <v>75789.22</v>
      </c>
      <c r="H5393" s="27">
        <f t="shared" si="168"/>
        <v>0</v>
      </c>
      <c r="I5393" s="18">
        <v>14299.11</v>
      </c>
      <c r="J5393" s="27">
        <v>75789.22</v>
      </c>
      <c r="K5393" s="18">
        <f t="shared" si="169"/>
        <v>0</v>
      </c>
      <c r="L5393" s="27">
        <v>19009.37</v>
      </c>
      <c r="M5393" s="36">
        <v>4710.26</v>
      </c>
      <c r="T5393" s="41">
        <v>0</v>
      </c>
      <c r="U5393" s="41">
        <v>0</v>
      </c>
      <c r="V5393" s="42" t="s">
        <v>113</v>
      </c>
      <c r="W5393" s="42">
        <v>0</v>
      </c>
      <c r="X5393" s="42">
        <v>0</v>
      </c>
    </row>
    <row r="5394" spans="1:24">
      <c r="A5394" s="27" t="s">
        <v>9942</v>
      </c>
      <c r="B5394" s="28" t="s">
        <v>5102</v>
      </c>
      <c r="C5394" s="27" t="s">
        <v>9943</v>
      </c>
      <c r="D5394" s="27" t="s">
        <v>5104</v>
      </c>
      <c r="E5394" s="29">
        <v>42457</v>
      </c>
      <c r="F5394" s="27">
        <v>15</v>
      </c>
      <c r="G5394" s="18">
        <v>129121.72</v>
      </c>
      <c r="H5394" s="27">
        <f t="shared" si="168"/>
        <v>0</v>
      </c>
      <c r="I5394" s="18">
        <v>24361.33</v>
      </c>
      <c r="J5394" s="27">
        <v>129121.72</v>
      </c>
      <c r="K5394" s="18">
        <f t="shared" si="169"/>
        <v>0</v>
      </c>
      <c r="L5394" s="27">
        <v>32386.17</v>
      </c>
      <c r="M5394" s="36">
        <v>8024.84</v>
      </c>
      <c r="T5394" s="41">
        <v>0</v>
      </c>
      <c r="U5394" s="41">
        <v>0</v>
      </c>
      <c r="V5394" s="42" t="s">
        <v>113</v>
      </c>
      <c r="W5394" s="42">
        <v>0</v>
      </c>
      <c r="X5394" s="42">
        <v>0</v>
      </c>
    </row>
    <row r="5395" spans="1:24">
      <c r="A5395" s="27" t="s">
        <v>9944</v>
      </c>
      <c r="B5395" s="28" t="s">
        <v>5102</v>
      </c>
      <c r="C5395" s="27" t="s">
        <v>9943</v>
      </c>
      <c r="D5395" s="27" t="s">
        <v>5104</v>
      </c>
      <c r="E5395" s="29">
        <v>42457</v>
      </c>
      <c r="F5395" s="27">
        <v>15</v>
      </c>
      <c r="G5395" s="18">
        <v>8192.86</v>
      </c>
      <c r="H5395" s="27">
        <f t="shared" si="168"/>
        <v>0</v>
      </c>
      <c r="I5395" s="18">
        <v>1545.73</v>
      </c>
      <c r="J5395" s="27">
        <v>8192.86</v>
      </c>
      <c r="K5395" s="18">
        <f t="shared" si="169"/>
        <v>0</v>
      </c>
      <c r="L5395" s="27">
        <v>2054.91</v>
      </c>
      <c r="M5395" s="36">
        <v>509.18</v>
      </c>
      <c r="T5395" s="41">
        <v>0</v>
      </c>
      <c r="U5395" s="41">
        <v>0</v>
      </c>
      <c r="V5395" s="42" t="s">
        <v>113</v>
      </c>
      <c r="W5395" s="42">
        <v>0</v>
      </c>
      <c r="X5395" s="42">
        <v>0</v>
      </c>
    </row>
    <row r="5396" spans="1:24">
      <c r="A5396" s="27" t="s">
        <v>9945</v>
      </c>
      <c r="B5396" s="28" t="s">
        <v>5102</v>
      </c>
      <c r="C5396" s="27" t="s">
        <v>9946</v>
      </c>
      <c r="D5396" s="27" t="s">
        <v>5104</v>
      </c>
      <c r="E5396" s="29">
        <v>42457</v>
      </c>
      <c r="F5396" s="27">
        <v>15</v>
      </c>
      <c r="G5396" s="18">
        <v>121097.21</v>
      </c>
      <c r="H5396" s="27">
        <f t="shared" si="168"/>
        <v>0</v>
      </c>
      <c r="I5396" s="18">
        <v>22847.35</v>
      </c>
      <c r="J5396" s="27">
        <v>121097.21</v>
      </c>
      <c r="K5396" s="18">
        <f t="shared" si="169"/>
        <v>0</v>
      </c>
      <c r="L5396" s="27">
        <v>30373.47</v>
      </c>
      <c r="M5396" s="36">
        <v>7526.12</v>
      </c>
      <c r="T5396" s="41">
        <v>0</v>
      </c>
      <c r="U5396" s="41">
        <v>0</v>
      </c>
      <c r="V5396" s="42" t="s">
        <v>113</v>
      </c>
      <c r="W5396" s="42">
        <v>0</v>
      </c>
      <c r="X5396" s="42">
        <v>0</v>
      </c>
    </row>
    <row r="5397" spans="1:24">
      <c r="A5397" s="27" t="s">
        <v>9947</v>
      </c>
      <c r="B5397" s="28" t="s">
        <v>5102</v>
      </c>
      <c r="C5397" s="27" t="s">
        <v>9948</v>
      </c>
      <c r="D5397" s="27" t="s">
        <v>5104</v>
      </c>
      <c r="E5397" s="29">
        <v>42457</v>
      </c>
      <c r="F5397" s="27">
        <v>15</v>
      </c>
      <c r="G5397" s="18">
        <v>181165.64</v>
      </c>
      <c r="H5397" s="27">
        <f t="shared" si="168"/>
        <v>0</v>
      </c>
      <c r="I5397" s="18">
        <v>34180.43</v>
      </c>
      <c r="J5397" s="27">
        <v>181165.64</v>
      </c>
      <c r="K5397" s="18">
        <f t="shared" si="169"/>
        <v>0</v>
      </c>
      <c r="L5397" s="27">
        <v>45439.77</v>
      </c>
      <c r="M5397" s="36">
        <v>11259.34</v>
      </c>
      <c r="T5397" s="41">
        <v>0</v>
      </c>
      <c r="U5397" s="41">
        <v>0</v>
      </c>
      <c r="V5397" s="42" t="s">
        <v>113</v>
      </c>
      <c r="W5397" s="42">
        <v>0</v>
      </c>
      <c r="X5397" s="42">
        <v>0</v>
      </c>
    </row>
    <row r="5398" spans="1:24">
      <c r="A5398" s="27" t="s">
        <v>9949</v>
      </c>
      <c r="B5398" s="28" t="s">
        <v>5102</v>
      </c>
      <c r="C5398" s="27" t="s">
        <v>9948</v>
      </c>
      <c r="D5398" s="27" t="s">
        <v>5104</v>
      </c>
      <c r="E5398" s="29">
        <v>42457</v>
      </c>
      <c r="F5398" s="27">
        <v>15</v>
      </c>
      <c r="G5398" s="18">
        <v>2274.42</v>
      </c>
      <c r="H5398" s="27">
        <f t="shared" si="168"/>
        <v>0</v>
      </c>
      <c r="I5398" s="18">
        <v>429.1</v>
      </c>
      <c r="J5398" s="27">
        <v>2274.42</v>
      </c>
      <c r="K5398" s="18">
        <f t="shared" si="169"/>
        <v>0</v>
      </c>
      <c r="L5398" s="27">
        <v>570.46</v>
      </c>
      <c r="M5398" s="36">
        <v>141.36000000000001</v>
      </c>
      <c r="T5398" s="41">
        <v>0</v>
      </c>
      <c r="U5398" s="41">
        <v>0</v>
      </c>
      <c r="V5398" s="42" t="s">
        <v>113</v>
      </c>
      <c r="W5398" s="42">
        <v>0</v>
      </c>
      <c r="X5398" s="42">
        <v>0</v>
      </c>
    </row>
    <row r="5399" spans="1:24">
      <c r="A5399" s="27" t="s">
        <v>9950</v>
      </c>
      <c r="B5399" s="28" t="s">
        <v>5102</v>
      </c>
      <c r="C5399" s="27" t="s">
        <v>9951</v>
      </c>
      <c r="D5399" s="27" t="s">
        <v>5104</v>
      </c>
      <c r="E5399" s="29">
        <v>42457</v>
      </c>
      <c r="F5399" s="27">
        <v>15</v>
      </c>
      <c r="G5399" s="18">
        <v>82491.16</v>
      </c>
      <c r="H5399" s="27">
        <f t="shared" si="168"/>
        <v>0</v>
      </c>
      <c r="I5399" s="18">
        <v>15563.58</v>
      </c>
      <c r="J5399" s="27">
        <v>82491.16</v>
      </c>
      <c r="K5399" s="18">
        <f t="shared" si="169"/>
        <v>0</v>
      </c>
      <c r="L5399" s="27">
        <v>20690.36</v>
      </c>
      <c r="M5399" s="36">
        <v>5126.78</v>
      </c>
      <c r="T5399" s="41">
        <v>0</v>
      </c>
      <c r="U5399" s="41">
        <v>0</v>
      </c>
      <c r="V5399" s="42" t="s">
        <v>113</v>
      </c>
      <c r="W5399" s="42">
        <v>0</v>
      </c>
      <c r="X5399" s="42">
        <v>0</v>
      </c>
    </row>
    <row r="5400" spans="1:24">
      <c r="A5400" s="27" t="s">
        <v>9952</v>
      </c>
      <c r="B5400" s="28" t="s">
        <v>5102</v>
      </c>
      <c r="C5400" s="27" t="s">
        <v>9953</v>
      </c>
      <c r="D5400" s="27" t="s">
        <v>5104</v>
      </c>
      <c r="E5400" s="29">
        <v>42457</v>
      </c>
      <c r="F5400" s="27">
        <v>15</v>
      </c>
      <c r="G5400" s="18">
        <v>140673.51</v>
      </c>
      <c r="H5400" s="27">
        <f t="shared" si="168"/>
        <v>0</v>
      </c>
      <c r="I5400" s="18">
        <v>26540.799999999999</v>
      </c>
      <c r="J5400" s="27">
        <v>140673.51</v>
      </c>
      <c r="K5400" s="18">
        <f t="shared" si="169"/>
        <v>0</v>
      </c>
      <c r="L5400" s="27">
        <v>35283.58</v>
      </c>
      <c r="M5400" s="36">
        <v>8742.7800000000007</v>
      </c>
      <c r="T5400" s="41">
        <v>0</v>
      </c>
      <c r="U5400" s="41">
        <v>0</v>
      </c>
      <c r="V5400" s="42" t="s">
        <v>113</v>
      </c>
      <c r="W5400" s="42">
        <v>0</v>
      </c>
      <c r="X5400" s="42">
        <v>0</v>
      </c>
    </row>
    <row r="5401" spans="1:24">
      <c r="A5401" s="27" t="s">
        <v>9954</v>
      </c>
      <c r="B5401" s="28" t="s">
        <v>5102</v>
      </c>
      <c r="C5401" s="27" t="s">
        <v>9955</v>
      </c>
      <c r="D5401" s="27" t="s">
        <v>5104</v>
      </c>
      <c r="E5401" s="29">
        <v>42457</v>
      </c>
      <c r="F5401" s="27">
        <v>15</v>
      </c>
      <c r="G5401" s="18">
        <v>91244.13</v>
      </c>
      <c r="H5401" s="27">
        <f t="shared" si="168"/>
        <v>0</v>
      </c>
      <c r="I5401" s="18">
        <v>17214.98</v>
      </c>
      <c r="J5401" s="27">
        <v>91244.13</v>
      </c>
      <c r="K5401" s="18">
        <f t="shared" si="169"/>
        <v>0</v>
      </c>
      <c r="L5401" s="27">
        <v>22885.75</v>
      </c>
      <c r="M5401" s="36">
        <v>5670.77</v>
      </c>
      <c r="T5401" s="41">
        <v>0</v>
      </c>
      <c r="U5401" s="41">
        <v>0</v>
      </c>
      <c r="V5401" s="42" t="s">
        <v>113</v>
      </c>
      <c r="W5401" s="42">
        <v>0</v>
      </c>
      <c r="X5401" s="42">
        <v>0</v>
      </c>
    </row>
    <row r="5402" spans="1:24">
      <c r="A5402" s="27" t="s">
        <v>9956</v>
      </c>
      <c r="B5402" s="28" t="s">
        <v>5102</v>
      </c>
      <c r="C5402" s="27" t="s">
        <v>9955</v>
      </c>
      <c r="D5402" s="27" t="s">
        <v>5104</v>
      </c>
      <c r="E5402" s="29">
        <v>42457</v>
      </c>
      <c r="F5402" s="27">
        <v>15</v>
      </c>
      <c r="G5402" s="18">
        <v>7877.19</v>
      </c>
      <c r="H5402" s="27">
        <f t="shared" si="168"/>
        <v>0</v>
      </c>
      <c r="I5402" s="18">
        <v>1486.18</v>
      </c>
      <c r="J5402" s="27">
        <v>7877.19</v>
      </c>
      <c r="K5402" s="18">
        <f t="shared" si="169"/>
        <v>0</v>
      </c>
      <c r="L5402" s="27">
        <v>1975.74</v>
      </c>
      <c r="M5402" s="36">
        <v>489.56</v>
      </c>
      <c r="T5402" s="41">
        <v>0</v>
      </c>
      <c r="U5402" s="41">
        <v>0</v>
      </c>
      <c r="V5402" s="42" t="s">
        <v>113</v>
      </c>
      <c r="W5402" s="42">
        <v>0</v>
      </c>
      <c r="X5402" s="42">
        <v>0</v>
      </c>
    </row>
    <row r="5403" spans="1:24">
      <c r="A5403" s="27" t="s">
        <v>9957</v>
      </c>
      <c r="B5403" s="28" t="s">
        <v>5102</v>
      </c>
      <c r="C5403" s="27" t="s">
        <v>9958</v>
      </c>
      <c r="D5403" s="27" t="s">
        <v>5104</v>
      </c>
      <c r="E5403" s="29">
        <v>42457</v>
      </c>
      <c r="F5403" s="27">
        <v>15</v>
      </c>
      <c r="G5403" s="18">
        <v>56406.55</v>
      </c>
      <c r="H5403" s="27">
        <f t="shared" si="168"/>
        <v>0</v>
      </c>
      <c r="I5403" s="18">
        <v>10642.19</v>
      </c>
      <c r="J5403" s="27">
        <v>56406.55</v>
      </c>
      <c r="K5403" s="18">
        <f t="shared" si="169"/>
        <v>0</v>
      </c>
      <c r="L5403" s="27">
        <v>14147.83</v>
      </c>
      <c r="M5403" s="36">
        <v>3505.64</v>
      </c>
      <c r="T5403" s="41">
        <v>0</v>
      </c>
      <c r="U5403" s="41">
        <v>0</v>
      </c>
      <c r="V5403" s="42" t="s">
        <v>113</v>
      </c>
      <c r="W5403" s="42">
        <v>0</v>
      </c>
      <c r="X5403" s="42">
        <v>0</v>
      </c>
    </row>
    <row r="5404" spans="1:24">
      <c r="A5404" s="27" t="s">
        <v>9959</v>
      </c>
      <c r="B5404" s="28" t="s">
        <v>5102</v>
      </c>
      <c r="C5404" s="27" t="s">
        <v>9960</v>
      </c>
      <c r="D5404" s="27" t="s">
        <v>5104</v>
      </c>
      <c r="E5404" s="29">
        <v>42457</v>
      </c>
      <c r="F5404" s="27">
        <v>15</v>
      </c>
      <c r="G5404" s="18">
        <v>112320.96000000001</v>
      </c>
      <c r="H5404" s="27">
        <f t="shared" si="168"/>
        <v>0</v>
      </c>
      <c r="I5404" s="18">
        <v>21191.53</v>
      </c>
      <c r="J5404" s="27">
        <v>112320.96000000001</v>
      </c>
      <c r="K5404" s="18">
        <f t="shared" si="169"/>
        <v>0</v>
      </c>
      <c r="L5404" s="27">
        <v>28172.21</v>
      </c>
      <c r="M5404" s="36">
        <v>6980.68</v>
      </c>
      <c r="T5404" s="41">
        <v>0</v>
      </c>
      <c r="U5404" s="41">
        <v>0</v>
      </c>
      <c r="V5404" s="42" t="s">
        <v>113</v>
      </c>
      <c r="W5404" s="42">
        <v>0</v>
      </c>
      <c r="X5404" s="42">
        <v>0</v>
      </c>
    </row>
    <row r="5405" spans="1:24">
      <c r="A5405" s="27" t="s">
        <v>9961</v>
      </c>
      <c r="B5405" s="28" t="s">
        <v>5102</v>
      </c>
      <c r="C5405" s="27" t="s">
        <v>9960</v>
      </c>
      <c r="D5405" s="27" t="s">
        <v>5104</v>
      </c>
      <c r="E5405" s="29">
        <v>42457</v>
      </c>
      <c r="F5405" s="27">
        <v>15</v>
      </c>
      <c r="G5405" s="18">
        <v>7003.5</v>
      </c>
      <c r="H5405" s="27">
        <f t="shared" si="168"/>
        <v>0</v>
      </c>
      <c r="I5405" s="18">
        <v>1321.36</v>
      </c>
      <c r="J5405" s="27">
        <v>7003.5</v>
      </c>
      <c r="K5405" s="18">
        <f t="shared" si="169"/>
        <v>0</v>
      </c>
      <c r="L5405" s="27">
        <v>1756.62</v>
      </c>
      <c r="M5405" s="36">
        <v>435.26</v>
      </c>
      <c r="T5405" s="41">
        <v>0</v>
      </c>
      <c r="U5405" s="41">
        <v>0</v>
      </c>
      <c r="V5405" s="42" t="s">
        <v>113</v>
      </c>
      <c r="W5405" s="42">
        <v>0</v>
      </c>
      <c r="X5405" s="42">
        <v>0</v>
      </c>
    </row>
    <row r="5406" spans="1:24">
      <c r="A5406" s="27" t="s">
        <v>9962</v>
      </c>
      <c r="B5406" s="28" t="s">
        <v>5102</v>
      </c>
      <c r="C5406" s="27" t="s">
        <v>9963</v>
      </c>
      <c r="D5406" s="27" t="s">
        <v>5104</v>
      </c>
      <c r="E5406" s="29">
        <v>42457</v>
      </c>
      <c r="F5406" s="27">
        <v>15</v>
      </c>
      <c r="G5406" s="18">
        <v>13297.76</v>
      </c>
      <c r="H5406" s="27">
        <f t="shared" si="168"/>
        <v>0</v>
      </c>
      <c r="I5406" s="18">
        <v>2508.88</v>
      </c>
      <c r="J5406" s="27">
        <v>13297.76</v>
      </c>
      <c r="K5406" s="18">
        <f t="shared" si="169"/>
        <v>0</v>
      </c>
      <c r="L5406" s="27">
        <v>3335.33</v>
      </c>
      <c r="M5406" s="36">
        <v>826.45</v>
      </c>
      <c r="T5406" s="41">
        <v>0</v>
      </c>
      <c r="U5406" s="41">
        <v>0</v>
      </c>
      <c r="V5406" s="42" t="s">
        <v>113</v>
      </c>
      <c r="W5406" s="42">
        <v>0</v>
      </c>
      <c r="X5406" s="42">
        <v>0</v>
      </c>
    </row>
    <row r="5407" spans="1:24">
      <c r="A5407" s="27" t="s">
        <v>9964</v>
      </c>
      <c r="B5407" s="28" t="s">
        <v>5102</v>
      </c>
      <c r="C5407" s="27" t="s">
        <v>9965</v>
      </c>
      <c r="D5407" s="27" t="s">
        <v>5104</v>
      </c>
      <c r="E5407" s="29">
        <v>42457</v>
      </c>
      <c r="F5407" s="27">
        <v>15</v>
      </c>
      <c r="G5407" s="18">
        <v>15460.38</v>
      </c>
      <c r="H5407" s="27">
        <f t="shared" si="168"/>
        <v>0</v>
      </c>
      <c r="I5407" s="18">
        <v>2916.89</v>
      </c>
      <c r="J5407" s="27">
        <v>15460.38</v>
      </c>
      <c r="K5407" s="18">
        <f t="shared" si="169"/>
        <v>0</v>
      </c>
      <c r="L5407" s="27">
        <v>3877.74</v>
      </c>
      <c r="M5407" s="36">
        <v>960.85</v>
      </c>
      <c r="T5407" s="41">
        <v>0</v>
      </c>
      <c r="U5407" s="41">
        <v>0</v>
      </c>
      <c r="V5407" s="42" t="s">
        <v>113</v>
      </c>
      <c r="W5407" s="42">
        <v>0</v>
      </c>
      <c r="X5407" s="42">
        <v>0</v>
      </c>
    </row>
    <row r="5408" spans="1:24">
      <c r="A5408" s="27" t="s">
        <v>9966</v>
      </c>
      <c r="B5408" s="28" t="s">
        <v>5102</v>
      </c>
      <c r="C5408" s="27" t="s">
        <v>9965</v>
      </c>
      <c r="D5408" s="27" t="s">
        <v>5104</v>
      </c>
      <c r="E5408" s="29">
        <v>42457</v>
      </c>
      <c r="F5408" s="27">
        <v>15</v>
      </c>
      <c r="G5408" s="18">
        <v>72792.61</v>
      </c>
      <c r="H5408" s="27">
        <f t="shared" si="168"/>
        <v>0</v>
      </c>
      <c r="I5408" s="18">
        <v>13733.74</v>
      </c>
      <c r="J5408" s="27">
        <v>72792.61</v>
      </c>
      <c r="K5408" s="18">
        <f t="shared" si="169"/>
        <v>0</v>
      </c>
      <c r="L5408" s="27">
        <v>18257.759999999998</v>
      </c>
      <c r="M5408" s="36">
        <v>4524.0200000000004</v>
      </c>
      <c r="T5408" s="41">
        <v>0</v>
      </c>
      <c r="U5408" s="41">
        <v>0</v>
      </c>
      <c r="V5408" s="42" t="s">
        <v>113</v>
      </c>
      <c r="W5408" s="42">
        <v>0</v>
      </c>
      <c r="X5408" s="42">
        <v>0</v>
      </c>
    </row>
    <row r="5409" spans="1:24">
      <c r="A5409" s="27" t="s">
        <v>9967</v>
      </c>
      <c r="B5409" s="28" t="s">
        <v>5102</v>
      </c>
      <c r="C5409" s="27" t="s">
        <v>9968</v>
      </c>
      <c r="D5409" s="27" t="s">
        <v>5104</v>
      </c>
      <c r="E5409" s="29">
        <v>42457</v>
      </c>
      <c r="F5409" s="27">
        <v>15</v>
      </c>
      <c r="G5409" s="18">
        <v>46850.47</v>
      </c>
      <c r="H5409" s="27">
        <f t="shared" si="168"/>
        <v>0</v>
      </c>
      <c r="I5409" s="18">
        <v>8839.25</v>
      </c>
      <c r="J5409" s="27">
        <v>46850.47</v>
      </c>
      <c r="K5409" s="18">
        <f t="shared" si="169"/>
        <v>0</v>
      </c>
      <c r="L5409" s="27">
        <v>11750.98</v>
      </c>
      <c r="M5409" s="36">
        <v>2911.73</v>
      </c>
      <c r="T5409" s="41">
        <v>0</v>
      </c>
      <c r="U5409" s="41">
        <v>0</v>
      </c>
      <c r="V5409" s="42" t="s">
        <v>113</v>
      </c>
      <c r="W5409" s="42">
        <v>0</v>
      </c>
      <c r="X5409" s="42">
        <v>0</v>
      </c>
    </row>
    <row r="5410" spans="1:24">
      <c r="A5410" s="27" t="s">
        <v>9969</v>
      </c>
      <c r="B5410" s="28" t="s">
        <v>5102</v>
      </c>
      <c r="C5410" s="27" t="s">
        <v>9970</v>
      </c>
      <c r="D5410" s="27" t="s">
        <v>5104</v>
      </c>
      <c r="E5410" s="29">
        <v>42457</v>
      </c>
      <c r="F5410" s="27">
        <v>15</v>
      </c>
      <c r="G5410" s="18">
        <v>101529.75</v>
      </c>
      <c r="H5410" s="27">
        <f t="shared" si="168"/>
        <v>0</v>
      </c>
      <c r="I5410" s="18">
        <v>19155.580000000002</v>
      </c>
      <c r="J5410" s="27">
        <v>101529.75</v>
      </c>
      <c r="K5410" s="18">
        <f t="shared" si="169"/>
        <v>0</v>
      </c>
      <c r="L5410" s="27">
        <v>25465.59</v>
      </c>
      <c r="M5410" s="36">
        <v>6310.01</v>
      </c>
      <c r="T5410" s="41">
        <v>0</v>
      </c>
      <c r="U5410" s="41">
        <v>0</v>
      </c>
      <c r="V5410" s="42" t="s">
        <v>113</v>
      </c>
      <c r="W5410" s="42">
        <v>0</v>
      </c>
      <c r="X5410" s="42">
        <v>0</v>
      </c>
    </row>
    <row r="5411" spans="1:24">
      <c r="A5411" s="27" t="s">
        <v>9971</v>
      </c>
      <c r="B5411" s="28" t="s">
        <v>5102</v>
      </c>
      <c r="C5411" s="27" t="s">
        <v>9972</v>
      </c>
      <c r="D5411" s="27" t="s">
        <v>5104</v>
      </c>
      <c r="E5411" s="29">
        <v>42457</v>
      </c>
      <c r="F5411" s="27">
        <v>15</v>
      </c>
      <c r="G5411" s="18">
        <v>5514.98</v>
      </c>
      <c r="H5411" s="27">
        <f t="shared" si="168"/>
        <v>0</v>
      </c>
      <c r="I5411" s="18">
        <v>1040.5</v>
      </c>
      <c r="J5411" s="27">
        <v>5514.98</v>
      </c>
      <c r="K5411" s="18">
        <f t="shared" si="169"/>
        <v>0</v>
      </c>
      <c r="L5411" s="27">
        <v>1383.25</v>
      </c>
      <c r="M5411" s="36">
        <v>342.75</v>
      </c>
      <c r="T5411" s="41">
        <v>0</v>
      </c>
      <c r="U5411" s="41">
        <v>0</v>
      </c>
      <c r="V5411" s="42" t="s">
        <v>113</v>
      </c>
      <c r="W5411" s="42">
        <v>0</v>
      </c>
      <c r="X5411" s="42">
        <v>0</v>
      </c>
    </row>
    <row r="5412" spans="1:24">
      <c r="A5412" s="27" t="s">
        <v>9973</v>
      </c>
      <c r="B5412" s="28" t="s">
        <v>5102</v>
      </c>
      <c r="C5412" s="27" t="s">
        <v>9974</v>
      </c>
      <c r="D5412" s="27" t="s">
        <v>5104</v>
      </c>
      <c r="E5412" s="29">
        <v>42457</v>
      </c>
      <c r="F5412" s="27">
        <v>15</v>
      </c>
      <c r="G5412" s="18">
        <v>52079.86</v>
      </c>
      <c r="H5412" s="27">
        <f t="shared" si="168"/>
        <v>0</v>
      </c>
      <c r="I5412" s="18">
        <v>9825.8700000000008</v>
      </c>
      <c r="J5412" s="27">
        <v>52079.86</v>
      </c>
      <c r="K5412" s="18">
        <f t="shared" si="169"/>
        <v>0</v>
      </c>
      <c r="L5412" s="27">
        <v>13062.6</v>
      </c>
      <c r="M5412" s="36">
        <v>3236.73</v>
      </c>
      <c r="T5412" s="41">
        <v>0</v>
      </c>
      <c r="U5412" s="41">
        <v>0</v>
      </c>
      <c r="V5412" s="42" t="s">
        <v>113</v>
      </c>
      <c r="W5412" s="42">
        <v>0</v>
      </c>
      <c r="X5412" s="42">
        <v>0</v>
      </c>
    </row>
    <row r="5413" spans="1:24">
      <c r="A5413" s="27" t="s">
        <v>9975</v>
      </c>
      <c r="B5413" s="28" t="s">
        <v>5102</v>
      </c>
      <c r="C5413" s="27" t="s">
        <v>9976</v>
      </c>
      <c r="D5413" s="27" t="s">
        <v>5104</v>
      </c>
      <c r="E5413" s="29">
        <v>42457</v>
      </c>
      <c r="F5413" s="27">
        <v>15</v>
      </c>
      <c r="G5413" s="18">
        <v>77670.92</v>
      </c>
      <c r="H5413" s="27">
        <f t="shared" si="168"/>
        <v>0</v>
      </c>
      <c r="I5413" s="18">
        <v>14654.12</v>
      </c>
      <c r="J5413" s="27">
        <v>77670.92</v>
      </c>
      <c r="K5413" s="18">
        <f t="shared" si="169"/>
        <v>0</v>
      </c>
      <c r="L5413" s="27">
        <v>19481.32</v>
      </c>
      <c r="M5413" s="36">
        <v>4827.2</v>
      </c>
      <c r="T5413" s="41">
        <v>0</v>
      </c>
      <c r="U5413" s="41">
        <v>0</v>
      </c>
      <c r="V5413" s="42" t="s">
        <v>113</v>
      </c>
      <c r="W5413" s="42">
        <v>0</v>
      </c>
      <c r="X5413" s="42">
        <v>0</v>
      </c>
    </row>
    <row r="5414" spans="1:24">
      <c r="A5414" s="27" t="s">
        <v>9977</v>
      </c>
      <c r="B5414" s="28" t="s">
        <v>5102</v>
      </c>
      <c r="C5414" s="27" t="s">
        <v>9978</v>
      </c>
      <c r="D5414" s="27" t="s">
        <v>5104</v>
      </c>
      <c r="E5414" s="29">
        <v>42457</v>
      </c>
      <c r="F5414" s="27">
        <v>15</v>
      </c>
      <c r="G5414" s="18">
        <v>71464.87</v>
      </c>
      <c r="H5414" s="27">
        <f t="shared" si="168"/>
        <v>0</v>
      </c>
      <c r="I5414" s="18">
        <v>13483.24</v>
      </c>
      <c r="J5414" s="27">
        <v>71464.87</v>
      </c>
      <c r="K5414" s="18">
        <f t="shared" si="169"/>
        <v>0</v>
      </c>
      <c r="L5414" s="27">
        <v>17924.740000000002</v>
      </c>
      <c r="M5414" s="36">
        <v>4441.5</v>
      </c>
      <c r="T5414" s="41">
        <v>0</v>
      </c>
      <c r="U5414" s="41">
        <v>0</v>
      </c>
      <c r="V5414" s="42" t="s">
        <v>113</v>
      </c>
      <c r="W5414" s="42">
        <v>0</v>
      </c>
      <c r="X5414" s="42">
        <v>0</v>
      </c>
    </row>
    <row r="5415" spans="1:24">
      <c r="A5415" s="27" t="s">
        <v>9979</v>
      </c>
      <c r="B5415" s="28" t="s">
        <v>5102</v>
      </c>
      <c r="C5415" s="27" t="s">
        <v>9980</v>
      </c>
      <c r="D5415" s="27" t="s">
        <v>5104</v>
      </c>
      <c r="E5415" s="29">
        <v>42457</v>
      </c>
      <c r="F5415" s="27">
        <v>15</v>
      </c>
      <c r="G5415" s="18">
        <v>154046.25</v>
      </c>
      <c r="H5415" s="27">
        <f t="shared" si="168"/>
        <v>0</v>
      </c>
      <c r="I5415" s="18">
        <v>29063.82</v>
      </c>
      <c r="J5415" s="27">
        <v>154046.25</v>
      </c>
      <c r="K5415" s="18">
        <f t="shared" si="169"/>
        <v>0</v>
      </c>
      <c r="L5415" s="27">
        <v>38637.71</v>
      </c>
      <c r="M5415" s="36">
        <v>9573.89</v>
      </c>
      <c r="T5415" s="41">
        <v>0</v>
      </c>
      <c r="U5415" s="41">
        <v>0</v>
      </c>
      <c r="V5415" s="42" t="s">
        <v>113</v>
      </c>
      <c r="W5415" s="42">
        <v>0</v>
      </c>
      <c r="X5415" s="42">
        <v>0</v>
      </c>
    </row>
    <row r="5416" spans="1:24">
      <c r="A5416" s="27" t="s">
        <v>9981</v>
      </c>
      <c r="B5416" s="28" t="s">
        <v>5102</v>
      </c>
      <c r="C5416" s="27" t="s">
        <v>9982</v>
      </c>
      <c r="D5416" s="27" t="s">
        <v>5104</v>
      </c>
      <c r="E5416" s="29">
        <v>42457</v>
      </c>
      <c r="F5416" s="27">
        <v>15</v>
      </c>
      <c r="G5416" s="18">
        <v>85106.22</v>
      </c>
      <c r="H5416" s="27">
        <f t="shared" si="168"/>
        <v>0</v>
      </c>
      <c r="I5416" s="18">
        <v>16056.94</v>
      </c>
      <c r="J5416" s="27">
        <v>85106.22</v>
      </c>
      <c r="K5416" s="18">
        <f t="shared" si="169"/>
        <v>0</v>
      </c>
      <c r="L5416" s="27">
        <v>21346.240000000002</v>
      </c>
      <c r="M5416" s="36">
        <v>5289.3</v>
      </c>
      <c r="T5416" s="41">
        <v>0</v>
      </c>
      <c r="U5416" s="41">
        <v>0</v>
      </c>
      <c r="V5416" s="42" t="s">
        <v>113</v>
      </c>
      <c r="W5416" s="42">
        <v>0</v>
      </c>
      <c r="X5416" s="42">
        <v>0</v>
      </c>
    </row>
    <row r="5417" spans="1:24">
      <c r="A5417" s="27" t="s">
        <v>9983</v>
      </c>
      <c r="B5417" s="28" t="s">
        <v>5102</v>
      </c>
      <c r="C5417" s="27" t="s">
        <v>9984</v>
      </c>
      <c r="D5417" s="27" t="s">
        <v>5104</v>
      </c>
      <c r="E5417" s="29">
        <v>42457</v>
      </c>
      <c r="F5417" s="27">
        <v>15</v>
      </c>
      <c r="G5417" s="18">
        <v>160310.32999999999</v>
      </c>
      <c r="H5417" s="27">
        <f t="shared" si="168"/>
        <v>0</v>
      </c>
      <c r="I5417" s="18">
        <v>30245.67</v>
      </c>
      <c r="J5417" s="27">
        <v>160310.32999999999</v>
      </c>
      <c r="K5417" s="18">
        <f t="shared" si="169"/>
        <v>0</v>
      </c>
      <c r="L5417" s="27">
        <v>40208.870000000003</v>
      </c>
      <c r="M5417" s="36">
        <v>9963.2000000000007</v>
      </c>
      <c r="T5417" s="41">
        <v>0</v>
      </c>
      <c r="U5417" s="41">
        <v>0</v>
      </c>
      <c r="V5417" s="42" t="s">
        <v>113</v>
      </c>
      <c r="W5417" s="42">
        <v>0</v>
      </c>
      <c r="X5417" s="42">
        <v>0</v>
      </c>
    </row>
    <row r="5418" spans="1:24">
      <c r="A5418" s="27" t="s">
        <v>9985</v>
      </c>
      <c r="B5418" s="28" t="s">
        <v>5102</v>
      </c>
      <c r="C5418" s="27" t="s">
        <v>9986</v>
      </c>
      <c r="D5418" s="27" t="s">
        <v>5104</v>
      </c>
      <c r="E5418" s="29">
        <v>42457</v>
      </c>
      <c r="F5418" s="27">
        <v>15</v>
      </c>
      <c r="G5418" s="18">
        <v>81610.570000000007</v>
      </c>
      <c r="H5418" s="27">
        <f t="shared" si="168"/>
        <v>0</v>
      </c>
      <c r="I5418" s="18">
        <v>15397.42</v>
      </c>
      <c r="J5418" s="27">
        <v>81610.570000000007</v>
      </c>
      <c r="K5418" s="18">
        <f t="shared" si="169"/>
        <v>0</v>
      </c>
      <c r="L5418" s="27">
        <v>20469.47</v>
      </c>
      <c r="M5418" s="36">
        <v>5072.05</v>
      </c>
      <c r="T5418" s="41">
        <v>0</v>
      </c>
      <c r="U5418" s="41">
        <v>0</v>
      </c>
      <c r="V5418" s="42" t="s">
        <v>113</v>
      </c>
      <c r="W5418" s="42">
        <v>0</v>
      </c>
      <c r="X5418" s="42">
        <v>0</v>
      </c>
    </row>
    <row r="5419" spans="1:24">
      <c r="A5419" s="27" t="s">
        <v>9987</v>
      </c>
      <c r="B5419" s="28" t="s">
        <v>5102</v>
      </c>
      <c r="C5419" s="27" t="s">
        <v>9986</v>
      </c>
      <c r="D5419" s="27" t="s">
        <v>5104</v>
      </c>
      <c r="E5419" s="29">
        <v>42457</v>
      </c>
      <c r="F5419" s="27">
        <v>15</v>
      </c>
      <c r="G5419" s="18">
        <v>53257.1</v>
      </c>
      <c r="H5419" s="27">
        <f t="shared" si="168"/>
        <v>0</v>
      </c>
      <c r="I5419" s="18">
        <v>10047.99</v>
      </c>
      <c r="J5419" s="27">
        <v>53257.1</v>
      </c>
      <c r="K5419" s="18">
        <f t="shared" si="169"/>
        <v>0</v>
      </c>
      <c r="L5419" s="27">
        <v>13357.89</v>
      </c>
      <c r="M5419" s="36">
        <v>3309.9</v>
      </c>
      <c r="T5419" s="41">
        <v>0</v>
      </c>
      <c r="U5419" s="41">
        <v>0</v>
      </c>
      <c r="V5419" s="42" t="s">
        <v>113</v>
      </c>
      <c r="W5419" s="42">
        <v>0</v>
      </c>
      <c r="X5419" s="42">
        <v>0</v>
      </c>
    </row>
    <row r="5420" spans="1:24">
      <c r="A5420" s="27" t="s">
        <v>9988</v>
      </c>
      <c r="B5420" s="28" t="s">
        <v>5102</v>
      </c>
      <c r="C5420" s="27" t="s">
        <v>9989</v>
      </c>
      <c r="D5420" s="27" t="s">
        <v>5104</v>
      </c>
      <c r="E5420" s="29">
        <v>42457</v>
      </c>
      <c r="F5420" s="27">
        <v>15</v>
      </c>
      <c r="G5420" s="18">
        <v>108860.43</v>
      </c>
      <c r="H5420" s="27">
        <f t="shared" si="168"/>
        <v>0</v>
      </c>
      <c r="I5420" s="18">
        <v>20538.64</v>
      </c>
      <c r="J5420" s="27">
        <v>108860.43</v>
      </c>
      <c r="K5420" s="18">
        <f t="shared" si="169"/>
        <v>0</v>
      </c>
      <c r="L5420" s="27">
        <v>27304.25</v>
      </c>
      <c r="M5420" s="36">
        <v>6765.61</v>
      </c>
      <c r="T5420" s="41">
        <v>0</v>
      </c>
      <c r="U5420" s="41">
        <v>0</v>
      </c>
      <c r="V5420" s="42" t="s">
        <v>113</v>
      </c>
      <c r="W5420" s="42">
        <v>0</v>
      </c>
      <c r="X5420" s="42">
        <v>0</v>
      </c>
    </row>
    <row r="5421" spans="1:24">
      <c r="A5421" s="27" t="s">
        <v>9990</v>
      </c>
      <c r="B5421" s="28" t="s">
        <v>5102</v>
      </c>
      <c r="C5421" s="27" t="s">
        <v>9991</v>
      </c>
      <c r="D5421" s="27" t="s">
        <v>5104</v>
      </c>
      <c r="E5421" s="29">
        <v>42457</v>
      </c>
      <c r="F5421" s="27">
        <v>15</v>
      </c>
      <c r="G5421" s="18">
        <v>2312.39</v>
      </c>
      <c r="H5421" s="27">
        <f t="shared" si="168"/>
        <v>0</v>
      </c>
      <c r="I5421" s="18">
        <v>436.27</v>
      </c>
      <c r="J5421" s="27">
        <v>2312.39</v>
      </c>
      <c r="K5421" s="18">
        <f t="shared" si="169"/>
        <v>0</v>
      </c>
      <c r="L5421" s="27">
        <v>579.98</v>
      </c>
      <c r="M5421" s="36">
        <v>143.71</v>
      </c>
      <c r="T5421" s="41">
        <v>0</v>
      </c>
      <c r="U5421" s="41">
        <v>0</v>
      </c>
      <c r="V5421" s="42" t="s">
        <v>113</v>
      </c>
      <c r="W5421" s="42">
        <v>0</v>
      </c>
      <c r="X5421" s="42">
        <v>0</v>
      </c>
    </row>
    <row r="5422" spans="1:24">
      <c r="A5422" s="27" t="s">
        <v>9992</v>
      </c>
      <c r="B5422" s="28" t="s">
        <v>5102</v>
      </c>
      <c r="C5422" s="27" t="s">
        <v>9991</v>
      </c>
      <c r="D5422" s="27" t="s">
        <v>5104</v>
      </c>
      <c r="E5422" s="29">
        <v>42457</v>
      </c>
      <c r="F5422" s="27">
        <v>15</v>
      </c>
      <c r="G5422" s="18">
        <v>83868.77</v>
      </c>
      <c r="H5422" s="27">
        <f t="shared" si="168"/>
        <v>0</v>
      </c>
      <c r="I5422" s="18">
        <v>15823.48</v>
      </c>
      <c r="J5422" s="27">
        <v>83868.77</v>
      </c>
      <c r="K5422" s="18">
        <f t="shared" si="169"/>
        <v>0</v>
      </c>
      <c r="L5422" s="27">
        <v>21035.88</v>
      </c>
      <c r="M5422" s="36">
        <v>5212.3999999999996</v>
      </c>
      <c r="T5422" s="41">
        <v>0</v>
      </c>
      <c r="U5422" s="41">
        <v>0</v>
      </c>
      <c r="V5422" s="42" t="s">
        <v>113</v>
      </c>
      <c r="W5422" s="42">
        <v>0</v>
      </c>
      <c r="X5422" s="42">
        <v>0</v>
      </c>
    </row>
    <row r="5423" spans="1:24">
      <c r="A5423" s="27" t="s">
        <v>9993</v>
      </c>
      <c r="B5423" s="28" t="s">
        <v>5102</v>
      </c>
      <c r="C5423" s="27" t="s">
        <v>9994</v>
      </c>
      <c r="D5423" s="27" t="s">
        <v>5104</v>
      </c>
      <c r="E5423" s="29">
        <v>42457</v>
      </c>
      <c r="F5423" s="27">
        <v>15</v>
      </c>
      <c r="G5423" s="18">
        <v>22117.57</v>
      </c>
      <c r="H5423" s="27">
        <f t="shared" si="168"/>
        <v>0</v>
      </c>
      <c r="I5423" s="18">
        <v>4172.8999999999996</v>
      </c>
      <c r="J5423" s="27">
        <v>22117.57</v>
      </c>
      <c r="K5423" s="18">
        <f t="shared" si="169"/>
        <v>0</v>
      </c>
      <c r="L5423" s="27">
        <v>5547.5</v>
      </c>
      <c r="M5423" s="36">
        <v>1374.6</v>
      </c>
      <c r="T5423" s="41">
        <v>0</v>
      </c>
      <c r="U5423" s="41">
        <v>0</v>
      </c>
      <c r="V5423" s="42" t="s">
        <v>113</v>
      </c>
      <c r="W5423" s="42">
        <v>0</v>
      </c>
      <c r="X5423" s="42">
        <v>0</v>
      </c>
    </row>
    <row r="5424" spans="1:24">
      <c r="A5424" s="27" t="s">
        <v>9995</v>
      </c>
      <c r="B5424" s="28" t="s">
        <v>5102</v>
      </c>
      <c r="C5424" s="27" t="s">
        <v>9996</v>
      </c>
      <c r="D5424" s="27" t="s">
        <v>5104</v>
      </c>
      <c r="E5424" s="29">
        <v>42457</v>
      </c>
      <c r="F5424" s="27">
        <v>15</v>
      </c>
      <c r="G5424" s="18">
        <v>14345.98</v>
      </c>
      <c r="H5424" s="27">
        <f t="shared" si="168"/>
        <v>0</v>
      </c>
      <c r="I5424" s="18">
        <v>2706.65</v>
      </c>
      <c r="J5424" s="27">
        <v>14345.98</v>
      </c>
      <c r="K5424" s="18">
        <f t="shared" si="169"/>
        <v>0</v>
      </c>
      <c r="L5424" s="27">
        <v>3598.24</v>
      </c>
      <c r="M5424" s="36">
        <v>891.59</v>
      </c>
      <c r="T5424" s="41">
        <v>0</v>
      </c>
      <c r="U5424" s="41">
        <v>0</v>
      </c>
      <c r="V5424" s="42" t="s">
        <v>113</v>
      </c>
      <c r="W5424" s="42">
        <v>0</v>
      </c>
      <c r="X5424" s="42">
        <v>0</v>
      </c>
    </row>
    <row r="5425" spans="1:24">
      <c r="A5425" s="27" t="s">
        <v>9997</v>
      </c>
      <c r="B5425" s="28" t="s">
        <v>5102</v>
      </c>
      <c r="C5425" s="27" t="s">
        <v>9998</v>
      </c>
      <c r="D5425" s="27" t="s">
        <v>5104</v>
      </c>
      <c r="E5425" s="29">
        <v>42457</v>
      </c>
      <c r="F5425" s="27">
        <v>15</v>
      </c>
      <c r="G5425" s="18">
        <v>1975.88</v>
      </c>
      <c r="H5425" s="27">
        <f t="shared" si="168"/>
        <v>0</v>
      </c>
      <c r="I5425" s="18">
        <v>372.78</v>
      </c>
      <c r="J5425" s="27">
        <v>1975.88</v>
      </c>
      <c r="K5425" s="18">
        <f t="shared" si="169"/>
        <v>0</v>
      </c>
      <c r="L5425" s="27">
        <v>495.58</v>
      </c>
      <c r="M5425" s="36">
        <v>122.8</v>
      </c>
      <c r="T5425" s="41">
        <v>0</v>
      </c>
      <c r="U5425" s="41">
        <v>0</v>
      </c>
      <c r="V5425" s="42" t="s">
        <v>113</v>
      </c>
      <c r="W5425" s="42">
        <v>0</v>
      </c>
      <c r="X5425" s="42">
        <v>0</v>
      </c>
    </row>
    <row r="5426" spans="1:24">
      <c r="A5426" s="27" t="s">
        <v>9999</v>
      </c>
      <c r="B5426" s="28" t="s">
        <v>5102</v>
      </c>
      <c r="C5426" s="27" t="s">
        <v>10000</v>
      </c>
      <c r="D5426" s="27" t="s">
        <v>5104</v>
      </c>
      <c r="E5426" s="29">
        <v>42457</v>
      </c>
      <c r="F5426" s="27">
        <v>15</v>
      </c>
      <c r="G5426" s="18">
        <v>24533.94</v>
      </c>
      <c r="H5426" s="27">
        <f t="shared" si="168"/>
        <v>0</v>
      </c>
      <c r="I5426" s="18">
        <v>4628.8</v>
      </c>
      <c r="J5426" s="27">
        <v>24533.94</v>
      </c>
      <c r="K5426" s="18">
        <f t="shared" si="169"/>
        <v>0</v>
      </c>
      <c r="L5426" s="27">
        <v>6153.57</v>
      </c>
      <c r="M5426" s="36">
        <v>1524.77</v>
      </c>
      <c r="T5426" s="41">
        <v>0</v>
      </c>
      <c r="U5426" s="41">
        <v>0</v>
      </c>
      <c r="V5426" s="42" t="s">
        <v>113</v>
      </c>
      <c r="W5426" s="42">
        <v>0</v>
      </c>
      <c r="X5426" s="42">
        <v>0</v>
      </c>
    </row>
    <row r="5427" spans="1:24">
      <c r="A5427" s="27" t="s">
        <v>10001</v>
      </c>
      <c r="B5427" s="28" t="s">
        <v>5102</v>
      </c>
      <c r="C5427" s="27" t="s">
        <v>10000</v>
      </c>
      <c r="D5427" s="27" t="s">
        <v>5104</v>
      </c>
      <c r="E5427" s="29">
        <v>42457</v>
      </c>
      <c r="F5427" s="27">
        <v>15</v>
      </c>
      <c r="G5427" s="18">
        <v>48853.84</v>
      </c>
      <c r="H5427" s="27">
        <f t="shared" si="168"/>
        <v>0</v>
      </c>
      <c r="I5427" s="18">
        <v>9217.23</v>
      </c>
      <c r="J5427" s="27">
        <v>48853.84</v>
      </c>
      <c r="K5427" s="18">
        <f t="shared" si="169"/>
        <v>0</v>
      </c>
      <c r="L5427" s="27">
        <v>12253.47</v>
      </c>
      <c r="M5427" s="36">
        <v>3036.24</v>
      </c>
      <c r="T5427" s="41">
        <v>0</v>
      </c>
      <c r="U5427" s="41">
        <v>0</v>
      </c>
      <c r="V5427" s="42" t="s">
        <v>113</v>
      </c>
      <c r="W5427" s="42">
        <v>0</v>
      </c>
      <c r="X5427" s="42">
        <v>0</v>
      </c>
    </row>
    <row r="5428" spans="1:24">
      <c r="A5428" s="27" t="s">
        <v>10002</v>
      </c>
      <c r="B5428" s="28" t="s">
        <v>5102</v>
      </c>
      <c r="C5428" s="27" t="s">
        <v>10003</v>
      </c>
      <c r="D5428" s="27" t="s">
        <v>5104</v>
      </c>
      <c r="E5428" s="29">
        <v>42457</v>
      </c>
      <c r="F5428" s="27">
        <v>15</v>
      </c>
      <c r="G5428" s="18">
        <v>43635.61</v>
      </c>
      <c r="H5428" s="27">
        <f t="shared" si="168"/>
        <v>0</v>
      </c>
      <c r="I5428" s="18">
        <v>8232.7099999999991</v>
      </c>
      <c r="J5428" s="27">
        <v>43635.61</v>
      </c>
      <c r="K5428" s="18">
        <f t="shared" si="169"/>
        <v>0</v>
      </c>
      <c r="L5428" s="27">
        <v>10944.64</v>
      </c>
      <c r="M5428" s="36">
        <v>2711.93</v>
      </c>
      <c r="T5428" s="41">
        <v>0</v>
      </c>
      <c r="U5428" s="41">
        <v>0</v>
      </c>
      <c r="V5428" s="42" t="s">
        <v>113</v>
      </c>
      <c r="W5428" s="42">
        <v>0</v>
      </c>
      <c r="X5428" s="42">
        <v>0</v>
      </c>
    </row>
    <row r="5429" spans="1:24">
      <c r="A5429" s="27" t="s">
        <v>10004</v>
      </c>
      <c r="B5429" s="28" t="s">
        <v>5102</v>
      </c>
      <c r="C5429" s="27" t="s">
        <v>10005</v>
      </c>
      <c r="D5429" s="27" t="s">
        <v>5104</v>
      </c>
      <c r="E5429" s="29">
        <v>42457</v>
      </c>
      <c r="F5429" s="27">
        <v>15</v>
      </c>
      <c r="G5429" s="18">
        <v>68165.899999999994</v>
      </c>
      <c r="H5429" s="27">
        <f t="shared" si="168"/>
        <v>0</v>
      </c>
      <c r="I5429" s="18">
        <v>12860.82</v>
      </c>
      <c r="J5429" s="27">
        <v>68165.899999999994</v>
      </c>
      <c r="K5429" s="18">
        <f t="shared" si="169"/>
        <v>0</v>
      </c>
      <c r="L5429" s="27">
        <v>17097.29</v>
      </c>
      <c r="M5429" s="36">
        <v>4236.47</v>
      </c>
      <c r="T5429" s="41">
        <v>0</v>
      </c>
      <c r="U5429" s="41">
        <v>0</v>
      </c>
      <c r="V5429" s="42" t="s">
        <v>113</v>
      </c>
      <c r="W5429" s="42">
        <v>0</v>
      </c>
      <c r="X5429" s="42">
        <v>0</v>
      </c>
    </row>
    <row r="5430" spans="1:24">
      <c r="A5430" s="27" t="s">
        <v>10006</v>
      </c>
      <c r="B5430" s="28" t="s">
        <v>5102</v>
      </c>
      <c r="C5430" s="27" t="s">
        <v>10005</v>
      </c>
      <c r="D5430" s="27" t="s">
        <v>5104</v>
      </c>
      <c r="E5430" s="29">
        <v>42457</v>
      </c>
      <c r="F5430" s="27">
        <v>15</v>
      </c>
      <c r="G5430" s="18">
        <v>79251.7</v>
      </c>
      <c r="H5430" s="27">
        <f t="shared" si="168"/>
        <v>0</v>
      </c>
      <c r="I5430" s="18">
        <v>14952.38</v>
      </c>
      <c r="J5430" s="27">
        <v>79251.7</v>
      </c>
      <c r="K5430" s="18">
        <f t="shared" si="169"/>
        <v>0</v>
      </c>
      <c r="L5430" s="27">
        <v>19877.830000000002</v>
      </c>
      <c r="M5430" s="36">
        <v>4925.45</v>
      </c>
      <c r="T5430" s="41">
        <v>0</v>
      </c>
      <c r="U5430" s="41">
        <v>0</v>
      </c>
      <c r="V5430" s="42" t="s">
        <v>113</v>
      </c>
      <c r="W5430" s="42">
        <v>0</v>
      </c>
      <c r="X5430" s="42">
        <v>0</v>
      </c>
    </row>
    <row r="5431" spans="1:24">
      <c r="A5431" s="27" t="s">
        <v>10007</v>
      </c>
      <c r="B5431" s="28" t="s">
        <v>5102</v>
      </c>
      <c r="C5431" s="27" t="s">
        <v>9856</v>
      </c>
      <c r="D5431" s="27" t="s">
        <v>5104</v>
      </c>
      <c r="E5431" s="29">
        <v>42457</v>
      </c>
      <c r="F5431" s="27">
        <v>15</v>
      </c>
      <c r="G5431" s="18">
        <v>55243.32</v>
      </c>
      <c r="H5431" s="27">
        <f t="shared" si="168"/>
        <v>0</v>
      </c>
      <c r="I5431" s="18">
        <v>10422.73</v>
      </c>
      <c r="J5431" s="27">
        <v>55243.32</v>
      </c>
      <c r="K5431" s="18">
        <f t="shared" si="169"/>
        <v>0</v>
      </c>
      <c r="L5431" s="27">
        <v>13856.07</v>
      </c>
      <c r="M5431" s="36">
        <v>3433.34</v>
      </c>
      <c r="T5431" s="41">
        <v>0</v>
      </c>
      <c r="U5431" s="41">
        <v>0</v>
      </c>
      <c r="V5431" s="42" t="s">
        <v>113</v>
      </c>
      <c r="W5431" s="42">
        <v>0</v>
      </c>
      <c r="X5431" s="42">
        <v>0</v>
      </c>
    </row>
    <row r="5432" spans="1:24">
      <c r="A5432" s="27" t="s">
        <v>10008</v>
      </c>
      <c r="B5432" s="28" t="s">
        <v>5102</v>
      </c>
      <c r="C5432" s="27" t="s">
        <v>9858</v>
      </c>
      <c r="D5432" s="27" t="s">
        <v>5104</v>
      </c>
      <c r="E5432" s="29">
        <v>42457</v>
      </c>
      <c r="F5432" s="27">
        <v>15</v>
      </c>
      <c r="G5432" s="18">
        <v>40123</v>
      </c>
      <c r="H5432" s="27">
        <f t="shared" si="168"/>
        <v>0</v>
      </c>
      <c r="I5432" s="18">
        <v>7569.98</v>
      </c>
      <c r="J5432" s="27">
        <v>40123</v>
      </c>
      <c r="K5432" s="18">
        <f t="shared" si="169"/>
        <v>0</v>
      </c>
      <c r="L5432" s="27">
        <v>10063.6</v>
      </c>
      <c r="M5432" s="36">
        <v>2493.62</v>
      </c>
      <c r="T5432" s="41">
        <v>0</v>
      </c>
      <c r="U5432" s="41">
        <v>0</v>
      </c>
      <c r="V5432" s="42" t="s">
        <v>113</v>
      </c>
      <c r="W5432" s="42">
        <v>0</v>
      </c>
      <c r="X5432" s="42">
        <v>0</v>
      </c>
    </row>
    <row r="5433" spans="1:24">
      <c r="A5433" s="27" t="s">
        <v>10009</v>
      </c>
      <c r="B5433" s="28" t="s">
        <v>5102</v>
      </c>
      <c r="C5433" s="27" t="s">
        <v>10010</v>
      </c>
      <c r="D5433" s="27" t="s">
        <v>5104</v>
      </c>
      <c r="E5433" s="29">
        <v>42457</v>
      </c>
      <c r="F5433" s="27">
        <v>15</v>
      </c>
      <c r="G5433" s="18">
        <v>86950.62</v>
      </c>
      <c r="H5433" s="27">
        <f t="shared" si="168"/>
        <v>0</v>
      </c>
      <c r="I5433" s="18">
        <v>16404.93</v>
      </c>
      <c r="J5433" s="27">
        <v>86950.62</v>
      </c>
      <c r="K5433" s="18">
        <f t="shared" si="169"/>
        <v>0</v>
      </c>
      <c r="L5433" s="27">
        <v>21808.86</v>
      </c>
      <c r="M5433" s="36">
        <v>5403.93</v>
      </c>
      <c r="T5433" s="41">
        <v>0</v>
      </c>
      <c r="U5433" s="41">
        <v>0</v>
      </c>
      <c r="V5433" s="42" t="s">
        <v>113</v>
      </c>
      <c r="W5433" s="42">
        <v>0</v>
      </c>
      <c r="X5433" s="42">
        <v>0</v>
      </c>
    </row>
    <row r="5434" spans="1:24">
      <c r="A5434" s="27" t="s">
        <v>10011</v>
      </c>
      <c r="B5434" s="28" t="s">
        <v>5102</v>
      </c>
      <c r="C5434" s="27" t="s">
        <v>10012</v>
      </c>
      <c r="D5434" s="27" t="s">
        <v>5104</v>
      </c>
      <c r="E5434" s="29">
        <v>42457</v>
      </c>
      <c r="F5434" s="27">
        <v>15</v>
      </c>
      <c r="G5434" s="18">
        <v>7088.74</v>
      </c>
      <c r="H5434" s="27">
        <f t="shared" si="168"/>
        <v>0</v>
      </c>
      <c r="I5434" s="18">
        <v>1337.43</v>
      </c>
      <c r="J5434" s="27">
        <v>7088.74</v>
      </c>
      <c r="K5434" s="18">
        <f t="shared" si="169"/>
        <v>0</v>
      </c>
      <c r="L5434" s="27">
        <v>1777.99</v>
      </c>
      <c r="M5434" s="36">
        <v>440.56</v>
      </c>
      <c r="T5434" s="41">
        <v>0</v>
      </c>
      <c r="U5434" s="41">
        <v>0</v>
      </c>
      <c r="V5434" s="42" t="s">
        <v>113</v>
      </c>
      <c r="W5434" s="42">
        <v>0</v>
      </c>
      <c r="X5434" s="42">
        <v>0</v>
      </c>
    </row>
    <row r="5435" spans="1:24">
      <c r="A5435" s="27" t="s">
        <v>10013</v>
      </c>
      <c r="B5435" s="28" t="s">
        <v>5102</v>
      </c>
      <c r="C5435" s="27" t="s">
        <v>10014</v>
      </c>
      <c r="D5435" s="27" t="s">
        <v>5104</v>
      </c>
      <c r="E5435" s="29">
        <v>42457</v>
      </c>
      <c r="F5435" s="27">
        <v>15</v>
      </c>
      <c r="G5435" s="18">
        <v>53496.75</v>
      </c>
      <c r="H5435" s="27">
        <f t="shared" si="168"/>
        <v>0</v>
      </c>
      <c r="I5435" s="18">
        <v>10093.209999999999</v>
      </c>
      <c r="J5435" s="27">
        <v>53496.75</v>
      </c>
      <c r="K5435" s="18">
        <f t="shared" si="169"/>
        <v>0</v>
      </c>
      <c r="L5435" s="27">
        <v>13418</v>
      </c>
      <c r="M5435" s="36">
        <v>3324.79</v>
      </c>
      <c r="T5435" s="41">
        <v>0</v>
      </c>
      <c r="U5435" s="41">
        <v>0</v>
      </c>
      <c r="V5435" s="42" t="s">
        <v>113</v>
      </c>
      <c r="W5435" s="42">
        <v>0</v>
      </c>
      <c r="X5435" s="42">
        <v>0</v>
      </c>
    </row>
    <row r="5436" spans="1:24">
      <c r="A5436" s="27" t="s">
        <v>10015</v>
      </c>
      <c r="B5436" s="28" t="s">
        <v>5102</v>
      </c>
      <c r="C5436" s="27" t="s">
        <v>10014</v>
      </c>
      <c r="D5436" s="27" t="s">
        <v>5104</v>
      </c>
      <c r="E5436" s="29">
        <v>42457</v>
      </c>
      <c r="F5436" s="27">
        <v>15</v>
      </c>
      <c r="G5436" s="18">
        <v>45403.86</v>
      </c>
      <c r="H5436" s="27">
        <f t="shared" si="168"/>
        <v>0</v>
      </c>
      <c r="I5436" s="18">
        <v>8566.31</v>
      </c>
      <c r="J5436" s="27">
        <v>45403.86</v>
      </c>
      <c r="K5436" s="18">
        <f t="shared" si="169"/>
        <v>0</v>
      </c>
      <c r="L5436" s="27">
        <v>11388.14</v>
      </c>
      <c r="M5436" s="36">
        <v>2821.83</v>
      </c>
      <c r="T5436" s="41">
        <v>0</v>
      </c>
      <c r="U5436" s="41">
        <v>0</v>
      </c>
      <c r="V5436" s="42" t="s">
        <v>113</v>
      </c>
      <c r="W5436" s="42">
        <v>0</v>
      </c>
      <c r="X5436" s="42">
        <v>0</v>
      </c>
    </row>
    <row r="5437" spans="1:24">
      <c r="A5437" s="27" t="s">
        <v>10016</v>
      </c>
      <c r="B5437" s="28" t="s">
        <v>5102</v>
      </c>
      <c r="C5437" s="27" t="s">
        <v>10017</v>
      </c>
      <c r="D5437" s="27" t="s">
        <v>5104</v>
      </c>
      <c r="E5437" s="29">
        <v>42457</v>
      </c>
      <c r="F5437" s="27">
        <v>15</v>
      </c>
      <c r="G5437" s="18">
        <v>41776.03</v>
      </c>
      <c r="H5437" s="27">
        <f t="shared" si="168"/>
        <v>0</v>
      </c>
      <c r="I5437" s="18">
        <v>7881.87</v>
      </c>
      <c r="J5437" s="27">
        <v>41776.03</v>
      </c>
      <c r="K5437" s="18">
        <f t="shared" si="169"/>
        <v>0</v>
      </c>
      <c r="L5437" s="27">
        <v>10478.23</v>
      </c>
      <c r="M5437" s="36">
        <v>2596.36</v>
      </c>
      <c r="T5437" s="41">
        <v>0</v>
      </c>
      <c r="U5437" s="41">
        <v>0</v>
      </c>
      <c r="V5437" s="42" t="s">
        <v>113</v>
      </c>
      <c r="W5437" s="42">
        <v>0</v>
      </c>
      <c r="X5437" s="42">
        <v>0</v>
      </c>
    </row>
    <row r="5438" spans="1:24">
      <c r="A5438" s="27" t="s">
        <v>10018</v>
      </c>
      <c r="B5438" s="28" t="s">
        <v>5102</v>
      </c>
      <c r="C5438" s="27" t="s">
        <v>10019</v>
      </c>
      <c r="D5438" s="27" t="s">
        <v>5104</v>
      </c>
      <c r="E5438" s="29">
        <v>42457</v>
      </c>
      <c r="F5438" s="27">
        <v>15</v>
      </c>
      <c r="G5438" s="18">
        <v>104696.85</v>
      </c>
      <c r="H5438" s="27">
        <f t="shared" si="168"/>
        <v>0</v>
      </c>
      <c r="I5438" s="18">
        <v>19753.09</v>
      </c>
      <c r="J5438" s="27">
        <v>104696.85</v>
      </c>
      <c r="K5438" s="18">
        <f t="shared" si="169"/>
        <v>0</v>
      </c>
      <c r="L5438" s="27">
        <v>26259.94</v>
      </c>
      <c r="M5438" s="36">
        <v>6506.85</v>
      </c>
      <c r="T5438" s="41">
        <v>0</v>
      </c>
      <c r="U5438" s="41">
        <v>0</v>
      </c>
      <c r="V5438" s="42" t="s">
        <v>113</v>
      </c>
      <c r="W5438" s="42">
        <v>0</v>
      </c>
      <c r="X5438" s="42">
        <v>0</v>
      </c>
    </row>
    <row r="5439" spans="1:24">
      <c r="A5439" s="27" t="s">
        <v>10020</v>
      </c>
      <c r="B5439" s="28" t="s">
        <v>5102</v>
      </c>
      <c r="C5439" s="27" t="s">
        <v>10021</v>
      </c>
      <c r="D5439" s="27" t="s">
        <v>5104</v>
      </c>
      <c r="E5439" s="29">
        <v>42457</v>
      </c>
      <c r="F5439" s="27">
        <v>15</v>
      </c>
      <c r="G5439" s="18">
        <v>19515.11</v>
      </c>
      <c r="H5439" s="27">
        <f t="shared" si="168"/>
        <v>0</v>
      </c>
      <c r="I5439" s="18">
        <v>3681.9</v>
      </c>
      <c r="J5439" s="27">
        <v>19515.11</v>
      </c>
      <c r="K5439" s="18">
        <f t="shared" si="169"/>
        <v>0</v>
      </c>
      <c r="L5439" s="27">
        <v>4894.75</v>
      </c>
      <c r="M5439" s="36">
        <v>1212.8499999999999</v>
      </c>
      <c r="T5439" s="41">
        <v>0</v>
      </c>
      <c r="U5439" s="41">
        <v>0</v>
      </c>
      <c r="V5439" s="42" t="s">
        <v>113</v>
      </c>
      <c r="W5439" s="42">
        <v>0</v>
      </c>
      <c r="X5439" s="42">
        <v>0</v>
      </c>
    </row>
    <row r="5440" spans="1:24">
      <c r="A5440" s="27" t="s">
        <v>10022</v>
      </c>
      <c r="B5440" s="28" t="s">
        <v>5102</v>
      </c>
      <c r="C5440" s="27" t="s">
        <v>10023</v>
      </c>
      <c r="D5440" s="27" t="s">
        <v>5104</v>
      </c>
      <c r="E5440" s="29">
        <v>42457</v>
      </c>
      <c r="F5440" s="27">
        <v>15</v>
      </c>
      <c r="G5440" s="18">
        <v>58598.93</v>
      </c>
      <c r="H5440" s="27">
        <f t="shared" si="168"/>
        <v>0</v>
      </c>
      <c r="I5440" s="18">
        <v>11055.83</v>
      </c>
      <c r="J5440" s="27">
        <v>58598.93</v>
      </c>
      <c r="K5440" s="18">
        <f t="shared" si="169"/>
        <v>0</v>
      </c>
      <c r="L5440" s="27">
        <v>14697.72</v>
      </c>
      <c r="M5440" s="36">
        <v>3641.89</v>
      </c>
      <c r="T5440" s="41">
        <v>0</v>
      </c>
      <c r="U5440" s="41">
        <v>0</v>
      </c>
      <c r="V5440" s="42" t="s">
        <v>113</v>
      </c>
      <c r="W5440" s="42">
        <v>0</v>
      </c>
      <c r="X5440" s="42">
        <v>0</v>
      </c>
    </row>
    <row r="5441" spans="1:24">
      <c r="A5441" s="27" t="s">
        <v>10024</v>
      </c>
      <c r="B5441" s="28" t="s">
        <v>5102</v>
      </c>
      <c r="C5441" s="27" t="s">
        <v>10023</v>
      </c>
      <c r="D5441" s="27" t="s">
        <v>5104</v>
      </c>
      <c r="E5441" s="29">
        <v>42457</v>
      </c>
      <c r="F5441" s="27">
        <v>15</v>
      </c>
      <c r="G5441" s="18">
        <v>96550.25</v>
      </c>
      <c r="H5441" s="27">
        <f t="shared" si="168"/>
        <v>0</v>
      </c>
      <c r="I5441" s="18">
        <v>18216.09</v>
      </c>
      <c r="J5441" s="27">
        <v>96550.25</v>
      </c>
      <c r="K5441" s="18">
        <f t="shared" si="169"/>
        <v>0</v>
      </c>
      <c r="L5441" s="27">
        <v>24216.63</v>
      </c>
      <c r="M5441" s="36">
        <v>6000.54</v>
      </c>
      <c r="T5441" s="41">
        <v>0</v>
      </c>
      <c r="U5441" s="41">
        <v>0</v>
      </c>
      <c r="V5441" s="42" t="s">
        <v>113</v>
      </c>
      <c r="W5441" s="42">
        <v>0</v>
      </c>
      <c r="X5441" s="42">
        <v>0</v>
      </c>
    </row>
    <row r="5442" spans="1:24">
      <c r="A5442" s="27" t="s">
        <v>10025</v>
      </c>
      <c r="B5442" s="28" t="s">
        <v>5102</v>
      </c>
      <c r="C5442" s="27" t="s">
        <v>10026</v>
      </c>
      <c r="D5442" s="27" t="s">
        <v>5104</v>
      </c>
      <c r="E5442" s="29">
        <v>42457</v>
      </c>
      <c r="F5442" s="27">
        <v>15</v>
      </c>
      <c r="G5442" s="18">
        <v>49151.67</v>
      </c>
      <c r="H5442" s="27">
        <f t="shared" si="168"/>
        <v>0</v>
      </c>
      <c r="I5442" s="18">
        <v>9273.43</v>
      </c>
      <c r="J5442" s="27">
        <v>49151.67</v>
      </c>
      <c r="K5442" s="18">
        <f t="shared" si="169"/>
        <v>0</v>
      </c>
      <c r="L5442" s="27">
        <v>12328.18</v>
      </c>
      <c r="M5442" s="36">
        <v>3054.75</v>
      </c>
      <c r="T5442" s="41">
        <v>0</v>
      </c>
      <c r="U5442" s="41">
        <v>0</v>
      </c>
      <c r="V5442" s="42" t="s">
        <v>113</v>
      </c>
      <c r="W5442" s="42">
        <v>0</v>
      </c>
      <c r="X5442" s="42">
        <v>0</v>
      </c>
    </row>
    <row r="5443" spans="1:24">
      <c r="A5443" s="27" t="s">
        <v>10027</v>
      </c>
      <c r="B5443" s="28" t="s">
        <v>5102</v>
      </c>
      <c r="C5443" s="27" t="s">
        <v>10028</v>
      </c>
      <c r="D5443" s="27" t="s">
        <v>5104</v>
      </c>
      <c r="E5443" s="29">
        <v>42457</v>
      </c>
      <c r="F5443" s="27">
        <v>15</v>
      </c>
      <c r="G5443" s="18">
        <v>29841.53</v>
      </c>
      <c r="H5443" s="27">
        <f t="shared" si="168"/>
        <v>0</v>
      </c>
      <c r="I5443" s="18">
        <v>5630.18</v>
      </c>
      <c r="J5443" s="27">
        <v>29841.53</v>
      </c>
      <c r="K5443" s="18">
        <f t="shared" si="169"/>
        <v>0</v>
      </c>
      <c r="L5443" s="27">
        <v>7484.81</v>
      </c>
      <c r="M5443" s="36">
        <v>1854.63</v>
      </c>
      <c r="T5443" s="41">
        <v>0</v>
      </c>
      <c r="U5443" s="41">
        <v>0</v>
      </c>
      <c r="V5443" s="42" t="s">
        <v>113</v>
      </c>
      <c r="W5443" s="42">
        <v>0</v>
      </c>
      <c r="X5443" s="42">
        <v>0</v>
      </c>
    </row>
    <row r="5444" spans="1:24">
      <c r="A5444" s="27" t="s">
        <v>10029</v>
      </c>
      <c r="B5444" s="28" t="s">
        <v>5102</v>
      </c>
      <c r="C5444" s="27" t="s">
        <v>10028</v>
      </c>
      <c r="D5444" s="27" t="s">
        <v>5104</v>
      </c>
      <c r="E5444" s="29">
        <v>42457</v>
      </c>
      <c r="F5444" s="27">
        <v>15</v>
      </c>
      <c r="G5444" s="18">
        <v>73939.31</v>
      </c>
      <c r="H5444" s="27">
        <f t="shared" si="168"/>
        <v>0</v>
      </c>
      <c r="I5444" s="18">
        <v>13950.1</v>
      </c>
      <c r="J5444" s="27">
        <v>73939.31</v>
      </c>
      <c r="K5444" s="18">
        <f t="shared" si="169"/>
        <v>0</v>
      </c>
      <c r="L5444" s="27">
        <v>18545.38</v>
      </c>
      <c r="M5444" s="36">
        <v>4595.28</v>
      </c>
      <c r="T5444" s="41">
        <v>0</v>
      </c>
      <c r="U5444" s="41">
        <v>0</v>
      </c>
      <c r="V5444" s="42" t="s">
        <v>113</v>
      </c>
      <c r="W5444" s="42">
        <v>0</v>
      </c>
      <c r="X5444" s="42">
        <v>0</v>
      </c>
    </row>
    <row r="5445" spans="1:24">
      <c r="A5445" s="27" t="s">
        <v>10030</v>
      </c>
      <c r="B5445" s="28" t="s">
        <v>5102</v>
      </c>
      <c r="C5445" s="27" t="s">
        <v>10031</v>
      </c>
      <c r="D5445" s="27" t="s">
        <v>5104</v>
      </c>
      <c r="E5445" s="29">
        <v>42457</v>
      </c>
      <c r="F5445" s="27">
        <v>15</v>
      </c>
      <c r="G5445" s="18">
        <v>4409.78</v>
      </c>
      <c r="H5445" s="27">
        <f t="shared" si="168"/>
        <v>0</v>
      </c>
      <c r="I5445" s="18">
        <v>831.99</v>
      </c>
      <c r="J5445" s="27">
        <v>4409.78</v>
      </c>
      <c r="K5445" s="18">
        <f t="shared" si="169"/>
        <v>0</v>
      </c>
      <c r="L5445" s="27">
        <v>1106.06</v>
      </c>
      <c r="M5445" s="36">
        <v>274.07</v>
      </c>
      <c r="T5445" s="41">
        <v>0</v>
      </c>
      <c r="U5445" s="41">
        <v>0</v>
      </c>
      <c r="V5445" s="42" t="s">
        <v>113</v>
      </c>
      <c r="W5445" s="42">
        <v>0</v>
      </c>
      <c r="X5445" s="42">
        <v>0</v>
      </c>
    </row>
    <row r="5446" spans="1:24">
      <c r="A5446" s="27" t="s">
        <v>10032</v>
      </c>
      <c r="B5446" s="28" t="s">
        <v>5102</v>
      </c>
      <c r="C5446" s="27" t="s">
        <v>10031</v>
      </c>
      <c r="D5446" s="27" t="s">
        <v>5104</v>
      </c>
      <c r="E5446" s="29">
        <v>42457</v>
      </c>
      <c r="F5446" s="27">
        <v>15</v>
      </c>
      <c r="G5446" s="18">
        <v>4198.3500000000004</v>
      </c>
      <c r="H5446" s="27">
        <f t="shared" ref="H5446:H5509" si="170">IFERROR(IF(ROUND((G5446-I5446)/G5446,2)&lt;=0.05,G5446,0),0)</f>
        <v>0</v>
      </c>
      <c r="I5446" s="18">
        <v>792.1</v>
      </c>
      <c r="J5446" s="27">
        <v>4198.3500000000004</v>
      </c>
      <c r="K5446" s="18">
        <f t="shared" ref="K5446:K5509" si="171">IFERROR(IF(ROUND((J5446-L5446)/J5446,2)&lt;=0.05,J5446,0),0)</f>
        <v>0</v>
      </c>
      <c r="L5446" s="27">
        <v>1053.02</v>
      </c>
      <c r="M5446" s="36">
        <v>260.92</v>
      </c>
      <c r="T5446" s="41">
        <v>0</v>
      </c>
      <c r="U5446" s="41">
        <v>0</v>
      </c>
      <c r="V5446" s="42" t="s">
        <v>113</v>
      </c>
      <c r="W5446" s="42">
        <v>0</v>
      </c>
      <c r="X5446" s="42">
        <v>0</v>
      </c>
    </row>
    <row r="5447" spans="1:24">
      <c r="A5447" s="27" t="s">
        <v>10033</v>
      </c>
      <c r="B5447" s="28" t="s">
        <v>5102</v>
      </c>
      <c r="C5447" s="27" t="s">
        <v>10034</v>
      </c>
      <c r="D5447" s="27" t="s">
        <v>5104</v>
      </c>
      <c r="E5447" s="29">
        <v>42457</v>
      </c>
      <c r="F5447" s="27">
        <v>15</v>
      </c>
      <c r="G5447" s="18">
        <v>71807.44</v>
      </c>
      <c r="H5447" s="27">
        <f t="shared" si="170"/>
        <v>0</v>
      </c>
      <c r="I5447" s="18">
        <v>13547.87</v>
      </c>
      <c r="J5447" s="27">
        <v>71807.44</v>
      </c>
      <c r="K5447" s="18">
        <f t="shared" si="171"/>
        <v>0</v>
      </c>
      <c r="L5447" s="27">
        <v>18010.66</v>
      </c>
      <c r="M5447" s="36">
        <v>4462.79</v>
      </c>
      <c r="T5447" s="41">
        <v>0</v>
      </c>
      <c r="U5447" s="41">
        <v>0</v>
      </c>
      <c r="V5447" s="42" t="s">
        <v>113</v>
      </c>
      <c r="W5447" s="42">
        <v>0</v>
      </c>
      <c r="X5447" s="42">
        <v>0</v>
      </c>
    </row>
    <row r="5448" spans="1:24">
      <c r="A5448" s="27" t="s">
        <v>10035</v>
      </c>
      <c r="B5448" s="28" t="s">
        <v>5102</v>
      </c>
      <c r="C5448" s="27" t="s">
        <v>10034</v>
      </c>
      <c r="D5448" s="27" t="s">
        <v>5104</v>
      </c>
      <c r="E5448" s="29">
        <v>42457</v>
      </c>
      <c r="F5448" s="27">
        <v>15</v>
      </c>
      <c r="G5448" s="18">
        <v>9434.93</v>
      </c>
      <c r="H5448" s="27">
        <f t="shared" si="170"/>
        <v>0</v>
      </c>
      <c r="I5448" s="18">
        <v>1780.09</v>
      </c>
      <c r="J5448" s="27">
        <v>9434.93</v>
      </c>
      <c r="K5448" s="18">
        <f t="shared" si="171"/>
        <v>0</v>
      </c>
      <c r="L5448" s="27">
        <v>2366.46</v>
      </c>
      <c r="M5448" s="36">
        <v>586.37</v>
      </c>
      <c r="T5448" s="41">
        <v>0</v>
      </c>
      <c r="U5448" s="41">
        <v>0</v>
      </c>
      <c r="V5448" s="42" t="s">
        <v>113</v>
      </c>
      <c r="W5448" s="42">
        <v>0</v>
      </c>
      <c r="X5448" s="42">
        <v>0</v>
      </c>
    </row>
    <row r="5449" spans="1:24">
      <c r="A5449" s="27" t="s">
        <v>10036</v>
      </c>
      <c r="B5449" s="28" t="s">
        <v>5102</v>
      </c>
      <c r="C5449" s="27" t="s">
        <v>10037</v>
      </c>
      <c r="D5449" s="27" t="s">
        <v>5104</v>
      </c>
      <c r="E5449" s="29">
        <v>42457</v>
      </c>
      <c r="F5449" s="27">
        <v>15</v>
      </c>
      <c r="G5449" s="18">
        <v>37994.71</v>
      </c>
      <c r="H5449" s="27">
        <f t="shared" si="170"/>
        <v>0</v>
      </c>
      <c r="I5449" s="18">
        <v>7168.45</v>
      </c>
      <c r="J5449" s="27">
        <v>37994.71</v>
      </c>
      <c r="K5449" s="18">
        <f t="shared" si="171"/>
        <v>0</v>
      </c>
      <c r="L5449" s="27">
        <v>9529.7999999999993</v>
      </c>
      <c r="M5449" s="36">
        <v>2361.35</v>
      </c>
      <c r="T5449" s="41">
        <v>0</v>
      </c>
      <c r="U5449" s="41">
        <v>0</v>
      </c>
      <c r="V5449" s="42" t="s">
        <v>113</v>
      </c>
      <c r="W5449" s="42">
        <v>0</v>
      </c>
      <c r="X5449" s="42">
        <v>0</v>
      </c>
    </row>
    <row r="5450" spans="1:24">
      <c r="A5450" s="27" t="s">
        <v>10038</v>
      </c>
      <c r="B5450" s="28" t="s">
        <v>5102</v>
      </c>
      <c r="C5450" s="27" t="s">
        <v>10039</v>
      </c>
      <c r="D5450" s="27" t="s">
        <v>5104</v>
      </c>
      <c r="E5450" s="29">
        <v>42457</v>
      </c>
      <c r="F5450" s="27">
        <v>15</v>
      </c>
      <c r="G5450" s="18">
        <v>146902.14000000001</v>
      </c>
      <c r="H5450" s="27">
        <f t="shared" si="170"/>
        <v>0</v>
      </c>
      <c r="I5450" s="18">
        <v>27715.95</v>
      </c>
      <c r="J5450" s="27">
        <v>146902.14000000001</v>
      </c>
      <c r="K5450" s="18">
        <f t="shared" si="171"/>
        <v>0</v>
      </c>
      <c r="L5450" s="27">
        <v>36845.83</v>
      </c>
      <c r="M5450" s="36">
        <v>9129.8799999999992</v>
      </c>
      <c r="T5450" s="41">
        <v>0</v>
      </c>
      <c r="U5450" s="41">
        <v>0</v>
      </c>
      <c r="V5450" s="42" t="s">
        <v>113</v>
      </c>
      <c r="W5450" s="42">
        <v>0</v>
      </c>
      <c r="X5450" s="42">
        <v>0</v>
      </c>
    </row>
    <row r="5451" spans="1:24">
      <c r="A5451" s="27" t="s">
        <v>10040</v>
      </c>
      <c r="B5451" s="28" t="s">
        <v>5102</v>
      </c>
      <c r="C5451" s="27" t="s">
        <v>10039</v>
      </c>
      <c r="D5451" s="27" t="s">
        <v>5104</v>
      </c>
      <c r="E5451" s="29">
        <v>42457</v>
      </c>
      <c r="F5451" s="27">
        <v>15</v>
      </c>
      <c r="G5451" s="18">
        <v>1291.44</v>
      </c>
      <c r="H5451" s="27">
        <f t="shared" si="170"/>
        <v>0</v>
      </c>
      <c r="I5451" s="18">
        <v>243.65</v>
      </c>
      <c r="J5451" s="27">
        <v>1291.44</v>
      </c>
      <c r="K5451" s="18">
        <f t="shared" si="171"/>
        <v>0</v>
      </c>
      <c r="L5451" s="27">
        <v>323.91000000000003</v>
      </c>
      <c r="M5451" s="36">
        <v>80.260000000000005</v>
      </c>
      <c r="T5451" s="41">
        <v>0</v>
      </c>
      <c r="U5451" s="41">
        <v>0</v>
      </c>
      <c r="V5451" s="42" t="s">
        <v>113</v>
      </c>
      <c r="W5451" s="42">
        <v>0</v>
      </c>
      <c r="X5451" s="42">
        <v>0</v>
      </c>
    </row>
    <row r="5452" spans="1:24">
      <c r="A5452" s="27" t="s">
        <v>10041</v>
      </c>
      <c r="B5452" s="28" t="s">
        <v>5102</v>
      </c>
      <c r="C5452" s="27" t="s">
        <v>10042</v>
      </c>
      <c r="D5452" s="27" t="s">
        <v>5104</v>
      </c>
      <c r="E5452" s="29">
        <v>42457</v>
      </c>
      <c r="F5452" s="27">
        <v>15</v>
      </c>
      <c r="G5452" s="18">
        <v>89940.07</v>
      </c>
      <c r="H5452" s="27">
        <f t="shared" si="170"/>
        <v>0</v>
      </c>
      <c r="I5452" s="18">
        <v>16968.95</v>
      </c>
      <c r="J5452" s="27">
        <v>89940.07</v>
      </c>
      <c r="K5452" s="18">
        <f t="shared" si="171"/>
        <v>0</v>
      </c>
      <c r="L5452" s="27">
        <v>22558.67</v>
      </c>
      <c r="M5452" s="36">
        <v>5589.72</v>
      </c>
      <c r="T5452" s="41">
        <v>0</v>
      </c>
      <c r="U5452" s="41">
        <v>0</v>
      </c>
      <c r="V5452" s="42" t="s">
        <v>113</v>
      </c>
      <c r="W5452" s="42">
        <v>0</v>
      </c>
      <c r="X5452" s="42">
        <v>0</v>
      </c>
    </row>
    <row r="5453" spans="1:24">
      <c r="A5453" s="27" t="s">
        <v>10043</v>
      </c>
      <c r="B5453" s="28" t="s">
        <v>5102</v>
      </c>
      <c r="C5453" s="27" t="s">
        <v>10042</v>
      </c>
      <c r="D5453" s="27" t="s">
        <v>5104</v>
      </c>
      <c r="E5453" s="29">
        <v>42457</v>
      </c>
      <c r="F5453" s="27">
        <v>15</v>
      </c>
      <c r="G5453" s="18">
        <v>7241.33</v>
      </c>
      <c r="H5453" s="27">
        <f t="shared" si="170"/>
        <v>0</v>
      </c>
      <c r="I5453" s="18">
        <v>1366.21</v>
      </c>
      <c r="J5453" s="27">
        <v>7241.33</v>
      </c>
      <c r="K5453" s="18">
        <f t="shared" si="171"/>
        <v>0</v>
      </c>
      <c r="L5453" s="27">
        <v>1816.25</v>
      </c>
      <c r="M5453" s="36">
        <v>450.04</v>
      </c>
      <c r="T5453" s="41">
        <v>0</v>
      </c>
      <c r="U5453" s="41">
        <v>0</v>
      </c>
      <c r="V5453" s="42" t="s">
        <v>113</v>
      </c>
      <c r="W5453" s="42">
        <v>0</v>
      </c>
      <c r="X5453" s="42">
        <v>0</v>
      </c>
    </row>
    <row r="5454" spans="1:24">
      <c r="A5454" s="27" t="s">
        <v>10044</v>
      </c>
      <c r="B5454" s="28" t="s">
        <v>5102</v>
      </c>
      <c r="C5454" s="27" t="s">
        <v>10045</v>
      </c>
      <c r="D5454" s="27" t="s">
        <v>5104</v>
      </c>
      <c r="E5454" s="29">
        <v>42457</v>
      </c>
      <c r="F5454" s="27">
        <v>15</v>
      </c>
      <c r="G5454" s="18">
        <v>60682.85</v>
      </c>
      <c r="H5454" s="27">
        <f t="shared" si="170"/>
        <v>0</v>
      </c>
      <c r="I5454" s="18">
        <v>11449</v>
      </c>
      <c r="J5454" s="27">
        <v>60682.85</v>
      </c>
      <c r="K5454" s="18">
        <f t="shared" si="171"/>
        <v>0</v>
      </c>
      <c r="L5454" s="27">
        <v>15220.4</v>
      </c>
      <c r="M5454" s="36">
        <v>3771.4</v>
      </c>
      <c r="T5454" s="41">
        <v>0</v>
      </c>
      <c r="U5454" s="41">
        <v>0</v>
      </c>
      <c r="V5454" s="42" t="s">
        <v>113</v>
      </c>
      <c r="W5454" s="42">
        <v>0</v>
      </c>
      <c r="X5454" s="42">
        <v>0</v>
      </c>
    </row>
    <row r="5455" spans="1:24">
      <c r="A5455" s="27" t="s">
        <v>10046</v>
      </c>
      <c r="B5455" s="28" t="s">
        <v>5102</v>
      </c>
      <c r="C5455" s="27" t="s">
        <v>10045</v>
      </c>
      <c r="D5455" s="27" t="s">
        <v>5104</v>
      </c>
      <c r="E5455" s="29">
        <v>42457</v>
      </c>
      <c r="F5455" s="27">
        <v>15</v>
      </c>
      <c r="G5455" s="18">
        <v>14027.98</v>
      </c>
      <c r="H5455" s="27">
        <f t="shared" si="170"/>
        <v>0</v>
      </c>
      <c r="I5455" s="18">
        <v>2646.64</v>
      </c>
      <c r="J5455" s="27">
        <v>14027.98</v>
      </c>
      <c r="K5455" s="18">
        <f t="shared" si="171"/>
        <v>0</v>
      </c>
      <c r="L5455" s="27">
        <v>3518.47</v>
      </c>
      <c r="M5455" s="36">
        <v>871.83</v>
      </c>
      <c r="T5455" s="41">
        <v>0</v>
      </c>
      <c r="U5455" s="41">
        <v>0</v>
      </c>
      <c r="V5455" s="42" t="s">
        <v>113</v>
      </c>
      <c r="W5455" s="42">
        <v>0</v>
      </c>
      <c r="X5455" s="42">
        <v>0</v>
      </c>
    </row>
    <row r="5456" spans="1:24">
      <c r="A5456" s="27" t="s">
        <v>10047</v>
      </c>
      <c r="B5456" s="28" t="s">
        <v>5102</v>
      </c>
      <c r="C5456" s="27" t="s">
        <v>10048</v>
      </c>
      <c r="D5456" s="27" t="s">
        <v>5104</v>
      </c>
      <c r="E5456" s="29">
        <v>42457</v>
      </c>
      <c r="F5456" s="27">
        <v>15</v>
      </c>
      <c r="G5456" s="18">
        <v>36357.17</v>
      </c>
      <c r="H5456" s="27">
        <f t="shared" si="170"/>
        <v>0</v>
      </c>
      <c r="I5456" s="18">
        <v>6859.48</v>
      </c>
      <c r="J5456" s="27">
        <v>36357.17</v>
      </c>
      <c r="K5456" s="18">
        <f t="shared" si="171"/>
        <v>0</v>
      </c>
      <c r="L5456" s="27">
        <v>9119.06</v>
      </c>
      <c r="M5456" s="36">
        <v>2259.58</v>
      </c>
      <c r="T5456" s="41">
        <v>0</v>
      </c>
      <c r="U5456" s="41">
        <v>0</v>
      </c>
      <c r="V5456" s="42" t="s">
        <v>113</v>
      </c>
      <c r="W5456" s="42">
        <v>0</v>
      </c>
      <c r="X5456" s="42">
        <v>0</v>
      </c>
    </row>
    <row r="5457" spans="1:24">
      <c r="A5457" s="27" t="s">
        <v>10049</v>
      </c>
      <c r="B5457" s="28" t="s">
        <v>5102</v>
      </c>
      <c r="C5457" s="27" t="s">
        <v>10050</v>
      </c>
      <c r="D5457" s="27" t="s">
        <v>5104</v>
      </c>
      <c r="E5457" s="29">
        <v>42457</v>
      </c>
      <c r="F5457" s="27">
        <v>15</v>
      </c>
      <c r="G5457" s="18">
        <v>61336.74</v>
      </c>
      <c r="H5457" s="27">
        <f t="shared" si="170"/>
        <v>0</v>
      </c>
      <c r="I5457" s="18">
        <v>11572.36</v>
      </c>
      <c r="J5457" s="27">
        <v>61336.74</v>
      </c>
      <c r="K5457" s="18">
        <f t="shared" si="171"/>
        <v>0</v>
      </c>
      <c r="L5457" s="27">
        <v>15384.4</v>
      </c>
      <c r="M5457" s="36">
        <v>3812.04</v>
      </c>
      <c r="T5457" s="41">
        <v>0</v>
      </c>
      <c r="U5457" s="41">
        <v>0</v>
      </c>
      <c r="V5457" s="42" t="s">
        <v>113</v>
      </c>
      <c r="W5457" s="42">
        <v>0</v>
      </c>
      <c r="X5457" s="42">
        <v>0</v>
      </c>
    </row>
    <row r="5458" spans="1:24">
      <c r="A5458" s="27" t="s">
        <v>10051</v>
      </c>
      <c r="B5458" s="28" t="s">
        <v>5102</v>
      </c>
      <c r="C5458" s="27" t="s">
        <v>10050</v>
      </c>
      <c r="D5458" s="27" t="s">
        <v>5104</v>
      </c>
      <c r="E5458" s="29">
        <v>42457</v>
      </c>
      <c r="F5458" s="27">
        <v>15</v>
      </c>
      <c r="G5458" s="18">
        <v>24327.17</v>
      </c>
      <c r="H5458" s="27">
        <f t="shared" si="170"/>
        <v>0</v>
      </c>
      <c r="I5458" s="18">
        <v>4589.78</v>
      </c>
      <c r="J5458" s="27">
        <v>24327.17</v>
      </c>
      <c r="K5458" s="18">
        <f t="shared" si="171"/>
        <v>0</v>
      </c>
      <c r="L5458" s="27">
        <v>6101.7</v>
      </c>
      <c r="M5458" s="36">
        <v>1511.92</v>
      </c>
      <c r="T5458" s="41">
        <v>0</v>
      </c>
      <c r="U5458" s="41">
        <v>0</v>
      </c>
      <c r="V5458" s="42" t="s">
        <v>113</v>
      </c>
      <c r="W5458" s="42">
        <v>0</v>
      </c>
      <c r="X5458" s="42">
        <v>0</v>
      </c>
    </row>
    <row r="5459" spans="1:24">
      <c r="A5459" s="27" t="s">
        <v>10052</v>
      </c>
      <c r="B5459" s="28" t="s">
        <v>5102</v>
      </c>
      <c r="C5459" s="27" t="s">
        <v>10053</v>
      </c>
      <c r="D5459" s="27" t="s">
        <v>5104</v>
      </c>
      <c r="E5459" s="29">
        <v>42457</v>
      </c>
      <c r="F5459" s="27">
        <v>15</v>
      </c>
      <c r="G5459" s="18">
        <v>48135.5</v>
      </c>
      <c r="H5459" s="27">
        <f t="shared" si="170"/>
        <v>0</v>
      </c>
      <c r="I5459" s="18">
        <v>9081.69</v>
      </c>
      <c r="J5459" s="27">
        <v>48135.5</v>
      </c>
      <c r="K5459" s="18">
        <f t="shared" si="171"/>
        <v>0</v>
      </c>
      <c r="L5459" s="27">
        <v>12073.28</v>
      </c>
      <c r="M5459" s="36">
        <v>2991.59</v>
      </c>
      <c r="T5459" s="41">
        <v>0</v>
      </c>
      <c r="U5459" s="41">
        <v>0</v>
      </c>
      <c r="V5459" s="42" t="s">
        <v>113</v>
      </c>
      <c r="W5459" s="42">
        <v>0</v>
      </c>
      <c r="X5459" s="42">
        <v>0</v>
      </c>
    </row>
    <row r="5460" spans="1:24">
      <c r="A5460" s="27" t="s">
        <v>10054</v>
      </c>
      <c r="B5460" s="28" t="s">
        <v>5102</v>
      </c>
      <c r="C5460" s="27" t="s">
        <v>10055</v>
      </c>
      <c r="D5460" s="27" t="s">
        <v>5104</v>
      </c>
      <c r="E5460" s="29">
        <v>42457</v>
      </c>
      <c r="F5460" s="27">
        <v>15</v>
      </c>
      <c r="G5460" s="18">
        <v>95099.93</v>
      </c>
      <c r="H5460" s="27">
        <f t="shared" si="170"/>
        <v>0</v>
      </c>
      <c r="I5460" s="18">
        <v>17942.46</v>
      </c>
      <c r="J5460" s="27">
        <v>95099.93</v>
      </c>
      <c r="K5460" s="18">
        <f t="shared" si="171"/>
        <v>0</v>
      </c>
      <c r="L5460" s="27">
        <v>23852.87</v>
      </c>
      <c r="M5460" s="36">
        <v>5910.41</v>
      </c>
      <c r="T5460" s="41">
        <v>0</v>
      </c>
      <c r="U5460" s="41">
        <v>0</v>
      </c>
      <c r="V5460" s="42" t="s">
        <v>113</v>
      </c>
      <c r="W5460" s="42">
        <v>0</v>
      </c>
      <c r="X5460" s="42">
        <v>0</v>
      </c>
    </row>
    <row r="5461" spans="1:24">
      <c r="A5461" s="27" t="s">
        <v>10056</v>
      </c>
      <c r="B5461" s="28" t="s">
        <v>5102</v>
      </c>
      <c r="C5461" s="27" t="s">
        <v>10057</v>
      </c>
      <c r="D5461" s="27" t="s">
        <v>5104</v>
      </c>
      <c r="E5461" s="29">
        <v>42457</v>
      </c>
      <c r="F5461" s="27">
        <v>15</v>
      </c>
      <c r="G5461" s="18">
        <v>9268.23</v>
      </c>
      <c r="H5461" s="27">
        <f t="shared" si="170"/>
        <v>0</v>
      </c>
      <c r="I5461" s="18">
        <v>1748.63</v>
      </c>
      <c r="J5461" s="27">
        <v>9268.23</v>
      </c>
      <c r="K5461" s="18">
        <f t="shared" si="171"/>
        <v>0</v>
      </c>
      <c r="L5461" s="27">
        <v>2324.65</v>
      </c>
      <c r="M5461" s="36">
        <v>576.02</v>
      </c>
      <c r="T5461" s="41">
        <v>0</v>
      </c>
      <c r="U5461" s="41">
        <v>0</v>
      </c>
      <c r="V5461" s="42" t="s">
        <v>113</v>
      </c>
      <c r="W5461" s="42">
        <v>0</v>
      </c>
      <c r="X5461" s="42">
        <v>0</v>
      </c>
    </row>
    <row r="5462" spans="1:24">
      <c r="A5462" s="27" t="s">
        <v>10058</v>
      </c>
      <c r="B5462" s="28" t="s">
        <v>5102</v>
      </c>
      <c r="C5462" s="27" t="s">
        <v>10057</v>
      </c>
      <c r="D5462" s="27" t="s">
        <v>5104</v>
      </c>
      <c r="E5462" s="29">
        <v>42457</v>
      </c>
      <c r="F5462" s="27">
        <v>15</v>
      </c>
      <c r="G5462" s="18">
        <v>73459.240000000005</v>
      </c>
      <c r="H5462" s="27">
        <f t="shared" si="170"/>
        <v>0</v>
      </c>
      <c r="I5462" s="18">
        <v>13859.52</v>
      </c>
      <c r="J5462" s="27">
        <v>73459.240000000005</v>
      </c>
      <c r="K5462" s="18">
        <f t="shared" si="171"/>
        <v>0</v>
      </c>
      <c r="L5462" s="27">
        <v>18424.97</v>
      </c>
      <c r="M5462" s="36">
        <v>4565.45</v>
      </c>
      <c r="T5462" s="41">
        <v>0</v>
      </c>
      <c r="U5462" s="41">
        <v>0</v>
      </c>
      <c r="V5462" s="42" t="s">
        <v>113</v>
      </c>
      <c r="W5462" s="42">
        <v>0</v>
      </c>
      <c r="X5462" s="42">
        <v>0</v>
      </c>
    </row>
    <row r="5463" spans="1:24">
      <c r="A5463" s="27" t="s">
        <v>10059</v>
      </c>
      <c r="B5463" s="28" t="s">
        <v>5102</v>
      </c>
      <c r="C5463" s="27" t="s">
        <v>10060</v>
      </c>
      <c r="D5463" s="27" t="s">
        <v>5104</v>
      </c>
      <c r="E5463" s="29">
        <v>42457</v>
      </c>
      <c r="F5463" s="27">
        <v>15</v>
      </c>
      <c r="G5463" s="18">
        <v>115294.96</v>
      </c>
      <c r="H5463" s="27">
        <f t="shared" si="170"/>
        <v>0</v>
      </c>
      <c r="I5463" s="18">
        <v>21752.65</v>
      </c>
      <c r="J5463" s="27">
        <v>115294.96</v>
      </c>
      <c r="K5463" s="18">
        <f t="shared" si="171"/>
        <v>0</v>
      </c>
      <c r="L5463" s="27">
        <v>28918.17</v>
      </c>
      <c r="M5463" s="36">
        <v>7165.52</v>
      </c>
      <c r="T5463" s="41">
        <v>0</v>
      </c>
      <c r="U5463" s="41">
        <v>0</v>
      </c>
      <c r="V5463" s="42" t="s">
        <v>113</v>
      </c>
      <c r="W5463" s="42">
        <v>0</v>
      </c>
      <c r="X5463" s="42">
        <v>0</v>
      </c>
    </row>
    <row r="5464" spans="1:24">
      <c r="A5464" s="27" t="s">
        <v>10061</v>
      </c>
      <c r="B5464" s="28" t="s">
        <v>5102</v>
      </c>
      <c r="C5464" s="27" t="s">
        <v>10060</v>
      </c>
      <c r="D5464" s="27" t="s">
        <v>5104</v>
      </c>
      <c r="E5464" s="29">
        <v>42457</v>
      </c>
      <c r="F5464" s="27">
        <v>15</v>
      </c>
      <c r="G5464" s="18">
        <v>3346.86</v>
      </c>
      <c r="H5464" s="27">
        <f t="shared" si="170"/>
        <v>0</v>
      </c>
      <c r="I5464" s="18">
        <v>631.45000000000005</v>
      </c>
      <c r="J5464" s="27">
        <v>3346.86</v>
      </c>
      <c r="K5464" s="18">
        <f t="shared" si="171"/>
        <v>0</v>
      </c>
      <c r="L5464" s="27">
        <v>839.46</v>
      </c>
      <c r="M5464" s="36">
        <v>208.01</v>
      </c>
      <c r="T5464" s="41">
        <v>0</v>
      </c>
      <c r="U5464" s="41">
        <v>0</v>
      </c>
      <c r="V5464" s="42" t="s">
        <v>113</v>
      </c>
      <c r="W5464" s="42">
        <v>0</v>
      </c>
      <c r="X5464" s="42">
        <v>0</v>
      </c>
    </row>
    <row r="5465" spans="1:24">
      <c r="A5465" s="27" t="s">
        <v>10062</v>
      </c>
      <c r="B5465" s="28" t="s">
        <v>5102</v>
      </c>
      <c r="C5465" s="27" t="s">
        <v>10063</v>
      </c>
      <c r="D5465" s="27" t="s">
        <v>5104</v>
      </c>
      <c r="E5465" s="29">
        <v>42457</v>
      </c>
      <c r="F5465" s="27">
        <v>15</v>
      </c>
      <c r="G5465" s="18">
        <v>85219.62</v>
      </c>
      <c r="H5465" s="27">
        <f t="shared" si="170"/>
        <v>0</v>
      </c>
      <c r="I5465" s="18">
        <v>16078.34</v>
      </c>
      <c r="J5465" s="27">
        <v>85219.62</v>
      </c>
      <c r="K5465" s="18">
        <f t="shared" si="171"/>
        <v>0</v>
      </c>
      <c r="L5465" s="27">
        <v>21374.69</v>
      </c>
      <c r="M5465" s="36">
        <v>5296.35</v>
      </c>
      <c r="T5465" s="41">
        <v>0</v>
      </c>
      <c r="U5465" s="41">
        <v>0</v>
      </c>
      <c r="V5465" s="42" t="s">
        <v>113</v>
      </c>
      <c r="W5465" s="42">
        <v>0</v>
      </c>
      <c r="X5465" s="42">
        <v>0</v>
      </c>
    </row>
    <row r="5466" spans="1:24">
      <c r="A5466" s="27" t="s">
        <v>10064</v>
      </c>
      <c r="B5466" s="28" t="s">
        <v>5102</v>
      </c>
      <c r="C5466" s="27" t="s">
        <v>10065</v>
      </c>
      <c r="D5466" s="27" t="s">
        <v>5104</v>
      </c>
      <c r="E5466" s="29">
        <v>42457</v>
      </c>
      <c r="F5466" s="27">
        <v>15</v>
      </c>
      <c r="G5466" s="18">
        <v>40537.61</v>
      </c>
      <c r="H5466" s="27">
        <f t="shared" si="170"/>
        <v>0</v>
      </c>
      <c r="I5466" s="18">
        <v>7648.22</v>
      </c>
      <c r="J5466" s="27">
        <v>40537.61</v>
      </c>
      <c r="K5466" s="18">
        <f t="shared" si="171"/>
        <v>0</v>
      </c>
      <c r="L5466" s="27">
        <v>10167.61</v>
      </c>
      <c r="M5466" s="36">
        <v>2519.39</v>
      </c>
      <c r="T5466" s="41">
        <v>0</v>
      </c>
      <c r="U5466" s="41">
        <v>0</v>
      </c>
      <c r="V5466" s="42" t="s">
        <v>113</v>
      </c>
      <c r="W5466" s="42">
        <v>0</v>
      </c>
      <c r="X5466" s="42">
        <v>0</v>
      </c>
    </row>
    <row r="5467" spans="1:24">
      <c r="A5467" s="27" t="s">
        <v>10066</v>
      </c>
      <c r="B5467" s="28" t="s">
        <v>5102</v>
      </c>
      <c r="C5467" s="27" t="s">
        <v>10067</v>
      </c>
      <c r="D5467" s="27" t="s">
        <v>5104</v>
      </c>
      <c r="E5467" s="29">
        <v>42457</v>
      </c>
      <c r="F5467" s="27">
        <v>15</v>
      </c>
      <c r="G5467" s="18">
        <v>131844.49</v>
      </c>
      <c r="H5467" s="27">
        <f t="shared" si="170"/>
        <v>0</v>
      </c>
      <c r="I5467" s="18">
        <v>24875.040000000001</v>
      </c>
      <c r="J5467" s="27">
        <v>131844.49</v>
      </c>
      <c r="K5467" s="18">
        <f t="shared" si="171"/>
        <v>0</v>
      </c>
      <c r="L5467" s="27">
        <v>33069.1</v>
      </c>
      <c r="M5467" s="36">
        <v>8194.06</v>
      </c>
      <c r="T5467" s="41">
        <v>0</v>
      </c>
      <c r="U5467" s="41">
        <v>0</v>
      </c>
      <c r="V5467" s="42" t="s">
        <v>113</v>
      </c>
      <c r="W5467" s="42">
        <v>0</v>
      </c>
      <c r="X5467" s="42">
        <v>0</v>
      </c>
    </row>
    <row r="5468" spans="1:24">
      <c r="A5468" s="27" t="s">
        <v>10068</v>
      </c>
      <c r="B5468" s="28" t="s">
        <v>5102</v>
      </c>
      <c r="C5468" s="27" t="s">
        <v>10067</v>
      </c>
      <c r="D5468" s="27" t="s">
        <v>5104</v>
      </c>
      <c r="E5468" s="29">
        <v>42457</v>
      </c>
      <c r="F5468" s="27">
        <v>15</v>
      </c>
      <c r="G5468" s="18">
        <v>23980.1</v>
      </c>
      <c r="H5468" s="27">
        <f t="shared" si="170"/>
        <v>0</v>
      </c>
      <c r="I5468" s="18">
        <v>4524.3100000000004</v>
      </c>
      <c r="J5468" s="27">
        <v>23980.1</v>
      </c>
      <c r="K5468" s="18">
        <f t="shared" si="171"/>
        <v>0</v>
      </c>
      <c r="L5468" s="27">
        <v>6014.66</v>
      </c>
      <c r="M5468" s="36">
        <v>1490.35</v>
      </c>
      <c r="T5468" s="41">
        <v>0</v>
      </c>
      <c r="U5468" s="41">
        <v>0</v>
      </c>
      <c r="V5468" s="42" t="s">
        <v>113</v>
      </c>
      <c r="W5468" s="42">
        <v>0</v>
      </c>
      <c r="X5468" s="42">
        <v>0</v>
      </c>
    </row>
    <row r="5469" spans="1:24">
      <c r="A5469" s="27" t="s">
        <v>10069</v>
      </c>
      <c r="B5469" s="28" t="s">
        <v>5102</v>
      </c>
      <c r="C5469" s="27" t="s">
        <v>10070</v>
      </c>
      <c r="D5469" s="27" t="s">
        <v>5104</v>
      </c>
      <c r="E5469" s="29">
        <v>42457</v>
      </c>
      <c r="F5469" s="27">
        <v>15</v>
      </c>
      <c r="G5469" s="18">
        <v>146693.71</v>
      </c>
      <c r="H5469" s="27">
        <f t="shared" si="170"/>
        <v>0</v>
      </c>
      <c r="I5469" s="18">
        <v>27676.63</v>
      </c>
      <c r="J5469" s="27">
        <v>146693.71</v>
      </c>
      <c r="K5469" s="18">
        <f t="shared" si="171"/>
        <v>0</v>
      </c>
      <c r="L5469" s="27">
        <v>36793.56</v>
      </c>
      <c r="M5469" s="36">
        <v>9116.93</v>
      </c>
      <c r="T5469" s="41">
        <v>0</v>
      </c>
      <c r="U5469" s="41">
        <v>0</v>
      </c>
      <c r="V5469" s="42" t="s">
        <v>113</v>
      </c>
      <c r="W5469" s="42">
        <v>0</v>
      </c>
      <c r="X5469" s="42">
        <v>0</v>
      </c>
    </row>
    <row r="5470" spans="1:24">
      <c r="A5470" s="27" t="s">
        <v>10071</v>
      </c>
      <c r="B5470" s="28" t="s">
        <v>5102</v>
      </c>
      <c r="C5470" s="27" t="s">
        <v>10070</v>
      </c>
      <c r="D5470" s="27" t="s">
        <v>5104</v>
      </c>
      <c r="E5470" s="29">
        <v>42457</v>
      </c>
      <c r="F5470" s="27">
        <v>15</v>
      </c>
      <c r="G5470" s="18">
        <v>1014.54</v>
      </c>
      <c r="H5470" s="27">
        <f t="shared" si="170"/>
        <v>0</v>
      </c>
      <c r="I5470" s="18">
        <v>191.4</v>
      </c>
      <c r="J5470" s="27">
        <v>1014.54</v>
      </c>
      <c r="K5470" s="18">
        <f t="shared" si="171"/>
        <v>0</v>
      </c>
      <c r="L5470" s="27">
        <v>254.45</v>
      </c>
      <c r="M5470" s="36">
        <v>63.05</v>
      </c>
      <c r="T5470" s="41">
        <v>0</v>
      </c>
      <c r="U5470" s="41">
        <v>0</v>
      </c>
      <c r="V5470" s="42" t="s">
        <v>113</v>
      </c>
      <c r="W5470" s="42">
        <v>0</v>
      </c>
      <c r="X5470" s="42">
        <v>0</v>
      </c>
    </row>
    <row r="5471" spans="1:24">
      <c r="A5471" s="27" t="s">
        <v>10072</v>
      </c>
      <c r="B5471" s="28" t="s">
        <v>5102</v>
      </c>
      <c r="C5471" s="27" t="s">
        <v>10073</v>
      </c>
      <c r="D5471" s="27" t="s">
        <v>5104</v>
      </c>
      <c r="E5471" s="29">
        <v>42457</v>
      </c>
      <c r="F5471" s="27">
        <v>15</v>
      </c>
      <c r="G5471" s="18">
        <v>200336.97</v>
      </c>
      <c r="H5471" s="27">
        <f t="shared" si="170"/>
        <v>0</v>
      </c>
      <c r="I5471" s="18">
        <v>37797.47</v>
      </c>
      <c r="J5471" s="27">
        <v>200336.97</v>
      </c>
      <c r="K5471" s="18">
        <f t="shared" si="171"/>
        <v>0</v>
      </c>
      <c r="L5471" s="27">
        <v>50248.3</v>
      </c>
      <c r="M5471" s="36">
        <v>12450.83</v>
      </c>
      <c r="T5471" s="41">
        <v>0</v>
      </c>
      <c r="U5471" s="41">
        <v>0</v>
      </c>
      <c r="V5471" s="42" t="s">
        <v>113</v>
      </c>
      <c r="W5471" s="42">
        <v>0</v>
      </c>
      <c r="X5471" s="42">
        <v>0</v>
      </c>
    </row>
    <row r="5472" spans="1:24">
      <c r="A5472" s="27" t="s">
        <v>10074</v>
      </c>
      <c r="B5472" s="28" t="s">
        <v>5102</v>
      </c>
      <c r="C5472" s="27" t="s">
        <v>10073</v>
      </c>
      <c r="D5472" s="27" t="s">
        <v>5104</v>
      </c>
      <c r="E5472" s="29">
        <v>42457</v>
      </c>
      <c r="F5472" s="27">
        <v>15</v>
      </c>
      <c r="G5472" s="18">
        <v>14067.25</v>
      </c>
      <c r="H5472" s="27">
        <f t="shared" si="170"/>
        <v>0</v>
      </c>
      <c r="I5472" s="18">
        <v>2654.06</v>
      </c>
      <c r="J5472" s="27">
        <v>14067.25</v>
      </c>
      <c r="K5472" s="18">
        <f t="shared" si="171"/>
        <v>0</v>
      </c>
      <c r="L5472" s="27">
        <v>3528.33</v>
      </c>
      <c r="M5472" s="36">
        <v>874.27</v>
      </c>
      <c r="T5472" s="41">
        <v>0</v>
      </c>
      <c r="U5472" s="41">
        <v>0</v>
      </c>
      <c r="V5472" s="42" t="s">
        <v>113</v>
      </c>
      <c r="W5472" s="42">
        <v>0</v>
      </c>
      <c r="X5472" s="42">
        <v>0</v>
      </c>
    </row>
    <row r="5473" spans="1:24">
      <c r="A5473" s="27" t="s">
        <v>10075</v>
      </c>
      <c r="B5473" s="28" t="s">
        <v>5102</v>
      </c>
      <c r="C5473" s="27" t="s">
        <v>10076</v>
      </c>
      <c r="D5473" s="27" t="s">
        <v>5104</v>
      </c>
      <c r="E5473" s="29">
        <v>42457</v>
      </c>
      <c r="F5473" s="27">
        <v>15</v>
      </c>
      <c r="G5473" s="18">
        <v>84565.16</v>
      </c>
      <c r="H5473" s="27">
        <f t="shared" si="170"/>
        <v>0</v>
      </c>
      <c r="I5473" s="18">
        <v>15954.87</v>
      </c>
      <c r="J5473" s="27">
        <v>84565.16</v>
      </c>
      <c r="K5473" s="18">
        <f t="shared" si="171"/>
        <v>0</v>
      </c>
      <c r="L5473" s="27">
        <v>21210.55</v>
      </c>
      <c r="M5473" s="36">
        <v>5255.68</v>
      </c>
      <c r="T5473" s="41">
        <v>0</v>
      </c>
      <c r="U5473" s="41">
        <v>0</v>
      </c>
      <c r="V5473" s="42" t="s">
        <v>113</v>
      </c>
      <c r="W5473" s="42">
        <v>0</v>
      </c>
      <c r="X5473" s="42">
        <v>0</v>
      </c>
    </row>
    <row r="5474" spans="1:24">
      <c r="A5474" s="27" t="s">
        <v>10077</v>
      </c>
      <c r="B5474" s="28" t="s">
        <v>5102</v>
      </c>
      <c r="C5474" s="27" t="s">
        <v>10078</v>
      </c>
      <c r="D5474" s="27" t="s">
        <v>5104</v>
      </c>
      <c r="E5474" s="29">
        <v>42457</v>
      </c>
      <c r="F5474" s="27">
        <v>15</v>
      </c>
      <c r="G5474" s="18">
        <v>117899.43</v>
      </c>
      <c r="H5474" s="27">
        <f t="shared" si="170"/>
        <v>0</v>
      </c>
      <c r="I5474" s="18">
        <v>22244.02</v>
      </c>
      <c r="J5474" s="27">
        <v>117899.43</v>
      </c>
      <c r="K5474" s="18">
        <f t="shared" si="171"/>
        <v>0</v>
      </c>
      <c r="L5474" s="27">
        <v>29571.4</v>
      </c>
      <c r="M5474" s="36">
        <v>7327.38</v>
      </c>
      <c r="T5474" s="41">
        <v>0</v>
      </c>
      <c r="U5474" s="41">
        <v>0</v>
      </c>
      <c r="V5474" s="42" t="s">
        <v>113</v>
      </c>
      <c r="W5474" s="42">
        <v>0</v>
      </c>
      <c r="X5474" s="42">
        <v>0</v>
      </c>
    </row>
    <row r="5475" spans="1:24">
      <c r="A5475" s="27" t="s">
        <v>10079</v>
      </c>
      <c r="B5475" s="28" t="s">
        <v>5102</v>
      </c>
      <c r="C5475" s="27" t="s">
        <v>10080</v>
      </c>
      <c r="D5475" s="27" t="s">
        <v>5104</v>
      </c>
      <c r="E5475" s="29">
        <v>42457</v>
      </c>
      <c r="F5475" s="27">
        <v>15</v>
      </c>
      <c r="G5475" s="18">
        <v>78669.820000000007</v>
      </c>
      <c r="H5475" s="27">
        <f t="shared" si="170"/>
        <v>0</v>
      </c>
      <c r="I5475" s="18">
        <v>14842.59</v>
      </c>
      <c r="J5475" s="27">
        <v>78669.820000000007</v>
      </c>
      <c r="K5475" s="18">
        <f t="shared" si="171"/>
        <v>0</v>
      </c>
      <c r="L5475" s="27">
        <v>19731.87</v>
      </c>
      <c r="M5475" s="36">
        <v>4889.28</v>
      </c>
      <c r="T5475" s="41">
        <v>0</v>
      </c>
      <c r="U5475" s="41">
        <v>0</v>
      </c>
      <c r="V5475" s="42" t="s">
        <v>113</v>
      </c>
      <c r="W5475" s="42">
        <v>0</v>
      </c>
      <c r="X5475" s="42">
        <v>0</v>
      </c>
    </row>
    <row r="5476" spans="1:24">
      <c r="A5476" s="27" t="s">
        <v>10081</v>
      </c>
      <c r="B5476" s="28" t="s">
        <v>5102</v>
      </c>
      <c r="C5476" s="27" t="s">
        <v>10082</v>
      </c>
      <c r="D5476" s="27" t="s">
        <v>5104</v>
      </c>
      <c r="E5476" s="29">
        <v>42457</v>
      </c>
      <c r="F5476" s="27">
        <v>15</v>
      </c>
      <c r="G5476" s="18">
        <v>42700.34</v>
      </c>
      <c r="H5476" s="27">
        <f t="shared" si="170"/>
        <v>0</v>
      </c>
      <c r="I5476" s="18">
        <v>8056.25</v>
      </c>
      <c r="J5476" s="27">
        <v>42700.34</v>
      </c>
      <c r="K5476" s="18">
        <f t="shared" si="171"/>
        <v>0</v>
      </c>
      <c r="L5476" s="27">
        <v>10710.05</v>
      </c>
      <c r="M5476" s="36">
        <v>2653.8</v>
      </c>
      <c r="T5476" s="41">
        <v>0</v>
      </c>
      <c r="U5476" s="41">
        <v>0</v>
      </c>
      <c r="V5476" s="42" t="s">
        <v>113</v>
      </c>
      <c r="W5476" s="42">
        <v>0</v>
      </c>
      <c r="X5476" s="42">
        <v>0</v>
      </c>
    </row>
    <row r="5477" spans="1:24">
      <c r="A5477" s="27" t="s">
        <v>10083</v>
      </c>
      <c r="B5477" s="28" t="s">
        <v>5102</v>
      </c>
      <c r="C5477" s="27" t="s">
        <v>10082</v>
      </c>
      <c r="D5477" s="27" t="s">
        <v>5104</v>
      </c>
      <c r="E5477" s="29">
        <v>42457</v>
      </c>
      <c r="F5477" s="27">
        <v>15</v>
      </c>
      <c r="G5477" s="18">
        <v>33769</v>
      </c>
      <c r="H5477" s="27">
        <f t="shared" si="170"/>
        <v>0</v>
      </c>
      <c r="I5477" s="18">
        <v>6371.18</v>
      </c>
      <c r="J5477" s="27">
        <v>33769</v>
      </c>
      <c r="K5477" s="18">
        <f t="shared" si="171"/>
        <v>0</v>
      </c>
      <c r="L5477" s="27">
        <v>8469.9</v>
      </c>
      <c r="M5477" s="36">
        <v>2098.7199999999998</v>
      </c>
      <c r="T5477" s="41">
        <v>0</v>
      </c>
      <c r="U5477" s="41">
        <v>0</v>
      </c>
      <c r="V5477" s="42" t="s">
        <v>113</v>
      </c>
      <c r="W5477" s="42">
        <v>0</v>
      </c>
      <c r="X5477" s="42">
        <v>0</v>
      </c>
    </row>
    <row r="5478" spans="1:24">
      <c r="A5478" s="27" t="s">
        <v>10084</v>
      </c>
      <c r="B5478" s="28" t="s">
        <v>5102</v>
      </c>
      <c r="C5478" s="27" t="s">
        <v>10085</v>
      </c>
      <c r="D5478" s="27" t="s">
        <v>5104</v>
      </c>
      <c r="E5478" s="29">
        <v>42457</v>
      </c>
      <c r="F5478" s="27">
        <v>15</v>
      </c>
      <c r="G5478" s="18">
        <v>49785.87</v>
      </c>
      <c r="H5478" s="27">
        <f t="shared" si="170"/>
        <v>0</v>
      </c>
      <c r="I5478" s="18">
        <v>9393.07</v>
      </c>
      <c r="J5478" s="27">
        <v>49785.87</v>
      </c>
      <c r="K5478" s="18">
        <f t="shared" si="171"/>
        <v>0</v>
      </c>
      <c r="L5478" s="27">
        <v>12487.23</v>
      </c>
      <c r="M5478" s="36">
        <v>3094.16</v>
      </c>
      <c r="T5478" s="41">
        <v>0</v>
      </c>
      <c r="U5478" s="41">
        <v>0</v>
      </c>
      <c r="V5478" s="42" t="s">
        <v>113</v>
      </c>
      <c r="W5478" s="42">
        <v>0</v>
      </c>
      <c r="X5478" s="42">
        <v>0</v>
      </c>
    </row>
    <row r="5479" spans="1:24">
      <c r="A5479" s="27" t="s">
        <v>10086</v>
      </c>
      <c r="B5479" s="28" t="s">
        <v>5102</v>
      </c>
      <c r="C5479" s="27" t="s">
        <v>10085</v>
      </c>
      <c r="D5479" s="27" t="s">
        <v>5104</v>
      </c>
      <c r="E5479" s="29">
        <v>42457</v>
      </c>
      <c r="F5479" s="27">
        <v>15</v>
      </c>
      <c r="G5479" s="18">
        <v>13047.75</v>
      </c>
      <c r="H5479" s="27">
        <f t="shared" si="170"/>
        <v>0</v>
      </c>
      <c r="I5479" s="18">
        <v>2461.7199999999998</v>
      </c>
      <c r="J5479" s="27">
        <v>13047.75</v>
      </c>
      <c r="K5479" s="18">
        <f t="shared" si="171"/>
        <v>0</v>
      </c>
      <c r="L5479" s="27">
        <v>3272.63</v>
      </c>
      <c r="M5479" s="36">
        <v>810.91</v>
      </c>
      <c r="T5479" s="41">
        <v>0</v>
      </c>
      <c r="U5479" s="41">
        <v>0</v>
      </c>
      <c r="V5479" s="42" t="s">
        <v>113</v>
      </c>
      <c r="W5479" s="42">
        <v>0</v>
      </c>
      <c r="X5479" s="42">
        <v>0</v>
      </c>
    </row>
    <row r="5480" spans="1:24">
      <c r="A5480" s="27" t="s">
        <v>10087</v>
      </c>
      <c r="B5480" s="28" t="s">
        <v>5102</v>
      </c>
      <c r="C5480" s="27" t="s">
        <v>10088</v>
      </c>
      <c r="D5480" s="27" t="s">
        <v>5104</v>
      </c>
      <c r="E5480" s="29">
        <v>42457</v>
      </c>
      <c r="F5480" s="27">
        <v>15</v>
      </c>
      <c r="G5480" s="18">
        <v>70469.87</v>
      </c>
      <c r="H5480" s="27">
        <f t="shared" si="170"/>
        <v>0</v>
      </c>
      <c r="I5480" s="18">
        <v>13295.52</v>
      </c>
      <c r="J5480" s="27">
        <v>70469.87</v>
      </c>
      <c r="K5480" s="18">
        <f t="shared" si="171"/>
        <v>0</v>
      </c>
      <c r="L5480" s="27">
        <v>17675.18</v>
      </c>
      <c r="M5480" s="36">
        <v>4379.66</v>
      </c>
      <c r="T5480" s="41">
        <v>0</v>
      </c>
      <c r="U5480" s="41">
        <v>0</v>
      </c>
      <c r="V5480" s="42" t="s">
        <v>113</v>
      </c>
      <c r="W5480" s="42">
        <v>0</v>
      </c>
      <c r="X5480" s="42">
        <v>0</v>
      </c>
    </row>
    <row r="5481" spans="1:24">
      <c r="A5481" s="27" t="s">
        <v>10089</v>
      </c>
      <c r="B5481" s="28" t="s">
        <v>5102</v>
      </c>
      <c r="C5481" s="27" t="s">
        <v>10090</v>
      </c>
      <c r="D5481" s="27" t="s">
        <v>230</v>
      </c>
      <c r="E5481" s="29">
        <v>42457</v>
      </c>
      <c r="F5481" s="27">
        <v>15</v>
      </c>
      <c r="G5481" s="18">
        <v>17240.29</v>
      </c>
      <c r="H5481" s="27">
        <f t="shared" si="170"/>
        <v>0</v>
      </c>
      <c r="I5481" s="18">
        <v>3252.72</v>
      </c>
      <c r="J5481" s="27">
        <v>17240.29</v>
      </c>
      <c r="K5481" s="18">
        <f t="shared" si="171"/>
        <v>0</v>
      </c>
      <c r="L5481" s="27">
        <v>4324.1899999999996</v>
      </c>
      <c r="M5481" s="36">
        <v>1071.47</v>
      </c>
      <c r="T5481" s="41">
        <v>0</v>
      </c>
      <c r="U5481" s="41">
        <v>0</v>
      </c>
      <c r="V5481" s="42" t="s">
        <v>113</v>
      </c>
      <c r="W5481" s="42">
        <v>0</v>
      </c>
      <c r="X5481" s="42">
        <v>0</v>
      </c>
    </row>
    <row r="5482" spans="1:24">
      <c r="A5482" s="27" t="s">
        <v>10091</v>
      </c>
      <c r="B5482" s="28" t="s">
        <v>5102</v>
      </c>
      <c r="C5482" s="27" t="s">
        <v>10092</v>
      </c>
      <c r="D5482" s="27" t="s">
        <v>230</v>
      </c>
      <c r="E5482" s="29">
        <v>42457</v>
      </c>
      <c r="F5482" s="27">
        <v>15</v>
      </c>
      <c r="G5482" s="18">
        <v>36398.47</v>
      </c>
      <c r="H5482" s="27">
        <f t="shared" si="170"/>
        <v>0</v>
      </c>
      <c r="I5482" s="18">
        <v>6867.28</v>
      </c>
      <c r="J5482" s="27">
        <v>36398.47</v>
      </c>
      <c r="K5482" s="18">
        <f t="shared" si="171"/>
        <v>0</v>
      </c>
      <c r="L5482" s="27">
        <v>9129.42</v>
      </c>
      <c r="M5482" s="36">
        <v>2262.14</v>
      </c>
      <c r="T5482" s="41">
        <v>0</v>
      </c>
      <c r="U5482" s="41">
        <v>0</v>
      </c>
      <c r="V5482" s="42" t="s">
        <v>113</v>
      </c>
      <c r="W5482" s="42">
        <v>0</v>
      </c>
      <c r="X5482" s="42">
        <v>0</v>
      </c>
    </row>
    <row r="5483" spans="1:24">
      <c r="A5483" s="27" t="s">
        <v>10093</v>
      </c>
      <c r="B5483" s="28" t="s">
        <v>5102</v>
      </c>
      <c r="C5483" s="27" t="s">
        <v>10094</v>
      </c>
      <c r="D5483" s="27" t="s">
        <v>230</v>
      </c>
      <c r="E5483" s="29">
        <v>42457</v>
      </c>
      <c r="F5483" s="27">
        <v>15</v>
      </c>
      <c r="G5483" s="18">
        <v>19452.53</v>
      </c>
      <c r="H5483" s="27">
        <f t="shared" si="170"/>
        <v>0</v>
      </c>
      <c r="I5483" s="18">
        <v>3670.1</v>
      </c>
      <c r="J5483" s="27">
        <v>19452.53</v>
      </c>
      <c r="K5483" s="18">
        <f t="shared" si="171"/>
        <v>0</v>
      </c>
      <c r="L5483" s="27">
        <v>4879.0600000000004</v>
      </c>
      <c r="M5483" s="36">
        <v>1208.96</v>
      </c>
      <c r="T5483" s="41">
        <v>0</v>
      </c>
      <c r="U5483" s="41">
        <v>0</v>
      </c>
      <c r="V5483" s="42" t="s">
        <v>113</v>
      </c>
      <c r="W5483" s="42">
        <v>0</v>
      </c>
      <c r="X5483" s="42">
        <v>0</v>
      </c>
    </row>
    <row r="5484" spans="1:24">
      <c r="A5484" s="27" t="s">
        <v>10095</v>
      </c>
      <c r="B5484" s="28" t="s">
        <v>5102</v>
      </c>
      <c r="C5484" s="27" t="s">
        <v>10096</v>
      </c>
      <c r="D5484" s="27" t="s">
        <v>230</v>
      </c>
      <c r="E5484" s="29">
        <v>42457</v>
      </c>
      <c r="F5484" s="27">
        <v>15</v>
      </c>
      <c r="G5484" s="18">
        <v>76310.06</v>
      </c>
      <c r="H5484" s="27">
        <f t="shared" si="170"/>
        <v>0</v>
      </c>
      <c r="I5484" s="18">
        <v>14397.38</v>
      </c>
      <c r="J5484" s="27">
        <v>76310.06</v>
      </c>
      <c r="K5484" s="18">
        <f t="shared" si="171"/>
        <v>0</v>
      </c>
      <c r="L5484" s="27">
        <v>19140.009999999998</v>
      </c>
      <c r="M5484" s="36">
        <v>4742.63</v>
      </c>
      <c r="T5484" s="41">
        <v>0</v>
      </c>
      <c r="U5484" s="41">
        <v>0</v>
      </c>
      <c r="V5484" s="42" t="s">
        <v>113</v>
      </c>
      <c r="W5484" s="42">
        <v>0</v>
      </c>
      <c r="X5484" s="42">
        <v>0</v>
      </c>
    </row>
    <row r="5485" spans="1:24">
      <c r="A5485" s="27" t="s">
        <v>10097</v>
      </c>
      <c r="B5485" s="28" t="s">
        <v>5102</v>
      </c>
      <c r="C5485" s="27" t="s">
        <v>10098</v>
      </c>
      <c r="D5485" s="27" t="s">
        <v>230</v>
      </c>
      <c r="E5485" s="29">
        <v>42457</v>
      </c>
      <c r="F5485" s="27">
        <v>15</v>
      </c>
      <c r="G5485" s="18">
        <v>25404.51</v>
      </c>
      <c r="H5485" s="27">
        <f t="shared" si="170"/>
        <v>0</v>
      </c>
      <c r="I5485" s="18">
        <v>4793.0600000000004</v>
      </c>
      <c r="J5485" s="27">
        <v>25404.51</v>
      </c>
      <c r="K5485" s="18">
        <f t="shared" si="171"/>
        <v>0</v>
      </c>
      <c r="L5485" s="27">
        <v>6371.94</v>
      </c>
      <c r="M5485" s="36">
        <v>1578.88</v>
      </c>
      <c r="T5485" s="41">
        <v>0</v>
      </c>
      <c r="U5485" s="41">
        <v>0</v>
      </c>
      <c r="V5485" s="42" t="s">
        <v>113</v>
      </c>
      <c r="W5485" s="42">
        <v>0</v>
      </c>
      <c r="X5485" s="42">
        <v>0</v>
      </c>
    </row>
    <row r="5486" spans="1:24">
      <c r="A5486" s="27" t="s">
        <v>10099</v>
      </c>
      <c r="B5486" s="28" t="s">
        <v>5102</v>
      </c>
      <c r="C5486" s="27" t="s">
        <v>10100</v>
      </c>
      <c r="D5486" s="27" t="s">
        <v>230</v>
      </c>
      <c r="E5486" s="29">
        <v>42457</v>
      </c>
      <c r="F5486" s="27">
        <v>15</v>
      </c>
      <c r="G5486" s="18">
        <v>58882.58</v>
      </c>
      <c r="H5486" s="27">
        <f t="shared" si="170"/>
        <v>0</v>
      </c>
      <c r="I5486" s="18">
        <v>11109.34</v>
      </c>
      <c r="J5486" s="27">
        <v>58882.58</v>
      </c>
      <c r="K5486" s="18">
        <f t="shared" si="171"/>
        <v>0</v>
      </c>
      <c r="L5486" s="27">
        <v>14768.86</v>
      </c>
      <c r="M5486" s="36">
        <v>3659.52</v>
      </c>
      <c r="T5486" s="41">
        <v>0</v>
      </c>
      <c r="U5486" s="41">
        <v>0</v>
      </c>
      <c r="V5486" s="42" t="s">
        <v>113</v>
      </c>
      <c r="W5486" s="42">
        <v>0</v>
      </c>
      <c r="X5486" s="42">
        <v>0</v>
      </c>
    </row>
    <row r="5487" spans="1:24">
      <c r="A5487" s="27" t="s">
        <v>10101</v>
      </c>
      <c r="B5487" s="28" t="s">
        <v>5102</v>
      </c>
      <c r="C5487" s="27" t="s">
        <v>10102</v>
      </c>
      <c r="D5487" s="27" t="s">
        <v>230</v>
      </c>
      <c r="E5487" s="29">
        <v>42457</v>
      </c>
      <c r="F5487" s="27">
        <v>15</v>
      </c>
      <c r="G5487" s="18">
        <v>108573.96</v>
      </c>
      <c r="H5487" s="27">
        <f t="shared" si="170"/>
        <v>0</v>
      </c>
      <c r="I5487" s="18">
        <v>20484.599999999999</v>
      </c>
      <c r="J5487" s="27">
        <v>108573.96</v>
      </c>
      <c r="K5487" s="18">
        <f t="shared" si="171"/>
        <v>0</v>
      </c>
      <c r="L5487" s="27">
        <v>27232.41</v>
      </c>
      <c r="M5487" s="36">
        <v>6747.81</v>
      </c>
      <c r="T5487" s="41">
        <v>0</v>
      </c>
      <c r="U5487" s="41">
        <v>0</v>
      </c>
      <c r="V5487" s="42" t="s">
        <v>113</v>
      </c>
      <c r="W5487" s="42">
        <v>0</v>
      </c>
      <c r="X5487" s="42">
        <v>0</v>
      </c>
    </row>
    <row r="5488" spans="1:24">
      <c r="A5488" s="27" t="s">
        <v>10103</v>
      </c>
      <c r="B5488" s="28" t="s">
        <v>5102</v>
      </c>
      <c r="C5488" s="27" t="s">
        <v>10104</v>
      </c>
      <c r="D5488" s="27" t="s">
        <v>230</v>
      </c>
      <c r="E5488" s="29">
        <v>42457</v>
      </c>
      <c r="F5488" s="27">
        <v>15</v>
      </c>
      <c r="G5488" s="18">
        <v>37402.449999999997</v>
      </c>
      <c r="H5488" s="27">
        <f t="shared" si="170"/>
        <v>0</v>
      </c>
      <c r="I5488" s="18">
        <v>7056.7</v>
      </c>
      <c r="J5488" s="27">
        <v>37402.449999999997</v>
      </c>
      <c r="K5488" s="18">
        <f t="shared" si="171"/>
        <v>0</v>
      </c>
      <c r="L5488" s="27">
        <v>9381.24</v>
      </c>
      <c r="M5488" s="36">
        <v>2324.54</v>
      </c>
      <c r="T5488" s="41">
        <v>0</v>
      </c>
      <c r="U5488" s="41">
        <v>0</v>
      </c>
      <c r="V5488" s="42" t="s">
        <v>113</v>
      </c>
      <c r="W5488" s="42">
        <v>0</v>
      </c>
      <c r="X5488" s="42">
        <v>0</v>
      </c>
    </row>
    <row r="5489" spans="1:24">
      <c r="A5489" s="27" t="s">
        <v>10105</v>
      </c>
      <c r="B5489" s="28" t="s">
        <v>5102</v>
      </c>
      <c r="C5489" s="27" t="s">
        <v>10106</v>
      </c>
      <c r="D5489" s="27" t="s">
        <v>230</v>
      </c>
      <c r="E5489" s="29">
        <v>42457</v>
      </c>
      <c r="F5489" s="27">
        <v>15</v>
      </c>
      <c r="G5489" s="18">
        <v>17715.02</v>
      </c>
      <c r="H5489" s="27">
        <f t="shared" si="170"/>
        <v>0</v>
      </c>
      <c r="I5489" s="18">
        <v>3342.28</v>
      </c>
      <c r="J5489" s="27">
        <v>17715.02</v>
      </c>
      <c r="K5489" s="18">
        <f t="shared" si="171"/>
        <v>0</v>
      </c>
      <c r="L5489" s="27">
        <v>4443.26</v>
      </c>
      <c r="M5489" s="36">
        <v>1100.98</v>
      </c>
      <c r="T5489" s="41">
        <v>0</v>
      </c>
      <c r="U5489" s="41">
        <v>0</v>
      </c>
      <c r="V5489" s="42" t="s">
        <v>113</v>
      </c>
      <c r="W5489" s="42">
        <v>0</v>
      </c>
      <c r="X5489" s="42">
        <v>0</v>
      </c>
    </row>
    <row r="5490" spans="1:24">
      <c r="A5490" s="27" t="s">
        <v>10107</v>
      </c>
      <c r="B5490" s="28" t="s">
        <v>5102</v>
      </c>
      <c r="C5490" s="27" t="s">
        <v>10108</v>
      </c>
      <c r="D5490" s="27" t="s">
        <v>230</v>
      </c>
      <c r="E5490" s="29">
        <v>42457</v>
      </c>
      <c r="F5490" s="27">
        <v>15</v>
      </c>
      <c r="G5490" s="18">
        <v>16040.21</v>
      </c>
      <c r="H5490" s="27">
        <f t="shared" si="170"/>
        <v>0</v>
      </c>
      <c r="I5490" s="18">
        <v>3026.3</v>
      </c>
      <c r="J5490" s="27">
        <v>16040.21</v>
      </c>
      <c r="K5490" s="18">
        <f t="shared" si="171"/>
        <v>0</v>
      </c>
      <c r="L5490" s="27">
        <v>4023.19</v>
      </c>
      <c r="M5490" s="36">
        <v>996.89</v>
      </c>
      <c r="T5490" s="41">
        <v>0</v>
      </c>
      <c r="U5490" s="41">
        <v>0</v>
      </c>
      <c r="V5490" s="42" t="s">
        <v>113</v>
      </c>
      <c r="W5490" s="42">
        <v>0</v>
      </c>
      <c r="X5490" s="42">
        <v>0</v>
      </c>
    </row>
    <row r="5491" spans="1:24">
      <c r="A5491" s="27" t="s">
        <v>10109</v>
      </c>
      <c r="B5491" s="28" t="s">
        <v>5102</v>
      </c>
      <c r="C5491" s="27" t="s">
        <v>10110</v>
      </c>
      <c r="D5491" s="27" t="s">
        <v>230</v>
      </c>
      <c r="E5491" s="29">
        <v>42457</v>
      </c>
      <c r="F5491" s="27">
        <v>15</v>
      </c>
      <c r="G5491" s="18">
        <v>24308.3</v>
      </c>
      <c r="H5491" s="27">
        <f t="shared" si="170"/>
        <v>0</v>
      </c>
      <c r="I5491" s="18">
        <v>4586.25</v>
      </c>
      <c r="J5491" s="27">
        <v>24308.3</v>
      </c>
      <c r="K5491" s="18">
        <f t="shared" si="171"/>
        <v>0</v>
      </c>
      <c r="L5491" s="27">
        <v>6097</v>
      </c>
      <c r="M5491" s="36">
        <v>1510.75</v>
      </c>
      <c r="T5491" s="41">
        <v>0</v>
      </c>
      <c r="U5491" s="41">
        <v>0</v>
      </c>
      <c r="V5491" s="42" t="s">
        <v>113</v>
      </c>
      <c r="W5491" s="42">
        <v>0</v>
      </c>
      <c r="X5491" s="42">
        <v>0</v>
      </c>
    </row>
    <row r="5492" spans="1:24">
      <c r="A5492" s="27" t="s">
        <v>10111</v>
      </c>
      <c r="B5492" s="28" t="s">
        <v>5102</v>
      </c>
      <c r="C5492" s="27" t="s">
        <v>10112</v>
      </c>
      <c r="D5492" s="27" t="s">
        <v>230</v>
      </c>
      <c r="E5492" s="29">
        <v>42457</v>
      </c>
      <c r="F5492" s="27">
        <v>15</v>
      </c>
      <c r="G5492" s="18">
        <v>37951.33</v>
      </c>
      <c r="H5492" s="27">
        <f t="shared" si="170"/>
        <v>0</v>
      </c>
      <c r="I5492" s="18">
        <v>7160.25</v>
      </c>
      <c r="J5492" s="27">
        <v>37951.33</v>
      </c>
      <c r="K5492" s="18">
        <f t="shared" si="171"/>
        <v>0</v>
      </c>
      <c r="L5492" s="27">
        <v>9518.9</v>
      </c>
      <c r="M5492" s="36">
        <v>2358.65</v>
      </c>
      <c r="T5492" s="41">
        <v>0</v>
      </c>
      <c r="U5492" s="41">
        <v>0</v>
      </c>
      <c r="V5492" s="42" t="s">
        <v>113</v>
      </c>
      <c r="W5492" s="42">
        <v>0</v>
      </c>
      <c r="X5492" s="42">
        <v>0</v>
      </c>
    </row>
    <row r="5493" spans="1:24">
      <c r="A5493" s="27" t="s">
        <v>10113</v>
      </c>
      <c r="B5493" s="28" t="s">
        <v>5102</v>
      </c>
      <c r="C5493" s="27" t="s">
        <v>10114</v>
      </c>
      <c r="D5493" s="27" t="s">
        <v>230</v>
      </c>
      <c r="E5493" s="29">
        <v>42457</v>
      </c>
      <c r="F5493" s="27">
        <v>15</v>
      </c>
      <c r="G5493" s="18">
        <v>561</v>
      </c>
      <c r="H5493" s="27">
        <f t="shared" si="170"/>
        <v>0</v>
      </c>
      <c r="I5493" s="18">
        <v>105.84</v>
      </c>
      <c r="J5493" s="27">
        <v>561</v>
      </c>
      <c r="K5493" s="18">
        <f t="shared" si="171"/>
        <v>0</v>
      </c>
      <c r="L5493" s="27">
        <v>140.71</v>
      </c>
      <c r="M5493" s="36">
        <v>34.869999999999997</v>
      </c>
      <c r="T5493" s="41">
        <v>0</v>
      </c>
      <c r="U5493" s="41">
        <v>0</v>
      </c>
      <c r="V5493" s="42" t="s">
        <v>113</v>
      </c>
      <c r="W5493" s="42">
        <v>0</v>
      </c>
      <c r="X5493" s="42">
        <v>0</v>
      </c>
    </row>
    <row r="5494" spans="1:24">
      <c r="A5494" s="27" t="s">
        <v>10115</v>
      </c>
      <c r="B5494" s="28" t="s">
        <v>5102</v>
      </c>
      <c r="C5494" s="27" t="s">
        <v>10116</v>
      </c>
      <c r="D5494" s="27" t="s">
        <v>230</v>
      </c>
      <c r="E5494" s="29">
        <v>42457</v>
      </c>
      <c r="F5494" s="27">
        <v>15</v>
      </c>
      <c r="G5494" s="18">
        <v>33914.07</v>
      </c>
      <c r="H5494" s="27">
        <f t="shared" si="170"/>
        <v>0</v>
      </c>
      <c r="I5494" s="18">
        <v>6398.55</v>
      </c>
      <c r="J5494" s="27">
        <v>33914.07</v>
      </c>
      <c r="K5494" s="18">
        <f t="shared" si="171"/>
        <v>0</v>
      </c>
      <c r="L5494" s="27">
        <v>8506.2900000000009</v>
      </c>
      <c r="M5494" s="36">
        <v>2107.7399999999998</v>
      </c>
      <c r="T5494" s="41">
        <v>0</v>
      </c>
      <c r="U5494" s="41">
        <v>0</v>
      </c>
      <c r="V5494" s="42" t="s">
        <v>113</v>
      </c>
      <c r="W5494" s="42">
        <v>0</v>
      </c>
      <c r="X5494" s="42">
        <v>0</v>
      </c>
    </row>
    <row r="5495" spans="1:24">
      <c r="A5495" s="27" t="s">
        <v>10117</v>
      </c>
      <c r="B5495" s="28" t="s">
        <v>5102</v>
      </c>
      <c r="C5495" s="27" t="s">
        <v>10118</v>
      </c>
      <c r="D5495" s="27" t="s">
        <v>230</v>
      </c>
      <c r="E5495" s="29">
        <v>42457</v>
      </c>
      <c r="F5495" s="27">
        <v>15</v>
      </c>
      <c r="G5495" s="18">
        <v>2748.77</v>
      </c>
      <c r="H5495" s="27">
        <f t="shared" si="170"/>
        <v>0</v>
      </c>
      <c r="I5495" s="18">
        <v>518.6</v>
      </c>
      <c r="J5495" s="27">
        <v>2748.77</v>
      </c>
      <c r="K5495" s="18">
        <f t="shared" si="171"/>
        <v>0</v>
      </c>
      <c r="L5495" s="27">
        <v>689.44</v>
      </c>
      <c r="M5495" s="36">
        <v>170.84</v>
      </c>
      <c r="T5495" s="41">
        <v>0</v>
      </c>
      <c r="U5495" s="41">
        <v>0</v>
      </c>
      <c r="V5495" s="42" t="s">
        <v>113</v>
      </c>
      <c r="W5495" s="42">
        <v>0</v>
      </c>
      <c r="X5495" s="42">
        <v>0</v>
      </c>
    </row>
    <row r="5496" spans="1:24">
      <c r="A5496" s="27" t="s">
        <v>10119</v>
      </c>
      <c r="B5496" s="28" t="s">
        <v>5102</v>
      </c>
      <c r="C5496" s="27" t="s">
        <v>10120</v>
      </c>
      <c r="D5496" s="27" t="s">
        <v>230</v>
      </c>
      <c r="E5496" s="29">
        <v>42457</v>
      </c>
      <c r="F5496" s="27">
        <v>15</v>
      </c>
      <c r="G5496" s="18">
        <v>25193.58</v>
      </c>
      <c r="H5496" s="27">
        <f t="shared" si="170"/>
        <v>0</v>
      </c>
      <c r="I5496" s="18">
        <v>4753.26</v>
      </c>
      <c r="J5496" s="27">
        <v>25193.58</v>
      </c>
      <c r="K5496" s="18">
        <f t="shared" si="171"/>
        <v>0</v>
      </c>
      <c r="L5496" s="27">
        <v>6319.03</v>
      </c>
      <c r="M5496" s="36">
        <v>1565.77</v>
      </c>
      <c r="T5496" s="41">
        <v>0</v>
      </c>
      <c r="U5496" s="41">
        <v>0</v>
      </c>
      <c r="V5496" s="42" t="s">
        <v>113</v>
      </c>
      <c r="W5496" s="42">
        <v>0</v>
      </c>
      <c r="X5496" s="42">
        <v>0</v>
      </c>
    </row>
    <row r="5497" spans="1:24">
      <c r="A5497" s="27" t="s">
        <v>10121</v>
      </c>
      <c r="B5497" s="28" t="s">
        <v>5102</v>
      </c>
      <c r="C5497" s="27" t="s">
        <v>10122</v>
      </c>
      <c r="D5497" s="27" t="s">
        <v>230</v>
      </c>
      <c r="E5497" s="29">
        <v>40298</v>
      </c>
      <c r="F5497" s="27">
        <v>15</v>
      </c>
      <c r="G5497" s="18">
        <v>131834950.38</v>
      </c>
      <c r="H5497" s="27">
        <f t="shared" si="170"/>
        <v>0</v>
      </c>
      <c r="I5497" s="18">
        <v>89188969.870000005</v>
      </c>
      <c r="J5497" s="27">
        <v>131834950.38</v>
      </c>
      <c r="K5497" s="18">
        <f t="shared" si="171"/>
        <v>0</v>
      </c>
      <c r="L5497" s="27">
        <v>94881743.5</v>
      </c>
      <c r="M5497" s="36">
        <v>5692773.6299999999</v>
      </c>
      <c r="T5497" s="41">
        <v>0</v>
      </c>
      <c r="U5497" s="41">
        <v>0</v>
      </c>
      <c r="V5497" s="42" t="s">
        <v>113</v>
      </c>
      <c r="W5497" s="42">
        <v>0</v>
      </c>
      <c r="X5497" s="42">
        <v>0</v>
      </c>
    </row>
    <row r="5498" spans="1:24">
      <c r="A5498" s="27" t="s">
        <v>10123</v>
      </c>
      <c r="B5498" s="28" t="s">
        <v>5102</v>
      </c>
      <c r="C5498" s="27" t="s">
        <v>10124</v>
      </c>
      <c r="D5498" s="27" t="s">
        <v>230</v>
      </c>
      <c r="E5498" s="29">
        <v>31412</v>
      </c>
      <c r="F5498" s="27">
        <v>12</v>
      </c>
      <c r="G5498" s="18">
        <v>7318791.04</v>
      </c>
      <c r="H5498" s="27">
        <f t="shared" si="170"/>
        <v>7318791.04</v>
      </c>
      <c r="I5498" s="18">
        <v>6952851.04</v>
      </c>
      <c r="J5498" s="27">
        <v>7318791.04</v>
      </c>
      <c r="K5498" s="18">
        <f t="shared" si="171"/>
        <v>7318791.04</v>
      </c>
      <c r="L5498" s="27">
        <v>6952851.04</v>
      </c>
      <c r="M5498" s="36">
        <v>0</v>
      </c>
      <c r="T5498" s="41">
        <v>0</v>
      </c>
      <c r="U5498" s="41">
        <v>0</v>
      </c>
      <c r="V5498" s="42" t="s">
        <v>113</v>
      </c>
      <c r="W5498" s="42">
        <v>7318791.04</v>
      </c>
      <c r="X5498" s="42">
        <v>7318791.04</v>
      </c>
    </row>
    <row r="5499" spans="1:24">
      <c r="A5499" s="27" t="s">
        <v>10125</v>
      </c>
      <c r="B5499" s="28" t="s">
        <v>5102</v>
      </c>
      <c r="C5499" s="27" t="s">
        <v>7497</v>
      </c>
      <c r="D5499" s="27" t="s">
        <v>230</v>
      </c>
      <c r="E5499" s="29">
        <v>37771</v>
      </c>
      <c r="F5499" s="27">
        <v>15</v>
      </c>
      <c r="G5499" s="18">
        <v>510437</v>
      </c>
      <c r="H5499" s="27">
        <f t="shared" si="170"/>
        <v>510437</v>
      </c>
      <c r="I5499" s="18">
        <v>484915.15</v>
      </c>
      <c r="J5499" s="27">
        <v>510437</v>
      </c>
      <c r="K5499" s="18">
        <f t="shared" si="171"/>
        <v>510437</v>
      </c>
      <c r="L5499" s="27">
        <v>484915.15</v>
      </c>
      <c r="M5499" s="36">
        <v>0</v>
      </c>
      <c r="T5499" s="41">
        <v>0</v>
      </c>
      <c r="U5499" s="41">
        <v>0</v>
      </c>
      <c r="V5499" s="42" t="s">
        <v>113</v>
      </c>
      <c r="W5499" s="42">
        <v>510437</v>
      </c>
      <c r="X5499" s="42">
        <v>510437</v>
      </c>
    </row>
    <row r="5500" spans="1:24">
      <c r="A5500" s="27" t="s">
        <v>10126</v>
      </c>
      <c r="B5500" s="28" t="s">
        <v>5102</v>
      </c>
      <c r="C5500" s="27" t="s">
        <v>10127</v>
      </c>
      <c r="D5500" s="27" t="s">
        <v>230</v>
      </c>
      <c r="E5500" s="29">
        <v>32142</v>
      </c>
      <c r="F5500" s="27">
        <v>12</v>
      </c>
      <c r="G5500" s="18">
        <v>99450</v>
      </c>
      <c r="H5500" s="27">
        <f t="shared" si="170"/>
        <v>99450</v>
      </c>
      <c r="I5500" s="18">
        <v>94477.5</v>
      </c>
      <c r="J5500" s="27">
        <v>99450</v>
      </c>
      <c r="K5500" s="18">
        <f t="shared" si="171"/>
        <v>99450</v>
      </c>
      <c r="L5500" s="27">
        <v>94477.5</v>
      </c>
      <c r="M5500" s="36">
        <v>0</v>
      </c>
      <c r="T5500" s="41">
        <v>0</v>
      </c>
      <c r="U5500" s="41">
        <v>0</v>
      </c>
      <c r="V5500" s="42" t="s">
        <v>113</v>
      </c>
      <c r="W5500" s="42">
        <v>99450</v>
      </c>
      <c r="X5500" s="42">
        <v>99450</v>
      </c>
    </row>
    <row r="5501" spans="1:24">
      <c r="A5501" s="27" t="s">
        <v>10128</v>
      </c>
      <c r="B5501" s="28" t="s">
        <v>5102</v>
      </c>
      <c r="C5501" s="27" t="s">
        <v>10129</v>
      </c>
      <c r="D5501" s="27" t="s">
        <v>230</v>
      </c>
      <c r="E5501" s="29">
        <v>40178</v>
      </c>
      <c r="F5501" s="27">
        <v>15</v>
      </c>
      <c r="G5501" s="18">
        <v>59138.26</v>
      </c>
      <c r="H5501" s="27">
        <f t="shared" si="170"/>
        <v>0</v>
      </c>
      <c r="I5501" s="18">
        <v>31081.360000000001</v>
      </c>
      <c r="J5501" s="27">
        <v>59138.26</v>
      </c>
      <c r="K5501" s="18">
        <f t="shared" si="171"/>
        <v>0</v>
      </c>
      <c r="L5501" s="27">
        <v>35264.69</v>
      </c>
      <c r="M5501" s="36">
        <v>4183.33</v>
      </c>
      <c r="T5501" s="41">
        <v>0</v>
      </c>
      <c r="U5501" s="41">
        <v>0</v>
      </c>
      <c r="V5501" s="42" t="s">
        <v>113</v>
      </c>
      <c r="W5501" s="42">
        <v>0</v>
      </c>
      <c r="X5501" s="42">
        <v>0</v>
      </c>
    </row>
    <row r="5502" spans="1:24">
      <c r="A5502" s="27" t="s">
        <v>10130</v>
      </c>
      <c r="B5502" s="28" t="s">
        <v>5102</v>
      </c>
      <c r="C5502" s="27" t="s">
        <v>6410</v>
      </c>
      <c r="D5502" s="27" t="s">
        <v>230</v>
      </c>
      <c r="E5502" s="29">
        <v>31412</v>
      </c>
      <c r="F5502" s="27">
        <v>15</v>
      </c>
      <c r="G5502" s="18">
        <v>40000</v>
      </c>
      <c r="H5502" s="27">
        <f t="shared" si="170"/>
        <v>40000</v>
      </c>
      <c r="I5502" s="18">
        <v>38000</v>
      </c>
      <c r="J5502" s="27">
        <v>40000</v>
      </c>
      <c r="K5502" s="18">
        <f t="shared" si="171"/>
        <v>40000</v>
      </c>
      <c r="L5502" s="27">
        <v>38000</v>
      </c>
      <c r="M5502" s="36">
        <v>0</v>
      </c>
      <c r="T5502" s="41">
        <v>0</v>
      </c>
      <c r="U5502" s="41">
        <v>0</v>
      </c>
      <c r="V5502" s="42" t="s">
        <v>113</v>
      </c>
      <c r="W5502" s="42">
        <v>40000</v>
      </c>
      <c r="X5502" s="42">
        <v>40000</v>
      </c>
    </row>
    <row r="5503" spans="1:24">
      <c r="A5503" s="27" t="s">
        <v>10131</v>
      </c>
      <c r="B5503" s="28" t="s">
        <v>5102</v>
      </c>
      <c r="C5503" s="27" t="s">
        <v>8742</v>
      </c>
      <c r="D5503" s="27" t="s">
        <v>230</v>
      </c>
      <c r="E5503" s="29">
        <v>31777</v>
      </c>
      <c r="F5503" s="27">
        <v>15</v>
      </c>
      <c r="G5503" s="18">
        <v>23280</v>
      </c>
      <c r="H5503" s="27">
        <f t="shared" si="170"/>
        <v>23280</v>
      </c>
      <c r="I5503" s="18">
        <v>22116</v>
      </c>
      <c r="J5503" s="27">
        <v>23280</v>
      </c>
      <c r="K5503" s="18">
        <f t="shared" si="171"/>
        <v>23280</v>
      </c>
      <c r="L5503" s="27">
        <v>22116</v>
      </c>
      <c r="M5503" s="36">
        <v>0</v>
      </c>
      <c r="T5503" s="41">
        <v>0</v>
      </c>
      <c r="U5503" s="41">
        <v>0</v>
      </c>
      <c r="V5503" s="42" t="s">
        <v>113</v>
      </c>
      <c r="W5503" s="42">
        <v>23280</v>
      </c>
      <c r="X5503" s="42">
        <v>23280</v>
      </c>
    </row>
    <row r="5504" spans="1:24">
      <c r="A5504" s="27" t="s">
        <v>10132</v>
      </c>
      <c r="B5504" s="28" t="s">
        <v>5102</v>
      </c>
      <c r="C5504" s="27" t="s">
        <v>10133</v>
      </c>
      <c r="D5504" s="27" t="s">
        <v>230</v>
      </c>
      <c r="E5504" s="29">
        <v>41274</v>
      </c>
      <c r="F5504" s="27">
        <v>15</v>
      </c>
      <c r="G5504" s="18">
        <v>427853.7</v>
      </c>
      <c r="H5504" s="27">
        <f t="shared" si="170"/>
        <v>0</v>
      </c>
      <c r="I5504" s="18">
        <v>194924.56</v>
      </c>
      <c r="J5504" s="27">
        <v>427853.7</v>
      </c>
      <c r="K5504" s="18">
        <f t="shared" si="171"/>
        <v>0</v>
      </c>
      <c r="L5504" s="27">
        <v>218428.61</v>
      </c>
      <c r="M5504" s="36">
        <v>23504.05</v>
      </c>
      <c r="T5504" s="41">
        <v>0</v>
      </c>
      <c r="U5504" s="41">
        <v>0</v>
      </c>
      <c r="V5504" s="42" t="s">
        <v>113</v>
      </c>
      <c r="W5504" s="42">
        <v>0</v>
      </c>
      <c r="X5504" s="42">
        <v>0</v>
      </c>
    </row>
    <row r="5505" spans="1:24">
      <c r="A5505" s="27" t="s">
        <v>10134</v>
      </c>
      <c r="B5505" s="28" t="s">
        <v>5102</v>
      </c>
      <c r="C5505" s="27" t="s">
        <v>10135</v>
      </c>
      <c r="D5505" s="27" t="s">
        <v>230</v>
      </c>
      <c r="E5505" s="29">
        <v>41274</v>
      </c>
      <c r="F5505" s="27">
        <v>15</v>
      </c>
      <c r="G5505" s="18">
        <v>270285.51</v>
      </c>
      <c r="H5505" s="27">
        <f t="shared" si="170"/>
        <v>0</v>
      </c>
      <c r="I5505" s="18">
        <v>123138.56</v>
      </c>
      <c r="J5505" s="27">
        <v>270285.51</v>
      </c>
      <c r="K5505" s="18">
        <f t="shared" si="171"/>
        <v>0</v>
      </c>
      <c r="L5505" s="27">
        <v>137986.63</v>
      </c>
      <c r="M5505" s="36">
        <v>14848.07</v>
      </c>
      <c r="T5505" s="41">
        <v>0</v>
      </c>
      <c r="U5505" s="41">
        <v>0</v>
      </c>
      <c r="V5505" s="42" t="s">
        <v>113</v>
      </c>
      <c r="W5505" s="42">
        <v>0</v>
      </c>
      <c r="X5505" s="42">
        <v>0</v>
      </c>
    </row>
    <row r="5506" spans="1:24">
      <c r="A5506" s="27" t="s">
        <v>10136</v>
      </c>
      <c r="B5506" s="28" t="s">
        <v>5102</v>
      </c>
      <c r="C5506" s="27" t="s">
        <v>10137</v>
      </c>
      <c r="D5506" s="27" t="s">
        <v>230</v>
      </c>
      <c r="E5506" s="29">
        <v>41274</v>
      </c>
      <c r="F5506" s="27">
        <v>15</v>
      </c>
      <c r="G5506" s="18">
        <v>849805.98</v>
      </c>
      <c r="H5506" s="27">
        <f t="shared" si="170"/>
        <v>0</v>
      </c>
      <c r="I5506" s="18">
        <v>387160.53</v>
      </c>
      <c r="J5506" s="27">
        <v>849805.98</v>
      </c>
      <c r="K5506" s="18">
        <f t="shared" si="171"/>
        <v>0</v>
      </c>
      <c r="L5506" s="27">
        <v>433844.44</v>
      </c>
      <c r="M5506" s="36">
        <v>46683.91</v>
      </c>
      <c r="T5506" s="41">
        <v>0</v>
      </c>
      <c r="U5506" s="41">
        <v>0</v>
      </c>
      <c r="V5506" s="42" t="s">
        <v>113</v>
      </c>
      <c r="W5506" s="42">
        <v>0</v>
      </c>
      <c r="X5506" s="42">
        <v>0</v>
      </c>
    </row>
    <row r="5507" spans="1:24">
      <c r="A5507" s="27" t="s">
        <v>10138</v>
      </c>
      <c r="B5507" s="28" t="s">
        <v>5102</v>
      </c>
      <c r="C5507" s="27" t="s">
        <v>10139</v>
      </c>
      <c r="D5507" s="27" t="s">
        <v>230</v>
      </c>
      <c r="E5507" s="29">
        <v>41274</v>
      </c>
      <c r="F5507" s="27">
        <v>15</v>
      </c>
      <c r="G5507" s="18">
        <v>295071.52</v>
      </c>
      <c r="H5507" s="27">
        <f t="shared" si="170"/>
        <v>0</v>
      </c>
      <c r="I5507" s="18">
        <v>134430.74</v>
      </c>
      <c r="J5507" s="27">
        <v>295071.52</v>
      </c>
      <c r="K5507" s="18">
        <f t="shared" si="171"/>
        <v>0</v>
      </c>
      <c r="L5507" s="27">
        <v>150640.43</v>
      </c>
      <c r="M5507" s="36">
        <v>16209.69</v>
      </c>
      <c r="T5507" s="41">
        <v>0</v>
      </c>
      <c r="U5507" s="41">
        <v>0</v>
      </c>
      <c r="V5507" s="42" t="s">
        <v>113</v>
      </c>
      <c r="W5507" s="42">
        <v>0</v>
      </c>
      <c r="X5507" s="42">
        <v>0</v>
      </c>
    </row>
    <row r="5508" spans="1:24">
      <c r="A5508" s="27" t="s">
        <v>10140</v>
      </c>
      <c r="B5508" s="28" t="s">
        <v>5102</v>
      </c>
      <c r="C5508" s="27" t="s">
        <v>10141</v>
      </c>
      <c r="D5508" s="27" t="s">
        <v>230</v>
      </c>
      <c r="E5508" s="29">
        <v>41274</v>
      </c>
      <c r="F5508" s="27">
        <v>15</v>
      </c>
      <c r="G5508" s="18">
        <v>357626.68</v>
      </c>
      <c r="H5508" s="27">
        <f t="shared" si="170"/>
        <v>0</v>
      </c>
      <c r="I5508" s="18">
        <v>162930.04999999999</v>
      </c>
      <c r="J5508" s="27">
        <v>357626.68</v>
      </c>
      <c r="K5508" s="18">
        <f t="shared" si="171"/>
        <v>0</v>
      </c>
      <c r="L5508" s="27">
        <v>182576.19</v>
      </c>
      <c r="M5508" s="36">
        <v>19646.14</v>
      </c>
      <c r="T5508" s="41">
        <v>0</v>
      </c>
      <c r="U5508" s="41">
        <v>0</v>
      </c>
      <c r="V5508" s="42" t="s">
        <v>113</v>
      </c>
      <c r="W5508" s="42">
        <v>0</v>
      </c>
      <c r="X5508" s="42">
        <v>0</v>
      </c>
    </row>
    <row r="5509" spans="1:24">
      <c r="A5509" s="27" t="s">
        <v>10142</v>
      </c>
      <c r="B5509" s="28" t="s">
        <v>5102</v>
      </c>
      <c r="C5509" s="27" t="s">
        <v>10143</v>
      </c>
      <c r="D5509" s="27" t="s">
        <v>230</v>
      </c>
      <c r="E5509" s="29">
        <v>41274</v>
      </c>
      <c r="F5509" s="27">
        <v>15</v>
      </c>
      <c r="G5509" s="18">
        <v>312775.81</v>
      </c>
      <c r="H5509" s="27">
        <f t="shared" si="170"/>
        <v>0</v>
      </c>
      <c r="I5509" s="18">
        <v>142496.57</v>
      </c>
      <c r="J5509" s="27">
        <v>312775.81</v>
      </c>
      <c r="K5509" s="18">
        <f t="shared" si="171"/>
        <v>0</v>
      </c>
      <c r="L5509" s="27">
        <v>159678.84</v>
      </c>
      <c r="M5509" s="36">
        <v>17182.27</v>
      </c>
      <c r="T5509" s="41">
        <v>0</v>
      </c>
      <c r="U5509" s="41">
        <v>0</v>
      </c>
      <c r="V5509" s="42" t="s">
        <v>113</v>
      </c>
      <c r="W5509" s="42">
        <v>0</v>
      </c>
      <c r="X5509" s="42">
        <v>0</v>
      </c>
    </row>
    <row r="5510" spans="1:24">
      <c r="A5510" s="27" t="s">
        <v>10144</v>
      </c>
      <c r="B5510" s="28" t="s">
        <v>5102</v>
      </c>
      <c r="C5510" s="27" t="s">
        <v>10145</v>
      </c>
      <c r="D5510" s="27" t="s">
        <v>230</v>
      </c>
      <c r="E5510" s="29">
        <v>41274</v>
      </c>
      <c r="F5510" s="27">
        <v>15</v>
      </c>
      <c r="G5510" s="18">
        <v>151371.69</v>
      </c>
      <c r="H5510" s="27">
        <f t="shared" ref="H5510:H5573" si="172">IFERROR(IF(ROUND((G5510-I5510)/G5510,2)&lt;=0.05,G5510,0),0)</f>
        <v>0</v>
      </c>
      <c r="I5510" s="18">
        <v>68962.98</v>
      </c>
      <c r="J5510" s="27">
        <v>151371.69</v>
      </c>
      <c r="K5510" s="18">
        <f t="shared" ref="K5510:K5573" si="173">IFERROR(IF(ROUND((J5510-L5510)/J5510,2)&lt;=0.05,J5510,0),0)</f>
        <v>0</v>
      </c>
      <c r="L5510" s="27">
        <v>77278.55</v>
      </c>
      <c r="M5510" s="36">
        <v>8315.57</v>
      </c>
      <c r="T5510" s="41">
        <v>0</v>
      </c>
      <c r="U5510" s="41">
        <v>0</v>
      </c>
      <c r="V5510" s="42" t="s">
        <v>113</v>
      </c>
      <c r="W5510" s="42">
        <v>0</v>
      </c>
      <c r="X5510" s="42">
        <v>0</v>
      </c>
    </row>
    <row r="5511" spans="1:24">
      <c r="A5511" s="27" t="s">
        <v>10146</v>
      </c>
      <c r="B5511" s="28" t="s">
        <v>5102</v>
      </c>
      <c r="C5511" s="27" t="s">
        <v>10147</v>
      </c>
      <c r="D5511" s="27" t="s">
        <v>230</v>
      </c>
      <c r="E5511" s="29">
        <v>41274</v>
      </c>
      <c r="F5511" s="27">
        <v>15</v>
      </c>
      <c r="G5511" s="18">
        <v>737678.8</v>
      </c>
      <c r="H5511" s="27">
        <f t="shared" si="172"/>
        <v>0</v>
      </c>
      <c r="I5511" s="18">
        <v>336076.84</v>
      </c>
      <c r="J5511" s="27">
        <v>737678.8</v>
      </c>
      <c r="K5511" s="18">
        <f t="shared" si="173"/>
        <v>0</v>
      </c>
      <c r="L5511" s="27">
        <v>376601.06</v>
      </c>
      <c r="M5511" s="36">
        <v>40524.22</v>
      </c>
      <c r="T5511" s="41">
        <v>0</v>
      </c>
      <c r="U5511" s="41">
        <v>0</v>
      </c>
      <c r="V5511" s="42" t="s">
        <v>113</v>
      </c>
      <c r="W5511" s="42">
        <v>0</v>
      </c>
      <c r="X5511" s="42">
        <v>0</v>
      </c>
    </row>
    <row r="5512" spans="1:24">
      <c r="A5512" s="27" t="s">
        <v>10148</v>
      </c>
      <c r="B5512" s="28" t="s">
        <v>5102</v>
      </c>
      <c r="C5512" s="27" t="s">
        <v>10149</v>
      </c>
      <c r="D5512" s="27" t="s">
        <v>230</v>
      </c>
      <c r="E5512" s="29">
        <v>41274</v>
      </c>
      <c r="F5512" s="27">
        <v>15</v>
      </c>
      <c r="G5512" s="18">
        <v>410149.41</v>
      </c>
      <c r="H5512" s="27">
        <f t="shared" si="172"/>
        <v>0</v>
      </c>
      <c r="I5512" s="18">
        <v>186858.72</v>
      </c>
      <c r="J5512" s="27">
        <v>410149.41</v>
      </c>
      <c r="K5512" s="18">
        <f t="shared" si="173"/>
        <v>0</v>
      </c>
      <c r="L5512" s="27">
        <v>209390.19</v>
      </c>
      <c r="M5512" s="36">
        <v>22531.47</v>
      </c>
      <c r="T5512" s="41">
        <v>0</v>
      </c>
      <c r="U5512" s="41">
        <v>0</v>
      </c>
      <c r="V5512" s="42" t="s">
        <v>113</v>
      </c>
      <c r="W5512" s="42">
        <v>0</v>
      </c>
      <c r="X5512" s="42">
        <v>0</v>
      </c>
    </row>
    <row r="5513" spans="1:24">
      <c r="A5513" s="27" t="s">
        <v>10150</v>
      </c>
      <c r="B5513" s="28" t="s">
        <v>5102</v>
      </c>
      <c r="C5513" s="27" t="s">
        <v>10151</v>
      </c>
      <c r="D5513" s="27" t="s">
        <v>230</v>
      </c>
      <c r="E5513" s="29">
        <v>41274</v>
      </c>
      <c r="F5513" s="27">
        <v>15</v>
      </c>
      <c r="G5513" s="18">
        <v>383592.98</v>
      </c>
      <c r="H5513" s="27">
        <f t="shared" si="172"/>
        <v>0</v>
      </c>
      <c r="I5513" s="18">
        <v>174759.96</v>
      </c>
      <c r="J5513" s="27">
        <v>383592.98</v>
      </c>
      <c r="K5513" s="18">
        <f t="shared" si="173"/>
        <v>0</v>
      </c>
      <c r="L5513" s="27">
        <v>195832.56</v>
      </c>
      <c r="M5513" s="36">
        <v>21072.6</v>
      </c>
      <c r="T5513" s="41">
        <v>0</v>
      </c>
      <c r="U5513" s="41">
        <v>0</v>
      </c>
      <c r="V5513" s="42" t="s">
        <v>113</v>
      </c>
      <c r="W5513" s="42">
        <v>0</v>
      </c>
      <c r="X5513" s="42">
        <v>0</v>
      </c>
    </row>
    <row r="5514" spans="1:24">
      <c r="A5514" s="27" t="s">
        <v>10152</v>
      </c>
      <c r="B5514" s="28" t="s">
        <v>5102</v>
      </c>
      <c r="C5514" s="27" t="s">
        <v>10153</v>
      </c>
      <c r="D5514" s="27" t="s">
        <v>230</v>
      </c>
      <c r="E5514" s="29">
        <v>41274</v>
      </c>
      <c r="F5514" s="27">
        <v>15</v>
      </c>
      <c r="G5514" s="18">
        <v>131601.9</v>
      </c>
      <c r="H5514" s="27">
        <f t="shared" si="172"/>
        <v>0</v>
      </c>
      <c r="I5514" s="18">
        <v>59956.11</v>
      </c>
      <c r="J5514" s="27">
        <v>131601.9</v>
      </c>
      <c r="K5514" s="18">
        <f t="shared" si="173"/>
        <v>0</v>
      </c>
      <c r="L5514" s="27">
        <v>67185.63</v>
      </c>
      <c r="M5514" s="36">
        <v>7229.52</v>
      </c>
      <c r="T5514" s="41">
        <v>0</v>
      </c>
      <c r="U5514" s="41">
        <v>0</v>
      </c>
      <c r="V5514" s="42" t="s">
        <v>113</v>
      </c>
      <c r="W5514" s="42">
        <v>0</v>
      </c>
      <c r="X5514" s="42">
        <v>0</v>
      </c>
    </row>
    <row r="5515" spans="1:24">
      <c r="A5515" s="27" t="s">
        <v>10154</v>
      </c>
      <c r="B5515" s="28" t="s">
        <v>5102</v>
      </c>
      <c r="C5515" s="27" t="s">
        <v>10155</v>
      </c>
      <c r="D5515" s="27" t="s">
        <v>230</v>
      </c>
      <c r="E5515" s="29">
        <v>41274</v>
      </c>
      <c r="F5515" s="27">
        <v>15</v>
      </c>
      <c r="G5515" s="18">
        <v>206550.06</v>
      </c>
      <c r="H5515" s="27">
        <f t="shared" si="172"/>
        <v>0</v>
      </c>
      <c r="I5515" s="18">
        <v>94101.51</v>
      </c>
      <c r="J5515" s="27">
        <v>206550.06</v>
      </c>
      <c r="K5515" s="18">
        <f t="shared" si="173"/>
        <v>0</v>
      </c>
      <c r="L5515" s="27">
        <v>105448.29</v>
      </c>
      <c r="M5515" s="36">
        <v>11346.78</v>
      </c>
      <c r="T5515" s="41">
        <v>0</v>
      </c>
      <c r="U5515" s="41">
        <v>0</v>
      </c>
      <c r="V5515" s="42" t="s">
        <v>113</v>
      </c>
      <c r="W5515" s="42">
        <v>0</v>
      </c>
      <c r="X5515" s="42">
        <v>0</v>
      </c>
    </row>
    <row r="5516" spans="1:24">
      <c r="A5516" s="27" t="s">
        <v>10156</v>
      </c>
      <c r="B5516" s="28" t="s">
        <v>5102</v>
      </c>
      <c r="C5516" s="27" t="s">
        <v>10157</v>
      </c>
      <c r="D5516" s="27" t="s">
        <v>230</v>
      </c>
      <c r="E5516" s="29">
        <v>41274</v>
      </c>
      <c r="F5516" s="27">
        <v>15</v>
      </c>
      <c r="G5516" s="18">
        <v>206550.06</v>
      </c>
      <c r="H5516" s="27">
        <f t="shared" si="172"/>
        <v>0</v>
      </c>
      <c r="I5516" s="18">
        <v>94101.51</v>
      </c>
      <c r="J5516" s="27">
        <v>206550.06</v>
      </c>
      <c r="K5516" s="18">
        <f t="shared" si="173"/>
        <v>0</v>
      </c>
      <c r="L5516" s="27">
        <v>105448.29</v>
      </c>
      <c r="M5516" s="36">
        <v>11346.78</v>
      </c>
      <c r="T5516" s="41">
        <v>0</v>
      </c>
      <c r="U5516" s="41">
        <v>0</v>
      </c>
      <c r="V5516" s="42" t="s">
        <v>113</v>
      </c>
      <c r="W5516" s="42">
        <v>0</v>
      </c>
      <c r="X5516" s="42">
        <v>0</v>
      </c>
    </row>
    <row r="5517" spans="1:24">
      <c r="A5517" s="27" t="s">
        <v>10158</v>
      </c>
      <c r="B5517" s="28" t="s">
        <v>5102</v>
      </c>
      <c r="C5517" s="27" t="s">
        <v>10159</v>
      </c>
      <c r="D5517" s="27" t="s">
        <v>230</v>
      </c>
      <c r="E5517" s="29">
        <v>41274</v>
      </c>
      <c r="F5517" s="27">
        <v>15</v>
      </c>
      <c r="G5517" s="18">
        <v>464442.57</v>
      </c>
      <c r="H5517" s="27">
        <f t="shared" si="172"/>
        <v>0</v>
      </c>
      <c r="I5517" s="18">
        <v>211593.98</v>
      </c>
      <c r="J5517" s="27">
        <v>464442.57</v>
      </c>
      <c r="K5517" s="18">
        <f t="shared" si="173"/>
        <v>0</v>
      </c>
      <c r="L5517" s="27">
        <v>237108.03</v>
      </c>
      <c r="M5517" s="36">
        <v>25514.05</v>
      </c>
      <c r="T5517" s="41">
        <v>0</v>
      </c>
      <c r="U5517" s="41">
        <v>0</v>
      </c>
      <c r="V5517" s="42" t="s">
        <v>113</v>
      </c>
      <c r="W5517" s="42">
        <v>0</v>
      </c>
      <c r="X5517" s="42">
        <v>0</v>
      </c>
    </row>
    <row r="5518" spans="1:24">
      <c r="A5518" s="27" t="s">
        <v>10160</v>
      </c>
      <c r="B5518" s="28" t="s">
        <v>5102</v>
      </c>
      <c r="C5518" s="27" t="s">
        <v>10161</v>
      </c>
      <c r="D5518" s="27" t="s">
        <v>230</v>
      </c>
      <c r="E5518" s="29">
        <v>41274</v>
      </c>
      <c r="F5518" s="27">
        <v>15</v>
      </c>
      <c r="G5518" s="18">
        <v>155797.76000000001</v>
      </c>
      <c r="H5518" s="27">
        <f t="shared" si="172"/>
        <v>0</v>
      </c>
      <c r="I5518" s="18">
        <v>70979.44</v>
      </c>
      <c r="J5518" s="27">
        <v>155797.76000000001</v>
      </c>
      <c r="K5518" s="18">
        <f t="shared" si="173"/>
        <v>0</v>
      </c>
      <c r="L5518" s="27">
        <v>79538.149999999994</v>
      </c>
      <c r="M5518" s="36">
        <v>8558.7099999999991</v>
      </c>
      <c r="T5518" s="41">
        <v>0</v>
      </c>
      <c r="U5518" s="41">
        <v>0</v>
      </c>
      <c r="V5518" s="42" t="s">
        <v>113</v>
      </c>
      <c r="W5518" s="42">
        <v>0</v>
      </c>
      <c r="X5518" s="42">
        <v>0</v>
      </c>
    </row>
    <row r="5519" spans="1:24">
      <c r="A5519" s="27" t="s">
        <v>10162</v>
      </c>
      <c r="B5519" s="28" t="s">
        <v>5102</v>
      </c>
      <c r="C5519" s="27" t="s">
        <v>10163</v>
      </c>
      <c r="D5519" s="27" t="s">
        <v>230</v>
      </c>
      <c r="E5519" s="29">
        <v>41274</v>
      </c>
      <c r="F5519" s="27">
        <v>15</v>
      </c>
      <c r="G5519" s="18">
        <v>207140.21</v>
      </c>
      <c r="H5519" s="27">
        <f t="shared" si="172"/>
        <v>0</v>
      </c>
      <c r="I5519" s="18">
        <v>94370.37</v>
      </c>
      <c r="J5519" s="27">
        <v>207140.21</v>
      </c>
      <c r="K5519" s="18">
        <f t="shared" si="173"/>
        <v>0</v>
      </c>
      <c r="L5519" s="27">
        <v>105749.57</v>
      </c>
      <c r="M5519" s="36">
        <v>11379.2</v>
      </c>
      <c r="T5519" s="41">
        <v>0</v>
      </c>
      <c r="U5519" s="41">
        <v>0</v>
      </c>
      <c r="V5519" s="42" t="s">
        <v>113</v>
      </c>
      <c r="W5519" s="42">
        <v>0</v>
      </c>
      <c r="X5519" s="42">
        <v>0</v>
      </c>
    </row>
    <row r="5520" spans="1:24">
      <c r="A5520" s="27" t="s">
        <v>10164</v>
      </c>
      <c r="B5520" s="28" t="s">
        <v>5102</v>
      </c>
      <c r="C5520" s="27" t="s">
        <v>10165</v>
      </c>
      <c r="D5520" s="27" t="s">
        <v>230</v>
      </c>
      <c r="E5520" s="29">
        <v>41274</v>
      </c>
      <c r="F5520" s="27">
        <v>15</v>
      </c>
      <c r="G5520" s="18">
        <v>475360.22</v>
      </c>
      <c r="H5520" s="27">
        <f t="shared" si="172"/>
        <v>0</v>
      </c>
      <c r="I5520" s="18">
        <v>216567.91</v>
      </c>
      <c r="J5520" s="27">
        <v>475360.22</v>
      </c>
      <c r="K5520" s="18">
        <f t="shared" si="173"/>
        <v>0</v>
      </c>
      <c r="L5520" s="27">
        <v>242681.72</v>
      </c>
      <c r="M5520" s="36">
        <v>26113.81</v>
      </c>
      <c r="T5520" s="41">
        <v>0</v>
      </c>
      <c r="U5520" s="41">
        <v>0</v>
      </c>
      <c r="V5520" s="42" t="s">
        <v>113</v>
      </c>
      <c r="W5520" s="42">
        <v>0</v>
      </c>
      <c r="X5520" s="42">
        <v>0</v>
      </c>
    </row>
    <row r="5521" spans="1:24">
      <c r="A5521" s="27" t="s">
        <v>10166</v>
      </c>
      <c r="B5521" s="28" t="s">
        <v>5102</v>
      </c>
      <c r="C5521" s="27" t="s">
        <v>10167</v>
      </c>
      <c r="D5521" s="27" t="s">
        <v>230</v>
      </c>
      <c r="E5521" s="29">
        <v>41274</v>
      </c>
      <c r="F5521" s="27">
        <v>15</v>
      </c>
      <c r="G5521" s="18">
        <v>79079.17</v>
      </c>
      <c r="H5521" s="27">
        <f t="shared" si="172"/>
        <v>0</v>
      </c>
      <c r="I5521" s="18">
        <v>36027.449999999997</v>
      </c>
      <c r="J5521" s="27">
        <v>79079.17</v>
      </c>
      <c r="K5521" s="18">
        <f t="shared" si="173"/>
        <v>0</v>
      </c>
      <c r="L5521" s="27">
        <v>40371.65</v>
      </c>
      <c r="M5521" s="36">
        <v>4344.2</v>
      </c>
      <c r="T5521" s="41">
        <v>0</v>
      </c>
      <c r="U5521" s="41">
        <v>0</v>
      </c>
      <c r="V5521" s="42" t="s">
        <v>113</v>
      </c>
      <c r="W5521" s="42">
        <v>0</v>
      </c>
      <c r="X5521" s="42">
        <v>0</v>
      </c>
    </row>
    <row r="5522" spans="1:24">
      <c r="A5522" s="27" t="s">
        <v>10168</v>
      </c>
      <c r="B5522" s="28" t="s">
        <v>5102</v>
      </c>
      <c r="C5522" s="27" t="s">
        <v>10169</v>
      </c>
      <c r="D5522" s="27" t="s">
        <v>230</v>
      </c>
      <c r="E5522" s="29">
        <v>41274</v>
      </c>
      <c r="F5522" s="27">
        <v>15</v>
      </c>
      <c r="G5522" s="18">
        <v>590143.04</v>
      </c>
      <c r="H5522" s="27">
        <f t="shared" si="172"/>
        <v>0</v>
      </c>
      <c r="I5522" s="18">
        <v>268861.46999999997</v>
      </c>
      <c r="J5522" s="27">
        <v>590143.04</v>
      </c>
      <c r="K5522" s="18">
        <f t="shared" si="173"/>
        <v>0</v>
      </c>
      <c r="L5522" s="27">
        <v>301280.84999999998</v>
      </c>
      <c r="M5522" s="36">
        <v>32419.38</v>
      </c>
      <c r="T5522" s="41">
        <v>0</v>
      </c>
      <c r="U5522" s="41">
        <v>0</v>
      </c>
      <c r="V5522" s="42" t="s">
        <v>113</v>
      </c>
      <c r="W5522" s="42">
        <v>0</v>
      </c>
      <c r="X5522" s="42">
        <v>0</v>
      </c>
    </row>
    <row r="5523" spans="1:24">
      <c r="A5523" s="27" t="s">
        <v>10170</v>
      </c>
      <c r="B5523" s="28" t="s">
        <v>5102</v>
      </c>
      <c r="C5523" s="27" t="s">
        <v>10171</v>
      </c>
      <c r="D5523" s="27" t="s">
        <v>230</v>
      </c>
      <c r="E5523" s="29">
        <v>41274</v>
      </c>
      <c r="F5523" s="27">
        <v>15</v>
      </c>
      <c r="G5523" s="18">
        <v>553259.1</v>
      </c>
      <c r="H5523" s="27">
        <f t="shared" si="172"/>
        <v>0</v>
      </c>
      <c r="I5523" s="18">
        <v>252057.63</v>
      </c>
      <c r="J5523" s="27">
        <v>553259.1</v>
      </c>
      <c r="K5523" s="18">
        <f t="shared" si="173"/>
        <v>0</v>
      </c>
      <c r="L5523" s="27">
        <v>282450.8</v>
      </c>
      <c r="M5523" s="36">
        <v>30393.17</v>
      </c>
      <c r="T5523" s="41">
        <v>0</v>
      </c>
      <c r="U5523" s="41">
        <v>0</v>
      </c>
      <c r="V5523" s="42" t="s">
        <v>113</v>
      </c>
      <c r="W5523" s="42">
        <v>0</v>
      </c>
      <c r="X5523" s="42">
        <v>0</v>
      </c>
    </row>
    <row r="5524" spans="1:24">
      <c r="A5524" s="27" t="s">
        <v>10172</v>
      </c>
      <c r="B5524" s="28" t="s">
        <v>5102</v>
      </c>
      <c r="C5524" s="27" t="s">
        <v>10173</v>
      </c>
      <c r="D5524" s="27" t="s">
        <v>230</v>
      </c>
      <c r="E5524" s="29">
        <v>41274</v>
      </c>
      <c r="F5524" s="27">
        <v>15</v>
      </c>
      <c r="G5524" s="18">
        <v>272351.01</v>
      </c>
      <c r="H5524" s="27">
        <f t="shared" si="172"/>
        <v>0</v>
      </c>
      <c r="I5524" s="18">
        <v>124079.56</v>
      </c>
      <c r="J5524" s="27">
        <v>272351.01</v>
      </c>
      <c r="K5524" s="18">
        <f t="shared" si="173"/>
        <v>0</v>
      </c>
      <c r="L5524" s="27">
        <v>139041.1</v>
      </c>
      <c r="M5524" s="36">
        <v>14961.54</v>
      </c>
      <c r="T5524" s="41">
        <v>0</v>
      </c>
      <c r="U5524" s="41">
        <v>0</v>
      </c>
      <c r="V5524" s="42" t="s">
        <v>113</v>
      </c>
      <c r="W5524" s="42">
        <v>0</v>
      </c>
      <c r="X5524" s="42">
        <v>0</v>
      </c>
    </row>
    <row r="5525" spans="1:24">
      <c r="A5525" s="27" t="s">
        <v>10174</v>
      </c>
      <c r="B5525" s="28" t="s">
        <v>5102</v>
      </c>
      <c r="C5525" s="27" t="s">
        <v>10175</v>
      </c>
      <c r="D5525" s="27" t="s">
        <v>230</v>
      </c>
      <c r="E5525" s="29">
        <v>41274</v>
      </c>
      <c r="F5525" s="27">
        <v>15</v>
      </c>
      <c r="G5525" s="18">
        <v>519325.88</v>
      </c>
      <c r="H5525" s="27">
        <f t="shared" si="172"/>
        <v>0</v>
      </c>
      <c r="I5525" s="18">
        <v>236598.1</v>
      </c>
      <c r="J5525" s="27">
        <v>519325.88</v>
      </c>
      <c r="K5525" s="18">
        <f t="shared" si="173"/>
        <v>0</v>
      </c>
      <c r="L5525" s="27">
        <v>265127.15000000002</v>
      </c>
      <c r="M5525" s="36">
        <v>28529.05</v>
      </c>
      <c r="T5525" s="41">
        <v>0</v>
      </c>
      <c r="U5525" s="41">
        <v>0</v>
      </c>
      <c r="V5525" s="42" t="s">
        <v>113</v>
      </c>
      <c r="W5525" s="42">
        <v>0</v>
      </c>
      <c r="X5525" s="42">
        <v>0</v>
      </c>
    </row>
    <row r="5526" spans="1:24">
      <c r="A5526" s="27" t="s">
        <v>10176</v>
      </c>
      <c r="B5526" s="28" t="s">
        <v>5102</v>
      </c>
      <c r="C5526" s="27" t="s">
        <v>10177</v>
      </c>
      <c r="D5526" s="27" t="s">
        <v>230</v>
      </c>
      <c r="E5526" s="29">
        <v>41274</v>
      </c>
      <c r="F5526" s="27">
        <v>15</v>
      </c>
      <c r="G5526" s="18">
        <v>154912.54999999999</v>
      </c>
      <c r="H5526" s="27">
        <f t="shared" si="172"/>
        <v>0</v>
      </c>
      <c r="I5526" s="18">
        <v>70576.14</v>
      </c>
      <c r="J5526" s="27">
        <v>154912.54999999999</v>
      </c>
      <c r="K5526" s="18">
        <f t="shared" si="173"/>
        <v>0</v>
      </c>
      <c r="L5526" s="27">
        <v>79086.23</v>
      </c>
      <c r="M5526" s="36">
        <v>8510.09</v>
      </c>
      <c r="T5526" s="41">
        <v>0</v>
      </c>
      <c r="U5526" s="41">
        <v>0</v>
      </c>
      <c r="V5526" s="42" t="s">
        <v>113</v>
      </c>
      <c r="W5526" s="42">
        <v>0</v>
      </c>
      <c r="X5526" s="42">
        <v>0</v>
      </c>
    </row>
    <row r="5527" spans="1:24">
      <c r="A5527" s="27" t="s">
        <v>10178</v>
      </c>
      <c r="B5527" s="28" t="s">
        <v>5102</v>
      </c>
      <c r="C5527" s="27" t="s">
        <v>10179</v>
      </c>
      <c r="D5527" s="27" t="s">
        <v>230</v>
      </c>
      <c r="E5527" s="29">
        <v>41274</v>
      </c>
      <c r="F5527" s="27">
        <v>15</v>
      </c>
      <c r="G5527" s="18">
        <v>407198.7</v>
      </c>
      <c r="H5527" s="27">
        <f t="shared" si="172"/>
        <v>0</v>
      </c>
      <c r="I5527" s="18">
        <v>185514.42</v>
      </c>
      <c r="J5527" s="27">
        <v>407198.7</v>
      </c>
      <c r="K5527" s="18">
        <f t="shared" si="173"/>
        <v>0</v>
      </c>
      <c r="L5527" s="27">
        <v>207883.79</v>
      </c>
      <c r="M5527" s="36">
        <v>22369.37</v>
      </c>
      <c r="T5527" s="41">
        <v>0</v>
      </c>
      <c r="U5527" s="41">
        <v>0</v>
      </c>
      <c r="V5527" s="42" t="s">
        <v>113</v>
      </c>
      <c r="W5527" s="42">
        <v>0</v>
      </c>
      <c r="X5527" s="42">
        <v>0</v>
      </c>
    </row>
    <row r="5528" spans="1:24">
      <c r="A5528" s="27" t="s">
        <v>10180</v>
      </c>
      <c r="B5528" s="28" t="s">
        <v>5102</v>
      </c>
      <c r="C5528" s="27" t="s">
        <v>10181</v>
      </c>
      <c r="D5528" s="27" t="s">
        <v>230</v>
      </c>
      <c r="E5528" s="29">
        <v>41274</v>
      </c>
      <c r="F5528" s="27">
        <v>15</v>
      </c>
      <c r="G5528" s="18">
        <v>301268.02</v>
      </c>
      <c r="H5528" s="27">
        <f t="shared" si="172"/>
        <v>0</v>
      </c>
      <c r="I5528" s="18">
        <v>137253.78</v>
      </c>
      <c r="J5528" s="27">
        <v>301268.02</v>
      </c>
      <c r="K5528" s="18">
        <f t="shared" si="173"/>
        <v>0</v>
      </c>
      <c r="L5528" s="27">
        <v>153803.87</v>
      </c>
      <c r="M5528" s="36">
        <v>16550.09</v>
      </c>
      <c r="T5528" s="41">
        <v>0</v>
      </c>
      <c r="U5528" s="41">
        <v>0</v>
      </c>
      <c r="V5528" s="42" t="s">
        <v>113</v>
      </c>
      <c r="W5528" s="42">
        <v>0</v>
      </c>
      <c r="X5528" s="42">
        <v>0</v>
      </c>
    </row>
    <row r="5529" spans="1:24">
      <c r="A5529" s="27" t="s">
        <v>10182</v>
      </c>
      <c r="B5529" s="28" t="s">
        <v>5102</v>
      </c>
      <c r="C5529" s="27" t="s">
        <v>10183</v>
      </c>
      <c r="D5529" s="27" t="s">
        <v>230</v>
      </c>
      <c r="E5529" s="29">
        <v>41274</v>
      </c>
      <c r="F5529" s="27">
        <v>15</v>
      </c>
      <c r="G5529" s="18">
        <v>191796.49</v>
      </c>
      <c r="H5529" s="27">
        <f t="shared" si="172"/>
        <v>0</v>
      </c>
      <c r="I5529" s="18">
        <v>87379.99</v>
      </c>
      <c r="J5529" s="27">
        <v>191796.49</v>
      </c>
      <c r="K5529" s="18">
        <f t="shared" si="173"/>
        <v>0</v>
      </c>
      <c r="L5529" s="27">
        <v>97916.29</v>
      </c>
      <c r="M5529" s="36">
        <v>10536.3</v>
      </c>
      <c r="T5529" s="41">
        <v>0</v>
      </c>
      <c r="U5529" s="41">
        <v>0</v>
      </c>
      <c r="V5529" s="42" t="s">
        <v>113</v>
      </c>
      <c r="W5529" s="42">
        <v>0</v>
      </c>
      <c r="X5529" s="42">
        <v>0</v>
      </c>
    </row>
    <row r="5530" spans="1:24">
      <c r="A5530" s="27" t="s">
        <v>10184</v>
      </c>
      <c r="B5530" s="28" t="s">
        <v>5102</v>
      </c>
      <c r="C5530" s="27" t="s">
        <v>10185</v>
      </c>
      <c r="D5530" s="27" t="s">
        <v>230</v>
      </c>
      <c r="E5530" s="29">
        <v>41274</v>
      </c>
      <c r="F5530" s="27">
        <v>15</v>
      </c>
      <c r="G5530" s="18">
        <v>324578.67</v>
      </c>
      <c r="H5530" s="27">
        <f t="shared" si="172"/>
        <v>0</v>
      </c>
      <c r="I5530" s="18">
        <v>147873.81</v>
      </c>
      <c r="J5530" s="27">
        <v>324578.67</v>
      </c>
      <c r="K5530" s="18">
        <f t="shared" si="173"/>
        <v>0</v>
      </c>
      <c r="L5530" s="27">
        <v>165704.47</v>
      </c>
      <c r="M5530" s="36">
        <v>17830.66</v>
      </c>
      <c r="T5530" s="41">
        <v>0</v>
      </c>
      <c r="U5530" s="41">
        <v>0</v>
      </c>
      <c r="V5530" s="42" t="s">
        <v>113</v>
      </c>
      <c r="W5530" s="42">
        <v>0</v>
      </c>
      <c r="X5530" s="42">
        <v>0</v>
      </c>
    </row>
    <row r="5531" spans="1:24">
      <c r="A5531" s="27" t="s">
        <v>10186</v>
      </c>
      <c r="B5531" s="28" t="s">
        <v>5102</v>
      </c>
      <c r="C5531" s="27" t="s">
        <v>10187</v>
      </c>
      <c r="D5531" s="27" t="s">
        <v>230</v>
      </c>
      <c r="E5531" s="29">
        <v>41274</v>
      </c>
      <c r="F5531" s="27">
        <v>15</v>
      </c>
      <c r="G5531" s="18">
        <v>236057.22</v>
      </c>
      <c r="H5531" s="27">
        <f t="shared" si="172"/>
        <v>0</v>
      </c>
      <c r="I5531" s="18">
        <v>107544.59</v>
      </c>
      <c r="J5531" s="27">
        <v>236057.22</v>
      </c>
      <c r="K5531" s="18">
        <f t="shared" si="173"/>
        <v>0</v>
      </c>
      <c r="L5531" s="27">
        <v>120512.34</v>
      </c>
      <c r="M5531" s="36">
        <v>12967.75</v>
      </c>
      <c r="T5531" s="41">
        <v>0</v>
      </c>
      <c r="U5531" s="41">
        <v>0</v>
      </c>
      <c r="V5531" s="42" t="s">
        <v>113</v>
      </c>
      <c r="W5531" s="42">
        <v>0</v>
      </c>
      <c r="X5531" s="42">
        <v>0</v>
      </c>
    </row>
    <row r="5532" spans="1:24">
      <c r="A5532" s="27" t="s">
        <v>10188</v>
      </c>
      <c r="B5532" s="28" t="s">
        <v>5102</v>
      </c>
      <c r="C5532" s="27" t="s">
        <v>10189</v>
      </c>
      <c r="D5532" s="27" t="s">
        <v>230</v>
      </c>
      <c r="E5532" s="29">
        <v>41274</v>
      </c>
      <c r="F5532" s="27">
        <v>15</v>
      </c>
      <c r="G5532" s="18">
        <v>178813.34</v>
      </c>
      <c r="H5532" s="27">
        <f t="shared" si="172"/>
        <v>0</v>
      </c>
      <c r="I5532" s="18">
        <v>81465.02</v>
      </c>
      <c r="J5532" s="27">
        <v>178813.34</v>
      </c>
      <c r="K5532" s="18">
        <f t="shared" si="173"/>
        <v>0</v>
      </c>
      <c r="L5532" s="27">
        <v>91288.09</v>
      </c>
      <c r="M5532" s="36">
        <v>9823.07</v>
      </c>
      <c r="T5532" s="41">
        <v>0</v>
      </c>
      <c r="U5532" s="41">
        <v>0</v>
      </c>
      <c r="V5532" s="42" t="s">
        <v>113</v>
      </c>
      <c r="W5532" s="42">
        <v>0</v>
      </c>
      <c r="X5532" s="42">
        <v>0</v>
      </c>
    </row>
    <row r="5533" spans="1:24">
      <c r="A5533" s="27" t="s">
        <v>10190</v>
      </c>
      <c r="B5533" s="28" t="s">
        <v>5102</v>
      </c>
      <c r="C5533" s="27" t="s">
        <v>10191</v>
      </c>
      <c r="D5533" s="27" t="s">
        <v>230</v>
      </c>
      <c r="E5533" s="29">
        <v>41274</v>
      </c>
      <c r="F5533" s="27">
        <v>15</v>
      </c>
      <c r="G5533" s="18">
        <v>312775.81</v>
      </c>
      <c r="H5533" s="27">
        <f t="shared" si="172"/>
        <v>0</v>
      </c>
      <c r="I5533" s="18">
        <v>142496.57</v>
      </c>
      <c r="J5533" s="27">
        <v>312775.81</v>
      </c>
      <c r="K5533" s="18">
        <f t="shared" si="173"/>
        <v>0</v>
      </c>
      <c r="L5533" s="27">
        <v>159678.84</v>
      </c>
      <c r="M5533" s="36">
        <v>17182.27</v>
      </c>
      <c r="T5533" s="41">
        <v>0</v>
      </c>
      <c r="U5533" s="41">
        <v>0</v>
      </c>
      <c r="V5533" s="42" t="s">
        <v>113</v>
      </c>
      <c r="W5533" s="42">
        <v>0</v>
      </c>
      <c r="X5533" s="42">
        <v>0</v>
      </c>
    </row>
    <row r="5534" spans="1:24">
      <c r="A5534" s="27" t="s">
        <v>10192</v>
      </c>
      <c r="B5534" s="28" t="s">
        <v>5102</v>
      </c>
      <c r="C5534" s="27" t="s">
        <v>10193</v>
      </c>
      <c r="D5534" s="27" t="s">
        <v>230</v>
      </c>
      <c r="E5534" s="29">
        <v>41274</v>
      </c>
      <c r="F5534" s="27">
        <v>15</v>
      </c>
      <c r="G5534" s="18">
        <v>166125.26999999999</v>
      </c>
      <c r="H5534" s="27">
        <f t="shared" si="172"/>
        <v>0</v>
      </c>
      <c r="I5534" s="18">
        <v>75684.5</v>
      </c>
      <c r="J5534" s="27">
        <v>166125.26999999999</v>
      </c>
      <c r="K5534" s="18">
        <f t="shared" si="173"/>
        <v>0</v>
      </c>
      <c r="L5534" s="27">
        <v>84810.559999999998</v>
      </c>
      <c r="M5534" s="36">
        <v>9126.06</v>
      </c>
      <c r="T5534" s="41">
        <v>0</v>
      </c>
      <c r="U5534" s="41">
        <v>0</v>
      </c>
      <c r="V5534" s="42" t="s">
        <v>113</v>
      </c>
      <c r="W5534" s="42">
        <v>0</v>
      </c>
      <c r="X5534" s="42">
        <v>0</v>
      </c>
    </row>
    <row r="5535" spans="1:24">
      <c r="A5535" s="27" t="s">
        <v>10194</v>
      </c>
      <c r="B5535" s="28" t="s">
        <v>5102</v>
      </c>
      <c r="C5535" s="27" t="s">
        <v>10195</v>
      </c>
      <c r="D5535" s="27" t="s">
        <v>230</v>
      </c>
      <c r="E5535" s="29">
        <v>41274</v>
      </c>
      <c r="F5535" s="27">
        <v>15</v>
      </c>
      <c r="G5535" s="18">
        <v>215402.21</v>
      </c>
      <c r="H5535" s="27">
        <f t="shared" si="172"/>
        <v>0</v>
      </c>
      <c r="I5535" s="18">
        <v>98134.43</v>
      </c>
      <c r="J5535" s="27">
        <v>215402.21</v>
      </c>
      <c r="K5535" s="18">
        <f t="shared" si="173"/>
        <v>0</v>
      </c>
      <c r="L5535" s="27">
        <v>109967.5</v>
      </c>
      <c r="M5535" s="36">
        <v>11833.07</v>
      </c>
      <c r="T5535" s="41">
        <v>0</v>
      </c>
      <c r="U5535" s="41">
        <v>0</v>
      </c>
      <c r="V5535" s="42" t="s">
        <v>113</v>
      </c>
      <c r="W5535" s="42">
        <v>0</v>
      </c>
      <c r="X5535" s="42">
        <v>0</v>
      </c>
    </row>
    <row r="5536" spans="1:24">
      <c r="A5536" s="27" t="s">
        <v>10196</v>
      </c>
      <c r="B5536" s="28" t="s">
        <v>5102</v>
      </c>
      <c r="C5536" s="27" t="s">
        <v>10197</v>
      </c>
      <c r="D5536" s="27" t="s">
        <v>230</v>
      </c>
      <c r="E5536" s="29">
        <v>41274</v>
      </c>
      <c r="F5536" s="27">
        <v>15</v>
      </c>
      <c r="G5536" s="18">
        <v>398346.55</v>
      </c>
      <c r="H5536" s="27">
        <f t="shared" si="172"/>
        <v>0</v>
      </c>
      <c r="I5536" s="18">
        <v>181481.49</v>
      </c>
      <c r="J5536" s="27">
        <v>398346.55</v>
      </c>
      <c r="K5536" s="18">
        <f t="shared" si="173"/>
        <v>0</v>
      </c>
      <c r="L5536" s="27">
        <v>203364.57</v>
      </c>
      <c r="M5536" s="36">
        <v>21883.08</v>
      </c>
      <c r="T5536" s="41">
        <v>0</v>
      </c>
      <c r="U5536" s="41">
        <v>0</v>
      </c>
      <c r="V5536" s="42" t="s">
        <v>113</v>
      </c>
      <c r="W5536" s="42">
        <v>0</v>
      </c>
      <c r="X5536" s="42">
        <v>0</v>
      </c>
    </row>
    <row r="5537" spans="1:24">
      <c r="A5537" s="27" t="s">
        <v>10198</v>
      </c>
      <c r="B5537" s="28" t="s">
        <v>5102</v>
      </c>
      <c r="C5537" s="27" t="s">
        <v>10199</v>
      </c>
      <c r="D5537" s="27" t="s">
        <v>230</v>
      </c>
      <c r="E5537" s="29">
        <v>41274</v>
      </c>
      <c r="F5537" s="27">
        <v>15</v>
      </c>
      <c r="G5537" s="18">
        <v>256712.22</v>
      </c>
      <c r="H5537" s="27">
        <f t="shared" si="172"/>
        <v>0</v>
      </c>
      <c r="I5537" s="18">
        <v>116954.74</v>
      </c>
      <c r="J5537" s="27">
        <v>256712.22</v>
      </c>
      <c r="K5537" s="18">
        <f t="shared" si="173"/>
        <v>0</v>
      </c>
      <c r="L5537" s="27">
        <v>131057.17</v>
      </c>
      <c r="M5537" s="36">
        <v>14102.43</v>
      </c>
      <c r="T5537" s="41">
        <v>0</v>
      </c>
      <c r="U5537" s="41">
        <v>0</v>
      </c>
      <c r="V5537" s="42" t="s">
        <v>113</v>
      </c>
      <c r="W5537" s="42">
        <v>0</v>
      </c>
      <c r="X5537" s="42">
        <v>0</v>
      </c>
    </row>
    <row r="5538" spans="1:24">
      <c r="A5538" s="27" t="s">
        <v>10200</v>
      </c>
      <c r="B5538" s="28" t="s">
        <v>5102</v>
      </c>
      <c r="C5538" s="27" t="s">
        <v>10201</v>
      </c>
      <c r="D5538" s="27" t="s">
        <v>230</v>
      </c>
      <c r="E5538" s="29">
        <v>41274</v>
      </c>
      <c r="F5538" s="27">
        <v>15</v>
      </c>
      <c r="G5538" s="18">
        <v>274711.59000000003</v>
      </c>
      <c r="H5538" s="27">
        <f t="shared" si="172"/>
        <v>0</v>
      </c>
      <c r="I5538" s="18">
        <v>125155.02</v>
      </c>
      <c r="J5538" s="27">
        <v>274711.59000000003</v>
      </c>
      <c r="K5538" s="18">
        <f t="shared" si="173"/>
        <v>0</v>
      </c>
      <c r="L5538" s="27">
        <v>140246.24</v>
      </c>
      <c r="M5538" s="36">
        <v>15091.22</v>
      </c>
      <c r="T5538" s="41">
        <v>0</v>
      </c>
      <c r="U5538" s="41">
        <v>0</v>
      </c>
      <c r="V5538" s="42" t="s">
        <v>113</v>
      </c>
      <c r="W5538" s="42">
        <v>0</v>
      </c>
      <c r="X5538" s="42">
        <v>0</v>
      </c>
    </row>
    <row r="5539" spans="1:24">
      <c r="A5539" s="27" t="s">
        <v>10202</v>
      </c>
      <c r="B5539" s="28" t="s">
        <v>5102</v>
      </c>
      <c r="C5539" s="27" t="s">
        <v>10203</v>
      </c>
      <c r="D5539" s="27" t="s">
        <v>230</v>
      </c>
      <c r="E5539" s="29">
        <v>41274</v>
      </c>
      <c r="F5539" s="27">
        <v>15</v>
      </c>
      <c r="G5539" s="18">
        <v>313070.88</v>
      </c>
      <c r="H5539" s="27">
        <f t="shared" si="172"/>
        <v>0</v>
      </c>
      <c r="I5539" s="18">
        <v>142631.01999999999</v>
      </c>
      <c r="J5539" s="27">
        <v>313070.88</v>
      </c>
      <c r="K5539" s="18">
        <f t="shared" si="173"/>
        <v>0</v>
      </c>
      <c r="L5539" s="27">
        <v>159829.5</v>
      </c>
      <c r="M5539" s="36">
        <v>17198.48</v>
      </c>
      <c r="T5539" s="41">
        <v>0</v>
      </c>
      <c r="U5539" s="41">
        <v>0</v>
      </c>
      <c r="V5539" s="42" t="s">
        <v>113</v>
      </c>
      <c r="W5539" s="42">
        <v>0</v>
      </c>
      <c r="X5539" s="42">
        <v>0</v>
      </c>
    </row>
    <row r="5540" spans="1:24">
      <c r="A5540" s="27" t="s">
        <v>10204</v>
      </c>
      <c r="B5540" s="28" t="s">
        <v>5102</v>
      </c>
      <c r="C5540" s="27" t="s">
        <v>10205</v>
      </c>
      <c r="D5540" s="27" t="s">
        <v>230</v>
      </c>
      <c r="E5540" s="29">
        <v>41274</v>
      </c>
      <c r="F5540" s="27">
        <v>15</v>
      </c>
      <c r="G5540" s="18">
        <v>203599.35</v>
      </c>
      <c r="H5540" s="27">
        <f t="shared" si="172"/>
        <v>0</v>
      </c>
      <c r="I5540" s="18">
        <v>92757.2</v>
      </c>
      <c r="J5540" s="27">
        <v>203599.35</v>
      </c>
      <c r="K5540" s="18">
        <f t="shared" si="173"/>
        <v>0</v>
      </c>
      <c r="L5540" s="27">
        <v>103941.89</v>
      </c>
      <c r="M5540" s="36">
        <v>11184.69</v>
      </c>
      <c r="T5540" s="41">
        <v>0</v>
      </c>
      <c r="U5540" s="41">
        <v>0</v>
      </c>
      <c r="V5540" s="42" t="s">
        <v>113</v>
      </c>
      <c r="W5540" s="42">
        <v>0</v>
      </c>
      <c r="X5540" s="42">
        <v>0</v>
      </c>
    </row>
    <row r="5541" spans="1:24">
      <c r="A5541" s="27" t="s">
        <v>10206</v>
      </c>
      <c r="B5541" s="28" t="s">
        <v>5102</v>
      </c>
      <c r="C5541" s="27" t="s">
        <v>10207</v>
      </c>
      <c r="D5541" s="27" t="s">
        <v>230</v>
      </c>
      <c r="E5541" s="29">
        <v>41274</v>
      </c>
      <c r="F5541" s="27">
        <v>15</v>
      </c>
      <c r="G5541" s="18">
        <v>253761.51</v>
      </c>
      <c r="H5541" s="27">
        <f t="shared" si="172"/>
        <v>0</v>
      </c>
      <c r="I5541" s="18">
        <v>115610.42</v>
      </c>
      <c r="J5541" s="27">
        <v>253761.51</v>
      </c>
      <c r="K5541" s="18">
        <f t="shared" si="173"/>
        <v>0</v>
      </c>
      <c r="L5541" s="27">
        <v>129550.75</v>
      </c>
      <c r="M5541" s="36">
        <v>13940.33</v>
      </c>
      <c r="T5541" s="41">
        <v>0</v>
      </c>
      <c r="U5541" s="41">
        <v>0</v>
      </c>
      <c r="V5541" s="42" t="s">
        <v>113</v>
      </c>
      <c r="W5541" s="42">
        <v>0</v>
      </c>
      <c r="X5541" s="42">
        <v>0</v>
      </c>
    </row>
    <row r="5542" spans="1:24">
      <c r="A5542" s="27" t="s">
        <v>10208</v>
      </c>
      <c r="B5542" s="28" t="s">
        <v>5102</v>
      </c>
      <c r="C5542" s="27" t="s">
        <v>10209</v>
      </c>
      <c r="D5542" s="27" t="s">
        <v>230</v>
      </c>
      <c r="E5542" s="29">
        <v>41274</v>
      </c>
      <c r="F5542" s="27">
        <v>15</v>
      </c>
      <c r="G5542" s="18">
        <v>616994.55000000005</v>
      </c>
      <c r="H5542" s="27">
        <f t="shared" si="172"/>
        <v>0</v>
      </c>
      <c r="I5542" s="18">
        <v>281094.67</v>
      </c>
      <c r="J5542" s="27">
        <v>616994.55000000005</v>
      </c>
      <c r="K5542" s="18">
        <f t="shared" si="173"/>
        <v>0</v>
      </c>
      <c r="L5542" s="27">
        <v>314989.13</v>
      </c>
      <c r="M5542" s="36">
        <v>33894.46</v>
      </c>
      <c r="T5542" s="41">
        <v>0</v>
      </c>
      <c r="U5542" s="41">
        <v>0</v>
      </c>
      <c r="V5542" s="42" t="s">
        <v>113</v>
      </c>
      <c r="W5542" s="42">
        <v>0</v>
      </c>
      <c r="X5542" s="42">
        <v>0</v>
      </c>
    </row>
    <row r="5543" spans="1:24">
      <c r="A5543" s="27" t="s">
        <v>10210</v>
      </c>
      <c r="B5543" s="28" t="s">
        <v>5102</v>
      </c>
      <c r="C5543" s="27" t="s">
        <v>10211</v>
      </c>
      <c r="D5543" s="27" t="s">
        <v>230</v>
      </c>
      <c r="E5543" s="29">
        <v>41274</v>
      </c>
      <c r="F5543" s="27">
        <v>15</v>
      </c>
      <c r="G5543" s="18">
        <v>242548.79</v>
      </c>
      <c r="H5543" s="27">
        <f t="shared" si="172"/>
        <v>0</v>
      </c>
      <c r="I5543" s="18">
        <v>110502.07</v>
      </c>
      <c r="J5543" s="27">
        <v>242548.79</v>
      </c>
      <c r="K5543" s="18">
        <f t="shared" si="173"/>
        <v>0</v>
      </c>
      <c r="L5543" s="27">
        <v>123826.43</v>
      </c>
      <c r="M5543" s="36">
        <v>13324.36</v>
      </c>
      <c r="T5543" s="41">
        <v>0</v>
      </c>
      <c r="U5543" s="41">
        <v>0</v>
      </c>
      <c r="V5543" s="42" t="s">
        <v>113</v>
      </c>
      <c r="W5543" s="42">
        <v>0</v>
      </c>
      <c r="X5543" s="42">
        <v>0</v>
      </c>
    </row>
    <row r="5544" spans="1:24">
      <c r="A5544" s="27" t="s">
        <v>10212</v>
      </c>
      <c r="B5544" s="28" t="s">
        <v>5102</v>
      </c>
      <c r="C5544" s="27" t="s">
        <v>10213</v>
      </c>
      <c r="D5544" s="27" t="s">
        <v>230</v>
      </c>
      <c r="E5544" s="29">
        <v>41274</v>
      </c>
      <c r="F5544" s="27">
        <v>15</v>
      </c>
      <c r="G5544" s="18">
        <v>395690.91</v>
      </c>
      <c r="H5544" s="27">
        <f t="shared" si="172"/>
        <v>0</v>
      </c>
      <c r="I5544" s="18">
        <v>180271.61</v>
      </c>
      <c r="J5544" s="27">
        <v>395690.91</v>
      </c>
      <c r="K5544" s="18">
        <f t="shared" si="173"/>
        <v>0</v>
      </c>
      <c r="L5544" s="27">
        <v>202008.8</v>
      </c>
      <c r="M5544" s="36">
        <v>21737.19</v>
      </c>
      <c r="T5544" s="41">
        <v>0</v>
      </c>
      <c r="U5544" s="41">
        <v>0</v>
      </c>
      <c r="V5544" s="42" t="s">
        <v>113</v>
      </c>
      <c r="W5544" s="42">
        <v>0</v>
      </c>
      <c r="X5544" s="42">
        <v>0</v>
      </c>
    </row>
    <row r="5545" spans="1:24">
      <c r="A5545" s="27" t="s">
        <v>10214</v>
      </c>
      <c r="B5545" s="28" t="s">
        <v>5102</v>
      </c>
      <c r="C5545" s="27" t="s">
        <v>10215</v>
      </c>
      <c r="D5545" s="27" t="s">
        <v>230</v>
      </c>
      <c r="E5545" s="29">
        <v>41274</v>
      </c>
      <c r="F5545" s="27">
        <v>15</v>
      </c>
      <c r="G5545" s="18">
        <v>283268.65999999997</v>
      </c>
      <c r="H5545" s="27">
        <f t="shared" si="172"/>
        <v>0</v>
      </c>
      <c r="I5545" s="18">
        <v>129053.5</v>
      </c>
      <c r="J5545" s="27">
        <v>283268.65999999997</v>
      </c>
      <c r="K5545" s="18">
        <f t="shared" si="173"/>
        <v>0</v>
      </c>
      <c r="L5545" s="27">
        <v>144614.79999999999</v>
      </c>
      <c r="M5545" s="36">
        <v>15561.3</v>
      </c>
      <c r="T5545" s="41">
        <v>0</v>
      </c>
      <c r="U5545" s="41">
        <v>0</v>
      </c>
      <c r="V5545" s="42" t="s">
        <v>113</v>
      </c>
      <c r="W5545" s="42">
        <v>0</v>
      </c>
      <c r="X5545" s="42">
        <v>0</v>
      </c>
    </row>
    <row r="5546" spans="1:24">
      <c r="A5546" s="27" t="s">
        <v>10216</v>
      </c>
      <c r="B5546" s="28" t="s">
        <v>5102</v>
      </c>
      <c r="C5546" s="27" t="s">
        <v>10217</v>
      </c>
      <c r="D5546" s="27" t="s">
        <v>230</v>
      </c>
      <c r="E5546" s="29">
        <v>41274</v>
      </c>
      <c r="F5546" s="27">
        <v>15</v>
      </c>
      <c r="G5546" s="18">
        <v>100324.15</v>
      </c>
      <c r="H5546" s="27">
        <f t="shared" si="172"/>
        <v>0</v>
      </c>
      <c r="I5546" s="18">
        <v>45706.38</v>
      </c>
      <c r="J5546" s="27">
        <v>100324.15</v>
      </c>
      <c r="K5546" s="18">
        <f t="shared" si="173"/>
        <v>0</v>
      </c>
      <c r="L5546" s="27">
        <v>51217.66</v>
      </c>
      <c r="M5546" s="36">
        <v>5511.28</v>
      </c>
      <c r="T5546" s="41">
        <v>0</v>
      </c>
      <c r="U5546" s="41">
        <v>0</v>
      </c>
      <c r="V5546" s="42" t="s">
        <v>113</v>
      </c>
      <c r="W5546" s="42">
        <v>0</v>
      </c>
      <c r="X5546" s="42">
        <v>0</v>
      </c>
    </row>
    <row r="5547" spans="1:24">
      <c r="A5547" s="27" t="s">
        <v>10218</v>
      </c>
      <c r="B5547" s="28" t="s">
        <v>5102</v>
      </c>
      <c r="C5547" s="27" t="s">
        <v>10219</v>
      </c>
      <c r="D5547" s="27" t="s">
        <v>5104</v>
      </c>
      <c r="E5547" s="29">
        <v>41274</v>
      </c>
      <c r="F5547" s="27">
        <v>15</v>
      </c>
      <c r="G5547" s="18">
        <v>471771.88</v>
      </c>
      <c r="H5547" s="27">
        <f t="shared" si="172"/>
        <v>0</v>
      </c>
      <c r="I5547" s="18">
        <v>214933.13</v>
      </c>
      <c r="J5547" s="27">
        <v>471771.88</v>
      </c>
      <c r="K5547" s="18">
        <f t="shared" si="173"/>
        <v>0</v>
      </c>
      <c r="L5547" s="27">
        <v>240849.81</v>
      </c>
      <c r="M5547" s="36">
        <v>25916.68</v>
      </c>
      <c r="T5547" s="41">
        <v>0</v>
      </c>
      <c r="U5547" s="41">
        <v>0</v>
      </c>
      <c r="V5547" s="42" t="s">
        <v>113</v>
      </c>
      <c r="W5547" s="42">
        <v>0</v>
      </c>
      <c r="X5547" s="42">
        <v>0</v>
      </c>
    </row>
    <row r="5548" spans="1:24">
      <c r="A5548" s="27" t="s">
        <v>10220</v>
      </c>
      <c r="B5548" s="28" t="s">
        <v>5102</v>
      </c>
      <c r="C5548" s="27" t="s">
        <v>10221</v>
      </c>
      <c r="D5548" s="27" t="s">
        <v>5104</v>
      </c>
      <c r="E5548" s="29">
        <v>41274</v>
      </c>
      <c r="F5548" s="27">
        <v>15</v>
      </c>
      <c r="G5548" s="18">
        <v>139340.92000000001</v>
      </c>
      <c r="H5548" s="27">
        <f t="shared" si="172"/>
        <v>0</v>
      </c>
      <c r="I5548" s="18">
        <v>63481.9</v>
      </c>
      <c r="J5548" s="27">
        <v>139340.92000000001</v>
      </c>
      <c r="K5548" s="18">
        <f t="shared" si="173"/>
        <v>0</v>
      </c>
      <c r="L5548" s="27">
        <v>71136.56</v>
      </c>
      <c r="M5548" s="36">
        <v>7654.66</v>
      </c>
      <c r="T5548" s="41">
        <v>0</v>
      </c>
      <c r="U5548" s="41">
        <v>0</v>
      </c>
      <c r="V5548" s="42" t="s">
        <v>113</v>
      </c>
      <c r="W5548" s="42">
        <v>0</v>
      </c>
      <c r="X5548" s="42">
        <v>0</v>
      </c>
    </row>
    <row r="5549" spans="1:24">
      <c r="A5549" s="27" t="s">
        <v>10222</v>
      </c>
      <c r="B5549" s="28" t="s">
        <v>5102</v>
      </c>
      <c r="C5549" s="27" t="s">
        <v>10223</v>
      </c>
      <c r="D5549" s="27" t="s">
        <v>5104</v>
      </c>
      <c r="E5549" s="29">
        <v>41274</v>
      </c>
      <c r="F5549" s="27">
        <v>15</v>
      </c>
      <c r="G5549" s="18">
        <v>93806.71</v>
      </c>
      <c r="H5549" s="27">
        <f t="shared" si="172"/>
        <v>0</v>
      </c>
      <c r="I5549" s="18">
        <v>42737.120000000003</v>
      </c>
      <c r="J5549" s="27">
        <v>93806.71</v>
      </c>
      <c r="K5549" s="18">
        <f t="shared" si="173"/>
        <v>0</v>
      </c>
      <c r="L5549" s="27">
        <v>47890.37</v>
      </c>
      <c r="M5549" s="36">
        <v>5153.25</v>
      </c>
      <c r="T5549" s="41">
        <v>0</v>
      </c>
      <c r="U5549" s="41">
        <v>0</v>
      </c>
      <c r="V5549" s="42" t="s">
        <v>113</v>
      </c>
      <c r="W5549" s="42">
        <v>0</v>
      </c>
      <c r="X5549" s="42">
        <v>0</v>
      </c>
    </row>
    <row r="5550" spans="1:24">
      <c r="A5550" s="27" t="s">
        <v>10224</v>
      </c>
      <c r="B5550" s="28" t="s">
        <v>5102</v>
      </c>
      <c r="C5550" s="27" t="s">
        <v>10225</v>
      </c>
      <c r="D5550" s="27" t="s">
        <v>5104</v>
      </c>
      <c r="E5550" s="29">
        <v>41274</v>
      </c>
      <c r="F5550" s="27">
        <v>15</v>
      </c>
      <c r="G5550" s="18">
        <v>145052.25</v>
      </c>
      <c r="H5550" s="27">
        <f t="shared" si="172"/>
        <v>0</v>
      </c>
      <c r="I5550" s="18">
        <v>66083.91</v>
      </c>
      <c r="J5550" s="27">
        <v>145052.25</v>
      </c>
      <c r="K5550" s="18">
        <f t="shared" si="173"/>
        <v>0</v>
      </c>
      <c r="L5550" s="27">
        <v>74052.320000000007</v>
      </c>
      <c r="M5550" s="36">
        <v>7968.41</v>
      </c>
      <c r="T5550" s="41">
        <v>0</v>
      </c>
      <c r="U5550" s="41">
        <v>0</v>
      </c>
      <c r="V5550" s="42" t="s">
        <v>113</v>
      </c>
      <c r="W5550" s="42">
        <v>0</v>
      </c>
      <c r="X5550" s="42">
        <v>0</v>
      </c>
    </row>
    <row r="5551" spans="1:24">
      <c r="A5551" s="27" t="s">
        <v>10226</v>
      </c>
      <c r="B5551" s="28" t="s">
        <v>5102</v>
      </c>
      <c r="C5551" s="27" t="s">
        <v>10227</v>
      </c>
      <c r="D5551" s="27" t="s">
        <v>5104</v>
      </c>
      <c r="E5551" s="29">
        <v>41274</v>
      </c>
      <c r="F5551" s="27">
        <v>15</v>
      </c>
      <c r="G5551" s="18">
        <v>405661.23</v>
      </c>
      <c r="H5551" s="27">
        <f t="shared" si="172"/>
        <v>0</v>
      </c>
      <c r="I5551" s="18">
        <v>184813.96</v>
      </c>
      <c r="J5551" s="27">
        <v>405661.23</v>
      </c>
      <c r="K5551" s="18">
        <f t="shared" si="173"/>
        <v>0</v>
      </c>
      <c r="L5551" s="27">
        <v>207098.87</v>
      </c>
      <c r="M5551" s="36">
        <v>22284.91</v>
      </c>
      <c r="T5551" s="41">
        <v>0</v>
      </c>
      <c r="U5551" s="41">
        <v>0</v>
      </c>
      <c r="V5551" s="42" t="s">
        <v>113</v>
      </c>
      <c r="W5551" s="42">
        <v>0</v>
      </c>
      <c r="X5551" s="42">
        <v>0</v>
      </c>
    </row>
    <row r="5552" spans="1:24">
      <c r="A5552" s="27" t="s">
        <v>10228</v>
      </c>
      <c r="B5552" s="28" t="s">
        <v>5102</v>
      </c>
      <c r="C5552" s="27" t="s">
        <v>10229</v>
      </c>
      <c r="D5552" s="27" t="s">
        <v>5104</v>
      </c>
      <c r="E5552" s="29">
        <v>41274</v>
      </c>
      <c r="F5552" s="27">
        <v>15</v>
      </c>
      <c r="G5552" s="18">
        <v>138558.54</v>
      </c>
      <c r="H5552" s="27">
        <f t="shared" si="172"/>
        <v>0</v>
      </c>
      <c r="I5552" s="18">
        <v>63125.45</v>
      </c>
      <c r="J5552" s="27">
        <v>138558.54</v>
      </c>
      <c r="K5552" s="18">
        <f t="shared" si="173"/>
        <v>0</v>
      </c>
      <c r="L5552" s="27">
        <v>70737.13</v>
      </c>
      <c r="M5552" s="36">
        <v>7611.68</v>
      </c>
      <c r="T5552" s="41">
        <v>0</v>
      </c>
      <c r="U5552" s="41">
        <v>0</v>
      </c>
      <c r="V5552" s="42" t="s">
        <v>113</v>
      </c>
      <c r="W5552" s="42">
        <v>0</v>
      </c>
      <c r="X5552" s="42">
        <v>0</v>
      </c>
    </row>
    <row r="5553" spans="1:24">
      <c r="A5553" s="27" t="s">
        <v>10230</v>
      </c>
      <c r="B5553" s="28" t="s">
        <v>5102</v>
      </c>
      <c r="C5553" s="27" t="s">
        <v>10231</v>
      </c>
      <c r="D5553" s="27" t="s">
        <v>5104</v>
      </c>
      <c r="E5553" s="29">
        <v>41274</v>
      </c>
      <c r="F5553" s="27">
        <v>15</v>
      </c>
      <c r="G5553" s="18">
        <v>66893.03</v>
      </c>
      <c r="H5553" s="27">
        <f t="shared" si="172"/>
        <v>0</v>
      </c>
      <c r="I5553" s="18">
        <v>30475.59</v>
      </c>
      <c r="J5553" s="27">
        <v>66893.03</v>
      </c>
      <c r="K5553" s="18">
        <f t="shared" si="173"/>
        <v>0</v>
      </c>
      <c r="L5553" s="27">
        <v>34150.339999999997</v>
      </c>
      <c r="M5553" s="36">
        <v>3674.75</v>
      </c>
      <c r="T5553" s="41">
        <v>0</v>
      </c>
      <c r="U5553" s="41">
        <v>0</v>
      </c>
      <c r="V5553" s="42" t="s">
        <v>113</v>
      </c>
      <c r="W5553" s="42">
        <v>0</v>
      </c>
      <c r="X5553" s="42">
        <v>0</v>
      </c>
    </row>
    <row r="5554" spans="1:24">
      <c r="A5554" s="27" t="s">
        <v>10232</v>
      </c>
      <c r="B5554" s="28" t="s">
        <v>5102</v>
      </c>
      <c r="C5554" s="27" t="s">
        <v>10233</v>
      </c>
      <c r="D5554" s="27" t="s">
        <v>5104</v>
      </c>
      <c r="E5554" s="29">
        <v>41274</v>
      </c>
      <c r="F5554" s="27">
        <v>15</v>
      </c>
      <c r="G5554" s="18">
        <v>66736.55</v>
      </c>
      <c r="H5554" s="27">
        <f t="shared" si="172"/>
        <v>0</v>
      </c>
      <c r="I5554" s="18">
        <v>30404.31</v>
      </c>
      <c r="J5554" s="27">
        <v>66736.55</v>
      </c>
      <c r="K5554" s="18">
        <f t="shared" si="173"/>
        <v>0</v>
      </c>
      <c r="L5554" s="27">
        <v>34070.47</v>
      </c>
      <c r="M5554" s="36">
        <v>3666.16</v>
      </c>
      <c r="T5554" s="41">
        <v>0</v>
      </c>
      <c r="U5554" s="41">
        <v>0</v>
      </c>
      <c r="V5554" s="42" t="s">
        <v>113</v>
      </c>
      <c r="W5554" s="42">
        <v>0</v>
      </c>
      <c r="X5554" s="42">
        <v>0</v>
      </c>
    </row>
    <row r="5555" spans="1:24">
      <c r="A5555" s="27" t="s">
        <v>10234</v>
      </c>
      <c r="B5555" s="28" t="s">
        <v>5102</v>
      </c>
      <c r="C5555" s="27" t="s">
        <v>10235</v>
      </c>
      <c r="D5555" s="27" t="s">
        <v>5104</v>
      </c>
      <c r="E5555" s="29">
        <v>41274</v>
      </c>
      <c r="F5555" s="27">
        <v>15</v>
      </c>
      <c r="G5555" s="18">
        <v>92633.15</v>
      </c>
      <c r="H5555" s="27">
        <f t="shared" si="172"/>
        <v>0</v>
      </c>
      <c r="I5555" s="18">
        <v>42202.45</v>
      </c>
      <c r="J5555" s="27">
        <v>92633.15</v>
      </c>
      <c r="K5555" s="18">
        <f t="shared" si="173"/>
        <v>0</v>
      </c>
      <c r="L5555" s="27">
        <v>47291.23</v>
      </c>
      <c r="M5555" s="36">
        <v>5088.78</v>
      </c>
      <c r="T5555" s="41">
        <v>0</v>
      </c>
      <c r="U5555" s="41">
        <v>0</v>
      </c>
      <c r="V5555" s="42" t="s">
        <v>113</v>
      </c>
      <c r="W5555" s="42">
        <v>0</v>
      </c>
      <c r="X5555" s="42">
        <v>0</v>
      </c>
    </row>
    <row r="5556" spans="1:24">
      <c r="A5556" s="27" t="s">
        <v>10236</v>
      </c>
      <c r="B5556" s="28" t="s">
        <v>5102</v>
      </c>
      <c r="C5556" s="27" t="s">
        <v>10237</v>
      </c>
      <c r="D5556" s="27" t="s">
        <v>5104</v>
      </c>
      <c r="E5556" s="29">
        <v>41274</v>
      </c>
      <c r="F5556" s="27">
        <v>15</v>
      </c>
      <c r="G5556" s="18">
        <v>188630.52</v>
      </c>
      <c r="H5556" s="27">
        <f t="shared" si="172"/>
        <v>0</v>
      </c>
      <c r="I5556" s="18">
        <v>85937.61</v>
      </c>
      <c r="J5556" s="27">
        <v>188630.52</v>
      </c>
      <c r="K5556" s="18">
        <f t="shared" si="173"/>
        <v>0</v>
      </c>
      <c r="L5556" s="27">
        <v>96299.99</v>
      </c>
      <c r="M5556" s="36">
        <v>10362.379999999999</v>
      </c>
      <c r="T5556" s="41">
        <v>0</v>
      </c>
      <c r="U5556" s="41">
        <v>0</v>
      </c>
      <c r="V5556" s="42" t="s">
        <v>113</v>
      </c>
      <c r="W5556" s="42">
        <v>0</v>
      </c>
      <c r="X5556" s="42">
        <v>0</v>
      </c>
    </row>
    <row r="5557" spans="1:24">
      <c r="A5557" s="27" t="s">
        <v>10238</v>
      </c>
      <c r="B5557" s="28" t="s">
        <v>5102</v>
      </c>
      <c r="C5557" s="27" t="s">
        <v>10239</v>
      </c>
      <c r="D5557" s="27" t="s">
        <v>5104</v>
      </c>
      <c r="E5557" s="29">
        <v>41274</v>
      </c>
      <c r="F5557" s="27">
        <v>15</v>
      </c>
      <c r="G5557" s="18">
        <v>206859.84</v>
      </c>
      <c r="H5557" s="27">
        <f t="shared" si="172"/>
        <v>0</v>
      </c>
      <c r="I5557" s="18">
        <v>94242.64</v>
      </c>
      <c r="J5557" s="27">
        <v>206859.84</v>
      </c>
      <c r="K5557" s="18">
        <f t="shared" si="173"/>
        <v>0</v>
      </c>
      <c r="L5557" s="27">
        <v>105606.44</v>
      </c>
      <c r="M5557" s="36">
        <v>11363.8</v>
      </c>
      <c r="T5557" s="41">
        <v>0</v>
      </c>
      <c r="U5557" s="41">
        <v>0</v>
      </c>
      <c r="V5557" s="42" t="s">
        <v>113</v>
      </c>
      <c r="W5557" s="42">
        <v>0</v>
      </c>
      <c r="X5557" s="42">
        <v>0</v>
      </c>
    </row>
    <row r="5558" spans="1:24">
      <c r="A5558" s="27" t="s">
        <v>10240</v>
      </c>
      <c r="B5558" s="28" t="s">
        <v>5102</v>
      </c>
      <c r="C5558" s="27" t="s">
        <v>10241</v>
      </c>
      <c r="D5558" s="27" t="s">
        <v>5104</v>
      </c>
      <c r="E5558" s="29">
        <v>41274</v>
      </c>
      <c r="F5558" s="27">
        <v>15</v>
      </c>
      <c r="G5558" s="18">
        <v>156944.34</v>
      </c>
      <c r="H5558" s="27">
        <f t="shared" si="172"/>
        <v>0</v>
      </c>
      <c r="I5558" s="18">
        <v>71501.8</v>
      </c>
      <c r="J5558" s="27">
        <v>156944.34</v>
      </c>
      <c r="K5558" s="18">
        <f t="shared" si="173"/>
        <v>0</v>
      </c>
      <c r="L5558" s="27">
        <v>80123.5</v>
      </c>
      <c r="M5558" s="36">
        <v>8621.7000000000007</v>
      </c>
      <c r="T5558" s="41">
        <v>0</v>
      </c>
      <c r="U5558" s="41">
        <v>0</v>
      </c>
      <c r="V5558" s="42" t="s">
        <v>113</v>
      </c>
      <c r="W5558" s="42">
        <v>0</v>
      </c>
      <c r="X5558" s="42">
        <v>0</v>
      </c>
    </row>
    <row r="5559" spans="1:24">
      <c r="A5559" s="27" t="s">
        <v>10242</v>
      </c>
      <c r="B5559" s="28" t="s">
        <v>5102</v>
      </c>
      <c r="C5559" s="27" t="s">
        <v>10243</v>
      </c>
      <c r="D5559" s="27" t="s">
        <v>5104</v>
      </c>
      <c r="E5559" s="29">
        <v>41274</v>
      </c>
      <c r="F5559" s="27">
        <v>15</v>
      </c>
      <c r="G5559" s="18">
        <v>641547.17000000004</v>
      </c>
      <c r="H5559" s="27">
        <f t="shared" si="172"/>
        <v>0</v>
      </c>
      <c r="I5559" s="18">
        <v>292280.52</v>
      </c>
      <c r="J5559" s="27">
        <v>641547.17000000004</v>
      </c>
      <c r="K5559" s="18">
        <f t="shared" si="173"/>
        <v>0</v>
      </c>
      <c r="L5559" s="27">
        <v>327523.77</v>
      </c>
      <c r="M5559" s="36">
        <v>35243.25</v>
      </c>
      <c r="T5559" s="41">
        <v>0</v>
      </c>
      <c r="U5559" s="41">
        <v>0</v>
      </c>
      <c r="V5559" s="42" t="s">
        <v>113</v>
      </c>
      <c r="W5559" s="42">
        <v>0</v>
      </c>
      <c r="X5559" s="42">
        <v>0</v>
      </c>
    </row>
    <row r="5560" spans="1:24">
      <c r="A5560" s="27" t="s">
        <v>10244</v>
      </c>
      <c r="B5560" s="28" t="s">
        <v>5102</v>
      </c>
      <c r="C5560" s="27" t="s">
        <v>10245</v>
      </c>
      <c r="D5560" s="27" t="s">
        <v>5104</v>
      </c>
      <c r="E5560" s="29">
        <v>41274</v>
      </c>
      <c r="F5560" s="27">
        <v>15</v>
      </c>
      <c r="G5560" s="18">
        <v>310680.95</v>
      </c>
      <c r="H5560" s="27">
        <f t="shared" si="172"/>
        <v>0</v>
      </c>
      <c r="I5560" s="18">
        <v>141542.19</v>
      </c>
      <c r="J5560" s="27">
        <v>310680.95</v>
      </c>
      <c r="K5560" s="18">
        <f t="shared" si="173"/>
        <v>0</v>
      </c>
      <c r="L5560" s="27">
        <v>158609.38</v>
      </c>
      <c r="M5560" s="36">
        <v>17067.189999999999</v>
      </c>
      <c r="T5560" s="41">
        <v>0</v>
      </c>
      <c r="U5560" s="41">
        <v>0</v>
      </c>
      <c r="V5560" s="42" t="s">
        <v>113</v>
      </c>
      <c r="W5560" s="42">
        <v>0</v>
      </c>
      <c r="X5560" s="42">
        <v>0</v>
      </c>
    </row>
    <row r="5561" spans="1:24">
      <c r="A5561" s="27" t="s">
        <v>10246</v>
      </c>
      <c r="B5561" s="28" t="s">
        <v>5102</v>
      </c>
      <c r="C5561" s="27" t="s">
        <v>10247</v>
      </c>
      <c r="D5561" s="27" t="s">
        <v>5104</v>
      </c>
      <c r="E5561" s="29">
        <v>41274</v>
      </c>
      <c r="F5561" s="27">
        <v>15</v>
      </c>
      <c r="G5561" s="18">
        <v>133864.29</v>
      </c>
      <c r="H5561" s="27">
        <f t="shared" si="172"/>
        <v>0</v>
      </c>
      <c r="I5561" s="18">
        <v>60986.83</v>
      </c>
      <c r="J5561" s="27">
        <v>133864.29</v>
      </c>
      <c r="K5561" s="18">
        <f t="shared" si="173"/>
        <v>0</v>
      </c>
      <c r="L5561" s="27">
        <v>68340.639999999999</v>
      </c>
      <c r="M5561" s="36">
        <v>7353.81</v>
      </c>
      <c r="T5561" s="41">
        <v>0</v>
      </c>
      <c r="U5561" s="41">
        <v>0</v>
      </c>
      <c r="V5561" s="42" t="s">
        <v>113</v>
      </c>
      <c r="W5561" s="42">
        <v>0</v>
      </c>
      <c r="X5561" s="42">
        <v>0</v>
      </c>
    </row>
    <row r="5562" spans="1:24">
      <c r="A5562" s="27" t="s">
        <v>10248</v>
      </c>
      <c r="B5562" s="28" t="s">
        <v>5102</v>
      </c>
      <c r="C5562" s="27" t="s">
        <v>10249</v>
      </c>
      <c r="D5562" s="27" t="s">
        <v>5104</v>
      </c>
      <c r="E5562" s="29">
        <v>41274</v>
      </c>
      <c r="F5562" s="27">
        <v>15</v>
      </c>
      <c r="G5562" s="18">
        <v>225167.41</v>
      </c>
      <c r="H5562" s="27">
        <f t="shared" si="172"/>
        <v>0</v>
      </c>
      <c r="I5562" s="18">
        <v>102583.34</v>
      </c>
      <c r="J5562" s="27">
        <v>225167.41</v>
      </c>
      <c r="K5562" s="18">
        <f t="shared" si="173"/>
        <v>0</v>
      </c>
      <c r="L5562" s="27">
        <v>114952.86</v>
      </c>
      <c r="M5562" s="36">
        <v>12369.52</v>
      </c>
      <c r="T5562" s="41">
        <v>0</v>
      </c>
      <c r="U5562" s="41">
        <v>0</v>
      </c>
      <c r="V5562" s="42" t="s">
        <v>113</v>
      </c>
      <c r="W5562" s="42">
        <v>0</v>
      </c>
      <c r="X5562" s="42">
        <v>0</v>
      </c>
    </row>
    <row r="5563" spans="1:24">
      <c r="A5563" s="27" t="s">
        <v>10250</v>
      </c>
      <c r="B5563" s="28" t="s">
        <v>5102</v>
      </c>
      <c r="C5563" s="27" t="s">
        <v>10251</v>
      </c>
      <c r="D5563" s="27" t="s">
        <v>5104</v>
      </c>
      <c r="E5563" s="29">
        <v>41274</v>
      </c>
      <c r="F5563" s="27">
        <v>15</v>
      </c>
      <c r="G5563" s="18">
        <v>214761.83</v>
      </c>
      <c r="H5563" s="27">
        <f t="shared" si="172"/>
        <v>0</v>
      </c>
      <c r="I5563" s="18">
        <v>97842.69</v>
      </c>
      <c r="J5563" s="27">
        <v>214761.83</v>
      </c>
      <c r="K5563" s="18">
        <f t="shared" si="173"/>
        <v>0</v>
      </c>
      <c r="L5563" s="27">
        <v>109640.58</v>
      </c>
      <c r="M5563" s="36">
        <v>11797.89</v>
      </c>
      <c r="T5563" s="41">
        <v>0</v>
      </c>
      <c r="U5563" s="41">
        <v>0</v>
      </c>
      <c r="V5563" s="42" t="s">
        <v>113</v>
      </c>
      <c r="W5563" s="42">
        <v>0</v>
      </c>
      <c r="X5563" s="42">
        <v>0</v>
      </c>
    </row>
    <row r="5564" spans="1:24">
      <c r="A5564" s="27" t="s">
        <v>10252</v>
      </c>
      <c r="B5564" s="28" t="s">
        <v>5102</v>
      </c>
      <c r="C5564" s="27" t="s">
        <v>10253</v>
      </c>
      <c r="D5564" s="27" t="s">
        <v>5104</v>
      </c>
      <c r="E5564" s="29">
        <v>41274</v>
      </c>
      <c r="F5564" s="27">
        <v>15</v>
      </c>
      <c r="G5564" s="18">
        <v>138949.73000000001</v>
      </c>
      <c r="H5564" s="27">
        <f t="shared" si="172"/>
        <v>0</v>
      </c>
      <c r="I5564" s="18">
        <v>63303.67</v>
      </c>
      <c r="J5564" s="27">
        <v>138949.73000000001</v>
      </c>
      <c r="K5564" s="18">
        <f t="shared" si="173"/>
        <v>0</v>
      </c>
      <c r="L5564" s="27">
        <v>70936.84</v>
      </c>
      <c r="M5564" s="36">
        <v>7633.17</v>
      </c>
      <c r="T5564" s="41">
        <v>0</v>
      </c>
      <c r="U5564" s="41">
        <v>0</v>
      </c>
      <c r="V5564" s="42" t="s">
        <v>113</v>
      </c>
      <c r="W5564" s="42">
        <v>0</v>
      </c>
      <c r="X5564" s="42">
        <v>0</v>
      </c>
    </row>
    <row r="5565" spans="1:24">
      <c r="A5565" s="27" t="s">
        <v>10254</v>
      </c>
      <c r="B5565" s="28" t="s">
        <v>5102</v>
      </c>
      <c r="C5565" s="27" t="s">
        <v>10255</v>
      </c>
      <c r="D5565" s="27" t="s">
        <v>5104</v>
      </c>
      <c r="E5565" s="29">
        <v>41274</v>
      </c>
      <c r="F5565" s="27">
        <v>15</v>
      </c>
      <c r="G5565" s="18">
        <v>313732.21000000002</v>
      </c>
      <c r="H5565" s="27">
        <f t="shared" si="172"/>
        <v>0</v>
      </c>
      <c r="I5565" s="18">
        <v>142932.31</v>
      </c>
      <c r="J5565" s="27">
        <v>313732.21000000002</v>
      </c>
      <c r="K5565" s="18">
        <f t="shared" si="173"/>
        <v>0</v>
      </c>
      <c r="L5565" s="27">
        <v>160167.12</v>
      </c>
      <c r="M5565" s="36">
        <v>17234.810000000001</v>
      </c>
      <c r="T5565" s="41">
        <v>0</v>
      </c>
      <c r="U5565" s="41">
        <v>0</v>
      </c>
      <c r="V5565" s="42" t="s">
        <v>113</v>
      </c>
      <c r="W5565" s="42">
        <v>0</v>
      </c>
      <c r="X5565" s="42">
        <v>0</v>
      </c>
    </row>
    <row r="5566" spans="1:24">
      <c r="A5566" s="27" t="s">
        <v>10256</v>
      </c>
      <c r="B5566" s="28" t="s">
        <v>5102</v>
      </c>
      <c r="C5566" s="27" t="s">
        <v>10257</v>
      </c>
      <c r="D5566" s="27" t="s">
        <v>5104</v>
      </c>
      <c r="E5566" s="29">
        <v>41274</v>
      </c>
      <c r="F5566" s="27">
        <v>15</v>
      </c>
      <c r="G5566" s="18">
        <v>355980.44</v>
      </c>
      <c r="H5566" s="27">
        <f t="shared" si="172"/>
        <v>0</v>
      </c>
      <c r="I5566" s="18">
        <v>162180.04999999999</v>
      </c>
      <c r="J5566" s="27">
        <v>355980.44</v>
      </c>
      <c r="K5566" s="18">
        <f t="shared" si="173"/>
        <v>0</v>
      </c>
      <c r="L5566" s="27">
        <v>181735.76</v>
      </c>
      <c r="M5566" s="36">
        <v>19555.71</v>
      </c>
      <c r="T5566" s="41">
        <v>0</v>
      </c>
      <c r="U5566" s="41">
        <v>0</v>
      </c>
      <c r="V5566" s="42" t="s">
        <v>113</v>
      </c>
      <c r="W5566" s="42">
        <v>0</v>
      </c>
      <c r="X5566" s="42">
        <v>0</v>
      </c>
    </row>
    <row r="5567" spans="1:24">
      <c r="A5567" s="27" t="s">
        <v>10258</v>
      </c>
      <c r="B5567" s="28" t="s">
        <v>5102</v>
      </c>
      <c r="C5567" s="27" t="s">
        <v>10259</v>
      </c>
      <c r="D5567" s="27" t="s">
        <v>5104</v>
      </c>
      <c r="E5567" s="29">
        <v>41274</v>
      </c>
      <c r="F5567" s="27">
        <v>15</v>
      </c>
      <c r="G5567" s="18">
        <v>95449.7</v>
      </c>
      <c r="H5567" s="27">
        <f t="shared" si="172"/>
        <v>0</v>
      </c>
      <c r="I5567" s="18">
        <v>43485.65</v>
      </c>
      <c r="J5567" s="27">
        <v>95449.7</v>
      </c>
      <c r="K5567" s="18">
        <f t="shared" si="173"/>
        <v>0</v>
      </c>
      <c r="L5567" s="27">
        <v>48729.16</v>
      </c>
      <c r="M5567" s="36">
        <v>5243.51</v>
      </c>
      <c r="T5567" s="41">
        <v>0</v>
      </c>
      <c r="U5567" s="41">
        <v>0</v>
      </c>
      <c r="V5567" s="42" t="s">
        <v>113</v>
      </c>
      <c r="W5567" s="42">
        <v>0</v>
      </c>
      <c r="X5567" s="42">
        <v>0</v>
      </c>
    </row>
    <row r="5568" spans="1:24">
      <c r="A5568" s="27" t="s">
        <v>10260</v>
      </c>
      <c r="B5568" s="28" t="s">
        <v>5102</v>
      </c>
      <c r="C5568" s="27" t="s">
        <v>10261</v>
      </c>
      <c r="D5568" s="27" t="s">
        <v>5104</v>
      </c>
      <c r="E5568" s="29">
        <v>41274</v>
      </c>
      <c r="F5568" s="27">
        <v>15</v>
      </c>
      <c r="G5568" s="18">
        <v>243083.79</v>
      </c>
      <c r="H5568" s="27">
        <f t="shared" si="172"/>
        <v>0</v>
      </c>
      <c r="I5568" s="18">
        <v>110745.8</v>
      </c>
      <c r="J5568" s="27">
        <v>243083.79</v>
      </c>
      <c r="K5568" s="18">
        <f t="shared" si="173"/>
        <v>0</v>
      </c>
      <c r="L5568" s="27">
        <v>124099.56</v>
      </c>
      <c r="M5568" s="36">
        <v>13353.76</v>
      </c>
      <c r="T5568" s="41">
        <v>0</v>
      </c>
      <c r="U5568" s="41">
        <v>0</v>
      </c>
      <c r="V5568" s="42" t="s">
        <v>113</v>
      </c>
      <c r="W5568" s="42">
        <v>0</v>
      </c>
      <c r="X5568" s="42">
        <v>0</v>
      </c>
    </row>
    <row r="5569" spans="1:24">
      <c r="A5569" s="27" t="s">
        <v>10262</v>
      </c>
      <c r="B5569" s="28" t="s">
        <v>5102</v>
      </c>
      <c r="C5569" s="27" t="s">
        <v>10263</v>
      </c>
      <c r="D5569" s="27" t="s">
        <v>5104</v>
      </c>
      <c r="E5569" s="29">
        <v>41274</v>
      </c>
      <c r="F5569" s="27">
        <v>15</v>
      </c>
      <c r="G5569" s="18">
        <v>641547.17000000004</v>
      </c>
      <c r="H5569" s="27">
        <f t="shared" si="172"/>
        <v>0</v>
      </c>
      <c r="I5569" s="18">
        <v>292280.52</v>
      </c>
      <c r="J5569" s="27">
        <v>641547.17000000004</v>
      </c>
      <c r="K5569" s="18">
        <f t="shared" si="173"/>
        <v>0</v>
      </c>
      <c r="L5569" s="27">
        <v>327523.77</v>
      </c>
      <c r="M5569" s="36">
        <v>35243.25</v>
      </c>
      <c r="T5569" s="41">
        <v>0</v>
      </c>
      <c r="U5569" s="41">
        <v>0</v>
      </c>
      <c r="V5569" s="42" t="s">
        <v>113</v>
      </c>
      <c r="W5569" s="42">
        <v>0</v>
      </c>
      <c r="X5569" s="42">
        <v>0</v>
      </c>
    </row>
    <row r="5570" spans="1:24">
      <c r="A5570" s="27" t="s">
        <v>10264</v>
      </c>
      <c r="B5570" s="28" t="s">
        <v>5102</v>
      </c>
      <c r="C5570" s="27" t="s">
        <v>10265</v>
      </c>
      <c r="D5570" s="27" t="s">
        <v>5104</v>
      </c>
      <c r="E5570" s="29">
        <v>41274</v>
      </c>
      <c r="F5570" s="27">
        <v>15</v>
      </c>
      <c r="G5570" s="18">
        <v>110862.48</v>
      </c>
      <c r="H5570" s="27">
        <f t="shared" si="172"/>
        <v>0</v>
      </c>
      <c r="I5570" s="18">
        <v>50507.51</v>
      </c>
      <c r="J5570" s="27">
        <v>110862.48</v>
      </c>
      <c r="K5570" s="18">
        <f t="shared" si="173"/>
        <v>0</v>
      </c>
      <c r="L5570" s="27">
        <v>56597.72</v>
      </c>
      <c r="M5570" s="36">
        <v>6090.21</v>
      </c>
      <c r="T5570" s="41">
        <v>0</v>
      </c>
      <c r="U5570" s="41">
        <v>0</v>
      </c>
      <c r="V5570" s="42" t="s">
        <v>113</v>
      </c>
      <c r="W5570" s="42">
        <v>0</v>
      </c>
      <c r="X5570" s="42">
        <v>0</v>
      </c>
    </row>
    <row r="5571" spans="1:24">
      <c r="A5571" s="27" t="s">
        <v>10266</v>
      </c>
      <c r="B5571" s="28" t="s">
        <v>5102</v>
      </c>
      <c r="C5571" s="27" t="s">
        <v>10267</v>
      </c>
      <c r="D5571" s="27" t="s">
        <v>5104</v>
      </c>
      <c r="E5571" s="29">
        <v>41274</v>
      </c>
      <c r="F5571" s="27">
        <v>15</v>
      </c>
      <c r="G5571" s="18">
        <v>145521.68</v>
      </c>
      <c r="H5571" s="27">
        <f t="shared" si="172"/>
        <v>0</v>
      </c>
      <c r="I5571" s="18">
        <v>66297.78</v>
      </c>
      <c r="J5571" s="27">
        <v>145521.68</v>
      </c>
      <c r="K5571" s="18">
        <f t="shared" si="173"/>
        <v>0</v>
      </c>
      <c r="L5571" s="27">
        <v>74291.98</v>
      </c>
      <c r="M5571" s="36">
        <v>7994.2</v>
      </c>
      <c r="T5571" s="41">
        <v>0</v>
      </c>
      <c r="U5571" s="41">
        <v>0</v>
      </c>
      <c r="V5571" s="42" t="s">
        <v>113</v>
      </c>
      <c r="W5571" s="42">
        <v>0</v>
      </c>
      <c r="X5571" s="42">
        <v>0</v>
      </c>
    </row>
    <row r="5572" spans="1:24">
      <c r="A5572" s="27" t="s">
        <v>10268</v>
      </c>
      <c r="B5572" s="28" t="s">
        <v>5102</v>
      </c>
      <c r="C5572" s="27" t="s">
        <v>10269</v>
      </c>
      <c r="D5572" s="27" t="s">
        <v>5104</v>
      </c>
      <c r="E5572" s="29">
        <v>41274</v>
      </c>
      <c r="F5572" s="27">
        <v>15</v>
      </c>
      <c r="G5572" s="18">
        <v>290260.98</v>
      </c>
      <c r="H5572" s="27">
        <f t="shared" si="172"/>
        <v>0</v>
      </c>
      <c r="I5572" s="18">
        <v>132239.13</v>
      </c>
      <c r="J5572" s="27">
        <v>290260.98</v>
      </c>
      <c r="K5572" s="18">
        <f t="shared" si="173"/>
        <v>0</v>
      </c>
      <c r="L5572" s="27">
        <v>148184.54999999999</v>
      </c>
      <c r="M5572" s="36">
        <v>15945.42</v>
      </c>
      <c r="T5572" s="41">
        <v>0</v>
      </c>
      <c r="U5572" s="41">
        <v>0</v>
      </c>
      <c r="V5572" s="42" t="s">
        <v>113</v>
      </c>
      <c r="W5572" s="42">
        <v>0</v>
      </c>
      <c r="X5572" s="42">
        <v>0</v>
      </c>
    </row>
    <row r="5573" spans="1:24">
      <c r="A5573" s="27" t="s">
        <v>10270</v>
      </c>
      <c r="B5573" s="28" t="s">
        <v>5102</v>
      </c>
      <c r="C5573" s="27" t="s">
        <v>10271</v>
      </c>
      <c r="D5573" s="27" t="s">
        <v>5104</v>
      </c>
      <c r="E5573" s="29">
        <v>41274</v>
      </c>
      <c r="F5573" s="27">
        <v>15</v>
      </c>
      <c r="G5573" s="18">
        <v>116260.87</v>
      </c>
      <c r="H5573" s="27">
        <f t="shared" si="172"/>
        <v>0</v>
      </c>
      <c r="I5573" s="18">
        <v>52966.94</v>
      </c>
      <c r="J5573" s="27">
        <v>116260.87</v>
      </c>
      <c r="K5573" s="18">
        <f t="shared" si="173"/>
        <v>0</v>
      </c>
      <c r="L5573" s="27">
        <v>59353.71</v>
      </c>
      <c r="M5573" s="36">
        <v>6386.77</v>
      </c>
      <c r="T5573" s="41">
        <v>0</v>
      </c>
      <c r="U5573" s="41">
        <v>0</v>
      </c>
      <c r="V5573" s="42" t="s">
        <v>113</v>
      </c>
      <c r="W5573" s="42">
        <v>0</v>
      </c>
      <c r="X5573" s="42">
        <v>0</v>
      </c>
    </row>
    <row r="5574" spans="1:24">
      <c r="A5574" s="27" t="s">
        <v>10272</v>
      </c>
      <c r="B5574" s="28" t="s">
        <v>5102</v>
      </c>
      <c r="C5574" s="27" t="s">
        <v>10273</v>
      </c>
      <c r="D5574" s="27" t="s">
        <v>5104</v>
      </c>
      <c r="E5574" s="29">
        <v>41274</v>
      </c>
      <c r="F5574" s="27">
        <v>15</v>
      </c>
      <c r="G5574" s="18">
        <v>161325.64000000001</v>
      </c>
      <c r="H5574" s="27">
        <f t="shared" ref="H5574:H5637" si="174">IFERROR(IF(ROUND((G5574-I5574)/G5574,2)&lt;=0.05,G5574,0),0)</f>
        <v>0</v>
      </c>
      <c r="I5574" s="18">
        <v>73497.87</v>
      </c>
      <c r="J5574" s="27">
        <v>161325.64000000001</v>
      </c>
      <c r="K5574" s="18">
        <f t="shared" ref="K5574:K5637" si="175">IFERROR(IF(ROUND((J5574-L5574)/J5574,2)&lt;=0.05,J5574,0),0)</f>
        <v>0</v>
      </c>
      <c r="L5574" s="27">
        <v>82360.259999999995</v>
      </c>
      <c r="M5574" s="36">
        <v>8862.39</v>
      </c>
      <c r="T5574" s="41">
        <v>0</v>
      </c>
      <c r="U5574" s="41">
        <v>0</v>
      </c>
      <c r="V5574" s="42" t="s">
        <v>113</v>
      </c>
      <c r="W5574" s="42">
        <v>0</v>
      </c>
      <c r="X5574" s="42">
        <v>0</v>
      </c>
    </row>
    <row r="5575" spans="1:24">
      <c r="A5575" s="27" t="s">
        <v>10274</v>
      </c>
      <c r="B5575" s="28" t="s">
        <v>5102</v>
      </c>
      <c r="C5575" s="27" t="s">
        <v>10275</v>
      </c>
      <c r="D5575" s="27" t="s">
        <v>5104</v>
      </c>
      <c r="E5575" s="29">
        <v>41274</v>
      </c>
      <c r="F5575" s="27">
        <v>15</v>
      </c>
      <c r="G5575" s="18">
        <v>66736.55</v>
      </c>
      <c r="H5575" s="27">
        <f t="shared" si="174"/>
        <v>0</v>
      </c>
      <c r="I5575" s="18">
        <v>30404.31</v>
      </c>
      <c r="J5575" s="27">
        <v>66736.55</v>
      </c>
      <c r="K5575" s="18">
        <f t="shared" si="175"/>
        <v>0</v>
      </c>
      <c r="L5575" s="27">
        <v>34070.47</v>
      </c>
      <c r="M5575" s="36">
        <v>3666.16</v>
      </c>
      <c r="T5575" s="41">
        <v>0</v>
      </c>
      <c r="U5575" s="41">
        <v>0</v>
      </c>
      <c r="V5575" s="42" t="s">
        <v>113</v>
      </c>
      <c r="W5575" s="42">
        <v>0</v>
      </c>
      <c r="X5575" s="42">
        <v>0</v>
      </c>
    </row>
    <row r="5576" spans="1:24">
      <c r="A5576" s="27" t="s">
        <v>10276</v>
      </c>
      <c r="B5576" s="28" t="s">
        <v>5102</v>
      </c>
      <c r="C5576" s="27" t="s">
        <v>10277</v>
      </c>
      <c r="D5576" s="27" t="s">
        <v>5104</v>
      </c>
      <c r="E5576" s="29">
        <v>41274</v>
      </c>
      <c r="F5576" s="27">
        <v>15</v>
      </c>
      <c r="G5576" s="18">
        <v>117747.38</v>
      </c>
      <c r="H5576" s="27">
        <f t="shared" si="174"/>
        <v>0</v>
      </c>
      <c r="I5576" s="18">
        <v>53644.17</v>
      </c>
      <c r="J5576" s="27">
        <v>117747.38</v>
      </c>
      <c r="K5576" s="18">
        <f t="shared" si="175"/>
        <v>0</v>
      </c>
      <c r="L5576" s="27">
        <v>60112.6</v>
      </c>
      <c r="M5576" s="36">
        <v>6468.43</v>
      </c>
      <c r="T5576" s="41">
        <v>0</v>
      </c>
      <c r="U5576" s="41">
        <v>0</v>
      </c>
      <c r="V5576" s="42" t="s">
        <v>113</v>
      </c>
      <c r="W5576" s="42">
        <v>0</v>
      </c>
      <c r="X5576" s="42">
        <v>0</v>
      </c>
    </row>
    <row r="5577" spans="1:24">
      <c r="A5577" s="27" t="s">
        <v>10278</v>
      </c>
      <c r="B5577" s="28" t="s">
        <v>5102</v>
      </c>
      <c r="C5577" s="27" t="s">
        <v>10279</v>
      </c>
      <c r="D5577" s="27" t="s">
        <v>5104</v>
      </c>
      <c r="E5577" s="29">
        <v>41274</v>
      </c>
      <c r="F5577" s="27">
        <v>15</v>
      </c>
      <c r="G5577" s="18">
        <v>294172.84999999998</v>
      </c>
      <c r="H5577" s="27">
        <f t="shared" si="174"/>
        <v>0</v>
      </c>
      <c r="I5577" s="18">
        <v>134021.31</v>
      </c>
      <c r="J5577" s="27">
        <v>294172.84999999998</v>
      </c>
      <c r="K5577" s="18">
        <f t="shared" si="175"/>
        <v>0</v>
      </c>
      <c r="L5577" s="27">
        <v>150181.63</v>
      </c>
      <c r="M5577" s="36">
        <v>16160.32</v>
      </c>
      <c r="T5577" s="41">
        <v>0</v>
      </c>
      <c r="U5577" s="41">
        <v>0</v>
      </c>
      <c r="V5577" s="42" t="s">
        <v>113</v>
      </c>
      <c r="W5577" s="42">
        <v>0</v>
      </c>
      <c r="X5577" s="42">
        <v>0</v>
      </c>
    </row>
    <row r="5578" spans="1:24">
      <c r="A5578" s="27" t="s">
        <v>10280</v>
      </c>
      <c r="B5578" s="28" t="s">
        <v>5102</v>
      </c>
      <c r="C5578" s="27" t="s">
        <v>10281</v>
      </c>
      <c r="D5578" s="27" t="s">
        <v>5104</v>
      </c>
      <c r="E5578" s="29">
        <v>41274</v>
      </c>
      <c r="F5578" s="27">
        <v>15</v>
      </c>
      <c r="G5578" s="18">
        <v>187065.77</v>
      </c>
      <c r="H5578" s="27">
        <f t="shared" si="174"/>
        <v>0</v>
      </c>
      <c r="I5578" s="18">
        <v>85224.73</v>
      </c>
      <c r="J5578" s="27">
        <v>187065.77</v>
      </c>
      <c r="K5578" s="18">
        <f t="shared" si="175"/>
        <v>0</v>
      </c>
      <c r="L5578" s="27">
        <v>95501.15</v>
      </c>
      <c r="M5578" s="36">
        <v>10276.42</v>
      </c>
      <c r="T5578" s="41">
        <v>0</v>
      </c>
      <c r="U5578" s="41">
        <v>0</v>
      </c>
      <c r="V5578" s="42" t="s">
        <v>113</v>
      </c>
      <c r="W5578" s="42">
        <v>0</v>
      </c>
      <c r="X5578" s="42">
        <v>0</v>
      </c>
    </row>
    <row r="5579" spans="1:24">
      <c r="A5579" s="27" t="s">
        <v>10282</v>
      </c>
      <c r="B5579" s="28" t="s">
        <v>5102</v>
      </c>
      <c r="C5579" s="27" t="s">
        <v>10283</v>
      </c>
      <c r="D5579" s="27" t="s">
        <v>5104</v>
      </c>
      <c r="E5579" s="29">
        <v>41274</v>
      </c>
      <c r="F5579" s="27">
        <v>15</v>
      </c>
      <c r="G5579" s="18">
        <v>291043.34999999998</v>
      </c>
      <c r="H5579" s="27">
        <f t="shared" si="174"/>
        <v>0</v>
      </c>
      <c r="I5579" s="18">
        <v>132595.56</v>
      </c>
      <c r="J5579" s="27">
        <v>291043.34999999998</v>
      </c>
      <c r="K5579" s="18">
        <f t="shared" si="175"/>
        <v>0</v>
      </c>
      <c r="L5579" s="27">
        <v>148583.96</v>
      </c>
      <c r="M5579" s="36">
        <v>15988.4</v>
      </c>
      <c r="T5579" s="41">
        <v>0</v>
      </c>
      <c r="U5579" s="41">
        <v>0</v>
      </c>
      <c r="V5579" s="42" t="s">
        <v>113</v>
      </c>
      <c r="W5579" s="42">
        <v>0</v>
      </c>
      <c r="X5579" s="42">
        <v>0</v>
      </c>
    </row>
    <row r="5580" spans="1:24">
      <c r="A5580" s="27" t="s">
        <v>10284</v>
      </c>
      <c r="B5580" s="28" t="s">
        <v>5102</v>
      </c>
      <c r="C5580" s="27" t="s">
        <v>10285</v>
      </c>
      <c r="D5580" s="27" t="s">
        <v>5104</v>
      </c>
      <c r="E5580" s="29">
        <v>41274</v>
      </c>
      <c r="F5580" s="27">
        <v>15</v>
      </c>
      <c r="G5580" s="18">
        <v>93493.759999999995</v>
      </c>
      <c r="H5580" s="27">
        <f t="shared" si="174"/>
        <v>0</v>
      </c>
      <c r="I5580" s="18">
        <v>42594.54</v>
      </c>
      <c r="J5580" s="27">
        <v>93493.759999999995</v>
      </c>
      <c r="K5580" s="18">
        <f t="shared" si="175"/>
        <v>0</v>
      </c>
      <c r="L5580" s="27">
        <v>47730.6</v>
      </c>
      <c r="M5580" s="36">
        <v>5136.0600000000004</v>
      </c>
      <c r="T5580" s="41">
        <v>0</v>
      </c>
      <c r="U5580" s="41">
        <v>0</v>
      </c>
      <c r="V5580" s="42" t="s">
        <v>113</v>
      </c>
      <c r="W5580" s="42">
        <v>0</v>
      </c>
      <c r="X5580" s="42">
        <v>0</v>
      </c>
    </row>
    <row r="5581" spans="1:24">
      <c r="A5581" s="27" t="s">
        <v>10286</v>
      </c>
      <c r="B5581" s="28" t="s">
        <v>5102</v>
      </c>
      <c r="C5581" s="27" t="s">
        <v>10287</v>
      </c>
      <c r="D5581" s="27" t="s">
        <v>5104</v>
      </c>
      <c r="E5581" s="29">
        <v>41274</v>
      </c>
      <c r="F5581" s="27">
        <v>15</v>
      </c>
      <c r="G5581" s="18">
        <v>208111.64</v>
      </c>
      <c r="H5581" s="27">
        <f t="shared" si="174"/>
        <v>0</v>
      </c>
      <c r="I5581" s="18">
        <v>94812.95</v>
      </c>
      <c r="J5581" s="27">
        <v>208111.64</v>
      </c>
      <c r="K5581" s="18">
        <f t="shared" si="175"/>
        <v>0</v>
      </c>
      <c r="L5581" s="27">
        <v>106245.52</v>
      </c>
      <c r="M5581" s="36">
        <v>11432.57</v>
      </c>
      <c r="T5581" s="41">
        <v>0</v>
      </c>
      <c r="U5581" s="41">
        <v>0</v>
      </c>
      <c r="V5581" s="42" t="s">
        <v>113</v>
      </c>
      <c r="W5581" s="42">
        <v>0</v>
      </c>
      <c r="X5581" s="42">
        <v>0</v>
      </c>
    </row>
    <row r="5582" spans="1:24">
      <c r="A5582" s="27" t="s">
        <v>10288</v>
      </c>
      <c r="B5582" s="28" t="s">
        <v>5102</v>
      </c>
      <c r="C5582" s="27" t="s">
        <v>10289</v>
      </c>
      <c r="D5582" s="27" t="s">
        <v>5104</v>
      </c>
      <c r="E5582" s="29">
        <v>41274</v>
      </c>
      <c r="F5582" s="27">
        <v>15</v>
      </c>
      <c r="G5582" s="18">
        <v>186361.63</v>
      </c>
      <c r="H5582" s="27">
        <f t="shared" si="174"/>
        <v>0</v>
      </c>
      <c r="I5582" s="18">
        <v>84903.94</v>
      </c>
      <c r="J5582" s="27">
        <v>186361.63</v>
      </c>
      <c r="K5582" s="18">
        <f t="shared" si="175"/>
        <v>0</v>
      </c>
      <c r="L5582" s="27">
        <v>95141.67</v>
      </c>
      <c r="M5582" s="36">
        <v>10237.73</v>
      </c>
      <c r="T5582" s="41">
        <v>0</v>
      </c>
      <c r="U5582" s="41">
        <v>0</v>
      </c>
      <c r="V5582" s="42" t="s">
        <v>113</v>
      </c>
      <c r="W5582" s="42">
        <v>0</v>
      </c>
      <c r="X5582" s="42">
        <v>0</v>
      </c>
    </row>
    <row r="5583" spans="1:24">
      <c r="A5583" s="27" t="s">
        <v>10290</v>
      </c>
      <c r="B5583" s="28" t="s">
        <v>5102</v>
      </c>
      <c r="C5583" s="27" t="s">
        <v>10291</v>
      </c>
      <c r="D5583" s="27" t="s">
        <v>5104</v>
      </c>
      <c r="E5583" s="29">
        <v>41274</v>
      </c>
      <c r="F5583" s="27">
        <v>15</v>
      </c>
      <c r="G5583" s="18">
        <v>56409.21</v>
      </c>
      <c r="H5583" s="27">
        <f t="shared" si="174"/>
        <v>0</v>
      </c>
      <c r="I5583" s="18">
        <v>25699.31</v>
      </c>
      <c r="J5583" s="27">
        <v>56409.21</v>
      </c>
      <c r="K5583" s="18">
        <f t="shared" si="175"/>
        <v>0</v>
      </c>
      <c r="L5583" s="27">
        <v>28798.14</v>
      </c>
      <c r="M5583" s="36">
        <v>3098.83</v>
      </c>
      <c r="T5583" s="41">
        <v>0</v>
      </c>
      <c r="U5583" s="41">
        <v>0</v>
      </c>
      <c r="V5583" s="42" t="s">
        <v>113</v>
      </c>
      <c r="W5583" s="42">
        <v>0</v>
      </c>
      <c r="X5583" s="42">
        <v>0</v>
      </c>
    </row>
    <row r="5584" spans="1:24">
      <c r="A5584" s="27" t="s">
        <v>10292</v>
      </c>
      <c r="B5584" s="28" t="s">
        <v>5102</v>
      </c>
      <c r="C5584" s="27" t="s">
        <v>10293</v>
      </c>
      <c r="D5584" s="27" t="s">
        <v>5104</v>
      </c>
      <c r="E5584" s="29">
        <v>41274</v>
      </c>
      <c r="F5584" s="27">
        <v>15</v>
      </c>
      <c r="G5584" s="18">
        <v>106950.61</v>
      </c>
      <c r="H5584" s="27">
        <f t="shared" si="174"/>
        <v>0</v>
      </c>
      <c r="I5584" s="18">
        <v>48725.31</v>
      </c>
      <c r="J5584" s="27">
        <v>106950.61</v>
      </c>
      <c r="K5584" s="18">
        <f t="shared" si="175"/>
        <v>0</v>
      </c>
      <c r="L5584" s="27">
        <v>54600.62</v>
      </c>
      <c r="M5584" s="36">
        <v>5875.31</v>
      </c>
      <c r="T5584" s="41">
        <v>0</v>
      </c>
      <c r="U5584" s="41">
        <v>0</v>
      </c>
      <c r="V5584" s="42" t="s">
        <v>113</v>
      </c>
      <c r="W5584" s="42">
        <v>0</v>
      </c>
      <c r="X5584" s="42">
        <v>0</v>
      </c>
    </row>
    <row r="5585" spans="1:24">
      <c r="A5585" s="27" t="s">
        <v>10294</v>
      </c>
      <c r="B5585" s="28" t="s">
        <v>5102</v>
      </c>
      <c r="C5585" s="27" t="s">
        <v>10295</v>
      </c>
      <c r="D5585" s="27" t="s">
        <v>5104</v>
      </c>
      <c r="E5585" s="29">
        <v>41274</v>
      </c>
      <c r="F5585" s="27">
        <v>15</v>
      </c>
      <c r="G5585" s="18">
        <v>252159.33</v>
      </c>
      <c r="H5585" s="27">
        <f t="shared" si="174"/>
        <v>0</v>
      </c>
      <c r="I5585" s="18">
        <v>114880.51</v>
      </c>
      <c r="J5585" s="27">
        <v>252159.33</v>
      </c>
      <c r="K5585" s="18">
        <f t="shared" si="175"/>
        <v>0</v>
      </c>
      <c r="L5585" s="27">
        <v>128732.83</v>
      </c>
      <c r="M5585" s="36">
        <v>13852.32</v>
      </c>
      <c r="T5585" s="41">
        <v>0</v>
      </c>
      <c r="U5585" s="41">
        <v>0</v>
      </c>
      <c r="V5585" s="42" t="s">
        <v>113</v>
      </c>
      <c r="W5585" s="42">
        <v>0</v>
      </c>
      <c r="X5585" s="42">
        <v>0</v>
      </c>
    </row>
    <row r="5586" spans="1:24">
      <c r="A5586" s="27" t="s">
        <v>10296</v>
      </c>
      <c r="B5586" s="28" t="s">
        <v>5102</v>
      </c>
      <c r="C5586" s="27" t="s">
        <v>10297</v>
      </c>
      <c r="D5586" s="27" t="s">
        <v>5104</v>
      </c>
      <c r="E5586" s="29">
        <v>41274</v>
      </c>
      <c r="F5586" s="27">
        <v>15</v>
      </c>
      <c r="G5586" s="18">
        <v>140983.9</v>
      </c>
      <c r="H5586" s="27">
        <f t="shared" si="174"/>
        <v>0</v>
      </c>
      <c r="I5586" s="18">
        <v>64230.43</v>
      </c>
      <c r="J5586" s="27">
        <v>140983.9</v>
      </c>
      <c r="K5586" s="18">
        <f t="shared" si="175"/>
        <v>0</v>
      </c>
      <c r="L5586" s="27">
        <v>71975.350000000006</v>
      </c>
      <c r="M5586" s="36">
        <v>7744.92</v>
      </c>
      <c r="T5586" s="41">
        <v>0</v>
      </c>
      <c r="U5586" s="41">
        <v>0</v>
      </c>
      <c r="V5586" s="42" t="s">
        <v>113</v>
      </c>
      <c r="W5586" s="42">
        <v>0</v>
      </c>
      <c r="X5586" s="42">
        <v>0</v>
      </c>
    </row>
    <row r="5587" spans="1:24">
      <c r="A5587" s="27" t="s">
        <v>10298</v>
      </c>
      <c r="B5587" s="28" t="s">
        <v>5102</v>
      </c>
      <c r="C5587" s="27" t="s">
        <v>10299</v>
      </c>
      <c r="D5587" s="27" t="s">
        <v>5104</v>
      </c>
      <c r="E5587" s="29">
        <v>41274</v>
      </c>
      <c r="F5587" s="27">
        <v>15</v>
      </c>
      <c r="G5587" s="18">
        <v>891124.67</v>
      </c>
      <c r="H5587" s="27">
        <f t="shared" si="174"/>
        <v>0</v>
      </c>
      <c r="I5587" s="18">
        <v>405984.78</v>
      </c>
      <c r="J5587" s="27">
        <v>891124.67</v>
      </c>
      <c r="K5587" s="18">
        <f t="shared" si="175"/>
        <v>0</v>
      </c>
      <c r="L5587" s="27">
        <v>454938.52</v>
      </c>
      <c r="M5587" s="36">
        <v>48953.74</v>
      </c>
      <c r="T5587" s="41">
        <v>0</v>
      </c>
      <c r="U5587" s="41">
        <v>0</v>
      </c>
      <c r="V5587" s="42" t="s">
        <v>113</v>
      </c>
      <c r="W5587" s="42">
        <v>0</v>
      </c>
      <c r="X5587" s="42">
        <v>0</v>
      </c>
    </row>
    <row r="5588" spans="1:24">
      <c r="A5588" s="27" t="s">
        <v>10300</v>
      </c>
      <c r="B5588" s="28" t="s">
        <v>5102</v>
      </c>
      <c r="C5588" s="27" t="s">
        <v>10301</v>
      </c>
      <c r="D5588" s="27" t="s">
        <v>5104</v>
      </c>
      <c r="E5588" s="29">
        <v>41274</v>
      </c>
      <c r="F5588" s="27">
        <v>15</v>
      </c>
      <c r="G5588" s="18">
        <v>891124.67</v>
      </c>
      <c r="H5588" s="27">
        <f t="shared" si="174"/>
        <v>0</v>
      </c>
      <c r="I5588" s="18">
        <v>405984.78</v>
      </c>
      <c r="J5588" s="27">
        <v>891124.67</v>
      </c>
      <c r="K5588" s="18">
        <f t="shared" si="175"/>
        <v>0</v>
      </c>
      <c r="L5588" s="27">
        <v>454938.52</v>
      </c>
      <c r="M5588" s="36">
        <v>48953.74</v>
      </c>
      <c r="T5588" s="41">
        <v>0</v>
      </c>
      <c r="U5588" s="41">
        <v>0</v>
      </c>
      <c r="V5588" s="42" t="s">
        <v>113</v>
      </c>
      <c r="W5588" s="42">
        <v>0</v>
      </c>
      <c r="X5588" s="42">
        <v>0</v>
      </c>
    </row>
    <row r="5589" spans="1:24">
      <c r="A5589" s="27" t="s">
        <v>10302</v>
      </c>
      <c r="B5589" s="28" t="s">
        <v>5102</v>
      </c>
      <c r="C5589" s="27" t="s">
        <v>10303</v>
      </c>
      <c r="D5589" s="27" t="s">
        <v>5104</v>
      </c>
      <c r="E5589" s="29">
        <v>41274</v>
      </c>
      <c r="F5589" s="27">
        <v>15</v>
      </c>
      <c r="G5589" s="18">
        <v>46629.53</v>
      </c>
      <c r="H5589" s="27">
        <f t="shared" si="174"/>
        <v>0</v>
      </c>
      <c r="I5589" s="18">
        <v>21243.8</v>
      </c>
      <c r="J5589" s="27">
        <v>46629.53</v>
      </c>
      <c r="K5589" s="18">
        <f t="shared" si="175"/>
        <v>0</v>
      </c>
      <c r="L5589" s="27">
        <v>23805.38</v>
      </c>
      <c r="M5589" s="36">
        <v>2561.58</v>
      </c>
      <c r="T5589" s="41">
        <v>0</v>
      </c>
      <c r="U5589" s="41">
        <v>0</v>
      </c>
      <c r="V5589" s="42" t="s">
        <v>113</v>
      </c>
      <c r="W5589" s="42">
        <v>0</v>
      </c>
      <c r="X5589" s="42">
        <v>0</v>
      </c>
    </row>
    <row r="5590" spans="1:24">
      <c r="A5590" s="27" t="s">
        <v>10304</v>
      </c>
      <c r="B5590" s="28" t="s">
        <v>5102</v>
      </c>
      <c r="C5590" s="27" t="s">
        <v>10305</v>
      </c>
      <c r="D5590" s="27" t="s">
        <v>5104</v>
      </c>
      <c r="E5590" s="29">
        <v>41274</v>
      </c>
      <c r="F5590" s="27">
        <v>15</v>
      </c>
      <c r="G5590" s="18">
        <v>116965</v>
      </c>
      <c r="H5590" s="27">
        <f t="shared" si="174"/>
        <v>0</v>
      </c>
      <c r="I5590" s="18">
        <v>53287.73</v>
      </c>
      <c r="J5590" s="27">
        <v>116965</v>
      </c>
      <c r="K5590" s="18">
        <f t="shared" si="175"/>
        <v>0</v>
      </c>
      <c r="L5590" s="27">
        <v>59713.18</v>
      </c>
      <c r="M5590" s="36">
        <v>6425.45</v>
      </c>
      <c r="T5590" s="41">
        <v>0</v>
      </c>
      <c r="U5590" s="41">
        <v>0</v>
      </c>
      <c r="V5590" s="42" t="s">
        <v>113</v>
      </c>
      <c r="W5590" s="42">
        <v>0</v>
      </c>
      <c r="X5590" s="42">
        <v>0</v>
      </c>
    </row>
    <row r="5591" spans="1:24">
      <c r="A5591" s="27" t="s">
        <v>10306</v>
      </c>
      <c r="B5591" s="28" t="s">
        <v>5102</v>
      </c>
      <c r="C5591" s="27" t="s">
        <v>10307</v>
      </c>
      <c r="D5591" s="27" t="s">
        <v>5104</v>
      </c>
      <c r="E5591" s="29">
        <v>41274</v>
      </c>
      <c r="F5591" s="27">
        <v>15</v>
      </c>
      <c r="G5591" s="18">
        <v>47411.9</v>
      </c>
      <c r="H5591" s="27">
        <f t="shared" si="174"/>
        <v>0</v>
      </c>
      <c r="I5591" s="18">
        <v>21600.240000000002</v>
      </c>
      <c r="J5591" s="27">
        <v>47411.9</v>
      </c>
      <c r="K5591" s="18">
        <f t="shared" si="175"/>
        <v>0</v>
      </c>
      <c r="L5591" s="27">
        <v>24204.799999999999</v>
      </c>
      <c r="M5591" s="36">
        <v>2604.56</v>
      </c>
      <c r="T5591" s="41">
        <v>0</v>
      </c>
      <c r="U5591" s="41">
        <v>0</v>
      </c>
      <c r="V5591" s="42" t="s">
        <v>113</v>
      </c>
      <c r="W5591" s="42">
        <v>0</v>
      </c>
      <c r="X5591" s="42">
        <v>0</v>
      </c>
    </row>
    <row r="5592" spans="1:24">
      <c r="A5592" s="27" t="s">
        <v>10308</v>
      </c>
      <c r="B5592" s="28" t="s">
        <v>5102</v>
      </c>
      <c r="C5592" s="27" t="s">
        <v>10309</v>
      </c>
      <c r="D5592" s="27" t="s">
        <v>5104</v>
      </c>
      <c r="E5592" s="29">
        <v>41274</v>
      </c>
      <c r="F5592" s="27">
        <v>15</v>
      </c>
      <c r="G5592" s="18">
        <v>373505.63</v>
      </c>
      <c r="H5592" s="27">
        <f t="shared" si="174"/>
        <v>0</v>
      </c>
      <c r="I5592" s="18">
        <v>170164.29</v>
      </c>
      <c r="J5592" s="27">
        <v>373505.63</v>
      </c>
      <c r="K5592" s="18">
        <f t="shared" si="175"/>
        <v>0</v>
      </c>
      <c r="L5592" s="27">
        <v>190682.74</v>
      </c>
      <c r="M5592" s="36">
        <v>20518.45</v>
      </c>
      <c r="T5592" s="41">
        <v>0</v>
      </c>
      <c r="U5592" s="41">
        <v>0</v>
      </c>
      <c r="V5592" s="42" t="s">
        <v>113</v>
      </c>
      <c r="W5592" s="42">
        <v>0</v>
      </c>
      <c r="X5592" s="42">
        <v>0</v>
      </c>
    </row>
    <row r="5593" spans="1:24">
      <c r="A5593" s="27" t="s">
        <v>10310</v>
      </c>
      <c r="B5593" s="28" t="s">
        <v>5102</v>
      </c>
      <c r="C5593" s="27" t="s">
        <v>10311</v>
      </c>
      <c r="D5593" s="27" t="s">
        <v>5104</v>
      </c>
      <c r="E5593" s="29">
        <v>41274</v>
      </c>
      <c r="F5593" s="27">
        <v>15</v>
      </c>
      <c r="G5593" s="18">
        <v>415284.44</v>
      </c>
      <c r="H5593" s="27">
        <f t="shared" si="174"/>
        <v>0</v>
      </c>
      <c r="I5593" s="18">
        <v>189198.17</v>
      </c>
      <c r="J5593" s="27">
        <v>415284.44</v>
      </c>
      <c r="K5593" s="18">
        <f t="shared" si="175"/>
        <v>0</v>
      </c>
      <c r="L5593" s="27">
        <v>212011.73</v>
      </c>
      <c r="M5593" s="36">
        <v>22813.56</v>
      </c>
      <c r="T5593" s="41">
        <v>0</v>
      </c>
      <c r="U5593" s="41">
        <v>0</v>
      </c>
      <c r="V5593" s="42" t="s">
        <v>113</v>
      </c>
      <c r="W5593" s="42">
        <v>0</v>
      </c>
      <c r="X5593" s="42">
        <v>0</v>
      </c>
    </row>
    <row r="5594" spans="1:24">
      <c r="A5594" s="27" t="s">
        <v>10312</v>
      </c>
      <c r="B5594" s="28" t="s">
        <v>5102</v>
      </c>
      <c r="C5594" s="27" t="s">
        <v>10313</v>
      </c>
      <c r="D5594" s="27" t="s">
        <v>5104</v>
      </c>
      <c r="E5594" s="29">
        <v>41274</v>
      </c>
      <c r="F5594" s="27">
        <v>15</v>
      </c>
      <c r="G5594" s="18">
        <v>415284.44</v>
      </c>
      <c r="H5594" s="27">
        <f t="shared" si="174"/>
        <v>0</v>
      </c>
      <c r="I5594" s="18">
        <v>189198.17</v>
      </c>
      <c r="J5594" s="27">
        <v>415284.44</v>
      </c>
      <c r="K5594" s="18">
        <f t="shared" si="175"/>
        <v>0</v>
      </c>
      <c r="L5594" s="27">
        <v>212011.73</v>
      </c>
      <c r="M5594" s="36">
        <v>22813.56</v>
      </c>
      <c r="T5594" s="41">
        <v>0</v>
      </c>
      <c r="U5594" s="41">
        <v>0</v>
      </c>
      <c r="V5594" s="42" t="s">
        <v>113</v>
      </c>
      <c r="W5594" s="42">
        <v>0</v>
      </c>
      <c r="X5594" s="42">
        <v>0</v>
      </c>
    </row>
    <row r="5595" spans="1:24">
      <c r="A5595" s="27" t="s">
        <v>10314</v>
      </c>
      <c r="B5595" s="28" t="s">
        <v>5102</v>
      </c>
      <c r="C5595" s="27" t="s">
        <v>10315</v>
      </c>
      <c r="D5595" s="27" t="s">
        <v>5104</v>
      </c>
      <c r="E5595" s="29">
        <v>41274</v>
      </c>
      <c r="F5595" s="27">
        <v>15</v>
      </c>
      <c r="G5595" s="18">
        <v>45690.68</v>
      </c>
      <c r="H5595" s="27">
        <f t="shared" si="174"/>
        <v>0</v>
      </c>
      <c r="I5595" s="18">
        <v>20816.09</v>
      </c>
      <c r="J5595" s="27">
        <v>45690.68</v>
      </c>
      <c r="K5595" s="18">
        <f t="shared" si="175"/>
        <v>0</v>
      </c>
      <c r="L5595" s="27">
        <v>23326.1</v>
      </c>
      <c r="M5595" s="36">
        <v>2510.0100000000002</v>
      </c>
      <c r="T5595" s="41">
        <v>0</v>
      </c>
      <c r="U5595" s="41">
        <v>0</v>
      </c>
      <c r="V5595" s="42" t="s">
        <v>113</v>
      </c>
      <c r="W5595" s="42">
        <v>0</v>
      </c>
      <c r="X5595" s="42">
        <v>0</v>
      </c>
    </row>
    <row r="5596" spans="1:24">
      <c r="A5596" s="27" t="s">
        <v>10316</v>
      </c>
      <c r="B5596" s="28" t="s">
        <v>5102</v>
      </c>
      <c r="C5596" s="27" t="s">
        <v>10317</v>
      </c>
      <c r="D5596" s="27" t="s">
        <v>5104</v>
      </c>
      <c r="E5596" s="29">
        <v>41274</v>
      </c>
      <c r="F5596" s="27">
        <v>15</v>
      </c>
      <c r="G5596" s="18">
        <v>233930.01</v>
      </c>
      <c r="H5596" s="27">
        <f t="shared" si="174"/>
        <v>0</v>
      </c>
      <c r="I5596" s="18">
        <v>106575.46</v>
      </c>
      <c r="J5596" s="27">
        <v>233930.01</v>
      </c>
      <c r="K5596" s="18">
        <f t="shared" si="175"/>
        <v>0</v>
      </c>
      <c r="L5596" s="27">
        <v>119426.35</v>
      </c>
      <c r="M5596" s="36">
        <v>12850.89</v>
      </c>
      <c r="T5596" s="41">
        <v>0</v>
      </c>
      <c r="U5596" s="41">
        <v>0</v>
      </c>
      <c r="V5596" s="42" t="s">
        <v>113</v>
      </c>
      <c r="W5596" s="42">
        <v>0</v>
      </c>
      <c r="X5596" s="42">
        <v>0</v>
      </c>
    </row>
    <row r="5597" spans="1:24">
      <c r="A5597" s="27" t="s">
        <v>10318</v>
      </c>
      <c r="B5597" s="28" t="s">
        <v>5102</v>
      </c>
      <c r="C5597" s="27" t="s">
        <v>10319</v>
      </c>
      <c r="D5597" s="27" t="s">
        <v>5104</v>
      </c>
      <c r="E5597" s="29">
        <v>41274</v>
      </c>
      <c r="F5597" s="27">
        <v>15</v>
      </c>
      <c r="G5597" s="18">
        <v>251064.01</v>
      </c>
      <c r="H5597" s="27">
        <f t="shared" si="174"/>
        <v>0</v>
      </c>
      <c r="I5597" s="18">
        <v>114381.5</v>
      </c>
      <c r="J5597" s="27">
        <v>251064.01</v>
      </c>
      <c r="K5597" s="18">
        <f t="shared" si="175"/>
        <v>0</v>
      </c>
      <c r="L5597" s="27">
        <v>128173.65</v>
      </c>
      <c r="M5597" s="36">
        <v>13792.15</v>
      </c>
      <c r="T5597" s="41">
        <v>0</v>
      </c>
      <c r="U5597" s="41">
        <v>0</v>
      </c>
      <c r="V5597" s="42" t="s">
        <v>113</v>
      </c>
      <c r="W5597" s="42">
        <v>0</v>
      </c>
      <c r="X5597" s="42">
        <v>0</v>
      </c>
    </row>
    <row r="5598" spans="1:24">
      <c r="A5598" s="27" t="s">
        <v>10320</v>
      </c>
      <c r="B5598" s="28" t="s">
        <v>5102</v>
      </c>
      <c r="C5598" s="27" t="s">
        <v>10321</v>
      </c>
      <c r="D5598" s="27" t="s">
        <v>5104</v>
      </c>
      <c r="E5598" s="29">
        <v>41274</v>
      </c>
      <c r="F5598" s="27">
        <v>15</v>
      </c>
      <c r="G5598" s="18">
        <v>55548.6</v>
      </c>
      <c r="H5598" s="27">
        <f t="shared" si="174"/>
        <v>0</v>
      </c>
      <c r="I5598" s="18">
        <v>25307.23</v>
      </c>
      <c r="J5598" s="27">
        <v>55548.6</v>
      </c>
      <c r="K5598" s="18">
        <f t="shared" si="175"/>
        <v>0</v>
      </c>
      <c r="L5598" s="27">
        <v>28358.78</v>
      </c>
      <c r="M5598" s="36">
        <v>3051.55</v>
      </c>
      <c r="T5598" s="41">
        <v>0</v>
      </c>
      <c r="U5598" s="41">
        <v>0</v>
      </c>
      <c r="V5598" s="42" t="s">
        <v>113</v>
      </c>
      <c r="W5598" s="42">
        <v>0</v>
      </c>
      <c r="X5598" s="42">
        <v>0</v>
      </c>
    </row>
    <row r="5599" spans="1:24">
      <c r="A5599" s="27" t="s">
        <v>10322</v>
      </c>
      <c r="B5599" s="28" t="s">
        <v>5102</v>
      </c>
      <c r="C5599" s="27" t="s">
        <v>10323</v>
      </c>
      <c r="D5599" s="27" t="s">
        <v>5104</v>
      </c>
      <c r="E5599" s="29">
        <v>41274</v>
      </c>
      <c r="F5599" s="27">
        <v>15</v>
      </c>
      <c r="G5599" s="18">
        <v>101943.41</v>
      </c>
      <c r="H5599" s="27">
        <f t="shared" si="174"/>
        <v>0</v>
      </c>
      <c r="I5599" s="18">
        <v>46444.08</v>
      </c>
      <c r="J5599" s="27">
        <v>101943.41</v>
      </c>
      <c r="K5599" s="18">
        <f t="shared" si="175"/>
        <v>0</v>
      </c>
      <c r="L5599" s="27">
        <v>52044.32</v>
      </c>
      <c r="M5599" s="36">
        <v>5600.24</v>
      </c>
      <c r="T5599" s="41">
        <v>0</v>
      </c>
      <c r="U5599" s="41">
        <v>0</v>
      </c>
      <c r="V5599" s="42" t="s">
        <v>113</v>
      </c>
      <c r="W5599" s="42">
        <v>0</v>
      </c>
      <c r="X5599" s="42">
        <v>0</v>
      </c>
    </row>
    <row r="5600" spans="1:24">
      <c r="A5600" s="27" t="s">
        <v>10324</v>
      </c>
      <c r="B5600" s="28" t="s">
        <v>5102</v>
      </c>
      <c r="C5600" s="27" t="s">
        <v>10325</v>
      </c>
      <c r="D5600" s="27" t="s">
        <v>5104</v>
      </c>
      <c r="E5600" s="29">
        <v>41274</v>
      </c>
      <c r="F5600" s="27">
        <v>15</v>
      </c>
      <c r="G5600" s="18">
        <v>118607.99</v>
      </c>
      <c r="H5600" s="27">
        <f t="shared" si="174"/>
        <v>0</v>
      </c>
      <c r="I5600" s="18">
        <v>54036.25</v>
      </c>
      <c r="J5600" s="27">
        <v>118607.99</v>
      </c>
      <c r="K5600" s="18">
        <f t="shared" si="175"/>
        <v>0</v>
      </c>
      <c r="L5600" s="27">
        <v>60551.95</v>
      </c>
      <c r="M5600" s="36">
        <v>6515.7</v>
      </c>
      <c r="T5600" s="41">
        <v>0</v>
      </c>
      <c r="U5600" s="41">
        <v>0</v>
      </c>
      <c r="V5600" s="42" t="s">
        <v>113</v>
      </c>
      <c r="W5600" s="42">
        <v>0</v>
      </c>
      <c r="X5600" s="42">
        <v>0</v>
      </c>
    </row>
    <row r="5601" spans="1:24">
      <c r="A5601" s="27" t="s">
        <v>10326</v>
      </c>
      <c r="B5601" s="28" t="s">
        <v>5102</v>
      </c>
      <c r="C5601" s="27" t="s">
        <v>10327</v>
      </c>
      <c r="D5601" s="27" t="s">
        <v>5104</v>
      </c>
      <c r="E5601" s="29">
        <v>41274</v>
      </c>
      <c r="F5601" s="27">
        <v>15</v>
      </c>
      <c r="G5601" s="18">
        <v>74638.539999999994</v>
      </c>
      <c r="H5601" s="27">
        <f t="shared" si="174"/>
        <v>0</v>
      </c>
      <c r="I5601" s="18">
        <v>34004.33</v>
      </c>
      <c r="J5601" s="27">
        <v>74638.539999999994</v>
      </c>
      <c r="K5601" s="18">
        <f t="shared" si="175"/>
        <v>0</v>
      </c>
      <c r="L5601" s="27">
        <v>38104.58</v>
      </c>
      <c r="M5601" s="36">
        <v>4100.25</v>
      </c>
      <c r="T5601" s="41">
        <v>0</v>
      </c>
      <c r="U5601" s="41">
        <v>0</v>
      </c>
      <c r="V5601" s="42" t="s">
        <v>113</v>
      </c>
      <c r="W5601" s="42">
        <v>0</v>
      </c>
      <c r="X5601" s="42">
        <v>0</v>
      </c>
    </row>
    <row r="5602" spans="1:24">
      <c r="A5602" s="27" t="s">
        <v>10328</v>
      </c>
      <c r="B5602" s="28" t="s">
        <v>5102</v>
      </c>
      <c r="C5602" s="27" t="s">
        <v>10329</v>
      </c>
      <c r="D5602" s="27" t="s">
        <v>5104</v>
      </c>
      <c r="E5602" s="29">
        <v>41274</v>
      </c>
      <c r="F5602" s="27">
        <v>15</v>
      </c>
      <c r="G5602" s="18">
        <v>271249.27</v>
      </c>
      <c r="H5602" s="27">
        <f t="shared" si="174"/>
        <v>0</v>
      </c>
      <c r="I5602" s="18">
        <v>123577.63</v>
      </c>
      <c r="J5602" s="27">
        <v>271249.27</v>
      </c>
      <c r="K5602" s="18">
        <f t="shared" si="175"/>
        <v>0</v>
      </c>
      <c r="L5602" s="27">
        <v>138478.65</v>
      </c>
      <c r="M5602" s="36">
        <v>14901.02</v>
      </c>
      <c r="T5602" s="41">
        <v>0</v>
      </c>
      <c r="U5602" s="41">
        <v>0</v>
      </c>
      <c r="V5602" s="42" t="s">
        <v>113</v>
      </c>
      <c r="W5602" s="42">
        <v>0</v>
      </c>
      <c r="X5602" s="42">
        <v>0</v>
      </c>
    </row>
    <row r="5603" spans="1:24">
      <c r="A5603" s="27" t="s">
        <v>10330</v>
      </c>
      <c r="B5603" s="28" t="s">
        <v>5102</v>
      </c>
      <c r="C5603" s="27" t="s">
        <v>10331</v>
      </c>
      <c r="D5603" s="27" t="s">
        <v>5104</v>
      </c>
      <c r="E5603" s="29">
        <v>41274</v>
      </c>
      <c r="F5603" s="27">
        <v>15</v>
      </c>
      <c r="G5603" s="18">
        <v>422560.52</v>
      </c>
      <c r="H5603" s="27">
        <f t="shared" si="174"/>
        <v>0</v>
      </c>
      <c r="I5603" s="18">
        <v>192513.06</v>
      </c>
      <c r="J5603" s="27">
        <v>422560.52</v>
      </c>
      <c r="K5603" s="18">
        <f t="shared" si="175"/>
        <v>0</v>
      </c>
      <c r="L5603" s="27">
        <v>215726.33</v>
      </c>
      <c r="M5603" s="36">
        <v>23213.27</v>
      </c>
      <c r="T5603" s="41">
        <v>0</v>
      </c>
      <c r="U5603" s="41">
        <v>0</v>
      </c>
      <c r="V5603" s="42" t="s">
        <v>113</v>
      </c>
      <c r="W5603" s="42">
        <v>0</v>
      </c>
      <c r="X5603" s="42">
        <v>0</v>
      </c>
    </row>
    <row r="5604" spans="1:24">
      <c r="A5604" s="27" t="s">
        <v>10332</v>
      </c>
      <c r="B5604" s="28" t="s">
        <v>5102</v>
      </c>
      <c r="C5604" s="27" t="s">
        <v>10333</v>
      </c>
      <c r="D5604" s="27" t="s">
        <v>5104</v>
      </c>
      <c r="E5604" s="29">
        <v>41274</v>
      </c>
      <c r="F5604" s="27">
        <v>15</v>
      </c>
      <c r="G5604" s="18">
        <v>428506.57</v>
      </c>
      <c r="H5604" s="27">
        <f t="shared" si="174"/>
        <v>0</v>
      </c>
      <c r="I5604" s="18">
        <v>195222.01</v>
      </c>
      <c r="J5604" s="27">
        <v>428506.57</v>
      </c>
      <c r="K5604" s="18">
        <f t="shared" si="175"/>
        <v>0</v>
      </c>
      <c r="L5604" s="27">
        <v>218761.92</v>
      </c>
      <c r="M5604" s="36">
        <v>23539.91</v>
      </c>
      <c r="T5604" s="41">
        <v>0</v>
      </c>
      <c r="U5604" s="41">
        <v>0</v>
      </c>
      <c r="V5604" s="42" t="s">
        <v>113</v>
      </c>
      <c r="W5604" s="42">
        <v>0</v>
      </c>
      <c r="X5604" s="42">
        <v>0</v>
      </c>
    </row>
    <row r="5605" spans="1:24">
      <c r="A5605" s="27" t="s">
        <v>10334</v>
      </c>
      <c r="B5605" s="28" t="s">
        <v>5102</v>
      </c>
      <c r="C5605" s="27" t="s">
        <v>10335</v>
      </c>
      <c r="D5605" s="27" t="s">
        <v>5104</v>
      </c>
      <c r="E5605" s="29">
        <v>41274</v>
      </c>
      <c r="F5605" s="27">
        <v>15</v>
      </c>
      <c r="G5605" s="18">
        <v>157492.01</v>
      </c>
      <c r="H5605" s="27">
        <f t="shared" si="174"/>
        <v>0</v>
      </c>
      <c r="I5605" s="18">
        <v>71751.31</v>
      </c>
      <c r="J5605" s="27">
        <v>157492.01</v>
      </c>
      <c r="K5605" s="18">
        <f t="shared" si="175"/>
        <v>0</v>
      </c>
      <c r="L5605" s="27">
        <v>80403.100000000006</v>
      </c>
      <c r="M5605" s="36">
        <v>8651.7900000000009</v>
      </c>
      <c r="T5605" s="41">
        <v>0</v>
      </c>
      <c r="U5605" s="41">
        <v>0</v>
      </c>
      <c r="V5605" s="42" t="s">
        <v>113</v>
      </c>
      <c r="W5605" s="42">
        <v>0</v>
      </c>
      <c r="X5605" s="42">
        <v>0</v>
      </c>
    </row>
    <row r="5606" spans="1:24">
      <c r="A5606" s="27" t="s">
        <v>10336</v>
      </c>
      <c r="B5606" s="28" t="s">
        <v>5102</v>
      </c>
      <c r="C5606" s="27" t="s">
        <v>10337</v>
      </c>
      <c r="D5606" s="27" t="s">
        <v>5104</v>
      </c>
      <c r="E5606" s="29">
        <v>41274</v>
      </c>
      <c r="F5606" s="27">
        <v>15</v>
      </c>
      <c r="G5606" s="18">
        <v>321008.3</v>
      </c>
      <c r="H5606" s="27">
        <f t="shared" si="174"/>
        <v>0</v>
      </c>
      <c r="I5606" s="18">
        <v>146247.18</v>
      </c>
      <c r="J5606" s="27">
        <v>321008.3</v>
      </c>
      <c r="K5606" s="18">
        <f t="shared" si="175"/>
        <v>0</v>
      </c>
      <c r="L5606" s="27">
        <v>163881.70000000001</v>
      </c>
      <c r="M5606" s="36">
        <v>17634.52</v>
      </c>
      <c r="T5606" s="41">
        <v>0</v>
      </c>
      <c r="U5606" s="41">
        <v>0</v>
      </c>
      <c r="V5606" s="42" t="s">
        <v>113</v>
      </c>
      <c r="W5606" s="42">
        <v>0</v>
      </c>
      <c r="X5606" s="42">
        <v>0</v>
      </c>
    </row>
    <row r="5607" spans="1:24">
      <c r="A5607" s="27" t="s">
        <v>10338</v>
      </c>
      <c r="B5607" s="28" t="s">
        <v>5102</v>
      </c>
      <c r="C5607" s="27" t="s">
        <v>10339</v>
      </c>
      <c r="D5607" s="27" t="s">
        <v>5104</v>
      </c>
      <c r="E5607" s="29">
        <v>41274</v>
      </c>
      <c r="F5607" s="27">
        <v>15</v>
      </c>
      <c r="G5607" s="18">
        <v>289478.59999999998</v>
      </c>
      <c r="H5607" s="27">
        <f t="shared" si="174"/>
        <v>0</v>
      </c>
      <c r="I5607" s="18">
        <v>131882.67000000001</v>
      </c>
      <c r="J5607" s="27">
        <v>289478.59999999998</v>
      </c>
      <c r="K5607" s="18">
        <f t="shared" si="175"/>
        <v>0</v>
      </c>
      <c r="L5607" s="27">
        <v>147785.10999999999</v>
      </c>
      <c r="M5607" s="36">
        <v>15902.44</v>
      </c>
      <c r="T5607" s="41">
        <v>0</v>
      </c>
      <c r="U5607" s="41">
        <v>0</v>
      </c>
      <c r="V5607" s="42" t="s">
        <v>113</v>
      </c>
      <c r="W5607" s="42">
        <v>0</v>
      </c>
      <c r="X5607" s="42">
        <v>0</v>
      </c>
    </row>
    <row r="5608" spans="1:24">
      <c r="A5608" s="27" t="s">
        <v>10340</v>
      </c>
      <c r="B5608" s="28" t="s">
        <v>5102</v>
      </c>
      <c r="C5608" s="27" t="s">
        <v>10341</v>
      </c>
      <c r="D5608" s="27" t="s">
        <v>5104</v>
      </c>
      <c r="E5608" s="29">
        <v>41274</v>
      </c>
      <c r="F5608" s="27">
        <v>15</v>
      </c>
      <c r="G5608" s="18">
        <v>336421.08</v>
      </c>
      <c r="H5608" s="27">
        <f t="shared" si="174"/>
        <v>0</v>
      </c>
      <c r="I5608" s="18">
        <v>153269.04999999999</v>
      </c>
      <c r="J5608" s="27">
        <v>336421.08</v>
      </c>
      <c r="K5608" s="18">
        <f t="shared" si="175"/>
        <v>0</v>
      </c>
      <c r="L5608" s="27">
        <v>171750.27</v>
      </c>
      <c r="M5608" s="36">
        <v>18481.22</v>
      </c>
      <c r="T5608" s="41">
        <v>0</v>
      </c>
      <c r="U5608" s="41">
        <v>0</v>
      </c>
      <c r="V5608" s="42" t="s">
        <v>113</v>
      </c>
      <c r="W5608" s="42">
        <v>0</v>
      </c>
      <c r="X5608" s="42">
        <v>0</v>
      </c>
    </row>
    <row r="5609" spans="1:24">
      <c r="A5609" s="27" t="s">
        <v>10342</v>
      </c>
      <c r="B5609" s="28" t="s">
        <v>5102</v>
      </c>
      <c r="C5609" s="27" t="s">
        <v>10343</v>
      </c>
      <c r="D5609" s="27" t="s">
        <v>5104</v>
      </c>
      <c r="E5609" s="29">
        <v>41274</v>
      </c>
      <c r="F5609" s="27">
        <v>15</v>
      </c>
      <c r="G5609" s="18">
        <v>363021.81</v>
      </c>
      <c r="H5609" s="27">
        <f t="shared" si="174"/>
        <v>0</v>
      </c>
      <c r="I5609" s="18">
        <v>165388</v>
      </c>
      <c r="J5609" s="27">
        <v>363021.81</v>
      </c>
      <c r="K5609" s="18">
        <f t="shared" si="175"/>
        <v>0</v>
      </c>
      <c r="L5609" s="27">
        <v>185330.52</v>
      </c>
      <c r="M5609" s="36">
        <v>19942.52</v>
      </c>
      <c r="T5609" s="41">
        <v>0</v>
      </c>
      <c r="U5609" s="41">
        <v>0</v>
      </c>
      <c r="V5609" s="42" t="s">
        <v>113</v>
      </c>
      <c r="W5609" s="42">
        <v>0</v>
      </c>
      <c r="X5609" s="42">
        <v>0</v>
      </c>
    </row>
    <row r="5610" spans="1:24">
      <c r="A5610" s="27" t="s">
        <v>10344</v>
      </c>
      <c r="B5610" s="28" t="s">
        <v>5102</v>
      </c>
      <c r="C5610" s="27" t="s">
        <v>10345</v>
      </c>
      <c r="D5610" s="27" t="s">
        <v>5104</v>
      </c>
      <c r="E5610" s="29">
        <v>41274</v>
      </c>
      <c r="F5610" s="27">
        <v>15</v>
      </c>
      <c r="G5610" s="18">
        <v>381016.43</v>
      </c>
      <c r="H5610" s="27">
        <f t="shared" si="174"/>
        <v>0</v>
      </c>
      <c r="I5610" s="18">
        <v>173586.12</v>
      </c>
      <c r="J5610" s="27">
        <v>381016.43</v>
      </c>
      <c r="K5610" s="18">
        <f t="shared" si="175"/>
        <v>0</v>
      </c>
      <c r="L5610" s="27">
        <v>194517.17</v>
      </c>
      <c r="M5610" s="36">
        <v>20931.05</v>
      </c>
      <c r="T5610" s="41">
        <v>0</v>
      </c>
      <c r="U5610" s="41">
        <v>0</v>
      </c>
      <c r="V5610" s="42" t="s">
        <v>113</v>
      </c>
      <c r="W5610" s="42">
        <v>0</v>
      </c>
      <c r="X5610" s="42">
        <v>0</v>
      </c>
    </row>
    <row r="5611" spans="1:24">
      <c r="A5611" s="27" t="s">
        <v>10346</v>
      </c>
      <c r="B5611" s="28" t="s">
        <v>5102</v>
      </c>
      <c r="C5611" s="27" t="s">
        <v>10347</v>
      </c>
      <c r="D5611" s="27" t="s">
        <v>5104</v>
      </c>
      <c r="E5611" s="29">
        <v>41274</v>
      </c>
      <c r="F5611" s="27">
        <v>15</v>
      </c>
      <c r="G5611" s="18">
        <v>194967.75</v>
      </c>
      <c r="H5611" s="27">
        <f t="shared" si="174"/>
        <v>0</v>
      </c>
      <c r="I5611" s="18">
        <v>88824.76</v>
      </c>
      <c r="J5611" s="27">
        <v>194967.75</v>
      </c>
      <c r="K5611" s="18">
        <f t="shared" si="175"/>
        <v>0</v>
      </c>
      <c r="L5611" s="27">
        <v>99535.27</v>
      </c>
      <c r="M5611" s="36">
        <v>10710.51</v>
      </c>
      <c r="T5611" s="41">
        <v>0</v>
      </c>
      <c r="U5611" s="41">
        <v>0</v>
      </c>
      <c r="V5611" s="42" t="s">
        <v>113</v>
      </c>
      <c r="W5611" s="42">
        <v>0</v>
      </c>
      <c r="X5611" s="42">
        <v>0</v>
      </c>
    </row>
    <row r="5612" spans="1:24">
      <c r="A5612" s="27" t="s">
        <v>10348</v>
      </c>
      <c r="B5612" s="28" t="s">
        <v>5102</v>
      </c>
      <c r="C5612" s="27" t="s">
        <v>10349</v>
      </c>
      <c r="D5612" s="27" t="s">
        <v>5104</v>
      </c>
      <c r="E5612" s="29">
        <v>41274</v>
      </c>
      <c r="F5612" s="27">
        <v>15</v>
      </c>
      <c r="G5612" s="18">
        <v>159447.94</v>
      </c>
      <c r="H5612" s="27">
        <f t="shared" si="174"/>
        <v>0</v>
      </c>
      <c r="I5612" s="18">
        <v>72642.42</v>
      </c>
      <c r="J5612" s="27">
        <v>159447.94</v>
      </c>
      <c r="K5612" s="18">
        <f t="shared" si="175"/>
        <v>0</v>
      </c>
      <c r="L5612" s="27">
        <v>81401.66</v>
      </c>
      <c r="M5612" s="36">
        <v>8759.24</v>
      </c>
      <c r="T5612" s="41">
        <v>0</v>
      </c>
      <c r="U5612" s="41">
        <v>0</v>
      </c>
      <c r="V5612" s="42" t="s">
        <v>113</v>
      </c>
      <c r="W5612" s="42">
        <v>0</v>
      </c>
      <c r="X5612" s="42">
        <v>0</v>
      </c>
    </row>
    <row r="5613" spans="1:24">
      <c r="A5613" s="27" t="s">
        <v>10350</v>
      </c>
      <c r="B5613" s="28" t="s">
        <v>5102</v>
      </c>
      <c r="C5613" s="27" t="s">
        <v>10351</v>
      </c>
      <c r="D5613" s="27" t="s">
        <v>5104</v>
      </c>
      <c r="E5613" s="29">
        <v>41274</v>
      </c>
      <c r="F5613" s="27">
        <v>15</v>
      </c>
      <c r="G5613" s="18">
        <v>25661.89</v>
      </c>
      <c r="H5613" s="27">
        <f t="shared" si="174"/>
        <v>0</v>
      </c>
      <c r="I5613" s="18">
        <v>11691.22</v>
      </c>
      <c r="J5613" s="27">
        <v>25661.89</v>
      </c>
      <c r="K5613" s="18">
        <f t="shared" si="175"/>
        <v>0</v>
      </c>
      <c r="L5613" s="27">
        <v>13100.95</v>
      </c>
      <c r="M5613" s="36">
        <v>1409.73</v>
      </c>
      <c r="T5613" s="41">
        <v>0</v>
      </c>
      <c r="U5613" s="41">
        <v>0</v>
      </c>
      <c r="V5613" s="42" t="s">
        <v>113</v>
      </c>
      <c r="W5613" s="42">
        <v>0</v>
      </c>
      <c r="X5613" s="42">
        <v>0</v>
      </c>
    </row>
    <row r="5614" spans="1:24">
      <c r="A5614" s="27" t="s">
        <v>10352</v>
      </c>
      <c r="B5614" s="28" t="s">
        <v>5102</v>
      </c>
      <c r="C5614" s="27" t="s">
        <v>10353</v>
      </c>
      <c r="D5614" s="27" t="s">
        <v>5104</v>
      </c>
      <c r="E5614" s="29">
        <v>41274</v>
      </c>
      <c r="F5614" s="27">
        <v>15</v>
      </c>
      <c r="G5614" s="18">
        <v>187848.14</v>
      </c>
      <c r="H5614" s="27">
        <f t="shared" si="174"/>
        <v>0</v>
      </c>
      <c r="I5614" s="18">
        <v>85581.17</v>
      </c>
      <c r="J5614" s="27">
        <v>187848.14</v>
      </c>
      <c r="K5614" s="18">
        <f t="shared" si="175"/>
        <v>0</v>
      </c>
      <c r="L5614" s="27">
        <v>95900.57</v>
      </c>
      <c r="M5614" s="36">
        <v>10319.4</v>
      </c>
      <c r="T5614" s="41">
        <v>0</v>
      </c>
      <c r="U5614" s="41">
        <v>0</v>
      </c>
      <c r="V5614" s="42" t="s">
        <v>113</v>
      </c>
      <c r="W5614" s="42">
        <v>0</v>
      </c>
      <c r="X5614" s="42">
        <v>0</v>
      </c>
    </row>
    <row r="5615" spans="1:24">
      <c r="A5615" s="27" t="s">
        <v>10354</v>
      </c>
      <c r="B5615" s="28" t="s">
        <v>5102</v>
      </c>
      <c r="C5615" s="27" t="s">
        <v>10355</v>
      </c>
      <c r="D5615" s="27" t="s">
        <v>5104</v>
      </c>
      <c r="E5615" s="29">
        <v>41274</v>
      </c>
      <c r="F5615" s="27">
        <v>15</v>
      </c>
      <c r="G5615" s="18">
        <v>121972.2</v>
      </c>
      <c r="H5615" s="27">
        <f t="shared" si="174"/>
        <v>0</v>
      </c>
      <c r="I5615" s="18">
        <v>55568.95</v>
      </c>
      <c r="J5615" s="27">
        <v>121972.2</v>
      </c>
      <c r="K5615" s="18">
        <f t="shared" si="175"/>
        <v>0</v>
      </c>
      <c r="L5615" s="27">
        <v>62269.47</v>
      </c>
      <c r="M5615" s="36">
        <v>6700.52</v>
      </c>
      <c r="T5615" s="41">
        <v>0</v>
      </c>
      <c r="U5615" s="41">
        <v>0</v>
      </c>
      <c r="V5615" s="42" t="s">
        <v>113</v>
      </c>
      <c r="W5615" s="42">
        <v>0</v>
      </c>
      <c r="X5615" s="42">
        <v>0</v>
      </c>
    </row>
    <row r="5616" spans="1:24">
      <c r="A5616" s="27" t="s">
        <v>10356</v>
      </c>
      <c r="B5616" s="28" t="s">
        <v>5102</v>
      </c>
      <c r="C5616" s="27" t="s">
        <v>10357</v>
      </c>
      <c r="D5616" s="27" t="s">
        <v>5104</v>
      </c>
      <c r="E5616" s="29">
        <v>41274</v>
      </c>
      <c r="F5616" s="27">
        <v>15</v>
      </c>
      <c r="G5616" s="18">
        <v>158587.32999999999</v>
      </c>
      <c r="H5616" s="27">
        <f t="shared" si="174"/>
        <v>0</v>
      </c>
      <c r="I5616" s="18">
        <v>72250.320000000007</v>
      </c>
      <c r="J5616" s="27">
        <v>158587.32999999999</v>
      </c>
      <c r="K5616" s="18">
        <f t="shared" si="175"/>
        <v>0</v>
      </c>
      <c r="L5616" s="27">
        <v>80962.28</v>
      </c>
      <c r="M5616" s="36">
        <v>8711.9599999999991</v>
      </c>
      <c r="T5616" s="41">
        <v>0</v>
      </c>
      <c r="U5616" s="41">
        <v>0</v>
      </c>
      <c r="V5616" s="42" t="s">
        <v>113</v>
      </c>
      <c r="W5616" s="42">
        <v>0</v>
      </c>
      <c r="X5616" s="42">
        <v>0</v>
      </c>
    </row>
    <row r="5617" spans="1:24">
      <c r="A5617" s="27" t="s">
        <v>10358</v>
      </c>
      <c r="B5617" s="28" t="s">
        <v>5102</v>
      </c>
      <c r="C5617" s="27" t="s">
        <v>10359</v>
      </c>
      <c r="D5617" s="27" t="s">
        <v>5104</v>
      </c>
      <c r="E5617" s="29">
        <v>41274</v>
      </c>
      <c r="F5617" s="27">
        <v>15</v>
      </c>
      <c r="G5617" s="18">
        <v>399011.05</v>
      </c>
      <c r="H5617" s="27">
        <f t="shared" si="174"/>
        <v>0</v>
      </c>
      <c r="I5617" s="18">
        <v>181784.23</v>
      </c>
      <c r="J5617" s="27">
        <v>399011.05</v>
      </c>
      <c r="K5617" s="18">
        <f t="shared" si="175"/>
        <v>0</v>
      </c>
      <c r="L5617" s="27">
        <v>203703.82</v>
      </c>
      <c r="M5617" s="36">
        <v>21919.59</v>
      </c>
      <c r="T5617" s="41">
        <v>0</v>
      </c>
      <c r="U5617" s="41">
        <v>0</v>
      </c>
      <c r="V5617" s="42" t="s">
        <v>113</v>
      </c>
      <c r="W5617" s="42">
        <v>0</v>
      </c>
      <c r="X5617" s="42">
        <v>0</v>
      </c>
    </row>
    <row r="5618" spans="1:24">
      <c r="A5618" s="27" t="s">
        <v>10360</v>
      </c>
      <c r="B5618" s="28" t="s">
        <v>5102</v>
      </c>
      <c r="C5618" s="27" t="s">
        <v>10361</v>
      </c>
      <c r="D5618" s="27" t="s">
        <v>5104</v>
      </c>
      <c r="E5618" s="29">
        <v>41274</v>
      </c>
      <c r="F5618" s="27">
        <v>15</v>
      </c>
      <c r="G5618" s="18">
        <v>236433.6</v>
      </c>
      <c r="H5618" s="27">
        <f t="shared" si="174"/>
        <v>0</v>
      </c>
      <c r="I5618" s="18">
        <v>107716.08</v>
      </c>
      <c r="J5618" s="27">
        <v>236433.6</v>
      </c>
      <c r="K5618" s="18">
        <f t="shared" si="175"/>
        <v>0</v>
      </c>
      <c r="L5618" s="27">
        <v>120704.51</v>
      </c>
      <c r="M5618" s="36">
        <v>12988.43</v>
      </c>
      <c r="T5618" s="41">
        <v>0</v>
      </c>
      <c r="U5618" s="41">
        <v>0</v>
      </c>
      <c r="V5618" s="42" t="s">
        <v>113</v>
      </c>
      <c r="W5618" s="42">
        <v>0</v>
      </c>
      <c r="X5618" s="42">
        <v>0</v>
      </c>
    </row>
    <row r="5619" spans="1:24">
      <c r="A5619" s="27" t="s">
        <v>10362</v>
      </c>
      <c r="B5619" s="28" t="s">
        <v>5102</v>
      </c>
      <c r="C5619" s="27" t="s">
        <v>10363</v>
      </c>
      <c r="D5619" s="27" t="s">
        <v>5104</v>
      </c>
      <c r="E5619" s="29">
        <v>41274</v>
      </c>
      <c r="F5619" s="27">
        <v>15</v>
      </c>
      <c r="G5619" s="18">
        <v>237528.93</v>
      </c>
      <c r="H5619" s="27">
        <f t="shared" si="174"/>
        <v>0</v>
      </c>
      <c r="I5619" s="18">
        <v>108215.09</v>
      </c>
      <c r="J5619" s="27">
        <v>237528.93</v>
      </c>
      <c r="K5619" s="18">
        <f t="shared" si="175"/>
        <v>0</v>
      </c>
      <c r="L5619" s="27">
        <v>121263.69</v>
      </c>
      <c r="M5619" s="36">
        <v>13048.6</v>
      </c>
      <c r="T5619" s="41">
        <v>0</v>
      </c>
      <c r="U5619" s="41">
        <v>0</v>
      </c>
      <c r="V5619" s="42" t="s">
        <v>113</v>
      </c>
      <c r="W5619" s="42">
        <v>0</v>
      </c>
      <c r="X5619" s="42">
        <v>0</v>
      </c>
    </row>
    <row r="5620" spans="1:24">
      <c r="A5620" s="27" t="s">
        <v>10364</v>
      </c>
      <c r="B5620" s="28" t="s">
        <v>5102</v>
      </c>
      <c r="C5620" s="27" t="s">
        <v>10365</v>
      </c>
      <c r="D5620" s="27" t="s">
        <v>5104</v>
      </c>
      <c r="E5620" s="29">
        <v>41274</v>
      </c>
      <c r="F5620" s="27">
        <v>15</v>
      </c>
      <c r="G5620" s="18">
        <v>1106434.1599999999</v>
      </c>
      <c r="H5620" s="27">
        <f t="shared" si="174"/>
        <v>0</v>
      </c>
      <c r="I5620" s="18">
        <v>504076.97</v>
      </c>
      <c r="J5620" s="27">
        <v>1106434.1599999999</v>
      </c>
      <c r="K5620" s="18">
        <f t="shared" si="175"/>
        <v>0</v>
      </c>
      <c r="L5620" s="27">
        <v>564858.68999999994</v>
      </c>
      <c r="M5620" s="36">
        <v>60781.72</v>
      </c>
      <c r="T5620" s="41">
        <v>0</v>
      </c>
      <c r="U5620" s="41">
        <v>0</v>
      </c>
      <c r="V5620" s="42" t="s">
        <v>113</v>
      </c>
      <c r="W5620" s="42">
        <v>0</v>
      </c>
      <c r="X5620" s="42">
        <v>0</v>
      </c>
    </row>
    <row r="5621" spans="1:24">
      <c r="A5621" s="27" t="s">
        <v>10366</v>
      </c>
      <c r="B5621" s="28" t="s">
        <v>5102</v>
      </c>
      <c r="C5621" s="27" t="s">
        <v>10367</v>
      </c>
      <c r="D5621" s="27" t="s">
        <v>5104</v>
      </c>
      <c r="E5621" s="29">
        <v>41274</v>
      </c>
      <c r="F5621" s="27">
        <v>15</v>
      </c>
      <c r="G5621" s="18">
        <v>606340.31999999995</v>
      </c>
      <c r="H5621" s="27">
        <f t="shared" si="174"/>
        <v>0</v>
      </c>
      <c r="I5621" s="18">
        <v>276240.73</v>
      </c>
      <c r="J5621" s="27">
        <v>606340.31999999995</v>
      </c>
      <c r="K5621" s="18">
        <f t="shared" si="175"/>
        <v>0</v>
      </c>
      <c r="L5621" s="27">
        <v>309549.90000000002</v>
      </c>
      <c r="M5621" s="36">
        <v>33309.17</v>
      </c>
      <c r="T5621" s="41">
        <v>0</v>
      </c>
      <c r="U5621" s="41">
        <v>0</v>
      </c>
      <c r="V5621" s="42" t="s">
        <v>113</v>
      </c>
      <c r="W5621" s="42">
        <v>0</v>
      </c>
      <c r="X5621" s="42">
        <v>0</v>
      </c>
    </row>
    <row r="5622" spans="1:24">
      <c r="A5622" s="27" t="s">
        <v>10368</v>
      </c>
      <c r="B5622" s="28" t="s">
        <v>5102</v>
      </c>
      <c r="C5622" s="27" t="s">
        <v>10369</v>
      </c>
      <c r="D5622" s="27" t="s">
        <v>5104</v>
      </c>
      <c r="E5622" s="29">
        <v>41274</v>
      </c>
      <c r="F5622" s="27">
        <v>15</v>
      </c>
      <c r="G5622" s="18">
        <v>661575.96</v>
      </c>
      <c r="H5622" s="27">
        <f t="shared" si="174"/>
        <v>0</v>
      </c>
      <c r="I5622" s="18">
        <v>301405.38</v>
      </c>
      <c r="J5622" s="27">
        <v>661575.96</v>
      </c>
      <c r="K5622" s="18">
        <f t="shared" si="175"/>
        <v>0</v>
      </c>
      <c r="L5622" s="27">
        <v>337748.91</v>
      </c>
      <c r="M5622" s="36">
        <v>36343.53</v>
      </c>
      <c r="T5622" s="41">
        <v>0</v>
      </c>
      <c r="U5622" s="41">
        <v>0</v>
      </c>
      <c r="V5622" s="42" t="s">
        <v>113</v>
      </c>
      <c r="W5622" s="42">
        <v>0</v>
      </c>
      <c r="X5622" s="42">
        <v>0</v>
      </c>
    </row>
    <row r="5623" spans="1:24">
      <c r="A5623" s="27" t="s">
        <v>10370</v>
      </c>
      <c r="B5623" s="28" t="s">
        <v>5102</v>
      </c>
      <c r="C5623" s="27" t="s">
        <v>10371</v>
      </c>
      <c r="D5623" s="27" t="s">
        <v>5104</v>
      </c>
      <c r="E5623" s="29">
        <v>41274</v>
      </c>
      <c r="F5623" s="27">
        <v>15</v>
      </c>
      <c r="G5623" s="18">
        <v>391187.3</v>
      </c>
      <c r="H5623" s="27">
        <f t="shared" si="174"/>
        <v>0</v>
      </c>
      <c r="I5623" s="18">
        <v>178219.84</v>
      </c>
      <c r="J5623" s="27">
        <v>391187.3</v>
      </c>
      <c r="K5623" s="18">
        <f t="shared" si="175"/>
        <v>0</v>
      </c>
      <c r="L5623" s="27">
        <v>199709.63</v>
      </c>
      <c r="M5623" s="36">
        <v>21489.79</v>
      </c>
      <c r="T5623" s="41">
        <v>0</v>
      </c>
      <c r="U5623" s="41">
        <v>0</v>
      </c>
      <c r="V5623" s="42" t="s">
        <v>113</v>
      </c>
      <c r="W5623" s="42">
        <v>0</v>
      </c>
      <c r="X5623" s="42">
        <v>0</v>
      </c>
    </row>
    <row r="5624" spans="1:24">
      <c r="A5624" s="27" t="s">
        <v>10372</v>
      </c>
      <c r="B5624" s="28" t="s">
        <v>5102</v>
      </c>
      <c r="C5624" s="27" t="s">
        <v>10373</v>
      </c>
      <c r="D5624" s="27" t="s">
        <v>5104</v>
      </c>
      <c r="E5624" s="29">
        <v>41274</v>
      </c>
      <c r="F5624" s="27">
        <v>15</v>
      </c>
      <c r="G5624" s="18">
        <v>177520.8</v>
      </c>
      <c r="H5624" s="27">
        <f t="shared" si="174"/>
        <v>0</v>
      </c>
      <c r="I5624" s="18">
        <v>80876.160000000003</v>
      </c>
      <c r="J5624" s="27">
        <v>177520.8</v>
      </c>
      <c r="K5624" s="18">
        <f t="shared" si="175"/>
        <v>0</v>
      </c>
      <c r="L5624" s="27">
        <v>90628.23</v>
      </c>
      <c r="M5624" s="36">
        <v>9752.07</v>
      </c>
      <c r="T5624" s="41">
        <v>0</v>
      </c>
      <c r="U5624" s="41">
        <v>0</v>
      </c>
      <c r="V5624" s="42" t="s">
        <v>113</v>
      </c>
      <c r="W5624" s="42">
        <v>0</v>
      </c>
      <c r="X5624" s="42">
        <v>0</v>
      </c>
    </row>
    <row r="5625" spans="1:24">
      <c r="A5625" s="27" t="s">
        <v>10374</v>
      </c>
      <c r="B5625" s="28" t="s">
        <v>5102</v>
      </c>
      <c r="C5625" s="27" t="s">
        <v>10375</v>
      </c>
      <c r="D5625" s="27" t="s">
        <v>5104</v>
      </c>
      <c r="E5625" s="29">
        <v>41274</v>
      </c>
      <c r="F5625" s="27">
        <v>15</v>
      </c>
      <c r="G5625" s="18">
        <v>101004.56</v>
      </c>
      <c r="H5625" s="27">
        <f t="shared" si="174"/>
        <v>0</v>
      </c>
      <c r="I5625" s="18">
        <v>46016.35</v>
      </c>
      <c r="J5625" s="27">
        <v>101004.56</v>
      </c>
      <c r="K5625" s="18">
        <f t="shared" si="175"/>
        <v>0</v>
      </c>
      <c r="L5625" s="27">
        <v>51565.01</v>
      </c>
      <c r="M5625" s="36">
        <v>5548.66</v>
      </c>
      <c r="T5625" s="41">
        <v>0</v>
      </c>
      <c r="U5625" s="41">
        <v>0</v>
      </c>
      <c r="V5625" s="42" t="s">
        <v>113</v>
      </c>
      <c r="W5625" s="42">
        <v>0</v>
      </c>
      <c r="X5625" s="42">
        <v>0</v>
      </c>
    </row>
    <row r="5626" spans="1:24">
      <c r="A5626" s="27" t="s">
        <v>10376</v>
      </c>
      <c r="B5626" s="28" t="s">
        <v>5102</v>
      </c>
      <c r="C5626" s="27" t="s">
        <v>10377</v>
      </c>
      <c r="D5626" s="27" t="s">
        <v>5104</v>
      </c>
      <c r="E5626" s="29">
        <v>41274</v>
      </c>
      <c r="F5626" s="27">
        <v>15</v>
      </c>
      <c r="G5626" s="18">
        <v>79880.45</v>
      </c>
      <c r="H5626" s="27">
        <f t="shared" si="174"/>
        <v>0</v>
      </c>
      <c r="I5626" s="18">
        <v>36392.5</v>
      </c>
      <c r="J5626" s="27">
        <v>79880.45</v>
      </c>
      <c r="K5626" s="18">
        <f t="shared" si="175"/>
        <v>0</v>
      </c>
      <c r="L5626" s="27">
        <v>40780.71</v>
      </c>
      <c r="M5626" s="36">
        <v>4388.21</v>
      </c>
      <c r="T5626" s="41">
        <v>0</v>
      </c>
      <c r="U5626" s="41">
        <v>0</v>
      </c>
      <c r="V5626" s="42" t="s">
        <v>113</v>
      </c>
      <c r="W5626" s="42">
        <v>0</v>
      </c>
      <c r="X5626" s="42">
        <v>0</v>
      </c>
    </row>
    <row r="5627" spans="1:24">
      <c r="A5627" s="27" t="s">
        <v>10378</v>
      </c>
      <c r="B5627" s="28" t="s">
        <v>5102</v>
      </c>
      <c r="C5627" s="27" t="s">
        <v>10379</v>
      </c>
      <c r="D5627" s="27" t="s">
        <v>5104</v>
      </c>
      <c r="E5627" s="29">
        <v>41274</v>
      </c>
      <c r="F5627" s="27">
        <v>15</v>
      </c>
      <c r="G5627" s="18">
        <v>306612.61</v>
      </c>
      <c r="H5627" s="27">
        <f t="shared" si="174"/>
        <v>0</v>
      </c>
      <c r="I5627" s="18">
        <v>139688.71</v>
      </c>
      <c r="J5627" s="27">
        <v>306612.61</v>
      </c>
      <c r="K5627" s="18">
        <f t="shared" si="175"/>
        <v>0</v>
      </c>
      <c r="L5627" s="27">
        <v>156532.41</v>
      </c>
      <c r="M5627" s="36">
        <v>16843.7</v>
      </c>
      <c r="T5627" s="41">
        <v>0</v>
      </c>
      <c r="U5627" s="41">
        <v>0</v>
      </c>
      <c r="V5627" s="42" t="s">
        <v>113</v>
      </c>
      <c r="W5627" s="42">
        <v>0</v>
      </c>
      <c r="X5627" s="42">
        <v>0</v>
      </c>
    </row>
    <row r="5628" spans="1:24">
      <c r="A5628" s="27" t="s">
        <v>10380</v>
      </c>
      <c r="B5628" s="28" t="s">
        <v>5102</v>
      </c>
      <c r="C5628" s="27" t="s">
        <v>10381</v>
      </c>
      <c r="D5628" s="27" t="s">
        <v>5104</v>
      </c>
      <c r="E5628" s="29">
        <v>41274</v>
      </c>
      <c r="F5628" s="27">
        <v>15</v>
      </c>
      <c r="G5628" s="18">
        <v>1037898.47</v>
      </c>
      <c r="H5628" s="27">
        <f t="shared" si="174"/>
        <v>0</v>
      </c>
      <c r="I5628" s="18">
        <v>472853.01</v>
      </c>
      <c r="J5628" s="27">
        <v>1037898.47</v>
      </c>
      <c r="K5628" s="18">
        <f t="shared" si="175"/>
        <v>0</v>
      </c>
      <c r="L5628" s="27">
        <v>529869.74</v>
      </c>
      <c r="M5628" s="36">
        <v>57016.73</v>
      </c>
      <c r="T5628" s="41">
        <v>0</v>
      </c>
      <c r="U5628" s="41">
        <v>0</v>
      </c>
      <c r="V5628" s="42" t="s">
        <v>113</v>
      </c>
      <c r="W5628" s="42">
        <v>0</v>
      </c>
      <c r="X5628" s="42">
        <v>0</v>
      </c>
    </row>
    <row r="5629" spans="1:24">
      <c r="A5629" s="27" t="s">
        <v>10382</v>
      </c>
      <c r="B5629" s="28" t="s">
        <v>5102</v>
      </c>
      <c r="C5629" s="27" t="s">
        <v>10383</v>
      </c>
      <c r="D5629" s="27" t="s">
        <v>230</v>
      </c>
      <c r="E5629" s="29">
        <v>41971</v>
      </c>
      <c r="F5629" s="27">
        <v>15</v>
      </c>
      <c r="G5629" s="18">
        <v>34251.31</v>
      </c>
      <c r="H5629" s="27">
        <f t="shared" si="174"/>
        <v>0</v>
      </c>
      <c r="I5629" s="18">
        <v>10389.57</v>
      </c>
      <c r="J5629" s="27">
        <v>34251.31</v>
      </c>
      <c r="K5629" s="18">
        <f t="shared" si="175"/>
        <v>0</v>
      </c>
      <c r="L5629" s="27">
        <v>12418.5</v>
      </c>
      <c r="M5629" s="36">
        <v>2028.93</v>
      </c>
      <c r="T5629" s="41">
        <v>0</v>
      </c>
      <c r="U5629" s="41">
        <v>0</v>
      </c>
      <c r="V5629" s="42" t="s">
        <v>113</v>
      </c>
      <c r="W5629" s="42">
        <v>0</v>
      </c>
      <c r="X5629" s="42">
        <v>0</v>
      </c>
    </row>
    <row r="5630" spans="1:24">
      <c r="A5630" s="27" t="s">
        <v>10384</v>
      </c>
      <c r="B5630" s="28" t="s">
        <v>5102</v>
      </c>
      <c r="C5630" s="27" t="s">
        <v>10385</v>
      </c>
      <c r="D5630" s="27" t="s">
        <v>5104</v>
      </c>
      <c r="E5630" s="29">
        <v>41971</v>
      </c>
      <c r="F5630" s="27">
        <v>15</v>
      </c>
      <c r="G5630" s="18">
        <v>115907.14</v>
      </c>
      <c r="H5630" s="27">
        <f t="shared" si="174"/>
        <v>0</v>
      </c>
      <c r="I5630" s="18">
        <v>35158.550000000003</v>
      </c>
      <c r="J5630" s="27">
        <v>115907.14</v>
      </c>
      <c r="K5630" s="18">
        <f t="shared" si="175"/>
        <v>0</v>
      </c>
      <c r="L5630" s="27">
        <v>42024.49</v>
      </c>
      <c r="M5630" s="36">
        <v>6865.94</v>
      </c>
      <c r="T5630" s="41">
        <v>0</v>
      </c>
      <c r="U5630" s="41">
        <v>0</v>
      </c>
      <c r="V5630" s="42" t="s">
        <v>113</v>
      </c>
      <c r="W5630" s="42">
        <v>0</v>
      </c>
      <c r="X5630" s="42">
        <v>0</v>
      </c>
    </row>
    <row r="5631" spans="1:24">
      <c r="A5631" s="27" t="s">
        <v>10386</v>
      </c>
      <c r="B5631" s="28" t="s">
        <v>5102</v>
      </c>
      <c r="C5631" s="27" t="s">
        <v>10387</v>
      </c>
      <c r="D5631" s="27" t="s">
        <v>5104</v>
      </c>
      <c r="E5631" s="29">
        <v>41971</v>
      </c>
      <c r="F5631" s="27">
        <v>15</v>
      </c>
      <c r="G5631" s="18">
        <v>60381.18</v>
      </c>
      <c r="H5631" s="27">
        <f t="shared" si="174"/>
        <v>0</v>
      </c>
      <c r="I5631" s="18">
        <v>18315.66</v>
      </c>
      <c r="J5631" s="27">
        <v>60381.18</v>
      </c>
      <c r="K5631" s="18">
        <f t="shared" si="175"/>
        <v>0</v>
      </c>
      <c r="L5631" s="27">
        <v>21892.43</v>
      </c>
      <c r="M5631" s="36">
        <v>3576.77</v>
      </c>
      <c r="T5631" s="41">
        <v>0</v>
      </c>
      <c r="U5631" s="41">
        <v>0</v>
      </c>
      <c r="V5631" s="42" t="s">
        <v>113</v>
      </c>
      <c r="W5631" s="42">
        <v>0</v>
      </c>
      <c r="X5631" s="42">
        <v>0</v>
      </c>
    </row>
    <row r="5632" spans="1:24">
      <c r="A5632" s="27" t="s">
        <v>10388</v>
      </c>
      <c r="B5632" s="28" t="s">
        <v>5102</v>
      </c>
      <c r="C5632" s="27" t="s">
        <v>10389</v>
      </c>
      <c r="D5632" s="27" t="s">
        <v>5104</v>
      </c>
      <c r="E5632" s="29">
        <v>41971</v>
      </c>
      <c r="F5632" s="27">
        <v>15</v>
      </c>
      <c r="G5632" s="18">
        <v>43342.54</v>
      </c>
      <c r="H5632" s="27">
        <f t="shared" si="174"/>
        <v>0</v>
      </c>
      <c r="I5632" s="18">
        <v>13147.25</v>
      </c>
      <c r="J5632" s="27">
        <v>43342.54</v>
      </c>
      <c r="K5632" s="18">
        <f t="shared" si="175"/>
        <v>0</v>
      </c>
      <c r="L5632" s="27">
        <v>15714.72</v>
      </c>
      <c r="M5632" s="36">
        <v>2567.4699999999998</v>
      </c>
      <c r="T5632" s="41">
        <v>0</v>
      </c>
      <c r="U5632" s="41">
        <v>0</v>
      </c>
      <c r="V5632" s="42" t="s">
        <v>113</v>
      </c>
      <c r="W5632" s="42">
        <v>0</v>
      </c>
      <c r="X5632" s="42">
        <v>0</v>
      </c>
    </row>
    <row r="5633" spans="1:24">
      <c r="A5633" s="27" t="s">
        <v>10390</v>
      </c>
      <c r="B5633" s="28" t="s">
        <v>5102</v>
      </c>
      <c r="C5633" s="27" t="s">
        <v>10389</v>
      </c>
      <c r="D5633" s="27" t="s">
        <v>5104</v>
      </c>
      <c r="E5633" s="29">
        <v>41971</v>
      </c>
      <c r="F5633" s="27">
        <v>15</v>
      </c>
      <c r="G5633" s="18">
        <v>16323.81</v>
      </c>
      <c r="H5633" s="27">
        <f t="shared" si="174"/>
        <v>0</v>
      </c>
      <c r="I5633" s="18">
        <v>4951.5600000000004</v>
      </c>
      <c r="J5633" s="27">
        <v>16323.81</v>
      </c>
      <c r="K5633" s="18">
        <f t="shared" si="175"/>
        <v>0</v>
      </c>
      <c r="L5633" s="27">
        <v>5918.53</v>
      </c>
      <c r="M5633" s="36">
        <v>966.97</v>
      </c>
      <c r="T5633" s="41">
        <v>0</v>
      </c>
      <c r="U5633" s="41">
        <v>0</v>
      </c>
      <c r="V5633" s="42" t="s">
        <v>113</v>
      </c>
      <c r="W5633" s="42">
        <v>0</v>
      </c>
      <c r="X5633" s="42">
        <v>0</v>
      </c>
    </row>
    <row r="5634" spans="1:24">
      <c r="A5634" s="27" t="s">
        <v>10391</v>
      </c>
      <c r="B5634" s="28" t="s">
        <v>5102</v>
      </c>
      <c r="C5634" s="27" t="s">
        <v>10392</v>
      </c>
      <c r="D5634" s="27" t="s">
        <v>5104</v>
      </c>
      <c r="E5634" s="29">
        <v>41971</v>
      </c>
      <c r="F5634" s="27">
        <v>12</v>
      </c>
      <c r="G5634" s="18">
        <v>4690.75</v>
      </c>
      <c r="H5634" s="27">
        <f t="shared" si="174"/>
        <v>4690.75</v>
      </c>
      <c r="I5634" s="18">
        <v>4690.75</v>
      </c>
      <c r="J5634" s="27">
        <v>4690.75</v>
      </c>
      <c r="K5634" s="18">
        <f t="shared" si="175"/>
        <v>4690.75</v>
      </c>
      <c r="L5634" s="27">
        <v>4690.75</v>
      </c>
      <c r="M5634" s="36">
        <v>0</v>
      </c>
      <c r="T5634" s="41">
        <v>0</v>
      </c>
      <c r="U5634" s="41">
        <v>0</v>
      </c>
      <c r="V5634" s="42" t="s">
        <v>113</v>
      </c>
      <c r="W5634" s="42">
        <v>4690.75</v>
      </c>
      <c r="X5634" s="42">
        <v>4690.75</v>
      </c>
    </row>
    <row r="5635" spans="1:24">
      <c r="A5635" s="27" t="s">
        <v>10393</v>
      </c>
      <c r="B5635" s="28" t="s">
        <v>5102</v>
      </c>
      <c r="C5635" s="27" t="s">
        <v>10392</v>
      </c>
      <c r="D5635" s="27" t="s">
        <v>5104</v>
      </c>
      <c r="E5635" s="29">
        <v>41971</v>
      </c>
      <c r="F5635" s="27">
        <v>15</v>
      </c>
      <c r="G5635" s="18">
        <v>39402.31</v>
      </c>
      <c r="H5635" s="27">
        <f t="shared" si="174"/>
        <v>0</v>
      </c>
      <c r="I5635" s="18">
        <v>11952.06</v>
      </c>
      <c r="J5635" s="27">
        <v>39402.31</v>
      </c>
      <c r="K5635" s="18">
        <f t="shared" si="175"/>
        <v>0</v>
      </c>
      <c r="L5635" s="27">
        <v>14286.12</v>
      </c>
      <c r="M5635" s="36">
        <v>2334.06</v>
      </c>
      <c r="T5635" s="41">
        <v>0</v>
      </c>
      <c r="U5635" s="41">
        <v>0</v>
      </c>
      <c r="V5635" s="42" t="s">
        <v>113</v>
      </c>
      <c r="W5635" s="42">
        <v>0</v>
      </c>
      <c r="X5635" s="42">
        <v>0</v>
      </c>
    </row>
    <row r="5636" spans="1:24">
      <c r="A5636" s="27" t="s">
        <v>10394</v>
      </c>
      <c r="B5636" s="28" t="s">
        <v>5102</v>
      </c>
      <c r="C5636" s="27" t="s">
        <v>10395</v>
      </c>
      <c r="D5636" s="27" t="s">
        <v>230</v>
      </c>
      <c r="E5636" s="29">
        <v>41971</v>
      </c>
      <c r="F5636" s="27">
        <v>15</v>
      </c>
      <c r="G5636" s="18">
        <v>71956.12</v>
      </c>
      <c r="H5636" s="27">
        <f t="shared" si="174"/>
        <v>0</v>
      </c>
      <c r="I5636" s="18">
        <v>21826.73</v>
      </c>
      <c r="J5636" s="27">
        <v>71956.12</v>
      </c>
      <c r="K5636" s="18">
        <f t="shared" si="175"/>
        <v>0</v>
      </c>
      <c r="L5636" s="27">
        <v>26089.16</v>
      </c>
      <c r="M5636" s="36">
        <v>4262.43</v>
      </c>
      <c r="T5636" s="41">
        <v>0</v>
      </c>
      <c r="U5636" s="41">
        <v>0</v>
      </c>
      <c r="V5636" s="42" t="s">
        <v>113</v>
      </c>
      <c r="W5636" s="42">
        <v>0</v>
      </c>
      <c r="X5636" s="42">
        <v>0</v>
      </c>
    </row>
    <row r="5637" spans="1:24">
      <c r="A5637" s="27" t="s">
        <v>10396</v>
      </c>
      <c r="B5637" s="28" t="s">
        <v>5102</v>
      </c>
      <c r="C5637" s="27" t="s">
        <v>10397</v>
      </c>
      <c r="D5637" s="27" t="s">
        <v>5104</v>
      </c>
      <c r="E5637" s="29">
        <v>41971</v>
      </c>
      <c r="F5637" s="27">
        <v>15</v>
      </c>
      <c r="G5637" s="18">
        <v>35931.15</v>
      </c>
      <c r="H5637" s="27">
        <f t="shared" si="174"/>
        <v>0</v>
      </c>
      <c r="I5637" s="18">
        <v>10899.14</v>
      </c>
      <c r="J5637" s="27">
        <v>35931.15</v>
      </c>
      <c r="K5637" s="18">
        <f t="shared" si="175"/>
        <v>0</v>
      </c>
      <c r="L5637" s="27">
        <v>13027.58</v>
      </c>
      <c r="M5637" s="36">
        <v>2128.44</v>
      </c>
      <c r="T5637" s="41">
        <v>0</v>
      </c>
      <c r="U5637" s="41">
        <v>0</v>
      </c>
      <c r="V5637" s="42" t="s">
        <v>113</v>
      </c>
      <c r="W5637" s="42">
        <v>0</v>
      </c>
      <c r="X5637" s="42">
        <v>0</v>
      </c>
    </row>
    <row r="5638" spans="1:24">
      <c r="A5638" s="27" t="s">
        <v>10398</v>
      </c>
      <c r="B5638" s="28" t="s">
        <v>5102</v>
      </c>
      <c r="C5638" s="27" t="s">
        <v>10399</v>
      </c>
      <c r="D5638" s="27" t="s">
        <v>5104</v>
      </c>
      <c r="E5638" s="29">
        <v>41971</v>
      </c>
      <c r="F5638" s="27">
        <v>15</v>
      </c>
      <c r="G5638" s="18">
        <v>18763</v>
      </c>
      <c r="H5638" s="27">
        <f t="shared" ref="H5638:H5701" si="176">IFERROR(IF(ROUND((G5638-I5638)/G5638,2)&lt;=0.05,G5638,0),0)</f>
        <v>0</v>
      </c>
      <c r="I5638" s="18">
        <v>5691.45</v>
      </c>
      <c r="J5638" s="27">
        <v>18763</v>
      </c>
      <c r="K5638" s="18">
        <f t="shared" ref="K5638:K5701" si="177">IFERROR(IF(ROUND((J5638-L5638)/J5638,2)&lt;=0.05,J5638,0),0)</f>
        <v>0</v>
      </c>
      <c r="L5638" s="27">
        <v>6802.91</v>
      </c>
      <c r="M5638" s="36">
        <v>1111.46</v>
      </c>
      <c r="T5638" s="41">
        <v>0</v>
      </c>
      <c r="U5638" s="41">
        <v>0</v>
      </c>
      <c r="V5638" s="42" t="s">
        <v>113</v>
      </c>
      <c r="W5638" s="42">
        <v>0</v>
      </c>
      <c r="X5638" s="42">
        <v>0</v>
      </c>
    </row>
    <row r="5639" spans="1:24">
      <c r="A5639" s="27" t="s">
        <v>10400</v>
      </c>
      <c r="B5639" s="28" t="s">
        <v>5102</v>
      </c>
      <c r="C5639" s="27" t="s">
        <v>10401</v>
      </c>
      <c r="D5639" s="27" t="s">
        <v>230</v>
      </c>
      <c r="E5639" s="29">
        <v>41971</v>
      </c>
      <c r="F5639" s="27">
        <v>15</v>
      </c>
      <c r="G5639" s="18">
        <v>15193.39</v>
      </c>
      <c r="H5639" s="27">
        <f t="shared" si="176"/>
        <v>0</v>
      </c>
      <c r="I5639" s="18">
        <v>4608.67</v>
      </c>
      <c r="J5639" s="27">
        <v>15193.39</v>
      </c>
      <c r="K5639" s="18">
        <f t="shared" si="177"/>
        <v>0</v>
      </c>
      <c r="L5639" s="27">
        <v>5508.67</v>
      </c>
      <c r="M5639" s="36">
        <v>900</v>
      </c>
      <c r="T5639" s="41">
        <v>0</v>
      </c>
      <c r="U5639" s="41">
        <v>0</v>
      </c>
      <c r="V5639" s="42" t="s">
        <v>113</v>
      </c>
      <c r="W5639" s="42">
        <v>0</v>
      </c>
      <c r="X5639" s="42">
        <v>0</v>
      </c>
    </row>
    <row r="5640" spans="1:24">
      <c r="A5640" s="27" t="s">
        <v>10402</v>
      </c>
      <c r="B5640" s="28" t="s">
        <v>5102</v>
      </c>
      <c r="C5640" s="27" t="s">
        <v>10403</v>
      </c>
      <c r="D5640" s="27" t="s">
        <v>5104</v>
      </c>
      <c r="E5640" s="29">
        <v>41971</v>
      </c>
      <c r="F5640" s="27">
        <v>15</v>
      </c>
      <c r="G5640" s="18">
        <v>23862.560000000001</v>
      </c>
      <c r="H5640" s="27">
        <f t="shared" si="176"/>
        <v>0</v>
      </c>
      <c r="I5640" s="18">
        <v>7238.33</v>
      </c>
      <c r="J5640" s="27">
        <v>23862.560000000001</v>
      </c>
      <c r="K5640" s="18">
        <f t="shared" si="177"/>
        <v>0</v>
      </c>
      <c r="L5640" s="27">
        <v>8651.8700000000008</v>
      </c>
      <c r="M5640" s="36">
        <v>1413.54</v>
      </c>
      <c r="T5640" s="41">
        <v>0</v>
      </c>
      <c r="U5640" s="41">
        <v>0</v>
      </c>
      <c r="V5640" s="42" t="s">
        <v>113</v>
      </c>
      <c r="W5640" s="42">
        <v>0</v>
      </c>
      <c r="X5640" s="42">
        <v>0</v>
      </c>
    </row>
    <row r="5641" spans="1:24">
      <c r="A5641" s="27" t="s">
        <v>10404</v>
      </c>
      <c r="B5641" s="28" t="s">
        <v>5102</v>
      </c>
      <c r="C5641" s="27" t="s">
        <v>10403</v>
      </c>
      <c r="D5641" s="27" t="s">
        <v>5104</v>
      </c>
      <c r="E5641" s="29">
        <v>41971</v>
      </c>
      <c r="F5641" s="27">
        <v>15</v>
      </c>
      <c r="G5641" s="18">
        <v>11350.36</v>
      </c>
      <c r="H5641" s="27">
        <f t="shared" si="176"/>
        <v>0</v>
      </c>
      <c r="I5641" s="18">
        <v>3442.95</v>
      </c>
      <c r="J5641" s="27">
        <v>11350.36</v>
      </c>
      <c r="K5641" s="18">
        <f t="shared" si="177"/>
        <v>0</v>
      </c>
      <c r="L5641" s="27">
        <v>4115.3100000000004</v>
      </c>
      <c r="M5641" s="36">
        <v>672.36</v>
      </c>
      <c r="T5641" s="41">
        <v>0</v>
      </c>
      <c r="U5641" s="41">
        <v>0</v>
      </c>
      <c r="V5641" s="42" t="s">
        <v>113</v>
      </c>
      <c r="W5641" s="42">
        <v>0</v>
      </c>
      <c r="X5641" s="42">
        <v>0</v>
      </c>
    </row>
    <row r="5642" spans="1:24">
      <c r="A5642" s="27" t="s">
        <v>10405</v>
      </c>
      <c r="B5642" s="28" t="s">
        <v>5102</v>
      </c>
      <c r="C5642" s="27" t="s">
        <v>10406</v>
      </c>
      <c r="D5642" s="27" t="s">
        <v>5104</v>
      </c>
      <c r="E5642" s="29">
        <v>41971</v>
      </c>
      <c r="F5642" s="27">
        <v>15</v>
      </c>
      <c r="G5642" s="18">
        <v>95003.39</v>
      </c>
      <c r="H5642" s="27">
        <f t="shared" si="176"/>
        <v>0</v>
      </c>
      <c r="I5642" s="18">
        <v>28817.74</v>
      </c>
      <c r="J5642" s="27">
        <v>95003.39</v>
      </c>
      <c r="K5642" s="18">
        <f t="shared" si="177"/>
        <v>0</v>
      </c>
      <c r="L5642" s="27">
        <v>34445.42</v>
      </c>
      <c r="M5642" s="36">
        <v>5627.68</v>
      </c>
      <c r="T5642" s="41">
        <v>0</v>
      </c>
      <c r="U5642" s="41">
        <v>0</v>
      </c>
      <c r="V5642" s="42" t="s">
        <v>113</v>
      </c>
      <c r="W5642" s="42">
        <v>0</v>
      </c>
      <c r="X5642" s="42">
        <v>0</v>
      </c>
    </row>
    <row r="5643" spans="1:24">
      <c r="A5643" s="27" t="s">
        <v>10407</v>
      </c>
      <c r="B5643" s="28" t="s">
        <v>5102</v>
      </c>
      <c r="C5643" s="27" t="s">
        <v>10408</v>
      </c>
      <c r="D5643" s="27" t="s">
        <v>230</v>
      </c>
      <c r="E5643" s="29">
        <v>41971</v>
      </c>
      <c r="F5643" s="27">
        <v>15</v>
      </c>
      <c r="G5643" s="18">
        <v>145078.74</v>
      </c>
      <c r="H5643" s="27">
        <f t="shared" si="176"/>
        <v>0</v>
      </c>
      <c r="I5643" s="18">
        <v>44007.29</v>
      </c>
      <c r="J5643" s="27">
        <v>145078.74</v>
      </c>
      <c r="K5643" s="18">
        <f t="shared" si="177"/>
        <v>0</v>
      </c>
      <c r="L5643" s="27">
        <v>52601.26</v>
      </c>
      <c r="M5643" s="36">
        <v>8593.9699999999993</v>
      </c>
      <c r="T5643" s="41">
        <v>0</v>
      </c>
      <c r="U5643" s="41">
        <v>0</v>
      </c>
      <c r="V5643" s="42" t="s">
        <v>113</v>
      </c>
      <c r="W5643" s="42">
        <v>0</v>
      </c>
      <c r="X5643" s="42">
        <v>0</v>
      </c>
    </row>
    <row r="5644" spans="1:24">
      <c r="A5644" s="27" t="s">
        <v>10409</v>
      </c>
      <c r="B5644" s="28" t="s">
        <v>5102</v>
      </c>
      <c r="C5644" s="27" t="s">
        <v>10410</v>
      </c>
      <c r="D5644" s="27" t="s">
        <v>5104</v>
      </c>
      <c r="E5644" s="29">
        <v>41971</v>
      </c>
      <c r="F5644" s="27">
        <v>15</v>
      </c>
      <c r="G5644" s="18">
        <v>135934.66</v>
      </c>
      <c r="H5644" s="27">
        <f t="shared" si="176"/>
        <v>0</v>
      </c>
      <c r="I5644" s="18">
        <v>41233.58</v>
      </c>
      <c r="J5644" s="27">
        <v>135934.66</v>
      </c>
      <c r="K5644" s="18">
        <f t="shared" si="177"/>
        <v>0</v>
      </c>
      <c r="L5644" s="27">
        <v>49285.89</v>
      </c>
      <c r="M5644" s="36">
        <v>8052.31</v>
      </c>
      <c r="T5644" s="41">
        <v>0</v>
      </c>
      <c r="U5644" s="41">
        <v>0</v>
      </c>
      <c r="V5644" s="42" t="s">
        <v>113</v>
      </c>
      <c r="W5644" s="42">
        <v>0</v>
      </c>
      <c r="X5644" s="42">
        <v>0</v>
      </c>
    </row>
    <row r="5645" spans="1:24">
      <c r="A5645" s="27" t="s">
        <v>10411</v>
      </c>
      <c r="B5645" s="28" t="s">
        <v>5102</v>
      </c>
      <c r="C5645" s="27" t="s">
        <v>10412</v>
      </c>
      <c r="D5645" s="27" t="s">
        <v>5104</v>
      </c>
      <c r="E5645" s="29">
        <v>41971</v>
      </c>
      <c r="F5645" s="27">
        <v>15</v>
      </c>
      <c r="G5645" s="18">
        <v>217785.4</v>
      </c>
      <c r="H5645" s="27">
        <f t="shared" si="176"/>
        <v>0</v>
      </c>
      <c r="I5645" s="18">
        <v>66061.67</v>
      </c>
      <c r="J5645" s="27">
        <v>217785.4</v>
      </c>
      <c r="K5645" s="18">
        <f t="shared" si="177"/>
        <v>0</v>
      </c>
      <c r="L5645" s="27">
        <v>78962.539999999994</v>
      </c>
      <c r="M5645" s="36">
        <v>12900.87</v>
      </c>
      <c r="T5645" s="41">
        <v>0</v>
      </c>
      <c r="U5645" s="41">
        <v>0</v>
      </c>
      <c r="V5645" s="42" t="s">
        <v>113</v>
      </c>
      <c r="W5645" s="42">
        <v>0</v>
      </c>
      <c r="X5645" s="42">
        <v>0</v>
      </c>
    </row>
    <row r="5646" spans="1:24">
      <c r="A5646" s="27" t="s">
        <v>10413</v>
      </c>
      <c r="B5646" s="28" t="s">
        <v>5102</v>
      </c>
      <c r="C5646" s="27" t="s">
        <v>10414</v>
      </c>
      <c r="D5646" s="27" t="s">
        <v>5104</v>
      </c>
      <c r="E5646" s="29">
        <v>41971</v>
      </c>
      <c r="F5646" s="27">
        <v>15</v>
      </c>
      <c r="G5646" s="18">
        <v>55032.45</v>
      </c>
      <c r="H5646" s="27">
        <f t="shared" si="176"/>
        <v>0</v>
      </c>
      <c r="I5646" s="18">
        <v>16693.21</v>
      </c>
      <c r="J5646" s="27">
        <v>55032.45</v>
      </c>
      <c r="K5646" s="18">
        <f t="shared" si="177"/>
        <v>0</v>
      </c>
      <c r="L5646" s="27">
        <v>19953.14</v>
      </c>
      <c r="M5646" s="36">
        <v>3259.93</v>
      </c>
      <c r="T5646" s="41">
        <v>0</v>
      </c>
      <c r="U5646" s="41">
        <v>0</v>
      </c>
      <c r="V5646" s="42" t="s">
        <v>113</v>
      </c>
      <c r="W5646" s="42">
        <v>0</v>
      </c>
      <c r="X5646" s="42">
        <v>0</v>
      </c>
    </row>
    <row r="5647" spans="1:24">
      <c r="A5647" s="27" t="s">
        <v>10415</v>
      </c>
      <c r="B5647" s="28" t="s">
        <v>5102</v>
      </c>
      <c r="C5647" s="27" t="s">
        <v>10414</v>
      </c>
      <c r="D5647" s="27" t="s">
        <v>5104</v>
      </c>
      <c r="E5647" s="29">
        <v>41971</v>
      </c>
      <c r="F5647" s="27">
        <v>12</v>
      </c>
      <c r="G5647" s="18">
        <v>2548.36</v>
      </c>
      <c r="H5647" s="27">
        <f t="shared" si="176"/>
        <v>2548.36</v>
      </c>
      <c r="I5647" s="18">
        <v>2548.36</v>
      </c>
      <c r="J5647" s="27">
        <v>2548.36</v>
      </c>
      <c r="K5647" s="18">
        <f t="shared" si="177"/>
        <v>2548.36</v>
      </c>
      <c r="L5647" s="27">
        <v>2548.36</v>
      </c>
      <c r="M5647" s="36">
        <v>0</v>
      </c>
      <c r="T5647" s="41">
        <v>0</v>
      </c>
      <c r="U5647" s="41">
        <v>0</v>
      </c>
      <c r="V5647" s="42" t="s">
        <v>113</v>
      </c>
      <c r="W5647" s="42">
        <v>2548.36</v>
      </c>
      <c r="X5647" s="42">
        <v>2548.36</v>
      </c>
    </row>
    <row r="5648" spans="1:24">
      <c r="A5648" s="27" t="s">
        <v>10416</v>
      </c>
      <c r="B5648" s="28" t="s">
        <v>5102</v>
      </c>
      <c r="C5648" s="27" t="s">
        <v>10417</v>
      </c>
      <c r="D5648" s="27" t="s">
        <v>5104</v>
      </c>
      <c r="E5648" s="29">
        <v>41971</v>
      </c>
      <c r="F5648" s="27">
        <v>15</v>
      </c>
      <c r="G5648" s="18">
        <v>120865.08</v>
      </c>
      <c r="H5648" s="27">
        <f t="shared" si="176"/>
        <v>0</v>
      </c>
      <c r="I5648" s="18">
        <v>36662.480000000003</v>
      </c>
      <c r="J5648" s="27">
        <v>120865.08</v>
      </c>
      <c r="K5648" s="18">
        <f t="shared" si="177"/>
        <v>0</v>
      </c>
      <c r="L5648" s="27">
        <v>43822.12</v>
      </c>
      <c r="M5648" s="36">
        <v>7159.64</v>
      </c>
      <c r="T5648" s="41">
        <v>0</v>
      </c>
      <c r="U5648" s="41">
        <v>0</v>
      </c>
      <c r="V5648" s="42" t="s">
        <v>113</v>
      </c>
      <c r="W5648" s="42">
        <v>0</v>
      </c>
      <c r="X5648" s="42">
        <v>0</v>
      </c>
    </row>
    <row r="5649" spans="1:24">
      <c r="A5649" s="27" t="s">
        <v>10418</v>
      </c>
      <c r="B5649" s="28" t="s">
        <v>5102</v>
      </c>
      <c r="C5649" s="27" t="s">
        <v>10419</v>
      </c>
      <c r="D5649" s="27" t="s">
        <v>5104</v>
      </c>
      <c r="E5649" s="29">
        <v>41971</v>
      </c>
      <c r="F5649" s="27">
        <v>15</v>
      </c>
      <c r="G5649" s="18">
        <v>36405.15</v>
      </c>
      <c r="H5649" s="27">
        <f t="shared" si="176"/>
        <v>0</v>
      </c>
      <c r="I5649" s="18">
        <v>11042.91</v>
      </c>
      <c r="J5649" s="27">
        <v>36405.15</v>
      </c>
      <c r="K5649" s="18">
        <f t="shared" si="177"/>
        <v>0</v>
      </c>
      <c r="L5649" s="27">
        <v>13199.43</v>
      </c>
      <c r="M5649" s="36">
        <v>2156.52</v>
      </c>
      <c r="T5649" s="41">
        <v>0</v>
      </c>
      <c r="U5649" s="41">
        <v>0</v>
      </c>
      <c r="V5649" s="42" t="s">
        <v>113</v>
      </c>
      <c r="W5649" s="42">
        <v>0</v>
      </c>
      <c r="X5649" s="42">
        <v>0</v>
      </c>
    </row>
    <row r="5650" spans="1:24">
      <c r="A5650" s="27" t="s">
        <v>10420</v>
      </c>
      <c r="B5650" s="28" t="s">
        <v>5102</v>
      </c>
      <c r="C5650" s="27" t="s">
        <v>10421</v>
      </c>
      <c r="D5650" s="27" t="s">
        <v>5104</v>
      </c>
      <c r="E5650" s="29">
        <v>41971</v>
      </c>
      <c r="F5650" s="27">
        <v>15</v>
      </c>
      <c r="G5650" s="18">
        <v>63102.25</v>
      </c>
      <c r="H5650" s="27">
        <f t="shared" si="176"/>
        <v>0</v>
      </c>
      <c r="I5650" s="18">
        <v>19141.04</v>
      </c>
      <c r="J5650" s="27">
        <v>63102.25</v>
      </c>
      <c r="K5650" s="18">
        <f t="shared" si="177"/>
        <v>0</v>
      </c>
      <c r="L5650" s="27">
        <v>22879</v>
      </c>
      <c r="M5650" s="36">
        <v>3737.96</v>
      </c>
      <c r="T5650" s="41">
        <v>0</v>
      </c>
      <c r="U5650" s="41">
        <v>0</v>
      </c>
      <c r="V5650" s="42" t="s">
        <v>113</v>
      </c>
      <c r="W5650" s="42">
        <v>0</v>
      </c>
      <c r="X5650" s="42">
        <v>0</v>
      </c>
    </row>
    <row r="5651" spans="1:24">
      <c r="A5651" s="27" t="s">
        <v>10422</v>
      </c>
      <c r="B5651" s="28" t="s">
        <v>5102</v>
      </c>
      <c r="C5651" s="27" t="s">
        <v>10421</v>
      </c>
      <c r="D5651" s="27" t="s">
        <v>5104</v>
      </c>
      <c r="E5651" s="29">
        <v>41971</v>
      </c>
      <c r="F5651" s="27">
        <v>15</v>
      </c>
      <c r="G5651" s="18">
        <v>14076.65</v>
      </c>
      <c r="H5651" s="27">
        <f t="shared" si="176"/>
        <v>0</v>
      </c>
      <c r="I5651" s="18">
        <v>4269.92</v>
      </c>
      <c r="J5651" s="27">
        <v>14076.65</v>
      </c>
      <c r="K5651" s="18">
        <f t="shared" si="177"/>
        <v>0</v>
      </c>
      <c r="L5651" s="27">
        <v>5103.7700000000004</v>
      </c>
      <c r="M5651" s="36">
        <v>833.85</v>
      </c>
      <c r="T5651" s="41">
        <v>0</v>
      </c>
      <c r="U5651" s="41">
        <v>0</v>
      </c>
      <c r="V5651" s="42" t="s">
        <v>113</v>
      </c>
      <c r="W5651" s="42">
        <v>0</v>
      </c>
      <c r="X5651" s="42">
        <v>0</v>
      </c>
    </row>
    <row r="5652" spans="1:24">
      <c r="A5652" s="27" t="s">
        <v>10423</v>
      </c>
      <c r="B5652" s="28" t="s">
        <v>5102</v>
      </c>
      <c r="C5652" s="27" t="s">
        <v>10424</v>
      </c>
      <c r="D5652" s="27" t="s">
        <v>5104</v>
      </c>
      <c r="E5652" s="29">
        <v>41971</v>
      </c>
      <c r="F5652" s="27">
        <v>15</v>
      </c>
      <c r="G5652" s="18">
        <v>65450.31</v>
      </c>
      <c r="H5652" s="27">
        <f t="shared" si="176"/>
        <v>0</v>
      </c>
      <c r="I5652" s="18">
        <v>19853.28</v>
      </c>
      <c r="J5652" s="27">
        <v>65450.31</v>
      </c>
      <c r="K5652" s="18">
        <f t="shared" si="177"/>
        <v>0</v>
      </c>
      <c r="L5652" s="27">
        <v>23730.33</v>
      </c>
      <c r="M5652" s="36">
        <v>3877.05</v>
      </c>
      <c r="T5652" s="41">
        <v>0</v>
      </c>
      <c r="U5652" s="41">
        <v>0</v>
      </c>
      <c r="V5652" s="42" t="s">
        <v>113</v>
      </c>
      <c r="W5652" s="42">
        <v>0</v>
      </c>
      <c r="X5652" s="42">
        <v>0</v>
      </c>
    </row>
    <row r="5653" spans="1:24">
      <c r="A5653" s="27" t="s">
        <v>10425</v>
      </c>
      <c r="B5653" s="28" t="s">
        <v>5102</v>
      </c>
      <c r="C5653" s="27" t="s">
        <v>10426</v>
      </c>
      <c r="D5653" s="27" t="s">
        <v>5104</v>
      </c>
      <c r="E5653" s="29">
        <v>41971</v>
      </c>
      <c r="F5653" s="27">
        <v>15</v>
      </c>
      <c r="G5653" s="18">
        <v>61602.81</v>
      </c>
      <c r="H5653" s="27">
        <f t="shared" si="176"/>
        <v>0</v>
      </c>
      <c r="I5653" s="18">
        <v>18686.22</v>
      </c>
      <c r="J5653" s="27">
        <v>61602.81</v>
      </c>
      <c r="K5653" s="18">
        <f t="shared" si="177"/>
        <v>0</v>
      </c>
      <c r="L5653" s="27">
        <v>22335.360000000001</v>
      </c>
      <c r="M5653" s="36">
        <v>3649.14</v>
      </c>
      <c r="T5653" s="41">
        <v>0</v>
      </c>
      <c r="U5653" s="41">
        <v>0</v>
      </c>
      <c r="V5653" s="42" t="s">
        <v>113</v>
      </c>
      <c r="W5653" s="42">
        <v>0</v>
      </c>
      <c r="X5653" s="42">
        <v>0</v>
      </c>
    </row>
    <row r="5654" spans="1:24">
      <c r="A5654" s="27" t="s">
        <v>10427</v>
      </c>
      <c r="B5654" s="28" t="s">
        <v>5102</v>
      </c>
      <c r="C5654" s="27" t="s">
        <v>10428</v>
      </c>
      <c r="D5654" s="27" t="s">
        <v>5104</v>
      </c>
      <c r="E5654" s="29">
        <v>41971</v>
      </c>
      <c r="F5654" s="27">
        <v>15</v>
      </c>
      <c r="G5654" s="18">
        <v>60876.06</v>
      </c>
      <c r="H5654" s="27">
        <f t="shared" si="176"/>
        <v>0</v>
      </c>
      <c r="I5654" s="18">
        <v>18465.77</v>
      </c>
      <c r="J5654" s="27">
        <v>60876.06</v>
      </c>
      <c r="K5654" s="18">
        <f t="shared" si="177"/>
        <v>0</v>
      </c>
      <c r="L5654" s="27">
        <v>22071.86</v>
      </c>
      <c r="M5654" s="36">
        <v>3606.09</v>
      </c>
      <c r="T5654" s="41">
        <v>0</v>
      </c>
      <c r="U5654" s="41">
        <v>0</v>
      </c>
      <c r="V5654" s="42" t="s">
        <v>113</v>
      </c>
      <c r="W5654" s="42">
        <v>0</v>
      </c>
      <c r="X5654" s="42">
        <v>0</v>
      </c>
    </row>
    <row r="5655" spans="1:24">
      <c r="A5655" s="27" t="s">
        <v>10429</v>
      </c>
      <c r="B5655" s="28" t="s">
        <v>5102</v>
      </c>
      <c r="C5655" s="27" t="s">
        <v>10430</v>
      </c>
      <c r="D5655" s="27" t="s">
        <v>5104</v>
      </c>
      <c r="E5655" s="29">
        <v>41971</v>
      </c>
      <c r="F5655" s="27">
        <v>12</v>
      </c>
      <c r="G5655" s="18">
        <v>1881</v>
      </c>
      <c r="H5655" s="27">
        <f t="shared" si="176"/>
        <v>1881</v>
      </c>
      <c r="I5655" s="18">
        <v>1881</v>
      </c>
      <c r="J5655" s="27">
        <v>1881</v>
      </c>
      <c r="K5655" s="18">
        <f t="shared" si="177"/>
        <v>1881</v>
      </c>
      <c r="L5655" s="27">
        <v>1881</v>
      </c>
      <c r="M5655" s="36">
        <v>0</v>
      </c>
      <c r="T5655" s="41">
        <v>0</v>
      </c>
      <c r="U5655" s="41">
        <v>0</v>
      </c>
      <c r="V5655" s="42" t="s">
        <v>113</v>
      </c>
      <c r="W5655" s="42">
        <v>1881</v>
      </c>
      <c r="X5655" s="42">
        <v>1881</v>
      </c>
    </row>
    <row r="5656" spans="1:24">
      <c r="A5656" s="27" t="s">
        <v>10431</v>
      </c>
      <c r="B5656" s="28" t="s">
        <v>5102</v>
      </c>
      <c r="C5656" s="27" t="s">
        <v>10430</v>
      </c>
      <c r="D5656" s="27" t="s">
        <v>5104</v>
      </c>
      <c r="E5656" s="29">
        <v>41971</v>
      </c>
      <c r="F5656" s="27">
        <v>15</v>
      </c>
      <c r="G5656" s="18">
        <v>110508.86</v>
      </c>
      <c r="H5656" s="27">
        <f t="shared" si="176"/>
        <v>0</v>
      </c>
      <c r="I5656" s="18">
        <v>33521.08</v>
      </c>
      <c r="J5656" s="27">
        <v>110508.86</v>
      </c>
      <c r="K5656" s="18">
        <f t="shared" si="177"/>
        <v>0</v>
      </c>
      <c r="L5656" s="27">
        <v>40067.25</v>
      </c>
      <c r="M5656" s="36">
        <v>6546.17</v>
      </c>
      <c r="T5656" s="41">
        <v>0</v>
      </c>
      <c r="U5656" s="41">
        <v>0</v>
      </c>
      <c r="V5656" s="42" t="s">
        <v>113</v>
      </c>
      <c r="W5656" s="42">
        <v>0</v>
      </c>
      <c r="X5656" s="42">
        <v>0</v>
      </c>
    </row>
    <row r="5657" spans="1:24">
      <c r="A5657" s="27" t="s">
        <v>10432</v>
      </c>
      <c r="B5657" s="28" t="s">
        <v>5102</v>
      </c>
      <c r="C5657" s="27" t="s">
        <v>10433</v>
      </c>
      <c r="D5657" s="27" t="s">
        <v>5104</v>
      </c>
      <c r="E5657" s="29">
        <v>41971</v>
      </c>
      <c r="F5657" s="27">
        <v>15</v>
      </c>
      <c r="G5657" s="18">
        <v>16245.02</v>
      </c>
      <c r="H5657" s="27">
        <f t="shared" si="176"/>
        <v>0</v>
      </c>
      <c r="I5657" s="18">
        <v>4927.66</v>
      </c>
      <c r="J5657" s="27">
        <v>16245.02</v>
      </c>
      <c r="K5657" s="18">
        <f t="shared" si="177"/>
        <v>0</v>
      </c>
      <c r="L5657" s="27">
        <v>5889.96</v>
      </c>
      <c r="M5657" s="36">
        <v>962.3</v>
      </c>
      <c r="T5657" s="41">
        <v>0</v>
      </c>
      <c r="U5657" s="41">
        <v>0</v>
      </c>
      <c r="V5657" s="42" t="s">
        <v>113</v>
      </c>
      <c r="W5657" s="42">
        <v>0</v>
      </c>
      <c r="X5657" s="42">
        <v>0</v>
      </c>
    </row>
    <row r="5658" spans="1:24">
      <c r="A5658" s="27" t="s">
        <v>10434</v>
      </c>
      <c r="B5658" s="28" t="s">
        <v>5102</v>
      </c>
      <c r="C5658" s="27" t="s">
        <v>10433</v>
      </c>
      <c r="D5658" s="27" t="s">
        <v>5104</v>
      </c>
      <c r="E5658" s="29">
        <v>41971</v>
      </c>
      <c r="F5658" s="27">
        <v>15</v>
      </c>
      <c r="G5658" s="18">
        <v>6540.76</v>
      </c>
      <c r="H5658" s="27">
        <f t="shared" si="176"/>
        <v>0</v>
      </c>
      <c r="I5658" s="18">
        <v>1984.03</v>
      </c>
      <c r="J5658" s="27">
        <v>6540.76</v>
      </c>
      <c r="K5658" s="18">
        <f t="shared" si="177"/>
        <v>0</v>
      </c>
      <c r="L5658" s="27">
        <v>2371.48</v>
      </c>
      <c r="M5658" s="36">
        <v>387.45</v>
      </c>
      <c r="T5658" s="41">
        <v>0</v>
      </c>
      <c r="U5658" s="41">
        <v>0</v>
      </c>
      <c r="V5658" s="42" t="s">
        <v>113</v>
      </c>
      <c r="W5658" s="42">
        <v>0</v>
      </c>
      <c r="X5658" s="42">
        <v>0</v>
      </c>
    </row>
    <row r="5659" spans="1:24">
      <c r="A5659" s="27" t="s">
        <v>10435</v>
      </c>
      <c r="B5659" s="28" t="s">
        <v>5102</v>
      </c>
      <c r="C5659" s="27" t="s">
        <v>10436</v>
      </c>
      <c r="D5659" s="27" t="s">
        <v>5104</v>
      </c>
      <c r="E5659" s="29">
        <v>41971</v>
      </c>
      <c r="F5659" s="27">
        <v>15</v>
      </c>
      <c r="G5659" s="18">
        <v>6113.26</v>
      </c>
      <c r="H5659" s="27">
        <f t="shared" si="176"/>
        <v>0</v>
      </c>
      <c r="I5659" s="18">
        <v>1854.36</v>
      </c>
      <c r="J5659" s="27">
        <v>6113.26</v>
      </c>
      <c r="K5659" s="18">
        <f t="shared" si="177"/>
        <v>0</v>
      </c>
      <c r="L5659" s="27">
        <v>2216.4899999999998</v>
      </c>
      <c r="M5659" s="36">
        <v>362.13</v>
      </c>
      <c r="T5659" s="41">
        <v>0</v>
      </c>
      <c r="U5659" s="41">
        <v>0</v>
      </c>
      <c r="V5659" s="42" t="s">
        <v>113</v>
      </c>
      <c r="W5659" s="42">
        <v>0</v>
      </c>
      <c r="X5659" s="42">
        <v>0</v>
      </c>
    </row>
    <row r="5660" spans="1:24">
      <c r="A5660" s="27" t="s">
        <v>10437</v>
      </c>
      <c r="B5660" s="28" t="s">
        <v>5102</v>
      </c>
      <c r="C5660" s="27" t="s">
        <v>10436</v>
      </c>
      <c r="D5660" s="27" t="s">
        <v>5104</v>
      </c>
      <c r="E5660" s="29">
        <v>41971</v>
      </c>
      <c r="F5660" s="27">
        <v>12</v>
      </c>
      <c r="G5660" s="18">
        <v>1966.5</v>
      </c>
      <c r="H5660" s="27">
        <f t="shared" si="176"/>
        <v>1966.5</v>
      </c>
      <c r="I5660" s="18">
        <v>1966.5</v>
      </c>
      <c r="J5660" s="27">
        <v>1966.5</v>
      </c>
      <c r="K5660" s="18">
        <f t="shared" si="177"/>
        <v>1966.5</v>
      </c>
      <c r="L5660" s="27">
        <v>1966.5</v>
      </c>
      <c r="M5660" s="36">
        <v>0</v>
      </c>
      <c r="T5660" s="41">
        <v>0</v>
      </c>
      <c r="U5660" s="41">
        <v>0</v>
      </c>
      <c r="V5660" s="42" t="s">
        <v>113</v>
      </c>
      <c r="W5660" s="42">
        <v>1966.5</v>
      </c>
      <c r="X5660" s="42">
        <v>1966.5</v>
      </c>
    </row>
    <row r="5661" spans="1:24">
      <c r="A5661" s="27" t="s">
        <v>10438</v>
      </c>
      <c r="B5661" s="28" t="s">
        <v>5102</v>
      </c>
      <c r="C5661" s="27" t="s">
        <v>10439</v>
      </c>
      <c r="D5661" s="27" t="s">
        <v>5104</v>
      </c>
      <c r="E5661" s="29">
        <v>41971</v>
      </c>
      <c r="F5661" s="27">
        <v>15</v>
      </c>
      <c r="G5661" s="18">
        <v>8165.26</v>
      </c>
      <c r="H5661" s="27">
        <f t="shared" si="176"/>
        <v>0</v>
      </c>
      <c r="I5661" s="18">
        <v>2476.8000000000002</v>
      </c>
      <c r="J5661" s="27">
        <v>8165.26</v>
      </c>
      <c r="K5661" s="18">
        <f t="shared" si="177"/>
        <v>0</v>
      </c>
      <c r="L5661" s="27">
        <v>2960.48</v>
      </c>
      <c r="M5661" s="36">
        <v>483.68</v>
      </c>
      <c r="T5661" s="41">
        <v>0</v>
      </c>
      <c r="U5661" s="41">
        <v>0</v>
      </c>
      <c r="V5661" s="42" t="s">
        <v>113</v>
      </c>
      <c r="W5661" s="42">
        <v>0</v>
      </c>
      <c r="X5661" s="42">
        <v>0</v>
      </c>
    </row>
    <row r="5662" spans="1:24">
      <c r="A5662" s="27" t="s">
        <v>10440</v>
      </c>
      <c r="B5662" s="28" t="s">
        <v>5102</v>
      </c>
      <c r="C5662" s="27" t="s">
        <v>10439</v>
      </c>
      <c r="D5662" s="27" t="s">
        <v>5104</v>
      </c>
      <c r="E5662" s="29">
        <v>41971</v>
      </c>
      <c r="F5662" s="27">
        <v>15</v>
      </c>
      <c r="G5662" s="18">
        <v>17228.27</v>
      </c>
      <c r="H5662" s="27">
        <f t="shared" si="176"/>
        <v>0</v>
      </c>
      <c r="I5662" s="18">
        <v>5225.91</v>
      </c>
      <c r="J5662" s="27">
        <v>17228.27</v>
      </c>
      <c r="K5662" s="18">
        <f t="shared" si="177"/>
        <v>0</v>
      </c>
      <c r="L5662" s="27">
        <v>6246.46</v>
      </c>
      <c r="M5662" s="36">
        <v>1020.55</v>
      </c>
      <c r="T5662" s="41">
        <v>0</v>
      </c>
      <c r="U5662" s="41">
        <v>0</v>
      </c>
      <c r="V5662" s="42" t="s">
        <v>113</v>
      </c>
      <c r="W5662" s="42">
        <v>0</v>
      </c>
      <c r="X5662" s="42">
        <v>0</v>
      </c>
    </row>
    <row r="5663" spans="1:24">
      <c r="A5663" s="27" t="s">
        <v>10441</v>
      </c>
      <c r="B5663" s="28" t="s">
        <v>5102</v>
      </c>
      <c r="C5663" s="27" t="s">
        <v>10442</v>
      </c>
      <c r="D5663" s="27" t="s">
        <v>5104</v>
      </c>
      <c r="E5663" s="29">
        <v>41971</v>
      </c>
      <c r="F5663" s="27">
        <v>15</v>
      </c>
      <c r="G5663" s="18">
        <v>20049.77</v>
      </c>
      <c r="H5663" s="27">
        <f t="shared" si="176"/>
        <v>0</v>
      </c>
      <c r="I5663" s="18">
        <v>6081.76</v>
      </c>
      <c r="J5663" s="27">
        <v>20049.77</v>
      </c>
      <c r="K5663" s="18">
        <f t="shared" si="177"/>
        <v>0</v>
      </c>
      <c r="L5663" s="27">
        <v>7269.44</v>
      </c>
      <c r="M5663" s="36">
        <v>1187.68</v>
      </c>
      <c r="T5663" s="41">
        <v>0</v>
      </c>
      <c r="U5663" s="41">
        <v>0</v>
      </c>
      <c r="V5663" s="42" t="s">
        <v>113</v>
      </c>
      <c r="W5663" s="42">
        <v>0</v>
      </c>
      <c r="X5663" s="42">
        <v>0</v>
      </c>
    </row>
    <row r="5664" spans="1:24">
      <c r="A5664" s="27" t="s">
        <v>10443</v>
      </c>
      <c r="B5664" s="28" t="s">
        <v>5102</v>
      </c>
      <c r="C5664" s="27" t="s">
        <v>10442</v>
      </c>
      <c r="D5664" s="27" t="s">
        <v>5104</v>
      </c>
      <c r="E5664" s="29">
        <v>41971</v>
      </c>
      <c r="F5664" s="27">
        <v>15</v>
      </c>
      <c r="G5664" s="18">
        <v>62500.56</v>
      </c>
      <c r="H5664" s="27">
        <f t="shared" si="176"/>
        <v>0</v>
      </c>
      <c r="I5664" s="18">
        <v>18958.53</v>
      </c>
      <c r="J5664" s="27">
        <v>62500.56</v>
      </c>
      <c r="K5664" s="18">
        <f t="shared" si="177"/>
        <v>0</v>
      </c>
      <c r="L5664" s="27">
        <v>22660.85</v>
      </c>
      <c r="M5664" s="36">
        <v>3702.32</v>
      </c>
      <c r="T5664" s="41">
        <v>0</v>
      </c>
      <c r="U5664" s="41">
        <v>0</v>
      </c>
      <c r="V5664" s="42" t="s">
        <v>113</v>
      </c>
      <c r="W5664" s="42">
        <v>0</v>
      </c>
      <c r="X5664" s="42">
        <v>0</v>
      </c>
    </row>
    <row r="5665" spans="1:24">
      <c r="A5665" s="27" t="s">
        <v>10444</v>
      </c>
      <c r="B5665" s="28" t="s">
        <v>5102</v>
      </c>
      <c r="C5665" s="27" t="s">
        <v>10445</v>
      </c>
      <c r="D5665" s="27" t="s">
        <v>5104</v>
      </c>
      <c r="E5665" s="29">
        <v>41971</v>
      </c>
      <c r="F5665" s="27">
        <v>15</v>
      </c>
      <c r="G5665" s="18">
        <v>62842.559999999998</v>
      </c>
      <c r="H5665" s="27">
        <f t="shared" si="176"/>
        <v>0</v>
      </c>
      <c r="I5665" s="18">
        <v>19062.28</v>
      </c>
      <c r="J5665" s="27">
        <v>62842.559999999998</v>
      </c>
      <c r="K5665" s="18">
        <f t="shared" si="177"/>
        <v>0</v>
      </c>
      <c r="L5665" s="27">
        <v>22784.86</v>
      </c>
      <c r="M5665" s="36">
        <v>3722.58</v>
      </c>
      <c r="T5665" s="41">
        <v>0</v>
      </c>
      <c r="U5665" s="41">
        <v>0</v>
      </c>
      <c r="V5665" s="42" t="s">
        <v>113</v>
      </c>
      <c r="W5665" s="42">
        <v>0</v>
      </c>
      <c r="X5665" s="42">
        <v>0</v>
      </c>
    </row>
    <row r="5666" spans="1:24">
      <c r="A5666" s="27" t="s">
        <v>10446</v>
      </c>
      <c r="B5666" s="28" t="s">
        <v>5102</v>
      </c>
      <c r="C5666" s="27" t="s">
        <v>10447</v>
      </c>
      <c r="D5666" s="27" t="s">
        <v>5104</v>
      </c>
      <c r="E5666" s="29">
        <v>41971</v>
      </c>
      <c r="F5666" s="27">
        <v>15</v>
      </c>
      <c r="G5666" s="18">
        <v>25992.02</v>
      </c>
      <c r="H5666" s="27">
        <f t="shared" si="176"/>
        <v>0</v>
      </c>
      <c r="I5666" s="18">
        <v>7884.26</v>
      </c>
      <c r="J5666" s="27">
        <v>25992.02</v>
      </c>
      <c r="K5666" s="18">
        <f t="shared" si="177"/>
        <v>0</v>
      </c>
      <c r="L5666" s="27">
        <v>9423.94</v>
      </c>
      <c r="M5666" s="36">
        <v>1539.68</v>
      </c>
      <c r="T5666" s="41">
        <v>0</v>
      </c>
      <c r="U5666" s="41">
        <v>0</v>
      </c>
      <c r="V5666" s="42" t="s">
        <v>113</v>
      </c>
      <c r="W5666" s="42">
        <v>0</v>
      </c>
      <c r="X5666" s="42">
        <v>0</v>
      </c>
    </row>
    <row r="5667" spans="1:24">
      <c r="A5667" s="27" t="s">
        <v>10448</v>
      </c>
      <c r="B5667" s="28" t="s">
        <v>5102</v>
      </c>
      <c r="C5667" s="27" t="s">
        <v>10449</v>
      </c>
      <c r="D5667" s="27" t="s">
        <v>5104</v>
      </c>
      <c r="E5667" s="29">
        <v>41971</v>
      </c>
      <c r="F5667" s="27">
        <v>15</v>
      </c>
      <c r="G5667" s="18">
        <v>18083.27</v>
      </c>
      <c r="H5667" s="27">
        <f t="shared" si="176"/>
        <v>0</v>
      </c>
      <c r="I5667" s="18">
        <v>5485.27</v>
      </c>
      <c r="J5667" s="27">
        <v>18083.27</v>
      </c>
      <c r="K5667" s="18">
        <f t="shared" si="177"/>
        <v>0</v>
      </c>
      <c r="L5667" s="27">
        <v>6556.46</v>
      </c>
      <c r="M5667" s="36">
        <v>1071.19</v>
      </c>
      <c r="T5667" s="41">
        <v>0</v>
      </c>
      <c r="U5667" s="41">
        <v>0</v>
      </c>
      <c r="V5667" s="42" t="s">
        <v>113</v>
      </c>
      <c r="W5667" s="42">
        <v>0</v>
      </c>
      <c r="X5667" s="42">
        <v>0</v>
      </c>
    </row>
    <row r="5668" spans="1:24">
      <c r="A5668" s="27" t="s">
        <v>10450</v>
      </c>
      <c r="B5668" s="28" t="s">
        <v>5102</v>
      </c>
      <c r="C5668" s="27" t="s">
        <v>10451</v>
      </c>
      <c r="D5668" s="27" t="s">
        <v>5104</v>
      </c>
      <c r="E5668" s="29">
        <v>41971</v>
      </c>
      <c r="F5668" s="27">
        <v>15</v>
      </c>
      <c r="G5668" s="18">
        <v>24282.02</v>
      </c>
      <c r="H5668" s="27">
        <f t="shared" si="176"/>
        <v>0</v>
      </c>
      <c r="I5668" s="18">
        <v>7365.56</v>
      </c>
      <c r="J5668" s="27">
        <v>24282.02</v>
      </c>
      <c r="K5668" s="18">
        <f t="shared" si="177"/>
        <v>0</v>
      </c>
      <c r="L5668" s="27">
        <v>8803.94</v>
      </c>
      <c r="M5668" s="36">
        <v>1438.38</v>
      </c>
      <c r="T5668" s="41">
        <v>0</v>
      </c>
      <c r="U5668" s="41">
        <v>0</v>
      </c>
      <c r="V5668" s="42" t="s">
        <v>113</v>
      </c>
      <c r="W5668" s="42">
        <v>0</v>
      </c>
      <c r="X5668" s="42">
        <v>0</v>
      </c>
    </row>
    <row r="5669" spans="1:24">
      <c r="A5669" s="27" t="s">
        <v>10452</v>
      </c>
      <c r="B5669" s="28" t="s">
        <v>5102</v>
      </c>
      <c r="C5669" s="27" t="s">
        <v>10453</v>
      </c>
      <c r="D5669" s="27" t="s">
        <v>5104</v>
      </c>
      <c r="E5669" s="29">
        <v>41971</v>
      </c>
      <c r="F5669" s="27">
        <v>15</v>
      </c>
      <c r="G5669" s="18">
        <v>7652.26</v>
      </c>
      <c r="H5669" s="27">
        <f t="shared" si="176"/>
        <v>0</v>
      </c>
      <c r="I5669" s="18">
        <v>2321.1799999999998</v>
      </c>
      <c r="J5669" s="27">
        <v>7652.26</v>
      </c>
      <c r="K5669" s="18">
        <f t="shared" si="177"/>
        <v>0</v>
      </c>
      <c r="L5669" s="27">
        <v>2774.47</v>
      </c>
      <c r="M5669" s="36">
        <v>453.29</v>
      </c>
      <c r="T5669" s="41">
        <v>0</v>
      </c>
      <c r="U5669" s="41">
        <v>0</v>
      </c>
      <c r="V5669" s="42" t="s">
        <v>113</v>
      </c>
      <c r="W5669" s="42">
        <v>0</v>
      </c>
      <c r="X5669" s="42">
        <v>0</v>
      </c>
    </row>
    <row r="5670" spans="1:24">
      <c r="A5670" s="27" t="s">
        <v>10454</v>
      </c>
      <c r="B5670" s="28" t="s">
        <v>5102</v>
      </c>
      <c r="C5670" s="27" t="s">
        <v>10455</v>
      </c>
      <c r="D5670" s="27" t="s">
        <v>5104</v>
      </c>
      <c r="E5670" s="29">
        <v>41971</v>
      </c>
      <c r="F5670" s="27">
        <v>12</v>
      </c>
      <c r="G5670" s="18">
        <v>4275</v>
      </c>
      <c r="H5670" s="27">
        <f t="shared" si="176"/>
        <v>4275</v>
      </c>
      <c r="I5670" s="18">
        <v>4275</v>
      </c>
      <c r="J5670" s="27">
        <v>4275</v>
      </c>
      <c r="K5670" s="18">
        <f t="shared" si="177"/>
        <v>4275</v>
      </c>
      <c r="L5670" s="27">
        <v>4275</v>
      </c>
      <c r="M5670" s="36">
        <v>0</v>
      </c>
      <c r="T5670" s="41">
        <v>0</v>
      </c>
      <c r="U5670" s="41">
        <v>0</v>
      </c>
      <c r="V5670" s="42" t="s">
        <v>113</v>
      </c>
      <c r="W5670" s="42">
        <v>4275</v>
      </c>
      <c r="X5670" s="42">
        <v>4275</v>
      </c>
    </row>
    <row r="5671" spans="1:24">
      <c r="A5671" s="27" t="s">
        <v>10456</v>
      </c>
      <c r="B5671" s="28" t="s">
        <v>5102</v>
      </c>
      <c r="C5671" s="27" t="s">
        <v>10455</v>
      </c>
      <c r="D5671" s="27" t="s">
        <v>5104</v>
      </c>
      <c r="E5671" s="29">
        <v>41971</v>
      </c>
      <c r="F5671" s="27">
        <v>12</v>
      </c>
      <c r="G5671" s="18">
        <v>2650.5</v>
      </c>
      <c r="H5671" s="27">
        <f t="shared" si="176"/>
        <v>2650.5</v>
      </c>
      <c r="I5671" s="18">
        <v>2650.5</v>
      </c>
      <c r="J5671" s="27">
        <v>2650.5</v>
      </c>
      <c r="K5671" s="18">
        <f t="shared" si="177"/>
        <v>2650.5</v>
      </c>
      <c r="L5671" s="27">
        <v>2650.5</v>
      </c>
      <c r="M5671" s="36">
        <v>0</v>
      </c>
      <c r="T5671" s="41">
        <v>0</v>
      </c>
      <c r="U5671" s="41">
        <v>0</v>
      </c>
      <c r="V5671" s="42" t="s">
        <v>113</v>
      </c>
      <c r="W5671" s="42">
        <v>2650.5</v>
      </c>
      <c r="X5671" s="42">
        <v>2650.5</v>
      </c>
    </row>
    <row r="5672" spans="1:24">
      <c r="A5672" s="27" t="s">
        <v>10457</v>
      </c>
      <c r="B5672" s="28" t="s">
        <v>5102</v>
      </c>
      <c r="C5672" s="27" t="s">
        <v>10458</v>
      </c>
      <c r="D5672" s="27" t="s">
        <v>5104</v>
      </c>
      <c r="E5672" s="29">
        <v>41971</v>
      </c>
      <c r="F5672" s="27">
        <v>15</v>
      </c>
      <c r="G5672" s="18">
        <v>25350.77</v>
      </c>
      <c r="H5672" s="27">
        <f t="shared" si="176"/>
        <v>0</v>
      </c>
      <c r="I5672" s="18">
        <v>7689.75</v>
      </c>
      <c r="J5672" s="27">
        <v>25350.77</v>
      </c>
      <c r="K5672" s="18">
        <f t="shared" si="177"/>
        <v>0</v>
      </c>
      <c r="L5672" s="27">
        <v>9191.44</v>
      </c>
      <c r="M5672" s="36">
        <v>1501.69</v>
      </c>
      <c r="T5672" s="41">
        <v>0</v>
      </c>
      <c r="U5672" s="41">
        <v>0</v>
      </c>
      <c r="V5672" s="42" t="s">
        <v>113</v>
      </c>
      <c r="W5672" s="42">
        <v>0</v>
      </c>
      <c r="X5672" s="42">
        <v>0</v>
      </c>
    </row>
    <row r="5673" spans="1:24">
      <c r="A5673" s="27" t="s">
        <v>10459</v>
      </c>
      <c r="B5673" s="28" t="s">
        <v>5102</v>
      </c>
      <c r="C5673" s="27" t="s">
        <v>10460</v>
      </c>
      <c r="D5673" s="27" t="s">
        <v>5104</v>
      </c>
      <c r="E5673" s="29">
        <v>41971</v>
      </c>
      <c r="F5673" s="27">
        <v>15</v>
      </c>
      <c r="G5673" s="18">
        <v>46084.54</v>
      </c>
      <c r="H5673" s="27">
        <f t="shared" si="176"/>
        <v>0</v>
      </c>
      <c r="I5673" s="18">
        <v>13979</v>
      </c>
      <c r="J5673" s="27">
        <v>46084.54</v>
      </c>
      <c r="K5673" s="18">
        <f t="shared" si="177"/>
        <v>0</v>
      </c>
      <c r="L5673" s="27">
        <v>16708.89</v>
      </c>
      <c r="M5673" s="36">
        <v>2729.89</v>
      </c>
      <c r="T5673" s="41">
        <v>0</v>
      </c>
      <c r="U5673" s="41">
        <v>0</v>
      </c>
      <c r="V5673" s="42" t="s">
        <v>113</v>
      </c>
      <c r="W5673" s="42">
        <v>0</v>
      </c>
      <c r="X5673" s="42">
        <v>0</v>
      </c>
    </row>
    <row r="5674" spans="1:24">
      <c r="A5674" s="27" t="s">
        <v>10461</v>
      </c>
      <c r="B5674" s="28" t="s">
        <v>5102</v>
      </c>
      <c r="C5674" s="27" t="s">
        <v>10442</v>
      </c>
      <c r="D5674" s="27" t="s">
        <v>5104</v>
      </c>
      <c r="E5674" s="29">
        <v>41971</v>
      </c>
      <c r="F5674" s="27">
        <v>15</v>
      </c>
      <c r="G5674" s="18">
        <v>22999.52</v>
      </c>
      <c r="H5674" s="27">
        <f t="shared" si="176"/>
        <v>0</v>
      </c>
      <c r="I5674" s="18">
        <v>6976.53</v>
      </c>
      <c r="J5674" s="27">
        <v>22999.52</v>
      </c>
      <c r="K5674" s="18">
        <f t="shared" si="177"/>
        <v>0</v>
      </c>
      <c r="L5674" s="27">
        <v>8338.94</v>
      </c>
      <c r="M5674" s="36">
        <v>1362.41</v>
      </c>
      <c r="T5674" s="41">
        <v>0</v>
      </c>
      <c r="U5674" s="41">
        <v>0</v>
      </c>
      <c r="V5674" s="42" t="s">
        <v>113</v>
      </c>
      <c r="W5674" s="42">
        <v>0</v>
      </c>
      <c r="X5674" s="42">
        <v>0</v>
      </c>
    </row>
    <row r="5675" spans="1:24">
      <c r="A5675" s="27" t="s">
        <v>10462</v>
      </c>
      <c r="B5675" s="28" t="s">
        <v>5102</v>
      </c>
      <c r="C5675" s="27" t="s">
        <v>10463</v>
      </c>
      <c r="D5675" s="27" t="s">
        <v>5104</v>
      </c>
      <c r="E5675" s="29">
        <v>41971</v>
      </c>
      <c r="F5675" s="27">
        <v>15</v>
      </c>
      <c r="G5675" s="18">
        <v>14620.51</v>
      </c>
      <c r="H5675" s="27">
        <f t="shared" si="176"/>
        <v>0</v>
      </c>
      <c r="I5675" s="18">
        <v>4434.8999999999996</v>
      </c>
      <c r="J5675" s="27">
        <v>14620.51</v>
      </c>
      <c r="K5675" s="18">
        <f t="shared" si="177"/>
        <v>0</v>
      </c>
      <c r="L5675" s="27">
        <v>5300.97</v>
      </c>
      <c r="M5675" s="36">
        <v>866.07</v>
      </c>
      <c r="T5675" s="41">
        <v>0</v>
      </c>
      <c r="U5675" s="41">
        <v>0</v>
      </c>
      <c r="V5675" s="42" t="s">
        <v>113</v>
      </c>
      <c r="W5675" s="42">
        <v>0</v>
      </c>
      <c r="X5675" s="42">
        <v>0</v>
      </c>
    </row>
    <row r="5676" spans="1:24">
      <c r="A5676" s="27" t="s">
        <v>10464</v>
      </c>
      <c r="B5676" s="28" t="s">
        <v>5102</v>
      </c>
      <c r="C5676" s="27" t="s">
        <v>10465</v>
      </c>
      <c r="D5676" s="27" t="s">
        <v>5104</v>
      </c>
      <c r="E5676" s="29">
        <v>41971</v>
      </c>
      <c r="F5676" s="27">
        <v>12</v>
      </c>
      <c r="G5676" s="18">
        <v>4275</v>
      </c>
      <c r="H5676" s="27">
        <f t="shared" si="176"/>
        <v>4275</v>
      </c>
      <c r="I5676" s="18">
        <v>4275</v>
      </c>
      <c r="J5676" s="27">
        <v>4275</v>
      </c>
      <c r="K5676" s="18">
        <f t="shared" si="177"/>
        <v>4275</v>
      </c>
      <c r="L5676" s="27">
        <v>4275</v>
      </c>
      <c r="M5676" s="36">
        <v>0</v>
      </c>
      <c r="T5676" s="41">
        <v>0</v>
      </c>
      <c r="U5676" s="41">
        <v>0</v>
      </c>
      <c r="V5676" s="42" t="s">
        <v>113</v>
      </c>
      <c r="W5676" s="42">
        <v>4275</v>
      </c>
      <c r="X5676" s="42">
        <v>4275</v>
      </c>
    </row>
    <row r="5677" spans="1:24">
      <c r="A5677" s="27" t="s">
        <v>10466</v>
      </c>
      <c r="B5677" s="28" t="s">
        <v>5102</v>
      </c>
      <c r="C5677" s="27" t="s">
        <v>10467</v>
      </c>
      <c r="D5677" s="27" t="s">
        <v>5104</v>
      </c>
      <c r="E5677" s="29">
        <v>41971</v>
      </c>
      <c r="F5677" s="27">
        <v>15</v>
      </c>
      <c r="G5677" s="18">
        <v>50445.05</v>
      </c>
      <c r="H5677" s="27">
        <f t="shared" si="176"/>
        <v>0</v>
      </c>
      <c r="I5677" s="18">
        <v>15301.7</v>
      </c>
      <c r="J5677" s="27">
        <v>50445.05</v>
      </c>
      <c r="K5677" s="18">
        <f t="shared" si="177"/>
        <v>0</v>
      </c>
      <c r="L5677" s="27">
        <v>18289.89</v>
      </c>
      <c r="M5677" s="36">
        <v>2988.19</v>
      </c>
      <c r="T5677" s="41">
        <v>0</v>
      </c>
      <c r="U5677" s="41">
        <v>0</v>
      </c>
      <c r="V5677" s="42" t="s">
        <v>113</v>
      </c>
      <c r="W5677" s="42">
        <v>0</v>
      </c>
      <c r="X5677" s="42">
        <v>0</v>
      </c>
    </row>
    <row r="5678" spans="1:24">
      <c r="A5678" s="27" t="s">
        <v>10468</v>
      </c>
      <c r="B5678" s="28" t="s">
        <v>5102</v>
      </c>
      <c r="C5678" s="27" t="s">
        <v>10469</v>
      </c>
      <c r="D5678" s="27" t="s">
        <v>5104</v>
      </c>
      <c r="E5678" s="29">
        <v>41971</v>
      </c>
      <c r="F5678" s="27">
        <v>15</v>
      </c>
      <c r="G5678" s="18">
        <v>67887.070000000007</v>
      </c>
      <c r="H5678" s="27">
        <f t="shared" si="176"/>
        <v>0</v>
      </c>
      <c r="I5678" s="18">
        <v>20592.439999999999</v>
      </c>
      <c r="J5678" s="27">
        <v>67887.070000000007</v>
      </c>
      <c r="K5678" s="18">
        <f t="shared" si="177"/>
        <v>0</v>
      </c>
      <c r="L5678" s="27">
        <v>24613.84</v>
      </c>
      <c r="M5678" s="36">
        <v>4021.4</v>
      </c>
      <c r="T5678" s="41">
        <v>0</v>
      </c>
      <c r="U5678" s="41">
        <v>0</v>
      </c>
      <c r="V5678" s="42" t="s">
        <v>113</v>
      </c>
      <c r="W5678" s="42">
        <v>0</v>
      </c>
      <c r="X5678" s="42">
        <v>0</v>
      </c>
    </row>
    <row r="5679" spans="1:24">
      <c r="A5679" s="27" t="s">
        <v>10470</v>
      </c>
      <c r="B5679" s="28" t="s">
        <v>5102</v>
      </c>
      <c r="C5679" s="27" t="s">
        <v>10471</v>
      </c>
      <c r="D5679" s="27" t="s">
        <v>230</v>
      </c>
      <c r="E5679" s="29">
        <v>41971</v>
      </c>
      <c r="F5679" s="27">
        <v>15</v>
      </c>
      <c r="G5679" s="18">
        <v>31267.64</v>
      </c>
      <c r="H5679" s="27">
        <f t="shared" si="176"/>
        <v>0</v>
      </c>
      <c r="I5679" s="18">
        <v>9484.5300000000007</v>
      </c>
      <c r="J5679" s="27">
        <v>31267.64</v>
      </c>
      <c r="K5679" s="18">
        <f t="shared" si="177"/>
        <v>0</v>
      </c>
      <c r="L5679" s="27">
        <v>11336.72</v>
      </c>
      <c r="M5679" s="36">
        <v>1852.19</v>
      </c>
      <c r="T5679" s="41">
        <v>0</v>
      </c>
      <c r="U5679" s="41">
        <v>0</v>
      </c>
      <c r="V5679" s="42" t="s">
        <v>113</v>
      </c>
      <c r="W5679" s="42">
        <v>0</v>
      </c>
      <c r="X5679" s="42">
        <v>0</v>
      </c>
    </row>
    <row r="5680" spans="1:24">
      <c r="A5680" s="27" t="s">
        <v>10472</v>
      </c>
      <c r="B5680" s="28" t="s">
        <v>5102</v>
      </c>
      <c r="C5680" s="27" t="s">
        <v>10473</v>
      </c>
      <c r="D5680" s="27" t="s">
        <v>5104</v>
      </c>
      <c r="E5680" s="29">
        <v>41971</v>
      </c>
      <c r="F5680" s="27">
        <v>15</v>
      </c>
      <c r="G5680" s="18">
        <v>73134.490000000005</v>
      </c>
      <c r="H5680" s="27">
        <f t="shared" si="176"/>
        <v>0</v>
      </c>
      <c r="I5680" s="18">
        <v>22184.16</v>
      </c>
      <c r="J5680" s="27">
        <v>73134.490000000005</v>
      </c>
      <c r="K5680" s="18">
        <f t="shared" si="177"/>
        <v>0</v>
      </c>
      <c r="L5680" s="27">
        <v>26516.400000000001</v>
      </c>
      <c r="M5680" s="36">
        <v>4332.24</v>
      </c>
      <c r="T5680" s="41">
        <v>0</v>
      </c>
      <c r="U5680" s="41">
        <v>0</v>
      </c>
      <c r="V5680" s="42" t="s">
        <v>113</v>
      </c>
      <c r="W5680" s="42">
        <v>0</v>
      </c>
      <c r="X5680" s="42">
        <v>0</v>
      </c>
    </row>
    <row r="5681" spans="1:24">
      <c r="A5681" s="27" t="s">
        <v>10474</v>
      </c>
      <c r="B5681" s="28" t="s">
        <v>5102</v>
      </c>
      <c r="C5681" s="27" t="s">
        <v>10475</v>
      </c>
      <c r="D5681" s="27" t="s">
        <v>5104</v>
      </c>
      <c r="E5681" s="29">
        <v>41971</v>
      </c>
      <c r="F5681" s="27">
        <v>15</v>
      </c>
      <c r="G5681" s="18">
        <v>83403.19</v>
      </c>
      <c r="H5681" s="27">
        <f t="shared" si="176"/>
        <v>0</v>
      </c>
      <c r="I5681" s="18">
        <v>25299.01</v>
      </c>
      <c r="J5681" s="27">
        <v>83403.19</v>
      </c>
      <c r="K5681" s="18">
        <f t="shared" si="177"/>
        <v>0</v>
      </c>
      <c r="L5681" s="27">
        <v>30239.53</v>
      </c>
      <c r="M5681" s="36">
        <v>4940.5200000000004</v>
      </c>
      <c r="T5681" s="41">
        <v>0</v>
      </c>
      <c r="U5681" s="41">
        <v>0</v>
      </c>
      <c r="V5681" s="42" t="s">
        <v>113</v>
      </c>
      <c r="W5681" s="42">
        <v>0</v>
      </c>
      <c r="X5681" s="42">
        <v>0</v>
      </c>
    </row>
    <row r="5682" spans="1:24">
      <c r="A5682" s="27" t="s">
        <v>10476</v>
      </c>
      <c r="B5682" s="28" t="s">
        <v>5102</v>
      </c>
      <c r="C5682" s="27" t="s">
        <v>10475</v>
      </c>
      <c r="D5682" s="27" t="s">
        <v>5104</v>
      </c>
      <c r="E5682" s="29">
        <v>41971</v>
      </c>
      <c r="F5682" s="27">
        <v>15</v>
      </c>
      <c r="G5682" s="18">
        <v>16149.5</v>
      </c>
      <c r="H5682" s="27">
        <f t="shared" si="176"/>
        <v>0</v>
      </c>
      <c r="I5682" s="18">
        <v>4898.68</v>
      </c>
      <c r="J5682" s="27">
        <v>16149.5</v>
      </c>
      <c r="K5682" s="18">
        <f t="shared" si="177"/>
        <v>0</v>
      </c>
      <c r="L5682" s="27">
        <v>5855.32</v>
      </c>
      <c r="M5682" s="36">
        <v>956.64</v>
      </c>
      <c r="T5682" s="41">
        <v>0</v>
      </c>
      <c r="U5682" s="41">
        <v>0</v>
      </c>
      <c r="V5682" s="42" t="s">
        <v>113</v>
      </c>
      <c r="W5682" s="42">
        <v>0</v>
      </c>
      <c r="X5682" s="42">
        <v>0</v>
      </c>
    </row>
    <row r="5683" spans="1:24">
      <c r="A5683" s="27" t="s">
        <v>10477</v>
      </c>
      <c r="B5683" s="28" t="s">
        <v>5102</v>
      </c>
      <c r="C5683" s="27" t="s">
        <v>10478</v>
      </c>
      <c r="D5683" s="27" t="s">
        <v>5104</v>
      </c>
      <c r="E5683" s="29">
        <v>41971</v>
      </c>
      <c r="F5683" s="27">
        <v>15</v>
      </c>
      <c r="G5683" s="18">
        <v>114482.01</v>
      </c>
      <c r="H5683" s="27">
        <f t="shared" si="176"/>
        <v>0</v>
      </c>
      <c r="I5683" s="18">
        <v>34726.26</v>
      </c>
      <c r="J5683" s="27">
        <v>114482.01</v>
      </c>
      <c r="K5683" s="18">
        <f t="shared" si="177"/>
        <v>0</v>
      </c>
      <c r="L5683" s="27">
        <v>41507.79</v>
      </c>
      <c r="M5683" s="36">
        <v>6781.53</v>
      </c>
      <c r="T5683" s="41">
        <v>0</v>
      </c>
      <c r="U5683" s="41">
        <v>0</v>
      </c>
      <c r="V5683" s="42" t="s">
        <v>113</v>
      </c>
      <c r="W5683" s="42">
        <v>0</v>
      </c>
      <c r="X5683" s="42">
        <v>0</v>
      </c>
    </row>
    <row r="5684" spans="1:24">
      <c r="A5684" s="27" t="s">
        <v>10479</v>
      </c>
      <c r="B5684" s="28" t="s">
        <v>5102</v>
      </c>
      <c r="C5684" s="27" t="s">
        <v>10478</v>
      </c>
      <c r="D5684" s="27" t="s">
        <v>5104</v>
      </c>
      <c r="E5684" s="29">
        <v>41971</v>
      </c>
      <c r="F5684" s="27">
        <v>12</v>
      </c>
      <c r="G5684" s="18">
        <v>3014.57</v>
      </c>
      <c r="H5684" s="27">
        <f t="shared" si="176"/>
        <v>3014.57</v>
      </c>
      <c r="I5684" s="18">
        <v>3014.57</v>
      </c>
      <c r="J5684" s="27">
        <v>3014.57</v>
      </c>
      <c r="K5684" s="18">
        <f t="shared" si="177"/>
        <v>3014.57</v>
      </c>
      <c r="L5684" s="27">
        <v>3014.57</v>
      </c>
      <c r="M5684" s="36">
        <v>0</v>
      </c>
      <c r="T5684" s="41">
        <v>0</v>
      </c>
      <c r="U5684" s="41">
        <v>0</v>
      </c>
      <c r="V5684" s="42" t="s">
        <v>113</v>
      </c>
      <c r="W5684" s="42">
        <v>3014.57</v>
      </c>
      <c r="X5684" s="42">
        <v>3014.57</v>
      </c>
    </row>
    <row r="5685" spans="1:24">
      <c r="A5685" s="27" t="s">
        <v>10480</v>
      </c>
      <c r="B5685" s="28" t="s">
        <v>5102</v>
      </c>
      <c r="C5685" s="27" t="s">
        <v>10481</v>
      </c>
      <c r="D5685" s="27" t="s">
        <v>230</v>
      </c>
      <c r="E5685" s="29">
        <v>41971</v>
      </c>
      <c r="F5685" s="27">
        <v>15</v>
      </c>
      <c r="G5685" s="18">
        <v>59789.04</v>
      </c>
      <c r="H5685" s="27">
        <f t="shared" si="176"/>
        <v>0</v>
      </c>
      <c r="I5685" s="18">
        <v>18136.04</v>
      </c>
      <c r="J5685" s="27">
        <v>59789.04</v>
      </c>
      <c r="K5685" s="18">
        <f t="shared" si="177"/>
        <v>0</v>
      </c>
      <c r="L5685" s="27">
        <v>21677.74</v>
      </c>
      <c r="M5685" s="36">
        <v>3541.7</v>
      </c>
      <c r="T5685" s="41">
        <v>0</v>
      </c>
      <c r="U5685" s="41">
        <v>0</v>
      </c>
      <c r="V5685" s="42" t="s">
        <v>113</v>
      </c>
      <c r="W5685" s="42">
        <v>0</v>
      </c>
      <c r="X5685" s="42">
        <v>0</v>
      </c>
    </row>
    <row r="5686" spans="1:24">
      <c r="A5686" s="27" t="s">
        <v>10482</v>
      </c>
      <c r="B5686" s="28" t="s">
        <v>5102</v>
      </c>
      <c r="C5686" s="27" t="s">
        <v>10483</v>
      </c>
      <c r="D5686" s="27" t="s">
        <v>5104</v>
      </c>
      <c r="E5686" s="29">
        <v>41971</v>
      </c>
      <c r="F5686" s="27">
        <v>15</v>
      </c>
      <c r="G5686" s="18">
        <v>9689.7000000000007</v>
      </c>
      <c r="H5686" s="27">
        <f t="shared" si="176"/>
        <v>0</v>
      </c>
      <c r="I5686" s="18">
        <v>2939.21</v>
      </c>
      <c r="J5686" s="27">
        <v>9689.7000000000007</v>
      </c>
      <c r="K5686" s="18">
        <f t="shared" si="177"/>
        <v>0</v>
      </c>
      <c r="L5686" s="27">
        <v>3513.19</v>
      </c>
      <c r="M5686" s="36">
        <v>573.98</v>
      </c>
      <c r="T5686" s="41">
        <v>0</v>
      </c>
      <c r="U5686" s="41">
        <v>0</v>
      </c>
      <c r="V5686" s="42" t="s">
        <v>113</v>
      </c>
      <c r="W5686" s="42">
        <v>0</v>
      </c>
      <c r="X5686" s="42">
        <v>0</v>
      </c>
    </row>
    <row r="5687" spans="1:24">
      <c r="A5687" s="27" t="s">
        <v>10484</v>
      </c>
      <c r="B5687" s="28" t="s">
        <v>5102</v>
      </c>
      <c r="C5687" s="27" t="s">
        <v>10483</v>
      </c>
      <c r="D5687" s="27" t="s">
        <v>5104</v>
      </c>
      <c r="E5687" s="29">
        <v>41971</v>
      </c>
      <c r="F5687" s="27">
        <v>12</v>
      </c>
      <c r="G5687" s="18">
        <v>1579.06</v>
      </c>
      <c r="H5687" s="27">
        <f t="shared" si="176"/>
        <v>1579.06</v>
      </c>
      <c r="I5687" s="18">
        <v>1579.06</v>
      </c>
      <c r="J5687" s="27">
        <v>1579.06</v>
      </c>
      <c r="K5687" s="18">
        <f t="shared" si="177"/>
        <v>1579.06</v>
      </c>
      <c r="L5687" s="27">
        <v>1579.06</v>
      </c>
      <c r="M5687" s="36">
        <v>0</v>
      </c>
      <c r="T5687" s="41">
        <v>0</v>
      </c>
      <c r="U5687" s="41">
        <v>0</v>
      </c>
      <c r="V5687" s="42" t="s">
        <v>113</v>
      </c>
      <c r="W5687" s="42">
        <v>1579.06</v>
      </c>
      <c r="X5687" s="42">
        <v>1579.06</v>
      </c>
    </row>
    <row r="5688" spans="1:24">
      <c r="A5688" s="27" t="s">
        <v>10485</v>
      </c>
      <c r="B5688" s="28" t="s">
        <v>5102</v>
      </c>
      <c r="C5688" s="27" t="s">
        <v>10486</v>
      </c>
      <c r="D5688" s="27" t="s">
        <v>5104</v>
      </c>
      <c r="E5688" s="29">
        <v>41971</v>
      </c>
      <c r="F5688" s="27">
        <v>15</v>
      </c>
      <c r="G5688" s="18">
        <v>40768.519999999997</v>
      </c>
      <c r="H5688" s="27">
        <f t="shared" si="176"/>
        <v>0</v>
      </c>
      <c r="I5688" s="18">
        <v>12366.48</v>
      </c>
      <c r="J5688" s="27">
        <v>40768.519999999997</v>
      </c>
      <c r="K5688" s="18">
        <f t="shared" si="177"/>
        <v>0</v>
      </c>
      <c r="L5688" s="27">
        <v>14781.47</v>
      </c>
      <c r="M5688" s="36">
        <v>2414.9899999999998</v>
      </c>
      <c r="T5688" s="41">
        <v>0</v>
      </c>
      <c r="U5688" s="41">
        <v>0</v>
      </c>
      <c r="V5688" s="42" t="s">
        <v>113</v>
      </c>
      <c r="W5688" s="42">
        <v>0</v>
      </c>
      <c r="X5688" s="42">
        <v>0</v>
      </c>
    </row>
    <row r="5689" spans="1:24">
      <c r="A5689" s="27" t="s">
        <v>10487</v>
      </c>
      <c r="B5689" s="28" t="s">
        <v>5102</v>
      </c>
      <c r="C5689" s="27" t="s">
        <v>10488</v>
      </c>
      <c r="D5689" s="27" t="s">
        <v>5104</v>
      </c>
      <c r="E5689" s="29">
        <v>41971</v>
      </c>
      <c r="F5689" s="27">
        <v>15</v>
      </c>
      <c r="G5689" s="18">
        <v>24977.89</v>
      </c>
      <c r="H5689" s="27">
        <f t="shared" si="176"/>
        <v>0</v>
      </c>
      <c r="I5689" s="18">
        <v>7576.65</v>
      </c>
      <c r="J5689" s="27">
        <v>24977.89</v>
      </c>
      <c r="K5689" s="18">
        <f t="shared" si="177"/>
        <v>0</v>
      </c>
      <c r="L5689" s="27">
        <v>9056.25</v>
      </c>
      <c r="M5689" s="36">
        <v>1479.6</v>
      </c>
      <c r="T5689" s="41">
        <v>0</v>
      </c>
      <c r="U5689" s="41">
        <v>0</v>
      </c>
      <c r="V5689" s="42" t="s">
        <v>113</v>
      </c>
      <c r="W5689" s="42">
        <v>0</v>
      </c>
      <c r="X5689" s="42">
        <v>0</v>
      </c>
    </row>
    <row r="5690" spans="1:24">
      <c r="A5690" s="27" t="s">
        <v>10489</v>
      </c>
      <c r="B5690" s="28" t="s">
        <v>5102</v>
      </c>
      <c r="C5690" s="27" t="s">
        <v>10490</v>
      </c>
      <c r="D5690" s="27" t="s">
        <v>5104</v>
      </c>
      <c r="E5690" s="29">
        <v>41971</v>
      </c>
      <c r="F5690" s="27">
        <v>15</v>
      </c>
      <c r="G5690" s="18">
        <v>21604.45</v>
      </c>
      <c r="H5690" s="27">
        <f t="shared" si="176"/>
        <v>0</v>
      </c>
      <c r="I5690" s="18">
        <v>6553.36</v>
      </c>
      <c r="J5690" s="27">
        <v>21604.45</v>
      </c>
      <c r="K5690" s="18">
        <f t="shared" si="177"/>
        <v>0</v>
      </c>
      <c r="L5690" s="27">
        <v>7833.13</v>
      </c>
      <c r="M5690" s="36">
        <v>1279.77</v>
      </c>
      <c r="T5690" s="41">
        <v>0</v>
      </c>
      <c r="U5690" s="41">
        <v>0</v>
      </c>
      <c r="V5690" s="42" t="s">
        <v>113</v>
      </c>
      <c r="W5690" s="42">
        <v>0</v>
      </c>
      <c r="X5690" s="42">
        <v>0</v>
      </c>
    </row>
    <row r="5691" spans="1:24">
      <c r="A5691" s="27" t="s">
        <v>10491</v>
      </c>
      <c r="B5691" s="28" t="s">
        <v>5102</v>
      </c>
      <c r="C5691" s="27" t="s">
        <v>9170</v>
      </c>
      <c r="D5691" s="27" t="s">
        <v>5104</v>
      </c>
      <c r="E5691" s="29">
        <v>41971</v>
      </c>
      <c r="F5691" s="27">
        <v>15</v>
      </c>
      <c r="G5691" s="18">
        <v>79435.83</v>
      </c>
      <c r="H5691" s="27">
        <f t="shared" si="176"/>
        <v>0</v>
      </c>
      <c r="I5691" s="18">
        <v>24095.58</v>
      </c>
      <c r="J5691" s="27">
        <v>79435.83</v>
      </c>
      <c r="K5691" s="18">
        <f t="shared" si="177"/>
        <v>0</v>
      </c>
      <c r="L5691" s="27">
        <v>28801.09</v>
      </c>
      <c r="M5691" s="36">
        <v>4705.51</v>
      </c>
      <c r="T5691" s="41">
        <v>0</v>
      </c>
      <c r="U5691" s="41">
        <v>0</v>
      </c>
      <c r="V5691" s="42" t="s">
        <v>113</v>
      </c>
      <c r="W5691" s="42">
        <v>0</v>
      </c>
      <c r="X5691" s="42">
        <v>0</v>
      </c>
    </row>
    <row r="5692" spans="1:24">
      <c r="A5692" s="27" t="s">
        <v>10492</v>
      </c>
      <c r="B5692" s="28" t="s">
        <v>5102</v>
      </c>
      <c r="C5692" s="27" t="s">
        <v>9172</v>
      </c>
      <c r="D5692" s="27" t="s">
        <v>5104</v>
      </c>
      <c r="E5692" s="29">
        <v>41971</v>
      </c>
      <c r="F5692" s="27">
        <v>15</v>
      </c>
      <c r="G5692" s="18">
        <v>112608.91</v>
      </c>
      <c r="H5692" s="27">
        <f t="shared" si="176"/>
        <v>0</v>
      </c>
      <c r="I5692" s="18">
        <v>34158.089999999997</v>
      </c>
      <c r="J5692" s="27">
        <v>112608.91</v>
      </c>
      <c r="K5692" s="18">
        <f t="shared" si="177"/>
        <v>0</v>
      </c>
      <c r="L5692" s="27">
        <v>40828.660000000003</v>
      </c>
      <c r="M5692" s="36">
        <v>6670.57</v>
      </c>
      <c r="T5692" s="41">
        <v>0</v>
      </c>
      <c r="U5692" s="41">
        <v>0</v>
      </c>
      <c r="V5692" s="42" t="s">
        <v>113</v>
      </c>
      <c r="W5692" s="42">
        <v>0</v>
      </c>
      <c r="X5692" s="42">
        <v>0</v>
      </c>
    </row>
    <row r="5693" spans="1:24">
      <c r="A5693" s="27" t="s">
        <v>10493</v>
      </c>
      <c r="B5693" s="28" t="s">
        <v>5102</v>
      </c>
      <c r="C5693" s="27" t="s">
        <v>10494</v>
      </c>
      <c r="D5693" s="27" t="s">
        <v>230</v>
      </c>
      <c r="E5693" s="29">
        <v>41971</v>
      </c>
      <c r="F5693" s="27">
        <v>15</v>
      </c>
      <c r="G5693" s="18">
        <v>25008.97</v>
      </c>
      <c r="H5693" s="27">
        <f t="shared" si="176"/>
        <v>0</v>
      </c>
      <c r="I5693" s="18">
        <v>7586.08</v>
      </c>
      <c r="J5693" s="27">
        <v>25008.97</v>
      </c>
      <c r="K5693" s="18">
        <f t="shared" si="177"/>
        <v>0</v>
      </c>
      <c r="L5693" s="27">
        <v>9067.52</v>
      </c>
      <c r="M5693" s="36">
        <v>1481.44</v>
      </c>
      <c r="T5693" s="41">
        <v>0</v>
      </c>
      <c r="U5693" s="41">
        <v>0</v>
      </c>
      <c r="V5693" s="42" t="s">
        <v>113</v>
      </c>
      <c r="W5693" s="42">
        <v>0</v>
      </c>
      <c r="X5693" s="42">
        <v>0</v>
      </c>
    </row>
    <row r="5694" spans="1:24">
      <c r="A5694" s="27" t="s">
        <v>10495</v>
      </c>
      <c r="B5694" s="28" t="s">
        <v>5102</v>
      </c>
      <c r="C5694" s="27" t="s">
        <v>10496</v>
      </c>
      <c r="D5694" s="27" t="s">
        <v>5104</v>
      </c>
      <c r="E5694" s="29">
        <v>41971</v>
      </c>
      <c r="F5694" s="27">
        <v>15</v>
      </c>
      <c r="G5694" s="18">
        <v>80046.02</v>
      </c>
      <c r="H5694" s="27">
        <f t="shared" si="176"/>
        <v>0</v>
      </c>
      <c r="I5694" s="18">
        <v>24280.67</v>
      </c>
      <c r="J5694" s="27">
        <v>80046.02</v>
      </c>
      <c r="K5694" s="18">
        <f t="shared" si="177"/>
        <v>0</v>
      </c>
      <c r="L5694" s="27">
        <v>29022.32</v>
      </c>
      <c r="M5694" s="36">
        <v>4741.6499999999996</v>
      </c>
      <c r="T5694" s="41">
        <v>0</v>
      </c>
      <c r="U5694" s="41">
        <v>0</v>
      </c>
      <c r="V5694" s="42" t="s">
        <v>113</v>
      </c>
      <c r="W5694" s="42">
        <v>0</v>
      </c>
      <c r="X5694" s="42">
        <v>0</v>
      </c>
    </row>
    <row r="5695" spans="1:24">
      <c r="A5695" s="27" t="s">
        <v>10497</v>
      </c>
      <c r="B5695" s="28" t="s">
        <v>5102</v>
      </c>
      <c r="C5695" s="27" t="s">
        <v>10498</v>
      </c>
      <c r="D5695" s="27" t="s">
        <v>5104</v>
      </c>
      <c r="E5695" s="29">
        <v>41971</v>
      </c>
      <c r="F5695" s="27">
        <v>15</v>
      </c>
      <c r="G5695" s="18">
        <v>91988.02</v>
      </c>
      <c r="H5695" s="27">
        <f t="shared" si="176"/>
        <v>0</v>
      </c>
      <c r="I5695" s="18">
        <v>27903.08</v>
      </c>
      <c r="J5695" s="27">
        <v>91988.02</v>
      </c>
      <c r="K5695" s="18">
        <f t="shared" si="177"/>
        <v>0</v>
      </c>
      <c r="L5695" s="27">
        <v>33352.14</v>
      </c>
      <c r="M5695" s="36">
        <v>5449.06</v>
      </c>
      <c r="T5695" s="41">
        <v>0</v>
      </c>
      <c r="U5695" s="41">
        <v>0</v>
      </c>
      <c r="V5695" s="42" t="s">
        <v>113</v>
      </c>
      <c r="W5695" s="42">
        <v>0</v>
      </c>
      <c r="X5695" s="42">
        <v>0</v>
      </c>
    </row>
    <row r="5696" spans="1:24">
      <c r="A5696" s="27" t="s">
        <v>10499</v>
      </c>
      <c r="B5696" s="28" t="s">
        <v>5102</v>
      </c>
      <c r="C5696" s="27" t="s">
        <v>10500</v>
      </c>
      <c r="D5696" s="27" t="s">
        <v>230</v>
      </c>
      <c r="E5696" s="29">
        <v>41971</v>
      </c>
      <c r="F5696" s="27">
        <v>15</v>
      </c>
      <c r="G5696" s="18">
        <v>83066.009999999995</v>
      </c>
      <c r="H5696" s="27">
        <f t="shared" si="176"/>
        <v>0</v>
      </c>
      <c r="I5696" s="18">
        <v>25196.73</v>
      </c>
      <c r="J5696" s="27">
        <v>83066.009999999995</v>
      </c>
      <c r="K5696" s="18">
        <f t="shared" si="177"/>
        <v>0</v>
      </c>
      <c r="L5696" s="27">
        <v>30117.279999999999</v>
      </c>
      <c r="M5696" s="36">
        <v>4920.55</v>
      </c>
      <c r="T5696" s="41">
        <v>0</v>
      </c>
      <c r="U5696" s="41">
        <v>0</v>
      </c>
      <c r="V5696" s="42" t="s">
        <v>113</v>
      </c>
      <c r="W5696" s="42">
        <v>0</v>
      </c>
      <c r="X5696" s="42">
        <v>0</v>
      </c>
    </row>
    <row r="5697" spans="1:24">
      <c r="A5697" s="27" t="s">
        <v>10501</v>
      </c>
      <c r="B5697" s="28" t="s">
        <v>5102</v>
      </c>
      <c r="C5697" s="27" t="s">
        <v>10488</v>
      </c>
      <c r="D5697" s="27" t="s">
        <v>5104</v>
      </c>
      <c r="E5697" s="29">
        <v>41971</v>
      </c>
      <c r="F5697" s="27">
        <v>15</v>
      </c>
      <c r="G5697" s="18">
        <v>104167.03999999999</v>
      </c>
      <c r="H5697" s="27">
        <f t="shared" si="176"/>
        <v>0</v>
      </c>
      <c r="I5697" s="18">
        <v>31597.39</v>
      </c>
      <c r="J5697" s="27">
        <v>104167.03999999999</v>
      </c>
      <c r="K5697" s="18">
        <f t="shared" si="177"/>
        <v>0</v>
      </c>
      <c r="L5697" s="27">
        <v>37767.89</v>
      </c>
      <c r="M5697" s="36">
        <v>6170.5</v>
      </c>
      <c r="T5697" s="41">
        <v>0</v>
      </c>
      <c r="U5697" s="41">
        <v>0</v>
      </c>
      <c r="V5697" s="42" t="s">
        <v>113</v>
      </c>
      <c r="W5697" s="42">
        <v>0</v>
      </c>
      <c r="X5697" s="42">
        <v>0</v>
      </c>
    </row>
    <row r="5698" spans="1:24">
      <c r="A5698" s="27" t="s">
        <v>10502</v>
      </c>
      <c r="B5698" s="28" t="s">
        <v>5102</v>
      </c>
      <c r="C5698" s="27" t="s">
        <v>10488</v>
      </c>
      <c r="D5698" s="27" t="s">
        <v>5104</v>
      </c>
      <c r="E5698" s="29">
        <v>41971</v>
      </c>
      <c r="F5698" s="27">
        <v>15</v>
      </c>
      <c r="G5698" s="18">
        <v>39731.699999999997</v>
      </c>
      <c r="H5698" s="27">
        <f t="shared" si="176"/>
        <v>0</v>
      </c>
      <c r="I5698" s="18">
        <v>12051.97</v>
      </c>
      <c r="J5698" s="27">
        <v>39731.699999999997</v>
      </c>
      <c r="K5698" s="18">
        <f t="shared" si="177"/>
        <v>0</v>
      </c>
      <c r="L5698" s="27">
        <v>14405.54</v>
      </c>
      <c r="M5698" s="36">
        <v>2353.5700000000002</v>
      </c>
      <c r="T5698" s="41">
        <v>0</v>
      </c>
      <c r="U5698" s="41">
        <v>0</v>
      </c>
      <c r="V5698" s="42" t="s">
        <v>113</v>
      </c>
      <c r="W5698" s="42">
        <v>0</v>
      </c>
      <c r="X5698" s="42">
        <v>0</v>
      </c>
    </row>
    <row r="5699" spans="1:24">
      <c r="A5699" s="27" t="s">
        <v>10503</v>
      </c>
      <c r="B5699" s="28" t="s">
        <v>5102</v>
      </c>
      <c r="C5699" s="27" t="s">
        <v>10490</v>
      </c>
      <c r="D5699" s="27" t="s">
        <v>5104</v>
      </c>
      <c r="E5699" s="29">
        <v>41971</v>
      </c>
      <c r="F5699" s="27">
        <v>15</v>
      </c>
      <c r="G5699" s="18">
        <v>257020.84</v>
      </c>
      <c r="H5699" s="27">
        <f t="shared" si="176"/>
        <v>0</v>
      </c>
      <c r="I5699" s="18">
        <v>77963.100000000006</v>
      </c>
      <c r="J5699" s="27">
        <v>257020.84</v>
      </c>
      <c r="K5699" s="18">
        <f t="shared" si="177"/>
        <v>0</v>
      </c>
      <c r="L5699" s="27">
        <v>93188.14</v>
      </c>
      <c r="M5699" s="36">
        <v>15225.04</v>
      </c>
      <c r="T5699" s="41">
        <v>0</v>
      </c>
      <c r="U5699" s="41">
        <v>0</v>
      </c>
      <c r="V5699" s="42" t="s">
        <v>113</v>
      </c>
      <c r="W5699" s="42">
        <v>0</v>
      </c>
      <c r="X5699" s="42">
        <v>0</v>
      </c>
    </row>
    <row r="5700" spans="1:24">
      <c r="A5700" s="27" t="s">
        <v>10504</v>
      </c>
      <c r="B5700" s="28" t="s">
        <v>5102</v>
      </c>
      <c r="C5700" s="27" t="s">
        <v>10505</v>
      </c>
      <c r="D5700" s="27" t="s">
        <v>230</v>
      </c>
      <c r="E5700" s="29">
        <v>41971</v>
      </c>
      <c r="F5700" s="27">
        <v>15</v>
      </c>
      <c r="G5700" s="18">
        <v>26675.01</v>
      </c>
      <c r="H5700" s="27">
        <f t="shared" si="176"/>
        <v>0</v>
      </c>
      <c r="I5700" s="18">
        <v>8091.43</v>
      </c>
      <c r="J5700" s="27">
        <v>26675.01</v>
      </c>
      <c r="K5700" s="18">
        <f t="shared" si="177"/>
        <v>0</v>
      </c>
      <c r="L5700" s="27">
        <v>9671.57</v>
      </c>
      <c r="M5700" s="36">
        <v>1580.14</v>
      </c>
      <c r="T5700" s="41">
        <v>0</v>
      </c>
      <c r="U5700" s="41">
        <v>0</v>
      </c>
      <c r="V5700" s="42" t="s">
        <v>113</v>
      </c>
      <c r="W5700" s="42">
        <v>0</v>
      </c>
      <c r="X5700" s="42">
        <v>0</v>
      </c>
    </row>
    <row r="5701" spans="1:24">
      <c r="A5701" s="27" t="s">
        <v>10506</v>
      </c>
      <c r="B5701" s="28" t="s">
        <v>5102</v>
      </c>
      <c r="C5701" s="27" t="s">
        <v>10507</v>
      </c>
      <c r="D5701" s="27" t="s">
        <v>5104</v>
      </c>
      <c r="E5701" s="29">
        <v>41971</v>
      </c>
      <c r="F5701" s="27">
        <v>15</v>
      </c>
      <c r="G5701" s="18">
        <v>29328.55</v>
      </c>
      <c r="H5701" s="27">
        <f t="shared" si="176"/>
        <v>0</v>
      </c>
      <c r="I5701" s="18">
        <v>8896.34</v>
      </c>
      <c r="J5701" s="27">
        <v>29328.55</v>
      </c>
      <c r="K5701" s="18">
        <f t="shared" si="177"/>
        <v>0</v>
      </c>
      <c r="L5701" s="27">
        <v>10633.66</v>
      </c>
      <c r="M5701" s="36">
        <v>1737.32</v>
      </c>
      <c r="T5701" s="41">
        <v>0</v>
      </c>
      <c r="U5701" s="41">
        <v>0</v>
      </c>
      <c r="V5701" s="42" t="s">
        <v>113</v>
      </c>
      <c r="W5701" s="42">
        <v>0</v>
      </c>
      <c r="X5701" s="42">
        <v>0</v>
      </c>
    </row>
    <row r="5702" spans="1:24">
      <c r="A5702" s="27" t="s">
        <v>10508</v>
      </c>
      <c r="B5702" s="28" t="s">
        <v>5102</v>
      </c>
      <c r="C5702" s="27" t="s">
        <v>10507</v>
      </c>
      <c r="D5702" s="27" t="s">
        <v>5104</v>
      </c>
      <c r="E5702" s="29">
        <v>41971</v>
      </c>
      <c r="F5702" s="27">
        <v>15</v>
      </c>
      <c r="G5702" s="18">
        <v>20739.47</v>
      </c>
      <c r="H5702" s="27">
        <f t="shared" ref="H5702:H5765" si="178">IFERROR(IF(ROUND((G5702-I5702)/G5702,2)&lt;=0.05,G5702,0),0)</f>
        <v>0</v>
      </c>
      <c r="I5702" s="18">
        <v>6290.99</v>
      </c>
      <c r="J5702" s="27">
        <v>20739.47</v>
      </c>
      <c r="K5702" s="18">
        <f t="shared" ref="K5702:K5765" si="179">IFERROR(IF(ROUND((J5702-L5702)/J5702,2)&lt;=0.05,J5702,0),0)</f>
        <v>0</v>
      </c>
      <c r="L5702" s="27">
        <v>7519.53</v>
      </c>
      <c r="M5702" s="36">
        <v>1228.54</v>
      </c>
      <c r="T5702" s="41">
        <v>0</v>
      </c>
      <c r="U5702" s="41">
        <v>0</v>
      </c>
      <c r="V5702" s="42" t="s">
        <v>113</v>
      </c>
      <c r="W5702" s="42">
        <v>0</v>
      </c>
      <c r="X5702" s="42">
        <v>0</v>
      </c>
    </row>
    <row r="5703" spans="1:24">
      <c r="A5703" s="27" t="s">
        <v>10509</v>
      </c>
      <c r="B5703" s="28" t="s">
        <v>5102</v>
      </c>
      <c r="C5703" s="27" t="s">
        <v>10510</v>
      </c>
      <c r="D5703" s="27" t="s">
        <v>5104</v>
      </c>
      <c r="E5703" s="29">
        <v>41971</v>
      </c>
      <c r="F5703" s="27">
        <v>15</v>
      </c>
      <c r="G5703" s="18">
        <v>89242.6</v>
      </c>
      <c r="H5703" s="27">
        <f t="shared" si="178"/>
        <v>0</v>
      </c>
      <c r="I5703" s="18">
        <v>27070.3</v>
      </c>
      <c r="J5703" s="27">
        <v>89242.6</v>
      </c>
      <c r="K5703" s="18">
        <f t="shared" si="179"/>
        <v>0</v>
      </c>
      <c r="L5703" s="27">
        <v>32356.73</v>
      </c>
      <c r="M5703" s="36">
        <v>5286.43</v>
      </c>
      <c r="T5703" s="41">
        <v>0</v>
      </c>
      <c r="U5703" s="41">
        <v>0</v>
      </c>
      <c r="V5703" s="42" t="s">
        <v>113</v>
      </c>
      <c r="W5703" s="42">
        <v>0</v>
      </c>
      <c r="X5703" s="42">
        <v>0</v>
      </c>
    </row>
    <row r="5704" spans="1:24">
      <c r="A5704" s="27" t="s">
        <v>10511</v>
      </c>
      <c r="B5704" s="28" t="s">
        <v>5102</v>
      </c>
      <c r="C5704" s="27" t="s">
        <v>10512</v>
      </c>
      <c r="D5704" s="27" t="s">
        <v>5104</v>
      </c>
      <c r="E5704" s="29">
        <v>41969</v>
      </c>
      <c r="F5704" s="27">
        <v>15</v>
      </c>
      <c r="G5704" s="18">
        <v>63187.519999999997</v>
      </c>
      <c r="H5704" s="27">
        <f t="shared" si="178"/>
        <v>0</v>
      </c>
      <c r="I5704" s="18">
        <v>19166.91</v>
      </c>
      <c r="J5704" s="27">
        <v>63187.519999999997</v>
      </c>
      <c r="K5704" s="18">
        <f t="shared" si="179"/>
        <v>0</v>
      </c>
      <c r="L5704" s="27">
        <v>22909.919999999998</v>
      </c>
      <c r="M5704" s="36">
        <v>3743.01</v>
      </c>
      <c r="T5704" s="41">
        <v>0</v>
      </c>
      <c r="U5704" s="41">
        <v>0</v>
      </c>
      <c r="V5704" s="42" t="s">
        <v>113</v>
      </c>
      <c r="W5704" s="42">
        <v>0</v>
      </c>
      <c r="X5704" s="42">
        <v>0</v>
      </c>
    </row>
    <row r="5705" spans="1:24">
      <c r="A5705" s="27" t="s">
        <v>10513</v>
      </c>
      <c r="B5705" s="28" t="s">
        <v>5102</v>
      </c>
      <c r="C5705" s="27" t="s">
        <v>10512</v>
      </c>
      <c r="D5705" s="27" t="s">
        <v>5104</v>
      </c>
      <c r="E5705" s="29">
        <v>41969</v>
      </c>
      <c r="F5705" s="27">
        <v>12</v>
      </c>
      <c r="G5705" s="18">
        <v>1331.95</v>
      </c>
      <c r="H5705" s="27">
        <f t="shared" si="178"/>
        <v>1331.95</v>
      </c>
      <c r="I5705" s="18">
        <v>1331.95</v>
      </c>
      <c r="J5705" s="27">
        <v>1331.95</v>
      </c>
      <c r="K5705" s="18">
        <f t="shared" si="179"/>
        <v>1331.95</v>
      </c>
      <c r="L5705" s="27">
        <v>1331.95</v>
      </c>
      <c r="M5705" s="36">
        <v>0</v>
      </c>
      <c r="T5705" s="41">
        <v>0</v>
      </c>
      <c r="U5705" s="41">
        <v>0</v>
      </c>
      <c r="V5705" s="42" t="s">
        <v>113</v>
      </c>
      <c r="W5705" s="42">
        <v>1331.95</v>
      </c>
      <c r="X5705" s="42">
        <v>1331.95</v>
      </c>
    </row>
    <row r="5706" spans="1:24">
      <c r="A5706" s="27" t="s">
        <v>10514</v>
      </c>
      <c r="B5706" s="28" t="s">
        <v>5102</v>
      </c>
      <c r="C5706" s="27" t="s">
        <v>10515</v>
      </c>
      <c r="D5706" s="27" t="s">
        <v>5104</v>
      </c>
      <c r="E5706" s="29">
        <v>41969</v>
      </c>
      <c r="F5706" s="27">
        <v>15</v>
      </c>
      <c r="G5706" s="18">
        <v>170648.92</v>
      </c>
      <c r="H5706" s="27">
        <f t="shared" si="178"/>
        <v>0</v>
      </c>
      <c r="I5706" s="18">
        <v>51763.59</v>
      </c>
      <c r="J5706" s="27">
        <v>170648.92</v>
      </c>
      <c r="K5706" s="18">
        <f t="shared" si="179"/>
        <v>0</v>
      </c>
      <c r="L5706" s="27">
        <v>61872.25</v>
      </c>
      <c r="M5706" s="36">
        <v>10108.66</v>
      </c>
      <c r="T5706" s="41">
        <v>0</v>
      </c>
      <c r="U5706" s="41">
        <v>0</v>
      </c>
      <c r="V5706" s="42" t="s">
        <v>113</v>
      </c>
      <c r="W5706" s="42">
        <v>0</v>
      </c>
      <c r="X5706" s="42">
        <v>0</v>
      </c>
    </row>
    <row r="5707" spans="1:24">
      <c r="A5707" s="27" t="s">
        <v>10516</v>
      </c>
      <c r="B5707" s="28" t="s">
        <v>5102</v>
      </c>
      <c r="C5707" s="27" t="s">
        <v>10517</v>
      </c>
      <c r="D5707" s="27" t="s">
        <v>5104</v>
      </c>
      <c r="E5707" s="29">
        <v>41969</v>
      </c>
      <c r="F5707" s="27">
        <v>15</v>
      </c>
      <c r="G5707" s="18">
        <v>32872.43</v>
      </c>
      <c r="H5707" s="27">
        <f t="shared" si="178"/>
        <v>0</v>
      </c>
      <c r="I5707" s="18">
        <v>9971.32</v>
      </c>
      <c r="J5707" s="27">
        <v>32872.43</v>
      </c>
      <c r="K5707" s="18">
        <f t="shared" si="179"/>
        <v>0</v>
      </c>
      <c r="L5707" s="27">
        <v>11918.57</v>
      </c>
      <c r="M5707" s="36">
        <v>1947.25</v>
      </c>
      <c r="T5707" s="41">
        <v>0</v>
      </c>
      <c r="U5707" s="41">
        <v>0</v>
      </c>
      <c r="V5707" s="42" t="s">
        <v>113</v>
      </c>
      <c r="W5707" s="42">
        <v>0</v>
      </c>
      <c r="X5707" s="42">
        <v>0</v>
      </c>
    </row>
    <row r="5708" spans="1:24">
      <c r="A5708" s="27" t="s">
        <v>10518</v>
      </c>
      <c r="B5708" s="28" t="s">
        <v>5102</v>
      </c>
      <c r="C5708" s="27" t="s">
        <v>10519</v>
      </c>
      <c r="D5708" s="27" t="s">
        <v>5104</v>
      </c>
      <c r="E5708" s="29">
        <v>41969</v>
      </c>
      <c r="F5708" s="27">
        <v>15</v>
      </c>
      <c r="G5708" s="18">
        <v>9110.51</v>
      </c>
      <c r="H5708" s="27">
        <f t="shared" si="178"/>
        <v>0</v>
      </c>
      <c r="I5708" s="18">
        <v>2763.53</v>
      </c>
      <c r="J5708" s="27">
        <v>9110.51</v>
      </c>
      <c r="K5708" s="18">
        <f t="shared" si="179"/>
        <v>0</v>
      </c>
      <c r="L5708" s="27">
        <v>3303.2</v>
      </c>
      <c r="M5708" s="36">
        <v>539.66999999999996</v>
      </c>
      <c r="T5708" s="41">
        <v>0</v>
      </c>
      <c r="U5708" s="41">
        <v>0</v>
      </c>
      <c r="V5708" s="42" t="s">
        <v>113</v>
      </c>
      <c r="W5708" s="42">
        <v>0</v>
      </c>
      <c r="X5708" s="42">
        <v>0</v>
      </c>
    </row>
    <row r="5709" spans="1:24">
      <c r="A5709" s="27" t="s">
        <v>10520</v>
      </c>
      <c r="B5709" s="28" t="s">
        <v>5102</v>
      </c>
      <c r="C5709" s="27" t="s">
        <v>10519</v>
      </c>
      <c r="D5709" s="27" t="s">
        <v>5104</v>
      </c>
      <c r="E5709" s="29">
        <v>41969</v>
      </c>
      <c r="F5709" s="27">
        <v>15</v>
      </c>
      <c r="G5709" s="18">
        <v>77945.48</v>
      </c>
      <c r="H5709" s="27">
        <f t="shared" si="178"/>
        <v>0</v>
      </c>
      <c r="I5709" s="18">
        <v>23643.5</v>
      </c>
      <c r="J5709" s="27">
        <v>77945.48</v>
      </c>
      <c r="K5709" s="18">
        <f t="shared" si="179"/>
        <v>0</v>
      </c>
      <c r="L5709" s="27">
        <v>28260.73</v>
      </c>
      <c r="M5709" s="36">
        <v>4617.2299999999996</v>
      </c>
      <c r="T5709" s="41">
        <v>0</v>
      </c>
      <c r="U5709" s="41">
        <v>0</v>
      </c>
      <c r="V5709" s="42" t="s">
        <v>113</v>
      </c>
      <c r="W5709" s="42">
        <v>0</v>
      </c>
      <c r="X5709" s="42">
        <v>0</v>
      </c>
    </row>
    <row r="5710" spans="1:24">
      <c r="A5710" s="27" t="s">
        <v>10521</v>
      </c>
      <c r="B5710" s="28" t="s">
        <v>5102</v>
      </c>
      <c r="C5710" s="27" t="s">
        <v>10522</v>
      </c>
      <c r="D5710" s="27" t="s">
        <v>230</v>
      </c>
      <c r="E5710" s="29">
        <v>41969</v>
      </c>
      <c r="F5710" s="27">
        <v>15</v>
      </c>
      <c r="G5710" s="18">
        <v>10762.12</v>
      </c>
      <c r="H5710" s="27">
        <f t="shared" si="178"/>
        <v>0</v>
      </c>
      <c r="I5710" s="18">
        <v>3264.51</v>
      </c>
      <c r="J5710" s="27">
        <v>10762.12</v>
      </c>
      <c r="K5710" s="18">
        <f t="shared" si="179"/>
        <v>0</v>
      </c>
      <c r="L5710" s="27">
        <v>3902.02</v>
      </c>
      <c r="M5710" s="36">
        <v>637.51</v>
      </c>
      <c r="T5710" s="41">
        <v>0</v>
      </c>
      <c r="U5710" s="41">
        <v>0</v>
      </c>
      <c r="V5710" s="42" t="s">
        <v>113</v>
      </c>
      <c r="W5710" s="42">
        <v>0</v>
      </c>
      <c r="X5710" s="42">
        <v>0</v>
      </c>
    </row>
    <row r="5711" spans="1:24">
      <c r="A5711" s="27" t="s">
        <v>10523</v>
      </c>
      <c r="B5711" s="28" t="s">
        <v>5102</v>
      </c>
      <c r="C5711" s="27" t="s">
        <v>10524</v>
      </c>
      <c r="D5711" s="27" t="s">
        <v>5104</v>
      </c>
      <c r="E5711" s="29">
        <v>41724</v>
      </c>
      <c r="F5711" s="27">
        <v>15</v>
      </c>
      <c r="G5711" s="18">
        <v>6225.51</v>
      </c>
      <c r="H5711" s="27">
        <f t="shared" si="178"/>
        <v>0</v>
      </c>
      <c r="I5711" s="18">
        <v>2209.62</v>
      </c>
      <c r="J5711" s="27">
        <v>6225.51</v>
      </c>
      <c r="K5711" s="18">
        <f t="shared" si="179"/>
        <v>0</v>
      </c>
      <c r="L5711" s="27">
        <v>2571.0500000000002</v>
      </c>
      <c r="M5711" s="36">
        <v>361.43</v>
      </c>
      <c r="T5711" s="41">
        <v>0</v>
      </c>
      <c r="U5711" s="41">
        <v>0</v>
      </c>
      <c r="V5711" s="42" t="s">
        <v>113</v>
      </c>
      <c r="W5711" s="42">
        <v>0</v>
      </c>
      <c r="X5711" s="42">
        <v>0</v>
      </c>
    </row>
    <row r="5712" spans="1:24">
      <c r="A5712" s="27" t="s">
        <v>10525</v>
      </c>
      <c r="B5712" s="28" t="s">
        <v>5102</v>
      </c>
      <c r="C5712" s="27" t="s">
        <v>10524</v>
      </c>
      <c r="D5712" s="27" t="s">
        <v>5104</v>
      </c>
      <c r="E5712" s="29">
        <v>41724</v>
      </c>
      <c r="F5712" s="27">
        <v>15</v>
      </c>
      <c r="G5712" s="18">
        <v>9148.39</v>
      </c>
      <c r="H5712" s="27">
        <f t="shared" si="178"/>
        <v>0</v>
      </c>
      <c r="I5712" s="18">
        <v>3247.05</v>
      </c>
      <c r="J5712" s="27">
        <v>9148.39</v>
      </c>
      <c r="K5712" s="18">
        <f t="shared" si="179"/>
        <v>0</v>
      </c>
      <c r="L5712" s="27">
        <v>3778.16</v>
      </c>
      <c r="M5712" s="36">
        <v>531.11</v>
      </c>
      <c r="T5712" s="41">
        <v>0</v>
      </c>
      <c r="U5712" s="41">
        <v>0</v>
      </c>
      <c r="V5712" s="42" t="s">
        <v>113</v>
      </c>
      <c r="W5712" s="42">
        <v>0</v>
      </c>
      <c r="X5712" s="42">
        <v>0</v>
      </c>
    </row>
    <row r="5713" spans="1:24">
      <c r="A5713" s="27" t="s">
        <v>10526</v>
      </c>
      <c r="B5713" s="28" t="s">
        <v>5102</v>
      </c>
      <c r="C5713" s="27" t="s">
        <v>10527</v>
      </c>
      <c r="D5713" s="27" t="s">
        <v>5104</v>
      </c>
      <c r="E5713" s="29">
        <v>41724</v>
      </c>
      <c r="F5713" s="27">
        <v>15</v>
      </c>
      <c r="G5713" s="18">
        <v>23383.439999999999</v>
      </c>
      <c r="H5713" s="27">
        <f t="shared" si="178"/>
        <v>0</v>
      </c>
      <c r="I5713" s="18">
        <v>8299.5</v>
      </c>
      <c r="J5713" s="27">
        <v>23383.439999999999</v>
      </c>
      <c r="K5713" s="18">
        <f t="shared" si="179"/>
        <v>0</v>
      </c>
      <c r="L5713" s="27">
        <v>9657.0400000000009</v>
      </c>
      <c r="M5713" s="36">
        <v>1357.54</v>
      </c>
      <c r="T5713" s="41">
        <v>0</v>
      </c>
      <c r="U5713" s="41">
        <v>0</v>
      </c>
      <c r="V5713" s="42" t="s">
        <v>113</v>
      </c>
      <c r="W5713" s="42">
        <v>0</v>
      </c>
      <c r="X5713" s="42">
        <v>0</v>
      </c>
    </row>
    <row r="5714" spans="1:24">
      <c r="A5714" s="27" t="s">
        <v>10528</v>
      </c>
      <c r="B5714" s="28" t="s">
        <v>5102</v>
      </c>
      <c r="C5714" s="27" t="s">
        <v>10529</v>
      </c>
      <c r="D5714" s="27" t="s">
        <v>5104</v>
      </c>
      <c r="E5714" s="29">
        <v>41724</v>
      </c>
      <c r="F5714" s="27">
        <v>15</v>
      </c>
      <c r="G5714" s="18">
        <v>12754.6</v>
      </c>
      <c r="H5714" s="27">
        <f t="shared" si="178"/>
        <v>0</v>
      </c>
      <c r="I5714" s="18">
        <v>4527</v>
      </c>
      <c r="J5714" s="27">
        <v>12754.6</v>
      </c>
      <c r="K5714" s="18">
        <f t="shared" si="179"/>
        <v>0</v>
      </c>
      <c r="L5714" s="27">
        <v>5267.48</v>
      </c>
      <c r="M5714" s="36">
        <v>740.48</v>
      </c>
      <c r="T5714" s="41">
        <v>0</v>
      </c>
      <c r="U5714" s="41">
        <v>0</v>
      </c>
      <c r="V5714" s="42" t="s">
        <v>113</v>
      </c>
      <c r="W5714" s="42">
        <v>0</v>
      </c>
      <c r="X5714" s="42">
        <v>0</v>
      </c>
    </row>
    <row r="5715" spans="1:24">
      <c r="A5715" s="27" t="s">
        <v>10530</v>
      </c>
      <c r="B5715" s="28" t="s">
        <v>5102</v>
      </c>
      <c r="C5715" s="27" t="s">
        <v>10529</v>
      </c>
      <c r="D5715" s="27" t="s">
        <v>5104</v>
      </c>
      <c r="E5715" s="29">
        <v>41724</v>
      </c>
      <c r="F5715" s="27">
        <v>15</v>
      </c>
      <c r="G5715" s="18">
        <v>147778.76</v>
      </c>
      <c r="H5715" s="27">
        <f t="shared" si="178"/>
        <v>0</v>
      </c>
      <c r="I5715" s="18">
        <v>52451.19</v>
      </c>
      <c r="J5715" s="27">
        <v>147778.76</v>
      </c>
      <c r="K5715" s="18">
        <f t="shared" si="179"/>
        <v>0</v>
      </c>
      <c r="L5715" s="27">
        <v>61030.57</v>
      </c>
      <c r="M5715" s="36">
        <v>8579.3799999999992</v>
      </c>
      <c r="T5715" s="41">
        <v>0</v>
      </c>
      <c r="U5715" s="41">
        <v>0</v>
      </c>
      <c r="V5715" s="42" t="s">
        <v>113</v>
      </c>
      <c r="W5715" s="42">
        <v>0</v>
      </c>
      <c r="X5715" s="42">
        <v>0</v>
      </c>
    </row>
    <row r="5716" spans="1:24">
      <c r="A5716" s="27" t="s">
        <v>10531</v>
      </c>
      <c r="B5716" s="28" t="s">
        <v>5102</v>
      </c>
      <c r="C5716" s="27" t="s">
        <v>10532</v>
      </c>
      <c r="D5716" s="27" t="s">
        <v>5104</v>
      </c>
      <c r="E5716" s="29">
        <v>41724</v>
      </c>
      <c r="F5716" s="27">
        <v>15</v>
      </c>
      <c r="G5716" s="18">
        <v>45779.91</v>
      </c>
      <c r="H5716" s="27">
        <f t="shared" si="178"/>
        <v>0</v>
      </c>
      <c r="I5716" s="18">
        <v>16248.68</v>
      </c>
      <c r="J5716" s="27">
        <v>45779.91</v>
      </c>
      <c r="K5716" s="18">
        <f t="shared" si="179"/>
        <v>0</v>
      </c>
      <c r="L5716" s="27">
        <v>18906.46</v>
      </c>
      <c r="M5716" s="36">
        <v>2657.78</v>
      </c>
      <c r="T5716" s="41">
        <v>0</v>
      </c>
      <c r="U5716" s="41">
        <v>0</v>
      </c>
      <c r="V5716" s="42" t="s">
        <v>113</v>
      </c>
      <c r="W5716" s="42">
        <v>0</v>
      </c>
      <c r="X5716" s="42">
        <v>0</v>
      </c>
    </row>
    <row r="5717" spans="1:24">
      <c r="A5717" s="27" t="s">
        <v>10533</v>
      </c>
      <c r="B5717" s="28" t="s">
        <v>5102</v>
      </c>
      <c r="C5717" s="27" t="s">
        <v>10534</v>
      </c>
      <c r="D5717" s="27" t="s">
        <v>5104</v>
      </c>
      <c r="E5717" s="29">
        <v>41724</v>
      </c>
      <c r="F5717" s="27">
        <v>15</v>
      </c>
      <c r="G5717" s="18">
        <v>55383.82</v>
      </c>
      <c r="H5717" s="27">
        <f t="shared" si="178"/>
        <v>0</v>
      </c>
      <c r="I5717" s="18">
        <v>19657.41</v>
      </c>
      <c r="J5717" s="27">
        <v>55383.82</v>
      </c>
      <c r="K5717" s="18">
        <f t="shared" si="179"/>
        <v>0</v>
      </c>
      <c r="L5717" s="27">
        <v>22872.75</v>
      </c>
      <c r="M5717" s="36">
        <v>3215.34</v>
      </c>
      <c r="T5717" s="41">
        <v>0</v>
      </c>
      <c r="U5717" s="41">
        <v>0</v>
      </c>
      <c r="V5717" s="42" t="s">
        <v>113</v>
      </c>
      <c r="W5717" s="42">
        <v>0</v>
      </c>
      <c r="X5717" s="42">
        <v>0</v>
      </c>
    </row>
    <row r="5718" spans="1:24">
      <c r="A5718" s="27" t="s">
        <v>10535</v>
      </c>
      <c r="B5718" s="28" t="s">
        <v>5102</v>
      </c>
      <c r="C5718" s="27" t="s">
        <v>10536</v>
      </c>
      <c r="D5718" s="27" t="s">
        <v>5104</v>
      </c>
      <c r="E5718" s="29">
        <v>41724</v>
      </c>
      <c r="F5718" s="27">
        <v>15</v>
      </c>
      <c r="G5718" s="18">
        <v>38719.33</v>
      </c>
      <c r="H5718" s="27">
        <f t="shared" si="178"/>
        <v>0</v>
      </c>
      <c r="I5718" s="18">
        <v>13742.67</v>
      </c>
      <c r="J5718" s="27">
        <v>38719.33</v>
      </c>
      <c r="K5718" s="18">
        <f t="shared" si="179"/>
        <v>0</v>
      </c>
      <c r="L5718" s="27">
        <v>15990.54</v>
      </c>
      <c r="M5718" s="36">
        <v>2247.87</v>
      </c>
      <c r="T5718" s="41">
        <v>0</v>
      </c>
      <c r="U5718" s="41">
        <v>0</v>
      </c>
      <c r="V5718" s="42" t="s">
        <v>113</v>
      </c>
      <c r="W5718" s="42">
        <v>0</v>
      </c>
      <c r="X5718" s="42">
        <v>0</v>
      </c>
    </row>
    <row r="5719" spans="1:24">
      <c r="A5719" s="27" t="s">
        <v>10537</v>
      </c>
      <c r="B5719" s="28" t="s">
        <v>5102</v>
      </c>
      <c r="C5719" s="27" t="s">
        <v>10538</v>
      </c>
      <c r="D5719" s="27" t="s">
        <v>5104</v>
      </c>
      <c r="E5719" s="29">
        <v>41724</v>
      </c>
      <c r="F5719" s="27">
        <v>15</v>
      </c>
      <c r="G5719" s="18">
        <v>86549.08</v>
      </c>
      <c r="H5719" s="27">
        <f t="shared" si="178"/>
        <v>0</v>
      </c>
      <c r="I5719" s="18">
        <v>30718.91</v>
      </c>
      <c r="J5719" s="27">
        <v>86549.08</v>
      </c>
      <c r="K5719" s="18">
        <f t="shared" si="179"/>
        <v>0</v>
      </c>
      <c r="L5719" s="27">
        <v>35743.57</v>
      </c>
      <c r="M5719" s="36">
        <v>5024.66</v>
      </c>
      <c r="T5719" s="41">
        <v>0</v>
      </c>
      <c r="U5719" s="41">
        <v>0</v>
      </c>
      <c r="V5719" s="42" t="s">
        <v>113</v>
      </c>
      <c r="W5719" s="42">
        <v>0</v>
      </c>
      <c r="X5719" s="42">
        <v>0</v>
      </c>
    </row>
    <row r="5720" spans="1:24">
      <c r="A5720" s="27" t="s">
        <v>10539</v>
      </c>
      <c r="B5720" s="28" t="s">
        <v>5102</v>
      </c>
      <c r="C5720" s="27" t="s">
        <v>10540</v>
      </c>
      <c r="D5720" s="27" t="s">
        <v>5104</v>
      </c>
      <c r="E5720" s="29">
        <v>41724</v>
      </c>
      <c r="F5720" s="27">
        <v>15</v>
      </c>
      <c r="G5720" s="18">
        <v>8009.59</v>
      </c>
      <c r="H5720" s="27">
        <f t="shared" si="178"/>
        <v>0</v>
      </c>
      <c r="I5720" s="18">
        <v>2842.84</v>
      </c>
      <c r="J5720" s="27">
        <v>8009.59</v>
      </c>
      <c r="K5720" s="18">
        <f t="shared" si="179"/>
        <v>0</v>
      </c>
      <c r="L5720" s="27">
        <v>3307.84</v>
      </c>
      <c r="M5720" s="36">
        <v>465</v>
      </c>
      <c r="T5720" s="41">
        <v>0</v>
      </c>
      <c r="U5720" s="41">
        <v>0</v>
      </c>
      <c r="V5720" s="42" t="s">
        <v>113</v>
      </c>
      <c r="W5720" s="42">
        <v>0</v>
      </c>
      <c r="X5720" s="42">
        <v>0</v>
      </c>
    </row>
    <row r="5721" spans="1:24">
      <c r="A5721" s="27" t="s">
        <v>10541</v>
      </c>
      <c r="B5721" s="28" t="s">
        <v>5102</v>
      </c>
      <c r="C5721" s="27" t="s">
        <v>10542</v>
      </c>
      <c r="D5721" s="27" t="s">
        <v>5104</v>
      </c>
      <c r="E5721" s="29">
        <v>41724</v>
      </c>
      <c r="F5721" s="27">
        <v>15</v>
      </c>
      <c r="G5721" s="18">
        <v>84575.16</v>
      </c>
      <c r="H5721" s="27">
        <f t="shared" si="178"/>
        <v>0</v>
      </c>
      <c r="I5721" s="18">
        <v>30018.3</v>
      </c>
      <c r="J5721" s="27">
        <v>84575.16</v>
      </c>
      <c r="K5721" s="18">
        <f t="shared" si="179"/>
        <v>0</v>
      </c>
      <c r="L5721" s="27">
        <v>34928.36</v>
      </c>
      <c r="M5721" s="36">
        <v>4910.0600000000004</v>
      </c>
      <c r="T5721" s="41">
        <v>0</v>
      </c>
      <c r="U5721" s="41">
        <v>0</v>
      </c>
      <c r="V5721" s="42" t="s">
        <v>113</v>
      </c>
      <c r="W5721" s="42">
        <v>0</v>
      </c>
      <c r="X5721" s="42">
        <v>0</v>
      </c>
    </row>
    <row r="5722" spans="1:24">
      <c r="A5722" s="27" t="s">
        <v>10543</v>
      </c>
      <c r="B5722" s="28" t="s">
        <v>5102</v>
      </c>
      <c r="C5722" s="27" t="s">
        <v>10544</v>
      </c>
      <c r="D5722" s="27" t="s">
        <v>5104</v>
      </c>
      <c r="E5722" s="29">
        <v>41724</v>
      </c>
      <c r="F5722" s="27">
        <v>15</v>
      </c>
      <c r="G5722" s="18">
        <v>35758.44</v>
      </c>
      <c r="H5722" s="27">
        <f t="shared" si="178"/>
        <v>0</v>
      </c>
      <c r="I5722" s="18">
        <v>12691.78</v>
      </c>
      <c r="J5722" s="27">
        <v>35758.44</v>
      </c>
      <c r="K5722" s="18">
        <f t="shared" si="179"/>
        <v>0</v>
      </c>
      <c r="L5722" s="27">
        <v>14767.75</v>
      </c>
      <c r="M5722" s="36">
        <v>2075.9699999999998</v>
      </c>
      <c r="T5722" s="41">
        <v>0</v>
      </c>
      <c r="U5722" s="41">
        <v>0</v>
      </c>
      <c r="V5722" s="42" t="s">
        <v>113</v>
      </c>
      <c r="W5722" s="42">
        <v>0</v>
      </c>
      <c r="X5722" s="42">
        <v>0</v>
      </c>
    </row>
    <row r="5723" spans="1:24">
      <c r="A5723" s="27" t="s">
        <v>10545</v>
      </c>
      <c r="B5723" s="28" t="s">
        <v>5102</v>
      </c>
      <c r="C5723" s="27" t="s">
        <v>10546</v>
      </c>
      <c r="D5723" s="27" t="s">
        <v>5104</v>
      </c>
      <c r="E5723" s="29">
        <v>41724</v>
      </c>
      <c r="F5723" s="27">
        <v>15</v>
      </c>
      <c r="G5723" s="18">
        <v>74553.679999999993</v>
      </c>
      <c r="H5723" s="27">
        <f t="shared" si="178"/>
        <v>0</v>
      </c>
      <c r="I5723" s="18">
        <v>26461.39</v>
      </c>
      <c r="J5723" s="27">
        <v>74553.679999999993</v>
      </c>
      <c r="K5723" s="18">
        <f t="shared" si="179"/>
        <v>0</v>
      </c>
      <c r="L5723" s="27">
        <v>30789.64</v>
      </c>
      <c r="M5723" s="36">
        <v>4328.25</v>
      </c>
      <c r="T5723" s="41">
        <v>0</v>
      </c>
      <c r="U5723" s="41">
        <v>0</v>
      </c>
      <c r="V5723" s="42" t="s">
        <v>113</v>
      </c>
      <c r="W5723" s="42">
        <v>0</v>
      </c>
      <c r="X5723" s="42">
        <v>0</v>
      </c>
    </row>
    <row r="5724" spans="1:24">
      <c r="A5724" s="27" t="s">
        <v>10547</v>
      </c>
      <c r="B5724" s="28" t="s">
        <v>5102</v>
      </c>
      <c r="C5724" s="27" t="s">
        <v>10548</v>
      </c>
      <c r="D5724" s="27" t="s">
        <v>230</v>
      </c>
      <c r="E5724" s="29">
        <v>41724</v>
      </c>
      <c r="F5724" s="27">
        <v>15</v>
      </c>
      <c r="G5724" s="18">
        <v>9907.59</v>
      </c>
      <c r="H5724" s="27">
        <f t="shared" si="178"/>
        <v>0</v>
      </c>
      <c r="I5724" s="18">
        <v>3516.5</v>
      </c>
      <c r="J5724" s="27">
        <v>9907.59</v>
      </c>
      <c r="K5724" s="18">
        <f t="shared" si="179"/>
        <v>0</v>
      </c>
      <c r="L5724" s="27">
        <v>4091.69</v>
      </c>
      <c r="M5724" s="36">
        <v>575.19000000000005</v>
      </c>
      <c r="T5724" s="41">
        <v>0</v>
      </c>
      <c r="U5724" s="41">
        <v>0</v>
      </c>
      <c r="V5724" s="42" t="s">
        <v>113</v>
      </c>
      <c r="W5724" s="42">
        <v>0</v>
      </c>
      <c r="X5724" s="42">
        <v>0</v>
      </c>
    </row>
    <row r="5725" spans="1:24">
      <c r="A5725" s="27" t="s">
        <v>10549</v>
      </c>
      <c r="B5725" s="28" t="s">
        <v>5102</v>
      </c>
      <c r="C5725" s="27" t="s">
        <v>10550</v>
      </c>
      <c r="D5725" s="27" t="s">
        <v>5104</v>
      </c>
      <c r="E5725" s="29">
        <v>41724</v>
      </c>
      <c r="F5725" s="27">
        <v>15</v>
      </c>
      <c r="G5725" s="18">
        <v>24674.080000000002</v>
      </c>
      <c r="H5725" s="27">
        <f t="shared" si="178"/>
        <v>0</v>
      </c>
      <c r="I5725" s="18">
        <v>8757.59</v>
      </c>
      <c r="J5725" s="27">
        <v>24674.080000000002</v>
      </c>
      <c r="K5725" s="18">
        <f t="shared" si="179"/>
        <v>0</v>
      </c>
      <c r="L5725" s="27">
        <v>10190.06</v>
      </c>
      <c r="M5725" s="36">
        <v>1432.47</v>
      </c>
      <c r="T5725" s="41">
        <v>0</v>
      </c>
      <c r="U5725" s="41">
        <v>0</v>
      </c>
      <c r="V5725" s="42" t="s">
        <v>113</v>
      </c>
      <c r="W5725" s="42">
        <v>0</v>
      </c>
      <c r="X5725" s="42">
        <v>0</v>
      </c>
    </row>
    <row r="5726" spans="1:24">
      <c r="A5726" s="27" t="s">
        <v>10551</v>
      </c>
      <c r="B5726" s="28" t="s">
        <v>5102</v>
      </c>
      <c r="C5726" s="27" t="s">
        <v>10552</v>
      </c>
      <c r="D5726" s="27" t="s">
        <v>5104</v>
      </c>
      <c r="E5726" s="29">
        <v>41724</v>
      </c>
      <c r="F5726" s="27">
        <v>15</v>
      </c>
      <c r="G5726" s="18">
        <v>48399.14</v>
      </c>
      <c r="H5726" s="27">
        <f t="shared" si="178"/>
        <v>0</v>
      </c>
      <c r="I5726" s="18">
        <v>17178.34</v>
      </c>
      <c r="J5726" s="27">
        <v>48399.14</v>
      </c>
      <c r="K5726" s="18">
        <f t="shared" si="179"/>
        <v>0</v>
      </c>
      <c r="L5726" s="27">
        <v>19988.18</v>
      </c>
      <c r="M5726" s="36">
        <v>2809.84</v>
      </c>
      <c r="T5726" s="41">
        <v>0</v>
      </c>
      <c r="U5726" s="41">
        <v>0</v>
      </c>
      <c r="V5726" s="42" t="s">
        <v>113</v>
      </c>
      <c r="W5726" s="42">
        <v>0</v>
      </c>
      <c r="X5726" s="42">
        <v>0</v>
      </c>
    </row>
    <row r="5727" spans="1:24">
      <c r="A5727" s="27" t="s">
        <v>10553</v>
      </c>
      <c r="B5727" s="28" t="s">
        <v>5102</v>
      </c>
      <c r="C5727" s="27" t="s">
        <v>10554</v>
      </c>
      <c r="D5727" s="27" t="s">
        <v>230</v>
      </c>
      <c r="E5727" s="29">
        <v>41724</v>
      </c>
      <c r="F5727" s="27">
        <v>12</v>
      </c>
      <c r="G5727" s="18">
        <v>3489.17</v>
      </c>
      <c r="H5727" s="27">
        <f t="shared" si="178"/>
        <v>3489.17</v>
      </c>
      <c r="I5727" s="18">
        <v>3489.17</v>
      </c>
      <c r="J5727" s="27">
        <v>3489.17</v>
      </c>
      <c r="K5727" s="18">
        <f t="shared" si="179"/>
        <v>3489.17</v>
      </c>
      <c r="L5727" s="27">
        <v>3489.17</v>
      </c>
      <c r="M5727" s="36">
        <v>0</v>
      </c>
      <c r="T5727" s="41">
        <v>0</v>
      </c>
      <c r="U5727" s="41">
        <v>0</v>
      </c>
      <c r="V5727" s="42" t="s">
        <v>113</v>
      </c>
      <c r="W5727" s="42">
        <v>3489.17</v>
      </c>
      <c r="X5727" s="42">
        <v>3489.17</v>
      </c>
    </row>
    <row r="5728" spans="1:24">
      <c r="A5728" s="27" t="s">
        <v>10555</v>
      </c>
      <c r="B5728" s="28" t="s">
        <v>5102</v>
      </c>
      <c r="C5728" s="27" t="s">
        <v>10556</v>
      </c>
      <c r="D5728" s="27" t="s">
        <v>5104</v>
      </c>
      <c r="E5728" s="29">
        <v>41724</v>
      </c>
      <c r="F5728" s="27">
        <v>15</v>
      </c>
      <c r="G5728" s="18">
        <v>40035.980000000003</v>
      </c>
      <c r="H5728" s="27">
        <f t="shared" si="178"/>
        <v>0</v>
      </c>
      <c r="I5728" s="18">
        <v>14209.99</v>
      </c>
      <c r="J5728" s="27">
        <v>40035.980000000003</v>
      </c>
      <c r="K5728" s="18">
        <f t="shared" si="179"/>
        <v>0</v>
      </c>
      <c r="L5728" s="27">
        <v>16534.3</v>
      </c>
      <c r="M5728" s="36">
        <v>2324.31</v>
      </c>
      <c r="T5728" s="41">
        <v>0</v>
      </c>
      <c r="U5728" s="41">
        <v>0</v>
      </c>
      <c r="V5728" s="42" t="s">
        <v>113</v>
      </c>
      <c r="W5728" s="42">
        <v>0</v>
      </c>
      <c r="X5728" s="42">
        <v>0</v>
      </c>
    </row>
    <row r="5729" spans="1:24">
      <c r="A5729" s="27" t="s">
        <v>10557</v>
      </c>
      <c r="B5729" s="28" t="s">
        <v>5102</v>
      </c>
      <c r="C5729" s="27" t="s">
        <v>10558</v>
      </c>
      <c r="D5729" s="27" t="s">
        <v>5104</v>
      </c>
      <c r="E5729" s="29">
        <v>41724</v>
      </c>
      <c r="F5729" s="27">
        <v>15</v>
      </c>
      <c r="G5729" s="18">
        <v>28897.48</v>
      </c>
      <c r="H5729" s="27">
        <f t="shared" si="178"/>
        <v>0</v>
      </c>
      <c r="I5729" s="18">
        <v>10256.6</v>
      </c>
      <c r="J5729" s="27">
        <v>28897.48</v>
      </c>
      <c r="K5729" s="18">
        <f t="shared" si="179"/>
        <v>0</v>
      </c>
      <c r="L5729" s="27">
        <v>11934.26</v>
      </c>
      <c r="M5729" s="36">
        <v>1677.66</v>
      </c>
      <c r="T5729" s="41">
        <v>0</v>
      </c>
      <c r="U5729" s="41">
        <v>0</v>
      </c>
      <c r="V5729" s="42" t="s">
        <v>113</v>
      </c>
      <c r="W5729" s="42">
        <v>0</v>
      </c>
      <c r="X5729" s="42">
        <v>0</v>
      </c>
    </row>
    <row r="5730" spans="1:24">
      <c r="A5730" s="27" t="s">
        <v>10559</v>
      </c>
      <c r="B5730" s="28" t="s">
        <v>5102</v>
      </c>
      <c r="C5730" s="27" t="s">
        <v>10560</v>
      </c>
      <c r="D5730" s="27" t="s">
        <v>5104</v>
      </c>
      <c r="E5730" s="29">
        <v>41724</v>
      </c>
      <c r="F5730" s="27">
        <v>15</v>
      </c>
      <c r="G5730" s="18">
        <v>46835.39</v>
      </c>
      <c r="H5730" s="27">
        <f t="shared" si="178"/>
        <v>0</v>
      </c>
      <c r="I5730" s="18">
        <v>16623.310000000001</v>
      </c>
      <c r="J5730" s="27">
        <v>46835.39</v>
      </c>
      <c r="K5730" s="18">
        <f t="shared" si="179"/>
        <v>0</v>
      </c>
      <c r="L5730" s="27">
        <v>19342.36</v>
      </c>
      <c r="M5730" s="36">
        <v>2719.05</v>
      </c>
      <c r="T5730" s="41">
        <v>0</v>
      </c>
      <c r="U5730" s="41">
        <v>0</v>
      </c>
      <c r="V5730" s="42" t="s">
        <v>113</v>
      </c>
      <c r="W5730" s="42">
        <v>0</v>
      </c>
      <c r="X5730" s="42">
        <v>0</v>
      </c>
    </row>
    <row r="5731" spans="1:24">
      <c r="A5731" s="27" t="s">
        <v>10561</v>
      </c>
      <c r="B5731" s="28" t="s">
        <v>5102</v>
      </c>
      <c r="C5731" s="27" t="s">
        <v>10562</v>
      </c>
      <c r="D5731" s="27" t="s">
        <v>5104</v>
      </c>
      <c r="E5731" s="29">
        <v>41724</v>
      </c>
      <c r="F5731" s="27">
        <v>15</v>
      </c>
      <c r="G5731" s="18">
        <v>29523.74</v>
      </c>
      <c r="H5731" s="27">
        <f t="shared" si="178"/>
        <v>0</v>
      </c>
      <c r="I5731" s="18">
        <v>10478.89</v>
      </c>
      <c r="J5731" s="27">
        <v>29523.74</v>
      </c>
      <c r="K5731" s="18">
        <f t="shared" si="179"/>
        <v>0</v>
      </c>
      <c r="L5731" s="27">
        <v>12192.91</v>
      </c>
      <c r="M5731" s="36">
        <v>1714.02</v>
      </c>
      <c r="T5731" s="41">
        <v>0</v>
      </c>
      <c r="U5731" s="41">
        <v>0</v>
      </c>
      <c r="V5731" s="42" t="s">
        <v>113</v>
      </c>
      <c r="W5731" s="42">
        <v>0</v>
      </c>
      <c r="X5731" s="42">
        <v>0</v>
      </c>
    </row>
    <row r="5732" spans="1:24">
      <c r="A5732" s="27" t="s">
        <v>10563</v>
      </c>
      <c r="B5732" s="28" t="s">
        <v>5102</v>
      </c>
      <c r="C5732" s="27" t="s">
        <v>10564</v>
      </c>
      <c r="D5732" s="27" t="s">
        <v>230</v>
      </c>
      <c r="E5732" s="29">
        <v>41724</v>
      </c>
      <c r="F5732" s="27">
        <v>15</v>
      </c>
      <c r="G5732" s="18">
        <v>9170.25</v>
      </c>
      <c r="H5732" s="27">
        <f t="shared" si="178"/>
        <v>0</v>
      </c>
      <c r="I5732" s="18">
        <v>3254.8</v>
      </c>
      <c r="J5732" s="27">
        <v>9170.25</v>
      </c>
      <c r="K5732" s="18">
        <f t="shared" si="179"/>
        <v>0</v>
      </c>
      <c r="L5732" s="27">
        <v>3787.18</v>
      </c>
      <c r="M5732" s="36">
        <v>532.38</v>
      </c>
      <c r="T5732" s="41">
        <v>0</v>
      </c>
      <c r="U5732" s="41">
        <v>0</v>
      </c>
      <c r="V5732" s="42" t="s">
        <v>113</v>
      </c>
      <c r="W5732" s="42">
        <v>0</v>
      </c>
      <c r="X5732" s="42">
        <v>0</v>
      </c>
    </row>
    <row r="5733" spans="1:24">
      <c r="A5733" s="27" t="s">
        <v>10565</v>
      </c>
      <c r="B5733" s="28" t="s">
        <v>5102</v>
      </c>
      <c r="C5733" s="27" t="s">
        <v>10566</v>
      </c>
      <c r="D5733" s="27" t="s">
        <v>5104</v>
      </c>
      <c r="E5733" s="29">
        <v>41724</v>
      </c>
      <c r="F5733" s="27">
        <v>15</v>
      </c>
      <c r="G5733" s="18">
        <v>59047.48</v>
      </c>
      <c r="H5733" s="27">
        <f t="shared" si="178"/>
        <v>0</v>
      </c>
      <c r="I5733" s="18">
        <v>20957.75</v>
      </c>
      <c r="J5733" s="27">
        <v>59047.48</v>
      </c>
      <c r="K5733" s="18">
        <f t="shared" si="179"/>
        <v>0</v>
      </c>
      <c r="L5733" s="27">
        <v>24385.79</v>
      </c>
      <c r="M5733" s="36">
        <v>3428.04</v>
      </c>
      <c r="T5733" s="41">
        <v>0</v>
      </c>
      <c r="U5733" s="41">
        <v>0</v>
      </c>
      <c r="V5733" s="42" t="s">
        <v>113</v>
      </c>
      <c r="W5733" s="42">
        <v>0</v>
      </c>
      <c r="X5733" s="42">
        <v>0</v>
      </c>
    </row>
    <row r="5734" spans="1:24">
      <c r="A5734" s="27" t="s">
        <v>10567</v>
      </c>
      <c r="B5734" s="28" t="s">
        <v>5102</v>
      </c>
      <c r="C5734" s="27" t="s">
        <v>10568</v>
      </c>
      <c r="D5734" s="27" t="s">
        <v>5104</v>
      </c>
      <c r="E5734" s="29">
        <v>41724</v>
      </c>
      <c r="F5734" s="27">
        <v>15</v>
      </c>
      <c r="G5734" s="18">
        <v>66294.22</v>
      </c>
      <c r="H5734" s="27">
        <f t="shared" si="178"/>
        <v>0</v>
      </c>
      <c r="I5734" s="18">
        <v>23529.84</v>
      </c>
      <c r="J5734" s="27">
        <v>66294.22</v>
      </c>
      <c r="K5734" s="18">
        <f t="shared" si="179"/>
        <v>0</v>
      </c>
      <c r="L5734" s="27">
        <v>27378.59</v>
      </c>
      <c r="M5734" s="36">
        <v>3848.75</v>
      </c>
      <c r="T5734" s="41">
        <v>0</v>
      </c>
      <c r="U5734" s="41">
        <v>0</v>
      </c>
      <c r="V5734" s="42" t="s">
        <v>113</v>
      </c>
      <c r="W5734" s="42">
        <v>0</v>
      </c>
      <c r="X5734" s="42">
        <v>0</v>
      </c>
    </row>
    <row r="5735" spans="1:24">
      <c r="A5735" s="27" t="s">
        <v>10569</v>
      </c>
      <c r="B5735" s="28" t="s">
        <v>5102</v>
      </c>
      <c r="C5735" s="27" t="s">
        <v>10570</v>
      </c>
      <c r="D5735" s="27" t="s">
        <v>230</v>
      </c>
      <c r="E5735" s="29">
        <v>41724</v>
      </c>
      <c r="F5735" s="27">
        <v>15</v>
      </c>
      <c r="G5735" s="18">
        <v>5010.09</v>
      </c>
      <c r="H5735" s="27">
        <f t="shared" si="178"/>
        <v>0</v>
      </c>
      <c r="I5735" s="18">
        <v>1778.22</v>
      </c>
      <c r="J5735" s="27">
        <v>5010.09</v>
      </c>
      <c r="K5735" s="18">
        <f t="shared" si="179"/>
        <v>0</v>
      </c>
      <c r="L5735" s="27">
        <v>2069.09</v>
      </c>
      <c r="M5735" s="36">
        <v>290.87</v>
      </c>
      <c r="T5735" s="41">
        <v>0</v>
      </c>
      <c r="U5735" s="41">
        <v>0</v>
      </c>
      <c r="V5735" s="42" t="s">
        <v>113</v>
      </c>
      <c r="W5735" s="42">
        <v>0</v>
      </c>
      <c r="X5735" s="42">
        <v>0</v>
      </c>
    </row>
    <row r="5736" spans="1:24">
      <c r="A5736" s="27" t="s">
        <v>10571</v>
      </c>
      <c r="B5736" s="28" t="s">
        <v>5102</v>
      </c>
      <c r="C5736" s="27" t="s">
        <v>10572</v>
      </c>
      <c r="D5736" s="27" t="s">
        <v>5104</v>
      </c>
      <c r="E5736" s="29">
        <v>41724</v>
      </c>
      <c r="F5736" s="27">
        <v>15</v>
      </c>
      <c r="G5736" s="18">
        <v>27242.36</v>
      </c>
      <c r="H5736" s="27">
        <f t="shared" si="178"/>
        <v>0</v>
      </c>
      <c r="I5736" s="18">
        <v>9669.16</v>
      </c>
      <c r="J5736" s="27">
        <v>27242.36</v>
      </c>
      <c r="K5736" s="18">
        <f t="shared" si="179"/>
        <v>0</v>
      </c>
      <c r="L5736" s="27">
        <v>11250.73</v>
      </c>
      <c r="M5736" s="36">
        <v>1581.57</v>
      </c>
      <c r="T5736" s="41">
        <v>0</v>
      </c>
      <c r="U5736" s="41">
        <v>0</v>
      </c>
      <c r="V5736" s="42" t="s">
        <v>113</v>
      </c>
      <c r="W5736" s="42">
        <v>0</v>
      </c>
      <c r="X5736" s="42">
        <v>0</v>
      </c>
    </row>
    <row r="5737" spans="1:24">
      <c r="A5737" s="27" t="s">
        <v>10573</v>
      </c>
      <c r="B5737" s="28" t="s">
        <v>5102</v>
      </c>
      <c r="C5737" s="27" t="s">
        <v>10574</v>
      </c>
      <c r="D5737" s="27" t="s">
        <v>5104</v>
      </c>
      <c r="E5737" s="29">
        <v>41724</v>
      </c>
      <c r="F5737" s="27">
        <v>15</v>
      </c>
      <c r="G5737" s="18">
        <v>36681.01</v>
      </c>
      <c r="H5737" s="27">
        <f t="shared" si="178"/>
        <v>0</v>
      </c>
      <c r="I5737" s="18">
        <v>13019.21</v>
      </c>
      <c r="J5737" s="27">
        <v>36681.01</v>
      </c>
      <c r="K5737" s="18">
        <f t="shared" si="179"/>
        <v>0</v>
      </c>
      <c r="L5737" s="27">
        <v>15148.75</v>
      </c>
      <c r="M5737" s="36">
        <v>2129.54</v>
      </c>
      <c r="T5737" s="41">
        <v>0</v>
      </c>
      <c r="U5737" s="41">
        <v>0</v>
      </c>
      <c r="V5737" s="42" t="s">
        <v>113</v>
      </c>
      <c r="W5737" s="42">
        <v>0</v>
      </c>
      <c r="X5737" s="42">
        <v>0</v>
      </c>
    </row>
    <row r="5738" spans="1:24">
      <c r="A5738" s="27" t="s">
        <v>10575</v>
      </c>
      <c r="B5738" s="28" t="s">
        <v>5102</v>
      </c>
      <c r="C5738" s="27" t="s">
        <v>10576</v>
      </c>
      <c r="D5738" s="27" t="s">
        <v>230</v>
      </c>
      <c r="E5738" s="29">
        <v>41724</v>
      </c>
      <c r="F5738" s="27">
        <v>12</v>
      </c>
      <c r="G5738" s="18">
        <v>2281.38</v>
      </c>
      <c r="H5738" s="27">
        <f t="shared" si="178"/>
        <v>2281.38</v>
      </c>
      <c r="I5738" s="18">
        <v>2281.38</v>
      </c>
      <c r="J5738" s="27">
        <v>2281.38</v>
      </c>
      <c r="K5738" s="18">
        <f t="shared" si="179"/>
        <v>2281.38</v>
      </c>
      <c r="L5738" s="27">
        <v>2281.38</v>
      </c>
      <c r="M5738" s="36">
        <v>0</v>
      </c>
      <c r="T5738" s="41">
        <v>0</v>
      </c>
      <c r="U5738" s="41">
        <v>0</v>
      </c>
      <c r="V5738" s="42" t="s">
        <v>113</v>
      </c>
      <c r="W5738" s="42">
        <v>2281.38</v>
      </c>
      <c r="X5738" s="42">
        <v>2281.38</v>
      </c>
    </row>
    <row r="5739" spans="1:24">
      <c r="A5739" s="27" t="s">
        <v>10577</v>
      </c>
      <c r="B5739" s="28" t="s">
        <v>5102</v>
      </c>
      <c r="C5739" s="27" t="s">
        <v>10578</v>
      </c>
      <c r="D5739" s="27" t="s">
        <v>5104</v>
      </c>
      <c r="E5739" s="29">
        <v>41724</v>
      </c>
      <c r="F5739" s="27">
        <v>15</v>
      </c>
      <c r="G5739" s="18">
        <v>42317.36</v>
      </c>
      <c r="H5739" s="27">
        <f t="shared" si="178"/>
        <v>0</v>
      </c>
      <c r="I5739" s="18">
        <v>15019.72</v>
      </c>
      <c r="J5739" s="27">
        <v>42317.36</v>
      </c>
      <c r="K5739" s="18">
        <f t="shared" si="179"/>
        <v>0</v>
      </c>
      <c r="L5739" s="27">
        <v>17476.48</v>
      </c>
      <c r="M5739" s="36">
        <v>2456.7600000000002</v>
      </c>
      <c r="T5739" s="41">
        <v>0</v>
      </c>
      <c r="U5739" s="41">
        <v>0</v>
      </c>
      <c r="V5739" s="42" t="s">
        <v>113</v>
      </c>
      <c r="W5739" s="42">
        <v>0</v>
      </c>
      <c r="X5739" s="42">
        <v>0</v>
      </c>
    </row>
    <row r="5740" spans="1:24">
      <c r="A5740" s="27" t="s">
        <v>10579</v>
      </c>
      <c r="B5740" s="28" t="s">
        <v>5102</v>
      </c>
      <c r="C5740" s="27" t="s">
        <v>10580</v>
      </c>
      <c r="D5740" s="27" t="s">
        <v>5104</v>
      </c>
      <c r="E5740" s="29">
        <v>41724</v>
      </c>
      <c r="F5740" s="27">
        <v>15</v>
      </c>
      <c r="G5740" s="18">
        <v>14314.54</v>
      </c>
      <c r="H5740" s="27">
        <f t="shared" si="178"/>
        <v>0</v>
      </c>
      <c r="I5740" s="18">
        <v>5080.66</v>
      </c>
      <c r="J5740" s="27">
        <v>14314.54</v>
      </c>
      <c r="K5740" s="18">
        <f t="shared" si="179"/>
        <v>0</v>
      </c>
      <c r="L5740" s="27">
        <v>5911.7</v>
      </c>
      <c r="M5740" s="36">
        <v>831.04</v>
      </c>
      <c r="T5740" s="41">
        <v>0</v>
      </c>
      <c r="U5740" s="41">
        <v>0</v>
      </c>
      <c r="V5740" s="42" t="s">
        <v>113</v>
      </c>
      <c r="W5740" s="42">
        <v>0</v>
      </c>
      <c r="X5740" s="42">
        <v>0</v>
      </c>
    </row>
    <row r="5741" spans="1:24">
      <c r="A5741" s="27" t="s">
        <v>10581</v>
      </c>
      <c r="B5741" s="28" t="s">
        <v>5102</v>
      </c>
      <c r="C5741" s="27" t="s">
        <v>10582</v>
      </c>
      <c r="D5741" s="27" t="s">
        <v>5104</v>
      </c>
      <c r="E5741" s="29">
        <v>41724</v>
      </c>
      <c r="F5741" s="27">
        <v>15</v>
      </c>
      <c r="G5741" s="18">
        <v>31581.46</v>
      </c>
      <c r="H5741" s="27">
        <f t="shared" si="178"/>
        <v>0</v>
      </c>
      <c r="I5741" s="18">
        <v>11209.23</v>
      </c>
      <c r="J5741" s="27">
        <v>31581.46</v>
      </c>
      <c r="K5741" s="18">
        <f t="shared" si="179"/>
        <v>0</v>
      </c>
      <c r="L5741" s="27">
        <v>13042.71</v>
      </c>
      <c r="M5741" s="36">
        <v>1833.48</v>
      </c>
      <c r="T5741" s="41">
        <v>0</v>
      </c>
      <c r="U5741" s="41">
        <v>0</v>
      </c>
      <c r="V5741" s="42" t="s">
        <v>113</v>
      </c>
      <c r="W5741" s="42">
        <v>0</v>
      </c>
      <c r="X5741" s="42">
        <v>0</v>
      </c>
    </row>
    <row r="5742" spans="1:24">
      <c r="A5742" s="27" t="s">
        <v>10583</v>
      </c>
      <c r="B5742" s="28" t="s">
        <v>5102</v>
      </c>
      <c r="C5742" s="27" t="s">
        <v>10584</v>
      </c>
      <c r="D5742" s="27" t="s">
        <v>5104</v>
      </c>
      <c r="E5742" s="29">
        <v>41724</v>
      </c>
      <c r="F5742" s="27">
        <v>15</v>
      </c>
      <c r="G5742" s="18">
        <v>13240.95</v>
      </c>
      <c r="H5742" s="27">
        <f t="shared" si="178"/>
        <v>0</v>
      </c>
      <c r="I5742" s="18">
        <v>4699.6099999999997</v>
      </c>
      <c r="J5742" s="27">
        <v>13240.95</v>
      </c>
      <c r="K5742" s="18">
        <f t="shared" si="179"/>
        <v>0</v>
      </c>
      <c r="L5742" s="27">
        <v>5468.32</v>
      </c>
      <c r="M5742" s="36">
        <v>768.71</v>
      </c>
      <c r="T5742" s="41">
        <v>0</v>
      </c>
      <c r="U5742" s="41">
        <v>0</v>
      </c>
      <c r="V5742" s="42" t="s">
        <v>113</v>
      </c>
      <c r="W5742" s="42">
        <v>0</v>
      </c>
      <c r="X5742" s="42">
        <v>0</v>
      </c>
    </row>
    <row r="5743" spans="1:24">
      <c r="A5743" s="27" t="s">
        <v>10585</v>
      </c>
      <c r="B5743" s="28" t="s">
        <v>5102</v>
      </c>
      <c r="C5743" s="27" t="s">
        <v>10586</v>
      </c>
      <c r="D5743" s="27" t="s">
        <v>5104</v>
      </c>
      <c r="E5743" s="29">
        <v>41724</v>
      </c>
      <c r="F5743" s="27">
        <v>15</v>
      </c>
      <c r="G5743" s="18">
        <v>46924.86</v>
      </c>
      <c r="H5743" s="27">
        <f t="shared" si="178"/>
        <v>0</v>
      </c>
      <c r="I5743" s="18">
        <v>16655.07</v>
      </c>
      <c r="J5743" s="27">
        <v>46924.86</v>
      </c>
      <c r="K5743" s="18">
        <f t="shared" si="179"/>
        <v>0</v>
      </c>
      <c r="L5743" s="27">
        <v>19379.32</v>
      </c>
      <c r="M5743" s="36">
        <v>2724.25</v>
      </c>
      <c r="T5743" s="41">
        <v>0</v>
      </c>
      <c r="U5743" s="41">
        <v>0</v>
      </c>
      <c r="V5743" s="42" t="s">
        <v>113</v>
      </c>
      <c r="W5743" s="42">
        <v>0</v>
      </c>
      <c r="X5743" s="42">
        <v>0</v>
      </c>
    </row>
    <row r="5744" spans="1:24">
      <c r="A5744" s="27" t="s">
        <v>10587</v>
      </c>
      <c r="B5744" s="28" t="s">
        <v>5102</v>
      </c>
      <c r="C5744" s="27" t="s">
        <v>10588</v>
      </c>
      <c r="D5744" s="27" t="s">
        <v>5104</v>
      </c>
      <c r="E5744" s="29">
        <v>41724</v>
      </c>
      <c r="F5744" s="27">
        <v>15</v>
      </c>
      <c r="G5744" s="18">
        <v>37754.6</v>
      </c>
      <c r="H5744" s="27">
        <f t="shared" si="178"/>
        <v>0</v>
      </c>
      <c r="I5744" s="18">
        <v>13400.26</v>
      </c>
      <c r="J5744" s="27">
        <v>37754.6</v>
      </c>
      <c r="K5744" s="18">
        <f t="shared" si="179"/>
        <v>0</v>
      </c>
      <c r="L5744" s="27">
        <v>15592.12</v>
      </c>
      <c r="M5744" s="36">
        <v>2191.86</v>
      </c>
      <c r="T5744" s="41">
        <v>0</v>
      </c>
      <c r="U5744" s="41">
        <v>0</v>
      </c>
      <c r="V5744" s="42" t="s">
        <v>113</v>
      </c>
      <c r="W5744" s="42">
        <v>0</v>
      </c>
      <c r="X5744" s="42">
        <v>0</v>
      </c>
    </row>
    <row r="5745" spans="1:24">
      <c r="A5745" s="27" t="s">
        <v>10589</v>
      </c>
      <c r="B5745" s="28" t="s">
        <v>5102</v>
      </c>
      <c r="C5745" s="27" t="s">
        <v>10590</v>
      </c>
      <c r="D5745" s="27" t="s">
        <v>5104</v>
      </c>
      <c r="E5745" s="29">
        <v>41724</v>
      </c>
      <c r="F5745" s="27">
        <v>15</v>
      </c>
      <c r="G5745" s="18">
        <v>13554.08</v>
      </c>
      <c r="H5745" s="27">
        <f t="shared" si="178"/>
        <v>0</v>
      </c>
      <c r="I5745" s="18">
        <v>4810.75</v>
      </c>
      <c r="J5745" s="27">
        <v>13554.08</v>
      </c>
      <c r="K5745" s="18">
        <f t="shared" si="179"/>
        <v>0</v>
      </c>
      <c r="L5745" s="27">
        <v>5597.64</v>
      </c>
      <c r="M5745" s="36">
        <v>786.89</v>
      </c>
      <c r="T5745" s="41">
        <v>0</v>
      </c>
      <c r="U5745" s="41">
        <v>0</v>
      </c>
      <c r="V5745" s="42" t="s">
        <v>113</v>
      </c>
      <c r="W5745" s="42">
        <v>0</v>
      </c>
      <c r="X5745" s="42">
        <v>0</v>
      </c>
    </row>
    <row r="5746" spans="1:24">
      <c r="A5746" s="27" t="s">
        <v>10591</v>
      </c>
      <c r="B5746" s="28" t="s">
        <v>5102</v>
      </c>
      <c r="C5746" s="27" t="s">
        <v>10592</v>
      </c>
      <c r="D5746" s="27" t="s">
        <v>5104</v>
      </c>
      <c r="E5746" s="29">
        <v>41724</v>
      </c>
      <c r="F5746" s="27">
        <v>15</v>
      </c>
      <c r="G5746" s="18">
        <v>157191.56</v>
      </c>
      <c r="H5746" s="27">
        <f t="shared" si="178"/>
        <v>0</v>
      </c>
      <c r="I5746" s="18">
        <v>55792.08</v>
      </c>
      <c r="J5746" s="27">
        <v>157191.56</v>
      </c>
      <c r="K5746" s="18">
        <f t="shared" si="179"/>
        <v>0</v>
      </c>
      <c r="L5746" s="27">
        <v>64917.919999999998</v>
      </c>
      <c r="M5746" s="36">
        <v>9125.84</v>
      </c>
      <c r="T5746" s="41">
        <v>0</v>
      </c>
      <c r="U5746" s="41">
        <v>0</v>
      </c>
      <c r="V5746" s="42" t="s">
        <v>113</v>
      </c>
      <c r="W5746" s="42">
        <v>0</v>
      </c>
      <c r="X5746" s="42">
        <v>0</v>
      </c>
    </row>
    <row r="5747" spans="1:24">
      <c r="A5747" s="27" t="s">
        <v>10593</v>
      </c>
      <c r="B5747" s="28" t="s">
        <v>5102</v>
      </c>
      <c r="C5747" s="27" t="s">
        <v>10594</v>
      </c>
      <c r="D5747" s="27" t="s">
        <v>5104</v>
      </c>
      <c r="E5747" s="29">
        <v>41724</v>
      </c>
      <c r="F5747" s="27">
        <v>15</v>
      </c>
      <c r="G5747" s="18">
        <v>24200.52</v>
      </c>
      <c r="H5747" s="27">
        <f t="shared" si="178"/>
        <v>0</v>
      </c>
      <c r="I5747" s="18">
        <v>8589.5</v>
      </c>
      <c r="J5747" s="27">
        <v>24200.52</v>
      </c>
      <c r="K5747" s="18">
        <f t="shared" si="179"/>
        <v>0</v>
      </c>
      <c r="L5747" s="27">
        <v>9994.4699999999993</v>
      </c>
      <c r="M5747" s="36">
        <v>1404.97</v>
      </c>
      <c r="T5747" s="41">
        <v>0</v>
      </c>
      <c r="U5747" s="41">
        <v>0</v>
      </c>
      <c r="V5747" s="42" t="s">
        <v>113</v>
      </c>
      <c r="W5747" s="42">
        <v>0</v>
      </c>
      <c r="X5747" s="42">
        <v>0</v>
      </c>
    </row>
    <row r="5748" spans="1:24">
      <c r="A5748" s="27" t="s">
        <v>10595</v>
      </c>
      <c r="B5748" s="28" t="s">
        <v>5102</v>
      </c>
      <c r="C5748" s="27" t="s">
        <v>10596</v>
      </c>
      <c r="D5748" s="27" t="s">
        <v>5104</v>
      </c>
      <c r="E5748" s="29">
        <v>41724</v>
      </c>
      <c r="F5748" s="27">
        <v>15</v>
      </c>
      <c r="G5748" s="18">
        <v>87184.51</v>
      </c>
      <c r="H5748" s="27">
        <f t="shared" si="178"/>
        <v>0</v>
      </c>
      <c r="I5748" s="18">
        <v>30944.44</v>
      </c>
      <c r="J5748" s="27">
        <v>87184.51</v>
      </c>
      <c r="K5748" s="18">
        <f t="shared" si="179"/>
        <v>0</v>
      </c>
      <c r="L5748" s="27">
        <v>36005.99</v>
      </c>
      <c r="M5748" s="36">
        <v>5061.55</v>
      </c>
      <c r="T5748" s="41">
        <v>0</v>
      </c>
      <c r="U5748" s="41">
        <v>0</v>
      </c>
      <c r="V5748" s="42" t="s">
        <v>113</v>
      </c>
      <c r="W5748" s="42">
        <v>0</v>
      </c>
      <c r="X5748" s="42">
        <v>0</v>
      </c>
    </row>
    <row r="5749" spans="1:24">
      <c r="A5749" s="27" t="s">
        <v>10597</v>
      </c>
      <c r="B5749" s="28" t="s">
        <v>5102</v>
      </c>
      <c r="C5749" s="27" t="s">
        <v>10483</v>
      </c>
      <c r="D5749" s="27" t="s">
        <v>5104</v>
      </c>
      <c r="E5749" s="29">
        <v>41724</v>
      </c>
      <c r="F5749" s="27">
        <v>15</v>
      </c>
      <c r="G5749" s="18">
        <v>64660.86</v>
      </c>
      <c r="H5749" s="27">
        <f t="shared" si="178"/>
        <v>0</v>
      </c>
      <c r="I5749" s="18">
        <v>22950.11</v>
      </c>
      <c r="J5749" s="27">
        <v>64660.86</v>
      </c>
      <c r="K5749" s="18">
        <f t="shared" si="179"/>
        <v>0</v>
      </c>
      <c r="L5749" s="27">
        <v>26704.03</v>
      </c>
      <c r="M5749" s="36">
        <v>3753.92</v>
      </c>
      <c r="T5749" s="41">
        <v>0</v>
      </c>
      <c r="U5749" s="41">
        <v>0</v>
      </c>
      <c r="V5749" s="42" t="s">
        <v>113</v>
      </c>
      <c r="W5749" s="42">
        <v>0</v>
      </c>
      <c r="X5749" s="42">
        <v>0</v>
      </c>
    </row>
    <row r="5750" spans="1:24">
      <c r="A5750" s="27" t="s">
        <v>10598</v>
      </c>
      <c r="B5750" s="28" t="s">
        <v>5102</v>
      </c>
      <c r="C5750" s="27" t="s">
        <v>10483</v>
      </c>
      <c r="D5750" s="27" t="s">
        <v>5104</v>
      </c>
      <c r="E5750" s="29">
        <v>41724</v>
      </c>
      <c r="F5750" s="27">
        <v>15</v>
      </c>
      <c r="G5750" s="18">
        <v>12364.09</v>
      </c>
      <c r="H5750" s="27">
        <f t="shared" si="178"/>
        <v>0</v>
      </c>
      <c r="I5750" s="18">
        <v>4388.3900000000003</v>
      </c>
      <c r="J5750" s="27">
        <v>12364.09</v>
      </c>
      <c r="K5750" s="18">
        <f t="shared" si="179"/>
        <v>0</v>
      </c>
      <c r="L5750" s="27">
        <v>5106.1899999999996</v>
      </c>
      <c r="M5750" s="36">
        <v>717.8</v>
      </c>
      <c r="T5750" s="41">
        <v>0</v>
      </c>
      <c r="U5750" s="41">
        <v>0</v>
      </c>
      <c r="V5750" s="42" t="s">
        <v>113</v>
      </c>
      <c r="W5750" s="42">
        <v>0</v>
      </c>
      <c r="X5750" s="42">
        <v>0</v>
      </c>
    </row>
    <row r="5751" spans="1:24">
      <c r="A5751" s="27" t="s">
        <v>10599</v>
      </c>
      <c r="B5751" s="28" t="s">
        <v>5102</v>
      </c>
      <c r="C5751" s="27" t="s">
        <v>10483</v>
      </c>
      <c r="D5751" s="27" t="s">
        <v>5104</v>
      </c>
      <c r="E5751" s="29">
        <v>41724</v>
      </c>
      <c r="F5751" s="27">
        <v>12</v>
      </c>
      <c r="G5751" s="18">
        <v>3174.56</v>
      </c>
      <c r="H5751" s="27">
        <f t="shared" si="178"/>
        <v>3174.56</v>
      </c>
      <c r="I5751" s="18">
        <v>3174.56</v>
      </c>
      <c r="J5751" s="27">
        <v>3174.56</v>
      </c>
      <c r="K5751" s="18">
        <f t="shared" si="179"/>
        <v>3174.56</v>
      </c>
      <c r="L5751" s="27">
        <v>3174.56</v>
      </c>
      <c r="M5751" s="36">
        <v>0</v>
      </c>
      <c r="T5751" s="41">
        <v>0</v>
      </c>
      <c r="U5751" s="41">
        <v>0</v>
      </c>
      <c r="V5751" s="42" t="s">
        <v>113</v>
      </c>
      <c r="W5751" s="42">
        <v>3174.56</v>
      </c>
      <c r="X5751" s="42">
        <v>3174.56</v>
      </c>
    </row>
    <row r="5752" spans="1:24">
      <c r="A5752" s="27" t="s">
        <v>10600</v>
      </c>
      <c r="B5752" s="28" t="s">
        <v>5102</v>
      </c>
      <c r="C5752" s="27" t="s">
        <v>10483</v>
      </c>
      <c r="D5752" s="27" t="s">
        <v>5104</v>
      </c>
      <c r="E5752" s="29">
        <v>41724</v>
      </c>
      <c r="F5752" s="27">
        <v>12</v>
      </c>
      <c r="G5752" s="18">
        <v>2255.61</v>
      </c>
      <c r="H5752" s="27">
        <f t="shared" si="178"/>
        <v>2255.61</v>
      </c>
      <c r="I5752" s="18">
        <v>2255.61</v>
      </c>
      <c r="J5752" s="27">
        <v>2255.61</v>
      </c>
      <c r="K5752" s="18">
        <f t="shared" si="179"/>
        <v>2255.61</v>
      </c>
      <c r="L5752" s="27">
        <v>2255.61</v>
      </c>
      <c r="M5752" s="36">
        <v>0</v>
      </c>
      <c r="T5752" s="41">
        <v>0</v>
      </c>
      <c r="U5752" s="41">
        <v>0</v>
      </c>
      <c r="V5752" s="42" t="s">
        <v>113</v>
      </c>
      <c r="W5752" s="42">
        <v>2255.61</v>
      </c>
      <c r="X5752" s="42">
        <v>2255.61</v>
      </c>
    </row>
    <row r="5753" spans="1:24">
      <c r="A5753" s="27" t="s">
        <v>10601</v>
      </c>
      <c r="B5753" s="28" t="s">
        <v>5102</v>
      </c>
      <c r="C5753" s="27" t="s">
        <v>10486</v>
      </c>
      <c r="D5753" s="27" t="s">
        <v>5104</v>
      </c>
      <c r="E5753" s="29">
        <v>41724</v>
      </c>
      <c r="F5753" s="27">
        <v>15</v>
      </c>
      <c r="G5753" s="18">
        <v>19298.009999999998</v>
      </c>
      <c r="H5753" s="27">
        <f t="shared" si="178"/>
        <v>0</v>
      </c>
      <c r="I5753" s="18">
        <v>6849.46</v>
      </c>
      <c r="J5753" s="27">
        <v>19298.009999999998</v>
      </c>
      <c r="K5753" s="18">
        <f t="shared" si="179"/>
        <v>0</v>
      </c>
      <c r="L5753" s="27">
        <v>7969.82</v>
      </c>
      <c r="M5753" s="36">
        <v>1120.3599999999999</v>
      </c>
      <c r="T5753" s="41">
        <v>0</v>
      </c>
      <c r="U5753" s="41">
        <v>0</v>
      </c>
      <c r="V5753" s="42" t="s">
        <v>113</v>
      </c>
      <c r="W5753" s="42">
        <v>0</v>
      </c>
      <c r="X5753" s="42">
        <v>0</v>
      </c>
    </row>
    <row r="5754" spans="1:24">
      <c r="A5754" s="27" t="s">
        <v>10602</v>
      </c>
      <c r="B5754" s="28" t="s">
        <v>5102</v>
      </c>
      <c r="C5754" s="27" t="s">
        <v>10486</v>
      </c>
      <c r="D5754" s="27" t="s">
        <v>5104</v>
      </c>
      <c r="E5754" s="29">
        <v>41724</v>
      </c>
      <c r="F5754" s="27">
        <v>15</v>
      </c>
      <c r="G5754" s="18">
        <v>88887.8</v>
      </c>
      <c r="H5754" s="27">
        <f t="shared" si="178"/>
        <v>0</v>
      </c>
      <c r="I5754" s="18">
        <v>31548.99</v>
      </c>
      <c r="J5754" s="27">
        <v>88887.8</v>
      </c>
      <c r="K5754" s="18">
        <f t="shared" si="179"/>
        <v>0</v>
      </c>
      <c r="L5754" s="27">
        <v>36709.42</v>
      </c>
      <c r="M5754" s="36">
        <v>5160.43</v>
      </c>
      <c r="T5754" s="41">
        <v>0</v>
      </c>
      <c r="U5754" s="41">
        <v>0</v>
      </c>
      <c r="V5754" s="42" t="s">
        <v>113</v>
      </c>
      <c r="W5754" s="42">
        <v>0</v>
      </c>
      <c r="X5754" s="42">
        <v>0</v>
      </c>
    </row>
    <row r="5755" spans="1:24">
      <c r="A5755" s="27" t="s">
        <v>10603</v>
      </c>
      <c r="B5755" s="28" t="s">
        <v>5102</v>
      </c>
      <c r="C5755" s="27" t="s">
        <v>10604</v>
      </c>
      <c r="D5755" s="27" t="s">
        <v>230</v>
      </c>
      <c r="E5755" s="29">
        <v>41724</v>
      </c>
      <c r="F5755" s="27">
        <v>15</v>
      </c>
      <c r="G5755" s="18">
        <v>7769.33</v>
      </c>
      <c r="H5755" s="27">
        <f t="shared" si="178"/>
        <v>0</v>
      </c>
      <c r="I5755" s="18">
        <v>2757.56</v>
      </c>
      <c r="J5755" s="27">
        <v>7769.33</v>
      </c>
      <c r="K5755" s="18">
        <f t="shared" si="179"/>
        <v>0</v>
      </c>
      <c r="L5755" s="27">
        <v>3208.61</v>
      </c>
      <c r="M5755" s="36">
        <v>451.05</v>
      </c>
      <c r="T5755" s="41">
        <v>0</v>
      </c>
      <c r="U5755" s="41">
        <v>0</v>
      </c>
      <c r="V5755" s="42" t="s">
        <v>113</v>
      </c>
      <c r="W5755" s="42">
        <v>0</v>
      </c>
      <c r="X5755" s="42">
        <v>0</v>
      </c>
    </row>
    <row r="5756" spans="1:24">
      <c r="A5756" s="27" t="s">
        <v>10605</v>
      </c>
      <c r="B5756" s="28" t="s">
        <v>5102</v>
      </c>
      <c r="C5756" s="27" t="s">
        <v>10606</v>
      </c>
      <c r="D5756" s="27" t="s">
        <v>5104</v>
      </c>
      <c r="E5756" s="29">
        <v>41724</v>
      </c>
      <c r="F5756" s="27">
        <v>15</v>
      </c>
      <c r="G5756" s="18">
        <v>16374.07</v>
      </c>
      <c r="H5756" s="27">
        <f t="shared" si="178"/>
        <v>0</v>
      </c>
      <c r="I5756" s="18">
        <v>5811.66</v>
      </c>
      <c r="J5756" s="27">
        <v>16374.07</v>
      </c>
      <c r="K5756" s="18">
        <f t="shared" si="179"/>
        <v>0</v>
      </c>
      <c r="L5756" s="27">
        <v>6762.27</v>
      </c>
      <c r="M5756" s="36">
        <v>950.61</v>
      </c>
      <c r="T5756" s="41">
        <v>0</v>
      </c>
      <c r="U5756" s="41">
        <v>0</v>
      </c>
      <c r="V5756" s="42" t="s">
        <v>113</v>
      </c>
      <c r="W5756" s="42">
        <v>0</v>
      </c>
      <c r="X5756" s="42">
        <v>0</v>
      </c>
    </row>
    <row r="5757" spans="1:24">
      <c r="A5757" s="27" t="s">
        <v>10607</v>
      </c>
      <c r="B5757" s="28" t="s">
        <v>5102</v>
      </c>
      <c r="C5757" s="27" t="s">
        <v>10606</v>
      </c>
      <c r="D5757" s="27" t="s">
        <v>5104</v>
      </c>
      <c r="E5757" s="29">
        <v>41724</v>
      </c>
      <c r="F5757" s="27">
        <v>15</v>
      </c>
      <c r="G5757" s="18">
        <v>97743.16</v>
      </c>
      <c r="H5757" s="27">
        <f t="shared" si="178"/>
        <v>0</v>
      </c>
      <c r="I5757" s="18">
        <v>34692.03</v>
      </c>
      <c r="J5757" s="27">
        <v>97743.16</v>
      </c>
      <c r="K5757" s="18">
        <f t="shared" si="179"/>
        <v>0</v>
      </c>
      <c r="L5757" s="27">
        <v>40366.559999999998</v>
      </c>
      <c r="M5757" s="36">
        <v>5674.53</v>
      </c>
      <c r="T5757" s="41">
        <v>0</v>
      </c>
      <c r="U5757" s="41">
        <v>0</v>
      </c>
      <c r="V5757" s="42" t="s">
        <v>113</v>
      </c>
      <c r="W5757" s="42">
        <v>0</v>
      </c>
      <c r="X5757" s="42">
        <v>0</v>
      </c>
    </row>
    <row r="5758" spans="1:24">
      <c r="A5758" s="27" t="s">
        <v>10608</v>
      </c>
      <c r="B5758" s="28" t="s">
        <v>5102</v>
      </c>
      <c r="C5758" s="27" t="s">
        <v>10606</v>
      </c>
      <c r="D5758" s="27" t="s">
        <v>5104</v>
      </c>
      <c r="E5758" s="29">
        <v>41724</v>
      </c>
      <c r="F5758" s="27">
        <v>12</v>
      </c>
      <c r="G5758" s="18">
        <v>2840.4</v>
      </c>
      <c r="H5758" s="27">
        <f t="shared" si="178"/>
        <v>2840.4</v>
      </c>
      <c r="I5758" s="18">
        <v>2840.4</v>
      </c>
      <c r="J5758" s="27">
        <v>2840.4</v>
      </c>
      <c r="K5758" s="18">
        <f t="shared" si="179"/>
        <v>2840.4</v>
      </c>
      <c r="L5758" s="27">
        <v>2840.4</v>
      </c>
      <c r="M5758" s="36">
        <v>0</v>
      </c>
      <c r="T5758" s="41">
        <v>0</v>
      </c>
      <c r="U5758" s="41">
        <v>0</v>
      </c>
      <c r="V5758" s="42" t="s">
        <v>113</v>
      </c>
      <c r="W5758" s="42">
        <v>2840.4</v>
      </c>
      <c r="X5758" s="42">
        <v>2840.4</v>
      </c>
    </row>
    <row r="5759" spans="1:24">
      <c r="A5759" s="27" t="s">
        <v>10609</v>
      </c>
      <c r="B5759" s="28" t="s">
        <v>5102</v>
      </c>
      <c r="C5759" s="27" t="s">
        <v>10610</v>
      </c>
      <c r="D5759" s="27" t="s">
        <v>5104</v>
      </c>
      <c r="E5759" s="29">
        <v>41724</v>
      </c>
      <c r="F5759" s="27">
        <v>15</v>
      </c>
      <c r="G5759" s="18">
        <v>123390.31</v>
      </c>
      <c r="H5759" s="27">
        <f t="shared" si="178"/>
        <v>0</v>
      </c>
      <c r="I5759" s="18">
        <v>43794.99</v>
      </c>
      <c r="J5759" s="27">
        <v>123390.31</v>
      </c>
      <c r="K5759" s="18">
        <f t="shared" si="179"/>
        <v>0</v>
      </c>
      <c r="L5759" s="27">
        <v>50958.48</v>
      </c>
      <c r="M5759" s="36">
        <v>7163.49</v>
      </c>
      <c r="T5759" s="41">
        <v>0</v>
      </c>
      <c r="U5759" s="41">
        <v>0</v>
      </c>
      <c r="V5759" s="42" t="s">
        <v>113</v>
      </c>
      <c r="W5759" s="42">
        <v>0</v>
      </c>
      <c r="X5759" s="42">
        <v>0</v>
      </c>
    </row>
    <row r="5760" spans="1:24">
      <c r="A5760" s="27" t="s">
        <v>10611</v>
      </c>
      <c r="B5760" s="28" t="s">
        <v>5102</v>
      </c>
      <c r="C5760" s="27" t="s">
        <v>10612</v>
      </c>
      <c r="D5760" s="27" t="s">
        <v>5104</v>
      </c>
      <c r="E5760" s="29">
        <v>41724</v>
      </c>
      <c r="F5760" s="27">
        <v>15</v>
      </c>
      <c r="G5760" s="18">
        <v>65000.9</v>
      </c>
      <c r="H5760" s="27">
        <f t="shared" si="178"/>
        <v>0</v>
      </c>
      <c r="I5760" s="18">
        <v>23070.79</v>
      </c>
      <c r="J5760" s="27">
        <v>65000.9</v>
      </c>
      <c r="K5760" s="18">
        <f t="shared" si="179"/>
        <v>0</v>
      </c>
      <c r="L5760" s="27">
        <v>26844.45</v>
      </c>
      <c r="M5760" s="36">
        <v>3773.66</v>
      </c>
      <c r="T5760" s="41">
        <v>0</v>
      </c>
      <c r="U5760" s="41">
        <v>0</v>
      </c>
      <c r="V5760" s="42" t="s">
        <v>113</v>
      </c>
      <c r="W5760" s="42">
        <v>0</v>
      </c>
      <c r="X5760" s="42">
        <v>0</v>
      </c>
    </row>
    <row r="5761" spans="1:24">
      <c r="A5761" s="27" t="s">
        <v>10613</v>
      </c>
      <c r="B5761" s="28" t="s">
        <v>5102</v>
      </c>
      <c r="C5761" s="27" t="s">
        <v>10612</v>
      </c>
      <c r="D5761" s="27" t="s">
        <v>5104</v>
      </c>
      <c r="E5761" s="29">
        <v>41724</v>
      </c>
      <c r="F5761" s="27">
        <v>12</v>
      </c>
      <c r="G5761" s="18">
        <v>696.13</v>
      </c>
      <c r="H5761" s="27">
        <f t="shared" si="178"/>
        <v>696.13</v>
      </c>
      <c r="I5761" s="18">
        <v>696.13</v>
      </c>
      <c r="J5761" s="27">
        <v>696.13</v>
      </c>
      <c r="K5761" s="18">
        <f t="shared" si="179"/>
        <v>696.13</v>
      </c>
      <c r="L5761" s="27">
        <v>696.13</v>
      </c>
      <c r="M5761" s="36">
        <v>0</v>
      </c>
      <c r="T5761" s="41">
        <v>0</v>
      </c>
      <c r="U5761" s="41">
        <v>0</v>
      </c>
      <c r="V5761" s="42" t="s">
        <v>113</v>
      </c>
      <c r="W5761" s="42">
        <v>696.13</v>
      </c>
      <c r="X5761" s="42">
        <v>696.13</v>
      </c>
    </row>
    <row r="5762" spans="1:24">
      <c r="A5762" s="27" t="s">
        <v>10614</v>
      </c>
      <c r="B5762" s="28" t="s">
        <v>5102</v>
      </c>
      <c r="C5762" s="27" t="s">
        <v>10615</v>
      </c>
      <c r="D5762" s="27" t="s">
        <v>5104</v>
      </c>
      <c r="E5762" s="29">
        <v>41724</v>
      </c>
      <c r="F5762" s="27">
        <v>15</v>
      </c>
      <c r="G5762" s="18">
        <v>42550.79</v>
      </c>
      <c r="H5762" s="27">
        <f t="shared" si="178"/>
        <v>0</v>
      </c>
      <c r="I5762" s="18">
        <v>15102.57</v>
      </c>
      <c r="J5762" s="27">
        <v>42550.79</v>
      </c>
      <c r="K5762" s="18">
        <f t="shared" si="179"/>
        <v>0</v>
      </c>
      <c r="L5762" s="27">
        <v>17572.88</v>
      </c>
      <c r="M5762" s="36">
        <v>2470.31</v>
      </c>
      <c r="T5762" s="41">
        <v>0</v>
      </c>
      <c r="U5762" s="41">
        <v>0</v>
      </c>
      <c r="V5762" s="42" t="s">
        <v>113</v>
      </c>
      <c r="W5762" s="42">
        <v>0</v>
      </c>
      <c r="X5762" s="42">
        <v>0</v>
      </c>
    </row>
    <row r="5763" spans="1:24">
      <c r="A5763" s="27" t="s">
        <v>10616</v>
      </c>
      <c r="B5763" s="28" t="s">
        <v>5102</v>
      </c>
      <c r="C5763" s="27" t="s">
        <v>10617</v>
      </c>
      <c r="D5763" s="27" t="s">
        <v>5104</v>
      </c>
      <c r="E5763" s="29">
        <v>41724</v>
      </c>
      <c r="F5763" s="27">
        <v>15</v>
      </c>
      <c r="G5763" s="18">
        <v>93890.19</v>
      </c>
      <c r="H5763" s="27">
        <f t="shared" si="178"/>
        <v>0</v>
      </c>
      <c r="I5763" s="18">
        <v>33324.5</v>
      </c>
      <c r="J5763" s="27">
        <v>93890.19</v>
      </c>
      <c r="K5763" s="18">
        <f t="shared" si="179"/>
        <v>0</v>
      </c>
      <c r="L5763" s="27">
        <v>38775.35</v>
      </c>
      <c r="M5763" s="36">
        <v>5450.85</v>
      </c>
      <c r="T5763" s="41">
        <v>0</v>
      </c>
      <c r="U5763" s="41">
        <v>0</v>
      </c>
      <c r="V5763" s="42" t="s">
        <v>113</v>
      </c>
      <c r="W5763" s="42">
        <v>0</v>
      </c>
      <c r="X5763" s="42">
        <v>0</v>
      </c>
    </row>
    <row r="5764" spans="1:24">
      <c r="A5764" s="27" t="s">
        <v>10618</v>
      </c>
      <c r="B5764" s="28" t="s">
        <v>5102</v>
      </c>
      <c r="C5764" s="27" t="s">
        <v>10617</v>
      </c>
      <c r="D5764" s="27" t="s">
        <v>5104</v>
      </c>
      <c r="E5764" s="29">
        <v>41724</v>
      </c>
      <c r="F5764" s="27">
        <v>12</v>
      </c>
      <c r="G5764" s="18">
        <v>3480.64</v>
      </c>
      <c r="H5764" s="27">
        <f t="shared" si="178"/>
        <v>3480.64</v>
      </c>
      <c r="I5764" s="18">
        <v>3480.64</v>
      </c>
      <c r="J5764" s="27">
        <v>3480.64</v>
      </c>
      <c r="K5764" s="18">
        <f t="shared" si="179"/>
        <v>3480.64</v>
      </c>
      <c r="L5764" s="27">
        <v>3480.64</v>
      </c>
      <c r="M5764" s="36">
        <v>0</v>
      </c>
      <c r="T5764" s="41">
        <v>0</v>
      </c>
      <c r="U5764" s="41">
        <v>0</v>
      </c>
      <c r="V5764" s="42" t="s">
        <v>113</v>
      </c>
      <c r="W5764" s="42">
        <v>3480.64</v>
      </c>
      <c r="X5764" s="42">
        <v>3480.64</v>
      </c>
    </row>
    <row r="5765" spans="1:24">
      <c r="A5765" s="27" t="s">
        <v>10619</v>
      </c>
      <c r="B5765" s="28" t="s">
        <v>5102</v>
      </c>
      <c r="C5765" s="27" t="s">
        <v>10620</v>
      </c>
      <c r="D5765" s="27" t="s">
        <v>5104</v>
      </c>
      <c r="E5765" s="29">
        <v>41724</v>
      </c>
      <c r="F5765" s="27">
        <v>15</v>
      </c>
      <c r="G5765" s="18">
        <v>52644.639999999999</v>
      </c>
      <c r="H5765" s="27">
        <f t="shared" si="178"/>
        <v>0</v>
      </c>
      <c r="I5765" s="18">
        <v>18685.189999999999</v>
      </c>
      <c r="J5765" s="27">
        <v>52644.639999999999</v>
      </c>
      <c r="K5765" s="18">
        <f t="shared" si="179"/>
        <v>0</v>
      </c>
      <c r="L5765" s="27">
        <v>21741.5</v>
      </c>
      <c r="M5765" s="36">
        <v>3056.31</v>
      </c>
      <c r="T5765" s="41">
        <v>0</v>
      </c>
      <c r="U5765" s="41">
        <v>0</v>
      </c>
      <c r="V5765" s="42" t="s">
        <v>113</v>
      </c>
      <c r="W5765" s="42">
        <v>0</v>
      </c>
      <c r="X5765" s="42">
        <v>0</v>
      </c>
    </row>
    <row r="5766" spans="1:24">
      <c r="A5766" s="27" t="s">
        <v>10621</v>
      </c>
      <c r="B5766" s="28" t="s">
        <v>5102</v>
      </c>
      <c r="C5766" s="27" t="s">
        <v>10622</v>
      </c>
      <c r="D5766" s="27" t="s">
        <v>5104</v>
      </c>
      <c r="E5766" s="29">
        <v>41724</v>
      </c>
      <c r="F5766" s="27">
        <v>15</v>
      </c>
      <c r="G5766" s="18">
        <v>18099.310000000001</v>
      </c>
      <c r="H5766" s="27">
        <f t="shared" ref="H5766:H5829" si="180">IFERROR(IF(ROUND((G5766-I5766)/G5766,2)&lt;=0.05,G5766,0),0)</f>
        <v>0</v>
      </c>
      <c r="I5766" s="18">
        <v>6424</v>
      </c>
      <c r="J5766" s="27">
        <v>18099.310000000001</v>
      </c>
      <c r="K5766" s="18">
        <f t="shared" ref="K5766:K5829" si="181">IFERROR(IF(ROUND((J5766-L5766)/J5766,2)&lt;=0.05,J5766,0),0)</f>
        <v>0</v>
      </c>
      <c r="L5766" s="27">
        <v>7474.76</v>
      </c>
      <c r="M5766" s="36">
        <v>1050.76</v>
      </c>
      <c r="T5766" s="41">
        <v>0</v>
      </c>
      <c r="U5766" s="41">
        <v>0</v>
      </c>
      <c r="V5766" s="42" t="s">
        <v>113</v>
      </c>
      <c r="W5766" s="42">
        <v>0</v>
      </c>
      <c r="X5766" s="42">
        <v>0</v>
      </c>
    </row>
    <row r="5767" spans="1:24">
      <c r="A5767" s="27" t="s">
        <v>10623</v>
      </c>
      <c r="B5767" s="28" t="s">
        <v>5102</v>
      </c>
      <c r="C5767" s="27" t="s">
        <v>10624</v>
      </c>
      <c r="D5767" s="27" t="s">
        <v>5104</v>
      </c>
      <c r="E5767" s="29">
        <v>41724</v>
      </c>
      <c r="F5767" s="27">
        <v>15</v>
      </c>
      <c r="G5767" s="18">
        <v>54471.97</v>
      </c>
      <c r="H5767" s="27">
        <f t="shared" si="180"/>
        <v>0</v>
      </c>
      <c r="I5767" s="18">
        <v>19333.759999999998</v>
      </c>
      <c r="J5767" s="27">
        <v>54471.97</v>
      </c>
      <c r="K5767" s="18">
        <f t="shared" si="181"/>
        <v>0</v>
      </c>
      <c r="L5767" s="27">
        <v>22496.16</v>
      </c>
      <c r="M5767" s="36">
        <v>3162.4</v>
      </c>
      <c r="T5767" s="41">
        <v>0</v>
      </c>
      <c r="U5767" s="41">
        <v>0</v>
      </c>
      <c r="V5767" s="42" t="s">
        <v>113</v>
      </c>
      <c r="W5767" s="42">
        <v>0</v>
      </c>
      <c r="X5767" s="42">
        <v>0</v>
      </c>
    </row>
    <row r="5768" spans="1:24">
      <c r="A5768" s="27" t="s">
        <v>10625</v>
      </c>
      <c r="B5768" s="28" t="s">
        <v>5102</v>
      </c>
      <c r="C5768" s="27" t="s">
        <v>10626</v>
      </c>
      <c r="D5768" s="27" t="s">
        <v>5104</v>
      </c>
      <c r="E5768" s="29">
        <v>41724</v>
      </c>
      <c r="F5768" s="27">
        <v>15</v>
      </c>
      <c r="G5768" s="18">
        <v>54471.97</v>
      </c>
      <c r="H5768" s="27">
        <f t="shared" si="180"/>
        <v>0</v>
      </c>
      <c r="I5768" s="18">
        <v>19333.759999999998</v>
      </c>
      <c r="J5768" s="27">
        <v>54471.97</v>
      </c>
      <c r="K5768" s="18">
        <f t="shared" si="181"/>
        <v>0</v>
      </c>
      <c r="L5768" s="27">
        <v>22496.16</v>
      </c>
      <c r="M5768" s="36">
        <v>3162.4</v>
      </c>
      <c r="T5768" s="41">
        <v>0</v>
      </c>
      <c r="U5768" s="41">
        <v>0</v>
      </c>
      <c r="V5768" s="42" t="s">
        <v>113</v>
      </c>
      <c r="W5768" s="42">
        <v>0</v>
      </c>
      <c r="X5768" s="42">
        <v>0</v>
      </c>
    </row>
    <row r="5769" spans="1:24">
      <c r="A5769" s="27" t="s">
        <v>10627</v>
      </c>
      <c r="B5769" s="28" t="s">
        <v>5102</v>
      </c>
      <c r="C5769" s="27" t="s">
        <v>10628</v>
      </c>
      <c r="D5769" s="27" t="s">
        <v>5104</v>
      </c>
      <c r="E5769" s="29">
        <v>41724</v>
      </c>
      <c r="F5769" s="27">
        <v>15</v>
      </c>
      <c r="G5769" s="18">
        <v>47771.75</v>
      </c>
      <c r="H5769" s="27">
        <f t="shared" si="180"/>
        <v>0</v>
      </c>
      <c r="I5769" s="18">
        <v>16955.66</v>
      </c>
      <c r="J5769" s="27">
        <v>47771.75</v>
      </c>
      <c r="K5769" s="18">
        <f t="shared" si="181"/>
        <v>0</v>
      </c>
      <c r="L5769" s="27">
        <v>19729.07</v>
      </c>
      <c r="M5769" s="36">
        <v>2773.41</v>
      </c>
      <c r="T5769" s="41">
        <v>0</v>
      </c>
      <c r="U5769" s="41">
        <v>0</v>
      </c>
      <c r="V5769" s="42" t="s">
        <v>113</v>
      </c>
      <c r="W5769" s="42">
        <v>0</v>
      </c>
      <c r="X5769" s="42">
        <v>0</v>
      </c>
    </row>
    <row r="5770" spans="1:24">
      <c r="A5770" s="27" t="s">
        <v>10629</v>
      </c>
      <c r="B5770" s="28" t="s">
        <v>5102</v>
      </c>
      <c r="C5770" s="27" t="s">
        <v>10630</v>
      </c>
      <c r="D5770" s="27" t="s">
        <v>5104</v>
      </c>
      <c r="E5770" s="29">
        <v>41724</v>
      </c>
      <c r="F5770" s="27">
        <v>15</v>
      </c>
      <c r="G5770" s="18">
        <v>51861.5</v>
      </c>
      <c r="H5770" s="27">
        <f t="shared" si="180"/>
        <v>0</v>
      </c>
      <c r="I5770" s="18">
        <v>18407.23</v>
      </c>
      <c r="J5770" s="27">
        <v>51861.5</v>
      </c>
      <c r="K5770" s="18">
        <f t="shared" si="181"/>
        <v>0</v>
      </c>
      <c r="L5770" s="27">
        <v>21418.080000000002</v>
      </c>
      <c r="M5770" s="36">
        <v>3010.85</v>
      </c>
      <c r="T5770" s="41">
        <v>0</v>
      </c>
      <c r="U5770" s="41">
        <v>0</v>
      </c>
      <c r="V5770" s="42" t="s">
        <v>113</v>
      </c>
      <c r="W5770" s="42">
        <v>0</v>
      </c>
      <c r="X5770" s="42">
        <v>0</v>
      </c>
    </row>
    <row r="5771" spans="1:24">
      <c r="A5771" s="27" t="s">
        <v>10631</v>
      </c>
      <c r="B5771" s="28" t="s">
        <v>5102</v>
      </c>
      <c r="C5771" s="27" t="s">
        <v>10632</v>
      </c>
      <c r="D5771" s="27" t="s">
        <v>5104</v>
      </c>
      <c r="E5771" s="29">
        <v>41724</v>
      </c>
      <c r="F5771" s="27">
        <v>15</v>
      </c>
      <c r="G5771" s="18">
        <v>45422.32</v>
      </c>
      <c r="H5771" s="27">
        <f t="shared" si="180"/>
        <v>0</v>
      </c>
      <c r="I5771" s="18">
        <v>16121.76</v>
      </c>
      <c r="J5771" s="27">
        <v>45422.32</v>
      </c>
      <c r="K5771" s="18">
        <f t="shared" si="181"/>
        <v>0</v>
      </c>
      <c r="L5771" s="27">
        <v>18758.78</v>
      </c>
      <c r="M5771" s="36">
        <v>2637.02</v>
      </c>
      <c r="T5771" s="41">
        <v>0</v>
      </c>
      <c r="U5771" s="41">
        <v>0</v>
      </c>
      <c r="V5771" s="42" t="s">
        <v>113</v>
      </c>
      <c r="W5771" s="42">
        <v>0</v>
      </c>
      <c r="X5771" s="42">
        <v>0</v>
      </c>
    </row>
    <row r="5772" spans="1:24">
      <c r="A5772" s="27" t="s">
        <v>10633</v>
      </c>
      <c r="B5772" s="28" t="s">
        <v>5102</v>
      </c>
      <c r="C5772" s="27" t="s">
        <v>10634</v>
      </c>
      <c r="D5772" s="27" t="s">
        <v>230</v>
      </c>
      <c r="E5772" s="29">
        <v>41724</v>
      </c>
      <c r="F5772" s="27">
        <v>15</v>
      </c>
      <c r="G5772" s="18">
        <v>239119.79</v>
      </c>
      <c r="H5772" s="27">
        <f t="shared" si="180"/>
        <v>0</v>
      </c>
      <c r="I5772" s="18">
        <v>84870.93</v>
      </c>
      <c r="J5772" s="27">
        <v>239119.79</v>
      </c>
      <c r="K5772" s="18">
        <f t="shared" si="181"/>
        <v>0</v>
      </c>
      <c r="L5772" s="27">
        <v>98753.16</v>
      </c>
      <c r="M5772" s="36">
        <v>13882.23</v>
      </c>
      <c r="T5772" s="41">
        <v>0</v>
      </c>
      <c r="U5772" s="41">
        <v>0</v>
      </c>
      <c r="V5772" s="42" t="s">
        <v>113</v>
      </c>
      <c r="W5772" s="42">
        <v>0</v>
      </c>
      <c r="X5772" s="42">
        <v>0</v>
      </c>
    </row>
    <row r="5773" spans="1:24">
      <c r="A5773" s="27" t="s">
        <v>10635</v>
      </c>
      <c r="B5773" s="28" t="s">
        <v>5102</v>
      </c>
      <c r="C5773" s="27" t="s">
        <v>10636</v>
      </c>
      <c r="D5773" s="27" t="s">
        <v>5104</v>
      </c>
      <c r="E5773" s="29">
        <v>41724</v>
      </c>
      <c r="F5773" s="27">
        <v>15</v>
      </c>
      <c r="G5773" s="18">
        <v>11051.02</v>
      </c>
      <c r="H5773" s="27">
        <f t="shared" si="180"/>
        <v>0</v>
      </c>
      <c r="I5773" s="18">
        <v>3922.33</v>
      </c>
      <c r="J5773" s="27">
        <v>11051.02</v>
      </c>
      <c r="K5773" s="18">
        <f t="shared" si="181"/>
        <v>0</v>
      </c>
      <c r="L5773" s="27">
        <v>4563.8999999999996</v>
      </c>
      <c r="M5773" s="36">
        <v>641.57000000000005</v>
      </c>
      <c r="T5773" s="41">
        <v>0</v>
      </c>
      <c r="U5773" s="41">
        <v>0</v>
      </c>
      <c r="V5773" s="42" t="s">
        <v>113</v>
      </c>
      <c r="W5773" s="42">
        <v>0</v>
      </c>
      <c r="X5773" s="42">
        <v>0</v>
      </c>
    </row>
    <row r="5774" spans="1:24">
      <c r="A5774" s="27" t="s">
        <v>10637</v>
      </c>
      <c r="B5774" s="28" t="s">
        <v>5102</v>
      </c>
      <c r="C5774" s="27" t="s">
        <v>10638</v>
      </c>
      <c r="D5774" s="27" t="s">
        <v>5104</v>
      </c>
      <c r="E5774" s="29">
        <v>41724</v>
      </c>
      <c r="F5774" s="27">
        <v>15</v>
      </c>
      <c r="G5774" s="18">
        <v>80750.789999999994</v>
      </c>
      <c r="H5774" s="27">
        <f t="shared" si="180"/>
        <v>0</v>
      </c>
      <c r="I5774" s="18">
        <v>28660.92</v>
      </c>
      <c r="J5774" s="27">
        <v>80750.789999999994</v>
      </c>
      <c r="K5774" s="18">
        <f t="shared" si="181"/>
        <v>0</v>
      </c>
      <c r="L5774" s="27">
        <v>33348.949999999997</v>
      </c>
      <c r="M5774" s="36">
        <v>4688.03</v>
      </c>
      <c r="T5774" s="41">
        <v>0</v>
      </c>
      <c r="U5774" s="41">
        <v>0</v>
      </c>
      <c r="V5774" s="42" t="s">
        <v>113</v>
      </c>
      <c r="W5774" s="42">
        <v>0</v>
      </c>
      <c r="X5774" s="42">
        <v>0</v>
      </c>
    </row>
    <row r="5775" spans="1:24">
      <c r="A5775" s="27" t="s">
        <v>10639</v>
      </c>
      <c r="B5775" s="28" t="s">
        <v>5102</v>
      </c>
      <c r="C5775" s="27" t="s">
        <v>10640</v>
      </c>
      <c r="D5775" s="27" t="s">
        <v>5104</v>
      </c>
      <c r="E5775" s="29">
        <v>41724</v>
      </c>
      <c r="F5775" s="27">
        <v>15</v>
      </c>
      <c r="G5775" s="18">
        <v>25843.73</v>
      </c>
      <c r="H5775" s="27">
        <f t="shared" si="180"/>
        <v>0</v>
      </c>
      <c r="I5775" s="18">
        <v>9172.7199999999993</v>
      </c>
      <c r="J5775" s="27">
        <v>25843.73</v>
      </c>
      <c r="K5775" s="18">
        <f t="shared" si="181"/>
        <v>0</v>
      </c>
      <c r="L5775" s="27">
        <v>10673.09</v>
      </c>
      <c r="M5775" s="36">
        <v>1500.37</v>
      </c>
      <c r="T5775" s="41">
        <v>0</v>
      </c>
      <c r="U5775" s="41">
        <v>0</v>
      </c>
      <c r="V5775" s="42" t="s">
        <v>113</v>
      </c>
      <c r="W5775" s="42">
        <v>0</v>
      </c>
      <c r="X5775" s="42">
        <v>0</v>
      </c>
    </row>
    <row r="5776" spans="1:24">
      <c r="A5776" s="27" t="s">
        <v>10641</v>
      </c>
      <c r="B5776" s="28" t="s">
        <v>5102</v>
      </c>
      <c r="C5776" s="27" t="s">
        <v>10642</v>
      </c>
      <c r="D5776" s="27" t="s">
        <v>5104</v>
      </c>
      <c r="E5776" s="29">
        <v>41724</v>
      </c>
      <c r="F5776" s="27">
        <v>15</v>
      </c>
      <c r="G5776" s="18">
        <v>34458.32</v>
      </c>
      <c r="H5776" s="27">
        <f t="shared" si="180"/>
        <v>0</v>
      </c>
      <c r="I5776" s="18">
        <v>12230.31</v>
      </c>
      <c r="J5776" s="27">
        <v>34458.32</v>
      </c>
      <c r="K5776" s="18">
        <f t="shared" si="181"/>
        <v>0</v>
      </c>
      <c r="L5776" s="27">
        <v>14230.81</v>
      </c>
      <c r="M5776" s="36">
        <v>2000.5</v>
      </c>
      <c r="T5776" s="41">
        <v>0</v>
      </c>
      <c r="U5776" s="41">
        <v>0</v>
      </c>
      <c r="V5776" s="42" t="s">
        <v>113</v>
      </c>
      <c r="W5776" s="42">
        <v>0</v>
      </c>
      <c r="X5776" s="42">
        <v>0</v>
      </c>
    </row>
    <row r="5777" spans="1:24">
      <c r="A5777" s="27" t="s">
        <v>10643</v>
      </c>
      <c r="B5777" s="28" t="s">
        <v>5102</v>
      </c>
      <c r="C5777" s="27" t="s">
        <v>10644</v>
      </c>
      <c r="D5777" s="27" t="s">
        <v>5104</v>
      </c>
      <c r="E5777" s="29">
        <v>41724</v>
      </c>
      <c r="F5777" s="27">
        <v>15</v>
      </c>
      <c r="G5777" s="18">
        <v>81410.59</v>
      </c>
      <c r="H5777" s="27">
        <f t="shared" si="180"/>
        <v>0</v>
      </c>
      <c r="I5777" s="18">
        <v>28895.11</v>
      </c>
      <c r="J5777" s="27">
        <v>81410.59</v>
      </c>
      <c r="K5777" s="18">
        <f t="shared" si="181"/>
        <v>0</v>
      </c>
      <c r="L5777" s="27">
        <v>33621.449999999997</v>
      </c>
      <c r="M5777" s="36">
        <v>4726.34</v>
      </c>
      <c r="T5777" s="41">
        <v>0</v>
      </c>
      <c r="U5777" s="41">
        <v>0</v>
      </c>
      <c r="V5777" s="42" t="s">
        <v>113</v>
      </c>
      <c r="W5777" s="42">
        <v>0</v>
      </c>
      <c r="X5777" s="42">
        <v>0</v>
      </c>
    </row>
    <row r="5778" spans="1:24">
      <c r="A5778" s="27" t="s">
        <v>10645</v>
      </c>
      <c r="B5778" s="28" t="s">
        <v>5102</v>
      </c>
      <c r="C5778" s="27" t="s">
        <v>9442</v>
      </c>
      <c r="D5778" s="27" t="s">
        <v>5104</v>
      </c>
      <c r="E5778" s="29">
        <v>41724</v>
      </c>
      <c r="F5778" s="27">
        <v>15</v>
      </c>
      <c r="G5778" s="18">
        <v>60663.75</v>
      </c>
      <c r="H5778" s="27">
        <f t="shared" si="180"/>
        <v>0</v>
      </c>
      <c r="I5778" s="18">
        <v>21531.43</v>
      </c>
      <c r="J5778" s="27">
        <v>60663.75</v>
      </c>
      <c r="K5778" s="18">
        <f t="shared" si="181"/>
        <v>0</v>
      </c>
      <c r="L5778" s="27">
        <v>25053.3</v>
      </c>
      <c r="M5778" s="36">
        <v>3521.87</v>
      </c>
      <c r="T5778" s="41">
        <v>0</v>
      </c>
      <c r="U5778" s="41">
        <v>0</v>
      </c>
      <c r="V5778" s="42" t="s">
        <v>113</v>
      </c>
      <c r="W5778" s="42">
        <v>0</v>
      </c>
      <c r="X5778" s="42">
        <v>0</v>
      </c>
    </row>
    <row r="5779" spans="1:24">
      <c r="A5779" s="27" t="s">
        <v>10646</v>
      </c>
      <c r="B5779" s="28" t="s">
        <v>5102</v>
      </c>
      <c r="C5779" s="27" t="s">
        <v>10647</v>
      </c>
      <c r="D5779" s="27" t="s">
        <v>5104</v>
      </c>
      <c r="E5779" s="29">
        <v>41724</v>
      </c>
      <c r="F5779" s="27">
        <v>15</v>
      </c>
      <c r="G5779" s="18">
        <v>19045.599999999999</v>
      </c>
      <c r="H5779" s="27">
        <f t="shared" si="180"/>
        <v>0</v>
      </c>
      <c r="I5779" s="18">
        <v>6759.86</v>
      </c>
      <c r="J5779" s="27">
        <v>19045.599999999999</v>
      </c>
      <c r="K5779" s="18">
        <f t="shared" si="181"/>
        <v>0</v>
      </c>
      <c r="L5779" s="27">
        <v>7865.56</v>
      </c>
      <c r="M5779" s="36">
        <v>1105.7</v>
      </c>
      <c r="T5779" s="41">
        <v>0</v>
      </c>
      <c r="U5779" s="41">
        <v>0</v>
      </c>
      <c r="V5779" s="42" t="s">
        <v>113</v>
      </c>
      <c r="W5779" s="42">
        <v>0</v>
      </c>
      <c r="X5779" s="42">
        <v>0</v>
      </c>
    </row>
    <row r="5780" spans="1:24">
      <c r="A5780" s="27" t="s">
        <v>10648</v>
      </c>
      <c r="B5780" s="28" t="s">
        <v>5102</v>
      </c>
      <c r="C5780" s="27" t="s">
        <v>10649</v>
      </c>
      <c r="D5780" s="27" t="s">
        <v>5104</v>
      </c>
      <c r="E5780" s="29">
        <v>41724</v>
      </c>
      <c r="F5780" s="27">
        <v>12</v>
      </c>
      <c r="G5780" s="18">
        <v>3112.03</v>
      </c>
      <c r="H5780" s="27">
        <f t="shared" si="180"/>
        <v>3112.03</v>
      </c>
      <c r="I5780" s="18">
        <v>3112.03</v>
      </c>
      <c r="J5780" s="27">
        <v>3112.03</v>
      </c>
      <c r="K5780" s="18">
        <f t="shared" si="181"/>
        <v>3112.03</v>
      </c>
      <c r="L5780" s="27">
        <v>3112.03</v>
      </c>
      <c r="M5780" s="36">
        <v>0</v>
      </c>
      <c r="T5780" s="41">
        <v>0</v>
      </c>
      <c r="U5780" s="41">
        <v>0</v>
      </c>
      <c r="V5780" s="42" t="s">
        <v>113</v>
      </c>
      <c r="W5780" s="42">
        <v>3112.03</v>
      </c>
      <c r="X5780" s="42">
        <v>3112.03</v>
      </c>
    </row>
    <row r="5781" spans="1:24">
      <c r="A5781" s="27" t="s">
        <v>10650</v>
      </c>
      <c r="B5781" s="28" t="s">
        <v>5102</v>
      </c>
      <c r="C5781" s="27" t="s">
        <v>10651</v>
      </c>
      <c r="D5781" s="27" t="s">
        <v>5104</v>
      </c>
      <c r="E5781" s="29">
        <v>41724</v>
      </c>
      <c r="F5781" s="27">
        <v>15</v>
      </c>
      <c r="G5781" s="18">
        <v>80954.16</v>
      </c>
      <c r="H5781" s="27">
        <f t="shared" si="180"/>
        <v>0</v>
      </c>
      <c r="I5781" s="18">
        <v>28733.1</v>
      </c>
      <c r="J5781" s="27">
        <v>80954.16</v>
      </c>
      <c r="K5781" s="18">
        <f t="shared" si="181"/>
        <v>0</v>
      </c>
      <c r="L5781" s="27">
        <v>33432.94</v>
      </c>
      <c r="M5781" s="36">
        <v>4699.84</v>
      </c>
      <c r="T5781" s="41">
        <v>0</v>
      </c>
      <c r="U5781" s="41">
        <v>0</v>
      </c>
      <c r="V5781" s="42" t="s">
        <v>113</v>
      </c>
      <c r="W5781" s="42">
        <v>0</v>
      </c>
      <c r="X5781" s="42">
        <v>0</v>
      </c>
    </row>
    <row r="5782" spans="1:24">
      <c r="A5782" s="27" t="s">
        <v>10652</v>
      </c>
      <c r="B5782" s="28" t="s">
        <v>5102</v>
      </c>
      <c r="C5782" s="27" t="s">
        <v>10653</v>
      </c>
      <c r="D5782" s="27" t="s">
        <v>5104</v>
      </c>
      <c r="E5782" s="29">
        <v>41724</v>
      </c>
      <c r="F5782" s="27">
        <v>15</v>
      </c>
      <c r="G5782" s="18">
        <v>191991.24</v>
      </c>
      <c r="H5782" s="27">
        <f t="shared" si="180"/>
        <v>0</v>
      </c>
      <c r="I5782" s="18">
        <v>68143.570000000007</v>
      </c>
      <c r="J5782" s="27">
        <v>191991.24</v>
      </c>
      <c r="K5782" s="18">
        <f t="shared" si="181"/>
        <v>0</v>
      </c>
      <c r="L5782" s="27">
        <v>79289.73</v>
      </c>
      <c r="M5782" s="36">
        <v>11146.16</v>
      </c>
      <c r="T5782" s="41">
        <v>0</v>
      </c>
      <c r="U5782" s="41">
        <v>0</v>
      </c>
      <c r="V5782" s="42" t="s">
        <v>113</v>
      </c>
      <c r="W5782" s="42">
        <v>0</v>
      </c>
      <c r="X5782" s="42">
        <v>0</v>
      </c>
    </row>
    <row r="5783" spans="1:24">
      <c r="A5783" s="27" t="s">
        <v>10654</v>
      </c>
      <c r="B5783" s="28" t="s">
        <v>5102</v>
      </c>
      <c r="C5783" s="27" t="s">
        <v>10655</v>
      </c>
      <c r="D5783" s="27" t="s">
        <v>5104</v>
      </c>
      <c r="E5783" s="29">
        <v>41724</v>
      </c>
      <c r="F5783" s="27">
        <v>15</v>
      </c>
      <c r="G5783" s="18">
        <v>86424.05</v>
      </c>
      <c r="H5783" s="27">
        <f t="shared" si="180"/>
        <v>0</v>
      </c>
      <c r="I5783" s="18">
        <v>30674.53</v>
      </c>
      <c r="J5783" s="27">
        <v>86424.05</v>
      </c>
      <c r="K5783" s="18">
        <f t="shared" si="181"/>
        <v>0</v>
      </c>
      <c r="L5783" s="27">
        <v>35691.93</v>
      </c>
      <c r="M5783" s="36">
        <v>5017.3999999999996</v>
      </c>
      <c r="T5783" s="41">
        <v>0</v>
      </c>
      <c r="U5783" s="41">
        <v>0</v>
      </c>
      <c r="V5783" s="42" t="s">
        <v>113</v>
      </c>
      <c r="W5783" s="42">
        <v>0</v>
      </c>
      <c r="X5783" s="42">
        <v>0</v>
      </c>
    </row>
    <row r="5784" spans="1:24">
      <c r="A5784" s="27" t="s">
        <v>10656</v>
      </c>
      <c r="B5784" s="28" t="s">
        <v>5102</v>
      </c>
      <c r="C5784" s="27" t="s">
        <v>10657</v>
      </c>
      <c r="D5784" s="27" t="s">
        <v>5104</v>
      </c>
      <c r="E5784" s="29">
        <v>41724</v>
      </c>
      <c r="F5784" s="27">
        <v>15</v>
      </c>
      <c r="G5784" s="18">
        <v>89510.62</v>
      </c>
      <c r="H5784" s="27">
        <f t="shared" si="180"/>
        <v>0</v>
      </c>
      <c r="I5784" s="18">
        <v>31770.06</v>
      </c>
      <c r="J5784" s="27">
        <v>89510.62</v>
      </c>
      <c r="K5784" s="18">
        <f t="shared" si="181"/>
        <v>0</v>
      </c>
      <c r="L5784" s="27">
        <v>36966.65</v>
      </c>
      <c r="M5784" s="36">
        <v>5196.59</v>
      </c>
      <c r="T5784" s="41">
        <v>0</v>
      </c>
      <c r="U5784" s="41">
        <v>0</v>
      </c>
      <c r="V5784" s="42" t="s">
        <v>113</v>
      </c>
      <c r="W5784" s="42">
        <v>0</v>
      </c>
      <c r="X5784" s="42">
        <v>0</v>
      </c>
    </row>
    <row r="5785" spans="1:24">
      <c r="A5785" s="27" t="s">
        <v>10658</v>
      </c>
      <c r="B5785" s="28" t="s">
        <v>5102</v>
      </c>
      <c r="C5785" s="27" t="s">
        <v>10659</v>
      </c>
      <c r="D5785" s="27" t="s">
        <v>230</v>
      </c>
      <c r="E5785" s="29">
        <v>41724</v>
      </c>
      <c r="F5785" s="27">
        <v>15</v>
      </c>
      <c r="G5785" s="18">
        <v>13494.78</v>
      </c>
      <c r="H5785" s="27">
        <f t="shared" si="180"/>
        <v>0</v>
      </c>
      <c r="I5785" s="18">
        <v>4789.71</v>
      </c>
      <c r="J5785" s="27">
        <v>13494.78</v>
      </c>
      <c r="K5785" s="18">
        <f t="shared" si="181"/>
        <v>0</v>
      </c>
      <c r="L5785" s="27">
        <v>5573.16</v>
      </c>
      <c r="M5785" s="36">
        <v>783.45</v>
      </c>
      <c r="T5785" s="41">
        <v>0</v>
      </c>
      <c r="U5785" s="41">
        <v>0</v>
      </c>
      <c r="V5785" s="42" t="s">
        <v>113</v>
      </c>
      <c r="W5785" s="42">
        <v>0</v>
      </c>
      <c r="X5785" s="42">
        <v>0</v>
      </c>
    </row>
    <row r="5786" spans="1:24">
      <c r="A5786" s="27" t="s">
        <v>10660</v>
      </c>
      <c r="B5786" s="28" t="s">
        <v>5102</v>
      </c>
      <c r="C5786" s="27" t="s">
        <v>10661</v>
      </c>
      <c r="D5786" s="27" t="s">
        <v>5104</v>
      </c>
      <c r="E5786" s="29">
        <v>41724</v>
      </c>
      <c r="F5786" s="27">
        <v>15</v>
      </c>
      <c r="G5786" s="18">
        <v>160214.68</v>
      </c>
      <c r="H5786" s="27">
        <f t="shared" si="180"/>
        <v>0</v>
      </c>
      <c r="I5786" s="18">
        <v>56865.08</v>
      </c>
      <c r="J5786" s="27">
        <v>160214.68</v>
      </c>
      <c r="K5786" s="18">
        <f t="shared" si="181"/>
        <v>0</v>
      </c>
      <c r="L5786" s="27">
        <v>66166.429999999993</v>
      </c>
      <c r="M5786" s="36">
        <v>9301.35</v>
      </c>
      <c r="T5786" s="41">
        <v>0</v>
      </c>
      <c r="U5786" s="41">
        <v>0</v>
      </c>
      <c r="V5786" s="42" t="s">
        <v>113</v>
      </c>
      <c r="W5786" s="42">
        <v>0</v>
      </c>
      <c r="X5786" s="42">
        <v>0</v>
      </c>
    </row>
    <row r="5787" spans="1:24">
      <c r="A5787" s="27" t="s">
        <v>10662</v>
      </c>
      <c r="B5787" s="28" t="s">
        <v>5102</v>
      </c>
      <c r="C5787" s="27" t="s">
        <v>10663</v>
      </c>
      <c r="D5787" s="27" t="s">
        <v>5104</v>
      </c>
      <c r="E5787" s="29">
        <v>41724</v>
      </c>
      <c r="F5787" s="27">
        <v>15</v>
      </c>
      <c r="G5787" s="18">
        <v>153108.38</v>
      </c>
      <c r="H5787" s="27">
        <f t="shared" si="180"/>
        <v>0</v>
      </c>
      <c r="I5787" s="18">
        <v>54342.84</v>
      </c>
      <c r="J5787" s="27">
        <v>153108.38</v>
      </c>
      <c r="K5787" s="18">
        <f t="shared" si="181"/>
        <v>0</v>
      </c>
      <c r="L5787" s="27">
        <v>63231.63</v>
      </c>
      <c r="M5787" s="36">
        <v>8888.7900000000009</v>
      </c>
      <c r="T5787" s="41">
        <v>0</v>
      </c>
      <c r="U5787" s="41">
        <v>0</v>
      </c>
      <c r="V5787" s="42" t="s">
        <v>113</v>
      </c>
      <c r="W5787" s="42">
        <v>0</v>
      </c>
      <c r="X5787" s="42">
        <v>0</v>
      </c>
    </row>
    <row r="5788" spans="1:24">
      <c r="A5788" s="27" t="s">
        <v>10664</v>
      </c>
      <c r="B5788" s="28" t="s">
        <v>5102</v>
      </c>
      <c r="C5788" s="27" t="s">
        <v>10665</v>
      </c>
      <c r="D5788" s="27" t="s">
        <v>230</v>
      </c>
      <c r="E5788" s="29">
        <v>41724</v>
      </c>
      <c r="F5788" s="27">
        <v>15</v>
      </c>
      <c r="G5788" s="18">
        <v>38474.49</v>
      </c>
      <c r="H5788" s="27">
        <f t="shared" si="180"/>
        <v>0</v>
      </c>
      <c r="I5788" s="18">
        <v>13655.78</v>
      </c>
      <c r="J5788" s="27">
        <v>38474.49</v>
      </c>
      <c r="K5788" s="18">
        <f t="shared" si="181"/>
        <v>0</v>
      </c>
      <c r="L5788" s="27">
        <v>15889.44</v>
      </c>
      <c r="M5788" s="36">
        <v>2233.66</v>
      </c>
      <c r="T5788" s="41">
        <v>0</v>
      </c>
      <c r="U5788" s="41">
        <v>0</v>
      </c>
      <c r="V5788" s="42" t="s">
        <v>113</v>
      </c>
      <c r="W5788" s="42">
        <v>0</v>
      </c>
      <c r="X5788" s="42">
        <v>0</v>
      </c>
    </row>
    <row r="5789" spans="1:24">
      <c r="A5789" s="27" t="s">
        <v>10666</v>
      </c>
      <c r="B5789" s="28" t="s">
        <v>5102</v>
      </c>
      <c r="C5789" s="27" t="s">
        <v>10667</v>
      </c>
      <c r="D5789" s="27" t="s">
        <v>5104</v>
      </c>
      <c r="E5789" s="29">
        <v>41724</v>
      </c>
      <c r="F5789" s="27">
        <v>15</v>
      </c>
      <c r="G5789" s="18">
        <v>73288.160000000003</v>
      </c>
      <c r="H5789" s="27">
        <f t="shared" si="180"/>
        <v>0</v>
      </c>
      <c r="I5789" s="18">
        <v>26012.2</v>
      </c>
      <c r="J5789" s="27">
        <v>73288.160000000003</v>
      </c>
      <c r="K5789" s="18">
        <f t="shared" si="181"/>
        <v>0</v>
      </c>
      <c r="L5789" s="27">
        <v>30266.99</v>
      </c>
      <c r="M5789" s="36">
        <v>4254.79</v>
      </c>
      <c r="T5789" s="41">
        <v>0</v>
      </c>
      <c r="U5789" s="41">
        <v>0</v>
      </c>
      <c r="V5789" s="42" t="s">
        <v>113</v>
      </c>
      <c r="W5789" s="42">
        <v>0</v>
      </c>
      <c r="X5789" s="42">
        <v>0</v>
      </c>
    </row>
    <row r="5790" spans="1:24">
      <c r="A5790" s="27" t="s">
        <v>10668</v>
      </c>
      <c r="B5790" s="28" t="s">
        <v>5102</v>
      </c>
      <c r="C5790" s="27" t="s">
        <v>10669</v>
      </c>
      <c r="D5790" s="27" t="s">
        <v>5104</v>
      </c>
      <c r="E5790" s="29">
        <v>41724</v>
      </c>
      <c r="F5790" s="27">
        <v>15</v>
      </c>
      <c r="G5790" s="18">
        <v>120304.57</v>
      </c>
      <c r="H5790" s="27">
        <f t="shared" si="180"/>
        <v>0</v>
      </c>
      <c r="I5790" s="18">
        <v>42699.76</v>
      </c>
      <c r="J5790" s="27">
        <v>120304.57</v>
      </c>
      <c r="K5790" s="18">
        <f t="shared" si="181"/>
        <v>0</v>
      </c>
      <c r="L5790" s="27">
        <v>49684.11</v>
      </c>
      <c r="M5790" s="36">
        <v>6984.35</v>
      </c>
      <c r="T5790" s="41">
        <v>0</v>
      </c>
      <c r="U5790" s="41">
        <v>0</v>
      </c>
      <c r="V5790" s="42" t="s">
        <v>113</v>
      </c>
      <c r="W5790" s="42">
        <v>0</v>
      </c>
      <c r="X5790" s="42">
        <v>0</v>
      </c>
    </row>
    <row r="5791" spans="1:24">
      <c r="A5791" s="27" t="s">
        <v>10670</v>
      </c>
      <c r="B5791" s="28" t="s">
        <v>5102</v>
      </c>
      <c r="C5791" s="27" t="s">
        <v>10671</v>
      </c>
      <c r="D5791" s="27" t="s">
        <v>5104</v>
      </c>
      <c r="E5791" s="29">
        <v>41724</v>
      </c>
      <c r="F5791" s="27">
        <v>15</v>
      </c>
      <c r="G5791" s="18">
        <v>59649.82</v>
      </c>
      <c r="H5791" s="27">
        <f t="shared" si="180"/>
        <v>0</v>
      </c>
      <c r="I5791" s="18">
        <v>21171.54</v>
      </c>
      <c r="J5791" s="27">
        <v>59649.82</v>
      </c>
      <c r="K5791" s="18">
        <f t="shared" si="181"/>
        <v>0</v>
      </c>
      <c r="L5791" s="27">
        <v>24634.54</v>
      </c>
      <c r="M5791" s="36">
        <v>3463</v>
      </c>
      <c r="T5791" s="41">
        <v>0</v>
      </c>
      <c r="U5791" s="41">
        <v>0</v>
      </c>
      <c r="V5791" s="42" t="s">
        <v>113</v>
      </c>
      <c r="W5791" s="42">
        <v>0</v>
      </c>
      <c r="X5791" s="42">
        <v>0</v>
      </c>
    </row>
    <row r="5792" spans="1:24">
      <c r="A5792" s="27" t="s">
        <v>10672</v>
      </c>
      <c r="B5792" s="28" t="s">
        <v>5102</v>
      </c>
      <c r="C5792" s="27" t="s">
        <v>10673</v>
      </c>
      <c r="D5792" s="27" t="s">
        <v>5104</v>
      </c>
      <c r="E5792" s="29">
        <v>41724</v>
      </c>
      <c r="F5792" s="27">
        <v>15</v>
      </c>
      <c r="G5792" s="18">
        <v>142125.92000000001</v>
      </c>
      <c r="H5792" s="27">
        <f t="shared" si="180"/>
        <v>0</v>
      </c>
      <c r="I5792" s="18">
        <v>50444.83</v>
      </c>
      <c r="J5792" s="27">
        <v>142125.92000000001</v>
      </c>
      <c r="K5792" s="18">
        <f t="shared" si="181"/>
        <v>0</v>
      </c>
      <c r="L5792" s="27">
        <v>58696.03</v>
      </c>
      <c r="M5792" s="36">
        <v>8251.2000000000007</v>
      </c>
      <c r="T5792" s="41">
        <v>0</v>
      </c>
      <c r="U5792" s="41">
        <v>0</v>
      </c>
      <c r="V5792" s="42" t="s">
        <v>113</v>
      </c>
      <c r="W5792" s="42">
        <v>0</v>
      </c>
      <c r="X5792" s="42">
        <v>0</v>
      </c>
    </row>
    <row r="5793" spans="1:24">
      <c r="A5793" s="27" t="s">
        <v>10674</v>
      </c>
      <c r="B5793" s="28" t="s">
        <v>5102</v>
      </c>
      <c r="C5793" s="27" t="s">
        <v>10675</v>
      </c>
      <c r="D5793" s="27" t="s">
        <v>230</v>
      </c>
      <c r="E5793" s="29">
        <v>41724</v>
      </c>
      <c r="F5793" s="27">
        <v>15</v>
      </c>
      <c r="G5793" s="18">
        <v>60152.28</v>
      </c>
      <c r="H5793" s="27">
        <f t="shared" si="180"/>
        <v>0</v>
      </c>
      <c r="I5793" s="18">
        <v>21349.88</v>
      </c>
      <c r="J5793" s="27">
        <v>60152.28</v>
      </c>
      <c r="K5793" s="18">
        <f t="shared" si="181"/>
        <v>0</v>
      </c>
      <c r="L5793" s="27">
        <v>24842.05</v>
      </c>
      <c r="M5793" s="36">
        <v>3492.17</v>
      </c>
      <c r="T5793" s="41">
        <v>0</v>
      </c>
      <c r="U5793" s="41">
        <v>0</v>
      </c>
      <c r="V5793" s="42" t="s">
        <v>113</v>
      </c>
      <c r="W5793" s="42">
        <v>0</v>
      </c>
      <c r="X5793" s="42">
        <v>0</v>
      </c>
    </row>
    <row r="5794" spans="1:24">
      <c r="A5794" s="27" t="s">
        <v>10676</v>
      </c>
      <c r="B5794" s="28" t="s">
        <v>5102</v>
      </c>
      <c r="C5794" s="27" t="s">
        <v>10677</v>
      </c>
      <c r="D5794" s="27" t="s">
        <v>5104</v>
      </c>
      <c r="E5794" s="29">
        <v>41789</v>
      </c>
      <c r="F5794" s="27">
        <v>15</v>
      </c>
      <c r="G5794" s="18">
        <v>52718</v>
      </c>
      <c r="H5794" s="27">
        <f t="shared" si="180"/>
        <v>0</v>
      </c>
      <c r="I5794" s="18">
        <v>18031.900000000001</v>
      </c>
      <c r="J5794" s="27">
        <v>52718</v>
      </c>
      <c r="K5794" s="18">
        <f t="shared" si="181"/>
        <v>0</v>
      </c>
      <c r="L5794" s="27">
        <v>21108.720000000001</v>
      </c>
      <c r="M5794" s="36">
        <v>3076.82</v>
      </c>
      <c r="T5794" s="41">
        <v>0</v>
      </c>
      <c r="U5794" s="41">
        <v>0</v>
      </c>
      <c r="V5794" s="42" t="s">
        <v>113</v>
      </c>
      <c r="W5794" s="42">
        <v>0</v>
      </c>
      <c r="X5794" s="42">
        <v>0</v>
      </c>
    </row>
    <row r="5795" spans="1:24">
      <c r="A5795" s="27" t="s">
        <v>10678</v>
      </c>
      <c r="B5795" s="28" t="s">
        <v>5102</v>
      </c>
      <c r="C5795" s="27" t="s">
        <v>10679</v>
      </c>
      <c r="D5795" s="27" t="s">
        <v>5104</v>
      </c>
      <c r="E5795" s="29">
        <v>41789</v>
      </c>
      <c r="F5795" s="27">
        <v>15</v>
      </c>
      <c r="G5795" s="18">
        <v>71241.539999999994</v>
      </c>
      <c r="H5795" s="27">
        <f t="shared" si="180"/>
        <v>0</v>
      </c>
      <c r="I5795" s="18">
        <v>24367.759999999998</v>
      </c>
      <c r="J5795" s="27">
        <v>71241.539999999994</v>
      </c>
      <c r="K5795" s="18">
        <f t="shared" si="181"/>
        <v>0</v>
      </c>
      <c r="L5795" s="27">
        <v>28525.68</v>
      </c>
      <c r="M5795" s="36">
        <v>4157.92</v>
      </c>
      <c r="T5795" s="41">
        <v>0</v>
      </c>
      <c r="U5795" s="41">
        <v>0</v>
      </c>
      <c r="V5795" s="42" t="s">
        <v>113</v>
      </c>
      <c r="W5795" s="42">
        <v>0</v>
      </c>
      <c r="X5795" s="42">
        <v>0</v>
      </c>
    </row>
    <row r="5796" spans="1:24">
      <c r="A5796" s="27" t="s">
        <v>10680</v>
      </c>
      <c r="B5796" s="28" t="s">
        <v>5102</v>
      </c>
      <c r="C5796" s="27" t="s">
        <v>10681</v>
      </c>
      <c r="D5796" s="27" t="s">
        <v>5104</v>
      </c>
      <c r="E5796" s="29">
        <v>41789</v>
      </c>
      <c r="F5796" s="27">
        <v>15</v>
      </c>
      <c r="G5796" s="18">
        <v>19264.48</v>
      </c>
      <c r="H5796" s="27">
        <f t="shared" si="180"/>
        <v>0</v>
      </c>
      <c r="I5796" s="18">
        <v>6589.31</v>
      </c>
      <c r="J5796" s="27">
        <v>19264.48</v>
      </c>
      <c r="K5796" s="18">
        <f t="shared" si="181"/>
        <v>0</v>
      </c>
      <c r="L5796" s="27">
        <v>7713.66</v>
      </c>
      <c r="M5796" s="36">
        <v>1124.3499999999999</v>
      </c>
      <c r="T5796" s="41">
        <v>0</v>
      </c>
      <c r="U5796" s="41">
        <v>0</v>
      </c>
      <c r="V5796" s="42" t="s">
        <v>113</v>
      </c>
      <c r="W5796" s="42">
        <v>0</v>
      </c>
      <c r="X5796" s="42">
        <v>0</v>
      </c>
    </row>
    <row r="5797" spans="1:24">
      <c r="A5797" s="27" t="s">
        <v>10682</v>
      </c>
      <c r="B5797" s="28" t="s">
        <v>5102</v>
      </c>
      <c r="C5797" s="27" t="s">
        <v>10683</v>
      </c>
      <c r="D5797" s="27" t="s">
        <v>5104</v>
      </c>
      <c r="E5797" s="29">
        <v>41789</v>
      </c>
      <c r="F5797" s="27">
        <v>15</v>
      </c>
      <c r="G5797" s="18">
        <v>76946.789999999994</v>
      </c>
      <c r="H5797" s="27">
        <f t="shared" si="180"/>
        <v>0</v>
      </c>
      <c r="I5797" s="18">
        <v>26319.21</v>
      </c>
      <c r="J5797" s="27">
        <v>76946.789999999994</v>
      </c>
      <c r="K5797" s="18">
        <f t="shared" si="181"/>
        <v>0</v>
      </c>
      <c r="L5797" s="27">
        <v>30810.11</v>
      </c>
      <c r="M5797" s="36">
        <v>4490.8999999999996</v>
      </c>
      <c r="T5797" s="41">
        <v>0</v>
      </c>
      <c r="U5797" s="41">
        <v>0</v>
      </c>
      <c r="V5797" s="42" t="s">
        <v>113</v>
      </c>
      <c r="W5797" s="42">
        <v>0</v>
      </c>
      <c r="X5797" s="42">
        <v>0</v>
      </c>
    </row>
    <row r="5798" spans="1:24">
      <c r="A5798" s="27" t="s">
        <v>10684</v>
      </c>
      <c r="B5798" s="28" t="s">
        <v>5102</v>
      </c>
      <c r="C5798" s="27" t="s">
        <v>10685</v>
      </c>
      <c r="D5798" s="27" t="s">
        <v>230</v>
      </c>
      <c r="E5798" s="29">
        <v>41789</v>
      </c>
      <c r="F5798" s="27">
        <v>15</v>
      </c>
      <c r="G5798" s="18">
        <v>36824.800000000003</v>
      </c>
      <c r="H5798" s="27">
        <f t="shared" si="180"/>
        <v>0</v>
      </c>
      <c r="I5798" s="18">
        <v>12595.72</v>
      </c>
      <c r="J5798" s="27">
        <v>36824.800000000003</v>
      </c>
      <c r="K5798" s="18">
        <f t="shared" si="181"/>
        <v>0</v>
      </c>
      <c r="L5798" s="27">
        <v>14744.95</v>
      </c>
      <c r="M5798" s="36">
        <v>2149.23</v>
      </c>
      <c r="T5798" s="41">
        <v>0</v>
      </c>
      <c r="U5798" s="41">
        <v>0</v>
      </c>
      <c r="V5798" s="42" t="s">
        <v>113</v>
      </c>
      <c r="W5798" s="42">
        <v>0</v>
      </c>
      <c r="X5798" s="42">
        <v>0</v>
      </c>
    </row>
    <row r="5799" spans="1:24">
      <c r="A5799" s="27" t="s">
        <v>10686</v>
      </c>
      <c r="B5799" s="28" t="s">
        <v>5102</v>
      </c>
      <c r="C5799" s="27" t="s">
        <v>10687</v>
      </c>
      <c r="D5799" s="27" t="s">
        <v>5104</v>
      </c>
      <c r="E5799" s="29">
        <v>41789</v>
      </c>
      <c r="F5799" s="27">
        <v>15</v>
      </c>
      <c r="G5799" s="18">
        <v>46197.71</v>
      </c>
      <c r="H5799" s="27">
        <f t="shared" si="180"/>
        <v>0</v>
      </c>
      <c r="I5799" s="18">
        <v>15801.67</v>
      </c>
      <c r="J5799" s="27">
        <v>46197.71</v>
      </c>
      <c r="K5799" s="18">
        <f t="shared" si="181"/>
        <v>0</v>
      </c>
      <c r="L5799" s="27">
        <v>18497.939999999999</v>
      </c>
      <c r="M5799" s="36">
        <v>2696.27</v>
      </c>
      <c r="T5799" s="41">
        <v>0</v>
      </c>
      <c r="U5799" s="41">
        <v>0</v>
      </c>
      <c r="V5799" s="42" t="s">
        <v>113</v>
      </c>
      <c r="W5799" s="42">
        <v>0</v>
      </c>
      <c r="X5799" s="42">
        <v>0</v>
      </c>
    </row>
    <row r="5800" spans="1:24">
      <c r="A5800" s="27" t="s">
        <v>10688</v>
      </c>
      <c r="B5800" s="28" t="s">
        <v>5102</v>
      </c>
      <c r="C5800" s="27" t="s">
        <v>10689</v>
      </c>
      <c r="D5800" s="27" t="s">
        <v>5104</v>
      </c>
      <c r="E5800" s="29">
        <v>41789</v>
      </c>
      <c r="F5800" s="27">
        <v>15</v>
      </c>
      <c r="G5800" s="18">
        <v>35120.629999999997</v>
      </c>
      <c r="H5800" s="27">
        <f t="shared" si="180"/>
        <v>0</v>
      </c>
      <c r="I5800" s="18">
        <v>12012.8</v>
      </c>
      <c r="J5800" s="27">
        <v>35120.629999999997</v>
      </c>
      <c r="K5800" s="18">
        <f t="shared" si="181"/>
        <v>0</v>
      </c>
      <c r="L5800" s="27">
        <v>14062.57</v>
      </c>
      <c r="M5800" s="36">
        <v>2049.77</v>
      </c>
      <c r="T5800" s="41">
        <v>0</v>
      </c>
      <c r="U5800" s="41">
        <v>0</v>
      </c>
      <c r="V5800" s="42" t="s">
        <v>113</v>
      </c>
      <c r="W5800" s="42">
        <v>0</v>
      </c>
      <c r="X5800" s="42">
        <v>0</v>
      </c>
    </row>
    <row r="5801" spans="1:24">
      <c r="A5801" s="27" t="s">
        <v>10690</v>
      </c>
      <c r="B5801" s="28" t="s">
        <v>5102</v>
      </c>
      <c r="C5801" s="27" t="s">
        <v>10691</v>
      </c>
      <c r="D5801" s="27" t="s">
        <v>5104</v>
      </c>
      <c r="E5801" s="29">
        <v>41789</v>
      </c>
      <c r="F5801" s="27">
        <v>15</v>
      </c>
      <c r="G5801" s="18">
        <v>11855.07</v>
      </c>
      <c r="H5801" s="27">
        <f t="shared" si="180"/>
        <v>0</v>
      </c>
      <c r="I5801" s="18">
        <v>4054.96</v>
      </c>
      <c r="J5801" s="27">
        <v>11855.07</v>
      </c>
      <c r="K5801" s="18">
        <f t="shared" si="181"/>
        <v>0</v>
      </c>
      <c r="L5801" s="27">
        <v>4746.87</v>
      </c>
      <c r="M5801" s="36">
        <v>691.91</v>
      </c>
      <c r="T5801" s="41">
        <v>0</v>
      </c>
      <c r="U5801" s="41">
        <v>0</v>
      </c>
      <c r="V5801" s="42" t="s">
        <v>113</v>
      </c>
      <c r="W5801" s="42">
        <v>0</v>
      </c>
      <c r="X5801" s="42">
        <v>0</v>
      </c>
    </row>
    <row r="5802" spans="1:24">
      <c r="A5802" s="27" t="s">
        <v>10692</v>
      </c>
      <c r="B5802" s="28" t="s">
        <v>5102</v>
      </c>
      <c r="C5802" s="27" t="s">
        <v>10693</v>
      </c>
      <c r="D5802" s="27" t="s">
        <v>5104</v>
      </c>
      <c r="E5802" s="29">
        <v>41789</v>
      </c>
      <c r="F5802" s="27">
        <v>15</v>
      </c>
      <c r="G5802" s="18">
        <v>49717.18</v>
      </c>
      <c r="H5802" s="27">
        <f t="shared" si="180"/>
        <v>0</v>
      </c>
      <c r="I5802" s="18">
        <v>17005.47</v>
      </c>
      <c r="J5802" s="27">
        <v>49717.18</v>
      </c>
      <c r="K5802" s="18">
        <f t="shared" si="181"/>
        <v>0</v>
      </c>
      <c r="L5802" s="27">
        <v>19907.150000000001</v>
      </c>
      <c r="M5802" s="36">
        <v>2901.68</v>
      </c>
      <c r="T5802" s="41">
        <v>0</v>
      </c>
      <c r="U5802" s="41">
        <v>0</v>
      </c>
      <c r="V5802" s="42" t="s">
        <v>113</v>
      </c>
      <c r="W5802" s="42">
        <v>0</v>
      </c>
      <c r="X5802" s="42">
        <v>0</v>
      </c>
    </row>
    <row r="5803" spans="1:24">
      <c r="A5803" s="27" t="s">
        <v>10694</v>
      </c>
      <c r="B5803" s="28" t="s">
        <v>5102</v>
      </c>
      <c r="C5803" s="27" t="s">
        <v>10695</v>
      </c>
      <c r="D5803" s="27" t="s">
        <v>5104</v>
      </c>
      <c r="E5803" s="29">
        <v>41789</v>
      </c>
      <c r="F5803" s="27">
        <v>15</v>
      </c>
      <c r="G5803" s="18">
        <v>35898.620000000003</v>
      </c>
      <c r="H5803" s="27">
        <f t="shared" si="180"/>
        <v>0</v>
      </c>
      <c r="I5803" s="18">
        <v>12278.91</v>
      </c>
      <c r="J5803" s="27">
        <v>35898.620000000003</v>
      </c>
      <c r="K5803" s="18">
        <f t="shared" si="181"/>
        <v>0</v>
      </c>
      <c r="L5803" s="27">
        <v>14374.09</v>
      </c>
      <c r="M5803" s="36">
        <v>2095.1799999999998</v>
      </c>
      <c r="T5803" s="41">
        <v>0</v>
      </c>
      <c r="U5803" s="41">
        <v>0</v>
      </c>
      <c r="V5803" s="42" t="s">
        <v>113</v>
      </c>
      <c r="W5803" s="42">
        <v>0</v>
      </c>
      <c r="X5803" s="42">
        <v>0</v>
      </c>
    </row>
    <row r="5804" spans="1:24">
      <c r="A5804" s="27" t="s">
        <v>10696</v>
      </c>
      <c r="B5804" s="28" t="s">
        <v>5102</v>
      </c>
      <c r="C5804" s="27" t="s">
        <v>10697</v>
      </c>
      <c r="D5804" s="27" t="s">
        <v>5104</v>
      </c>
      <c r="E5804" s="29">
        <v>41789</v>
      </c>
      <c r="F5804" s="27">
        <v>15</v>
      </c>
      <c r="G5804" s="18">
        <v>10706.61</v>
      </c>
      <c r="H5804" s="27">
        <f t="shared" si="180"/>
        <v>0</v>
      </c>
      <c r="I5804" s="18">
        <v>3662.15</v>
      </c>
      <c r="J5804" s="27">
        <v>10706.61</v>
      </c>
      <c r="K5804" s="18">
        <f t="shared" si="181"/>
        <v>0</v>
      </c>
      <c r="L5804" s="27">
        <v>4287.03</v>
      </c>
      <c r="M5804" s="36">
        <v>624.88</v>
      </c>
      <c r="T5804" s="41">
        <v>0</v>
      </c>
      <c r="U5804" s="41">
        <v>0</v>
      </c>
      <c r="V5804" s="42" t="s">
        <v>113</v>
      </c>
      <c r="W5804" s="42">
        <v>0</v>
      </c>
      <c r="X5804" s="42">
        <v>0</v>
      </c>
    </row>
    <row r="5805" spans="1:24">
      <c r="A5805" s="27" t="s">
        <v>10698</v>
      </c>
      <c r="B5805" s="28" t="s">
        <v>5102</v>
      </c>
      <c r="C5805" s="27" t="s">
        <v>10699</v>
      </c>
      <c r="D5805" s="27" t="s">
        <v>5104</v>
      </c>
      <c r="E5805" s="29">
        <v>41789</v>
      </c>
      <c r="F5805" s="27">
        <v>15</v>
      </c>
      <c r="G5805" s="18">
        <v>11410.48</v>
      </c>
      <c r="H5805" s="27">
        <f t="shared" si="180"/>
        <v>0</v>
      </c>
      <c r="I5805" s="18">
        <v>3902.89</v>
      </c>
      <c r="J5805" s="27">
        <v>11410.48</v>
      </c>
      <c r="K5805" s="18">
        <f t="shared" si="181"/>
        <v>0</v>
      </c>
      <c r="L5805" s="27">
        <v>4568.8500000000004</v>
      </c>
      <c r="M5805" s="36">
        <v>665.96</v>
      </c>
      <c r="T5805" s="41">
        <v>0</v>
      </c>
      <c r="U5805" s="41">
        <v>0</v>
      </c>
      <c r="V5805" s="42" t="s">
        <v>113</v>
      </c>
      <c r="W5805" s="42">
        <v>0</v>
      </c>
      <c r="X5805" s="42">
        <v>0</v>
      </c>
    </row>
    <row r="5806" spans="1:24">
      <c r="A5806" s="27" t="s">
        <v>10700</v>
      </c>
      <c r="B5806" s="28" t="s">
        <v>5102</v>
      </c>
      <c r="C5806" s="27" t="s">
        <v>10701</v>
      </c>
      <c r="D5806" s="27" t="s">
        <v>230</v>
      </c>
      <c r="E5806" s="29">
        <v>41789</v>
      </c>
      <c r="F5806" s="27">
        <v>15</v>
      </c>
      <c r="G5806" s="18">
        <v>31563.26</v>
      </c>
      <c r="H5806" s="27">
        <f t="shared" si="180"/>
        <v>0</v>
      </c>
      <c r="I5806" s="18">
        <v>10796.04</v>
      </c>
      <c r="J5806" s="27">
        <v>31563.26</v>
      </c>
      <c r="K5806" s="18">
        <f t="shared" si="181"/>
        <v>0</v>
      </c>
      <c r="L5806" s="27">
        <v>12638.19</v>
      </c>
      <c r="M5806" s="36">
        <v>1842.15</v>
      </c>
      <c r="T5806" s="41">
        <v>0</v>
      </c>
      <c r="U5806" s="41">
        <v>0</v>
      </c>
      <c r="V5806" s="42" t="s">
        <v>113</v>
      </c>
      <c r="W5806" s="42">
        <v>0</v>
      </c>
      <c r="X5806" s="42">
        <v>0</v>
      </c>
    </row>
    <row r="5807" spans="1:24">
      <c r="A5807" s="27" t="s">
        <v>10702</v>
      </c>
      <c r="B5807" s="28" t="s">
        <v>5102</v>
      </c>
      <c r="C5807" s="27" t="s">
        <v>10703</v>
      </c>
      <c r="D5807" s="27" t="s">
        <v>5104</v>
      </c>
      <c r="E5807" s="29">
        <v>41789</v>
      </c>
      <c r="F5807" s="27">
        <v>15</v>
      </c>
      <c r="G5807" s="18">
        <v>48890.28</v>
      </c>
      <c r="H5807" s="27">
        <f t="shared" si="180"/>
        <v>0</v>
      </c>
      <c r="I5807" s="18">
        <v>16722.64</v>
      </c>
      <c r="J5807" s="27">
        <v>48890.28</v>
      </c>
      <c r="K5807" s="18">
        <f t="shared" si="181"/>
        <v>0</v>
      </c>
      <c r="L5807" s="27">
        <v>19576.060000000001</v>
      </c>
      <c r="M5807" s="36">
        <v>2853.42</v>
      </c>
      <c r="T5807" s="41">
        <v>0</v>
      </c>
      <c r="U5807" s="41">
        <v>0</v>
      </c>
      <c r="V5807" s="42" t="s">
        <v>113</v>
      </c>
      <c r="W5807" s="42">
        <v>0</v>
      </c>
      <c r="X5807" s="42">
        <v>0</v>
      </c>
    </row>
    <row r="5808" spans="1:24">
      <c r="A5808" s="27" t="s">
        <v>10704</v>
      </c>
      <c r="B5808" s="28" t="s">
        <v>5102</v>
      </c>
      <c r="C5808" s="27" t="s">
        <v>10705</v>
      </c>
      <c r="D5808" s="27" t="s">
        <v>5104</v>
      </c>
      <c r="E5808" s="29">
        <v>41789</v>
      </c>
      <c r="F5808" s="27">
        <v>15</v>
      </c>
      <c r="G5808" s="18">
        <v>37182.839999999997</v>
      </c>
      <c r="H5808" s="27">
        <f t="shared" si="180"/>
        <v>0</v>
      </c>
      <c r="I5808" s="18">
        <v>12718.17</v>
      </c>
      <c r="J5808" s="27">
        <v>37182.839999999997</v>
      </c>
      <c r="K5808" s="18">
        <f t="shared" si="181"/>
        <v>0</v>
      </c>
      <c r="L5808" s="27">
        <v>14888.3</v>
      </c>
      <c r="M5808" s="36">
        <v>2170.13</v>
      </c>
      <c r="T5808" s="41">
        <v>0</v>
      </c>
      <c r="U5808" s="41">
        <v>0</v>
      </c>
      <c r="V5808" s="42" t="s">
        <v>113</v>
      </c>
      <c r="W5808" s="42">
        <v>0</v>
      </c>
      <c r="X5808" s="42">
        <v>0</v>
      </c>
    </row>
    <row r="5809" spans="1:24">
      <c r="A5809" s="27" t="s">
        <v>10706</v>
      </c>
      <c r="B5809" s="28" t="s">
        <v>5102</v>
      </c>
      <c r="C5809" s="27" t="s">
        <v>10707</v>
      </c>
      <c r="D5809" s="27" t="s">
        <v>230</v>
      </c>
      <c r="E5809" s="29">
        <v>41789</v>
      </c>
      <c r="F5809" s="27">
        <v>15</v>
      </c>
      <c r="G5809" s="18">
        <v>20487.39</v>
      </c>
      <c r="H5809" s="27">
        <f t="shared" si="180"/>
        <v>0</v>
      </c>
      <c r="I5809" s="18">
        <v>7007.6</v>
      </c>
      <c r="J5809" s="27">
        <v>20487.39</v>
      </c>
      <c r="K5809" s="18">
        <f t="shared" si="181"/>
        <v>0</v>
      </c>
      <c r="L5809" s="27">
        <v>8203.32</v>
      </c>
      <c r="M5809" s="36">
        <v>1195.72</v>
      </c>
      <c r="T5809" s="41">
        <v>0</v>
      </c>
      <c r="U5809" s="41">
        <v>0</v>
      </c>
      <c r="V5809" s="42" t="s">
        <v>113</v>
      </c>
      <c r="W5809" s="42">
        <v>0</v>
      </c>
      <c r="X5809" s="42">
        <v>0</v>
      </c>
    </row>
    <row r="5810" spans="1:24">
      <c r="A5810" s="27" t="s">
        <v>10708</v>
      </c>
      <c r="B5810" s="28" t="s">
        <v>5102</v>
      </c>
      <c r="C5810" s="27" t="s">
        <v>10709</v>
      </c>
      <c r="D5810" s="27" t="s">
        <v>5104</v>
      </c>
      <c r="E5810" s="29">
        <v>41789</v>
      </c>
      <c r="F5810" s="27">
        <v>15</v>
      </c>
      <c r="G5810" s="18">
        <v>22833.27</v>
      </c>
      <c r="H5810" s="27">
        <f t="shared" si="180"/>
        <v>0</v>
      </c>
      <c r="I5810" s="18">
        <v>7809.99</v>
      </c>
      <c r="J5810" s="27">
        <v>22833.27</v>
      </c>
      <c r="K5810" s="18">
        <f t="shared" si="181"/>
        <v>0</v>
      </c>
      <c r="L5810" s="27">
        <v>9142.6299999999992</v>
      </c>
      <c r="M5810" s="36">
        <v>1332.64</v>
      </c>
      <c r="T5810" s="41">
        <v>0</v>
      </c>
      <c r="U5810" s="41">
        <v>0</v>
      </c>
      <c r="V5810" s="42" t="s">
        <v>113</v>
      </c>
      <c r="W5810" s="42">
        <v>0</v>
      </c>
      <c r="X5810" s="42">
        <v>0</v>
      </c>
    </row>
    <row r="5811" spans="1:24">
      <c r="A5811" s="27" t="s">
        <v>10710</v>
      </c>
      <c r="B5811" s="28" t="s">
        <v>5102</v>
      </c>
      <c r="C5811" s="27" t="s">
        <v>10711</v>
      </c>
      <c r="D5811" s="27" t="s">
        <v>5104</v>
      </c>
      <c r="E5811" s="29">
        <v>41789</v>
      </c>
      <c r="F5811" s="27">
        <v>15</v>
      </c>
      <c r="G5811" s="18">
        <v>27316.52</v>
      </c>
      <c r="H5811" s="27">
        <f t="shared" si="180"/>
        <v>0</v>
      </c>
      <c r="I5811" s="18">
        <v>9343.4500000000007</v>
      </c>
      <c r="J5811" s="27">
        <v>27316.52</v>
      </c>
      <c r="K5811" s="18">
        <f t="shared" si="181"/>
        <v>0</v>
      </c>
      <c r="L5811" s="27">
        <v>10937.75</v>
      </c>
      <c r="M5811" s="36">
        <v>1594.3</v>
      </c>
      <c r="T5811" s="41">
        <v>0</v>
      </c>
      <c r="U5811" s="41">
        <v>0</v>
      </c>
      <c r="V5811" s="42" t="s">
        <v>113</v>
      </c>
      <c r="W5811" s="42">
        <v>0</v>
      </c>
      <c r="X5811" s="42">
        <v>0</v>
      </c>
    </row>
    <row r="5812" spans="1:24">
      <c r="A5812" s="27" t="s">
        <v>10712</v>
      </c>
      <c r="B5812" s="28" t="s">
        <v>5102</v>
      </c>
      <c r="C5812" s="27" t="s">
        <v>10711</v>
      </c>
      <c r="D5812" s="27" t="s">
        <v>5104</v>
      </c>
      <c r="E5812" s="29">
        <v>41789</v>
      </c>
      <c r="F5812" s="27">
        <v>15</v>
      </c>
      <c r="G5812" s="18">
        <v>56614</v>
      </c>
      <c r="H5812" s="27">
        <f t="shared" si="180"/>
        <v>0</v>
      </c>
      <c r="I5812" s="18">
        <v>19364.5</v>
      </c>
      <c r="J5812" s="27">
        <v>56614</v>
      </c>
      <c r="K5812" s="18">
        <f t="shared" si="181"/>
        <v>0</v>
      </c>
      <c r="L5812" s="27">
        <v>22668.7</v>
      </c>
      <c r="M5812" s="36">
        <v>3304.2</v>
      </c>
      <c r="T5812" s="41">
        <v>0</v>
      </c>
      <c r="U5812" s="41">
        <v>0</v>
      </c>
      <c r="V5812" s="42" t="s">
        <v>113</v>
      </c>
      <c r="W5812" s="42">
        <v>0</v>
      </c>
      <c r="X5812" s="42">
        <v>0</v>
      </c>
    </row>
    <row r="5813" spans="1:24">
      <c r="A5813" s="27" t="s">
        <v>10713</v>
      </c>
      <c r="B5813" s="28" t="s">
        <v>5102</v>
      </c>
      <c r="C5813" s="27" t="s">
        <v>10714</v>
      </c>
      <c r="D5813" s="27" t="s">
        <v>230</v>
      </c>
      <c r="E5813" s="29">
        <v>41789</v>
      </c>
      <c r="F5813" s="27">
        <v>15</v>
      </c>
      <c r="G5813" s="18">
        <v>18662.810000000001</v>
      </c>
      <c r="H5813" s="27">
        <f t="shared" si="180"/>
        <v>0</v>
      </c>
      <c r="I5813" s="18">
        <v>6383.5</v>
      </c>
      <c r="J5813" s="27">
        <v>18662.810000000001</v>
      </c>
      <c r="K5813" s="18">
        <f t="shared" si="181"/>
        <v>0</v>
      </c>
      <c r="L5813" s="27">
        <v>7472.73</v>
      </c>
      <c r="M5813" s="36">
        <v>1089.23</v>
      </c>
      <c r="T5813" s="41">
        <v>0</v>
      </c>
      <c r="U5813" s="41">
        <v>0</v>
      </c>
      <c r="V5813" s="42" t="s">
        <v>113</v>
      </c>
      <c r="W5813" s="42">
        <v>0</v>
      </c>
      <c r="X5813" s="42">
        <v>0</v>
      </c>
    </row>
    <row r="5814" spans="1:24">
      <c r="A5814" s="27" t="s">
        <v>10715</v>
      </c>
      <c r="B5814" s="28" t="s">
        <v>5102</v>
      </c>
      <c r="C5814" s="27" t="s">
        <v>10716</v>
      </c>
      <c r="D5814" s="27" t="s">
        <v>5104</v>
      </c>
      <c r="E5814" s="29">
        <v>41789</v>
      </c>
      <c r="F5814" s="27">
        <v>15</v>
      </c>
      <c r="G5814" s="18">
        <v>36022.35</v>
      </c>
      <c r="H5814" s="27">
        <f t="shared" si="180"/>
        <v>0</v>
      </c>
      <c r="I5814" s="18">
        <v>12321.24</v>
      </c>
      <c r="J5814" s="27">
        <v>36022.35</v>
      </c>
      <c r="K5814" s="18">
        <f t="shared" si="181"/>
        <v>0</v>
      </c>
      <c r="L5814" s="27">
        <v>14423.64</v>
      </c>
      <c r="M5814" s="36">
        <v>2102.4</v>
      </c>
      <c r="T5814" s="41">
        <v>0</v>
      </c>
      <c r="U5814" s="41">
        <v>0</v>
      </c>
      <c r="V5814" s="42" t="s">
        <v>113</v>
      </c>
      <c r="W5814" s="42">
        <v>0</v>
      </c>
      <c r="X5814" s="42">
        <v>0</v>
      </c>
    </row>
    <row r="5815" spans="1:24">
      <c r="A5815" s="27" t="s">
        <v>10717</v>
      </c>
      <c r="B5815" s="28" t="s">
        <v>5102</v>
      </c>
      <c r="C5815" s="27" t="s">
        <v>10718</v>
      </c>
      <c r="D5815" s="27" t="s">
        <v>5104</v>
      </c>
      <c r="E5815" s="29">
        <v>41789</v>
      </c>
      <c r="F5815" s="27">
        <v>15</v>
      </c>
      <c r="G5815" s="18">
        <v>97380.24</v>
      </c>
      <c r="H5815" s="27">
        <f t="shared" si="180"/>
        <v>0</v>
      </c>
      <c r="I5815" s="18">
        <v>33308.36</v>
      </c>
      <c r="J5815" s="27">
        <v>97380.24</v>
      </c>
      <c r="K5815" s="18">
        <f t="shared" si="181"/>
        <v>0</v>
      </c>
      <c r="L5815" s="27">
        <v>38991.839999999997</v>
      </c>
      <c r="M5815" s="36">
        <v>5683.48</v>
      </c>
      <c r="T5815" s="41">
        <v>0</v>
      </c>
      <c r="U5815" s="41">
        <v>0</v>
      </c>
      <c r="V5815" s="42" t="s">
        <v>113</v>
      </c>
      <c r="W5815" s="42">
        <v>0</v>
      </c>
      <c r="X5815" s="42">
        <v>0</v>
      </c>
    </row>
    <row r="5816" spans="1:24">
      <c r="A5816" s="27" t="s">
        <v>10719</v>
      </c>
      <c r="B5816" s="28" t="s">
        <v>5102</v>
      </c>
      <c r="C5816" s="27" t="s">
        <v>10720</v>
      </c>
      <c r="D5816" s="27" t="s">
        <v>230</v>
      </c>
      <c r="E5816" s="29">
        <v>41789</v>
      </c>
      <c r="F5816" s="27">
        <v>15</v>
      </c>
      <c r="G5816" s="18">
        <v>43689.06</v>
      </c>
      <c r="H5816" s="27">
        <f t="shared" si="180"/>
        <v>0</v>
      </c>
      <c r="I5816" s="18">
        <v>14943.61</v>
      </c>
      <c r="J5816" s="27">
        <v>43689.06</v>
      </c>
      <c r="K5816" s="18">
        <f t="shared" si="181"/>
        <v>0</v>
      </c>
      <c r="L5816" s="27">
        <v>17493.47</v>
      </c>
      <c r="M5816" s="36">
        <v>2549.86</v>
      </c>
      <c r="T5816" s="41">
        <v>0</v>
      </c>
      <c r="U5816" s="41">
        <v>0</v>
      </c>
      <c r="V5816" s="42" t="s">
        <v>113</v>
      </c>
      <c r="W5816" s="42">
        <v>0</v>
      </c>
      <c r="X5816" s="42">
        <v>0</v>
      </c>
    </row>
    <row r="5817" spans="1:24">
      <c r="A5817" s="27" t="s">
        <v>10721</v>
      </c>
      <c r="B5817" s="28" t="s">
        <v>5102</v>
      </c>
      <c r="C5817" s="27" t="s">
        <v>10691</v>
      </c>
      <c r="D5817" s="27" t="s">
        <v>5104</v>
      </c>
      <c r="E5817" s="29">
        <v>41789</v>
      </c>
      <c r="F5817" s="27">
        <v>15</v>
      </c>
      <c r="G5817" s="18">
        <v>63504.83</v>
      </c>
      <c r="H5817" s="27">
        <f t="shared" si="180"/>
        <v>0</v>
      </c>
      <c r="I5817" s="18">
        <v>21721.47</v>
      </c>
      <c r="J5817" s="27">
        <v>63504.83</v>
      </c>
      <c r="K5817" s="18">
        <f t="shared" si="181"/>
        <v>0</v>
      </c>
      <c r="L5817" s="27">
        <v>25427.85</v>
      </c>
      <c r="M5817" s="36">
        <v>3706.38</v>
      </c>
      <c r="T5817" s="41">
        <v>0</v>
      </c>
      <c r="U5817" s="41">
        <v>0</v>
      </c>
      <c r="V5817" s="42" t="s">
        <v>113</v>
      </c>
      <c r="W5817" s="42">
        <v>0</v>
      </c>
      <c r="X5817" s="42">
        <v>0</v>
      </c>
    </row>
    <row r="5818" spans="1:24">
      <c r="A5818" s="27" t="s">
        <v>10722</v>
      </c>
      <c r="B5818" s="28" t="s">
        <v>5102</v>
      </c>
      <c r="C5818" s="27" t="s">
        <v>10693</v>
      </c>
      <c r="D5818" s="27" t="s">
        <v>5104</v>
      </c>
      <c r="E5818" s="29">
        <v>41789</v>
      </c>
      <c r="F5818" s="27">
        <v>15</v>
      </c>
      <c r="G5818" s="18">
        <v>6699.62</v>
      </c>
      <c r="H5818" s="27">
        <f t="shared" si="180"/>
        <v>0</v>
      </c>
      <c r="I5818" s="18">
        <v>2291.5700000000002</v>
      </c>
      <c r="J5818" s="27">
        <v>6699.62</v>
      </c>
      <c r="K5818" s="18">
        <f t="shared" si="181"/>
        <v>0</v>
      </c>
      <c r="L5818" s="27">
        <v>2682.58</v>
      </c>
      <c r="M5818" s="36">
        <v>391.01</v>
      </c>
      <c r="T5818" s="41">
        <v>0</v>
      </c>
      <c r="U5818" s="41">
        <v>0</v>
      </c>
      <c r="V5818" s="42" t="s">
        <v>113</v>
      </c>
      <c r="W5818" s="42">
        <v>0</v>
      </c>
      <c r="X5818" s="42">
        <v>0</v>
      </c>
    </row>
    <row r="5819" spans="1:24">
      <c r="A5819" s="27" t="s">
        <v>10723</v>
      </c>
      <c r="B5819" s="28" t="s">
        <v>5102</v>
      </c>
      <c r="C5819" s="27" t="s">
        <v>10724</v>
      </c>
      <c r="D5819" s="27" t="s">
        <v>5104</v>
      </c>
      <c r="E5819" s="29">
        <v>41789</v>
      </c>
      <c r="F5819" s="27">
        <v>15</v>
      </c>
      <c r="G5819" s="18">
        <v>52842.06</v>
      </c>
      <c r="H5819" s="27">
        <f t="shared" si="180"/>
        <v>0</v>
      </c>
      <c r="I5819" s="18">
        <v>18074.330000000002</v>
      </c>
      <c r="J5819" s="27">
        <v>52842.06</v>
      </c>
      <c r="K5819" s="18">
        <f t="shared" si="181"/>
        <v>0</v>
      </c>
      <c r="L5819" s="27">
        <v>21158.39</v>
      </c>
      <c r="M5819" s="36">
        <v>3084.06</v>
      </c>
      <c r="T5819" s="41">
        <v>0</v>
      </c>
      <c r="U5819" s="41">
        <v>0</v>
      </c>
      <c r="V5819" s="42" t="s">
        <v>113</v>
      </c>
      <c r="W5819" s="42">
        <v>0</v>
      </c>
      <c r="X5819" s="42">
        <v>0</v>
      </c>
    </row>
    <row r="5820" spans="1:24">
      <c r="A5820" s="27" t="s">
        <v>10725</v>
      </c>
      <c r="B5820" s="28" t="s">
        <v>5102</v>
      </c>
      <c r="C5820" s="27" t="s">
        <v>10726</v>
      </c>
      <c r="D5820" s="27" t="s">
        <v>5104</v>
      </c>
      <c r="E5820" s="29">
        <v>41789</v>
      </c>
      <c r="F5820" s="27">
        <v>15</v>
      </c>
      <c r="G5820" s="18">
        <v>16302.6</v>
      </c>
      <c r="H5820" s="27">
        <f t="shared" si="180"/>
        <v>0</v>
      </c>
      <c r="I5820" s="18">
        <v>5576.21</v>
      </c>
      <c r="J5820" s="27">
        <v>16302.6</v>
      </c>
      <c r="K5820" s="18">
        <f t="shared" si="181"/>
        <v>0</v>
      </c>
      <c r="L5820" s="27">
        <v>6527.69</v>
      </c>
      <c r="M5820" s="36">
        <v>951.48</v>
      </c>
      <c r="T5820" s="41">
        <v>0</v>
      </c>
      <c r="U5820" s="41">
        <v>0</v>
      </c>
      <c r="V5820" s="42" t="s">
        <v>113</v>
      </c>
      <c r="W5820" s="42">
        <v>0</v>
      </c>
      <c r="X5820" s="42">
        <v>0</v>
      </c>
    </row>
    <row r="5821" spans="1:24">
      <c r="A5821" s="27" t="s">
        <v>10727</v>
      </c>
      <c r="B5821" s="28" t="s">
        <v>5102</v>
      </c>
      <c r="C5821" s="27" t="s">
        <v>10728</v>
      </c>
      <c r="D5821" s="27" t="s">
        <v>230</v>
      </c>
      <c r="E5821" s="29">
        <v>41789</v>
      </c>
      <c r="F5821" s="27">
        <v>12</v>
      </c>
      <c r="G5821" s="18">
        <v>351.35</v>
      </c>
      <c r="H5821" s="27">
        <f t="shared" si="180"/>
        <v>351.35</v>
      </c>
      <c r="I5821" s="18">
        <v>351.35</v>
      </c>
      <c r="J5821" s="27">
        <v>351.35</v>
      </c>
      <c r="K5821" s="18">
        <f t="shared" si="181"/>
        <v>351.35</v>
      </c>
      <c r="L5821" s="27">
        <v>351.35</v>
      </c>
      <c r="M5821" s="36">
        <v>0</v>
      </c>
      <c r="T5821" s="41">
        <v>0</v>
      </c>
      <c r="U5821" s="41">
        <v>0</v>
      </c>
      <c r="V5821" s="42" t="s">
        <v>113</v>
      </c>
      <c r="W5821" s="42">
        <v>351.35</v>
      </c>
      <c r="X5821" s="42">
        <v>351.35</v>
      </c>
    </row>
    <row r="5822" spans="1:24">
      <c r="A5822" s="27" t="s">
        <v>10729</v>
      </c>
      <c r="B5822" s="28" t="s">
        <v>5102</v>
      </c>
      <c r="C5822" s="27" t="s">
        <v>10730</v>
      </c>
      <c r="D5822" s="27" t="s">
        <v>5104</v>
      </c>
      <c r="E5822" s="29">
        <v>41789</v>
      </c>
      <c r="F5822" s="27">
        <v>15</v>
      </c>
      <c r="G5822" s="18">
        <v>90156.2</v>
      </c>
      <c r="H5822" s="27">
        <f t="shared" si="180"/>
        <v>0</v>
      </c>
      <c r="I5822" s="18">
        <v>30837.41</v>
      </c>
      <c r="J5822" s="27">
        <v>90156.2</v>
      </c>
      <c r="K5822" s="18">
        <f t="shared" si="181"/>
        <v>0</v>
      </c>
      <c r="L5822" s="27">
        <v>36099.26</v>
      </c>
      <c r="M5822" s="36">
        <v>5261.85</v>
      </c>
      <c r="T5822" s="41">
        <v>0</v>
      </c>
      <c r="U5822" s="41">
        <v>0</v>
      </c>
      <c r="V5822" s="42" t="s">
        <v>113</v>
      </c>
      <c r="W5822" s="42">
        <v>0</v>
      </c>
      <c r="X5822" s="42">
        <v>0</v>
      </c>
    </row>
    <row r="5823" spans="1:24">
      <c r="A5823" s="27" t="s">
        <v>10731</v>
      </c>
      <c r="B5823" s="28" t="s">
        <v>5102</v>
      </c>
      <c r="C5823" s="27" t="s">
        <v>10732</v>
      </c>
      <c r="D5823" s="27" t="s">
        <v>5104</v>
      </c>
      <c r="E5823" s="29">
        <v>41789</v>
      </c>
      <c r="F5823" s="27">
        <v>15</v>
      </c>
      <c r="G5823" s="18">
        <v>60010.44</v>
      </c>
      <c r="H5823" s="27">
        <f t="shared" si="180"/>
        <v>0</v>
      </c>
      <c r="I5823" s="18">
        <v>20526.240000000002</v>
      </c>
      <c r="J5823" s="27">
        <v>60010.44</v>
      </c>
      <c r="K5823" s="18">
        <f t="shared" si="181"/>
        <v>0</v>
      </c>
      <c r="L5823" s="27">
        <v>24028.67</v>
      </c>
      <c r="M5823" s="36">
        <v>3502.43</v>
      </c>
      <c r="T5823" s="41">
        <v>0</v>
      </c>
      <c r="U5823" s="41">
        <v>0</v>
      </c>
      <c r="V5823" s="42" t="s">
        <v>113</v>
      </c>
      <c r="W5823" s="42">
        <v>0</v>
      </c>
      <c r="X5823" s="42">
        <v>0</v>
      </c>
    </row>
    <row r="5824" spans="1:24">
      <c r="A5824" s="27" t="s">
        <v>10733</v>
      </c>
      <c r="B5824" s="28" t="s">
        <v>5102</v>
      </c>
      <c r="C5824" s="27" t="s">
        <v>10734</v>
      </c>
      <c r="D5824" s="27" t="s">
        <v>230</v>
      </c>
      <c r="E5824" s="29">
        <v>41789</v>
      </c>
      <c r="F5824" s="27">
        <v>12</v>
      </c>
      <c r="G5824" s="18">
        <v>1827.02</v>
      </c>
      <c r="H5824" s="27">
        <f t="shared" si="180"/>
        <v>1827.02</v>
      </c>
      <c r="I5824" s="18">
        <v>1827.02</v>
      </c>
      <c r="J5824" s="27">
        <v>1827.02</v>
      </c>
      <c r="K5824" s="18">
        <f t="shared" si="181"/>
        <v>1827.02</v>
      </c>
      <c r="L5824" s="27">
        <v>1827.02</v>
      </c>
      <c r="M5824" s="36">
        <v>0</v>
      </c>
      <c r="T5824" s="41">
        <v>0</v>
      </c>
      <c r="U5824" s="41">
        <v>0</v>
      </c>
      <c r="V5824" s="42" t="s">
        <v>113</v>
      </c>
      <c r="W5824" s="42">
        <v>1827.02</v>
      </c>
      <c r="X5824" s="42">
        <v>1827.02</v>
      </c>
    </row>
    <row r="5825" spans="1:24">
      <c r="A5825" s="27" t="s">
        <v>10735</v>
      </c>
      <c r="B5825" s="28" t="s">
        <v>5102</v>
      </c>
      <c r="C5825" s="27" t="s">
        <v>10736</v>
      </c>
      <c r="D5825" s="27" t="s">
        <v>230</v>
      </c>
      <c r="E5825" s="29">
        <v>41789</v>
      </c>
      <c r="F5825" s="27">
        <v>15</v>
      </c>
      <c r="G5825" s="18">
        <v>22416.080000000002</v>
      </c>
      <c r="H5825" s="27">
        <f t="shared" si="180"/>
        <v>0</v>
      </c>
      <c r="I5825" s="18">
        <v>7667.31</v>
      </c>
      <c r="J5825" s="27">
        <v>22416.080000000002</v>
      </c>
      <c r="K5825" s="18">
        <f t="shared" si="181"/>
        <v>0</v>
      </c>
      <c r="L5825" s="27">
        <v>8975.6</v>
      </c>
      <c r="M5825" s="36">
        <v>1308.29</v>
      </c>
      <c r="T5825" s="41">
        <v>0</v>
      </c>
      <c r="U5825" s="41">
        <v>0</v>
      </c>
      <c r="V5825" s="42" t="s">
        <v>113</v>
      </c>
      <c r="W5825" s="42">
        <v>0</v>
      </c>
      <c r="X5825" s="42">
        <v>0</v>
      </c>
    </row>
    <row r="5826" spans="1:24">
      <c r="A5826" s="27" t="s">
        <v>10737</v>
      </c>
      <c r="B5826" s="28" t="s">
        <v>5102</v>
      </c>
      <c r="C5826" s="27" t="s">
        <v>10738</v>
      </c>
      <c r="D5826" s="27" t="s">
        <v>5104</v>
      </c>
      <c r="E5826" s="29">
        <v>41789</v>
      </c>
      <c r="F5826" s="27">
        <v>12</v>
      </c>
      <c r="G5826" s="18">
        <v>4216.1899999999996</v>
      </c>
      <c r="H5826" s="27">
        <f t="shared" si="180"/>
        <v>4216.1899999999996</v>
      </c>
      <c r="I5826" s="18">
        <v>4216.1899999999996</v>
      </c>
      <c r="J5826" s="27">
        <v>4216.1899999999996</v>
      </c>
      <c r="K5826" s="18">
        <f t="shared" si="181"/>
        <v>4216.1899999999996</v>
      </c>
      <c r="L5826" s="27">
        <v>4216.1899999999996</v>
      </c>
      <c r="M5826" s="36">
        <v>0</v>
      </c>
      <c r="T5826" s="41">
        <v>0</v>
      </c>
      <c r="U5826" s="41">
        <v>0</v>
      </c>
      <c r="V5826" s="42" t="s">
        <v>113</v>
      </c>
      <c r="W5826" s="42">
        <v>4216.1899999999996</v>
      </c>
      <c r="X5826" s="42">
        <v>4216.1899999999996</v>
      </c>
    </row>
    <row r="5827" spans="1:24">
      <c r="A5827" s="27" t="s">
        <v>10739</v>
      </c>
      <c r="B5827" s="28" t="s">
        <v>5102</v>
      </c>
      <c r="C5827" s="27" t="s">
        <v>10740</v>
      </c>
      <c r="D5827" s="27" t="s">
        <v>5104</v>
      </c>
      <c r="E5827" s="29">
        <v>41789</v>
      </c>
      <c r="F5827" s="27">
        <v>12</v>
      </c>
      <c r="G5827" s="18">
        <v>2810.79</v>
      </c>
      <c r="H5827" s="27">
        <f t="shared" si="180"/>
        <v>2810.79</v>
      </c>
      <c r="I5827" s="18">
        <v>2810.79</v>
      </c>
      <c r="J5827" s="27">
        <v>2810.79</v>
      </c>
      <c r="K5827" s="18">
        <f t="shared" si="181"/>
        <v>2810.79</v>
      </c>
      <c r="L5827" s="27">
        <v>2810.79</v>
      </c>
      <c r="M5827" s="36">
        <v>0</v>
      </c>
      <c r="T5827" s="41">
        <v>0</v>
      </c>
      <c r="U5827" s="41">
        <v>0</v>
      </c>
      <c r="V5827" s="42" t="s">
        <v>113</v>
      </c>
      <c r="W5827" s="42">
        <v>2810.79</v>
      </c>
      <c r="X5827" s="42">
        <v>2810.79</v>
      </c>
    </row>
    <row r="5828" spans="1:24">
      <c r="A5828" s="27" t="s">
        <v>10741</v>
      </c>
      <c r="B5828" s="28" t="s">
        <v>5102</v>
      </c>
      <c r="C5828" s="27" t="s">
        <v>10742</v>
      </c>
      <c r="D5828" s="27" t="s">
        <v>5104</v>
      </c>
      <c r="E5828" s="29">
        <v>41789</v>
      </c>
      <c r="F5828" s="27">
        <v>15</v>
      </c>
      <c r="G5828" s="18">
        <v>8586.83</v>
      </c>
      <c r="H5828" s="27">
        <f t="shared" si="180"/>
        <v>0</v>
      </c>
      <c r="I5828" s="18">
        <v>2937.07</v>
      </c>
      <c r="J5828" s="27">
        <v>8586.83</v>
      </c>
      <c r="K5828" s="18">
        <f t="shared" si="181"/>
        <v>0</v>
      </c>
      <c r="L5828" s="27">
        <v>3438.23</v>
      </c>
      <c r="M5828" s="36">
        <v>501.16</v>
      </c>
      <c r="T5828" s="41">
        <v>0</v>
      </c>
      <c r="U5828" s="41">
        <v>0</v>
      </c>
      <c r="V5828" s="42" t="s">
        <v>113</v>
      </c>
      <c r="W5828" s="42">
        <v>0</v>
      </c>
      <c r="X5828" s="42">
        <v>0</v>
      </c>
    </row>
    <row r="5829" spans="1:24">
      <c r="A5829" s="27" t="s">
        <v>10743</v>
      </c>
      <c r="B5829" s="28" t="s">
        <v>5102</v>
      </c>
      <c r="C5829" s="27" t="s">
        <v>10744</v>
      </c>
      <c r="D5829" s="27" t="s">
        <v>230</v>
      </c>
      <c r="E5829" s="29">
        <v>41789</v>
      </c>
      <c r="F5829" s="27">
        <v>15</v>
      </c>
      <c r="G5829" s="18">
        <v>42585.94</v>
      </c>
      <c r="H5829" s="27">
        <f t="shared" si="180"/>
        <v>0</v>
      </c>
      <c r="I5829" s="18">
        <v>14566.28</v>
      </c>
      <c r="J5829" s="27">
        <v>42585.94</v>
      </c>
      <c r="K5829" s="18">
        <f t="shared" si="181"/>
        <v>0</v>
      </c>
      <c r="L5829" s="27">
        <v>17051.75</v>
      </c>
      <c r="M5829" s="36">
        <v>2485.4699999999998</v>
      </c>
      <c r="T5829" s="41">
        <v>0</v>
      </c>
      <c r="U5829" s="41">
        <v>0</v>
      </c>
      <c r="V5829" s="42" t="s">
        <v>113</v>
      </c>
      <c r="W5829" s="42">
        <v>0</v>
      </c>
      <c r="X5829" s="42">
        <v>0</v>
      </c>
    </row>
    <row r="5830" spans="1:24">
      <c r="A5830" s="27" t="s">
        <v>10745</v>
      </c>
      <c r="B5830" s="28" t="s">
        <v>5102</v>
      </c>
      <c r="C5830" s="27" t="s">
        <v>10746</v>
      </c>
      <c r="D5830" s="27" t="s">
        <v>230</v>
      </c>
      <c r="E5830" s="29">
        <v>41789</v>
      </c>
      <c r="F5830" s="27">
        <v>15</v>
      </c>
      <c r="G5830" s="18">
        <v>48315.68</v>
      </c>
      <c r="H5830" s="27">
        <f t="shared" ref="H5830:H5893" si="182">IFERROR(IF(ROUND((G5830-I5830)/G5830,2)&lt;=0.05,G5830,0),0)</f>
        <v>0</v>
      </c>
      <c r="I5830" s="18">
        <v>16526.099999999999</v>
      </c>
      <c r="J5830" s="27">
        <v>48315.68</v>
      </c>
      <c r="K5830" s="18">
        <f t="shared" ref="K5830:K5893" si="183">IFERROR(IF(ROUND((J5830-L5830)/J5830,2)&lt;=0.05,J5830,0),0)</f>
        <v>0</v>
      </c>
      <c r="L5830" s="27">
        <v>19345.98</v>
      </c>
      <c r="M5830" s="36">
        <v>2819.88</v>
      </c>
      <c r="T5830" s="41">
        <v>0</v>
      </c>
      <c r="U5830" s="41">
        <v>0</v>
      </c>
      <c r="V5830" s="42" t="s">
        <v>113</v>
      </c>
      <c r="W5830" s="42">
        <v>0</v>
      </c>
      <c r="X5830" s="42">
        <v>0</v>
      </c>
    </row>
    <row r="5831" spans="1:24">
      <c r="A5831" s="27" t="s">
        <v>10747</v>
      </c>
      <c r="B5831" s="28" t="s">
        <v>5102</v>
      </c>
      <c r="C5831" s="27" t="s">
        <v>10748</v>
      </c>
      <c r="D5831" s="27" t="s">
        <v>230</v>
      </c>
      <c r="E5831" s="29">
        <v>41789</v>
      </c>
      <c r="F5831" s="27">
        <v>12</v>
      </c>
      <c r="G5831" s="18">
        <v>4103.74</v>
      </c>
      <c r="H5831" s="27">
        <f t="shared" si="182"/>
        <v>4103.74</v>
      </c>
      <c r="I5831" s="18">
        <v>4103.74</v>
      </c>
      <c r="J5831" s="27">
        <v>4103.74</v>
      </c>
      <c r="K5831" s="18">
        <f t="shared" si="183"/>
        <v>4103.74</v>
      </c>
      <c r="L5831" s="27">
        <v>4103.74</v>
      </c>
      <c r="M5831" s="36">
        <v>0</v>
      </c>
      <c r="T5831" s="41">
        <v>0</v>
      </c>
      <c r="U5831" s="41">
        <v>0</v>
      </c>
      <c r="V5831" s="42" t="s">
        <v>113</v>
      </c>
      <c r="W5831" s="42">
        <v>4103.74</v>
      </c>
      <c r="X5831" s="42">
        <v>4103.74</v>
      </c>
    </row>
    <row r="5832" spans="1:24">
      <c r="A5832" s="27" t="s">
        <v>10749</v>
      </c>
      <c r="B5832" s="28" t="s">
        <v>5102</v>
      </c>
      <c r="C5832" s="27" t="s">
        <v>10750</v>
      </c>
      <c r="D5832" s="27" t="s">
        <v>230</v>
      </c>
      <c r="E5832" s="29">
        <v>41789</v>
      </c>
      <c r="F5832" s="27">
        <v>15</v>
      </c>
      <c r="G5832" s="18">
        <v>23073.84</v>
      </c>
      <c r="H5832" s="27">
        <f t="shared" si="182"/>
        <v>0</v>
      </c>
      <c r="I5832" s="18">
        <v>7892.28</v>
      </c>
      <c r="J5832" s="27">
        <v>23073.84</v>
      </c>
      <c r="K5832" s="18">
        <f t="shared" si="183"/>
        <v>0</v>
      </c>
      <c r="L5832" s="27">
        <v>9238.9599999999991</v>
      </c>
      <c r="M5832" s="36">
        <v>1346.68</v>
      </c>
      <c r="T5832" s="41">
        <v>0</v>
      </c>
      <c r="U5832" s="41">
        <v>0</v>
      </c>
      <c r="V5832" s="42" t="s">
        <v>113</v>
      </c>
      <c r="W5832" s="42">
        <v>0</v>
      </c>
      <c r="X5832" s="42">
        <v>0</v>
      </c>
    </row>
    <row r="5833" spans="1:24">
      <c r="A5833" s="27" t="s">
        <v>10751</v>
      </c>
      <c r="B5833" s="28" t="s">
        <v>5102</v>
      </c>
      <c r="C5833" s="27" t="s">
        <v>10752</v>
      </c>
      <c r="D5833" s="27" t="s">
        <v>230</v>
      </c>
      <c r="E5833" s="29">
        <v>41789</v>
      </c>
      <c r="F5833" s="27">
        <v>15</v>
      </c>
      <c r="G5833" s="18">
        <v>25086.99</v>
      </c>
      <c r="H5833" s="27">
        <f t="shared" si="182"/>
        <v>0</v>
      </c>
      <c r="I5833" s="18">
        <v>8580.86</v>
      </c>
      <c r="J5833" s="27">
        <v>25086.99</v>
      </c>
      <c r="K5833" s="18">
        <f t="shared" si="183"/>
        <v>0</v>
      </c>
      <c r="L5833" s="27">
        <v>10045.030000000001</v>
      </c>
      <c r="M5833" s="36">
        <v>1464.17</v>
      </c>
      <c r="T5833" s="41">
        <v>0</v>
      </c>
      <c r="U5833" s="41">
        <v>0</v>
      </c>
      <c r="V5833" s="42" t="s">
        <v>113</v>
      </c>
      <c r="W5833" s="42">
        <v>0</v>
      </c>
      <c r="X5833" s="42">
        <v>0</v>
      </c>
    </row>
    <row r="5834" spans="1:24">
      <c r="A5834" s="27" t="s">
        <v>10753</v>
      </c>
      <c r="B5834" s="28" t="s">
        <v>5102</v>
      </c>
      <c r="C5834" s="27" t="s">
        <v>10754</v>
      </c>
      <c r="D5834" s="27" t="s">
        <v>5104</v>
      </c>
      <c r="E5834" s="29">
        <v>41789</v>
      </c>
      <c r="F5834" s="27">
        <v>15</v>
      </c>
      <c r="G5834" s="18">
        <v>67130.929999999993</v>
      </c>
      <c r="H5834" s="27">
        <f t="shared" si="182"/>
        <v>0</v>
      </c>
      <c r="I5834" s="18">
        <v>22961.74</v>
      </c>
      <c r="J5834" s="27">
        <v>67130.929999999993</v>
      </c>
      <c r="K5834" s="18">
        <f t="shared" si="183"/>
        <v>0</v>
      </c>
      <c r="L5834" s="27">
        <v>26879.75</v>
      </c>
      <c r="M5834" s="36">
        <v>3918.01</v>
      </c>
      <c r="T5834" s="41">
        <v>0</v>
      </c>
      <c r="U5834" s="41">
        <v>0</v>
      </c>
      <c r="V5834" s="42" t="s">
        <v>113</v>
      </c>
      <c r="W5834" s="42">
        <v>0</v>
      </c>
      <c r="X5834" s="42">
        <v>0</v>
      </c>
    </row>
    <row r="5835" spans="1:24">
      <c r="A5835" s="27" t="s">
        <v>10755</v>
      </c>
      <c r="B5835" s="28" t="s">
        <v>5102</v>
      </c>
      <c r="C5835" s="27" t="s">
        <v>10756</v>
      </c>
      <c r="D5835" s="27" t="s">
        <v>230</v>
      </c>
      <c r="E5835" s="29">
        <v>41789</v>
      </c>
      <c r="F5835" s="27">
        <v>15</v>
      </c>
      <c r="G5835" s="18">
        <v>25628.99</v>
      </c>
      <c r="H5835" s="27">
        <f t="shared" si="182"/>
        <v>0</v>
      </c>
      <c r="I5835" s="18">
        <v>8766.24</v>
      </c>
      <c r="J5835" s="27">
        <v>25628.99</v>
      </c>
      <c r="K5835" s="18">
        <f t="shared" si="183"/>
        <v>0</v>
      </c>
      <c r="L5835" s="27">
        <v>10262.040000000001</v>
      </c>
      <c r="M5835" s="36">
        <v>1495.8</v>
      </c>
      <c r="T5835" s="41">
        <v>0</v>
      </c>
      <c r="U5835" s="41">
        <v>0</v>
      </c>
      <c r="V5835" s="42" t="s">
        <v>113</v>
      </c>
      <c r="W5835" s="42">
        <v>0</v>
      </c>
      <c r="X5835" s="42">
        <v>0</v>
      </c>
    </row>
    <row r="5836" spans="1:24">
      <c r="A5836" s="27" t="s">
        <v>10757</v>
      </c>
      <c r="B5836" s="28" t="s">
        <v>5102</v>
      </c>
      <c r="C5836" s="27" t="s">
        <v>10758</v>
      </c>
      <c r="D5836" s="27" t="s">
        <v>5104</v>
      </c>
      <c r="E5836" s="29">
        <v>41789</v>
      </c>
      <c r="F5836" s="27">
        <v>15</v>
      </c>
      <c r="G5836" s="18">
        <v>63259.48</v>
      </c>
      <c r="H5836" s="27">
        <f t="shared" si="182"/>
        <v>0</v>
      </c>
      <c r="I5836" s="18">
        <v>21637.55</v>
      </c>
      <c r="J5836" s="27">
        <v>63259.48</v>
      </c>
      <c r="K5836" s="18">
        <f t="shared" si="183"/>
        <v>0</v>
      </c>
      <c r="L5836" s="27">
        <v>25329.61</v>
      </c>
      <c r="M5836" s="36">
        <v>3692.06</v>
      </c>
      <c r="T5836" s="41">
        <v>0</v>
      </c>
      <c r="U5836" s="41">
        <v>0</v>
      </c>
      <c r="V5836" s="42" t="s">
        <v>113</v>
      </c>
      <c r="W5836" s="42">
        <v>0</v>
      </c>
      <c r="X5836" s="42">
        <v>0</v>
      </c>
    </row>
    <row r="5837" spans="1:24">
      <c r="A5837" s="27" t="s">
        <v>10759</v>
      </c>
      <c r="B5837" s="28" t="s">
        <v>5102</v>
      </c>
      <c r="C5837" s="27" t="s">
        <v>10758</v>
      </c>
      <c r="D5837" s="27" t="s">
        <v>5104</v>
      </c>
      <c r="E5837" s="29">
        <v>41789</v>
      </c>
      <c r="F5837" s="27">
        <v>12</v>
      </c>
      <c r="G5837" s="18">
        <v>929.15</v>
      </c>
      <c r="H5837" s="27">
        <f t="shared" si="182"/>
        <v>929.15</v>
      </c>
      <c r="I5837" s="18">
        <v>929.15</v>
      </c>
      <c r="J5837" s="27">
        <v>929.15</v>
      </c>
      <c r="K5837" s="18">
        <f t="shared" si="183"/>
        <v>929.15</v>
      </c>
      <c r="L5837" s="27">
        <v>929.15</v>
      </c>
      <c r="M5837" s="36">
        <v>0</v>
      </c>
      <c r="T5837" s="41">
        <v>0</v>
      </c>
      <c r="U5837" s="41">
        <v>0</v>
      </c>
      <c r="V5837" s="42" t="s">
        <v>113</v>
      </c>
      <c r="W5837" s="42">
        <v>929.15</v>
      </c>
      <c r="X5837" s="42">
        <v>929.15</v>
      </c>
    </row>
    <row r="5838" spans="1:24">
      <c r="A5838" s="27" t="s">
        <v>10760</v>
      </c>
      <c r="B5838" s="28" t="s">
        <v>5102</v>
      </c>
      <c r="C5838" s="27" t="s">
        <v>10761</v>
      </c>
      <c r="D5838" s="27" t="s">
        <v>230</v>
      </c>
      <c r="E5838" s="29">
        <v>41789</v>
      </c>
      <c r="F5838" s="27">
        <v>15</v>
      </c>
      <c r="G5838" s="18">
        <v>39566.21</v>
      </c>
      <c r="H5838" s="27">
        <f t="shared" si="182"/>
        <v>0</v>
      </c>
      <c r="I5838" s="18">
        <v>13533.39</v>
      </c>
      <c r="J5838" s="27">
        <v>39566.21</v>
      </c>
      <c r="K5838" s="18">
        <f t="shared" si="183"/>
        <v>0</v>
      </c>
      <c r="L5838" s="27">
        <v>15842.62</v>
      </c>
      <c r="M5838" s="36">
        <v>2309.23</v>
      </c>
      <c r="T5838" s="41">
        <v>0</v>
      </c>
      <c r="U5838" s="41">
        <v>0</v>
      </c>
      <c r="V5838" s="42" t="s">
        <v>113</v>
      </c>
      <c r="W5838" s="42">
        <v>0</v>
      </c>
      <c r="X5838" s="42">
        <v>0</v>
      </c>
    </row>
    <row r="5839" spans="1:24">
      <c r="A5839" s="27" t="s">
        <v>10762</v>
      </c>
      <c r="B5839" s="28" t="s">
        <v>5102</v>
      </c>
      <c r="C5839" s="27" t="s">
        <v>10763</v>
      </c>
      <c r="D5839" s="27" t="s">
        <v>5104</v>
      </c>
      <c r="E5839" s="29">
        <v>41789</v>
      </c>
      <c r="F5839" s="27">
        <v>15</v>
      </c>
      <c r="G5839" s="18">
        <v>102283.68</v>
      </c>
      <c r="H5839" s="27">
        <f t="shared" si="182"/>
        <v>0</v>
      </c>
      <c r="I5839" s="18">
        <v>34985.56</v>
      </c>
      <c r="J5839" s="27">
        <v>102283.68</v>
      </c>
      <c r="K5839" s="18">
        <f t="shared" si="183"/>
        <v>0</v>
      </c>
      <c r="L5839" s="27">
        <v>40955.22</v>
      </c>
      <c r="M5839" s="36">
        <v>5969.66</v>
      </c>
      <c r="T5839" s="41">
        <v>0</v>
      </c>
      <c r="U5839" s="41">
        <v>0</v>
      </c>
      <c r="V5839" s="42" t="s">
        <v>113</v>
      </c>
      <c r="W5839" s="42">
        <v>0</v>
      </c>
      <c r="X5839" s="42">
        <v>0</v>
      </c>
    </row>
    <row r="5840" spans="1:24">
      <c r="A5840" s="27" t="s">
        <v>10764</v>
      </c>
      <c r="B5840" s="28" t="s">
        <v>5102</v>
      </c>
      <c r="C5840" s="27" t="s">
        <v>10765</v>
      </c>
      <c r="D5840" s="27" t="s">
        <v>5104</v>
      </c>
      <c r="E5840" s="29">
        <v>41789</v>
      </c>
      <c r="F5840" s="27">
        <v>15</v>
      </c>
      <c r="G5840" s="18">
        <v>91598.48</v>
      </c>
      <c r="H5840" s="27">
        <f t="shared" si="182"/>
        <v>0</v>
      </c>
      <c r="I5840" s="18">
        <v>31330.74</v>
      </c>
      <c r="J5840" s="27">
        <v>91598.48</v>
      </c>
      <c r="K5840" s="18">
        <f t="shared" si="183"/>
        <v>0</v>
      </c>
      <c r="L5840" s="27">
        <v>36676.769999999997</v>
      </c>
      <c r="M5840" s="36">
        <v>5346.03</v>
      </c>
      <c r="T5840" s="41">
        <v>0</v>
      </c>
      <c r="U5840" s="41">
        <v>0</v>
      </c>
      <c r="V5840" s="42" t="s">
        <v>113</v>
      </c>
      <c r="W5840" s="42">
        <v>0</v>
      </c>
      <c r="X5840" s="42">
        <v>0</v>
      </c>
    </row>
    <row r="5841" spans="1:24">
      <c r="A5841" s="27" t="s">
        <v>10766</v>
      </c>
      <c r="B5841" s="28" t="s">
        <v>5102</v>
      </c>
      <c r="C5841" s="27" t="s">
        <v>10767</v>
      </c>
      <c r="D5841" s="27" t="s">
        <v>230</v>
      </c>
      <c r="E5841" s="29">
        <v>41789</v>
      </c>
      <c r="F5841" s="27">
        <v>15</v>
      </c>
      <c r="G5841" s="18">
        <v>127448.09</v>
      </c>
      <c r="H5841" s="27">
        <f t="shared" si="182"/>
        <v>0</v>
      </c>
      <c r="I5841" s="18">
        <v>43592.89</v>
      </c>
      <c r="J5841" s="27">
        <v>127448.09</v>
      </c>
      <c r="K5841" s="18">
        <f t="shared" si="183"/>
        <v>0</v>
      </c>
      <c r="L5841" s="27">
        <v>51031.24</v>
      </c>
      <c r="M5841" s="36">
        <v>7438.35</v>
      </c>
      <c r="T5841" s="41">
        <v>0</v>
      </c>
      <c r="U5841" s="41">
        <v>0</v>
      </c>
      <c r="V5841" s="42" t="s">
        <v>113</v>
      </c>
      <c r="W5841" s="42">
        <v>0</v>
      </c>
      <c r="X5841" s="42">
        <v>0</v>
      </c>
    </row>
    <row r="5842" spans="1:24">
      <c r="A5842" s="27" t="s">
        <v>10768</v>
      </c>
      <c r="B5842" s="28" t="s">
        <v>5102</v>
      </c>
      <c r="C5842" s="27" t="s">
        <v>10769</v>
      </c>
      <c r="D5842" s="27" t="s">
        <v>5104</v>
      </c>
      <c r="E5842" s="29">
        <v>41789</v>
      </c>
      <c r="F5842" s="27">
        <v>15</v>
      </c>
      <c r="G5842" s="18">
        <v>22769.68</v>
      </c>
      <c r="H5842" s="27">
        <f t="shared" si="182"/>
        <v>0</v>
      </c>
      <c r="I5842" s="18">
        <v>7788.24</v>
      </c>
      <c r="J5842" s="27">
        <v>22769.68</v>
      </c>
      <c r="K5842" s="18">
        <f t="shared" si="183"/>
        <v>0</v>
      </c>
      <c r="L5842" s="27">
        <v>9117.16</v>
      </c>
      <c r="M5842" s="36">
        <v>1328.92</v>
      </c>
      <c r="T5842" s="41">
        <v>0</v>
      </c>
      <c r="U5842" s="41">
        <v>0</v>
      </c>
      <c r="V5842" s="42" t="s">
        <v>113</v>
      </c>
      <c r="W5842" s="42">
        <v>0</v>
      </c>
      <c r="X5842" s="42">
        <v>0</v>
      </c>
    </row>
    <row r="5843" spans="1:24">
      <c r="A5843" s="27" t="s">
        <v>10770</v>
      </c>
      <c r="B5843" s="28" t="s">
        <v>5102</v>
      </c>
      <c r="C5843" s="27" t="s">
        <v>10771</v>
      </c>
      <c r="D5843" s="27" t="s">
        <v>230</v>
      </c>
      <c r="E5843" s="29">
        <v>41789</v>
      </c>
      <c r="F5843" s="27">
        <v>15</v>
      </c>
      <c r="G5843" s="18">
        <v>88709.87</v>
      </c>
      <c r="H5843" s="27">
        <f t="shared" si="182"/>
        <v>0</v>
      </c>
      <c r="I5843" s="18">
        <v>30342.71</v>
      </c>
      <c r="J5843" s="27">
        <v>88709.87</v>
      </c>
      <c r="K5843" s="18">
        <f t="shared" si="183"/>
        <v>0</v>
      </c>
      <c r="L5843" s="27">
        <v>35520.15</v>
      </c>
      <c r="M5843" s="36">
        <v>5177.4399999999996</v>
      </c>
      <c r="T5843" s="41">
        <v>0</v>
      </c>
      <c r="U5843" s="41">
        <v>0</v>
      </c>
      <c r="V5843" s="42" t="s">
        <v>113</v>
      </c>
      <c r="W5843" s="42">
        <v>0</v>
      </c>
      <c r="X5843" s="42">
        <v>0</v>
      </c>
    </row>
    <row r="5844" spans="1:24">
      <c r="A5844" s="27" t="s">
        <v>10772</v>
      </c>
      <c r="B5844" s="28" t="s">
        <v>5102</v>
      </c>
      <c r="C5844" s="27" t="s">
        <v>10773</v>
      </c>
      <c r="D5844" s="27" t="s">
        <v>5104</v>
      </c>
      <c r="E5844" s="29">
        <v>41789</v>
      </c>
      <c r="F5844" s="27">
        <v>15</v>
      </c>
      <c r="G5844" s="18">
        <v>29245.64</v>
      </c>
      <c r="H5844" s="27">
        <f t="shared" si="182"/>
        <v>0</v>
      </c>
      <c r="I5844" s="18">
        <v>10003.31</v>
      </c>
      <c r="J5844" s="27">
        <v>29245.64</v>
      </c>
      <c r="K5844" s="18">
        <f t="shared" si="183"/>
        <v>0</v>
      </c>
      <c r="L5844" s="27">
        <v>11710.19</v>
      </c>
      <c r="M5844" s="36">
        <v>1706.88</v>
      </c>
      <c r="T5844" s="41">
        <v>0</v>
      </c>
      <c r="U5844" s="41">
        <v>0</v>
      </c>
      <c r="V5844" s="42" t="s">
        <v>113</v>
      </c>
      <c r="W5844" s="42">
        <v>0</v>
      </c>
      <c r="X5844" s="42">
        <v>0</v>
      </c>
    </row>
    <row r="5845" spans="1:24">
      <c r="A5845" s="27" t="s">
        <v>10774</v>
      </c>
      <c r="B5845" s="28" t="s">
        <v>5102</v>
      </c>
      <c r="C5845" s="27" t="s">
        <v>10773</v>
      </c>
      <c r="D5845" s="27" t="s">
        <v>5104</v>
      </c>
      <c r="E5845" s="29">
        <v>41789</v>
      </c>
      <c r="F5845" s="27">
        <v>15</v>
      </c>
      <c r="G5845" s="18">
        <v>50650.47</v>
      </c>
      <c r="H5845" s="27">
        <f t="shared" si="182"/>
        <v>0</v>
      </c>
      <c r="I5845" s="18">
        <v>17324.71</v>
      </c>
      <c r="J5845" s="27">
        <v>50650.47</v>
      </c>
      <c r="K5845" s="18">
        <f t="shared" si="183"/>
        <v>0</v>
      </c>
      <c r="L5845" s="27">
        <v>20280.86</v>
      </c>
      <c r="M5845" s="36">
        <v>2956.15</v>
      </c>
      <c r="T5845" s="41">
        <v>0</v>
      </c>
      <c r="U5845" s="41">
        <v>0</v>
      </c>
      <c r="V5845" s="42" t="s">
        <v>113</v>
      </c>
      <c r="W5845" s="42">
        <v>0</v>
      </c>
      <c r="X5845" s="42">
        <v>0</v>
      </c>
    </row>
    <row r="5846" spans="1:24">
      <c r="A5846" s="27" t="s">
        <v>10775</v>
      </c>
      <c r="B5846" s="28" t="s">
        <v>5102</v>
      </c>
      <c r="C5846" s="27" t="s">
        <v>10776</v>
      </c>
      <c r="D5846" s="27" t="s">
        <v>5104</v>
      </c>
      <c r="E5846" s="29">
        <v>41789</v>
      </c>
      <c r="F5846" s="27">
        <v>15</v>
      </c>
      <c r="G5846" s="18">
        <v>223720.55</v>
      </c>
      <c r="H5846" s="27">
        <f t="shared" si="182"/>
        <v>0</v>
      </c>
      <c r="I5846" s="18">
        <v>76522.34</v>
      </c>
      <c r="J5846" s="27">
        <v>223720.55</v>
      </c>
      <c r="K5846" s="18">
        <f t="shared" si="183"/>
        <v>0</v>
      </c>
      <c r="L5846" s="27">
        <v>89579.51</v>
      </c>
      <c r="M5846" s="36">
        <v>13057.17</v>
      </c>
      <c r="T5846" s="41">
        <v>0</v>
      </c>
      <c r="U5846" s="41">
        <v>0</v>
      </c>
      <c r="V5846" s="42" t="s">
        <v>113</v>
      </c>
      <c r="W5846" s="42">
        <v>0</v>
      </c>
      <c r="X5846" s="42">
        <v>0</v>
      </c>
    </row>
    <row r="5847" spans="1:24">
      <c r="A5847" s="27" t="s">
        <v>10777</v>
      </c>
      <c r="B5847" s="28" t="s">
        <v>5102</v>
      </c>
      <c r="C5847" s="27" t="s">
        <v>10778</v>
      </c>
      <c r="D5847" s="27" t="s">
        <v>5104</v>
      </c>
      <c r="E5847" s="29">
        <v>41789</v>
      </c>
      <c r="F5847" s="27">
        <v>15</v>
      </c>
      <c r="G5847" s="18">
        <v>18160.29</v>
      </c>
      <c r="H5847" s="27">
        <f t="shared" si="182"/>
        <v>0</v>
      </c>
      <c r="I5847" s="18">
        <v>6211.62</v>
      </c>
      <c r="J5847" s="27">
        <v>18160.29</v>
      </c>
      <c r="K5847" s="18">
        <f t="shared" si="183"/>
        <v>0</v>
      </c>
      <c r="L5847" s="27">
        <v>7271.52</v>
      </c>
      <c r="M5847" s="36">
        <v>1059.9000000000001</v>
      </c>
      <c r="T5847" s="41">
        <v>0</v>
      </c>
      <c r="U5847" s="41">
        <v>0</v>
      </c>
      <c r="V5847" s="42" t="s">
        <v>113</v>
      </c>
      <c r="W5847" s="42">
        <v>0</v>
      </c>
      <c r="X5847" s="42">
        <v>0</v>
      </c>
    </row>
    <row r="5848" spans="1:24">
      <c r="A5848" s="27" t="s">
        <v>10779</v>
      </c>
      <c r="B5848" s="28" t="s">
        <v>5102</v>
      </c>
      <c r="C5848" s="27" t="s">
        <v>10780</v>
      </c>
      <c r="D5848" s="27" t="s">
        <v>230</v>
      </c>
      <c r="E5848" s="29">
        <v>41789</v>
      </c>
      <c r="F5848" s="27">
        <v>15</v>
      </c>
      <c r="G5848" s="18">
        <v>27746.76</v>
      </c>
      <c r="H5848" s="27">
        <f t="shared" si="182"/>
        <v>0</v>
      </c>
      <c r="I5848" s="18">
        <v>9490.6200000000008</v>
      </c>
      <c r="J5848" s="27">
        <v>27746.76</v>
      </c>
      <c r="K5848" s="18">
        <f t="shared" si="183"/>
        <v>0</v>
      </c>
      <c r="L5848" s="27">
        <v>11110.02</v>
      </c>
      <c r="M5848" s="36">
        <v>1619.4</v>
      </c>
      <c r="T5848" s="41">
        <v>0</v>
      </c>
      <c r="U5848" s="41">
        <v>0</v>
      </c>
      <c r="V5848" s="42" t="s">
        <v>113</v>
      </c>
      <c r="W5848" s="42">
        <v>0</v>
      </c>
      <c r="X5848" s="42">
        <v>0</v>
      </c>
    </row>
    <row r="5849" spans="1:24">
      <c r="A5849" s="27" t="s">
        <v>10781</v>
      </c>
      <c r="B5849" s="28" t="s">
        <v>5102</v>
      </c>
      <c r="C5849" s="27" t="s">
        <v>10782</v>
      </c>
      <c r="D5849" s="27" t="s">
        <v>230</v>
      </c>
      <c r="E5849" s="29">
        <v>41789</v>
      </c>
      <c r="F5849" s="27">
        <v>15</v>
      </c>
      <c r="G5849" s="18">
        <v>7021.08</v>
      </c>
      <c r="H5849" s="27">
        <f t="shared" si="182"/>
        <v>0</v>
      </c>
      <c r="I5849" s="18">
        <v>2401.5300000000002</v>
      </c>
      <c r="J5849" s="27">
        <v>7021.08</v>
      </c>
      <c r="K5849" s="18">
        <f t="shared" si="183"/>
        <v>0</v>
      </c>
      <c r="L5849" s="27">
        <v>2811.31</v>
      </c>
      <c r="M5849" s="36">
        <v>409.78</v>
      </c>
      <c r="T5849" s="41">
        <v>0</v>
      </c>
      <c r="U5849" s="41">
        <v>0</v>
      </c>
      <c r="V5849" s="42" t="s">
        <v>113</v>
      </c>
      <c r="W5849" s="42">
        <v>0</v>
      </c>
      <c r="X5849" s="42">
        <v>0</v>
      </c>
    </row>
    <row r="5850" spans="1:24">
      <c r="A5850" s="27" t="s">
        <v>10783</v>
      </c>
      <c r="B5850" s="28" t="s">
        <v>5102</v>
      </c>
      <c r="C5850" s="27" t="s">
        <v>10784</v>
      </c>
      <c r="D5850" s="27" t="s">
        <v>5104</v>
      </c>
      <c r="E5850" s="29">
        <v>41789</v>
      </c>
      <c r="F5850" s="27">
        <v>15</v>
      </c>
      <c r="G5850" s="18">
        <v>32821.17</v>
      </c>
      <c r="H5850" s="27">
        <f t="shared" si="182"/>
        <v>0</v>
      </c>
      <c r="I5850" s="18">
        <v>11235.69</v>
      </c>
      <c r="J5850" s="27">
        <v>32821.17</v>
      </c>
      <c r="K5850" s="18">
        <f t="shared" si="183"/>
        <v>0</v>
      </c>
      <c r="L5850" s="27">
        <v>13150.35</v>
      </c>
      <c r="M5850" s="36">
        <v>1914.66</v>
      </c>
      <c r="T5850" s="41">
        <v>0</v>
      </c>
      <c r="U5850" s="41">
        <v>0</v>
      </c>
      <c r="V5850" s="42" t="s">
        <v>113</v>
      </c>
      <c r="W5850" s="42">
        <v>0</v>
      </c>
      <c r="X5850" s="42">
        <v>0</v>
      </c>
    </row>
    <row r="5851" spans="1:24">
      <c r="A5851" s="27" t="s">
        <v>10785</v>
      </c>
      <c r="B5851" s="28" t="s">
        <v>5102</v>
      </c>
      <c r="C5851" s="27" t="s">
        <v>10786</v>
      </c>
      <c r="D5851" s="27" t="s">
        <v>5104</v>
      </c>
      <c r="E5851" s="29">
        <v>41789</v>
      </c>
      <c r="F5851" s="27">
        <v>15</v>
      </c>
      <c r="G5851" s="18">
        <v>41856.43</v>
      </c>
      <c r="H5851" s="27">
        <f t="shared" si="182"/>
        <v>0</v>
      </c>
      <c r="I5851" s="18">
        <v>14316.75</v>
      </c>
      <c r="J5851" s="27">
        <v>41856.43</v>
      </c>
      <c r="K5851" s="18">
        <f t="shared" si="183"/>
        <v>0</v>
      </c>
      <c r="L5851" s="27">
        <v>16759.650000000001</v>
      </c>
      <c r="M5851" s="36">
        <v>2442.9</v>
      </c>
      <c r="T5851" s="41">
        <v>0</v>
      </c>
      <c r="U5851" s="41">
        <v>0</v>
      </c>
      <c r="V5851" s="42" t="s">
        <v>113</v>
      </c>
      <c r="W5851" s="42">
        <v>0</v>
      </c>
      <c r="X5851" s="42">
        <v>0</v>
      </c>
    </row>
    <row r="5852" spans="1:24">
      <c r="A5852" s="27" t="s">
        <v>10787</v>
      </c>
      <c r="B5852" s="28" t="s">
        <v>5102</v>
      </c>
      <c r="C5852" s="27" t="s">
        <v>10703</v>
      </c>
      <c r="D5852" s="27" t="s">
        <v>5104</v>
      </c>
      <c r="E5852" s="29">
        <v>41789</v>
      </c>
      <c r="F5852" s="27">
        <v>15</v>
      </c>
      <c r="G5852" s="18">
        <v>37401.97</v>
      </c>
      <c r="H5852" s="27">
        <f t="shared" si="182"/>
        <v>0</v>
      </c>
      <c r="I5852" s="18">
        <v>12793.13</v>
      </c>
      <c r="J5852" s="27">
        <v>37401.97</v>
      </c>
      <c r="K5852" s="18">
        <f t="shared" si="183"/>
        <v>0</v>
      </c>
      <c r="L5852" s="27">
        <v>14976.05</v>
      </c>
      <c r="M5852" s="36">
        <v>2182.92</v>
      </c>
      <c r="T5852" s="41">
        <v>0</v>
      </c>
      <c r="U5852" s="41">
        <v>0</v>
      </c>
      <c r="V5852" s="42" t="s">
        <v>113</v>
      </c>
      <c r="W5852" s="42">
        <v>0</v>
      </c>
      <c r="X5852" s="42">
        <v>0</v>
      </c>
    </row>
    <row r="5853" spans="1:24">
      <c r="A5853" s="27" t="s">
        <v>10788</v>
      </c>
      <c r="B5853" s="28" t="s">
        <v>5102</v>
      </c>
      <c r="C5853" s="27" t="s">
        <v>10705</v>
      </c>
      <c r="D5853" s="27" t="s">
        <v>5104</v>
      </c>
      <c r="E5853" s="29">
        <v>41789</v>
      </c>
      <c r="F5853" s="27">
        <v>12</v>
      </c>
      <c r="G5853" s="18">
        <v>3210.98</v>
      </c>
      <c r="H5853" s="27">
        <f t="shared" si="182"/>
        <v>3210.98</v>
      </c>
      <c r="I5853" s="18">
        <v>3210.98</v>
      </c>
      <c r="J5853" s="27">
        <v>3210.98</v>
      </c>
      <c r="K5853" s="18">
        <f t="shared" si="183"/>
        <v>3210.98</v>
      </c>
      <c r="L5853" s="27">
        <v>3210.98</v>
      </c>
      <c r="M5853" s="36">
        <v>0</v>
      </c>
      <c r="T5853" s="41">
        <v>0</v>
      </c>
      <c r="U5853" s="41">
        <v>0</v>
      </c>
      <c r="V5853" s="42" t="s">
        <v>113</v>
      </c>
      <c r="W5853" s="42">
        <v>3210.98</v>
      </c>
      <c r="X5853" s="42">
        <v>3210.98</v>
      </c>
    </row>
    <row r="5854" spans="1:24">
      <c r="A5854" s="27" t="s">
        <v>10789</v>
      </c>
      <c r="B5854" s="28" t="s">
        <v>5102</v>
      </c>
      <c r="C5854" s="27" t="s">
        <v>10790</v>
      </c>
      <c r="D5854" s="27" t="s">
        <v>5104</v>
      </c>
      <c r="E5854" s="29">
        <v>41789</v>
      </c>
      <c r="F5854" s="27">
        <v>15</v>
      </c>
      <c r="G5854" s="18">
        <v>53611.26</v>
      </c>
      <c r="H5854" s="27">
        <f t="shared" si="182"/>
        <v>0</v>
      </c>
      <c r="I5854" s="18">
        <v>18337.419999999998</v>
      </c>
      <c r="J5854" s="27">
        <v>53611.26</v>
      </c>
      <c r="K5854" s="18">
        <f t="shared" si="183"/>
        <v>0</v>
      </c>
      <c r="L5854" s="27">
        <v>21466.37</v>
      </c>
      <c r="M5854" s="36">
        <v>3128.95</v>
      </c>
      <c r="T5854" s="41">
        <v>0</v>
      </c>
      <c r="U5854" s="41">
        <v>0</v>
      </c>
      <c r="V5854" s="42" t="s">
        <v>113</v>
      </c>
      <c r="W5854" s="42">
        <v>0</v>
      </c>
      <c r="X5854" s="42">
        <v>0</v>
      </c>
    </row>
    <row r="5855" spans="1:24">
      <c r="A5855" s="27" t="s">
        <v>10791</v>
      </c>
      <c r="B5855" s="28" t="s">
        <v>5102</v>
      </c>
      <c r="C5855" s="27" t="s">
        <v>10792</v>
      </c>
      <c r="D5855" s="27" t="s">
        <v>5104</v>
      </c>
      <c r="E5855" s="29">
        <v>41789</v>
      </c>
      <c r="F5855" s="27">
        <v>15</v>
      </c>
      <c r="G5855" s="18">
        <v>147233.53</v>
      </c>
      <c r="H5855" s="27">
        <f t="shared" si="182"/>
        <v>0</v>
      </c>
      <c r="I5855" s="18">
        <v>50383.33</v>
      </c>
      <c r="J5855" s="27">
        <v>147233.53</v>
      </c>
      <c r="K5855" s="18">
        <f t="shared" si="183"/>
        <v>0</v>
      </c>
      <c r="L5855" s="27">
        <v>58974.23</v>
      </c>
      <c r="M5855" s="36">
        <v>8590.9</v>
      </c>
      <c r="T5855" s="41">
        <v>0</v>
      </c>
      <c r="U5855" s="41">
        <v>0</v>
      </c>
      <c r="V5855" s="42" t="s">
        <v>113</v>
      </c>
      <c r="W5855" s="42">
        <v>0</v>
      </c>
      <c r="X5855" s="42">
        <v>0</v>
      </c>
    </row>
    <row r="5856" spans="1:24">
      <c r="A5856" s="27" t="s">
        <v>10793</v>
      </c>
      <c r="B5856" s="28" t="s">
        <v>5102</v>
      </c>
      <c r="C5856" s="27" t="s">
        <v>10794</v>
      </c>
      <c r="D5856" s="27" t="s">
        <v>5104</v>
      </c>
      <c r="E5856" s="29">
        <v>41789</v>
      </c>
      <c r="F5856" s="27">
        <v>15</v>
      </c>
      <c r="G5856" s="18">
        <v>30760.560000000001</v>
      </c>
      <c r="H5856" s="27">
        <f t="shared" si="182"/>
        <v>0</v>
      </c>
      <c r="I5856" s="18">
        <v>10521.47</v>
      </c>
      <c r="J5856" s="27">
        <v>30760.560000000001</v>
      </c>
      <c r="K5856" s="18">
        <f t="shared" si="183"/>
        <v>0</v>
      </c>
      <c r="L5856" s="27">
        <v>12316.77</v>
      </c>
      <c r="M5856" s="36">
        <v>1795.3</v>
      </c>
      <c r="T5856" s="41">
        <v>0</v>
      </c>
      <c r="U5856" s="41">
        <v>0</v>
      </c>
      <c r="V5856" s="42" t="s">
        <v>113</v>
      </c>
      <c r="W5856" s="42">
        <v>0</v>
      </c>
      <c r="X5856" s="42">
        <v>0</v>
      </c>
    </row>
    <row r="5857" spans="1:24">
      <c r="A5857" s="27" t="s">
        <v>10795</v>
      </c>
      <c r="B5857" s="28" t="s">
        <v>5102</v>
      </c>
      <c r="C5857" s="27" t="s">
        <v>10796</v>
      </c>
      <c r="D5857" s="27" t="s">
        <v>5104</v>
      </c>
      <c r="E5857" s="29">
        <v>41789</v>
      </c>
      <c r="F5857" s="27">
        <v>15</v>
      </c>
      <c r="G5857" s="18">
        <v>31559.53</v>
      </c>
      <c r="H5857" s="27">
        <f t="shared" si="182"/>
        <v>0</v>
      </c>
      <c r="I5857" s="18">
        <v>10794.75</v>
      </c>
      <c r="J5857" s="27">
        <v>31559.53</v>
      </c>
      <c r="K5857" s="18">
        <f t="shared" si="183"/>
        <v>0</v>
      </c>
      <c r="L5857" s="27">
        <v>12636.68</v>
      </c>
      <c r="M5857" s="36">
        <v>1841.93</v>
      </c>
      <c r="T5857" s="41">
        <v>0</v>
      </c>
      <c r="U5857" s="41">
        <v>0</v>
      </c>
      <c r="V5857" s="42" t="s">
        <v>113</v>
      </c>
      <c r="W5857" s="42">
        <v>0</v>
      </c>
      <c r="X5857" s="42">
        <v>0</v>
      </c>
    </row>
    <row r="5858" spans="1:24">
      <c r="A5858" s="27" t="s">
        <v>10797</v>
      </c>
      <c r="B5858" s="28" t="s">
        <v>5102</v>
      </c>
      <c r="C5858" s="27" t="s">
        <v>10798</v>
      </c>
      <c r="D5858" s="27" t="s">
        <v>5104</v>
      </c>
      <c r="E5858" s="29">
        <v>41789</v>
      </c>
      <c r="F5858" s="27">
        <v>15</v>
      </c>
      <c r="G5858" s="18">
        <v>18477.87</v>
      </c>
      <c r="H5858" s="27">
        <f t="shared" si="182"/>
        <v>0</v>
      </c>
      <c r="I5858" s="18">
        <v>6321.75</v>
      </c>
      <c r="J5858" s="27">
        <v>18477.87</v>
      </c>
      <c r="K5858" s="18">
        <f t="shared" si="183"/>
        <v>0</v>
      </c>
      <c r="L5858" s="27">
        <v>7400.04</v>
      </c>
      <c r="M5858" s="36">
        <v>1078.29</v>
      </c>
      <c r="T5858" s="41">
        <v>0</v>
      </c>
      <c r="U5858" s="41">
        <v>0</v>
      </c>
      <c r="V5858" s="42" t="s">
        <v>113</v>
      </c>
      <c r="W5858" s="42">
        <v>0</v>
      </c>
      <c r="X5858" s="42">
        <v>0</v>
      </c>
    </row>
    <row r="5859" spans="1:24">
      <c r="A5859" s="27" t="s">
        <v>10799</v>
      </c>
      <c r="B5859" s="28" t="s">
        <v>5102</v>
      </c>
      <c r="C5859" s="27" t="s">
        <v>10800</v>
      </c>
      <c r="D5859" s="27" t="s">
        <v>5104</v>
      </c>
      <c r="E5859" s="29">
        <v>41789</v>
      </c>
      <c r="F5859" s="27">
        <v>15</v>
      </c>
      <c r="G5859" s="18">
        <v>59961.61</v>
      </c>
      <c r="H5859" s="27">
        <f t="shared" si="182"/>
        <v>0</v>
      </c>
      <c r="I5859" s="18">
        <v>20509.52</v>
      </c>
      <c r="J5859" s="27">
        <v>59961.61</v>
      </c>
      <c r="K5859" s="18">
        <f t="shared" si="183"/>
        <v>0</v>
      </c>
      <c r="L5859" s="27">
        <v>24009.1</v>
      </c>
      <c r="M5859" s="36">
        <v>3499.58</v>
      </c>
      <c r="T5859" s="41">
        <v>0</v>
      </c>
      <c r="U5859" s="41">
        <v>0</v>
      </c>
      <c r="V5859" s="42" t="s">
        <v>113</v>
      </c>
      <c r="W5859" s="42">
        <v>0</v>
      </c>
      <c r="X5859" s="42">
        <v>0</v>
      </c>
    </row>
    <row r="5860" spans="1:24">
      <c r="A5860" s="27" t="s">
        <v>10801</v>
      </c>
      <c r="B5860" s="28" t="s">
        <v>5102</v>
      </c>
      <c r="C5860" s="27" t="s">
        <v>10802</v>
      </c>
      <c r="D5860" s="27" t="s">
        <v>5104</v>
      </c>
      <c r="E5860" s="29">
        <v>41789</v>
      </c>
      <c r="F5860" s="27">
        <v>15</v>
      </c>
      <c r="G5860" s="18">
        <v>101774.75</v>
      </c>
      <c r="H5860" s="27">
        <f t="shared" si="182"/>
        <v>0</v>
      </c>
      <c r="I5860" s="18">
        <v>34825.97</v>
      </c>
      <c r="J5860" s="27">
        <v>101774.75</v>
      </c>
      <c r="K5860" s="18">
        <f t="shared" si="183"/>
        <v>0</v>
      </c>
      <c r="L5860" s="27">
        <v>40764.53</v>
      </c>
      <c r="M5860" s="36">
        <v>5938.56</v>
      </c>
      <c r="T5860" s="41">
        <v>0</v>
      </c>
      <c r="U5860" s="41">
        <v>0</v>
      </c>
      <c r="V5860" s="42" t="s">
        <v>113</v>
      </c>
      <c r="W5860" s="42">
        <v>0</v>
      </c>
      <c r="X5860" s="42">
        <v>0</v>
      </c>
    </row>
    <row r="5861" spans="1:24">
      <c r="A5861" s="27" t="s">
        <v>10803</v>
      </c>
      <c r="B5861" s="28" t="s">
        <v>5102</v>
      </c>
      <c r="C5861" s="27" t="s">
        <v>10804</v>
      </c>
      <c r="D5861" s="27" t="s">
        <v>5104</v>
      </c>
      <c r="E5861" s="29">
        <v>41789</v>
      </c>
      <c r="F5861" s="27">
        <v>15</v>
      </c>
      <c r="G5861" s="18">
        <v>32720.639999999999</v>
      </c>
      <c r="H5861" s="27">
        <f t="shared" si="182"/>
        <v>0</v>
      </c>
      <c r="I5861" s="18">
        <v>11191.9</v>
      </c>
      <c r="J5861" s="27">
        <v>32720.639999999999</v>
      </c>
      <c r="K5861" s="18">
        <f t="shared" si="183"/>
        <v>0</v>
      </c>
      <c r="L5861" s="27">
        <v>13101.6</v>
      </c>
      <c r="M5861" s="36">
        <v>1909.7</v>
      </c>
      <c r="T5861" s="41">
        <v>0</v>
      </c>
      <c r="U5861" s="41">
        <v>0</v>
      </c>
      <c r="V5861" s="42" t="s">
        <v>113</v>
      </c>
      <c r="W5861" s="42">
        <v>0</v>
      </c>
      <c r="X5861" s="42">
        <v>0</v>
      </c>
    </row>
    <row r="5862" spans="1:24">
      <c r="A5862" s="27" t="s">
        <v>10805</v>
      </c>
      <c r="B5862" s="28" t="s">
        <v>5102</v>
      </c>
      <c r="C5862" s="27" t="s">
        <v>10806</v>
      </c>
      <c r="D5862" s="27" t="s">
        <v>5104</v>
      </c>
      <c r="E5862" s="29">
        <v>41789</v>
      </c>
      <c r="F5862" s="27">
        <v>15</v>
      </c>
      <c r="G5862" s="18">
        <v>57152.05</v>
      </c>
      <c r="H5862" s="27">
        <f t="shared" si="182"/>
        <v>0</v>
      </c>
      <c r="I5862" s="18">
        <v>19548.54</v>
      </c>
      <c r="J5862" s="27">
        <v>57152.05</v>
      </c>
      <c r="K5862" s="18">
        <f t="shared" si="183"/>
        <v>0</v>
      </c>
      <c r="L5862" s="27">
        <v>22884.15</v>
      </c>
      <c r="M5862" s="36">
        <v>3335.61</v>
      </c>
      <c r="T5862" s="41">
        <v>0</v>
      </c>
      <c r="U5862" s="41">
        <v>0</v>
      </c>
      <c r="V5862" s="42" t="s">
        <v>113</v>
      </c>
      <c r="W5862" s="42">
        <v>0</v>
      </c>
      <c r="X5862" s="42">
        <v>0</v>
      </c>
    </row>
    <row r="5863" spans="1:24">
      <c r="A5863" s="27" t="s">
        <v>10807</v>
      </c>
      <c r="B5863" s="28" t="s">
        <v>5102</v>
      </c>
      <c r="C5863" s="27" t="s">
        <v>10808</v>
      </c>
      <c r="D5863" s="27" t="s">
        <v>5104</v>
      </c>
      <c r="E5863" s="29">
        <v>41998</v>
      </c>
      <c r="F5863" s="27">
        <v>15</v>
      </c>
      <c r="G5863" s="18">
        <v>175295.41</v>
      </c>
      <c r="H5863" s="27">
        <f t="shared" si="182"/>
        <v>0</v>
      </c>
      <c r="I5863" s="18">
        <v>52040.82</v>
      </c>
      <c r="J5863" s="27">
        <v>175295.41</v>
      </c>
      <c r="K5863" s="18">
        <f t="shared" si="183"/>
        <v>0</v>
      </c>
      <c r="L5863" s="27">
        <v>62448.99</v>
      </c>
      <c r="M5863" s="36">
        <v>10408.17</v>
      </c>
      <c r="T5863" s="41">
        <v>0</v>
      </c>
      <c r="U5863" s="41">
        <v>0</v>
      </c>
      <c r="V5863" s="42" t="s">
        <v>113</v>
      </c>
      <c r="W5863" s="42">
        <v>0</v>
      </c>
      <c r="X5863" s="42">
        <v>0</v>
      </c>
    </row>
    <row r="5864" spans="1:24">
      <c r="A5864" s="27" t="s">
        <v>10809</v>
      </c>
      <c r="B5864" s="28" t="s">
        <v>5102</v>
      </c>
      <c r="C5864" s="27" t="s">
        <v>7378</v>
      </c>
      <c r="D5864" s="27" t="s">
        <v>230</v>
      </c>
      <c r="E5864" s="29">
        <v>38776</v>
      </c>
      <c r="F5864" s="27">
        <v>15</v>
      </c>
      <c r="G5864" s="18">
        <v>39904</v>
      </c>
      <c r="H5864" s="27">
        <f t="shared" si="182"/>
        <v>0</v>
      </c>
      <c r="I5864" s="18">
        <v>37509.279999999999</v>
      </c>
      <c r="J5864" s="27">
        <v>39904</v>
      </c>
      <c r="K5864" s="18">
        <f t="shared" si="183"/>
        <v>0</v>
      </c>
      <c r="L5864" s="27">
        <v>37693.67</v>
      </c>
      <c r="M5864" s="36">
        <v>184.39</v>
      </c>
      <c r="T5864" s="41">
        <v>0</v>
      </c>
      <c r="U5864" s="41">
        <v>0</v>
      </c>
      <c r="V5864" s="42" t="s">
        <v>113</v>
      </c>
      <c r="W5864" s="42">
        <v>0</v>
      </c>
      <c r="X5864" s="42">
        <v>39904</v>
      </c>
    </row>
    <row r="5865" spans="1:24">
      <c r="A5865" s="27" t="s">
        <v>10810</v>
      </c>
      <c r="B5865" s="28" t="s">
        <v>5102</v>
      </c>
      <c r="C5865" s="27" t="s">
        <v>10811</v>
      </c>
      <c r="D5865" s="27" t="s">
        <v>5104</v>
      </c>
      <c r="E5865" s="29">
        <v>32873</v>
      </c>
      <c r="F5865" s="27">
        <v>15</v>
      </c>
      <c r="G5865" s="18">
        <v>132624.63</v>
      </c>
      <c r="H5865" s="27">
        <f t="shared" si="182"/>
        <v>132624.63</v>
      </c>
      <c r="I5865" s="18">
        <v>125993.4</v>
      </c>
      <c r="J5865" s="27">
        <v>132624.63</v>
      </c>
      <c r="K5865" s="18">
        <f t="shared" si="183"/>
        <v>132624.63</v>
      </c>
      <c r="L5865" s="27">
        <v>125993.4</v>
      </c>
      <c r="M5865" s="36">
        <v>0</v>
      </c>
      <c r="T5865" s="41">
        <v>0</v>
      </c>
      <c r="U5865" s="41">
        <v>0</v>
      </c>
      <c r="V5865" s="42" t="s">
        <v>113</v>
      </c>
      <c r="W5865" s="42">
        <v>132624.63</v>
      </c>
      <c r="X5865" s="42">
        <v>132624.63</v>
      </c>
    </row>
    <row r="5866" spans="1:24">
      <c r="A5866" s="27" t="s">
        <v>10812</v>
      </c>
      <c r="B5866" s="28" t="s">
        <v>5102</v>
      </c>
      <c r="C5866" s="27" t="s">
        <v>10813</v>
      </c>
      <c r="D5866" s="27" t="s">
        <v>5104</v>
      </c>
      <c r="E5866" s="29">
        <v>32142</v>
      </c>
      <c r="F5866" s="27">
        <v>15</v>
      </c>
      <c r="G5866" s="18">
        <v>12000</v>
      </c>
      <c r="H5866" s="27">
        <f t="shared" si="182"/>
        <v>12000</v>
      </c>
      <c r="I5866" s="18">
        <v>11400</v>
      </c>
      <c r="J5866" s="27">
        <v>12000</v>
      </c>
      <c r="K5866" s="18">
        <f t="shared" si="183"/>
        <v>12000</v>
      </c>
      <c r="L5866" s="27">
        <v>11400</v>
      </c>
      <c r="M5866" s="36">
        <v>0</v>
      </c>
      <c r="T5866" s="41">
        <v>0</v>
      </c>
      <c r="U5866" s="41">
        <v>0</v>
      </c>
      <c r="V5866" s="42" t="s">
        <v>113</v>
      </c>
      <c r="W5866" s="42">
        <v>12000</v>
      </c>
      <c r="X5866" s="42">
        <v>12000</v>
      </c>
    </row>
    <row r="5867" spans="1:24">
      <c r="A5867" s="27" t="s">
        <v>10814</v>
      </c>
      <c r="B5867" s="28" t="s">
        <v>5102</v>
      </c>
      <c r="C5867" s="27" t="s">
        <v>10815</v>
      </c>
      <c r="D5867" s="27" t="s">
        <v>230</v>
      </c>
      <c r="E5867" s="29">
        <v>40542</v>
      </c>
      <c r="F5867" s="27">
        <v>15</v>
      </c>
      <c r="G5867" s="18">
        <v>1965483.65</v>
      </c>
      <c r="H5867" s="27">
        <f t="shared" si="182"/>
        <v>0</v>
      </c>
      <c r="I5867" s="18">
        <v>1152398.6000000001</v>
      </c>
      <c r="J5867" s="27">
        <v>1965483.65</v>
      </c>
      <c r="K5867" s="18">
        <f t="shared" si="183"/>
        <v>0</v>
      </c>
      <c r="L5867" s="27">
        <v>1271533.75</v>
      </c>
      <c r="M5867" s="36">
        <v>119135.15</v>
      </c>
      <c r="T5867" s="41">
        <v>0</v>
      </c>
      <c r="U5867" s="41">
        <v>0</v>
      </c>
      <c r="V5867" s="42" t="s">
        <v>113</v>
      </c>
      <c r="W5867" s="42">
        <v>0</v>
      </c>
      <c r="X5867" s="42">
        <v>0</v>
      </c>
    </row>
    <row r="5868" spans="1:24">
      <c r="A5868" s="27" t="s">
        <v>10816</v>
      </c>
      <c r="B5868" s="28" t="s">
        <v>5102</v>
      </c>
      <c r="C5868" s="27" t="s">
        <v>10817</v>
      </c>
      <c r="D5868" s="27" t="s">
        <v>230</v>
      </c>
      <c r="E5868" s="29">
        <v>40542</v>
      </c>
      <c r="F5868" s="27">
        <v>15</v>
      </c>
      <c r="G5868" s="18">
        <v>146893.04999999999</v>
      </c>
      <c r="H5868" s="27">
        <f t="shared" si="182"/>
        <v>0</v>
      </c>
      <c r="I5868" s="18">
        <v>86126.05</v>
      </c>
      <c r="J5868" s="27">
        <v>146893.04999999999</v>
      </c>
      <c r="K5868" s="18">
        <f t="shared" si="183"/>
        <v>0</v>
      </c>
      <c r="L5868" s="27">
        <v>95029.78</v>
      </c>
      <c r="M5868" s="36">
        <v>8903.73</v>
      </c>
      <c r="T5868" s="41">
        <v>0</v>
      </c>
      <c r="U5868" s="41">
        <v>0</v>
      </c>
      <c r="V5868" s="42" t="s">
        <v>113</v>
      </c>
      <c r="W5868" s="42">
        <v>0</v>
      </c>
      <c r="X5868" s="42">
        <v>0</v>
      </c>
    </row>
    <row r="5869" spans="1:24">
      <c r="A5869" s="27" t="s">
        <v>10818</v>
      </c>
      <c r="B5869" s="28" t="s">
        <v>5102</v>
      </c>
      <c r="C5869" s="27" t="s">
        <v>10819</v>
      </c>
      <c r="D5869" s="27" t="s">
        <v>230</v>
      </c>
      <c r="E5869" s="29">
        <v>40542</v>
      </c>
      <c r="F5869" s="27">
        <v>15</v>
      </c>
      <c r="G5869" s="18">
        <v>560315.64</v>
      </c>
      <c r="H5869" s="27">
        <f t="shared" si="182"/>
        <v>0</v>
      </c>
      <c r="I5869" s="18">
        <v>328523.19</v>
      </c>
      <c r="J5869" s="27">
        <v>560315.64</v>
      </c>
      <c r="K5869" s="18">
        <f t="shared" si="183"/>
        <v>0</v>
      </c>
      <c r="L5869" s="27">
        <v>362485.97</v>
      </c>
      <c r="M5869" s="36">
        <v>33962.78</v>
      </c>
      <c r="T5869" s="41">
        <v>0</v>
      </c>
      <c r="U5869" s="41">
        <v>0</v>
      </c>
      <c r="V5869" s="42" t="s">
        <v>113</v>
      </c>
      <c r="W5869" s="42">
        <v>0</v>
      </c>
      <c r="X5869" s="42">
        <v>0</v>
      </c>
    </row>
    <row r="5870" spans="1:24">
      <c r="A5870" s="27" t="s">
        <v>10820</v>
      </c>
      <c r="B5870" s="28" t="s">
        <v>5102</v>
      </c>
      <c r="C5870" s="27" t="s">
        <v>10821</v>
      </c>
      <c r="D5870" s="27" t="s">
        <v>230</v>
      </c>
      <c r="E5870" s="29">
        <v>40542</v>
      </c>
      <c r="F5870" s="27">
        <v>15</v>
      </c>
      <c r="G5870" s="18">
        <v>1847907.55</v>
      </c>
      <c r="H5870" s="27">
        <f t="shared" si="182"/>
        <v>0</v>
      </c>
      <c r="I5870" s="18">
        <v>1083461.6100000001</v>
      </c>
      <c r="J5870" s="27">
        <v>1847907.55</v>
      </c>
      <c r="K5870" s="18">
        <f t="shared" si="183"/>
        <v>0</v>
      </c>
      <c r="L5870" s="27">
        <v>1195470.04</v>
      </c>
      <c r="M5870" s="36">
        <v>112008.43</v>
      </c>
      <c r="T5870" s="41">
        <v>0</v>
      </c>
      <c r="U5870" s="41">
        <v>0</v>
      </c>
      <c r="V5870" s="42" t="s">
        <v>113</v>
      </c>
      <c r="W5870" s="42">
        <v>0</v>
      </c>
      <c r="X5870" s="42">
        <v>0</v>
      </c>
    </row>
    <row r="5871" spans="1:24">
      <c r="A5871" s="27" t="s">
        <v>10822</v>
      </c>
      <c r="B5871" s="28" t="s">
        <v>5102</v>
      </c>
      <c r="C5871" s="27" t="s">
        <v>10823</v>
      </c>
      <c r="D5871" s="27" t="s">
        <v>230</v>
      </c>
      <c r="E5871" s="29">
        <v>40542</v>
      </c>
      <c r="F5871" s="27">
        <v>15</v>
      </c>
      <c r="G5871" s="18">
        <v>1806704.79</v>
      </c>
      <c r="H5871" s="27">
        <f t="shared" si="182"/>
        <v>0</v>
      </c>
      <c r="I5871" s="18">
        <v>1059303.68</v>
      </c>
      <c r="J5871" s="27">
        <v>1806704.79</v>
      </c>
      <c r="K5871" s="18">
        <f t="shared" si="183"/>
        <v>0</v>
      </c>
      <c r="L5871" s="27">
        <v>1168814.6599999999</v>
      </c>
      <c r="M5871" s="36">
        <v>109510.98</v>
      </c>
      <c r="T5871" s="41">
        <v>0</v>
      </c>
      <c r="U5871" s="41">
        <v>0</v>
      </c>
      <c r="V5871" s="42" t="s">
        <v>113</v>
      </c>
      <c r="W5871" s="42">
        <v>0</v>
      </c>
      <c r="X5871" s="42">
        <v>0</v>
      </c>
    </row>
    <row r="5872" spans="1:24">
      <c r="A5872" s="27" t="s">
        <v>10824</v>
      </c>
      <c r="B5872" s="28" t="s">
        <v>5102</v>
      </c>
      <c r="C5872" s="27" t="s">
        <v>10825</v>
      </c>
      <c r="D5872" s="27" t="s">
        <v>230</v>
      </c>
      <c r="E5872" s="29">
        <v>40542</v>
      </c>
      <c r="F5872" s="27">
        <v>15</v>
      </c>
      <c r="G5872" s="18">
        <v>1351874.21</v>
      </c>
      <c r="H5872" s="27">
        <f t="shared" si="182"/>
        <v>0</v>
      </c>
      <c r="I5872" s="18">
        <v>792628.29</v>
      </c>
      <c r="J5872" s="27">
        <v>1351874.21</v>
      </c>
      <c r="K5872" s="18">
        <f t="shared" si="183"/>
        <v>0</v>
      </c>
      <c r="L5872" s="27">
        <v>874570.33</v>
      </c>
      <c r="M5872" s="36">
        <v>81942.039999999994</v>
      </c>
      <c r="T5872" s="41">
        <v>0</v>
      </c>
      <c r="U5872" s="41">
        <v>0</v>
      </c>
      <c r="V5872" s="42" t="s">
        <v>113</v>
      </c>
      <c r="W5872" s="42">
        <v>0</v>
      </c>
      <c r="X5872" s="42">
        <v>0</v>
      </c>
    </row>
    <row r="5873" spans="1:24">
      <c r="A5873" s="27" t="s">
        <v>10826</v>
      </c>
      <c r="B5873" s="28" t="s">
        <v>5102</v>
      </c>
      <c r="C5873" s="27" t="s">
        <v>10827</v>
      </c>
      <c r="D5873" s="27" t="s">
        <v>230</v>
      </c>
      <c r="E5873" s="29">
        <v>40542</v>
      </c>
      <c r="F5873" s="27">
        <v>15</v>
      </c>
      <c r="G5873" s="18">
        <v>1571698.72</v>
      </c>
      <c r="H5873" s="27">
        <f t="shared" si="182"/>
        <v>0</v>
      </c>
      <c r="I5873" s="18">
        <v>921515.37</v>
      </c>
      <c r="J5873" s="27">
        <v>1571698.72</v>
      </c>
      <c r="K5873" s="18">
        <f t="shared" si="183"/>
        <v>0</v>
      </c>
      <c r="L5873" s="27">
        <v>1016781.77</v>
      </c>
      <c r="M5873" s="36">
        <v>95266.4</v>
      </c>
      <c r="T5873" s="41">
        <v>0</v>
      </c>
      <c r="U5873" s="41">
        <v>0</v>
      </c>
      <c r="V5873" s="42" t="s">
        <v>113</v>
      </c>
      <c r="W5873" s="42">
        <v>0</v>
      </c>
      <c r="X5873" s="42">
        <v>0</v>
      </c>
    </row>
    <row r="5874" spans="1:24">
      <c r="A5874" s="27" t="s">
        <v>10828</v>
      </c>
      <c r="B5874" s="28" t="s">
        <v>5102</v>
      </c>
      <c r="C5874" s="27" t="s">
        <v>10829</v>
      </c>
      <c r="D5874" s="27" t="s">
        <v>230</v>
      </c>
      <c r="E5874" s="29">
        <v>40543</v>
      </c>
      <c r="F5874" s="27">
        <v>15</v>
      </c>
      <c r="G5874" s="18">
        <v>441572.34</v>
      </c>
      <c r="H5874" s="27">
        <f t="shared" si="182"/>
        <v>0</v>
      </c>
      <c r="I5874" s="18">
        <v>247919.19</v>
      </c>
      <c r="J5874" s="27">
        <v>441572.34</v>
      </c>
      <c r="K5874" s="18">
        <f t="shared" si="183"/>
        <v>0</v>
      </c>
      <c r="L5874" s="27">
        <v>272429.84000000003</v>
      </c>
      <c r="M5874" s="36">
        <v>24510.65</v>
      </c>
      <c r="T5874" s="41">
        <v>0</v>
      </c>
      <c r="U5874" s="41">
        <v>0</v>
      </c>
      <c r="V5874" s="42" t="s">
        <v>113</v>
      </c>
      <c r="W5874" s="42">
        <v>0</v>
      </c>
      <c r="X5874" s="42">
        <v>0</v>
      </c>
    </row>
    <row r="5875" spans="1:24">
      <c r="A5875" s="27" t="s">
        <v>10830</v>
      </c>
      <c r="B5875" s="28" t="s">
        <v>5102</v>
      </c>
      <c r="C5875" s="27" t="s">
        <v>5128</v>
      </c>
      <c r="D5875" s="27" t="s">
        <v>230</v>
      </c>
      <c r="E5875" s="29">
        <v>35795</v>
      </c>
      <c r="F5875" s="27">
        <v>15</v>
      </c>
      <c r="G5875" s="18">
        <v>1405324.17</v>
      </c>
      <c r="H5875" s="27">
        <f t="shared" si="182"/>
        <v>1405324.17</v>
      </c>
      <c r="I5875" s="18">
        <v>1335057.96</v>
      </c>
      <c r="J5875" s="27">
        <v>1405324.17</v>
      </c>
      <c r="K5875" s="18">
        <f t="shared" si="183"/>
        <v>1405324.17</v>
      </c>
      <c r="L5875" s="27">
        <v>1335057.96</v>
      </c>
      <c r="M5875" s="36">
        <v>0</v>
      </c>
      <c r="T5875" s="41">
        <v>0</v>
      </c>
      <c r="U5875" s="41">
        <v>0</v>
      </c>
      <c r="V5875" s="42" t="s">
        <v>113</v>
      </c>
      <c r="W5875" s="42">
        <v>1405324.17</v>
      </c>
      <c r="X5875" s="42">
        <v>1405324.17</v>
      </c>
    </row>
    <row r="5876" spans="1:24">
      <c r="A5876" s="27" t="s">
        <v>10831</v>
      </c>
      <c r="B5876" s="28" t="s">
        <v>5102</v>
      </c>
      <c r="C5876" s="27" t="s">
        <v>10832</v>
      </c>
      <c r="D5876" s="27" t="s">
        <v>5104</v>
      </c>
      <c r="E5876" s="29">
        <v>35795</v>
      </c>
      <c r="F5876" s="27">
        <v>12</v>
      </c>
      <c r="G5876" s="18">
        <v>1324.17</v>
      </c>
      <c r="H5876" s="27">
        <f t="shared" si="182"/>
        <v>1324.17</v>
      </c>
      <c r="I5876" s="18">
        <v>1324.17</v>
      </c>
      <c r="J5876" s="27">
        <v>1324.17</v>
      </c>
      <c r="K5876" s="18">
        <f t="shared" si="183"/>
        <v>1324.17</v>
      </c>
      <c r="L5876" s="27">
        <v>1324.17</v>
      </c>
      <c r="M5876" s="36">
        <v>0</v>
      </c>
      <c r="T5876" s="41">
        <v>0</v>
      </c>
      <c r="U5876" s="41">
        <v>0</v>
      </c>
      <c r="V5876" s="42" t="s">
        <v>113</v>
      </c>
      <c r="W5876" s="42">
        <v>1324.17</v>
      </c>
      <c r="X5876" s="42">
        <v>1324.17</v>
      </c>
    </row>
    <row r="5877" spans="1:24">
      <c r="A5877" s="27" t="s">
        <v>10833</v>
      </c>
      <c r="B5877" s="28" t="s">
        <v>5102</v>
      </c>
      <c r="C5877" s="27" t="s">
        <v>10834</v>
      </c>
      <c r="D5877" s="27" t="s">
        <v>5104</v>
      </c>
      <c r="E5877" s="29">
        <v>40843</v>
      </c>
      <c r="F5877" s="27">
        <v>15</v>
      </c>
      <c r="G5877" s="18">
        <v>29962.55</v>
      </c>
      <c r="H5877" s="27">
        <f t="shared" si="182"/>
        <v>0</v>
      </c>
      <c r="I5877" s="18">
        <v>18898.189999999999</v>
      </c>
      <c r="J5877" s="27">
        <v>29962.55</v>
      </c>
      <c r="K5877" s="18">
        <f t="shared" si="183"/>
        <v>0</v>
      </c>
      <c r="L5877" s="27">
        <v>20119.41</v>
      </c>
      <c r="M5877" s="36">
        <v>1221.22</v>
      </c>
      <c r="T5877" s="41">
        <v>0</v>
      </c>
      <c r="U5877" s="41">
        <v>0</v>
      </c>
      <c r="V5877" s="42" t="s">
        <v>113</v>
      </c>
      <c r="W5877" s="42">
        <v>0</v>
      </c>
      <c r="X5877" s="42">
        <v>0</v>
      </c>
    </row>
    <row r="5878" spans="1:24">
      <c r="A5878" s="27" t="s">
        <v>10835</v>
      </c>
      <c r="B5878" s="28" t="s">
        <v>5102</v>
      </c>
      <c r="C5878" s="27" t="s">
        <v>10836</v>
      </c>
      <c r="D5878" s="27" t="s">
        <v>230</v>
      </c>
      <c r="E5878" s="29">
        <v>43189</v>
      </c>
      <c r="F5878" s="27">
        <v>15</v>
      </c>
      <c r="G5878" s="18">
        <v>464146.72</v>
      </c>
      <c r="H5878" s="27">
        <f t="shared" si="182"/>
        <v>0</v>
      </c>
      <c r="I5878" s="18">
        <v>22030.05</v>
      </c>
      <c r="J5878" s="27">
        <v>464146.72</v>
      </c>
      <c r="K5878" s="18">
        <f t="shared" si="183"/>
        <v>0</v>
      </c>
      <c r="L5878" s="27">
        <v>51427.199999999997</v>
      </c>
      <c r="M5878" s="36">
        <v>29397.15</v>
      </c>
      <c r="T5878" s="41">
        <v>0</v>
      </c>
      <c r="U5878" s="41">
        <v>0</v>
      </c>
      <c r="V5878" s="42" t="s">
        <v>113</v>
      </c>
      <c r="W5878" s="42">
        <v>0</v>
      </c>
      <c r="X5878" s="42">
        <v>0</v>
      </c>
    </row>
    <row r="5879" spans="1:24">
      <c r="A5879" s="27" t="s">
        <v>10837</v>
      </c>
      <c r="B5879" s="28" t="s">
        <v>5102</v>
      </c>
      <c r="C5879" s="27" t="s">
        <v>10838</v>
      </c>
      <c r="D5879" s="27" t="s">
        <v>230</v>
      </c>
      <c r="E5879" s="29">
        <v>43038</v>
      </c>
      <c r="F5879" s="27">
        <v>15</v>
      </c>
      <c r="G5879" s="18">
        <v>168761.23</v>
      </c>
      <c r="H5879" s="27">
        <f t="shared" si="182"/>
        <v>0</v>
      </c>
      <c r="I5879" s="18">
        <v>12884.9</v>
      </c>
      <c r="J5879" s="27">
        <v>168761.23</v>
      </c>
      <c r="K5879" s="18">
        <f t="shared" si="183"/>
        <v>0</v>
      </c>
      <c r="L5879" s="27">
        <v>23543.09</v>
      </c>
      <c r="M5879" s="36">
        <v>10658.19</v>
      </c>
      <c r="T5879" s="41">
        <v>0</v>
      </c>
      <c r="U5879" s="41">
        <v>0</v>
      </c>
      <c r="V5879" s="42" t="s">
        <v>113</v>
      </c>
      <c r="W5879" s="42">
        <v>0</v>
      </c>
      <c r="X5879" s="42">
        <v>0</v>
      </c>
    </row>
    <row r="5880" spans="1:24">
      <c r="A5880" s="27" t="s">
        <v>10839</v>
      </c>
      <c r="B5880" s="28" t="s">
        <v>5102</v>
      </c>
      <c r="C5880" s="27" t="s">
        <v>10840</v>
      </c>
      <c r="D5880" s="27" t="s">
        <v>230</v>
      </c>
      <c r="E5880" s="29">
        <v>42737</v>
      </c>
      <c r="F5880" s="27">
        <v>15</v>
      </c>
      <c r="G5880" s="18">
        <v>1611463.53</v>
      </c>
      <c r="H5880" s="27">
        <f t="shared" si="182"/>
        <v>0</v>
      </c>
      <c r="I5880" s="18">
        <v>162698.29999999999</v>
      </c>
      <c r="J5880" s="27">
        <v>1611463.53</v>
      </c>
      <c r="K5880" s="18">
        <f t="shared" si="183"/>
        <v>0</v>
      </c>
      <c r="L5880" s="27">
        <v>267273.49</v>
      </c>
      <c r="M5880" s="36">
        <v>104575.19</v>
      </c>
      <c r="T5880" s="41">
        <v>0</v>
      </c>
      <c r="U5880" s="41">
        <v>0</v>
      </c>
      <c r="V5880" s="42" t="s">
        <v>113</v>
      </c>
      <c r="W5880" s="42">
        <v>0</v>
      </c>
      <c r="X5880" s="42">
        <v>0</v>
      </c>
    </row>
    <row r="5881" spans="1:24">
      <c r="A5881" s="27" t="s">
        <v>10841</v>
      </c>
      <c r="B5881" s="28" t="s">
        <v>5102</v>
      </c>
      <c r="C5881" s="27" t="s">
        <v>10842</v>
      </c>
      <c r="D5881" s="27" t="s">
        <v>230</v>
      </c>
      <c r="E5881" s="29">
        <v>43008</v>
      </c>
      <c r="F5881" s="27">
        <v>15</v>
      </c>
      <c r="G5881" s="18">
        <v>351937.39</v>
      </c>
      <c r="H5881" s="27">
        <f t="shared" si="182"/>
        <v>0</v>
      </c>
      <c r="I5881" s="18">
        <v>29160.35</v>
      </c>
      <c r="J5881" s="27">
        <v>351937.39</v>
      </c>
      <c r="K5881" s="18">
        <f t="shared" si="183"/>
        <v>0</v>
      </c>
      <c r="L5881" s="27">
        <v>51355.27</v>
      </c>
      <c r="M5881" s="36">
        <v>22194.92</v>
      </c>
      <c r="T5881" s="41">
        <v>0</v>
      </c>
      <c r="U5881" s="41">
        <v>0</v>
      </c>
      <c r="V5881" s="42" t="s">
        <v>113</v>
      </c>
      <c r="W5881" s="42">
        <v>0</v>
      </c>
      <c r="X5881" s="42">
        <v>0</v>
      </c>
    </row>
    <row r="5882" spans="1:24">
      <c r="A5882" s="27" t="s">
        <v>10843</v>
      </c>
      <c r="B5882" s="28" t="s">
        <v>5102</v>
      </c>
      <c r="C5882" s="27" t="s">
        <v>10844</v>
      </c>
      <c r="D5882" s="27" t="s">
        <v>230</v>
      </c>
      <c r="E5882" s="29">
        <v>43189</v>
      </c>
      <c r="F5882" s="27">
        <v>15</v>
      </c>
      <c r="G5882" s="18">
        <v>143151.37</v>
      </c>
      <c r="H5882" s="27">
        <f t="shared" si="182"/>
        <v>0</v>
      </c>
      <c r="I5882" s="18">
        <v>6793.85</v>
      </c>
      <c r="J5882" s="27">
        <v>194443.13</v>
      </c>
      <c r="K5882" s="18">
        <f t="shared" si="183"/>
        <v>0</v>
      </c>
      <c r="L5882" s="27">
        <v>16762.87</v>
      </c>
      <c r="M5882" s="36">
        <v>9969.02</v>
      </c>
      <c r="N5882" s="18" t="s">
        <v>123</v>
      </c>
      <c r="O5882" s="19">
        <v>51291.76</v>
      </c>
      <c r="T5882" s="41">
        <v>0</v>
      </c>
      <c r="U5882" s="41">
        <v>0</v>
      </c>
      <c r="V5882" s="42" t="s">
        <v>113</v>
      </c>
      <c r="W5882" s="42">
        <v>0</v>
      </c>
      <c r="X5882" s="42">
        <v>0</v>
      </c>
    </row>
    <row r="5883" spans="1:24">
      <c r="A5883" s="27" t="s">
        <v>10845</v>
      </c>
      <c r="B5883" s="28" t="s">
        <v>5102</v>
      </c>
      <c r="C5883" s="27" t="s">
        <v>10846</v>
      </c>
      <c r="D5883" s="27" t="s">
        <v>230</v>
      </c>
      <c r="E5883" s="29">
        <v>43189</v>
      </c>
      <c r="F5883" s="27">
        <v>15</v>
      </c>
      <c r="G5883" s="18">
        <v>12484.75</v>
      </c>
      <c r="H5883" s="27">
        <f t="shared" si="182"/>
        <v>0</v>
      </c>
      <c r="I5883" s="18">
        <v>592.57000000000005</v>
      </c>
      <c r="J5883" s="27">
        <v>12484.75</v>
      </c>
      <c r="K5883" s="18">
        <f t="shared" si="183"/>
        <v>0</v>
      </c>
      <c r="L5883" s="27">
        <v>1383.3</v>
      </c>
      <c r="M5883" s="36">
        <v>790.73</v>
      </c>
      <c r="T5883" s="41">
        <v>0</v>
      </c>
      <c r="U5883" s="41">
        <v>0</v>
      </c>
      <c r="V5883" s="42" t="s">
        <v>113</v>
      </c>
      <c r="W5883" s="42">
        <v>0</v>
      </c>
      <c r="X5883" s="42">
        <v>0</v>
      </c>
    </row>
    <row r="5884" spans="1:24">
      <c r="A5884" s="27" t="s">
        <v>10847</v>
      </c>
      <c r="B5884" s="28" t="s">
        <v>5102</v>
      </c>
      <c r="C5884" s="27" t="s">
        <v>10848</v>
      </c>
      <c r="D5884" s="27" t="s">
        <v>230</v>
      </c>
      <c r="E5884" s="29">
        <v>43728</v>
      </c>
      <c r="F5884" s="27">
        <v>15</v>
      </c>
      <c r="G5884" s="18">
        <v>0</v>
      </c>
      <c r="H5884" s="27">
        <f t="shared" si="182"/>
        <v>0</v>
      </c>
      <c r="I5884" s="18">
        <v>0</v>
      </c>
      <c r="J5884" s="27">
        <v>6063.25</v>
      </c>
      <c r="K5884" s="18">
        <f t="shared" si="183"/>
        <v>0</v>
      </c>
      <c r="L5884" s="27">
        <v>96</v>
      </c>
      <c r="M5884" s="36">
        <v>96</v>
      </c>
      <c r="N5884" s="18" t="s">
        <v>123</v>
      </c>
      <c r="O5884" s="19">
        <v>6063.25</v>
      </c>
      <c r="T5884" s="41">
        <v>0</v>
      </c>
      <c r="U5884" s="41">
        <v>0</v>
      </c>
      <c r="V5884" s="42" t="s">
        <v>113</v>
      </c>
      <c r="W5884" s="42">
        <v>0</v>
      </c>
      <c r="X5884" s="42">
        <v>0</v>
      </c>
    </row>
    <row r="5885" spans="1:24">
      <c r="A5885" s="27" t="s">
        <v>10849</v>
      </c>
      <c r="B5885" s="28" t="s">
        <v>5102</v>
      </c>
      <c r="C5885" s="27" t="s">
        <v>10850</v>
      </c>
      <c r="D5885" s="27" t="s">
        <v>230</v>
      </c>
      <c r="E5885" s="29">
        <v>43008</v>
      </c>
      <c r="F5885" s="27">
        <v>15</v>
      </c>
      <c r="G5885" s="18">
        <v>345418.31</v>
      </c>
      <c r="H5885" s="27">
        <f t="shared" si="182"/>
        <v>0</v>
      </c>
      <c r="I5885" s="18">
        <v>28620.2</v>
      </c>
      <c r="J5885" s="27">
        <v>345418.31</v>
      </c>
      <c r="K5885" s="18">
        <f t="shared" si="183"/>
        <v>0</v>
      </c>
      <c r="L5885" s="27">
        <v>50404</v>
      </c>
      <c r="M5885" s="36">
        <v>21783.8</v>
      </c>
      <c r="T5885" s="41">
        <v>0</v>
      </c>
      <c r="U5885" s="41">
        <v>0</v>
      </c>
      <c r="V5885" s="42" t="s">
        <v>113</v>
      </c>
      <c r="W5885" s="42">
        <v>0</v>
      </c>
      <c r="X5885" s="42">
        <v>0</v>
      </c>
    </row>
    <row r="5886" spans="1:24">
      <c r="A5886" s="27" t="s">
        <v>10851</v>
      </c>
      <c r="B5886" s="28" t="s">
        <v>5102</v>
      </c>
      <c r="C5886" s="27" t="s">
        <v>10852</v>
      </c>
      <c r="D5886" s="27" t="s">
        <v>230</v>
      </c>
      <c r="E5886" s="29">
        <v>43189</v>
      </c>
      <c r="F5886" s="27">
        <v>15</v>
      </c>
      <c r="G5886" s="18">
        <v>143345.1</v>
      </c>
      <c r="H5886" s="27">
        <f t="shared" si="182"/>
        <v>0</v>
      </c>
      <c r="I5886" s="18">
        <v>6802.69</v>
      </c>
      <c r="J5886" s="27">
        <v>143345.1</v>
      </c>
      <c r="K5886" s="18">
        <f t="shared" si="183"/>
        <v>0</v>
      </c>
      <c r="L5886" s="27">
        <v>15881.65</v>
      </c>
      <c r="M5886" s="36">
        <v>9078.9599999999991</v>
      </c>
      <c r="T5886" s="41">
        <v>0</v>
      </c>
      <c r="U5886" s="41">
        <v>0</v>
      </c>
      <c r="V5886" s="42" t="s">
        <v>113</v>
      </c>
      <c r="W5886" s="42">
        <v>0</v>
      </c>
      <c r="X5886" s="42">
        <v>0</v>
      </c>
    </row>
    <row r="5887" spans="1:24">
      <c r="A5887" s="27" t="s">
        <v>10853</v>
      </c>
      <c r="B5887" s="28" t="s">
        <v>5102</v>
      </c>
      <c r="C5887" s="27" t="s">
        <v>10854</v>
      </c>
      <c r="D5887" s="27" t="s">
        <v>5104</v>
      </c>
      <c r="E5887" s="29">
        <v>42719</v>
      </c>
      <c r="F5887" s="27">
        <v>15</v>
      </c>
      <c r="G5887" s="18">
        <v>60050.52</v>
      </c>
      <c r="H5887" s="27">
        <f t="shared" si="182"/>
        <v>0</v>
      </c>
      <c r="I5887" s="18">
        <v>8489.2900000000009</v>
      </c>
      <c r="J5887" s="27">
        <v>92205.14</v>
      </c>
      <c r="K5887" s="18">
        <f t="shared" si="183"/>
        <v>0</v>
      </c>
      <c r="L5887" s="27">
        <v>14574.34</v>
      </c>
      <c r="M5887" s="36">
        <v>6085.05</v>
      </c>
      <c r="N5887" s="18" t="s">
        <v>123</v>
      </c>
      <c r="O5887" s="19">
        <v>32154.62</v>
      </c>
      <c r="T5887" s="41">
        <v>0</v>
      </c>
      <c r="U5887" s="41">
        <v>0</v>
      </c>
      <c r="V5887" s="42" t="s">
        <v>113</v>
      </c>
      <c r="W5887" s="42">
        <v>0</v>
      </c>
      <c r="X5887" s="42">
        <v>0</v>
      </c>
    </row>
    <row r="5888" spans="1:24">
      <c r="A5888" s="27" t="s">
        <v>10855</v>
      </c>
      <c r="B5888" s="28" t="s">
        <v>5102</v>
      </c>
      <c r="C5888" s="27" t="s">
        <v>10856</v>
      </c>
      <c r="D5888" s="27" t="s">
        <v>5104</v>
      </c>
      <c r="E5888" s="29">
        <v>42719</v>
      </c>
      <c r="F5888" s="27">
        <v>15</v>
      </c>
      <c r="G5888" s="18">
        <v>193241.43</v>
      </c>
      <c r="H5888" s="27">
        <f t="shared" si="182"/>
        <v>0</v>
      </c>
      <c r="I5888" s="18">
        <v>27318.36</v>
      </c>
      <c r="J5888" s="27">
        <v>296714.36</v>
      </c>
      <c r="K5888" s="18">
        <f t="shared" si="183"/>
        <v>0</v>
      </c>
      <c r="L5888" s="27">
        <v>46899.92</v>
      </c>
      <c r="M5888" s="36">
        <v>19581.560000000001</v>
      </c>
      <c r="N5888" s="18" t="s">
        <v>123</v>
      </c>
      <c r="O5888" s="19">
        <v>103472.93</v>
      </c>
      <c r="T5888" s="41">
        <v>0</v>
      </c>
      <c r="U5888" s="41">
        <v>0</v>
      </c>
      <c r="V5888" s="42" t="s">
        <v>113</v>
      </c>
      <c r="W5888" s="42">
        <v>0</v>
      </c>
      <c r="X5888" s="42">
        <v>0</v>
      </c>
    </row>
    <row r="5889" spans="1:24">
      <c r="A5889" s="27" t="s">
        <v>10857</v>
      </c>
      <c r="B5889" s="28" t="s">
        <v>5102</v>
      </c>
      <c r="C5889" s="27" t="s">
        <v>10858</v>
      </c>
      <c r="D5889" s="27" t="s">
        <v>5104</v>
      </c>
      <c r="E5889" s="29">
        <v>42719</v>
      </c>
      <c r="F5889" s="27">
        <v>15</v>
      </c>
      <c r="G5889" s="18">
        <v>165539.21</v>
      </c>
      <c r="H5889" s="27">
        <f t="shared" si="182"/>
        <v>0</v>
      </c>
      <c r="I5889" s="18">
        <v>23402.12</v>
      </c>
      <c r="J5889" s="27">
        <v>254178.73</v>
      </c>
      <c r="K5889" s="18">
        <f t="shared" si="183"/>
        <v>0</v>
      </c>
      <c r="L5889" s="27">
        <v>40176.559999999998</v>
      </c>
      <c r="M5889" s="36">
        <v>16774.439999999999</v>
      </c>
      <c r="N5889" s="18" t="s">
        <v>123</v>
      </c>
      <c r="O5889" s="19">
        <v>88639.52</v>
      </c>
      <c r="T5889" s="41">
        <v>0</v>
      </c>
      <c r="U5889" s="41">
        <v>0</v>
      </c>
      <c r="V5889" s="42" t="s">
        <v>113</v>
      </c>
      <c r="W5889" s="42">
        <v>0</v>
      </c>
      <c r="X5889" s="42">
        <v>0</v>
      </c>
    </row>
    <row r="5890" spans="1:24">
      <c r="A5890" s="27" t="s">
        <v>10859</v>
      </c>
      <c r="B5890" s="28" t="s">
        <v>5102</v>
      </c>
      <c r="C5890" s="27" t="s">
        <v>10860</v>
      </c>
      <c r="D5890" s="27" t="s">
        <v>5104</v>
      </c>
      <c r="E5890" s="29">
        <v>42719</v>
      </c>
      <c r="F5890" s="27">
        <v>15</v>
      </c>
      <c r="G5890" s="18">
        <v>140550.59</v>
      </c>
      <c r="H5890" s="27">
        <f t="shared" si="182"/>
        <v>0</v>
      </c>
      <c r="I5890" s="18">
        <v>6416.52</v>
      </c>
      <c r="J5890" s="27">
        <v>215809.72</v>
      </c>
      <c r="K5890" s="18">
        <f t="shared" si="183"/>
        <v>0</v>
      </c>
      <c r="L5890" s="27">
        <v>21693.65</v>
      </c>
      <c r="M5890" s="36">
        <v>15277.13</v>
      </c>
      <c r="N5890" s="18" t="s">
        <v>123</v>
      </c>
      <c r="O5890" s="19">
        <v>75259.13</v>
      </c>
      <c r="T5890" s="41">
        <v>0</v>
      </c>
      <c r="U5890" s="41">
        <v>0</v>
      </c>
      <c r="V5890" s="42" t="s">
        <v>113</v>
      </c>
      <c r="W5890" s="42">
        <v>0</v>
      </c>
      <c r="X5890" s="42">
        <v>0</v>
      </c>
    </row>
    <row r="5891" spans="1:24">
      <c r="A5891" s="27" t="s">
        <v>10861</v>
      </c>
      <c r="B5891" s="28" t="s">
        <v>5102</v>
      </c>
      <c r="C5891" s="27" t="s">
        <v>10862</v>
      </c>
      <c r="D5891" s="27" t="s">
        <v>5104</v>
      </c>
      <c r="E5891" s="29">
        <v>42737</v>
      </c>
      <c r="F5891" s="27">
        <v>15</v>
      </c>
      <c r="G5891" s="18">
        <v>34001.97</v>
      </c>
      <c r="H5891" s="27">
        <f t="shared" si="182"/>
        <v>0</v>
      </c>
      <c r="I5891" s="18">
        <v>4585.92</v>
      </c>
      <c r="J5891" s="27">
        <v>34001.97</v>
      </c>
      <c r="K5891" s="18">
        <f t="shared" si="183"/>
        <v>0</v>
      </c>
      <c r="L5891" s="27">
        <v>6704.34</v>
      </c>
      <c r="M5891" s="36">
        <v>2118.42</v>
      </c>
      <c r="T5891" s="41">
        <v>0</v>
      </c>
      <c r="U5891" s="41">
        <v>0</v>
      </c>
      <c r="V5891" s="42" t="s">
        <v>113</v>
      </c>
      <c r="W5891" s="42">
        <v>0</v>
      </c>
      <c r="X5891" s="42">
        <v>0</v>
      </c>
    </row>
    <row r="5892" spans="1:24">
      <c r="A5892" s="27" t="s">
        <v>10863</v>
      </c>
      <c r="B5892" s="28" t="s">
        <v>5102</v>
      </c>
      <c r="C5892" s="27" t="s">
        <v>10864</v>
      </c>
      <c r="D5892" s="27" t="s">
        <v>5104</v>
      </c>
      <c r="E5892" s="29">
        <v>42737</v>
      </c>
      <c r="F5892" s="27">
        <v>15</v>
      </c>
      <c r="G5892" s="18">
        <v>53446.21</v>
      </c>
      <c r="H5892" s="27">
        <f t="shared" si="182"/>
        <v>0</v>
      </c>
      <c r="I5892" s="18">
        <v>7208.41</v>
      </c>
      <c r="J5892" s="27">
        <v>53446.21</v>
      </c>
      <c r="K5892" s="18">
        <f t="shared" si="183"/>
        <v>0</v>
      </c>
      <c r="L5892" s="27">
        <v>10538.26</v>
      </c>
      <c r="M5892" s="36">
        <v>3329.85</v>
      </c>
      <c r="T5892" s="41">
        <v>0</v>
      </c>
      <c r="U5892" s="41">
        <v>0</v>
      </c>
      <c r="V5892" s="42" t="s">
        <v>113</v>
      </c>
      <c r="W5892" s="42">
        <v>0</v>
      </c>
      <c r="X5892" s="42">
        <v>0</v>
      </c>
    </row>
    <row r="5893" spans="1:24">
      <c r="A5893" s="27" t="s">
        <v>10865</v>
      </c>
      <c r="B5893" s="28" t="s">
        <v>5102</v>
      </c>
      <c r="C5893" s="27" t="s">
        <v>10864</v>
      </c>
      <c r="D5893" s="27" t="s">
        <v>5104</v>
      </c>
      <c r="E5893" s="29">
        <v>42737</v>
      </c>
      <c r="F5893" s="27">
        <v>15</v>
      </c>
      <c r="G5893" s="18">
        <v>30744.3</v>
      </c>
      <c r="H5893" s="27">
        <f t="shared" si="182"/>
        <v>0</v>
      </c>
      <c r="I5893" s="18">
        <v>4146.55</v>
      </c>
      <c r="J5893" s="27">
        <v>30744.3</v>
      </c>
      <c r="K5893" s="18">
        <f t="shared" si="183"/>
        <v>0</v>
      </c>
      <c r="L5893" s="27">
        <v>6062</v>
      </c>
      <c r="M5893" s="36">
        <v>1915.45</v>
      </c>
      <c r="T5893" s="41">
        <v>0</v>
      </c>
      <c r="U5893" s="41">
        <v>0</v>
      </c>
      <c r="V5893" s="42" t="s">
        <v>113</v>
      </c>
      <c r="W5893" s="42">
        <v>0</v>
      </c>
      <c r="X5893" s="42">
        <v>0</v>
      </c>
    </row>
    <row r="5894" spans="1:24">
      <c r="A5894" s="27" t="s">
        <v>10866</v>
      </c>
      <c r="B5894" s="28" t="s">
        <v>5102</v>
      </c>
      <c r="C5894" s="27" t="s">
        <v>10867</v>
      </c>
      <c r="D5894" s="27" t="s">
        <v>5104</v>
      </c>
      <c r="E5894" s="29">
        <v>42737</v>
      </c>
      <c r="F5894" s="27">
        <v>15</v>
      </c>
      <c r="G5894" s="18">
        <v>39499.29</v>
      </c>
      <c r="H5894" s="27">
        <f t="shared" ref="H5894:H5957" si="184">IFERROR(IF(ROUND((G5894-I5894)/G5894,2)&lt;=0.05,G5894,0),0)</f>
        <v>0</v>
      </c>
      <c r="I5894" s="18">
        <v>5327.36</v>
      </c>
      <c r="J5894" s="27">
        <v>39499.29</v>
      </c>
      <c r="K5894" s="18">
        <f t="shared" ref="K5894:K5957" si="185">IFERROR(IF(ROUND((J5894-L5894)/J5894,2)&lt;=0.05,J5894,0),0)</f>
        <v>0</v>
      </c>
      <c r="L5894" s="27">
        <v>7788.27</v>
      </c>
      <c r="M5894" s="36">
        <v>2460.91</v>
      </c>
      <c r="T5894" s="41">
        <v>0</v>
      </c>
      <c r="U5894" s="41">
        <v>0</v>
      </c>
      <c r="V5894" s="42" t="s">
        <v>113</v>
      </c>
      <c r="W5894" s="42">
        <v>0</v>
      </c>
      <c r="X5894" s="42">
        <v>0</v>
      </c>
    </row>
    <row r="5895" spans="1:24">
      <c r="A5895" s="27" t="s">
        <v>10868</v>
      </c>
      <c r="B5895" s="28" t="s">
        <v>5102</v>
      </c>
      <c r="C5895" s="27" t="s">
        <v>10867</v>
      </c>
      <c r="D5895" s="27" t="s">
        <v>5104</v>
      </c>
      <c r="E5895" s="29">
        <v>42737</v>
      </c>
      <c r="F5895" s="27">
        <v>15</v>
      </c>
      <c r="G5895" s="18">
        <v>30133.48</v>
      </c>
      <c r="H5895" s="27">
        <f t="shared" si="184"/>
        <v>0</v>
      </c>
      <c r="I5895" s="18">
        <v>4064.17</v>
      </c>
      <c r="J5895" s="27">
        <v>30133.48</v>
      </c>
      <c r="K5895" s="18">
        <f t="shared" si="185"/>
        <v>0</v>
      </c>
      <c r="L5895" s="27">
        <v>5941.57</v>
      </c>
      <c r="M5895" s="36">
        <v>1877.4</v>
      </c>
      <c r="T5895" s="41">
        <v>0</v>
      </c>
      <c r="U5895" s="41">
        <v>0</v>
      </c>
      <c r="V5895" s="42" t="s">
        <v>113</v>
      </c>
      <c r="W5895" s="42">
        <v>0</v>
      </c>
      <c r="X5895" s="42">
        <v>0</v>
      </c>
    </row>
    <row r="5896" spans="1:24">
      <c r="A5896" s="27" t="s">
        <v>10869</v>
      </c>
      <c r="B5896" s="28" t="s">
        <v>5102</v>
      </c>
      <c r="C5896" s="27" t="s">
        <v>10870</v>
      </c>
      <c r="D5896" s="27" t="s">
        <v>5104</v>
      </c>
      <c r="E5896" s="29">
        <v>42737</v>
      </c>
      <c r="F5896" s="27">
        <v>15</v>
      </c>
      <c r="G5896" s="18">
        <v>22192.9</v>
      </c>
      <c r="H5896" s="27">
        <f t="shared" si="184"/>
        <v>0</v>
      </c>
      <c r="I5896" s="18">
        <v>2993.21</v>
      </c>
      <c r="J5896" s="27">
        <v>22192.9</v>
      </c>
      <c r="K5896" s="18">
        <f t="shared" si="185"/>
        <v>0</v>
      </c>
      <c r="L5896" s="27">
        <v>4375.8900000000003</v>
      </c>
      <c r="M5896" s="36">
        <v>1382.68</v>
      </c>
      <c r="T5896" s="41">
        <v>0</v>
      </c>
      <c r="U5896" s="41">
        <v>0</v>
      </c>
      <c r="V5896" s="42" t="s">
        <v>113</v>
      </c>
      <c r="W5896" s="42">
        <v>0</v>
      </c>
      <c r="X5896" s="42">
        <v>0</v>
      </c>
    </row>
    <row r="5897" spans="1:24">
      <c r="A5897" s="27" t="s">
        <v>10871</v>
      </c>
      <c r="B5897" s="28" t="s">
        <v>5102</v>
      </c>
      <c r="C5897" s="27" t="s">
        <v>10870</v>
      </c>
      <c r="D5897" s="27" t="s">
        <v>5104</v>
      </c>
      <c r="E5897" s="29">
        <v>42737</v>
      </c>
      <c r="F5897" s="27">
        <v>15</v>
      </c>
      <c r="G5897" s="18">
        <v>13234.3</v>
      </c>
      <c r="H5897" s="27">
        <f t="shared" si="184"/>
        <v>0</v>
      </c>
      <c r="I5897" s="18">
        <v>1784.94</v>
      </c>
      <c r="J5897" s="27">
        <v>13234.3</v>
      </c>
      <c r="K5897" s="18">
        <f t="shared" si="185"/>
        <v>0</v>
      </c>
      <c r="L5897" s="27">
        <v>2609.4699999999998</v>
      </c>
      <c r="M5897" s="36">
        <v>824.53</v>
      </c>
      <c r="T5897" s="41">
        <v>0</v>
      </c>
      <c r="U5897" s="41">
        <v>0</v>
      </c>
      <c r="V5897" s="42" t="s">
        <v>113</v>
      </c>
      <c r="W5897" s="42">
        <v>0</v>
      </c>
      <c r="X5897" s="42">
        <v>0</v>
      </c>
    </row>
    <row r="5898" spans="1:24">
      <c r="A5898" s="27" t="s">
        <v>10872</v>
      </c>
      <c r="B5898" s="28" t="s">
        <v>5102</v>
      </c>
      <c r="C5898" s="27" t="s">
        <v>10873</v>
      </c>
      <c r="D5898" s="27" t="s">
        <v>5104</v>
      </c>
      <c r="E5898" s="29">
        <v>42737</v>
      </c>
      <c r="F5898" s="27">
        <v>15</v>
      </c>
      <c r="G5898" s="18">
        <v>217258.62</v>
      </c>
      <c r="H5898" s="27">
        <f t="shared" si="184"/>
        <v>0</v>
      </c>
      <c r="I5898" s="18">
        <v>29270.58</v>
      </c>
      <c r="J5898" s="27">
        <v>217258.62</v>
      </c>
      <c r="K5898" s="18">
        <f t="shared" si="185"/>
        <v>0</v>
      </c>
      <c r="L5898" s="27">
        <v>42808.800000000003</v>
      </c>
      <c r="M5898" s="36">
        <v>13538.22</v>
      </c>
      <c r="T5898" s="41">
        <v>0</v>
      </c>
      <c r="U5898" s="41">
        <v>0</v>
      </c>
      <c r="V5898" s="42" t="s">
        <v>113</v>
      </c>
      <c r="W5898" s="42">
        <v>0</v>
      </c>
      <c r="X5898" s="42">
        <v>0</v>
      </c>
    </row>
    <row r="5899" spans="1:24">
      <c r="A5899" s="27" t="s">
        <v>10874</v>
      </c>
      <c r="B5899" s="28" t="s">
        <v>5102</v>
      </c>
      <c r="C5899" s="27" t="s">
        <v>10875</v>
      </c>
      <c r="D5899" s="27" t="s">
        <v>5104</v>
      </c>
      <c r="E5899" s="29">
        <v>42737</v>
      </c>
      <c r="F5899" s="27">
        <v>15</v>
      </c>
      <c r="G5899" s="18">
        <v>308938.25</v>
      </c>
      <c r="H5899" s="27">
        <f t="shared" si="184"/>
        <v>0</v>
      </c>
      <c r="I5899" s="18">
        <v>41637.089999999997</v>
      </c>
      <c r="J5899" s="27">
        <v>308938.25</v>
      </c>
      <c r="K5899" s="18">
        <f t="shared" si="185"/>
        <v>0</v>
      </c>
      <c r="L5899" s="27">
        <v>60887.1</v>
      </c>
      <c r="M5899" s="36">
        <v>19250.009999999998</v>
      </c>
      <c r="T5899" s="41">
        <v>0</v>
      </c>
      <c r="U5899" s="41">
        <v>0</v>
      </c>
      <c r="V5899" s="42" t="s">
        <v>113</v>
      </c>
      <c r="W5899" s="42">
        <v>0</v>
      </c>
      <c r="X5899" s="42">
        <v>0</v>
      </c>
    </row>
    <row r="5900" spans="1:24">
      <c r="A5900" s="27" t="s">
        <v>10876</v>
      </c>
      <c r="B5900" s="28" t="s">
        <v>5102</v>
      </c>
      <c r="C5900" s="27" t="s">
        <v>10873</v>
      </c>
      <c r="D5900" s="27" t="s">
        <v>5104</v>
      </c>
      <c r="E5900" s="29">
        <v>42737</v>
      </c>
      <c r="F5900" s="27">
        <v>15</v>
      </c>
      <c r="G5900" s="18">
        <v>56144.52</v>
      </c>
      <c r="H5900" s="27">
        <f t="shared" si="184"/>
        <v>0</v>
      </c>
      <c r="I5900" s="18">
        <v>7564.17</v>
      </c>
      <c r="J5900" s="27">
        <v>56144.52</v>
      </c>
      <c r="K5900" s="18">
        <f t="shared" si="185"/>
        <v>0</v>
      </c>
      <c r="L5900" s="27">
        <v>11062.75</v>
      </c>
      <c r="M5900" s="36">
        <v>3498.58</v>
      </c>
      <c r="T5900" s="41">
        <v>0</v>
      </c>
      <c r="U5900" s="41">
        <v>0</v>
      </c>
      <c r="V5900" s="42" t="s">
        <v>113</v>
      </c>
      <c r="W5900" s="42">
        <v>0</v>
      </c>
      <c r="X5900" s="42">
        <v>0</v>
      </c>
    </row>
    <row r="5901" spans="1:24">
      <c r="A5901" s="27" t="s">
        <v>10877</v>
      </c>
      <c r="B5901" s="28" t="s">
        <v>5102</v>
      </c>
      <c r="C5901" s="27" t="s">
        <v>10878</v>
      </c>
      <c r="D5901" s="27" t="s">
        <v>5104</v>
      </c>
      <c r="E5901" s="29">
        <v>42737</v>
      </c>
      <c r="F5901" s="27">
        <v>15</v>
      </c>
      <c r="G5901" s="18">
        <v>62000.08</v>
      </c>
      <c r="H5901" s="27">
        <f t="shared" si="184"/>
        <v>0</v>
      </c>
      <c r="I5901" s="18">
        <v>8353.08</v>
      </c>
      <c r="J5901" s="27">
        <v>62000.08</v>
      </c>
      <c r="K5901" s="18">
        <f t="shared" si="185"/>
        <v>0</v>
      </c>
      <c r="L5901" s="27">
        <v>12216.54</v>
      </c>
      <c r="M5901" s="36">
        <v>3863.46</v>
      </c>
      <c r="T5901" s="41">
        <v>0</v>
      </c>
      <c r="U5901" s="41">
        <v>0</v>
      </c>
      <c r="V5901" s="42" t="s">
        <v>113</v>
      </c>
      <c r="W5901" s="42">
        <v>0</v>
      </c>
      <c r="X5901" s="42">
        <v>0</v>
      </c>
    </row>
    <row r="5902" spans="1:24">
      <c r="A5902" s="27" t="s">
        <v>10879</v>
      </c>
      <c r="B5902" s="28" t="s">
        <v>5102</v>
      </c>
      <c r="C5902" s="27" t="s">
        <v>10880</v>
      </c>
      <c r="D5902" s="27" t="s">
        <v>5104</v>
      </c>
      <c r="E5902" s="29">
        <v>42737</v>
      </c>
      <c r="F5902" s="27">
        <v>15</v>
      </c>
      <c r="G5902" s="18">
        <v>223889.19</v>
      </c>
      <c r="H5902" s="27">
        <f t="shared" si="184"/>
        <v>0</v>
      </c>
      <c r="I5902" s="18">
        <v>30163.89</v>
      </c>
      <c r="J5902" s="27">
        <v>223889.19</v>
      </c>
      <c r="K5902" s="18">
        <f t="shared" si="185"/>
        <v>0</v>
      </c>
      <c r="L5902" s="27">
        <v>44115.29</v>
      </c>
      <c r="M5902" s="36">
        <v>13951.4</v>
      </c>
      <c r="T5902" s="41">
        <v>0</v>
      </c>
      <c r="U5902" s="41">
        <v>0</v>
      </c>
      <c r="V5902" s="42" t="s">
        <v>113</v>
      </c>
      <c r="W5902" s="42">
        <v>0</v>
      </c>
      <c r="X5902" s="42">
        <v>0</v>
      </c>
    </row>
    <row r="5903" spans="1:24">
      <c r="A5903" s="27" t="s">
        <v>10881</v>
      </c>
      <c r="B5903" s="28" t="s">
        <v>5102</v>
      </c>
      <c r="C5903" s="27" t="s">
        <v>10882</v>
      </c>
      <c r="D5903" s="27" t="s">
        <v>5104</v>
      </c>
      <c r="E5903" s="29">
        <v>42737</v>
      </c>
      <c r="F5903" s="27">
        <v>15</v>
      </c>
      <c r="G5903" s="18">
        <v>46302.39</v>
      </c>
      <c r="H5903" s="27">
        <f t="shared" si="184"/>
        <v>0</v>
      </c>
      <c r="I5903" s="18">
        <v>6160.72</v>
      </c>
      <c r="J5903" s="27">
        <v>46302.39</v>
      </c>
      <c r="K5903" s="18">
        <f t="shared" si="185"/>
        <v>0</v>
      </c>
      <c r="L5903" s="27">
        <v>9051.92</v>
      </c>
      <c r="M5903" s="36">
        <v>2891.2</v>
      </c>
      <c r="T5903" s="41">
        <v>0</v>
      </c>
      <c r="U5903" s="41">
        <v>0</v>
      </c>
      <c r="V5903" s="42" t="s">
        <v>113</v>
      </c>
      <c r="W5903" s="42">
        <v>0</v>
      </c>
      <c r="X5903" s="42">
        <v>0</v>
      </c>
    </row>
    <row r="5904" spans="1:24">
      <c r="A5904" s="27" t="s">
        <v>10883</v>
      </c>
      <c r="B5904" s="28" t="s">
        <v>5102</v>
      </c>
      <c r="C5904" s="27" t="s">
        <v>10882</v>
      </c>
      <c r="D5904" s="27" t="s">
        <v>5104</v>
      </c>
      <c r="E5904" s="29">
        <v>42737</v>
      </c>
      <c r="F5904" s="27">
        <v>15</v>
      </c>
      <c r="G5904" s="18">
        <v>3193.27</v>
      </c>
      <c r="H5904" s="27">
        <f t="shared" si="184"/>
        <v>0</v>
      </c>
      <c r="I5904" s="18">
        <v>424.87</v>
      </c>
      <c r="J5904" s="27">
        <v>3193.27</v>
      </c>
      <c r="K5904" s="18">
        <f t="shared" si="185"/>
        <v>0</v>
      </c>
      <c r="L5904" s="27">
        <v>624.26</v>
      </c>
      <c r="M5904" s="36">
        <v>199.39</v>
      </c>
      <c r="T5904" s="41">
        <v>0</v>
      </c>
      <c r="U5904" s="41">
        <v>0</v>
      </c>
      <c r="V5904" s="42" t="s">
        <v>113</v>
      </c>
      <c r="W5904" s="42">
        <v>0</v>
      </c>
      <c r="X5904" s="42">
        <v>0</v>
      </c>
    </row>
    <row r="5905" spans="1:24">
      <c r="A5905" s="27" t="s">
        <v>10884</v>
      </c>
      <c r="B5905" s="28" t="s">
        <v>5102</v>
      </c>
      <c r="C5905" s="27" t="s">
        <v>10885</v>
      </c>
      <c r="D5905" s="27" t="s">
        <v>5104</v>
      </c>
      <c r="E5905" s="29">
        <v>42737</v>
      </c>
      <c r="F5905" s="27">
        <v>15</v>
      </c>
      <c r="G5905" s="18">
        <v>64397.58</v>
      </c>
      <c r="H5905" s="27">
        <f t="shared" si="184"/>
        <v>0</v>
      </c>
      <c r="I5905" s="18">
        <v>8568.3700000000008</v>
      </c>
      <c r="J5905" s="27">
        <v>64397.58</v>
      </c>
      <c r="K5905" s="18">
        <f t="shared" si="185"/>
        <v>0</v>
      </c>
      <c r="L5905" s="27">
        <v>12589.47</v>
      </c>
      <c r="M5905" s="36">
        <v>4021.1</v>
      </c>
      <c r="T5905" s="41">
        <v>0</v>
      </c>
      <c r="U5905" s="41">
        <v>0</v>
      </c>
      <c r="V5905" s="42" t="s">
        <v>113</v>
      </c>
      <c r="W5905" s="42">
        <v>0</v>
      </c>
      <c r="X5905" s="42">
        <v>0</v>
      </c>
    </row>
    <row r="5906" spans="1:24">
      <c r="A5906" s="27" t="s">
        <v>10886</v>
      </c>
      <c r="B5906" s="28" t="s">
        <v>5102</v>
      </c>
      <c r="C5906" s="27" t="s">
        <v>10887</v>
      </c>
      <c r="D5906" s="27" t="s">
        <v>5104</v>
      </c>
      <c r="E5906" s="29">
        <v>42737</v>
      </c>
      <c r="F5906" s="27">
        <v>15</v>
      </c>
      <c r="G5906" s="18">
        <v>43062.25</v>
      </c>
      <c r="H5906" s="27">
        <f t="shared" si="184"/>
        <v>0</v>
      </c>
      <c r="I5906" s="18">
        <v>5762.94</v>
      </c>
      <c r="J5906" s="27">
        <v>43062.25</v>
      </c>
      <c r="K5906" s="18">
        <f t="shared" si="185"/>
        <v>0</v>
      </c>
      <c r="L5906" s="27">
        <v>8449.27</v>
      </c>
      <c r="M5906" s="36">
        <v>2686.33</v>
      </c>
      <c r="T5906" s="41">
        <v>0</v>
      </c>
      <c r="U5906" s="41">
        <v>0</v>
      </c>
      <c r="V5906" s="42" t="s">
        <v>113</v>
      </c>
      <c r="W5906" s="42">
        <v>0</v>
      </c>
      <c r="X5906" s="42">
        <v>0</v>
      </c>
    </row>
    <row r="5907" spans="1:24">
      <c r="A5907" s="27" t="s">
        <v>10888</v>
      </c>
      <c r="B5907" s="28" t="s">
        <v>5102</v>
      </c>
      <c r="C5907" s="27" t="s">
        <v>10887</v>
      </c>
      <c r="D5907" s="27" t="s">
        <v>5104</v>
      </c>
      <c r="E5907" s="29">
        <v>42737</v>
      </c>
      <c r="F5907" s="27">
        <v>15</v>
      </c>
      <c r="G5907" s="18">
        <v>53384.69</v>
      </c>
      <c r="H5907" s="27">
        <f t="shared" si="184"/>
        <v>0</v>
      </c>
      <c r="I5907" s="18">
        <v>7144.38</v>
      </c>
      <c r="J5907" s="27">
        <v>53384.69</v>
      </c>
      <c r="K5907" s="18">
        <f t="shared" si="185"/>
        <v>0</v>
      </c>
      <c r="L5907" s="27">
        <v>10474.65</v>
      </c>
      <c r="M5907" s="36">
        <v>3330.27</v>
      </c>
      <c r="T5907" s="41">
        <v>0</v>
      </c>
      <c r="U5907" s="41">
        <v>0</v>
      </c>
      <c r="V5907" s="42" t="s">
        <v>113</v>
      </c>
      <c r="W5907" s="42">
        <v>0</v>
      </c>
      <c r="X5907" s="42">
        <v>0</v>
      </c>
    </row>
    <row r="5908" spans="1:24">
      <c r="A5908" s="27" t="s">
        <v>10889</v>
      </c>
      <c r="B5908" s="28" t="s">
        <v>5102</v>
      </c>
      <c r="C5908" s="27" t="s">
        <v>10890</v>
      </c>
      <c r="D5908" s="27" t="s">
        <v>5104</v>
      </c>
      <c r="E5908" s="29">
        <v>42737</v>
      </c>
      <c r="F5908" s="27">
        <v>15</v>
      </c>
      <c r="G5908" s="18">
        <v>128144.09</v>
      </c>
      <c r="H5908" s="27">
        <f t="shared" si="184"/>
        <v>0</v>
      </c>
      <c r="I5908" s="18">
        <v>17149.310000000001</v>
      </c>
      <c r="J5908" s="27">
        <v>128144.09</v>
      </c>
      <c r="K5908" s="18">
        <f t="shared" si="185"/>
        <v>0</v>
      </c>
      <c r="L5908" s="27">
        <v>25143.27</v>
      </c>
      <c r="M5908" s="36">
        <v>7993.96</v>
      </c>
      <c r="T5908" s="41">
        <v>0</v>
      </c>
      <c r="U5908" s="41">
        <v>0</v>
      </c>
      <c r="V5908" s="42" t="s">
        <v>113</v>
      </c>
      <c r="W5908" s="42">
        <v>0</v>
      </c>
      <c r="X5908" s="42">
        <v>0</v>
      </c>
    </row>
    <row r="5909" spans="1:24">
      <c r="A5909" s="27" t="s">
        <v>10891</v>
      </c>
      <c r="B5909" s="28" t="s">
        <v>5102</v>
      </c>
      <c r="C5909" s="27" t="s">
        <v>10892</v>
      </c>
      <c r="D5909" s="27" t="s">
        <v>5104</v>
      </c>
      <c r="E5909" s="29">
        <v>42737</v>
      </c>
      <c r="F5909" s="27">
        <v>15</v>
      </c>
      <c r="G5909" s="18">
        <v>94258.7</v>
      </c>
      <c r="H5909" s="27">
        <f t="shared" si="184"/>
        <v>0</v>
      </c>
      <c r="I5909" s="18">
        <v>12712.88</v>
      </c>
      <c r="J5909" s="27">
        <v>94258.7</v>
      </c>
      <c r="K5909" s="18">
        <f t="shared" si="185"/>
        <v>0</v>
      </c>
      <c r="L5909" s="27">
        <v>18585.46</v>
      </c>
      <c r="M5909" s="36">
        <v>5872.58</v>
      </c>
      <c r="T5909" s="41">
        <v>0</v>
      </c>
      <c r="U5909" s="41">
        <v>0</v>
      </c>
      <c r="V5909" s="42" t="s">
        <v>113</v>
      </c>
      <c r="W5909" s="42">
        <v>0</v>
      </c>
      <c r="X5909" s="42">
        <v>0</v>
      </c>
    </row>
    <row r="5910" spans="1:24">
      <c r="A5910" s="27" t="s">
        <v>10893</v>
      </c>
      <c r="B5910" s="28" t="s">
        <v>5102</v>
      </c>
      <c r="C5910" s="27" t="s">
        <v>10892</v>
      </c>
      <c r="D5910" s="27" t="s">
        <v>5104</v>
      </c>
      <c r="E5910" s="29">
        <v>42737</v>
      </c>
      <c r="F5910" s="27">
        <v>15</v>
      </c>
      <c r="G5910" s="18">
        <v>57329.760000000002</v>
      </c>
      <c r="H5910" s="27">
        <f t="shared" si="184"/>
        <v>0</v>
      </c>
      <c r="I5910" s="18">
        <v>7732.19</v>
      </c>
      <c r="J5910" s="27">
        <v>57329.760000000002</v>
      </c>
      <c r="K5910" s="18">
        <f t="shared" si="185"/>
        <v>0</v>
      </c>
      <c r="L5910" s="27">
        <v>11303.99</v>
      </c>
      <c r="M5910" s="36">
        <v>3571.8</v>
      </c>
      <c r="T5910" s="41">
        <v>0</v>
      </c>
      <c r="U5910" s="41">
        <v>0</v>
      </c>
      <c r="V5910" s="42" t="s">
        <v>113</v>
      </c>
      <c r="W5910" s="42">
        <v>0</v>
      </c>
      <c r="X5910" s="42">
        <v>0</v>
      </c>
    </row>
    <row r="5911" spans="1:24">
      <c r="A5911" s="27" t="s">
        <v>10894</v>
      </c>
      <c r="B5911" s="28" t="s">
        <v>5102</v>
      </c>
      <c r="C5911" s="27" t="s">
        <v>10895</v>
      </c>
      <c r="D5911" s="27" t="s">
        <v>5104</v>
      </c>
      <c r="E5911" s="29">
        <v>42737</v>
      </c>
      <c r="F5911" s="27">
        <v>15</v>
      </c>
      <c r="G5911" s="18">
        <v>48477.87</v>
      </c>
      <c r="H5911" s="27">
        <f t="shared" si="184"/>
        <v>0</v>
      </c>
      <c r="I5911" s="18">
        <v>6538.32</v>
      </c>
      <c r="J5911" s="27">
        <v>48477.87</v>
      </c>
      <c r="K5911" s="18">
        <f t="shared" si="185"/>
        <v>0</v>
      </c>
      <c r="L5911" s="27">
        <v>9558.6299999999992</v>
      </c>
      <c r="M5911" s="36">
        <v>3020.31</v>
      </c>
      <c r="T5911" s="41">
        <v>0</v>
      </c>
      <c r="U5911" s="41">
        <v>0</v>
      </c>
      <c r="V5911" s="42" t="s">
        <v>113</v>
      </c>
      <c r="W5911" s="42">
        <v>0</v>
      </c>
      <c r="X5911" s="42">
        <v>0</v>
      </c>
    </row>
    <row r="5912" spans="1:24">
      <c r="A5912" s="27" t="s">
        <v>10896</v>
      </c>
      <c r="B5912" s="28" t="s">
        <v>5102</v>
      </c>
      <c r="C5912" s="27" t="s">
        <v>10897</v>
      </c>
      <c r="D5912" s="27" t="s">
        <v>5104</v>
      </c>
      <c r="E5912" s="29">
        <v>42737</v>
      </c>
      <c r="F5912" s="27">
        <v>15</v>
      </c>
      <c r="G5912" s="18">
        <v>31607.040000000001</v>
      </c>
      <c r="H5912" s="27">
        <f t="shared" si="184"/>
        <v>0</v>
      </c>
      <c r="I5912" s="18">
        <v>4210.34</v>
      </c>
      <c r="J5912" s="27">
        <v>31607.040000000001</v>
      </c>
      <c r="K5912" s="18">
        <f t="shared" si="185"/>
        <v>0</v>
      </c>
      <c r="L5912" s="27">
        <v>6183.56</v>
      </c>
      <c r="M5912" s="36">
        <v>1973.22</v>
      </c>
      <c r="T5912" s="41">
        <v>0</v>
      </c>
      <c r="U5912" s="41">
        <v>0</v>
      </c>
      <c r="V5912" s="42" t="s">
        <v>113</v>
      </c>
      <c r="W5912" s="42">
        <v>0</v>
      </c>
      <c r="X5912" s="42">
        <v>0</v>
      </c>
    </row>
    <row r="5913" spans="1:24">
      <c r="A5913" s="27" t="s">
        <v>10898</v>
      </c>
      <c r="B5913" s="28" t="s">
        <v>5102</v>
      </c>
      <c r="C5913" s="27" t="s">
        <v>10897</v>
      </c>
      <c r="D5913" s="27" t="s">
        <v>5104</v>
      </c>
      <c r="E5913" s="29">
        <v>42737</v>
      </c>
      <c r="F5913" s="27">
        <v>15</v>
      </c>
      <c r="G5913" s="18">
        <v>62717.120000000003</v>
      </c>
      <c r="H5913" s="27">
        <f t="shared" si="184"/>
        <v>0</v>
      </c>
      <c r="I5913" s="18">
        <v>8354.48</v>
      </c>
      <c r="J5913" s="27">
        <v>62717.120000000003</v>
      </c>
      <c r="K5913" s="18">
        <f t="shared" si="185"/>
        <v>0</v>
      </c>
      <c r="L5913" s="27">
        <v>12269.9</v>
      </c>
      <c r="M5913" s="36">
        <v>3915.42</v>
      </c>
      <c r="T5913" s="41">
        <v>0</v>
      </c>
      <c r="U5913" s="41">
        <v>0</v>
      </c>
      <c r="V5913" s="42" t="s">
        <v>113</v>
      </c>
      <c r="W5913" s="42">
        <v>0</v>
      </c>
      <c r="X5913" s="42">
        <v>0</v>
      </c>
    </row>
    <row r="5914" spans="1:24">
      <c r="A5914" s="27" t="s">
        <v>10899</v>
      </c>
      <c r="B5914" s="28" t="s">
        <v>5102</v>
      </c>
      <c r="C5914" s="27" t="s">
        <v>10900</v>
      </c>
      <c r="D5914" s="27" t="s">
        <v>5104</v>
      </c>
      <c r="E5914" s="29">
        <v>42737</v>
      </c>
      <c r="F5914" s="27">
        <v>15</v>
      </c>
      <c r="G5914" s="18">
        <v>5069.0600000000004</v>
      </c>
      <c r="H5914" s="27">
        <f t="shared" si="184"/>
        <v>0</v>
      </c>
      <c r="I5914" s="18">
        <v>675.24</v>
      </c>
      <c r="J5914" s="27">
        <v>5069.0600000000004</v>
      </c>
      <c r="K5914" s="18">
        <f t="shared" si="185"/>
        <v>0</v>
      </c>
      <c r="L5914" s="27">
        <v>991.7</v>
      </c>
      <c r="M5914" s="36">
        <v>316.45999999999998</v>
      </c>
      <c r="T5914" s="41">
        <v>0</v>
      </c>
      <c r="U5914" s="41">
        <v>0</v>
      </c>
      <c r="V5914" s="42" t="s">
        <v>113</v>
      </c>
      <c r="W5914" s="42">
        <v>0</v>
      </c>
      <c r="X5914" s="42">
        <v>0</v>
      </c>
    </row>
    <row r="5915" spans="1:24">
      <c r="A5915" s="27" t="s">
        <v>10901</v>
      </c>
      <c r="B5915" s="28" t="s">
        <v>5102</v>
      </c>
      <c r="C5915" s="27" t="s">
        <v>10900</v>
      </c>
      <c r="D5915" s="27" t="s">
        <v>5104</v>
      </c>
      <c r="E5915" s="29">
        <v>42737</v>
      </c>
      <c r="F5915" s="27">
        <v>15</v>
      </c>
      <c r="G5915" s="18">
        <v>26041.02</v>
      </c>
      <c r="H5915" s="27">
        <f t="shared" si="184"/>
        <v>0</v>
      </c>
      <c r="I5915" s="18">
        <v>3468.89</v>
      </c>
      <c r="J5915" s="27">
        <v>26041.02</v>
      </c>
      <c r="K5915" s="18">
        <f t="shared" si="185"/>
        <v>0</v>
      </c>
      <c r="L5915" s="27">
        <v>5094.63</v>
      </c>
      <c r="M5915" s="36">
        <v>1625.74</v>
      </c>
      <c r="T5915" s="41">
        <v>0</v>
      </c>
      <c r="U5915" s="41">
        <v>0</v>
      </c>
      <c r="V5915" s="42" t="s">
        <v>113</v>
      </c>
      <c r="W5915" s="42">
        <v>0</v>
      </c>
      <c r="X5915" s="42">
        <v>0</v>
      </c>
    </row>
    <row r="5916" spans="1:24">
      <c r="A5916" s="27" t="s">
        <v>10902</v>
      </c>
      <c r="B5916" s="28" t="s">
        <v>5102</v>
      </c>
      <c r="C5916" s="27" t="s">
        <v>10903</v>
      </c>
      <c r="D5916" s="27" t="s">
        <v>5104</v>
      </c>
      <c r="E5916" s="29">
        <v>42737</v>
      </c>
      <c r="F5916" s="27">
        <v>15</v>
      </c>
      <c r="G5916" s="18">
        <v>4300.2299999999996</v>
      </c>
      <c r="H5916" s="27">
        <f t="shared" si="184"/>
        <v>0</v>
      </c>
      <c r="I5916" s="18">
        <v>579.99</v>
      </c>
      <c r="J5916" s="27">
        <v>4300.2299999999996</v>
      </c>
      <c r="K5916" s="18">
        <f t="shared" si="185"/>
        <v>0</v>
      </c>
      <c r="L5916" s="27">
        <v>847.91</v>
      </c>
      <c r="M5916" s="36">
        <v>267.92</v>
      </c>
      <c r="T5916" s="41">
        <v>0</v>
      </c>
      <c r="U5916" s="41">
        <v>0</v>
      </c>
      <c r="V5916" s="42" t="s">
        <v>113</v>
      </c>
      <c r="W5916" s="42">
        <v>0</v>
      </c>
      <c r="X5916" s="42">
        <v>0</v>
      </c>
    </row>
    <row r="5917" spans="1:24">
      <c r="A5917" s="27" t="s">
        <v>10904</v>
      </c>
      <c r="B5917" s="28" t="s">
        <v>5102</v>
      </c>
      <c r="C5917" s="27" t="s">
        <v>10905</v>
      </c>
      <c r="D5917" s="27" t="s">
        <v>5104</v>
      </c>
      <c r="E5917" s="29">
        <v>42737</v>
      </c>
      <c r="F5917" s="27">
        <v>15</v>
      </c>
      <c r="G5917" s="18">
        <v>3440.19</v>
      </c>
      <c r="H5917" s="27">
        <f t="shared" si="184"/>
        <v>0</v>
      </c>
      <c r="I5917" s="18">
        <v>463.98</v>
      </c>
      <c r="J5917" s="27">
        <v>3440.19</v>
      </c>
      <c r="K5917" s="18">
        <f t="shared" si="185"/>
        <v>0</v>
      </c>
      <c r="L5917" s="27">
        <v>678.31</v>
      </c>
      <c r="M5917" s="36">
        <v>214.33</v>
      </c>
      <c r="T5917" s="41">
        <v>0</v>
      </c>
      <c r="U5917" s="41">
        <v>0</v>
      </c>
      <c r="V5917" s="42" t="s">
        <v>113</v>
      </c>
      <c r="W5917" s="42">
        <v>0</v>
      </c>
      <c r="X5917" s="42">
        <v>0</v>
      </c>
    </row>
    <row r="5918" spans="1:24">
      <c r="A5918" s="27" t="s">
        <v>10906</v>
      </c>
      <c r="B5918" s="28" t="s">
        <v>5102</v>
      </c>
      <c r="C5918" s="27" t="s">
        <v>10905</v>
      </c>
      <c r="D5918" s="27" t="s">
        <v>5104</v>
      </c>
      <c r="E5918" s="29">
        <v>42737</v>
      </c>
      <c r="F5918" s="27">
        <v>15</v>
      </c>
      <c r="G5918" s="18">
        <v>115461.33</v>
      </c>
      <c r="H5918" s="27">
        <f t="shared" si="184"/>
        <v>0</v>
      </c>
      <c r="I5918" s="18">
        <v>15572.52</v>
      </c>
      <c r="J5918" s="27">
        <v>115461.33</v>
      </c>
      <c r="K5918" s="18">
        <f t="shared" si="185"/>
        <v>0</v>
      </c>
      <c r="L5918" s="27">
        <v>22766.080000000002</v>
      </c>
      <c r="M5918" s="36">
        <v>7193.56</v>
      </c>
      <c r="T5918" s="41">
        <v>0</v>
      </c>
      <c r="U5918" s="41">
        <v>0</v>
      </c>
      <c r="V5918" s="42" t="s">
        <v>113</v>
      </c>
      <c r="W5918" s="42">
        <v>0</v>
      </c>
      <c r="X5918" s="42">
        <v>0</v>
      </c>
    </row>
    <row r="5919" spans="1:24">
      <c r="A5919" s="27" t="s">
        <v>10907</v>
      </c>
      <c r="B5919" s="28" t="s">
        <v>5102</v>
      </c>
      <c r="C5919" s="27" t="s">
        <v>10908</v>
      </c>
      <c r="D5919" s="27" t="s">
        <v>5104</v>
      </c>
      <c r="E5919" s="29">
        <v>42737</v>
      </c>
      <c r="F5919" s="27">
        <v>15</v>
      </c>
      <c r="G5919" s="18">
        <v>53107.92</v>
      </c>
      <c r="H5919" s="27">
        <f t="shared" si="184"/>
        <v>0</v>
      </c>
      <c r="I5919" s="18">
        <v>7162.78</v>
      </c>
      <c r="J5919" s="27">
        <v>53107.92</v>
      </c>
      <c r="K5919" s="18">
        <f t="shared" si="185"/>
        <v>0</v>
      </c>
      <c r="L5919" s="27">
        <v>10471.549999999999</v>
      </c>
      <c r="M5919" s="36">
        <v>3308.77</v>
      </c>
      <c r="T5919" s="41">
        <v>0</v>
      </c>
      <c r="U5919" s="41">
        <v>0</v>
      </c>
      <c r="V5919" s="42" t="s">
        <v>113</v>
      </c>
      <c r="W5919" s="42">
        <v>0</v>
      </c>
      <c r="X5919" s="42">
        <v>0</v>
      </c>
    </row>
    <row r="5920" spans="1:24">
      <c r="A5920" s="27" t="s">
        <v>10909</v>
      </c>
      <c r="B5920" s="28" t="s">
        <v>5102</v>
      </c>
      <c r="C5920" s="27" t="s">
        <v>10910</v>
      </c>
      <c r="D5920" s="27" t="s">
        <v>5104</v>
      </c>
      <c r="E5920" s="29">
        <v>42737</v>
      </c>
      <c r="F5920" s="27">
        <v>15</v>
      </c>
      <c r="G5920" s="18">
        <v>137177.51999999999</v>
      </c>
      <c r="H5920" s="27">
        <f t="shared" si="184"/>
        <v>0</v>
      </c>
      <c r="I5920" s="18">
        <v>18501.439999999999</v>
      </c>
      <c r="J5920" s="27">
        <v>137177.51999999999</v>
      </c>
      <c r="K5920" s="18">
        <f t="shared" si="185"/>
        <v>0</v>
      </c>
      <c r="L5920" s="27">
        <v>27047.98</v>
      </c>
      <c r="M5920" s="36">
        <v>8546.5400000000009</v>
      </c>
      <c r="T5920" s="41">
        <v>0</v>
      </c>
      <c r="U5920" s="41">
        <v>0</v>
      </c>
      <c r="V5920" s="42" t="s">
        <v>113</v>
      </c>
      <c r="W5920" s="42">
        <v>0</v>
      </c>
      <c r="X5920" s="42">
        <v>0</v>
      </c>
    </row>
    <row r="5921" spans="1:24">
      <c r="A5921" s="27" t="s">
        <v>10911</v>
      </c>
      <c r="B5921" s="28" t="s">
        <v>5102</v>
      </c>
      <c r="C5921" s="27" t="s">
        <v>10912</v>
      </c>
      <c r="D5921" s="27" t="s">
        <v>5104</v>
      </c>
      <c r="E5921" s="29">
        <v>42737</v>
      </c>
      <c r="F5921" s="27">
        <v>15</v>
      </c>
      <c r="G5921" s="18">
        <v>65256.08</v>
      </c>
      <c r="H5921" s="27">
        <f t="shared" si="184"/>
        <v>0</v>
      </c>
      <c r="I5921" s="18">
        <v>8801.23</v>
      </c>
      <c r="J5921" s="27">
        <v>65256.08</v>
      </c>
      <c r="K5921" s="18">
        <f t="shared" si="185"/>
        <v>0</v>
      </c>
      <c r="L5921" s="27">
        <v>12866.86</v>
      </c>
      <c r="M5921" s="36">
        <v>4065.63</v>
      </c>
      <c r="T5921" s="41">
        <v>0</v>
      </c>
      <c r="U5921" s="41">
        <v>0</v>
      </c>
      <c r="V5921" s="42" t="s">
        <v>113</v>
      </c>
      <c r="W5921" s="42">
        <v>0</v>
      </c>
      <c r="X5921" s="42">
        <v>0</v>
      </c>
    </row>
    <row r="5922" spans="1:24">
      <c r="A5922" s="27" t="s">
        <v>10913</v>
      </c>
      <c r="B5922" s="28" t="s">
        <v>5102</v>
      </c>
      <c r="C5922" s="27" t="s">
        <v>10912</v>
      </c>
      <c r="D5922" s="27" t="s">
        <v>5104</v>
      </c>
      <c r="E5922" s="29">
        <v>42737</v>
      </c>
      <c r="F5922" s="27">
        <v>15</v>
      </c>
      <c r="G5922" s="18">
        <v>16663.419999999998</v>
      </c>
      <c r="H5922" s="27">
        <f t="shared" si="184"/>
        <v>0</v>
      </c>
      <c r="I5922" s="18">
        <v>2247.44</v>
      </c>
      <c r="J5922" s="27">
        <v>16663.419999999998</v>
      </c>
      <c r="K5922" s="18">
        <f t="shared" si="185"/>
        <v>0</v>
      </c>
      <c r="L5922" s="27">
        <v>3285.62</v>
      </c>
      <c r="M5922" s="36">
        <v>1038.18</v>
      </c>
      <c r="T5922" s="41">
        <v>0</v>
      </c>
      <c r="U5922" s="41">
        <v>0</v>
      </c>
      <c r="V5922" s="42" t="s">
        <v>113</v>
      </c>
      <c r="W5922" s="42">
        <v>0</v>
      </c>
      <c r="X5922" s="42">
        <v>0</v>
      </c>
    </row>
    <row r="5923" spans="1:24">
      <c r="A5923" s="27" t="s">
        <v>10914</v>
      </c>
      <c r="B5923" s="28" t="s">
        <v>5102</v>
      </c>
      <c r="C5923" s="27" t="s">
        <v>10915</v>
      </c>
      <c r="D5923" s="27" t="s">
        <v>5104</v>
      </c>
      <c r="E5923" s="29">
        <v>42737</v>
      </c>
      <c r="F5923" s="27">
        <v>15</v>
      </c>
      <c r="G5923" s="18">
        <v>146100.51999999999</v>
      </c>
      <c r="H5923" s="27">
        <f t="shared" si="184"/>
        <v>0</v>
      </c>
      <c r="I5923" s="18">
        <v>19704.900000000001</v>
      </c>
      <c r="J5923" s="27">
        <v>146100.51999999999</v>
      </c>
      <c r="K5923" s="18">
        <f t="shared" si="185"/>
        <v>0</v>
      </c>
      <c r="L5923" s="27">
        <v>28807.37</v>
      </c>
      <c r="M5923" s="36">
        <v>9102.4699999999993</v>
      </c>
      <c r="T5923" s="41">
        <v>0</v>
      </c>
      <c r="U5923" s="41">
        <v>0</v>
      </c>
      <c r="V5923" s="42" t="s">
        <v>113</v>
      </c>
      <c r="W5923" s="42">
        <v>0</v>
      </c>
      <c r="X5923" s="42">
        <v>0</v>
      </c>
    </row>
    <row r="5924" spans="1:24">
      <c r="A5924" s="27" t="s">
        <v>10916</v>
      </c>
      <c r="B5924" s="28" t="s">
        <v>5102</v>
      </c>
      <c r="C5924" s="27" t="s">
        <v>10917</v>
      </c>
      <c r="D5924" s="27" t="s">
        <v>5104</v>
      </c>
      <c r="E5924" s="29">
        <v>42737</v>
      </c>
      <c r="F5924" s="27">
        <v>15</v>
      </c>
      <c r="G5924" s="18">
        <v>133952.34</v>
      </c>
      <c r="H5924" s="27">
        <f t="shared" si="184"/>
        <v>0</v>
      </c>
      <c r="I5924" s="18">
        <v>18066.45</v>
      </c>
      <c r="J5924" s="27">
        <v>133952.34</v>
      </c>
      <c r="K5924" s="18">
        <f t="shared" si="185"/>
        <v>0</v>
      </c>
      <c r="L5924" s="27">
        <v>26412.05</v>
      </c>
      <c r="M5924" s="36">
        <v>8345.6</v>
      </c>
      <c r="T5924" s="41">
        <v>0</v>
      </c>
      <c r="U5924" s="41">
        <v>0</v>
      </c>
      <c r="V5924" s="42" t="s">
        <v>113</v>
      </c>
      <c r="W5924" s="42">
        <v>0</v>
      </c>
      <c r="X5924" s="42">
        <v>0</v>
      </c>
    </row>
    <row r="5925" spans="1:24">
      <c r="A5925" s="27" t="s">
        <v>10918</v>
      </c>
      <c r="B5925" s="28" t="s">
        <v>5102</v>
      </c>
      <c r="C5925" s="27" t="s">
        <v>10919</v>
      </c>
      <c r="D5925" s="27" t="s">
        <v>5104</v>
      </c>
      <c r="E5925" s="29">
        <v>42737</v>
      </c>
      <c r="F5925" s="27">
        <v>15</v>
      </c>
      <c r="G5925" s="18">
        <v>162978.94</v>
      </c>
      <c r="H5925" s="27">
        <f t="shared" si="184"/>
        <v>0</v>
      </c>
      <c r="I5925" s="18">
        <v>21981.33</v>
      </c>
      <c r="J5925" s="27">
        <v>162978.94</v>
      </c>
      <c r="K5925" s="18">
        <f t="shared" si="185"/>
        <v>0</v>
      </c>
      <c r="L5925" s="27">
        <v>32135.37</v>
      </c>
      <c r="M5925" s="36">
        <v>10154.040000000001</v>
      </c>
      <c r="T5925" s="41">
        <v>0</v>
      </c>
      <c r="U5925" s="41">
        <v>0</v>
      </c>
      <c r="V5925" s="42" t="s">
        <v>113</v>
      </c>
      <c r="W5925" s="42">
        <v>0</v>
      </c>
      <c r="X5925" s="42">
        <v>0</v>
      </c>
    </row>
    <row r="5926" spans="1:24">
      <c r="A5926" s="27" t="s">
        <v>10920</v>
      </c>
      <c r="B5926" s="28" t="s">
        <v>5102</v>
      </c>
      <c r="C5926" s="27" t="s">
        <v>10921</v>
      </c>
      <c r="D5926" s="27" t="s">
        <v>5104</v>
      </c>
      <c r="E5926" s="29">
        <v>42737</v>
      </c>
      <c r="F5926" s="27">
        <v>15</v>
      </c>
      <c r="G5926" s="18">
        <v>230585.09</v>
      </c>
      <c r="H5926" s="27">
        <f t="shared" si="184"/>
        <v>0</v>
      </c>
      <c r="I5926" s="18">
        <v>34440.080000000002</v>
      </c>
      <c r="J5926" s="27">
        <v>230585.09</v>
      </c>
      <c r="K5926" s="18">
        <f t="shared" si="185"/>
        <v>0</v>
      </c>
      <c r="L5926" s="27">
        <v>48550.84</v>
      </c>
      <c r="M5926" s="36">
        <v>14110.76</v>
      </c>
      <c r="T5926" s="41">
        <v>0</v>
      </c>
      <c r="U5926" s="41">
        <v>0</v>
      </c>
      <c r="V5926" s="42" t="s">
        <v>113</v>
      </c>
      <c r="W5926" s="42">
        <v>0</v>
      </c>
      <c r="X5926" s="42">
        <v>0</v>
      </c>
    </row>
    <row r="5927" spans="1:24">
      <c r="A5927" s="27" t="s">
        <v>10922</v>
      </c>
      <c r="B5927" s="28" t="s">
        <v>5102</v>
      </c>
      <c r="C5927" s="27" t="s">
        <v>10923</v>
      </c>
      <c r="D5927" s="27" t="s">
        <v>5104</v>
      </c>
      <c r="E5927" s="29">
        <v>42737</v>
      </c>
      <c r="F5927" s="27">
        <v>15</v>
      </c>
      <c r="G5927" s="18">
        <v>61487.73</v>
      </c>
      <c r="H5927" s="27">
        <f t="shared" si="184"/>
        <v>0</v>
      </c>
      <c r="I5927" s="18">
        <v>8292.99</v>
      </c>
      <c r="J5927" s="27">
        <v>61487.73</v>
      </c>
      <c r="K5927" s="18">
        <f t="shared" si="185"/>
        <v>0</v>
      </c>
      <c r="L5927" s="27">
        <v>12123.84</v>
      </c>
      <c r="M5927" s="36">
        <v>3830.85</v>
      </c>
      <c r="T5927" s="41">
        <v>0</v>
      </c>
      <c r="U5927" s="41">
        <v>0</v>
      </c>
      <c r="V5927" s="42" t="s">
        <v>113</v>
      </c>
      <c r="W5927" s="42">
        <v>0</v>
      </c>
      <c r="X5927" s="42">
        <v>0</v>
      </c>
    </row>
    <row r="5928" spans="1:24">
      <c r="A5928" s="27" t="s">
        <v>10924</v>
      </c>
      <c r="B5928" s="28" t="s">
        <v>5102</v>
      </c>
      <c r="C5928" s="27" t="s">
        <v>10925</v>
      </c>
      <c r="D5928" s="27" t="s">
        <v>5104</v>
      </c>
      <c r="E5928" s="29">
        <v>42737</v>
      </c>
      <c r="F5928" s="27">
        <v>15</v>
      </c>
      <c r="G5928" s="18">
        <v>129655.19</v>
      </c>
      <c r="H5928" s="27">
        <f t="shared" si="184"/>
        <v>0</v>
      </c>
      <c r="I5928" s="18">
        <v>17486.89</v>
      </c>
      <c r="J5928" s="27">
        <v>129655.19</v>
      </c>
      <c r="K5928" s="18">
        <f t="shared" si="185"/>
        <v>0</v>
      </c>
      <c r="L5928" s="27">
        <v>25564.77</v>
      </c>
      <c r="M5928" s="36">
        <v>8077.88</v>
      </c>
      <c r="T5928" s="41">
        <v>0</v>
      </c>
      <c r="U5928" s="41">
        <v>0</v>
      </c>
      <c r="V5928" s="42" t="s">
        <v>113</v>
      </c>
      <c r="W5928" s="42">
        <v>0</v>
      </c>
      <c r="X5928" s="42">
        <v>0</v>
      </c>
    </row>
    <row r="5929" spans="1:24">
      <c r="A5929" s="27" t="s">
        <v>10926</v>
      </c>
      <c r="B5929" s="28" t="s">
        <v>5102</v>
      </c>
      <c r="C5929" s="27" t="s">
        <v>10927</v>
      </c>
      <c r="D5929" s="27" t="s">
        <v>5104</v>
      </c>
      <c r="E5929" s="29">
        <v>42737</v>
      </c>
      <c r="F5929" s="27">
        <v>15</v>
      </c>
      <c r="G5929" s="18">
        <v>85712.26</v>
      </c>
      <c r="H5929" s="27">
        <f t="shared" si="184"/>
        <v>0</v>
      </c>
      <c r="I5929" s="18">
        <v>11528.85</v>
      </c>
      <c r="J5929" s="27">
        <v>85712.26</v>
      </c>
      <c r="K5929" s="18">
        <f t="shared" si="185"/>
        <v>0</v>
      </c>
      <c r="L5929" s="27">
        <v>16871.36</v>
      </c>
      <c r="M5929" s="36">
        <v>5342.51</v>
      </c>
      <c r="T5929" s="41">
        <v>0</v>
      </c>
      <c r="U5929" s="41">
        <v>0</v>
      </c>
      <c r="V5929" s="42" t="s">
        <v>113</v>
      </c>
      <c r="W5929" s="42">
        <v>0</v>
      </c>
      <c r="X5929" s="42">
        <v>0</v>
      </c>
    </row>
    <row r="5930" spans="1:24">
      <c r="A5930" s="27" t="s">
        <v>10928</v>
      </c>
      <c r="B5930" s="28" t="s">
        <v>5102</v>
      </c>
      <c r="C5930" s="27" t="s">
        <v>10929</v>
      </c>
      <c r="D5930" s="27" t="s">
        <v>5104</v>
      </c>
      <c r="E5930" s="29">
        <v>42737</v>
      </c>
      <c r="F5930" s="27">
        <v>15</v>
      </c>
      <c r="G5930" s="18">
        <v>67784.83</v>
      </c>
      <c r="H5930" s="27">
        <f t="shared" si="184"/>
        <v>0</v>
      </c>
      <c r="I5930" s="18">
        <v>9117.49</v>
      </c>
      <c r="J5930" s="27">
        <v>67784.83</v>
      </c>
      <c r="K5930" s="18">
        <f t="shared" si="185"/>
        <v>0</v>
      </c>
      <c r="L5930" s="27">
        <v>13342.57</v>
      </c>
      <c r="M5930" s="36">
        <v>4225.08</v>
      </c>
      <c r="T5930" s="41">
        <v>0</v>
      </c>
      <c r="U5930" s="41">
        <v>0</v>
      </c>
      <c r="V5930" s="42" t="s">
        <v>113</v>
      </c>
      <c r="W5930" s="42">
        <v>0</v>
      </c>
      <c r="X5930" s="42">
        <v>0</v>
      </c>
    </row>
    <row r="5931" spans="1:24">
      <c r="A5931" s="27" t="s">
        <v>10930</v>
      </c>
      <c r="B5931" s="28" t="s">
        <v>5102</v>
      </c>
      <c r="C5931" s="27" t="s">
        <v>10931</v>
      </c>
      <c r="D5931" s="27" t="s">
        <v>5104</v>
      </c>
      <c r="E5931" s="29">
        <v>42737</v>
      </c>
      <c r="F5931" s="27">
        <v>15</v>
      </c>
      <c r="G5931" s="18">
        <v>120294.19</v>
      </c>
      <c r="H5931" s="27">
        <f t="shared" si="184"/>
        <v>0</v>
      </c>
      <c r="I5931" s="18">
        <v>16180.33</v>
      </c>
      <c r="J5931" s="27">
        <v>120294.19</v>
      </c>
      <c r="K5931" s="18">
        <f t="shared" si="185"/>
        <v>0</v>
      </c>
      <c r="L5931" s="27">
        <v>23678.35</v>
      </c>
      <c r="M5931" s="36">
        <v>7498.02</v>
      </c>
      <c r="T5931" s="41">
        <v>0</v>
      </c>
      <c r="U5931" s="41">
        <v>0</v>
      </c>
      <c r="V5931" s="42" t="s">
        <v>113</v>
      </c>
      <c r="W5931" s="42">
        <v>0</v>
      </c>
      <c r="X5931" s="42">
        <v>0</v>
      </c>
    </row>
    <row r="5932" spans="1:24">
      <c r="A5932" s="27" t="s">
        <v>10932</v>
      </c>
      <c r="B5932" s="28" t="s">
        <v>5102</v>
      </c>
      <c r="C5932" s="27" t="s">
        <v>10931</v>
      </c>
      <c r="D5932" s="27" t="s">
        <v>5104</v>
      </c>
      <c r="E5932" s="29">
        <v>42737</v>
      </c>
      <c r="F5932" s="27">
        <v>15</v>
      </c>
      <c r="G5932" s="18">
        <v>78498.850000000006</v>
      </c>
      <c r="H5932" s="27">
        <f t="shared" si="184"/>
        <v>0</v>
      </c>
      <c r="I5932" s="18">
        <v>10558.6</v>
      </c>
      <c r="J5932" s="27">
        <v>78498.850000000006</v>
      </c>
      <c r="K5932" s="18">
        <f t="shared" si="185"/>
        <v>0</v>
      </c>
      <c r="L5932" s="27">
        <v>15451.49</v>
      </c>
      <c r="M5932" s="36">
        <v>4892.8900000000003</v>
      </c>
      <c r="T5932" s="41">
        <v>0</v>
      </c>
      <c r="U5932" s="41">
        <v>0</v>
      </c>
      <c r="V5932" s="42" t="s">
        <v>113</v>
      </c>
      <c r="W5932" s="42">
        <v>0</v>
      </c>
      <c r="X5932" s="42">
        <v>0</v>
      </c>
    </row>
    <row r="5933" spans="1:24">
      <c r="A5933" s="27" t="s">
        <v>10933</v>
      </c>
      <c r="B5933" s="28" t="s">
        <v>5102</v>
      </c>
      <c r="C5933" s="27" t="s">
        <v>10934</v>
      </c>
      <c r="D5933" s="27" t="s">
        <v>5104</v>
      </c>
      <c r="E5933" s="29">
        <v>42737</v>
      </c>
      <c r="F5933" s="27">
        <v>15</v>
      </c>
      <c r="G5933" s="18">
        <v>187548.61</v>
      </c>
      <c r="H5933" s="27">
        <f t="shared" si="184"/>
        <v>0</v>
      </c>
      <c r="I5933" s="18">
        <v>25226.49</v>
      </c>
      <c r="J5933" s="27">
        <v>187548.61</v>
      </c>
      <c r="K5933" s="18">
        <f t="shared" si="185"/>
        <v>0</v>
      </c>
      <c r="L5933" s="27">
        <v>36916.53</v>
      </c>
      <c r="M5933" s="36">
        <v>11690.04</v>
      </c>
      <c r="T5933" s="41">
        <v>0</v>
      </c>
      <c r="U5933" s="41">
        <v>0</v>
      </c>
      <c r="V5933" s="42" t="s">
        <v>113</v>
      </c>
      <c r="W5933" s="42">
        <v>0</v>
      </c>
      <c r="X5933" s="42">
        <v>0</v>
      </c>
    </row>
    <row r="5934" spans="1:24">
      <c r="A5934" s="27" t="s">
        <v>10935</v>
      </c>
      <c r="B5934" s="28" t="s">
        <v>5102</v>
      </c>
      <c r="C5934" s="27" t="s">
        <v>10936</v>
      </c>
      <c r="D5934" s="27" t="s">
        <v>5104</v>
      </c>
      <c r="E5934" s="29">
        <v>42737</v>
      </c>
      <c r="F5934" s="27">
        <v>15</v>
      </c>
      <c r="G5934" s="18">
        <v>54524.88</v>
      </c>
      <c r="H5934" s="27">
        <f t="shared" si="184"/>
        <v>0</v>
      </c>
      <c r="I5934" s="18">
        <v>7333.95</v>
      </c>
      <c r="J5934" s="27">
        <v>54524.88</v>
      </c>
      <c r="K5934" s="18">
        <f t="shared" si="185"/>
        <v>0</v>
      </c>
      <c r="L5934" s="27">
        <v>10732.53</v>
      </c>
      <c r="M5934" s="36">
        <v>3398.58</v>
      </c>
      <c r="T5934" s="41">
        <v>0</v>
      </c>
      <c r="U5934" s="41">
        <v>0</v>
      </c>
      <c r="V5934" s="42" t="s">
        <v>113</v>
      </c>
      <c r="W5934" s="42">
        <v>0</v>
      </c>
      <c r="X5934" s="42">
        <v>0</v>
      </c>
    </row>
    <row r="5935" spans="1:24">
      <c r="A5935" s="27" t="s">
        <v>10937</v>
      </c>
      <c r="B5935" s="28" t="s">
        <v>5102</v>
      </c>
      <c r="C5935" s="27" t="s">
        <v>10938</v>
      </c>
      <c r="D5935" s="27" t="s">
        <v>5104</v>
      </c>
      <c r="E5935" s="29">
        <v>42737</v>
      </c>
      <c r="F5935" s="27">
        <v>15</v>
      </c>
      <c r="G5935" s="18">
        <v>134508.84</v>
      </c>
      <c r="H5935" s="27">
        <f t="shared" si="184"/>
        <v>0</v>
      </c>
      <c r="I5935" s="18">
        <v>18092.3</v>
      </c>
      <c r="J5935" s="27">
        <v>134508.84</v>
      </c>
      <c r="K5935" s="18">
        <f t="shared" si="185"/>
        <v>0</v>
      </c>
      <c r="L5935" s="27">
        <v>26476.33</v>
      </c>
      <c r="M5935" s="36">
        <v>8384.0300000000007</v>
      </c>
      <c r="T5935" s="41">
        <v>0</v>
      </c>
      <c r="U5935" s="41">
        <v>0</v>
      </c>
      <c r="V5935" s="42" t="s">
        <v>113</v>
      </c>
      <c r="W5935" s="42">
        <v>0</v>
      </c>
      <c r="X5935" s="42">
        <v>0</v>
      </c>
    </row>
    <row r="5936" spans="1:24">
      <c r="A5936" s="27" t="s">
        <v>10939</v>
      </c>
      <c r="B5936" s="28" t="s">
        <v>5102</v>
      </c>
      <c r="C5936" s="27" t="s">
        <v>10940</v>
      </c>
      <c r="D5936" s="27" t="s">
        <v>5104</v>
      </c>
      <c r="E5936" s="29">
        <v>42737</v>
      </c>
      <c r="F5936" s="27">
        <v>15</v>
      </c>
      <c r="G5936" s="18">
        <v>44023.01</v>
      </c>
      <c r="H5936" s="27">
        <f t="shared" si="184"/>
        <v>0</v>
      </c>
      <c r="I5936" s="18">
        <v>5921.38</v>
      </c>
      <c r="J5936" s="27">
        <v>44023.01</v>
      </c>
      <c r="K5936" s="18">
        <f t="shared" si="185"/>
        <v>0</v>
      </c>
      <c r="L5936" s="27">
        <v>8665.3700000000008</v>
      </c>
      <c r="M5936" s="36">
        <v>2743.99</v>
      </c>
      <c r="T5936" s="41">
        <v>0</v>
      </c>
      <c r="U5936" s="41">
        <v>0</v>
      </c>
      <c r="V5936" s="42" t="s">
        <v>113</v>
      </c>
      <c r="W5936" s="42">
        <v>0</v>
      </c>
      <c r="X5936" s="42">
        <v>0</v>
      </c>
    </row>
    <row r="5937" spans="1:24">
      <c r="A5937" s="27" t="s">
        <v>10941</v>
      </c>
      <c r="B5937" s="28" t="s">
        <v>5102</v>
      </c>
      <c r="C5937" s="27" t="s">
        <v>10942</v>
      </c>
      <c r="D5937" s="27" t="s">
        <v>5104</v>
      </c>
      <c r="E5937" s="29">
        <v>42737</v>
      </c>
      <c r="F5937" s="27">
        <v>15</v>
      </c>
      <c r="G5937" s="18">
        <v>37552.15</v>
      </c>
      <c r="H5937" s="27">
        <f t="shared" si="184"/>
        <v>0</v>
      </c>
      <c r="I5937" s="18">
        <v>5051.01</v>
      </c>
      <c r="J5937" s="27">
        <v>37552.15</v>
      </c>
      <c r="K5937" s="18">
        <f t="shared" si="185"/>
        <v>0</v>
      </c>
      <c r="L5937" s="27">
        <v>7391.66</v>
      </c>
      <c r="M5937" s="36">
        <v>2340.65</v>
      </c>
      <c r="T5937" s="41">
        <v>0</v>
      </c>
      <c r="U5937" s="41">
        <v>0</v>
      </c>
      <c r="V5937" s="42" t="s">
        <v>113</v>
      </c>
      <c r="W5937" s="42">
        <v>0</v>
      </c>
      <c r="X5937" s="42">
        <v>0</v>
      </c>
    </row>
    <row r="5938" spans="1:24">
      <c r="A5938" s="27" t="s">
        <v>10943</v>
      </c>
      <c r="B5938" s="28" t="s">
        <v>5102</v>
      </c>
      <c r="C5938" s="27" t="s">
        <v>10944</v>
      </c>
      <c r="D5938" s="27" t="s">
        <v>5104</v>
      </c>
      <c r="E5938" s="29">
        <v>42737</v>
      </c>
      <c r="F5938" s="27">
        <v>15</v>
      </c>
      <c r="G5938" s="18">
        <v>132175.1</v>
      </c>
      <c r="H5938" s="27">
        <f t="shared" si="184"/>
        <v>0</v>
      </c>
      <c r="I5938" s="18">
        <v>17778.400000000001</v>
      </c>
      <c r="J5938" s="27">
        <v>132175.1</v>
      </c>
      <c r="K5938" s="18">
        <f t="shared" si="185"/>
        <v>0</v>
      </c>
      <c r="L5938" s="27">
        <v>26016.97</v>
      </c>
      <c r="M5938" s="36">
        <v>8238.57</v>
      </c>
      <c r="T5938" s="41">
        <v>0</v>
      </c>
      <c r="U5938" s="41">
        <v>0</v>
      </c>
      <c r="V5938" s="42" t="s">
        <v>113</v>
      </c>
      <c r="W5938" s="42">
        <v>0</v>
      </c>
      <c r="X5938" s="42">
        <v>0</v>
      </c>
    </row>
    <row r="5939" spans="1:24">
      <c r="A5939" s="27" t="s">
        <v>10945</v>
      </c>
      <c r="B5939" s="28" t="s">
        <v>5102</v>
      </c>
      <c r="C5939" s="27" t="s">
        <v>10944</v>
      </c>
      <c r="D5939" s="27" t="s">
        <v>5104</v>
      </c>
      <c r="E5939" s="29">
        <v>42737</v>
      </c>
      <c r="F5939" s="27">
        <v>15</v>
      </c>
      <c r="G5939" s="18">
        <v>85712.26</v>
      </c>
      <c r="H5939" s="27">
        <f t="shared" si="184"/>
        <v>0</v>
      </c>
      <c r="I5939" s="18">
        <v>11528.85</v>
      </c>
      <c r="J5939" s="27">
        <v>85712.26</v>
      </c>
      <c r="K5939" s="18">
        <f t="shared" si="185"/>
        <v>0</v>
      </c>
      <c r="L5939" s="27">
        <v>16871.36</v>
      </c>
      <c r="M5939" s="36">
        <v>5342.51</v>
      </c>
      <c r="T5939" s="41">
        <v>0</v>
      </c>
      <c r="U5939" s="41">
        <v>0</v>
      </c>
      <c r="V5939" s="42" t="s">
        <v>113</v>
      </c>
      <c r="W5939" s="42">
        <v>0</v>
      </c>
      <c r="X5939" s="42">
        <v>0</v>
      </c>
    </row>
    <row r="5940" spans="1:24">
      <c r="A5940" s="27" t="s">
        <v>10946</v>
      </c>
      <c r="B5940" s="28" t="s">
        <v>5102</v>
      </c>
      <c r="C5940" s="27" t="s">
        <v>10947</v>
      </c>
      <c r="D5940" s="27" t="s">
        <v>5104</v>
      </c>
      <c r="E5940" s="29">
        <v>42737</v>
      </c>
      <c r="F5940" s="27">
        <v>15</v>
      </c>
      <c r="G5940" s="18">
        <v>239527.59</v>
      </c>
      <c r="H5940" s="27">
        <f t="shared" si="184"/>
        <v>0</v>
      </c>
      <c r="I5940" s="18">
        <v>32218</v>
      </c>
      <c r="J5940" s="27">
        <v>239527.59</v>
      </c>
      <c r="K5940" s="18">
        <f t="shared" si="185"/>
        <v>0</v>
      </c>
      <c r="L5940" s="27">
        <v>47147.93</v>
      </c>
      <c r="M5940" s="36">
        <v>14929.93</v>
      </c>
      <c r="T5940" s="41">
        <v>0</v>
      </c>
      <c r="U5940" s="41">
        <v>0</v>
      </c>
      <c r="V5940" s="42" t="s">
        <v>113</v>
      </c>
      <c r="W5940" s="42">
        <v>0</v>
      </c>
      <c r="X5940" s="42">
        <v>0</v>
      </c>
    </row>
    <row r="5941" spans="1:24">
      <c r="A5941" s="27" t="s">
        <v>10948</v>
      </c>
      <c r="B5941" s="28" t="s">
        <v>5102</v>
      </c>
      <c r="C5941" s="27" t="s">
        <v>10949</v>
      </c>
      <c r="D5941" s="27" t="s">
        <v>5104</v>
      </c>
      <c r="E5941" s="29">
        <v>42737</v>
      </c>
      <c r="F5941" s="27">
        <v>15</v>
      </c>
      <c r="G5941" s="18">
        <v>28959.71</v>
      </c>
      <c r="H5941" s="27">
        <f t="shared" si="184"/>
        <v>0</v>
      </c>
      <c r="I5941" s="18">
        <v>3895.27</v>
      </c>
      <c r="J5941" s="27">
        <v>28959.71</v>
      </c>
      <c r="K5941" s="18">
        <f t="shared" si="185"/>
        <v>0</v>
      </c>
      <c r="L5941" s="27">
        <v>5700.35</v>
      </c>
      <c r="M5941" s="36">
        <v>1805.08</v>
      </c>
      <c r="T5941" s="41">
        <v>0</v>
      </c>
      <c r="U5941" s="41">
        <v>0</v>
      </c>
      <c r="V5941" s="42" t="s">
        <v>113</v>
      </c>
      <c r="W5941" s="42">
        <v>0</v>
      </c>
      <c r="X5941" s="42">
        <v>0</v>
      </c>
    </row>
    <row r="5942" spans="1:24">
      <c r="A5942" s="27" t="s">
        <v>10950</v>
      </c>
      <c r="B5942" s="28" t="s">
        <v>5102</v>
      </c>
      <c r="C5942" s="27" t="s">
        <v>10951</v>
      </c>
      <c r="D5942" s="27" t="s">
        <v>5104</v>
      </c>
      <c r="E5942" s="29">
        <v>42737</v>
      </c>
      <c r="F5942" s="27">
        <v>15</v>
      </c>
      <c r="G5942" s="18">
        <v>32990.74</v>
      </c>
      <c r="H5942" s="27">
        <f t="shared" si="184"/>
        <v>0</v>
      </c>
      <c r="I5942" s="18">
        <v>4437.47</v>
      </c>
      <c r="J5942" s="27">
        <v>32990.74</v>
      </c>
      <c r="K5942" s="18">
        <f t="shared" si="185"/>
        <v>0</v>
      </c>
      <c r="L5942" s="27">
        <v>6493.81</v>
      </c>
      <c r="M5942" s="36">
        <v>2056.34</v>
      </c>
      <c r="T5942" s="41">
        <v>0</v>
      </c>
      <c r="U5942" s="41">
        <v>0</v>
      </c>
      <c r="V5942" s="42" t="s">
        <v>113</v>
      </c>
      <c r="W5942" s="42">
        <v>0</v>
      </c>
      <c r="X5942" s="42">
        <v>0</v>
      </c>
    </row>
    <row r="5943" spans="1:24">
      <c r="A5943" s="27" t="s">
        <v>10952</v>
      </c>
      <c r="B5943" s="28" t="s">
        <v>5102</v>
      </c>
      <c r="C5943" s="27" t="s">
        <v>10953</v>
      </c>
      <c r="D5943" s="27" t="s">
        <v>5104</v>
      </c>
      <c r="E5943" s="29">
        <v>42737</v>
      </c>
      <c r="F5943" s="27">
        <v>15</v>
      </c>
      <c r="G5943" s="18">
        <v>60147.1</v>
      </c>
      <c r="H5943" s="27">
        <f t="shared" si="184"/>
        <v>0</v>
      </c>
      <c r="I5943" s="18">
        <v>8090.17</v>
      </c>
      <c r="J5943" s="27">
        <v>60147.1</v>
      </c>
      <c r="K5943" s="18">
        <f t="shared" si="185"/>
        <v>0</v>
      </c>
      <c r="L5943" s="27">
        <v>11839.18</v>
      </c>
      <c r="M5943" s="36">
        <v>3749.01</v>
      </c>
      <c r="T5943" s="41">
        <v>0</v>
      </c>
      <c r="U5943" s="41">
        <v>0</v>
      </c>
      <c r="V5943" s="42" t="s">
        <v>113</v>
      </c>
      <c r="W5943" s="42">
        <v>0</v>
      </c>
      <c r="X5943" s="42">
        <v>0</v>
      </c>
    </row>
    <row r="5944" spans="1:24">
      <c r="A5944" s="27" t="s">
        <v>10954</v>
      </c>
      <c r="B5944" s="28" t="s">
        <v>5102</v>
      </c>
      <c r="C5944" s="27" t="s">
        <v>10953</v>
      </c>
      <c r="D5944" s="27" t="s">
        <v>5104</v>
      </c>
      <c r="E5944" s="29">
        <v>42737</v>
      </c>
      <c r="F5944" s="27">
        <v>15</v>
      </c>
      <c r="G5944" s="18">
        <v>7213.41</v>
      </c>
      <c r="H5944" s="27">
        <f t="shared" si="184"/>
        <v>0</v>
      </c>
      <c r="I5944" s="18">
        <v>970.25</v>
      </c>
      <c r="J5944" s="27">
        <v>7213.41</v>
      </c>
      <c r="K5944" s="18">
        <f t="shared" si="185"/>
        <v>0</v>
      </c>
      <c r="L5944" s="27">
        <v>1419.87</v>
      </c>
      <c r="M5944" s="36">
        <v>449.62</v>
      </c>
      <c r="T5944" s="41">
        <v>0</v>
      </c>
      <c r="U5944" s="41">
        <v>0</v>
      </c>
      <c r="V5944" s="42" t="s">
        <v>113</v>
      </c>
      <c r="W5944" s="42">
        <v>0</v>
      </c>
      <c r="X5944" s="42">
        <v>0</v>
      </c>
    </row>
    <row r="5945" spans="1:24">
      <c r="A5945" s="27" t="s">
        <v>10955</v>
      </c>
      <c r="B5945" s="28" t="s">
        <v>5102</v>
      </c>
      <c r="C5945" s="27" t="s">
        <v>10956</v>
      </c>
      <c r="D5945" s="27" t="s">
        <v>5104</v>
      </c>
      <c r="E5945" s="29">
        <v>42737</v>
      </c>
      <c r="F5945" s="27">
        <v>15</v>
      </c>
      <c r="G5945" s="18">
        <v>113080.78</v>
      </c>
      <c r="H5945" s="27">
        <f t="shared" si="184"/>
        <v>0</v>
      </c>
      <c r="I5945" s="18">
        <v>15210.09</v>
      </c>
      <c r="J5945" s="27">
        <v>113080.78</v>
      </c>
      <c r="K5945" s="18">
        <f t="shared" si="185"/>
        <v>0</v>
      </c>
      <c r="L5945" s="27">
        <v>22258.5</v>
      </c>
      <c r="M5945" s="36">
        <v>7048.41</v>
      </c>
      <c r="T5945" s="41">
        <v>0</v>
      </c>
      <c r="U5945" s="41">
        <v>0</v>
      </c>
      <c r="V5945" s="42" t="s">
        <v>113</v>
      </c>
      <c r="W5945" s="42">
        <v>0</v>
      </c>
      <c r="X5945" s="42">
        <v>0</v>
      </c>
    </row>
    <row r="5946" spans="1:24">
      <c r="A5946" s="27" t="s">
        <v>10957</v>
      </c>
      <c r="B5946" s="28" t="s">
        <v>5102</v>
      </c>
      <c r="C5946" s="27" t="s">
        <v>10958</v>
      </c>
      <c r="D5946" s="27" t="s">
        <v>5104</v>
      </c>
      <c r="E5946" s="29">
        <v>42737</v>
      </c>
      <c r="F5946" s="27">
        <v>15</v>
      </c>
      <c r="G5946" s="18">
        <v>105146.27</v>
      </c>
      <c r="H5946" s="27">
        <f t="shared" si="184"/>
        <v>0</v>
      </c>
      <c r="I5946" s="18">
        <v>14178.52</v>
      </c>
      <c r="J5946" s="27">
        <v>105146.27</v>
      </c>
      <c r="K5946" s="18">
        <f t="shared" si="185"/>
        <v>0</v>
      </c>
      <c r="L5946" s="27">
        <v>20729.64</v>
      </c>
      <c r="M5946" s="36">
        <v>6551.12</v>
      </c>
      <c r="T5946" s="41">
        <v>0</v>
      </c>
      <c r="U5946" s="41">
        <v>0</v>
      </c>
      <c r="V5946" s="42" t="s">
        <v>113</v>
      </c>
      <c r="W5946" s="42">
        <v>0</v>
      </c>
      <c r="X5946" s="42">
        <v>0</v>
      </c>
    </row>
    <row r="5947" spans="1:24">
      <c r="A5947" s="27" t="s">
        <v>10959</v>
      </c>
      <c r="B5947" s="28" t="s">
        <v>5102</v>
      </c>
      <c r="C5947" s="27" t="s">
        <v>10958</v>
      </c>
      <c r="D5947" s="27" t="s">
        <v>5104</v>
      </c>
      <c r="E5947" s="29">
        <v>42737</v>
      </c>
      <c r="F5947" s="27">
        <v>15</v>
      </c>
      <c r="G5947" s="18">
        <v>73882.55</v>
      </c>
      <c r="H5947" s="27">
        <f t="shared" si="184"/>
        <v>0</v>
      </c>
      <c r="I5947" s="18">
        <v>9964.7099999999991</v>
      </c>
      <c r="J5947" s="27">
        <v>73882.55</v>
      </c>
      <c r="K5947" s="18">
        <f t="shared" si="185"/>
        <v>0</v>
      </c>
      <c r="L5947" s="27">
        <v>14567.8</v>
      </c>
      <c r="M5947" s="36">
        <v>4603.09</v>
      </c>
      <c r="T5947" s="41">
        <v>0</v>
      </c>
      <c r="U5947" s="41">
        <v>0</v>
      </c>
      <c r="V5947" s="42" t="s">
        <v>113</v>
      </c>
      <c r="W5947" s="42">
        <v>0</v>
      </c>
      <c r="X5947" s="42">
        <v>0</v>
      </c>
    </row>
    <row r="5948" spans="1:24">
      <c r="A5948" s="27" t="s">
        <v>10960</v>
      </c>
      <c r="B5948" s="28" t="s">
        <v>5102</v>
      </c>
      <c r="C5948" s="27" t="s">
        <v>10961</v>
      </c>
      <c r="D5948" s="27" t="s">
        <v>5104</v>
      </c>
      <c r="E5948" s="29">
        <v>42737</v>
      </c>
      <c r="F5948" s="27">
        <v>15</v>
      </c>
      <c r="G5948" s="18">
        <v>5976.55</v>
      </c>
      <c r="H5948" s="27">
        <f t="shared" si="184"/>
        <v>0</v>
      </c>
      <c r="I5948" s="18">
        <v>806.07</v>
      </c>
      <c r="J5948" s="27">
        <v>5976.55</v>
      </c>
      <c r="K5948" s="18">
        <f t="shared" si="185"/>
        <v>0</v>
      </c>
      <c r="L5948" s="27">
        <v>1178.43</v>
      </c>
      <c r="M5948" s="36">
        <v>372.36</v>
      </c>
      <c r="T5948" s="41">
        <v>0</v>
      </c>
      <c r="U5948" s="41">
        <v>0</v>
      </c>
      <c r="V5948" s="42" t="s">
        <v>113</v>
      </c>
      <c r="W5948" s="42">
        <v>0</v>
      </c>
      <c r="X5948" s="42">
        <v>0</v>
      </c>
    </row>
    <row r="5949" spans="1:24">
      <c r="A5949" s="27" t="s">
        <v>10962</v>
      </c>
      <c r="B5949" s="28" t="s">
        <v>5102</v>
      </c>
      <c r="C5949" s="27" t="s">
        <v>10963</v>
      </c>
      <c r="D5949" s="27" t="s">
        <v>5104</v>
      </c>
      <c r="E5949" s="29">
        <v>42737</v>
      </c>
      <c r="F5949" s="27">
        <v>15</v>
      </c>
      <c r="G5949" s="18">
        <v>111922.92</v>
      </c>
      <c r="H5949" s="27">
        <f t="shared" si="184"/>
        <v>0</v>
      </c>
      <c r="I5949" s="18">
        <v>14980.15</v>
      </c>
      <c r="J5949" s="27">
        <v>111922.92</v>
      </c>
      <c r="K5949" s="18">
        <f t="shared" si="185"/>
        <v>0</v>
      </c>
      <c r="L5949" s="27">
        <v>21962.06</v>
      </c>
      <c r="M5949" s="36">
        <v>6981.91</v>
      </c>
      <c r="T5949" s="41">
        <v>0</v>
      </c>
      <c r="U5949" s="41">
        <v>0</v>
      </c>
      <c r="V5949" s="42" t="s">
        <v>113</v>
      </c>
      <c r="W5949" s="42">
        <v>0</v>
      </c>
      <c r="X5949" s="42">
        <v>0</v>
      </c>
    </row>
    <row r="5950" spans="1:24">
      <c r="A5950" s="27" t="s">
        <v>10964</v>
      </c>
      <c r="B5950" s="28" t="s">
        <v>5102</v>
      </c>
      <c r="C5950" s="27" t="s">
        <v>10963</v>
      </c>
      <c r="D5950" s="27" t="s">
        <v>5104</v>
      </c>
      <c r="E5950" s="29">
        <v>42737</v>
      </c>
      <c r="F5950" s="27">
        <v>15</v>
      </c>
      <c r="G5950" s="18">
        <v>4516.29</v>
      </c>
      <c r="H5950" s="27">
        <f t="shared" si="184"/>
        <v>0</v>
      </c>
      <c r="I5950" s="18">
        <v>609.13</v>
      </c>
      <c r="J5950" s="27">
        <v>4516.29</v>
      </c>
      <c r="K5950" s="18">
        <f t="shared" si="185"/>
        <v>0</v>
      </c>
      <c r="L5950" s="27">
        <v>890.51</v>
      </c>
      <c r="M5950" s="36">
        <v>281.38</v>
      </c>
      <c r="T5950" s="41">
        <v>0</v>
      </c>
      <c r="U5950" s="41">
        <v>0</v>
      </c>
      <c r="V5950" s="42" t="s">
        <v>113</v>
      </c>
      <c r="W5950" s="42">
        <v>0</v>
      </c>
      <c r="X5950" s="42">
        <v>0</v>
      </c>
    </row>
    <row r="5951" spans="1:24">
      <c r="A5951" s="27" t="s">
        <v>10965</v>
      </c>
      <c r="B5951" s="28" t="s">
        <v>5102</v>
      </c>
      <c r="C5951" s="27" t="s">
        <v>10966</v>
      </c>
      <c r="D5951" s="27" t="s">
        <v>5104</v>
      </c>
      <c r="E5951" s="29">
        <v>42737</v>
      </c>
      <c r="F5951" s="27">
        <v>15</v>
      </c>
      <c r="G5951" s="18">
        <v>176135.56</v>
      </c>
      <c r="H5951" s="27">
        <f t="shared" si="184"/>
        <v>0</v>
      </c>
      <c r="I5951" s="18">
        <v>23755.79</v>
      </c>
      <c r="J5951" s="27">
        <v>176135.56</v>
      </c>
      <c r="K5951" s="18">
        <f t="shared" si="185"/>
        <v>0</v>
      </c>
      <c r="L5951" s="27">
        <v>34729.519999999997</v>
      </c>
      <c r="M5951" s="36">
        <v>10973.73</v>
      </c>
      <c r="T5951" s="41">
        <v>0</v>
      </c>
      <c r="U5951" s="41">
        <v>0</v>
      </c>
      <c r="V5951" s="42" t="s">
        <v>113</v>
      </c>
      <c r="W5951" s="42">
        <v>0</v>
      </c>
      <c r="X5951" s="42">
        <v>0</v>
      </c>
    </row>
    <row r="5952" spans="1:24">
      <c r="A5952" s="27" t="s">
        <v>10967</v>
      </c>
      <c r="B5952" s="28" t="s">
        <v>5102</v>
      </c>
      <c r="C5952" s="27" t="s">
        <v>10968</v>
      </c>
      <c r="D5952" s="27" t="s">
        <v>5104</v>
      </c>
      <c r="E5952" s="29">
        <v>42737</v>
      </c>
      <c r="F5952" s="27">
        <v>15</v>
      </c>
      <c r="G5952" s="18">
        <v>52892.78</v>
      </c>
      <c r="H5952" s="27">
        <f t="shared" si="184"/>
        <v>0</v>
      </c>
      <c r="I5952" s="18">
        <v>7133.77</v>
      </c>
      <c r="J5952" s="27">
        <v>52892.78</v>
      </c>
      <c r="K5952" s="18">
        <f t="shared" si="185"/>
        <v>0</v>
      </c>
      <c r="L5952" s="27">
        <v>10429.14</v>
      </c>
      <c r="M5952" s="36">
        <v>3295.37</v>
      </c>
      <c r="T5952" s="41">
        <v>0</v>
      </c>
      <c r="U5952" s="41">
        <v>0</v>
      </c>
      <c r="V5952" s="42" t="s">
        <v>113</v>
      </c>
      <c r="W5952" s="42">
        <v>0</v>
      </c>
      <c r="X5952" s="42">
        <v>0</v>
      </c>
    </row>
    <row r="5953" spans="1:24">
      <c r="A5953" s="27" t="s">
        <v>10969</v>
      </c>
      <c r="B5953" s="28" t="s">
        <v>5102</v>
      </c>
      <c r="C5953" s="27" t="s">
        <v>10968</v>
      </c>
      <c r="D5953" s="27" t="s">
        <v>5104</v>
      </c>
      <c r="E5953" s="29">
        <v>42737</v>
      </c>
      <c r="F5953" s="27">
        <v>15</v>
      </c>
      <c r="G5953" s="18">
        <v>2084.46</v>
      </c>
      <c r="H5953" s="27">
        <f t="shared" si="184"/>
        <v>0</v>
      </c>
      <c r="I5953" s="18">
        <v>281.14</v>
      </c>
      <c r="J5953" s="27">
        <v>2084.46</v>
      </c>
      <c r="K5953" s="18">
        <f t="shared" si="185"/>
        <v>0</v>
      </c>
      <c r="L5953" s="27">
        <v>411.01</v>
      </c>
      <c r="M5953" s="36">
        <v>129.87</v>
      </c>
      <c r="T5953" s="41">
        <v>0</v>
      </c>
      <c r="U5953" s="41">
        <v>0</v>
      </c>
      <c r="V5953" s="42" t="s">
        <v>113</v>
      </c>
      <c r="W5953" s="42">
        <v>0</v>
      </c>
      <c r="X5953" s="42">
        <v>0</v>
      </c>
    </row>
    <row r="5954" spans="1:24">
      <c r="A5954" s="27" t="s">
        <v>10970</v>
      </c>
      <c r="B5954" s="28" t="s">
        <v>5102</v>
      </c>
      <c r="C5954" s="27" t="s">
        <v>10971</v>
      </c>
      <c r="D5954" s="27" t="s">
        <v>5104</v>
      </c>
      <c r="E5954" s="29">
        <v>42737</v>
      </c>
      <c r="F5954" s="27">
        <v>15</v>
      </c>
      <c r="G5954" s="18">
        <v>30832.41</v>
      </c>
      <c r="H5954" s="27">
        <f t="shared" si="184"/>
        <v>0</v>
      </c>
      <c r="I5954" s="18">
        <v>4158.43</v>
      </c>
      <c r="J5954" s="27">
        <v>30832.41</v>
      </c>
      <c r="K5954" s="18">
        <f t="shared" si="185"/>
        <v>0</v>
      </c>
      <c r="L5954" s="27">
        <v>6079.37</v>
      </c>
      <c r="M5954" s="36">
        <v>1920.94</v>
      </c>
      <c r="T5954" s="41">
        <v>0</v>
      </c>
      <c r="U5954" s="41">
        <v>0</v>
      </c>
      <c r="V5954" s="42" t="s">
        <v>113</v>
      </c>
      <c r="W5954" s="42">
        <v>0</v>
      </c>
      <c r="X5954" s="42">
        <v>0</v>
      </c>
    </row>
    <row r="5955" spans="1:24">
      <c r="A5955" s="27" t="s">
        <v>10972</v>
      </c>
      <c r="B5955" s="28" t="s">
        <v>5102</v>
      </c>
      <c r="C5955" s="27" t="s">
        <v>10973</v>
      </c>
      <c r="D5955" s="27" t="s">
        <v>5104</v>
      </c>
      <c r="E5955" s="29">
        <v>42737</v>
      </c>
      <c r="F5955" s="27">
        <v>15</v>
      </c>
      <c r="G5955" s="18">
        <v>86157.04</v>
      </c>
      <c r="H5955" s="27">
        <f t="shared" si="184"/>
        <v>0</v>
      </c>
      <c r="I5955" s="18">
        <v>11620.19</v>
      </c>
      <c r="J5955" s="27">
        <v>86157.04</v>
      </c>
      <c r="K5955" s="18">
        <f t="shared" si="185"/>
        <v>0</v>
      </c>
      <c r="L5955" s="27">
        <v>16988.009999999998</v>
      </c>
      <c r="M5955" s="36">
        <v>5367.82</v>
      </c>
      <c r="T5955" s="41">
        <v>0</v>
      </c>
      <c r="U5955" s="41">
        <v>0</v>
      </c>
      <c r="V5955" s="42" t="s">
        <v>113</v>
      </c>
      <c r="W5955" s="42">
        <v>0</v>
      </c>
      <c r="X5955" s="42">
        <v>0</v>
      </c>
    </row>
    <row r="5956" spans="1:24">
      <c r="A5956" s="27" t="s">
        <v>10974</v>
      </c>
      <c r="B5956" s="28" t="s">
        <v>5102</v>
      </c>
      <c r="C5956" s="27" t="s">
        <v>10973</v>
      </c>
      <c r="D5956" s="27" t="s">
        <v>5104</v>
      </c>
      <c r="E5956" s="29">
        <v>42737</v>
      </c>
      <c r="F5956" s="27">
        <v>15</v>
      </c>
      <c r="G5956" s="18">
        <v>39865</v>
      </c>
      <c r="H5956" s="27">
        <f t="shared" si="184"/>
        <v>0</v>
      </c>
      <c r="I5956" s="18">
        <v>5376.68</v>
      </c>
      <c r="J5956" s="27">
        <v>39865</v>
      </c>
      <c r="K5956" s="18">
        <f t="shared" si="185"/>
        <v>0</v>
      </c>
      <c r="L5956" s="27">
        <v>7860.38</v>
      </c>
      <c r="M5956" s="36">
        <v>2483.6999999999998</v>
      </c>
      <c r="T5956" s="41">
        <v>0</v>
      </c>
      <c r="U5956" s="41">
        <v>0</v>
      </c>
      <c r="V5956" s="42" t="s">
        <v>113</v>
      </c>
      <c r="W5956" s="42">
        <v>0</v>
      </c>
      <c r="X5956" s="42">
        <v>0</v>
      </c>
    </row>
    <row r="5957" spans="1:24">
      <c r="A5957" s="27" t="s">
        <v>10975</v>
      </c>
      <c r="B5957" s="28" t="s">
        <v>5102</v>
      </c>
      <c r="C5957" s="27" t="s">
        <v>10976</v>
      </c>
      <c r="D5957" s="27" t="s">
        <v>5104</v>
      </c>
      <c r="E5957" s="29">
        <v>42737</v>
      </c>
      <c r="F5957" s="27">
        <v>15</v>
      </c>
      <c r="G5957" s="18">
        <v>165365.95000000001</v>
      </c>
      <c r="H5957" s="27">
        <f t="shared" si="184"/>
        <v>0</v>
      </c>
      <c r="I5957" s="18">
        <v>22303.27</v>
      </c>
      <c r="J5957" s="27">
        <v>165365.95000000001</v>
      </c>
      <c r="K5957" s="18">
        <f t="shared" si="185"/>
        <v>0</v>
      </c>
      <c r="L5957" s="27">
        <v>32606.03</v>
      </c>
      <c r="M5957" s="36">
        <v>10302.76</v>
      </c>
      <c r="T5957" s="41">
        <v>0</v>
      </c>
      <c r="U5957" s="41">
        <v>0</v>
      </c>
      <c r="V5957" s="42" t="s">
        <v>113</v>
      </c>
      <c r="W5957" s="42">
        <v>0</v>
      </c>
      <c r="X5957" s="42">
        <v>0</v>
      </c>
    </row>
    <row r="5958" spans="1:24">
      <c r="A5958" s="27" t="s">
        <v>10977</v>
      </c>
      <c r="B5958" s="28" t="s">
        <v>5102</v>
      </c>
      <c r="C5958" s="27" t="s">
        <v>10978</v>
      </c>
      <c r="D5958" s="27" t="s">
        <v>5104</v>
      </c>
      <c r="E5958" s="29">
        <v>42737</v>
      </c>
      <c r="F5958" s="27">
        <v>15</v>
      </c>
      <c r="G5958" s="18">
        <v>77385</v>
      </c>
      <c r="H5958" s="27">
        <f t="shared" ref="H5958:H6021" si="186">IFERROR(IF(ROUND((G5958-I5958)/G5958,2)&lt;=0.05,G5958,0),0)</f>
        <v>0</v>
      </c>
      <c r="I5958" s="18">
        <v>10437.09</v>
      </c>
      <c r="J5958" s="27">
        <v>77385</v>
      </c>
      <c r="K5958" s="18">
        <f t="shared" ref="K5958:K6021" si="187">IFERROR(IF(ROUND((J5958-L5958)/J5958,2)&lt;=0.05,J5958,0),0)</f>
        <v>0</v>
      </c>
      <c r="L5958" s="27">
        <v>15258.39</v>
      </c>
      <c r="M5958" s="36">
        <v>4821.3</v>
      </c>
      <c r="T5958" s="41">
        <v>0</v>
      </c>
      <c r="U5958" s="41">
        <v>0</v>
      </c>
      <c r="V5958" s="42" t="s">
        <v>113</v>
      </c>
      <c r="W5958" s="42">
        <v>0</v>
      </c>
      <c r="X5958" s="42">
        <v>0</v>
      </c>
    </row>
    <row r="5959" spans="1:24">
      <c r="A5959" s="27" t="s">
        <v>10979</v>
      </c>
      <c r="B5959" s="28" t="s">
        <v>5102</v>
      </c>
      <c r="C5959" s="27" t="s">
        <v>10978</v>
      </c>
      <c r="D5959" s="27" t="s">
        <v>5104</v>
      </c>
      <c r="E5959" s="29">
        <v>42737</v>
      </c>
      <c r="F5959" s="27">
        <v>15</v>
      </c>
      <c r="G5959" s="18">
        <v>19194.27</v>
      </c>
      <c r="H5959" s="27">
        <f t="shared" si="186"/>
        <v>0</v>
      </c>
      <c r="I5959" s="18">
        <v>2588.7800000000002</v>
      </c>
      <c r="J5959" s="27">
        <v>19194.27</v>
      </c>
      <c r="K5959" s="18">
        <f t="shared" si="187"/>
        <v>0</v>
      </c>
      <c r="L5959" s="27">
        <v>3784.64</v>
      </c>
      <c r="M5959" s="36">
        <v>1195.8599999999999</v>
      </c>
      <c r="T5959" s="41">
        <v>0</v>
      </c>
      <c r="U5959" s="41">
        <v>0</v>
      </c>
      <c r="V5959" s="42" t="s">
        <v>113</v>
      </c>
      <c r="W5959" s="42">
        <v>0</v>
      </c>
      <c r="X5959" s="42">
        <v>0</v>
      </c>
    </row>
    <row r="5960" spans="1:24">
      <c r="A5960" s="27" t="s">
        <v>10980</v>
      </c>
      <c r="B5960" s="28" t="s">
        <v>5102</v>
      </c>
      <c r="C5960" s="27" t="s">
        <v>10981</v>
      </c>
      <c r="D5960" s="27" t="s">
        <v>5104</v>
      </c>
      <c r="E5960" s="29">
        <v>42737</v>
      </c>
      <c r="F5960" s="27">
        <v>15</v>
      </c>
      <c r="G5960" s="18">
        <v>14417.41</v>
      </c>
      <c r="H5960" s="27">
        <f t="shared" si="186"/>
        <v>0</v>
      </c>
      <c r="I5960" s="18">
        <v>1944.5</v>
      </c>
      <c r="J5960" s="27">
        <v>14417.41</v>
      </c>
      <c r="K5960" s="18">
        <f t="shared" si="187"/>
        <v>0</v>
      </c>
      <c r="L5960" s="27">
        <v>2842.75</v>
      </c>
      <c r="M5960" s="36">
        <v>898.25</v>
      </c>
      <c r="T5960" s="41">
        <v>0</v>
      </c>
      <c r="U5960" s="41">
        <v>0</v>
      </c>
      <c r="V5960" s="42" t="s">
        <v>113</v>
      </c>
      <c r="W5960" s="42">
        <v>0</v>
      </c>
      <c r="X5960" s="42">
        <v>0</v>
      </c>
    </row>
    <row r="5961" spans="1:24">
      <c r="A5961" s="27" t="s">
        <v>10982</v>
      </c>
      <c r="B5961" s="28" t="s">
        <v>5102</v>
      </c>
      <c r="C5961" s="27" t="s">
        <v>10981</v>
      </c>
      <c r="D5961" s="27" t="s">
        <v>5104</v>
      </c>
      <c r="E5961" s="29">
        <v>42737</v>
      </c>
      <c r="F5961" s="27">
        <v>15</v>
      </c>
      <c r="G5961" s="18">
        <v>223469.83</v>
      </c>
      <c r="H5961" s="27">
        <f t="shared" si="186"/>
        <v>0</v>
      </c>
      <c r="I5961" s="18">
        <v>30139.87</v>
      </c>
      <c r="J5961" s="27">
        <v>223469.83</v>
      </c>
      <c r="K5961" s="18">
        <f t="shared" si="187"/>
        <v>0</v>
      </c>
      <c r="L5961" s="27">
        <v>44062.66</v>
      </c>
      <c r="M5961" s="36">
        <v>13922.79</v>
      </c>
      <c r="T5961" s="41">
        <v>0</v>
      </c>
      <c r="U5961" s="41">
        <v>0</v>
      </c>
      <c r="V5961" s="42" t="s">
        <v>113</v>
      </c>
      <c r="W5961" s="42">
        <v>0</v>
      </c>
      <c r="X5961" s="42">
        <v>0</v>
      </c>
    </row>
    <row r="5962" spans="1:24">
      <c r="A5962" s="27" t="s">
        <v>10983</v>
      </c>
      <c r="B5962" s="28" t="s">
        <v>5102</v>
      </c>
      <c r="C5962" s="27" t="s">
        <v>10984</v>
      </c>
      <c r="D5962" s="27" t="s">
        <v>5104</v>
      </c>
      <c r="E5962" s="29">
        <v>42737</v>
      </c>
      <c r="F5962" s="27">
        <v>15</v>
      </c>
      <c r="G5962" s="18">
        <v>79122.039999999994</v>
      </c>
      <c r="H5962" s="27">
        <f t="shared" si="186"/>
        <v>0</v>
      </c>
      <c r="I5962" s="18">
        <v>10671.36</v>
      </c>
      <c r="J5962" s="27">
        <v>79122.039999999994</v>
      </c>
      <c r="K5962" s="18">
        <f t="shared" si="187"/>
        <v>0</v>
      </c>
      <c r="L5962" s="27">
        <v>15600.88</v>
      </c>
      <c r="M5962" s="36">
        <v>4929.5200000000004</v>
      </c>
      <c r="T5962" s="41">
        <v>0</v>
      </c>
      <c r="U5962" s="41">
        <v>0</v>
      </c>
      <c r="V5962" s="42" t="s">
        <v>113</v>
      </c>
      <c r="W5962" s="42">
        <v>0</v>
      </c>
      <c r="X5962" s="42">
        <v>0</v>
      </c>
    </row>
    <row r="5963" spans="1:24">
      <c r="A5963" s="27" t="s">
        <v>10985</v>
      </c>
      <c r="B5963" s="28" t="s">
        <v>5102</v>
      </c>
      <c r="C5963" s="27" t="s">
        <v>10986</v>
      </c>
      <c r="D5963" s="27" t="s">
        <v>5104</v>
      </c>
      <c r="E5963" s="29">
        <v>42737</v>
      </c>
      <c r="F5963" s="27">
        <v>15</v>
      </c>
      <c r="G5963" s="18">
        <v>176222.42</v>
      </c>
      <c r="H5963" s="27">
        <f t="shared" si="186"/>
        <v>0</v>
      </c>
      <c r="I5963" s="18">
        <v>23767.5</v>
      </c>
      <c r="J5963" s="27">
        <v>176222.42</v>
      </c>
      <c r="K5963" s="18">
        <f t="shared" si="187"/>
        <v>0</v>
      </c>
      <c r="L5963" s="27">
        <v>34746.639999999999</v>
      </c>
      <c r="M5963" s="36">
        <v>10979.14</v>
      </c>
      <c r="T5963" s="41">
        <v>0</v>
      </c>
      <c r="U5963" s="41">
        <v>0</v>
      </c>
      <c r="V5963" s="42" t="s">
        <v>113</v>
      </c>
      <c r="W5963" s="42">
        <v>0</v>
      </c>
      <c r="X5963" s="42">
        <v>0</v>
      </c>
    </row>
    <row r="5964" spans="1:24">
      <c r="A5964" s="27" t="s">
        <v>10987</v>
      </c>
      <c r="B5964" s="28" t="s">
        <v>5102</v>
      </c>
      <c r="C5964" s="27" t="s">
        <v>10988</v>
      </c>
      <c r="D5964" s="27" t="s">
        <v>5104</v>
      </c>
      <c r="E5964" s="29">
        <v>42737</v>
      </c>
      <c r="F5964" s="27">
        <v>15</v>
      </c>
      <c r="G5964" s="18">
        <v>97246.39</v>
      </c>
      <c r="H5964" s="27">
        <f t="shared" si="186"/>
        <v>0</v>
      </c>
      <c r="I5964" s="18">
        <v>13090.64</v>
      </c>
      <c r="J5964" s="27">
        <v>97246.39</v>
      </c>
      <c r="K5964" s="18">
        <f t="shared" si="187"/>
        <v>0</v>
      </c>
      <c r="L5964" s="27">
        <v>19151.28</v>
      </c>
      <c r="M5964" s="36">
        <v>6060.64</v>
      </c>
      <c r="T5964" s="41">
        <v>0</v>
      </c>
      <c r="U5964" s="41">
        <v>0</v>
      </c>
      <c r="V5964" s="42" t="s">
        <v>113</v>
      </c>
      <c r="W5964" s="42">
        <v>0</v>
      </c>
      <c r="X5964" s="42">
        <v>0</v>
      </c>
    </row>
    <row r="5965" spans="1:24">
      <c r="A5965" s="27" t="s">
        <v>10989</v>
      </c>
      <c r="B5965" s="28" t="s">
        <v>5102</v>
      </c>
      <c r="C5965" s="27" t="s">
        <v>10988</v>
      </c>
      <c r="D5965" s="27" t="s">
        <v>5104</v>
      </c>
      <c r="E5965" s="29">
        <v>42737</v>
      </c>
      <c r="F5965" s="27">
        <v>15</v>
      </c>
      <c r="G5965" s="18">
        <v>19909.68</v>
      </c>
      <c r="H5965" s="27">
        <f t="shared" si="186"/>
        <v>0</v>
      </c>
      <c r="I5965" s="18">
        <v>2685.26</v>
      </c>
      <c r="J5965" s="27">
        <v>19909.68</v>
      </c>
      <c r="K5965" s="18">
        <f t="shared" si="187"/>
        <v>0</v>
      </c>
      <c r="L5965" s="27">
        <v>3925.69</v>
      </c>
      <c r="M5965" s="36">
        <v>1240.43</v>
      </c>
      <c r="T5965" s="41">
        <v>0</v>
      </c>
      <c r="U5965" s="41">
        <v>0</v>
      </c>
      <c r="V5965" s="42" t="s">
        <v>113</v>
      </c>
      <c r="W5965" s="42">
        <v>0</v>
      </c>
      <c r="X5965" s="42">
        <v>0</v>
      </c>
    </row>
    <row r="5966" spans="1:24">
      <c r="A5966" s="27" t="s">
        <v>10990</v>
      </c>
      <c r="B5966" s="28" t="s">
        <v>5102</v>
      </c>
      <c r="C5966" s="27" t="s">
        <v>10991</v>
      </c>
      <c r="D5966" s="27" t="s">
        <v>5104</v>
      </c>
      <c r="E5966" s="29">
        <v>42737</v>
      </c>
      <c r="F5966" s="27">
        <v>15</v>
      </c>
      <c r="G5966" s="18">
        <v>87901.64</v>
      </c>
      <c r="H5966" s="27">
        <f t="shared" si="186"/>
        <v>0</v>
      </c>
      <c r="I5966" s="18">
        <v>11855.49</v>
      </c>
      <c r="J5966" s="27">
        <v>87901.64</v>
      </c>
      <c r="K5966" s="18">
        <f t="shared" si="187"/>
        <v>0</v>
      </c>
      <c r="L5966" s="27">
        <v>17332</v>
      </c>
      <c r="M5966" s="36">
        <v>5476.51</v>
      </c>
      <c r="T5966" s="41">
        <v>0</v>
      </c>
      <c r="U5966" s="41">
        <v>0</v>
      </c>
      <c r="V5966" s="42" t="s">
        <v>113</v>
      </c>
      <c r="W5966" s="42">
        <v>0</v>
      </c>
      <c r="X5966" s="42">
        <v>0</v>
      </c>
    </row>
    <row r="5967" spans="1:24">
      <c r="A5967" s="27" t="s">
        <v>10992</v>
      </c>
      <c r="B5967" s="28" t="s">
        <v>5102</v>
      </c>
      <c r="C5967" s="27" t="s">
        <v>10993</v>
      </c>
      <c r="D5967" s="27" t="s">
        <v>5104</v>
      </c>
      <c r="E5967" s="29">
        <v>42737</v>
      </c>
      <c r="F5967" s="27">
        <v>15</v>
      </c>
      <c r="G5967" s="18">
        <v>50164.82</v>
      </c>
      <c r="H5967" s="27">
        <f t="shared" si="186"/>
        <v>0</v>
      </c>
      <c r="I5967" s="18">
        <v>8044.66</v>
      </c>
      <c r="J5967" s="27">
        <v>50164.82</v>
      </c>
      <c r="K5967" s="18">
        <f t="shared" si="187"/>
        <v>0</v>
      </c>
      <c r="L5967" s="27">
        <v>11072.32</v>
      </c>
      <c r="M5967" s="36">
        <v>3027.66</v>
      </c>
      <c r="T5967" s="41">
        <v>0</v>
      </c>
      <c r="U5967" s="41">
        <v>0</v>
      </c>
      <c r="V5967" s="42" t="s">
        <v>113</v>
      </c>
      <c r="W5967" s="42">
        <v>0</v>
      </c>
      <c r="X5967" s="42">
        <v>0</v>
      </c>
    </row>
    <row r="5968" spans="1:24">
      <c r="A5968" s="27" t="s">
        <v>10994</v>
      </c>
      <c r="B5968" s="28" t="s">
        <v>5102</v>
      </c>
      <c r="C5968" s="27" t="s">
        <v>10993</v>
      </c>
      <c r="D5968" s="27" t="s">
        <v>5104</v>
      </c>
      <c r="E5968" s="29">
        <v>42737</v>
      </c>
      <c r="F5968" s="27">
        <v>15</v>
      </c>
      <c r="G5968" s="18">
        <v>102204.93</v>
      </c>
      <c r="H5968" s="27">
        <f t="shared" si="186"/>
        <v>0</v>
      </c>
      <c r="I5968" s="18">
        <v>13784.6</v>
      </c>
      <c r="J5968" s="27">
        <v>102204.93</v>
      </c>
      <c r="K5968" s="18">
        <f t="shared" si="187"/>
        <v>0</v>
      </c>
      <c r="L5968" s="27">
        <v>20152.25</v>
      </c>
      <c r="M5968" s="36">
        <v>6367.65</v>
      </c>
      <c r="T5968" s="41">
        <v>0</v>
      </c>
      <c r="U5968" s="41">
        <v>0</v>
      </c>
      <c r="V5968" s="42" t="s">
        <v>113</v>
      </c>
      <c r="W5968" s="42">
        <v>0</v>
      </c>
      <c r="X5968" s="42">
        <v>0</v>
      </c>
    </row>
    <row r="5969" spans="1:24">
      <c r="A5969" s="27" t="s">
        <v>10995</v>
      </c>
      <c r="B5969" s="28" t="s">
        <v>5102</v>
      </c>
      <c r="C5969" s="27" t="s">
        <v>10996</v>
      </c>
      <c r="D5969" s="27" t="s">
        <v>5104</v>
      </c>
      <c r="E5969" s="29">
        <v>42737</v>
      </c>
      <c r="F5969" s="27">
        <v>15</v>
      </c>
      <c r="G5969" s="18">
        <v>149983.66</v>
      </c>
      <c r="H5969" s="27">
        <f t="shared" si="186"/>
        <v>0</v>
      </c>
      <c r="I5969" s="18">
        <v>20228.63</v>
      </c>
      <c r="J5969" s="27">
        <v>149983.66</v>
      </c>
      <c r="K5969" s="18">
        <f t="shared" si="187"/>
        <v>0</v>
      </c>
      <c r="L5969" s="27">
        <v>29573.03</v>
      </c>
      <c r="M5969" s="36">
        <v>9344.4</v>
      </c>
      <c r="T5969" s="41">
        <v>0</v>
      </c>
      <c r="U5969" s="41">
        <v>0</v>
      </c>
      <c r="V5969" s="42" t="s">
        <v>113</v>
      </c>
      <c r="W5969" s="42">
        <v>0</v>
      </c>
      <c r="X5969" s="42">
        <v>0</v>
      </c>
    </row>
    <row r="5970" spans="1:24">
      <c r="A5970" s="27" t="s">
        <v>10997</v>
      </c>
      <c r="B5970" s="28" t="s">
        <v>5102</v>
      </c>
      <c r="C5970" s="27" t="s">
        <v>10998</v>
      </c>
      <c r="D5970" s="27" t="s">
        <v>5104</v>
      </c>
      <c r="E5970" s="29">
        <v>42737</v>
      </c>
      <c r="F5970" s="27">
        <v>15</v>
      </c>
      <c r="G5970" s="18">
        <v>98050.26</v>
      </c>
      <c r="H5970" s="27">
        <f t="shared" si="186"/>
        <v>0</v>
      </c>
      <c r="I5970" s="18">
        <v>13224.25</v>
      </c>
      <c r="J5970" s="27">
        <v>98050.26</v>
      </c>
      <c r="K5970" s="18">
        <f t="shared" si="187"/>
        <v>0</v>
      </c>
      <c r="L5970" s="27">
        <v>19333.05</v>
      </c>
      <c r="M5970" s="36">
        <v>6108.8</v>
      </c>
      <c r="T5970" s="41">
        <v>0</v>
      </c>
      <c r="U5970" s="41">
        <v>0</v>
      </c>
      <c r="V5970" s="42" t="s">
        <v>113</v>
      </c>
      <c r="W5970" s="42">
        <v>0</v>
      </c>
      <c r="X5970" s="42">
        <v>0</v>
      </c>
    </row>
    <row r="5971" spans="1:24">
      <c r="A5971" s="27" t="s">
        <v>10999</v>
      </c>
      <c r="B5971" s="28" t="s">
        <v>5102</v>
      </c>
      <c r="C5971" s="27" t="s">
        <v>11000</v>
      </c>
      <c r="D5971" s="27" t="s">
        <v>5104</v>
      </c>
      <c r="E5971" s="29">
        <v>42737</v>
      </c>
      <c r="F5971" s="27">
        <v>15</v>
      </c>
      <c r="G5971" s="18">
        <v>163777.17000000001</v>
      </c>
      <c r="H5971" s="27">
        <f t="shared" si="186"/>
        <v>0</v>
      </c>
      <c r="I5971" s="18">
        <v>22088.99</v>
      </c>
      <c r="J5971" s="27">
        <v>163777.17000000001</v>
      </c>
      <c r="K5971" s="18">
        <f t="shared" si="187"/>
        <v>0</v>
      </c>
      <c r="L5971" s="27">
        <v>32292.76</v>
      </c>
      <c r="M5971" s="36">
        <v>10203.77</v>
      </c>
      <c r="T5971" s="41">
        <v>0</v>
      </c>
      <c r="U5971" s="41">
        <v>0</v>
      </c>
      <c r="V5971" s="42" t="s">
        <v>113</v>
      </c>
      <c r="W5971" s="42">
        <v>0</v>
      </c>
      <c r="X5971" s="42">
        <v>0</v>
      </c>
    </row>
    <row r="5972" spans="1:24">
      <c r="A5972" s="27" t="s">
        <v>11001</v>
      </c>
      <c r="B5972" s="28" t="s">
        <v>5102</v>
      </c>
      <c r="C5972" s="27" t="s">
        <v>11002</v>
      </c>
      <c r="D5972" s="27" t="s">
        <v>5104</v>
      </c>
      <c r="E5972" s="29">
        <v>42737</v>
      </c>
      <c r="F5972" s="27">
        <v>15</v>
      </c>
      <c r="G5972" s="18">
        <v>101124.71</v>
      </c>
      <c r="H5972" s="27">
        <f t="shared" si="186"/>
        <v>0</v>
      </c>
      <c r="I5972" s="18">
        <v>13638.91</v>
      </c>
      <c r="J5972" s="27">
        <v>101124.71</v>
      </c>
      <c r="K5972" s="18">
        <f t="shared" si="187"/>
        <v>0</v>
      </c>
      <c r="L5972" s="27">
        <v>19939.259999999998</v>
      </c>
      <c r="M5972" s="36">
        <v>6300.35</v>
      </c>
      <c r="T5972" s="41">
        <v>0</v>
      </c>
      <c r="U5972" s="41">
        <v>0</v>
      </c>
      <c r="V5972" s="42" t="s">
        <v>113</v>
      </c>
      <c r="W5972" s="42">
        <v>0</v>
      </c>
      <c r="X5972" s="42">
        <v>0</v>
      </c>
    </row>
    <row r="5973" spans="1:24">
      <c r="A5973" s="27" t="s">
        <v>11003</v>
      </c>
      <c r="B5973" s="28" t="s">
        <v>5102</v>
      </c>
      <c r="C5973" s="27" t="s">
        <v>11002</v>
      </c>
      <c r="D5973" s="27" t="s">
        <v>5104</v>
      </c>
      <c r="E5973" s="29">
        <v>42737</v>
      </c>
      <c r="F5973" s="27">
        <v>15</v>
      </c>
      <c r="G5973" s="18">
        <v>29581.27</v>
      </c>
      <c r="H5973" s="27">
        <f t="shared" si="186"/>
        <v>0</v>
      </c>
      <c r="I5973" s="18">
        <v>3989.69</v>
      </c>
      <c r="J5973" s="27">
        <v>29581.27</v>
      </c>
      <c r="K5973" s="18">
        <f t="shared" si="187"/>
        <v>0</v>
      </c>
      <c r="L5973" s="27">
        <v>5832.69</v>
      </c>
      <c r="M5973" s="36">
        <v>1843</v>
      </c>
      <c r="T5973" s="41">
        <v>0</v>
      </c>
      <c r="U5973" s="41">
        <v>0</v>
      </c>
      <c r="V5973" s="42" t="s">
        <v>113</v>
      </c>
      <c r="W5973" s="42">
        <v>0</v>
      </c>
      <c r="X5973" s="42">
        <v>0</v>
      </c>
    </row>
    <row r="5974" spans="1:24">
      <c r="A5974" s="27" t="s">
        <v>11004</v>
      </c>
      <c r="B5974" s="28" t="s">
        <v>5102</v>
      </c>
      <c r="C5974" s="27" t="s">
        <v>11005</v>
      </c>
      <c r="D5974" s="27" t="s">
        <v>5104</v>
      </c>
      <c r="E5974" s="29">
        <v>42737</v>
      </c>
      <c r="F5974" s="27">
        <v>15</v>
      </c>
      <c r="G5974" s="18">
        <v>114585.86</v>
      </c>
      <c r="H5974" s="27">
        <f t="shared" si="186"/>
        <v>0</v>
      </c>
      <c r="I5974" s="18">
        <v>15454.45</v>
      </c>
      <c r="J5974" s="27">
        <v>114585.86</v>
      </c>
      <c r="K5974" s="18">
        <f t="shared" si="187"/>
        <v>0</v>
      </c>
      <c r="L5974" s="27">
        <v>22593.47</v>
      </c>
      <c r="M5974" s="36">
        <v>7139.02</v>
      </c>
      <c r="T5974" s="41">
        <v>0</v>
      </c>
      <c r="U5974" s="41">
        <v>0</v>
      </c>
      <c r="V5974" s="42" t="s">
        <v>113</v>
      </c>
      <c r="W5974" s="42">
        <v>0</v>
      </c>
      <c r="X5974" s="42">
        <v>0</v>
      </c>
    </row>
    <row r="5975" spans="1:24">
      <c r="A5975" s="27" t="s">
        <v>11006</v>
      </c>
      <c r="B5975" s="28" t="s">
        <v>5102</v>
      </c>
      <c r="C5975" s="27" t="s">
        <v>11007</v>
      </c>
      <c r="D5975" s="27" t="s">
        <v>5104</v>
      </c>
      <c r="E5975" s="29">
        <v>42737</v>
      </c>
      <c r="F5975" s="27">
        <v>15</v>
      </c>
      <c r="G5975" s="18">
        <v>143977.79</v>
      </c>
      <c r="H5975" s="27">
        <f t="shared" si="186"/>
        <v>0</v>
      </c>
      <c r="I5975" s="18">
        <v>19570</v>
      </c>
      <c r="J5975" s="27">
        <v>143977.79</v>
      </c>
      <c r="K5975" s="18">
        <f t="shared" si="187"/>
        <v>0</v>
      </c>
      <c r="L5975" s="27">
        <v>28528.639999999999</v>
      </c>
      <c r="M5975" s="36">
        <v>8958.64</v>
      </c>
      <c r="T5975" s="41">
        <v>0</v>
      </c>
      <c r="U5975" s="41">
        <v>0</v>
      </c>
      <c r="V5975" s="42" t="s">
        <v>113</v>
      </c>
      <c r="W5975" s="42">
        <v>0</v>
      </c>
      <c r="X5975" s="42">
        <v>0</v>
      </c>
    </row>
    <row r="5976" spans="1:24">
      <c r="A5976" s="27" t="s">
        <v>11008</v>
      </c>
      <c r="B5976" s="28" t="s">
        <v>5102</v>
      </c>
      <c r="C5976" s="27" t="s">
        <v>11007</v>
      </c>
      <c r="D5976" s="27" t="s">
        <v>5104</v>
      </c>
      <c r="E5976" s="29">
        <v>42737</v>
      </c>
      <c r="F5976" s="27">
        <v>15</v>
      </c>
      <c r="G5976" s="18">
        <v>72643.740000000005</v>
      </c>
      <c r="H5976" s="27">
        <f t="shared" si="186"/>
        <v>0</v>
      </c>
      <c r="I5976" s="18">
        <v>9903.76</v>
      </c>
      <c r="J5976" s="27">
        <v>72643.740000000005</v>
      </c>
      <c r="K5976" s="18">
        <f t="shared" si="187"/>
        <v>0</v>
      </c>
      <c r="L5976" s="27">
        <v>14421.55</v>
      </c>
      <c r="M5976" s="36">
        <v>4517.79</v>
      </c>
      <c r="T5976" s="41">
        <v>0</v>
      </c>
      <c r="U5976" s="41">
        <v>0</v>
      </c>
      <c r="V5976" s="42" t="s">
        <v>113</v>
      </c>
      <c r="W5976" s="42">
        <v>0</v>
      </c>
      <c r="X5976" s="42">
        <v>0</v>
      </c>
    </row>
    <row r="5977" spans="1:24">
      <c r="A5977" s="27" t="s">
        <v>11009</v>
      </c>
      <c r="B5977" s="28" t="s">
        <v>5102</v>
      </c>
      <c r="C5977" s="27" t="s">
        <v>11010</v>
      </c>
      <c r="D5977" s="27" t="s">
        <v>5104</v>
      </c>
      <c r="E5977" s="29">
        <v>42737</v>
      </c>
      <c r="F5977" s="27">
        <v>15</v>
      </c>
      <c r="G5977" s="18">
        <v>195461.28</v>
      </c>
      <c r="H5977" s="27">
        <f t="shared" si="186"/>
        <v>0</v>
      </c>
      <c r="I5977" s="18">
        <v>26647.88</v>
      </c>
      <c r="J5977" s="27">
        <v>195461.28</v>
      </c>
      <c r="K5977" s="18">
        <f t="shared" si="187"/>
        <v>0</v>
      </c>
      <c r="L5977" s="27">
        <v>38803.83</v>
      </c>
      <c r="M5977" s="36">
        <v>12155.95</v>
      </c>
      <c r="T5977" s="41">
        <v>0</v>
      </c>
      <c r="U5977" s="41">
        <v>0</v>
      </c>
      <c r="V5977" s="42" t="s">
        <v>113</v>
      </c>
      <c r="W5977" s="42">
        <v>0</v>
      </c>
      <c r="X5977" s="42">
        <v>0</v>
      </c>
    </row>
    <row r="5978" spans="1:24">
      <c r="A5978" s="27" t="s">
        <v>11011</v>
      </c>
      <c r="B5978" s="28" t="s">
        <v>5102</v>
      </c>
      <c r="C5978" s="27" t="s">
        <v>11012</v>
      </c>
      <c r="D5978" s="27" t="s">
        <v>5104</v>
      </c>
      <c r="E5978" s="29">
        <v>42737</v>
      </c>
      <c r="F5978" s="27">
        <v>15</v>
      </c>
      <c r="G5978" s="18">
        <v>167821.78</v>
      </c>
      <c r="H5978" s="27">
        <f t="shared" si="186"/>
        <v>0</v>
      </c>
      <c r="I5978" s="18">
        <v>22511.58</v>
      </c>
      <c r="J5978" s="27">
        <v>167821.78</v>
      </c>
      <c r="K5978" s="18">
        <f t="shared" si="187"/>
        <v>0</v>
      </c>
      <c r="L5978" s="27">
        <v>32976.730000000003</v>
      </c>
      <c r="M5978" s="36">
        <v>10465.15</v>
      </c>
      <c r="T5978" s="41">
        <v>0</v>
      </c>
      <c r="U5978" s="41">
        <v>0</v>
      </c>
      <c r="V5978" s="42" t="s">
        <v>113</v>
      </c>
      <c r="W5978" s="42">
        <v>0</v>
      </c>
      <c r="X5978" s="42">
        <v>0</v>
      </c>
    </row>
    <row r="5979" spans="1:24">
      <c r="A5979" s="27" t="s">
        <v>11013</v>
      </c>
      <c r="B5979" s="28" t="s">
        <v>5102</v>
      </c>
      <c r="C5979" s="27" t="s">
        <v>11012</v>
      </c>
      <c r="D5979" s="27" t="s">
        <v>5104</v>
      </c>
      <c r="E5979" s="29">
        <v>42737</v>
      </c>
      <c r="F5979" s="27">
        <v>15</v>
      </c>
      <c r="G5979" s="18">
        <v>47506.18</v>
      </c>
      <c r="H5979" s="27">
        <f t="shared" si="186"/>
        <v>0</v>
      </c>
      <c r="I5979" s="18">
        <v>6407.27</v>
      </c>
      <c r="J5979" s="27">
        <v>47506.18</v>
      </c>
      <c r="K5979" s="18">
        <f t="shared" si="187"/>
        <v>0</v>
      </c>
      <c r="L5979" s="27">
        <v>9367.0400000000009</v>
      </c>
      <c r="M5979" s="36">
        <v>2959.77</v>
      </c>
      <c r="T5979" s="41">
        <v>0</v>
      </c>
      <c r="U5979" s="41">
        <v>0</v>
      </c>
      <c r="V5979" s="42" t="s">
        <v>113</v>
      </c>
      <c r="W5979" s="42">
        <v>0</v>
      </c>
      <c r="X5979" s="42">
        <v>0</v>
      </c>
    </row>
    <row r="5980" spans="1:24">
      <c r="A5980" s="27" t="s">
        <v>11014</v>
      </c>
      <c r="B5980" s="28" t="s">
        <v>5102</v>
      </c>
      <c r="C5980" s="27" t="s">
        <v>11015</v>
      </c>
      <c r="D5980" s="27" t="s">
        <v>5104</v>
      </c>
      <c r="E5980" s="29">
        <v>42737</v>
      </c>
      <c r="F5980" s="27">
        <v>15</v>
      </c>
      <c r="G5980" s="18">
        <v>362029.87</v>
      </c>
      <c r="H5980" s="27">
        <f t="shared" si="186"/>
        <v>0</v>
      </c>
      <c r="I5980" s="18">
        <v>48827.77</v>
      </c>
      <c r="J5980" s="27">
        <v>362029.87</v>
      </c>
      <c r="K5980" s="18">
        <f t="shared" si="187"/>
        <v>0</v>
      </c>
      <c r="L5980" s="27">
        <v>71383.23</v>
      </c>
      <c r="M5980" s="36">
        <v>22555.46</v>
      </c>
      <c r="T5980" s="41">
        <v>0</v>
      </c>
      <c r="U5980" s="41">
        <v>0</v>
      </c>
      <c r="V5980" s="42" t="s">
        <v>113</v>
      </c>
      <c r="W5980" s="42">
        <v>0</v>
      </c>
      <c r="X5980" s="42">
        <v>0</v>
      </c>
    </row>
    <row r="5981" spans="1:24">
      <c r="A5981" s="27" t="s">
        <v>11016</v>
      </c>
      <c r="B5981" s="28" t="s">
        <v>5102</v>
      </c>
      <c r="C5981" s="27" t="s">
        <v>11017</v>
      </c>
      <c r="D5981" s="27" t="s">
        <v>5104</v>
      </c>
      <c r="E5981" s="29">
        <v>42737</v>
      </c>
      <c r="F5981" s="27">
        <v>15</v>
      </c>
      <c r="G5981" s="18">
        <v>195075.68</v>
      </c>
      <c r="H5981" s="27">
        <f t="shared" si="186"/>
        <v>0</v>
      </c>
      <c r="I5981" s="18">
        <v>26310.28</v>
      </c>
      <c r="J5981" s="27">
        <v>195075.68</v>
      </c>
      <c r="K5981" s="18">
        <f t="shared" si="187"/>
        <v>0</v>
      </c>
      <c r="L5981" s="27">
        <v>38464.03</v>
      </c>
      <c r="M5981" s="36">
        <v>12153.75</v>
      </c>
      <c r="T5981" s="41">
        <v>0</v>
      </c>
      <c r="U5981" s="41">
        <v>0</v>
      </c>
      <c r="V5981" s="42" t="s">
        <v>113</v>
      </c>
      <c r="W5981" s="42">
        <v>0</v>
      </c>
      <c r="X5981" s="42">
        <v>0</v>
      </c>
    </row>
    <row r="5982" spans="1:24">
      <c r="A5982" s="27" t="s">
        <v>11018</v>
      </c>
      <c r="B5982" s="28" t="s">
        <v>5102</v>
      </c>
      <c r="C5982" s="27" t="s">
        <v>11019</v>
      </c>
      <c r="D5982" s="27" t="s">
        <v>5104</v>
      </c>
      <c r="E5982" s="29">
        <v>42737</v>
      </c>
      <c r="F5982" s="27">
        <v>15</v>
      </c>
      <c r="G5982" s="18">
        <v>133781.79</v>
      </c>
      <c r="H5982" s="27">
        <f t="shared" si="186"/>
        <v>0</v>
      </c>
      <c r="I5982" s="18">
        <v>18043.439999999999</v>
      </c>
      <c r="J5982" s="27">
        <v>133781.79</v>
      </c>
      <c r="K5982" s="18">
        <f t="shared" si="187"/>
        <v>0</v>
      </c>
      <c r="L5982" s="27">
        <v>26378.42</v>
      </c>
      <c r="M5982" s="36">
        <v>8334.98</v>
      </c>
      <c r="T5982" s="41">
        <v>0</v>
      </c>
      <c r="U5982" s="41">
        <v>0</v>
      </c>
      <c r="V5982" s="42" t="s">
        <v>113</v>
      </c>
      <c r="W5982" s="42">
        <v>0</v>
      </c>
      <c r="X5982" s="42">
        <v>0</v>
      </c>
    </row>
    <row r="5983" spans="1:24">
      <c r="A5983" s="27" t="s">
        <v>11020</v>
      </c>
      <c r="B5983" s="28" t="s">
        <v>5102</v>
      </c>
      <c r="C5983" s="27" t="s">
        <v>11021</v>
      </c>
      <c r="D5983" s="27" t="s">
        <v>5104</v>
      </c>
      <c r="E5983" s="29">
        <v>42737</v>
      </c>
      <c r="F5983" s="27">
        <v>15</v>
      </c>
      <c r="G5983" s="18">
        <v>21705.41</v>
      </c>
      <c r="H5983" s="27">
        <f t="shared" si="186"/>
        <v>0</v>
      </c>
      <c r="I5983" s="18">
        <v>2927.46</v>
      </c>
      <c r="J5983" s="27">
        <v>21705.41</v>
      </c>
      <c r="K5983" s="18">
        <f t="shared" si="187"/>
        <v>0</v>
      </c>
      <c r="L5983" s="27">
        <v>4279.7700000000004</v>
      </c>
      <c r="M5983" s="36">
        <v>1352.31</v>
      </c>
      <c r="T5983" s="41">
        <v>0</v>
      </c>
      <c r="U5983" s="41">
        <v>0</v>
      </c>
      <c r="V5983" s="42" t="s">
        <v>113</v>
      </c>
      <c r="W5983" s="42">
        <v>0</v>
      </c>
      <c r="X5983" s="42">
        <v>0</v>
      </c>
    </row>
    <row r="5984" spans="1:24">
      <c r="A5984" s="27" t="s">
        <v>11022</v>
      </c>
      <c r="B5984" s="28" t="s">
        <v>5102</v>
      </c>
      <c r="C5984" s="27" t="s">
        <v>11023</v>
      </c>
      <c r="D5984" s="27" t="s">
        <v>5104</v>
      </c>
      <c r="E5984" s="29">
        <v>42737</v>
      </c>
      <c r="F5984" s="27">
        <v>15</v>
      </c>
      <c r="G5984" s="18">
        <v>72760.899999999994</v>
      </c>
      <c r="H5984" s="27">
        <f t="shared" si="186"/>
        <v>0</v>
      </c>
      <c r="I5984" s="18">
        <v>9813.42</v>
      </c>
      <c r="J5984" s="27">
        <v>72760.899999999994</v>
      </c>
      <c r="K5984" s="18">
        <f t="shared" si="187"/>
        <v>0</v>
      </c>
      <c r="L5984" s="27">
        <v>14346.62</v>
      </c>
      <c r="M5984" s="36">
        <v>4533.2</v>
      </c>
      <c r="T5984" s="41">
        <v>0</v>
      </c>
      <c r="U5984" s="41">
        <v>0</v>
      </c>
      <c r="V5984" s="42" t="s">
        <v>113</v>
      </c>
      <c r="W5984" s="42">
        <v>0</v>
      </c>
      <c r="X5984" s="42">
        <v>0</v>
      </c>
    </row>
    <row r="5985" spans="1:24">
      <c r="A5985" s="27" t="s">
        <v>11024</v>
      </c>
      <c r="B5985" s="28" t="s">
        <v>5102</v>
      </c>
      <c r="C5985" s="27" t="s">
        <v>11025</v>
      </c>
      <c r="D5985" s="27" t="s">
        <v>5104</v>
      </c>
      <c r="E5985" s="29">
        <v>42737</v>
      </c>
      <c r="F5985" s="27">
        <v>15</v>
      </c>
      <c r="G5985" s="18">
        <v>19991.61</v>
      </c>
      <c r="H5985" s="27">
        <f t="shared" si="186"/>
        <v>0</v>
      </c>
      <c r="I5985" s="18">
        <v>2696.31</v>
      </c>
      <c r="J5985" s="27">
        <v>19991.61</v>
      </c>
      <c r="K5985" s="18">
        <f t="shared" si="187"/>
        <v>0</v>
      </c>
      <c r="L5985" s="27">
        <v>3941.84</v>
      </c>
      <c r="M5985" s="36">
        <v>1245.53</v>
      </c>
      <c r="T5985" s="41">
        <v>0</v>
      </c>
      <c r="U5985" s="41">
        <v>0</v>
      </c>
      <c r="V5985" s="42" t="s">
        <v>113</v>
      </c>
      <c r="W5985" s="42">
        <v>0</v>
      </c>
      <c r="X5985" s="42">
        <v>0</v>
      </c>
    </row>
    <row r="5986" spans="1:24">
      <c r="A5986" s="27" t="s">
        <v>11026</v>
      </c>
      <c r="B5986" s="28" t="s">
        <v>5102</v>
      </c>
      <c r="C5986" s="27" t="s">
        <v>11027</v>
      </c>
      <c r="D5986" s="27" t="s">
        <v>5104</v>
      </c>
      <c r="E5986" s="29">
        <v>42737</v>
      </c>
      <c r="F5986" s="27">
        <v>15</v>
      </c>
      <c r="G5986" s="18">
        <v>42148.98</v>
      </c>
      <c r="H5986" s="27">
        <f t="shared" si="186"/>
        <v>0</v>
      </c>
      <c r="I5986" s="18">
        <v>5684.73</v>
      </c>
      <c r="J5986" s="27">
        <v>42148.98</v>
      </c>
      <c r="K5986" s="18">
        <f t="shared" si="187"/>
        <v>0</v>
      </c>
      <c r="L5986" s="27">
        <v>8310.73</v>
      </c>
      <c r="M5986" s="36">
        <v>2626</v>
      </c>
      <c r="T5986" s="41">
        <v>0</v>
      </c>
      <c r="U5986" s="41">
        <v>0</v>
      </c>
      <c r="V5986" s="42" t="s">
        <v>113</v>
      </c>
      <c r="W5986" s="42">
        <v>0</v>
      </c>
      <c r="X5986" s="42">
        <v>0</v>
      </c>
    </row>
    <row r="5987" spans="1:24">
      <c r="A5987" s="27" t="s">
        <v>11028</v>
      </c>
      <c r="B5987" s="28" t="s">
        <v>5102</v>
      </c>
      <c r="C5987" s="27" t="s">
        <v>11029</v>
      </c>
      <c r="D5987" s="27" t="s">
        <v>5104</v>
      </c>
      <c r="E5987" s="29">
        <v>42737</v>
      </c>
      <c r="F5987" s="27">
        <v>15</v>
      </c>
      <c r="G5987" s="18">
        <v>129945.45</v>
      </c>
      <c r="H5987" s="27">
        <f t="shared" si="186"/>
        <v>0</v>
      </c>
      <c r="I5987" s="18">
        <v>17526.03</v>
      </c>
      <c r="J5987" s="27">
        <v>129945.45</v>
      </c>
      <c r="K5987" s="18">
        <f t="shared" si="187"/>
        <v>0</v>
      </c>
      <c r="L5987" s="27">
        <v>25621.99</v>
      </c>
      <c r="M5987" s="36">
        <v>8095.96</v>
      </c>
      <c r="T5987" s="41">
        <v>0</v>
      </c>
      <c r="U5987" s="41">
        <v>0</v>
      </c>
      <c r="V5987" s="42" t="s">
        <v>113</v>
      </c>
      <c r="W5987" s="42">
        <v>0</v>
      </c>
      <c r="X5987" s="42">
        <v>0</v>
      </c>
    </row>
    <row r="5988" spans="1:24">
      <c r="A5988" s="27" t="s">
        <v>11030</v>
      </c>
      <c r="B5988" s="28" t="s">
        <v>5102</v>
      </c>
      <c r="C5988" s="27" t="s">
        <v>11031</v>
      </c>
      <c r="D5988" s="27" t="s">
        <v>5104</v>
      </c>
      <c r="E5988" s="29">
        <v>42737</v>
      </c>
      <c r="F5988" s="27">
        <v>15</v>
      </c>
      <c r="G5988" s="18">
        <v>101457.41</v>
      </c>
      <c r="H5988" s="27">
        <f t="shared" si="186"/>
        <v>0</v>
      </c>
      <c r="I5988" s="18">
        <v>13683.79</v>
      </c>
      <c r="J5988" s="27">
        <v>101457.41</v>
      </c>
      <c r="K5988" s="18">
        <f t="shared" si="187"/>
        <v>0</v>
      </c>
      <c r="L5988" s="27">
        <v>20004.87</v>
      </c>
      <c r="M5988" s="36">
        <v>6321.08</v>
      </c>
      <c r="T5988" s="41">
        <v>0</v>
      </c>
      <c r="U5988" s="41">
        <v>0</v>
      </c>
      <c r="V5988" s="42" t="s">
        <v>113</v>
      </c>
      <c r="W5988" s="42">
        <v>0</v>
      </c>
      <c r="X5988" s="42">
        <v>0</v>
      </c>
    </row>
    <row r="5989" spans="1:24">
      <c r="A5989" s="27" t="s">
        <v>11032</v>
      </c>
      <c r="B5989" s="28" t="s">
        <v>5102</v>
      </c>
      <c r="C5989" s="27" t="s">
        <v>11033</v>
      </c>
      <c r="D5989" s="27" t="s">
        <v>5104</v>
      </c>
      <c r="E5989" s="29">
        <v>42737</v>
      </c>
      <c r="F5989" s="27">
        <v>15</v>
      </c>
      <c r="G5989" s="18">
        <v>225238.79</v>
      </c>
      <c r="H5989" s="27">
        <f t="shared" si="186"/>
        <v>0</v>
      </c>
      <c r="I5989" s="18">
        <v>30378.45</v>
      </c>
      <c r="J5989" s="27">
        <v>225238.79</v>
      </c>
      <c r="K5989" s="18">
        <f t="shared" si="187"/>
        <v>0</v>
      </c>
      <c r="L5989" s="27">
        <v>44411.45</v>
      </c>
      <c r="M5989" s="36">
        <v>14033</v>
      </c>
      <c r="T5989" s="41">
        <v>0</v>
      </c>
      <c r="U5989" s="41">
        <v>0</v>
      </c>
      <c r="V5989" s="42" t="s">
        <v>113</v>
      </c>
      <c r="W5989" s="42">
        <v>0</v>
      </c>
      <c r="X5989" s="42">
        <v>0</v>
      </c>
    </row>
    <row r="5990" spans="1:24">
      <c r="A5990" s="27" t="s">
        <v>11034</v>
      </c>
      <c r="B5990" s="28" t="s">
        <v>5102</v>
      </c>
      <c r="C5990" s="27" t="s">
        <v>11035</v>
      </c>
      <c r="D5990" s="27" t="s">
        <v>5104</v>
      </c>
      <c r="E5990" s="29">
        <v>42737</v>
      </c>
      <c r="F5990" s="27">
        <v>15</v>
      </c>
      <c r="G5990" s="18">
        <v>309781.23</v>
      </c>
      <c r="H5990" s="27">
        <f t="shared" si="186"/>
        <v>0</v>
      </c>
      <c r="I5990" s="18">
        <v>42286.05</v>
      </c>
      <c r="J5990" s="27">
        <v>309781.23</v>
      </c>
      <c r="K5990" s="18">
        <f t="shared" si="187"/>
        <v>0</v>
      </c>
      <c r="L5990" s="27">
        <v>61547.66</v>
      </c>
      <c r="M5990" s="36">
        <v>19261.61</v>
      </c>
      <c r="T5990" s="41">
        <v>0</v>
      </c>
      <c r="U5990" s="41">
        <v>0</v>
      </c>
      <c r="V5990" s="42" t="s">
        <v>113</v>
      </c>
      <c r="W5990" s="42">
        <v>0</v>
      </c>
      <c r="X5990" s="42">
        <v>0</v>
      </c>
    </row>
    <row r="5991" spans="1:24">
      <c r="A5991" s="27" t="s">
        <v>11036</v>
      </c>
      <c r="B5991" s="28" t="s">
        <v>5102</v>
      </c>
      <c r="C5991" s="27" t="s">
        <v>11037</v>
      </c>
      <c r="D5991" s="27" t="s">
        <v>5104</v>
      </c>
      <c r="E5991" s="29">
        <v>42737</v>
      </c>
      <c r="F5991" s="27">
        <v>15</v>
      </c>
      <c r="G5991" s="18">
        <v>82369.929999999993</v>
      </c>
      <c r="H5991" s="27">
        <f t="shared" si="186"/>
        <v>0</v>
      </c>
      <c r="I5991" s="18">
        <v>11073.73</v>
      </c>
      <c r="J5991" s="27">
        <v>82369.929999999993</v>
      </c>
      <c r="K5991" s="18">
        <f t="shared" si="187"/>
        <v>0</v>
      </c>
      <c r="L5991" s="27">
        <v>16208.33</v>
      </c>
      <c r="M5991" s="36">
        <v>5134.6000000000004</v>
      </c>
      <c r="T5991" s="41">
        <v>0</v>
      </c>
      <c r="U5991" s="41">
        <v>0</v>
      </c>
      <c r="V5991" s="42" t="s">
        <v>113</v>
      </c>
      <c r="W5991" s="42">
        <v>0</v>
      </c>
      <c r="X5991" s="42">
        <v>0</v>
      </c>
    </row>
    <row r="5992" spans="1:24">
      <c r="A5992" s="27" t="s">
        <v>11038</v>
      </c>
      <c r="B5992" s="28" t="s">
        <v>5102</v>
      </c>
      <c r="C5992" s="27" t="s">
        <v>11037</v>
      </c>
      <c r="D5992" s="27" t="s">
        <v>5104</v>
      </c>
      <c r="E5992" s="29">
        <v>42737</v>
      </c>
      <c r="F5992" s="27">
        <v>15</v>
      </c>
      <c r="G5992" s="18">
        <v>28068.09</v>
      </c>
      <c r="H5992" s="27">
        <f t="shared" si="186"/>
        <v>0</v>
      </c>
      <c r="I5992" s="18">
        <v>3785.61</v>
      </c>
      <c r="J5992" s="27">
        <v>28068.09</v>
      </c>
      <c r="K5992" s="18">
        <f t="shared" si="187"/>
        <v>0</v>
      </c>
      <c r="L5992" s="27">
        <v>5534.33</v>
      </c>
      <c r="M5992" s="36">
        <v>1748.72</v>
      </c>
      <c r="T5992" s="41">
        <v>0</v>
      </c>
      <c r="U5992" s="41">
        <v>0</v>
      </c>
      <c r="V5992" s="42" t="s">
        <v>113</v>
      </c>
      <c r="W5992" s="42">
        <v>0</v>
      </c>
      <c r="X5992" s="42">
        <v>0</v>
      </c>
    </row>
    <row r="5993" spans="1:24">
      <c r="A5993" s="27" t="s">
        <v>11039</v>
      </c>
      <c r="B5993" s="28" t="s">
        <v>5102</v>
      </c>
      <c r="C5993" s="27" t="s">
        <v>11040</v>
      </c>
      <c r="D5993" s="27" t="s">
        <v>5104</v>
      </c>
      <c r="E5993" s="29">
        <v>42737</v>
      </c>
      <c r="F5993" s="27">
        <v>15</v>
      </c>
      <c r="G5993" s="18">
        <v>134628.35</v>
      </c>
      <c r="H5993" s="27">
        <f t="shared" si="186"/>
        <v>0</v>
      </c>
      <c r="I5993" s="18">
        <v>18157.62</v>
      </c>
      <c r="J5993" s="27">
        <v>134628.35</v>
      </c>
      <c r="K5993" s="18">
        <f t="shared" si="187"/>
        <v>0</v>
      </c>
      <c r="L5993" s="27">
        <v>26545.34</v>
      </c>
      <c r="M5993" s="36">
        <v>8387.7199999999993</v>
      </c>
      <c r="T5993" s="41">
        <v>0</v>
      </c>
      <c r="U5993" s="41">
        <v>0</v>
      </c>
      <c r="V5993" s="42" t="s">
        <v>113</v>
      </c>
      <c r="W5993" s="42">
        <v>0</v>
      </c>
      <c r="X5993" s="42">
        <v>0</v>
      </c>
    </row>
    <row r="5994" spans="1:24">
      <c r="A5994" s="27" t="s">
        <v>11041</v>
      </c>
      <c r="B5994" s="28" t="s">
        <v>5102</v>
      </c>
      <c r="C5994" s="27" t="s">
        <v>11042</v>
      </c>
      <c r="D5994" s="27" t="s">
        <v>5104</v>
      </c>
      <c r="E5994" s="29">
        <v>43008</v>
      </c>
      <c r="F5994" s="27">
        <v>15</v>
      </c>
      <c r="G5994" s="18">
        <v>98826.39</v>
      </c>
      <c r="H5994" s="27">
        <f t="shared" si="186"/>
        <v>0</v>
      </c>
      <c r="I5994" s="18">
        <v>8092.86</v>
      </c>
      <c r="J5994" s="27">
        <v>98826.39</v>
      </c>
      <c r="K5994" s="18">
        <f t="shared" si="187"/>
        <v>0</v>
      </c>
      <c r="L5994" s="27">
        <v>14332.29</v>
      </c>
      <c r="M5994" s="36">
        <v>6239.43</v>
      </c>
      <c r="T5994" s="41">
        <v>0</v>
      </c>
      <c r="U5994" s="41">
        <v>0</v>
      </c>
      <c r="V5994" s="42" t="s">
        <v>113</v>
      </c>
      <c r="W5994" s="42">
        <v>0</v>
      </c>
      <c r="X5994" s="42">
        <v>0</v>
      </c>
    </row>
    <row r="5995" spans="1:24">
      <c r="A5995" s="27" t="s">
        <v>11043</v>
      </c>
      <c r="B5995" s="28" t="s">
        <v>5102</v>
      </c>
      <c r="C5995" s="27" t="s">
        <v>11044</v>
      </c>
      <c r="D5995" s="27" t="s">
        <v>5104</v>
      </c>
      <c r="E5995" s="29">
        <v>43008</v>
      </c>
      <c r="F5995" s="27">
        <v>15</v>
      </c>
      <c r="G5995" s="18">
        <v>73112.759999999995</v>
      </c>
      <c r="H5995" s="27">
        <f t="shared" si="186"/>
        <v>0</v>
      </c>
      <c r="I5995" s="18">
        <v>6057.87</v>
      </c>
      <c r="J5995" s="27">
        <v>73112.759999999995</v>
      </c>
      <c r="K5995" s="18">
        <f t="shared" si="187"/>
        <v>0</v>
      </c>
      <c r="L5995" s="27">
        <v>10668.72</v>
      </c>
      <c r="M5995" s="36">
        <v>4610.8500000000004</v>
      </c>
      <c r="T5995" s="41">
        <v>0</v>
      </c>
      <c r="U5995" s="41">
        <v>0</v>
      </c>
      <c r="V5995" s="42" t="s">
        <v>113</v>
      </c>
      <c r="W5995" s="42">
        <v>0</v>
      </c>
      <c r="X5995" s="42">
        <v>0</v>
      </c>
    </row>
    <row r="5996" spans="1:24">
      <c r="A5996" s="27" t="s">
        <v>11045</v>
      </c>
      <c r="B5996" s="28" t="s">
        <v>5102</v>
      </c>
      <c r="C5996" s="27" t="s">
        <v>11046</v>
      </c>
      <c r="D5996" s="27" t="s">
        <v>5104</v>
      </c>
      <c r="E5996" s="29">
        <v>43008</v>
      </c>
      <c r="F5996" s="27">
        <v>15</v>
      </c>
      <c r="G5996" s="18">
        <v>10497.3</v>
      </c>
      <c r="H5996" s="27">
        <f t="shared" si="186"/>
        <v>0</v>
      </c>
      <c r="I5996" s="18">
        <v>869.77</v>
      </c>
      <c r="J5996" s="27">
        <v>10497.3</v>
      </c>
      <c r="K5996" s="18">
        <f t="shared" si="187"/>
        <v>0</v>
      </c>
      <c r="L5996" s="27">
        <v>1531.78</v>
      </c>
      <c r="M5996" s="36">
        <v>662.01</v>
      </c>
      <c r="T5996" s="41">
        <v>0</v>
      </c>
      <c r="U5996" s="41">
        <v>0</v>
      </c>
      <c r="V5996" s="42" t="s">
        <v>113</v>
      </c>
      <c r="W5996" s="42">
        <v>0</v>
      </c>
      <c r="X5996" s="42">
        <v>0</v>
      </c>
    </row>
    <row r="5997" spans="1:24">
      <c r="A5997" s="27" t="s">
        <v>11047</v>
      </c>
      <c r="B5997" s="28" t="s">
        <v>5102</v>
      </c>
      <c r="C5997" s="27" t="s">
        <v>11046</v>
      </c>
      <c r="D5997" s="27" t="s">
        <v>5104</v>
      </c>
      <c r="E5997" s="29">
        <v>43008</v>
      </c>
      <c r="F5997" s="27">
        <v>15</v>
      </c>
      <c r="G5997" s="18">
        <v>80479.28</v>
      </c>
      <c r="H5997" s="27">
        <f t="shared" si="186"/>
        <v>0</v>
      </c>
      <c r="I5997" s="18">
        <v>6668.24</v>
      </c>
      <c r="J5997" s="27">
        <v>80479.28</v>
      </c>
      <c r="K5997" s="18">
        <f t="shared" si="187"/>
        <v>0</v>
      </c>
      <c r="L5997" s="27">
        <v>11743.66</v>
      </c>
      <c r="M5997" s="36">
        <v>5075.42</v>
      </c>
      <c r="T5997" s="41">
        <v>0</v>
      </c>
      <c r="U5997" s="41">
        <v>0</v>
      </c>
      <c r="V5997" s="42" t="s">
        <v>113</v>
      </c>
      <c r="W5997" s="42">
        <v>0</v>
      </c>
      <c r="X5997" s="42">
        <v>0</v>
      </c>
    </row>
    <row r="5998" spans="1:24">
      <c r="A5998" s="27" t="s">
        <v>11048</v>
      </c>
      <c r="B5998" s="28" t="s">
        <v>5102</v>
      </c>
      <c r="C5998" s="27" t="s">
        <v>11049</v>
      </c>
      <c r="D5998" s="27" t="s">
        <v>5104</v>
      </c>
      <c r="E5998" s="29">
        <v>43008</v>
      </c>
      <c r="F5998" s="27">
        <v>15</v>
      </c>
      <c r="G5998" s="18">
        <v>22928.31</v>
      </c>
      <c r="H5998" s="27">
        <f t="shared" si="186"/>
        <v>0</v>
      </c>
      <c r="I5998" s="18">
        <v>1899.76</v>
      </c>
      <c r="J5998" s="27">
        <v>22928.31</v>
      </c>
      <c r="K5998" s="18">
        <f t="shared" si="187"/>
        <v>0</v>
      </c>
      <c r="L5998" s="27">
        <v>3345.73</v>
      </c>
      <c r="M5998" s="36">
        <v>1445.97</v>
      </c>
      <c r="T5998" s="41">
        <v>0</v>
      </c>
      <c r="U5998" s="41">
        <v>0</v>
      </c>
      <c r="V5998" s="42" t="s">
        <v>113</v>
      </c>
      <c r="W5998" s="42">
        <v>0</v>
      </c>
      <c r="X5998" s="42">
        <v>0</v>
      </c>
    </row>
    <row r="5999" spans="1:24">
      <c r="A5999" s="27" t="s">
        <v>11050</v>
      </c>
      <c r="B5999" s="28" t="s">
        <v>5102</v>
      </c>
      <c r="C5999" s="27" t="s">
        <v>11051</v>
      </c>
      <c r="D5999" s="27" t="s">
        <v>5104</v>
      </c>
      <c r="E5999" s="29">
        <v>43008</v>
      </c>
      <c r="F5999" s="27">
        <v>15</v>
      </c>
      <c r="G5999" s="18">
        <v>5836.03</v>
      </c>
      <c r="H5999" s="27">
        <f t="shared" si="186"/>
        <v>0</v>
      </c>
      <c r="I5999" s="18">
        <v>445.28</v>
      </c>
      <c r="J5999" s="27">
        <v>5836.03</v>
      </c>
      <c r="K5999" s="18">
        <f t="shared" si="187"/>
        <v>0</v>
      </c>
      <c r="L5999" s="27">
        <v>816.11</v>
      </c>
      <c r="M5999" s="36">
        <v>370.83</v>
      </c>
      <c r="T5999" s="41">
        <v>0</v>
      </c>
      <c r="U5999" s="41">
        <v>0</v>
      </c>
      <c r="V5999" s="42" t="s">
        <v>113</v>
      </c>
      <c r="W5999" s="42">
        <v>0</v>
      </c>
      <c r="X5999" s="42">
        <v>0</v>
      </c>
    </row>
    <row r="6000" spans="1:24">
      <c r="A6000" s="27" t="s">
        <v>11052</v>
      </c>
      <c r="B6000" s="28" t="s">
        <v>5102</v>
      </c>
      <c r="C6000" s="27" t="s">
        <v>11051</v>
      </c>
      <c r="D6000" s="27" t="s">
        <v>5104</v>
      </c>
      <c r="E6000" s="29">
        <v>43008</v>
      </c>
      <c r="F6000" s="27">
        <v>15</v>
      </c>
      <c r="G6000" s="18">
        <v>236895.05</v>
      </c>
      <c r="H6000" s="27">
        <f t="shared" si="186"/>
        <v>0</v>
      </c>
      <c r="I6000" s="18">
        <v>19628.330000000002</v>
      </c>
      <c r="J6000" s="27">
        <v>236895.05</v>
      </c>
      <c r="K6000" s="18">
        <f t="shared" si="187"/>
        <v>0</v>
      </c>
      <c r="L6000" s="27">
        <v>34568.11</v>
      </c>
      <c r="M6000" s="36">
        <v>14939.78</v>
      </c>
      <c r="T6000" s="41">
        <v>0</v>
      </c>
      <c r="U6000" s="41">
        <v>0</v>
      </c>
      <c r="V6000" s="42" t="s">
        <v>113</v>
      </c>
      <c r="W6000" s="42">
        <v>0</v>
      </c>
      <c r="X6000" s="42">
        <v>0</v>
      </c>
    </row>
    <row r="6001" spans="1:24">
      <c r="A6001" s="27" t="s">
        <v>11053</v>
      </c>
      <c r="B6001" s="28" t="s">
        <v>5102</v>
      </c>
      <c r="C6001" s="27" t="s">
        <v>11054</v>
      </c>
      <c r="D6001" s="27" t="s">
        <v>5104</v>
      </c>
      <c r="E6001" s="29">
        <v>43008</v>
      </c>
      <c r="F6001" s="27">
        <v>15</v>
      </c>
      <c r="G6001" s="18">
        <v>142855.9</v>
      </c>
      <c r="H6001" s="27">
        <f t="shared" si="186"/>
        <v>0</v>
      </c>
      <c r="I6001" s="18">
        <v>11836.56</v>
      </c>
      <c r="J6001" s="27">
        <v>142855.9</v>
      </c>
      <c r="K6001" s="18">
        <f t="shared" si="187"/>
        <v>0</v>
      </c>
      <c r="L6001" s="27">
        <v>20845.759999999998</v>
      </c>
      <c r="M6001" s="36">
        <v>9009.2000000000007</v>
      </c>
      <c r="T6001" s="41">
        <v>0</v>
      </c>
      <c r="U6001" s="41">
        <v>0</v>
      </c>
      <c r="V6001" s="42" t="s">
        <v>113</v>
      </c>
      <c r="W6001" s="42">
        <v>0</v>
      </c>
      <c r="X6001" s="42">
        <v>0</v>
      </c>
    </row>
    <row r="6002" spans="1:24">
      <c r="A6002" s="27" t="s">
        <v>11055</v>
      </c>
      <c r="B6002" s="28" t="s">
        <v>5102</v>
      </c>
      <c r="C6002" s="27" t="s">
        <v>11056</v>
      </c>
      <c r="D6002" s="27" t="s">
        <v>5104</v>
      </c>
      <c r="E6002" s="29">
        <v>43008</v>
      </c>
      <c r="F6002" s="27">
        <v>15</v>
      </c>
      <c r="G6002" s="18">
        <v>48066.58</v>
      </c>
      <c r="H6002" s="27">
        <f t="shared" si="186"/>
        <v>0</v>
      </c>
      <c r="I6002" s="18">
        <v>3982.64</v>
      </c>
      <c r="J6002" s="27">
        <v>48066.58</v>
      </c>
      <c r="K6002" s="18">
        <f t="shared" si="187"/>
        <v>0</v>
      </c>
      <c r="L6002" s="27">
        <v>7013.96</v>
      </c>
      <c r="M6002" s="36">
        <v>3031.32</v>
      </c>
      <c r="T6002" s="41">
        <v>0</v>
      </c>
      <c r="U6002" s="41">
        <v>0</v>
      </c>
      <c r="V6002" s="42" t="s">
        <v>113</v>
      </c>
      <c r="W6002" s="42">
        <v>0</v>
      </c>
      <c r="X6002" s="42">
        <v>0</v>
      </c>
    </row>
    <row r="6003" spans="1:24">
      <c r="A6003" s="27" t="s">
        <v>11057</v>
      </c>
      <c r="B6003" s="28" t="s">
        <v>5102</v>
      </c>
      <c r="C6003" s="27" t="s">
        <v>11056</v>
      </c>
      <c r="D6003" s="27" t="s">
        <v>5104</v>
      </c>
      <c r="E6003" s="29">
        <v>43008</v>
      </c>
      <c r="F6003" s="27">
        <v>15</v>
      </c>
      <c r="G6003" s="18">
        <v>187242.37</v>
      </c>
      <c r="H6003" s="27">
        <f t="shared" si="186"/>
        <v>0</v>
      </c>
      <c r="I6003" s="18">
        <v>15514.27</v>
      </c>
      <c r="J6003" s="27">
        <v>187242.37</v>
      </c>
      <c r="K6003" s="18">
        <f t="shared" si="187"/>
        <v>0</v>
      </c>
      <c r="L6003" s="27">
        <v>27322.7</v>
      </c>
      <c r="M6003" s="36">
        <v>11808.43</v>
      </c>
      <c r="T6003" s="41">
        <v>0</v>
      </c>
      <c r="U6003" s="41">
        <v>0</v>
      </c>
      <c r="V6003" s="42" t="s">
        <v>113</v>
      </c>
      <c r="W6003" s="42">
        <v>0</v>
      </c>
      <c r="X6003" s="42">
        <v>0</v>
      </c>
    </row>
    <row r="6004" spans="1:24">
      <c r="A6004" s="27" t="s">
        <v>11058</v>
      </c>
      <c r="B6004" s="28" t="s">
        <v>5102</v>
      </c>
      <c r="C6004" s="27" t="s">
        <v>11059</v>
      </c>
      <c r="D6004" s="27" t="s">
        <v>5104</v>
      </c>
      <c r="E6004" s="29">
        <v>43008</v>
      </c>
      <c r="F6004" s="27">
        <v>15</v>
      </c>
      <c r="G6004" s="18">
        <v>11694.36</v>
      </c>
      <c r="H6004" s="27">
        <f t="shared" si="186"/>
        <v>0</v>
      </c>
      <c r="I6004" s="18">
        <v>968.95</v>
      </c>
      <c r="J6004" s="27">
        <v>11694.36</v>
      </c>
      <c r="K6004" s="18">
        <f t="shared" si="187"/>
        <v>0</v>
      </c>
      <c r="L6004" s="27">
        <v>1706.45</v>
      </c>
      <c r="M6004" s="36">
        <v>737.5</v>
      </c>
      <c r="T6004" s="41">
        <v>0</v>
      </c>
      <c r="U6004" s="41">
        <v>0</v>
      </c>
      <c r="V6004" s="42" t="s">
        <v>113</v>
      </c>
      <c r="W6004" s="42">
        <v>0</v>
      </c>
      <c r="X6004" s="42">
        <v>0</v>
      </c>
    </row>
    <row r="6005" spans="1:24">
      <c r="A6005" s="27" t="s">
        <v>11060</v>
      </c>
      <c r="B6005" s="28" t="s">
        <v>5102</v>
      </c>
      <c r="C6005" s="27" t="s">
        <v>11061</v>
      </c>
      <c r="D6005" s="27" t="s">
        <v>5104</v>
      </c>
      <c r="E6005" s="29">
        <v>43008</v>
      </c>
      <c r="F6005" s="27">
        <v>15</v>
      </c>
      <c r="G6005" s="18">
        <v>62024.04</v>
      </c>
      <c r="H6005" s="27">
        <f t="shared" si="186"/>
        <v>0</v>
      </c>
      <c r="I6005" s="18">
        <v>5139.1000000000004</v>
      </c>
      <c r="J6005" s="27">
        <v>62024.04</v>
      </c>
      <c r="K6005" s="18">
        <f t="shared" si="187"/>
        <v>0</v>
      </c>
      <c r="L6005" s="27">
        <v>9050.64</v>
      </c>
      <c r="M6005" s="36">
        <v>3911.54</v>
      </c>
      <c r="T6005" s="41">
        <v>0</v>
      </c>
      <c r="U6005" s="41">
        <v>0</v>
      </c>
      <c r="V6005" s="42" t="s">
        <v>113</v>
      </c>
      <c r="W6005" s="42">
        <v>0</v>
      </c>
      <c r="X6005" s="42">
        <v>0</v>
      </c>
    </row>
    <row r="6006" spans="1:24">
      <c r="A6006" s="27" t="s">
        <v>11062</v>
      </c>
      <c r="B6006" s="28" t="s">
        <v>5102</v>
      </c>
      <c r="C6006" s="27" t="s">
        <v>11063</v>
      </c>
      <c r="D6006" s="27" t="s">
        <v>5104</v>
      </c>
      <c r="E6006" s="29">
        <v>43008</v>
      </c>
      <c r="F6006" s="27">
        <v>15</v>
      </c>
      <c r="G6006" s="18">
        <v>265482.94</v>
      </c>
      <c r="H6006" s="27">
        <f t="shared" si="186"/>
        <v>0</v>
      </c>
      <c r="I6006" s="18">
        <v>21997.02</v>
      </c>
      <c r="J6006" s="27">
        <v>265482.94</v>
      </c>
      <c r="K6006" s="18">
        <f t="shared" si="187"/>
        <v>0</v>
      </c>
      <c r="L6006" s="27">
        <v>38739.69</v>
      </c>
      <c r="M6006" s="36">
        <v>16742.669999999998</v>
      </c>
      <c r="T6006" s="41">
        <v>0</v>
      </c>
      <c r="U6006" s="41">
        <v>0</v>
      </c>
      <c r="V6006" s="42" t="s">
        <v>113</v>
      </c>
      <c r="W6006" s="42">
        <v>0</v>
      </c>
      <c r="X6006" s="42">
        <v>0</v>
      </c>
    </row>
    <row r="6007" spans="1:24">
      <c r="A6007" s="27" t="s">
        <v>11064</v>
      </c>
      <c r="B6007" s="28" t="s">
        <v>5102</v>
      </c>
      <c r="C6007" s="27" t="s">
        <v>11065</v>
      </c>
      <c r="D6007" s="27" t="s">
        <v>5104</v>
      </c>
      <c r="E6007" s="29">
        <v>43008</v>
      </c>
      <c r="F6007" s="27">
        <v>15</v>
      </c>
      <c r="G6007" s="18">
        <v>12431.02</v>
      </c>
      <c r="H6007" s="27">
        <f t="shared" si="186"/>
        <v>0</v>
      </c>
      <c r="I6007" s="18">
        <v>1029.99</v>
      </c>
      <c r="J6007" s="27">
        <v>12431.02</v>
      </c>
      <c r="K6007" s="18">
        <f t="shared" si="187"/>
        <v>0</v>
      </c>
      <c r="L6007" s="27">
        <v>1813.95</v>
      </c>
      <c r="M6007" s="36">
        <v>783.96</v>
      </c>
      <c r="T6007" s="41">
        <v>0</v>
      </c>
      <c r="U6007" s="41">
        <v>0</v>
      </c>
      <c r="V6007" s="42" t="s">
        <v>113</v>
      </c>
      <c r="W6007" s="42">
        <v>0</v>
      </c>
      <c r="X6007" s="42">
        <v>0</v>
      </c>
    </row>
    <row r="6008" spans="1:24">
      <c r="A6008" s="27" t="s">
        <v>11066</v>
      </c>
      <c r="B6008" s="28" t="s">
        <v>5102</v>
      </c>
      <c r="C6008" s="27" t="s">
        <v>11065</v>
      </c>
      <c r="D6008" s="27" t="s">
        <v>5104</v>
      </c>
      <c r="E6008" s="29">
        <v>43008</v>
      </c>
      <c r="F6008" s="27">
        <v>15</v>
      </c>
      <c r="G6008" s="18">
        <v>142318.38</v>
      </c>
      <c r="H6008" s="27">
        <f t="shared" si="186"/>
        <v>0</v>
      </c>
      <c r="I6008" s="18">
        <v>11853.26</v>
      </c>
      <c r="J6008" s="27">
        <v>142318.38</v>
      </c>
      <c r="K6008" s="18">
        <f t="shared" si="187"/>
        <v>0</v>
      </c>
      <c r="L6008" s="27">
        <v>20824.11</v>
      </c>
      <c r="M6008" s="36">
        <v>8970.85</v>
      </c>
      <c r="T6008" s="41">
        <v>0</v>
      </c>
      <c r="U6008" s="41">
        <v>0</v>
      </c>
      <c r="V6008" s="42" t="s">
        <v>113</v>
      </c>
      <c r="W6008" s="42">
        <v>0</v>
      </c>
      <c r="X6008" s="42">
        <v>0</v>
      </c>
    </row>
    <row r="6009" spans="1:24">
      <c r="A6009" s="27" t="s">
        <v>11067</v>
      </c>
      <c r="B6009" s="28" t="s">
        <v>5102</v>
      </c>
      <c r="C6009" s="27" t="s">
        <v>11068</v>
      </c>
      <c r="D6009" s="27" t="s">
        <v>5104</v>
      </c>
      <c r="E6009" s="29">
        <v>43008</v>
      </c>
      <c r="F6009" s="27">
        <v>15</v>
      </c>
      <c r="G6009" s="18">
        <v>67802.41</v>
      </c>
      <c r="H6009" s="27">
        <f t="shared" si="186"/>
        <v>0</v>
      </c>
      <c r="I6009" s="18">
        <v>5617.88</v>
      </c>
      <c r="J6009" s="27">
        <v>67802.41</v>
      </c>
      <c r="K6009" s="18">
        <f t="shared" si="187"/>
        <v>0</v>
      </c>
      <c r="L6009" s="27">
        <v>9893.84</v>
      </c>
      <c r="M6009" s="36">
        <v>4275.96</v>
      </c>
      <c r="T6009" s="41">
        <v>0</v>
      </c>
      <c r="U6009" s="41">
        <v>0</v>
      </c>
      <c r="V6009" s="42" t="s">
        <v>113</v>
      </c>
      <c r="W6009" s="42">
        <v>0</v>
      </c>
      <c r="X6009" s="42">
        <v>0</v>
      </c>
    </row>
    <row r="6010" spans="1:24">
      <c r="A6010" s="27" t="s">
        <v>11069</v>
      </c>
      <c r="B6010" s="28" t="s">
        <v>5102</v>
      </c>
      <c r="C6010" s="27" t="s">
        <v>11070</v>
      </c>
      <c r="D6010" s="27" t="s">
        <v>5104</v>
      </c>
      <c r="E6010" s="29">
        <v>43008</v>
      </c>
      <c r="F6010" s="27">
        <v>15</v>
      </c>
      <c r="G6010" s="18">
        <v>3038.69</v>
      </c>
      <c r="H6010" s="27">
        <f t="shared" si="186"/>
        <v>0</v>
      </c>
      <c r="I6010" s="18">
        <v>251.78</v>
      </c>
      <c r="J6010" s="27">
        <v>3038.69</v>
      </c>
      <c r="K6010" s="18">
        <f t="shared" si="187"/>
        <v>0</v>
      </c>
      <c r="L6010" s="27">
        <v>443.41</v>
      </c>
      <c r="M6010" s="36">
        <v>191.63</v>
      </c>
      <c r="T6010" s="41">
        <v>0</v>
      </c>
      <c r="U6010" s="41">
        <v>0</v>
      </c>
      <c r="V6010" s="42" t="s">
        <v>113</v>
      </c>
      <c r="W6010" s="42">
        <v>0</v>
      </c>
      <c r="X6010" s="42">
        <v>0</v>
      </c>
    </row>
    <row r="6011" spans="1:24">
      <c r="A6011" s="27" t="s">
        <v>11071</v>
      </c>
      <c r="B6011" s="28" t="s">
        <v>5102</v>
      </c>
      <c r="C6011" s="27" t="s">
        <v>11072</v>
      </c>
      <c r="D6011" s="27" t="s">
        <v>5104</v>
      </c>
      <c r="E6011" s="29">
        <v>43008</v>
      </c>
      <c r="F6011" s="27">
        <v>15</v>
      </c>
      <c r="G6011" s="18">
        <v>7919.01</v>
      </c>
      <c r="H6011" s="27">
        <f t="shared" si="186"/>
        <v>0</v>
      </c>
      <c r="I6011" s="18">
        <v>656.14</v>
      </c>
      <c r="J6011" s="27">
        <v>7919.01</v>
      </c>
      <c r="K6011" s="18">
        <f t="shared" si="187"/>
        <v>0</v>
      </c>
      <c r="L6011" s="27">
        <v>1155.55</v>
      </c>
      <c r="M6011" s="36">
        <v>499.41</v>
      </c>
      <c r="T6011" s="41">
        <v>0</v>
      </c>
      <c r="U6011" s="41">
        <v>0</v>
      </c>
      <c r="V6011" s="42" t="s">
        <v>113</v>
      </c>
      <c r="W6011" s="42">
        <v>0</v>
      </c>
      <c r="X6011" s="42">
        <v>0</v>
      </c>
    </row>
    <row r="6012" spans="1:24">
      <c r="A6012" s="27" t="s">
        <v>11073</v>
      </c>
      <c r="B6012" s="28" t="s">
        <v>5102</v>
      </c>
      <c r="C6012" s="27" t="s">
        <v>11074</v>
      </c>
      <c r="D6012" s="27" t="s">
        <v>5104</v>
      </c>
      <c r="E6012" s="29">
        <v>43008</v>
      </c>
      <c r="F6012" s="27">
        <v>15</v>
      </c>
      <c r="G6012" s="18">
        <v>331536.71999999997</v>
      </c>
      <c r="H6012" s="27">
        <f t="shared" si="186"/>
        <v>0</v>
      </c>
      <c r="I6012" s="18">
        <v>27470.01</v>
      </c>
      <c r="J6012" s="27">
        <v>331536.71999999997</v>
      </c>
      <c r="K6012" s="18">
        <f t="shared" si="187"/>
        <v>0</v>
      </c>
      <c r="L6012" s="27">
        <v>48378.36</v>
      </c>
      <c r="M6012" s="36">
        <v>20908.349999999999</v>
      </c>
      <c r="T6012" s="41">
        <v>0</v>
      </c>
      <c r="U6012" s="41">
        <v>0</v>
      </c>
      <c r="V6012" s="42" t="s">
        <v>113</v>
      </c>
      <c r="W6012" s="42">
        <v>0</v>
      </c>
      <c r="X6012" s="42">
        <v>0</v>
      </c>
    </row>
    <row r="6013" spans="1:24">
      <c r="A6013" s="27" t="s">
        <v>11075</v>
      </c>
      <c r="B6013" s="28" t="s">
        <v>5102</v>
      </c>
      <c r="C6013" s="27" t="s">
        <v>11074</v>
      </c>
      <c r="D6013" s="27" t="s">
        <v>5104</v>
      </c>
      <c r="E6013" s="29">
        <v>43008</v>
      </c>
      <c r="F6013" s="27">
        <v>15</v>
      </c>
      <c r="G6013" s="18">
        <v>6169.47</v>
      </c>
      <c r="H6013" s="27">
        <f t="shared" si="186"/>
        <v>0</v>
      </c>
      <c r="I6013" s="18">
        <v>511.18</v>
      </c>
      <c r="J6013" s="27">
        <v>6169.47</v>
      </c>
      <c r="K6013" s="18">
        <f t="shared" si="187"/>
        <v>0</v>
      </c>
      <c r="L6013" s="27">
        <v>900.26</v>
      </c>
      <c r="M6013" s="36">
        <v>389.08</v>
      </c>
      <c r="T6013" s="41">
        <v>0</v>
      </c>
      <c r="U6013" s="41">
        <v>0</v>
      </c>
      <c r="V6013" s="42" t="s">
        <v>113</v>
      </c>
      <c r="W6013" s="42">
        <v>0</v>
      </c>
      <c r="X6013" s="42">
        <v>0</v>
      </c>
    </row>
    <row r="6014" spans="1:24">
      <c r="A6014" s="27" t="s">
        <v>11076</v>
      </c>
      <c r="B6014" s="28" t="s">
        <v>5102</v>
      </c>
      <c r="C6014" s="27" t="s">
        <v>11077</v>
      </c>
      <c r="D6014" s="27" t="s">
        <v>5104</v>
      </c>
      <c r="E6014" s="29">
        <v>43008</v>
      </c>
      <c r="F6014" s="27">
        <v>15</v>
      </c>
      <c r="G6014" s="18">
        <v>3407.02</v>
      </c>
      <c r="H6014" s="27">
        <f t="shared" si="186"/>
        <v>0</v>
      </c>
      <c r="I6014" s="18">
        <v>282.29000000000002</v>
      </c>
      <c r="J6014" s="27">
        <v>3407.02</v>
      </c>
      <c r="K6014" s="18">
        <f t="shared" si="187"/>
        <v>0</v>
      </c>
      <c r="L6014" s="27">
        <v>497.15</v>
      </c>
      <c r="M6014" s="36">
        <v>214.86</v>
      </c>
      <c r="T6014" s="41">
        <v>0</v>
      </c>
      <c r="U6014" s="41">
        <v>0</v>
      </c>
      <c r="V6014" s="42" t="s">
        <v>113</v>
      </c>
      <c r="W6014" s="42">
        <v>0</v>
      </c>
      <c r="X6014" s="42">
        <v>0</v>
      </c>
    </row>
    <row r="6015" spans="1:24">
      <c r="A6015" s="27" t="s">
        <v>11078</v>
      </c>
      <c r="B6015" s="28" t="s">
        <v>5102</v>
      </c>
      <c r="C6015" s="27" t="s">
        <v>11077</v>
      </c>
      <c r="D6015" s="27" t="s">
        <v>5104</v>
      </c>
      <c r="E6015" s="29">
        <v>43008</v>
      </c>
      <c r="F6015" s="27">
        <v>15</v>
      </c>
      <c r="G6015" s="18">
        <v>18600.47</v>
      </c>
      <c r="H6015" s="27">
        <f t="shared" si="186"/>
        <v>0</v>
      </c>
      <c r="I6015" s="18">
        <v>1541.17</v>
      </c>
      <c r="J6015" s="27">
        <v>18600.47</v>
      </c>
      <c r="K6015" s="18">
        <f t="shared" si="187"/>
        <v>0</v>
      </c>
      <c r="L6015" s="27">
        <v>2714.21</v>
      </c>
      <c r="M6015" s="36">
        <v>1173.04</v>
      </c>
      <c r="T6015" s="41">
        <v>0</v>
      </c>
      <c r="U6015" s="41">
        <v>0</v>
      </c>
      <c r="V6015" s="42" t="s">
        <v>113</v>
      </c>
      <c r="W6015" s="42">
        <v>0</v>
      </c>
      <c r="X6015" s="42">
        <v>0</v>
      </c>
    </row>
    <row r="6016" spans="1:24">
      <c r="A6016" s="27" t="s">
        <v>11079</v>
      </c>
      <c r="B6016" s="28" t="s">
        <v>5102</v>
      </c>
      <c r="C6016" s="27" t="s">
        <v>11080</v>
      </c>
      <c r="D6016" s="27" t="s">
        <v>5104</v>
      </c>
      <c r="E6016" s="29">
        <v>43008</v>
      </c>
      <c r="F6016" s="27">
        <v>15</v>
      </c>
      <c r="G6016" s="18">
        <v>48326.38</v>
      </c>
      <c r="H6016" s="27">
        <f t="shared" si="186"/>
        <v>0</v>
      </c>
      <c r="I6016" s="18">
        <v>4004.16</v>
      </c>
      <c r="J6016" s="27">
        <v>48326.38</v>
      </c>
      <c r="K6016" s="18">
        <f t="shared" si="187"/>
        <v>0</v>
      </c>
      <c r="L6016" s="27">
        <v>7051.86</v>
      </c>
      <c r="M6016" s="36">
        <v>3047.7</v>
      </c>
      <c r="T6016" s="41">
        <v>0</v>
      </c>
      <c r="U6016" s="41">
        <v>0</v>
      </c>
      <c r="V6016" s="42" t="s">
        <v>113</v>
      </c>
      <c r="W6016" s="42">
        <v>0</v>
      </c>
      <c r="X6016" s="42">
        <v>0</v>
      </c>
    </row>
    <row r="6017" spans="1:24">
      <c r="A6017" s="27" t="s">
        <v>11081</v>
      </c>
      <c r="B6017" s="28" t="s">
        <v>5102</v>
      </c>
      <c r="C6017" s="27" t="s">
        <v>11080</v>
      </c>
      <c r="D6017" s="27" t="s">
        <v>5104</v>
      </c>
      <c r="E6017" s="29">
        <v>43008</v>
      </c>
      <c r="F6017" s="27">
        <v>15</v>
      </c>
      <c r="G6017" s="18">
        <v>13769.73</v>
      </c>
      <c r="H6017" s="27">
        <f t="shared" si="186"/>
        <v>0</v>
      </c>
      <c r="I6017" s="18">
        <v>1140.92</v>
      </c>
      <c r="J6017" s="27">
        <v>13769.73</v>
      </c>
      <c r="K6017" s="18">
        <f t="shared" si="187"/>
        <v>0</v>
      </c>
      <c r="L6017" s="27">
        <v>2009.31</v>
      </c>
      <c r="M6017" s="36">
        <v>868.39</v>
      </c>
      <c r="T6017" s="41">
        <v>0</v>
      </c>
      <c r="U6017" s="41">
        <v>0</v>
      </c>
      <c r="V6017" s="42" t="s">
        <v>113</v>
      </c>
      <c r="W6017" s="42">
        <v>0</v>
      </c>
      <c r="X6017" s="42">
        <v>0</v>
      </c>
    </row>
    <row r="6018" spans="1:24">
      <c r="A6018" s="27" t="s">
        <v>11082</v>
      </c>
      <c r="B6018" s="28" t="s">
        <v>5102</v>
      </c>
      <c r="C6018" s="27" t="s">
        <v>11083</v>
      </c>
      <c r="D6018" s="27" t="s">
        <v>5104</v>
      </c>
      <c r="E6018" s="29">
        <v>43008</v>
      </c>
      <c r="F6018" s="27">
        <v>15</v>
      </c>
      <c r="G6018" s="18">
        <v>49157.599999999999</v>
      </c>
      <c r="H6018" s="27">
        <f t="shared" si="186"/>
        <v>0</v>
      </c>
      <c r="I6018" s="18">
        <v>4073.03</v>
      </c>
      <c r="J6018" s="27">
        <v>49157.599999999999</v>
      </c>
      <c r="K6018" s="18">
        <f t="shared" si="187"/>
        <v>0</v>
      </c>
      <c r="L6018" s="27">
        <v>7173.15</v>
      </c>
      <c r="M6018" s="36">
        <v>3100.12</v>
      </c>
      <c r="T6018" s="41">
        <v>0</v>
      </c>
      <c r="U6018" s="41">
        <v>0</v>
      </c>
      <c r="V6018" s="42" t="s">
        <v>113</v>
      </c>
      <c r="W6018" s="42">
        <v>0</v>
      </c>
      <c r="X6018" s="42">
        <v>0</v>
      </c>
    </row>
    <row r="6019" spans="1:24">
      <c r="A6019" s="27" t="s">
        <v>11084</v>
      </c>
      <c r="B6019" s="28" t="s">
        <v>5102</v>
      </c>
      <c r="C6019" s="27" t="s">
        <v>11085</v>
      </c>
      <c r="D6019" s="27" t="s">
        <v>5104</v>
      </c>
      <c r="E6019" s="29">
        <v>43008</v>
      </c>
      <c r="F6019" s="27">
        <v>15</v>
      </c>
      <c r="G6019" s="18">
        <v>141224.63</v>
      </c>
      <c r="H6019" s="27">
        <f t="shared" si="186"/>
        <v>0</v>
      </c>
      <c r="I6019" s="18">
        <v>11714.49</v>
      </c>
      <c r="J6019" s="27">
        <v>141224.63</v>
      </c>
      <c r="K6019" s="18">
        <f t="shared" si="187"/>
        <v>0</v>
      </c>
      <c r="L6019" s="27">
        <v>20619.87</v>
      </c>
      <c r="M6019" s="36">
        <v>8905.3799999999992</v>
      </c>
      <c r="T6019" s="41">
        <v>0</v>
      </c>
      <c r="U6019" s="41">
        <v>0</v>
      </c>
      <c r="V6019" s="42" t="s">
        <v>113</v>
      </c>
      <c r="W6019" s="42">
        <v>0</v>
      </c>
      <c r="X6019" s="42">
        <v>0</v>
      </c>
    </row>
    <row r="6020" spans="1:24">
      <c r="A6020" s="27" t="s">
        <v>11086</v>
      </c>
      <c r="B6020" s="28" t="s">
        <v>5102</v>
      </c>
      <c r="C6020" s="27" t="s">
        <v>11085</v>
      </c>
      <c r="D6020" s="27" t="s">
        <v>5104</v>
      </c>
      <c r="E6020" s="29">
        <v>43008</v>
      </c>
      <c r="F6020" s="27">
        <v>15</v>
      </c>
      <c r="G6020" s="18">
        <v>234174</v>
      </c>
      <c r="H6020" s="27">
        <f t="shared" si="186"/>
        <v>0</v>
      </c>
      <c r="I6020" s="18">
        <v>19402.87</v>
      </c>
      <c r="J6020" s="27">
        <v>234174</v>
      </c>
      <c r="K6020" s="18">
        <f t="shared" si="187"/>
        <v>0</v>
      </c>
      <c r="L6020" s="27">
        <v>34171.050000000003</v>
      </c>
      <c r="M6020" s="36">
        <v>14768.18</v>
      </c>
      <c r="T6020" s="41">
        <v>0</v>
      </c>
      <c r="U6020" s="41">
        <v>0</v>
      </c>
      <c r="V6020" s="42" t="s">
        <v>113</v>
      </c>
      <c r="W6020" s="42">
        <v>0</v>
      </c>
      <c r="X6020" s="42">
        <v>0</v>
      </c>
    </row>
    <row r="6021" spans="1:24">
      <c r="A6021" s="27" t="s">
        <v>11087</v>
      </c>
      <c r="B6021" s="28" t="s">
        <v>5102</v>
      </c>
      <c r="C6021" s="27" t="s">
        <v>11088</v>
      </c>
      <c r="D6021" s="27" t="s">
        <v>5104</v>
      </c>
      <c r="E6021" s="29">
        <v>43008</v>
      </c>
      <c r="F6021" s="27">
        <v>15</v>
      </c>
      <c r="G6021" s="18">
        <v>199539.7</v>
      </c>
      <c r="H6021" s="27">
        <f t="shared" si="186"/>
        <v>0</v>
      </c>
      <c r="I6021" s="18">
        <v>16533.189999999999</v>
      </c>
      <c r="J6021" s="27">
        <v>199539.7</v>
      </c>
      <c r="K6021" s="18">
        <f t="shared" si="187"/>
        <v>0</v>
      </c>
      <c r="L6021" s="27">
        <v>29117.16</v>
      </c>
      <c r="M6021" s="36">
        <v>12583.97</v>
      </c>
      <c r="T6021" s="41">
        <v>0</v>
      </c>
      <c r="U6021" s="41">
        <v>0</v>
      </c>
      <c r="V6021" s="42" t="s">
        <v>113</v>
      </c>
      <c r="W6021" s="42">
        <v>0</v>
      </c>
      <c r="X6021" s="42">
        <v>0</v>
      </c>
    </row>
    <row r="6022" spans="1:24">
      <c r="A6022" s="27" t="s">
        <v>11089</v>
      </c>
      <c r="B6022" s="28" t="s">
        <v>5102</v>
      </c>
      <c r="C6022" s="27" t="s">
        <v>11090</v>
      </c>
      <c r="D6022" s="27" t="s">
        <v>5104</v>
      </c>
      <c r="E6022" s="29">
        <v>43008</v>
      </c>
      <c r="F6022" s="27">
        <v>15</v>
      </c>
      <c r="G6022" s="18">
        <v>11311.47</v>
      </c>
      <c r="H6022" s="27">
        <f t="shared" ref="H6022:H6085" si="188">IFERROR(IF(ROUND((G6022-I6022)/G6022,2)&lt;=0.05,G6022,0),0)</f>
        <v>0</v>
      </c>
      <c r="I6022" s="18">
        <v>937.23</v>
      </c>
      <c r="J6022" s="27">
        <v>11311.47</v>
      </c>
      <c r="K6022" s="18">
        <f t="shared" ref="K6022:K6085" si="189">IFERROR(IF(ROUND((J6022-L6022)/J6022,2)&lt;=0.05,J6022,0),0)</f>
        <v>0</v>
      </c>
      <c r="L6022" s="27">
        <v>1650.59</v>
      </c>
      <c r="M6022" s="36">
        <v>713.36</v>
      </c>
      <c r="T6022" s="41">
        <v>0</v>
      </c>
      <c r="U6022" s="41">
        <v>0</v>
      </c>
      <c r="V6022" s="42" t="s">
        <v>113</v>
      </c>
      <c r="W6022" s="42">
        <v>0</v>
      </c>
      <c r="X6022" s="42">
        <v>0</v>
      </c>
    </row>
    <row r="6023" spans="1:24">
      <c r="A6023" s="27" t="s">
        <v>11091</v>
      </c>
      <c r="B6023" s="28" t="s">
        <v>5102</v>
      </c>
      <c r="C6023" s="27" t="s">
        <v>11090</v>
      </c>
      <c r="D6023" s="27" t="s">
        <v>5104</v>
      </c>
      <c r="E6023" s="29">
        <v>43008</v>
      </c>
      <c r="F6023" s="27">
        <v>15</v>
      </c>
      <c r="G6023" s="18">
        <v>65079.67</v>
      </c>
      <c r="H6023" s="27">
        <f t="shared" si="188"/>
        <v>0</v>
      </c>
      <c r="I6023" s="18">
        <v>5392.29</v>
      </c>
      <c r="J6023" s="27">
        <v>65079.67</v>
      </c>
      <c r="K6023" s="18">
        <f t="shared" si="189"/>
        <v>0</v>
      </c>
      <c r="L6023" s="27">
        <v>9496.5400000000009</v>
      </c>
      <c r="M6023" s="36">
        <v>4104.25</v>
      </c>
      <c r="T6023" s="41">
        <v>0</v>
      </c>
      <c r="U6023" s="41">
        <v>0</v>
      </c>
      <c r="V6023" s="42" t="s">
        <v>113</v>
      </c>
      <c r="W6023" s="42">
        <v>0</v>
      </c>
      <c r="X6023" s="42">
        <v>0</v>
      </c>
    </row>
    <row r="6024" spans="1:24">
      <c r="A6024" s="27" t="s">
        <v>11092</v>
      </c>
      <c r="B6024" s="28" t="s">
        <v>5102</v>
      </c>
      <c r="C6024" s="27" t="s">
        <v>11093</v>
      </c>
      <c r="D6024" s="27" t="s">
        <v>5104</v>
      </c>
      <c r="E6024" s="29">
        <v>43008</v>
      </c>
      <c r="F6024" s="27">
        <v>15</v>
      </c>
      <c r="G6024" s="18">
        <v>24869.73</v>
      </c>
      <c r="H6024" s="27">
        <f t="shared" si="188"/>
        <v>0</v>
      </c>
      <c r="I6024" s="18">
        <v>2060.62</v>
      </c>
      <c r="J6024" s="27">
        <v>24869.73</v>
      </c>
      <c r="K6024" s="18">
        <f t="shared" si="189"/>
        <v>0</v>
      </c>
      <c r="L6024" s="27">
        <v>3629.03</v>
      </c>
      <c r="M6024" s="36">
        <v>1568.41</v>
      </c>
      <c r="T6024" s="41">
        <v>0</v>
      </c>
      <c r="U6024" s="41">
        <v>0</v>
      </c>
      <c r="V6024" s="42" t="s">
        <v>113</v>
      </c>
      <c r="W6024" s="42">
        <v>0</v>
      </c>
      <c r="X6024" s="42">
        <v>0</v>
      </c>
    </row>
    <row r="6025" spans="1:24">
      <c r="A6025" s="27" t="s">
        <v>11094</v>
      </c>
      <c r="B6025" s="28" t="s">
        <v>5102</v>
      </c>
      <c r="C6025" s="27" t="s">
        <v>11095</v>
      </c>
      <c r="D6025" s="27" t="s">
        <v>5104</v>
      </c>
      <c r="E6025" s="29">
        <v>43008</v>
      </c>
      <c r="F6025" s="27">
        <v>15</v>
      </c>
      <c r="G6025" s="18">
        <v>39047.800000000003</v>
      </c>
      <c r="H6025" s="27">
        <f t="shared" si="188"/>
        <v>0</v>
      </c>
      <c r="I6025" s="18">
        <v>3235.37</v>
      </c>
      <c r="J6025" s="27">
        <v>39047.800000000003</v>
      </c>
      <c r="K6025" s="18">
        <f t="shared" si="189"/>
        <v>0</v>
      </c>
      <c r="L6025" s="27">
        <v>5697.92</v>
      </c>
      <c r="M6025" s="36">
        <v>2462.5500000000002</v>
      </c>
      <c r="T6025" s="41">
        <v>0</v>
      </c>
      <c r="U6025" s="41">
        <v>0</v>
      </c>
      <c r="V6025" s="42" t="s">
        <v>113</v>
      </c>
      <c r="W6025" s="42">
        <v>0</v>
      </c>
      <c r="X6025" s="42">
        <v>0</v>
      </c>
    </row>
    <row r="6026" spans="1:24">
      <c r="A6026" s="27" t="s">
        <v>11096</v>
      </c>
      <c r="B6026" s="28" t="s">
        <v>5102</v>
      </c>
      <c r="C6026" s="27" t="s">
        <v>11095</v>
      </c>
      <c r="D6026" s="27" t="s">
        <v>5104</v>
      </c>
      <c r="E6026" s="29">
        <v>43008</v>
      </c>
      <c r="F6026" s="27">
        <v>15</v>
      </c>
      <c r="G6026" s="18">
        <v>125601.82</v>
      </c>
      <c r="H6026" s="27">
        <f t="shared" si="188"/>
        <v>0</v>
      </c>
      <c r="I6026" s="18">
        <v>10406.950000000001</v>
      </c>
      <c r="J6026" s="27">
        <v>125601.82</v>
      </c>
      <c r="K6026" s="18">
        <f t="shared" si="189"/>
        <v>0</v>
      </c>
      <c r="L6026" s="27">
        <v>18328.02</v>
      </c>
      <c r="M6026" s="36">
        <v>7921.07</v>
      </c>
      <c r="T6026" s="41">
        <v>0</v>
      </c>
      <c r="U6026" s="41">
        <v>0</v>
      </c>
      <c r="V6026" s="42" t="s">
        <v>113</v>
      </c>
      <c r="W6026" s="42">
        <v>0</v>
      </c>
      <c r="X6026" s="42">
        <v>0</v>
      </c>
    </row>
    <row r="6027" spans="1:24">
      <c r="A6027" s="27" t="s">
        <v>11097</v>
      </c>
      <c r="B6027" s="28" t="s">
        <v>5102</v>
      </c>
      <c r="C6027" s="27" t="s">
        <v>11098</v>
      </c>
      <c r="D6027" s="27" t="s">
        <v>5104</v>
      </c>
      <c r="E6027" s="29">
        <v>43008</v>
      </c>
      <c r="F6027" s="27">
        <v>15</v>
      </c>
      <c r="G6027" s="18">
        <v>41948.68</v>
      </c>
      <c r="H6027" s="27">
        <f t="shared" si="188"/>
        <v>0</v>
      </c>
      <c r="I6027" s="18">
        <v>3475.72</v>
      </c>
      <c r="J6027" s="27">
        <v>41948.68</v>
      </c>
      <c r="K6027" s="18">
        <f t="shared" si="189"/>
        <v>0</v>
      </c>
      <c r="L6027" s="27">
        <v>6121.21</v>
      </c>
      <c r="M6027" s="36">
        <v>2645.49</v>
      </c>
      <c r="T6027" s="41">
        <v>0</v>
      </c>
      <c r="U6027" s="41">
        <v>0</v>
      </c>
      <c r="V6027" s="42" t="s">
        <v>113</v>
      </c>
      <c r="W6027" s="42">
        <v>0</v>
      </c>
      <c r="X6027" s="42">
        <v>0</v>
      </c>
    </row>
    <row r="6028" spans="1:24">
      <c r="A6028" s="27" t="s">
        <v>11099</v>
      </c>
      <c r="B6028" s="28" t="s">
        <v>5102</v>
      </c>
      <c r="C6028" s="27" t="s">
        <v>11100</v>
      </c>
      <c r="D6028" s="27" t="s">
        <v>5104</v>
      </c>
      <c r="E6028" s="29">
        <v>43038</v>
      </c>
      <c r="F6028" s="27">
        <v>15</v>
      </c>
      <c r="G6028" s="18">
        <v>80132.11</v>
      </c>
      <c r="H6028" s="27">
        <f t="shared" si="188"/>
        <v>0</v>
      </c>
      <c r="I6028" s="18">
        <v>6118.08</v>
      </c>
      <c r="J6028" s="27">
        <v>80132.11</v>
      </c>
      <c r="K6028" s="18">
        <f t="shared" si="189"/>
        <v>0</v>
      </c>
      <c r="L6028" s="27">
        <v>11178.86</v>
      </c>
      <c r="M6028" s="36">
        <v>5060.78</v>
      </c>
      <c r="T6028" s="41">
        <v>0</v>
      </c>
      <c r="U6028" s="41">
        <v>0</v>
      </c>
      <c r="V6028" s="42" t="s">
        <v>113</v>
      </c>
      <c r="W6028" s="42">
        <v>0</v>
      </c>
      <c r="X6028" s="42">
        <v>0</v>
      </c>
    </row>
    <row r="6029" spans="1:24">
      <c r="A6029" s="27" t="s">
        <v>11101</v>
      </c>
      <c r="B6029" s="28" t="s">
        <v>5102</v>
      </c>
      <c r="C6029" s="27" t="s">
        <v>11102</v>
      </c>
      <c r="D6029" s="27" t="s">
        <v>5104</v>
      </c>
      <c r="E6029" s="29">
        <v>43038</v>
      </c>
      <c r="F6029" s="27">
        <v>15</v>
      </c>
      <c r="G6029" s="18">
        <v>44871.93</v>
      </c>
      <c r="H6029" s="27">
        <f t="shared" si="188"/>
        <v>0</v>
      </c>
      <c r="I6029" s="18">
        <v>3410.86</v>
      </c>
      <c r="J6029" s="27">
        <v>44871.93</v>
      </c>
      <c r="K6029" s="18">
        <f t="shared" si="189"/>
        <v>0</v>
      </c>
      <c r="L6029" s="27">
        <v>6245.86</v>
      </c>
      <c r="M6029" s="36">
        <v>2835</v>
      </c>
      <c r="T6029" s="41">
        <v>0</v>
      </c>
      <c r="U6029" s="41">
        <v>0</v>
      </c>
      <c r="V6029" s="42" t="s">
        <v>113</v>
      </c>
      <c r="W6029" s="42">
        <v>0</v>
      </c>
      <c r="X6029" s="42">
        <v>0</v>
      </c>
    </row>
    <row r="6030" spans="1:24">
      <c r="A6030" s="27" t="s">
        <v>11103</v>
      </c>
      <c r="B6030" s="28" t="s">
        <v>5102</v>
      </c>
      <c r="C6030" s="27" t="s">
        <v>11102</v>
      </c>
      <c r="D6030" s="27" t="s">
        <v>5104</v>
      </c>
      <c r="E6030" s="29">
        <v>43038</v>
      </c>
      <c r="F6030" s="27">
        <v>15</v>
      </c>
      <c r="G6030" s="18">
        <v>75732.479999999996</v>
      </c>
      <c r="H6030" s="27">
        <f t="shared" si="188"/>
        <v>0</v>
      </c>
      <c r="I6030" s="18">
        <v>5782.17</v>
      </c>
      <c r="J6030" s="27">
        <v>75732.479999999996</v>
      </c>
      <c r="K6030" s="18">
        <f t="shared" si="189"/>
        <v>0</v>
      </c>
      <c r="L6030" s="27">
        <v>10565.09</v>
      </c>
      <c r="M6030" s="36">
        <v>4782.92</v>
      </c>
      <c r="T6030" s="41">
        <v>0</v>
      </c>
      <c r="U6030" s="41">
        <v>0</v>
      </c>
      <c r="V6030" s="42" t="s">
        <v>113</v>
      </c>
      <c r="W6030" s="42">
        <v>0</v>
      </c>
      <c r="X6030" s="42">
        <v>0</v>
      </c>
    </row>
    <row r="6031" spans="1:24">
      <c r="A6031" s="27" t="s">
        <v>11104</v>
      </c>
      <c r="B6031" s="28" t="s">
        <v>5102</v>
      </c>
      <c r="C6031" s="27" t="s">
        <v>11105</v>
      </c>
      <c r="D6031" s="27" t="s">
        <v>5104</v>
      </c>
      <c r="E6031" s="29">
        <v>43038</v>
      </c>
      <c r="F6031" s="27">
        <v>15</v>
      </c>
      <c r="G6031" s="18">
        <v>100150.66</v>
      </c>
      <c r="H6031" s="27">
        <f t="shared" si="188"/>
        <v>0</v>
      </c>
      <c r="I6031" s="18">
        <v>7646.49</v>
      </c>
      <c r="J6031" s="27">
        <v>100150.66</v>
      </c>
      <c r="K6031" s="18">
        <f t="shared" si="189"/>
        <v>0</v>
      </c>
      <c r="L6031" s="27">
        <v>13971.55</v>
      </c>
      <c r="M6031" s="36">
        <v>6325.06</v>
      </c>
      <c r="T6031" s="41">
        <v>0</v>
      </c>
      <c r="U6031" s="41">
        <v>0</v>
      </c>
      <c r="V6031" s="42" t="s">
        <v>113</v>
      </c>
      <c r="W6031" s="42">
        <v>0</v>
      </c>
      <c r="X6031" s="42">
        <v>0</v>
      </c>
    </row>
    <row r="6032" spans="1:24">
      <c r="A6032" s="27" t="s">
        <v>11106</v>
      </c>
      <c r="B6032" s="28" t="s">
        <v>5102</v>
      </c>
      <c r="C6032" s="27" t="s">
        <v>11107</v>
      </c>
      <c r="D6032" s="27" t="s">
        <v>5104</v>
      </c>
      <c r="E6032" s="29">
        <v>43038</v>
      </c>
      <c r="F6032" s="27">
        <v>15</v>
      </c>
      <c r="G6032" s="18">
        <v>80484.100000000006</v>
      </c>
      <c r="H6032" s="27">
        <f t="shared" si="188"/>
        <v>0</v>
      </c>
      <c r="I6032" s="18">
        <v>6144.95</v>
      </c>
      <c r="J6032" s="27">
        <v>80484.100000000006</v>
      </c>
      <c r="K6032" s="18">
        <f t="shared" si="189"/>
        <v>0</v>
      </c>
      <c r="L6032" s="27">
        <v>11227.96</v>
      </c>
      <c r="M6032" s="36">
        <v>5083.01</v>
      </c>
      <c r="T6032" s="41">
        <v>0</v>
      </c>
      <c r="U6032" s="41">
        <v>0</v>
      </c>
      <c r="V6032" s="42" t="s">
        <v>113</v>
      </c>
      <c r="W6032" s="42">
        <v>0</v>
      </c>
      <c r="X6032" s="42">
        <v>0</v>
      </c>
    </row>
    <row r="6033" spans="1:24">
      <c r="A6033" s="27" t="s">
        <v>11108</v>
      </c>
      <c r="B6033" s="28" t="s">
        <v>5102</v>
      </c>
      <c r="C6033" s="27" t="s">
        <v>11107</v>
      </c>
      <c r="D6033" s="27" t="s">
        <v>5104</v>
      </c>
      <c r="E6033" s="29">
        <v>43038</v>
      </c>
      <c r="F6033" s="27">
        <v>15</v>
      </c>
      <c r="G6033" s="18">
        <v>1935.84</v>
      </c>
      <c r="H6033" s="27">
        <f t="shared" si="188"/>
        <v>0</v>
      </c>
      <c r="I6033" s="18">
        <v>147.80000000000001</v>
      </c>
      <c r="J6033" s="27">
        <v>1935.84</v>
      </c>
      <c r="K6033" s="18">
        <f t="shared" si="189"/>
        <v>0</v>
      </c>
      <c r="L6033" s="27">
        <v>270.06</v>
      </c>
      <c r="M6033" s="36">
        <v>122.26</v>
      </c>
      <c r="T6033" s="41">
        <v>0</v>
      </c>
      <c r="U6033" s="41">
        <v>0</v>
      </c>
      <c r="V6033" s="42" t="s">
        <v>113</v>
      </c>
      <c r="W6033" s="42">
        <v>0</v>
      </c>
      <c r="X6033" s="42">
        <v>0</v>
      </c>
    </row>
    <row r="6034" spans="1:24">
      <c r="A6034" s="27" t="s">
        <v>11109</v>
      </c>
      <c r="B6034" s="28" t="s">
        <v>5102</v>
      </c>
      <c r="C6034" s="27" t="s">
        <v>11110</v>
      </c>
      <c r="D6034" s="27" t="s">
        <v>5104</v>
      </c>
      <c r="E6034" s="29">
        <v>43038</v>
      </c>
      <c r="F6034" s="27">
        <v>15</v>
      </c>
      <c r="G6034" s="18">
        <v>84106.29</v>
      </c>
      <c r="H6034" s="27">
        <f t="shared" si="188"/>
        <v>0</v>
      </c>
      <c r="I6034" s="18">
        <v>6421.51</v>
      </c>
      <c r="J6034" s="27">
        <v>84106.29</v>
      </c>
      <c r="K6034" s="18">
        <f t="shared" si="189"/>
        <v>0</v>
      </c>
      <c r="L6034" s="27">
        <v>11733.28</v>
      </c>
      <c r="M6034" s="36">
        <v>5311.77</v>
      </c>
      <c r="T6034" s="41">
        <v>0</v>
      </c>
      <c r="U6034" s="41">
        <v>0</v>
      </c>
      <c r="V6034" s="42" t="s">
        <v>113</v>
      </c>
      <c r="W6034" s="42">
        <v>0</v>
      </c>
      <c r="X6034" s="42">
        <v>0</v>
      </c>
    </row>
    <row r="6035" spans="1:24">
      <c r="A6035" s="27" t="s">
        <v>11111</v>
      </c>
      <c r="B6035" s="28" t="s">
        <v>5102</v>
      </c>
      <c r="C6035" s="27" t="s">
        <v>11112</v>
      </c>
      <c r="D6035" s="27" t="s">
        <v>5104</v>
      </c>
      <c r="E6035" s="29">
        <v>43038</v>
      </c>
      <c r="F6035" s="27">
        <v>15</v>
      </c>
      <c r="G6035" s="18">
        <v>10852.45</v>
      </c>
      <c r="H6035" s="27">
        <f t="shared" si="188"/>
        <v>0</v>
      </c>
      <c r="I6035" s="18">
        <v>828.58</v>
      </c>
      <c r="J6035" s="27">
        <v>10852.45</v>
      </c>
      <c r="K6035" s="18">
        <f t="shared" si="189"/>
        <v>0</v>
      </c>
      <c r="L6035" s="27">
        <v>1513.97</v>
      </c>
      <c r="M6035" s="36">
        <v>685.39</v>
      </c>
      <c r="T6035" s="41">
        <v>0</v>
      </c>
      <c r="U6035" s="41">
        <v>0</v>
      </c>
      <c r="V6035" s="42" t="s">
        <v>113</v>
      </c>
      <c r="W6035" s="42">
        <v>0</v>
      </c>
      <c r="X6035" s="42">
        <v>0</v>
      </c>
    </row>
    <row r="6036" spans="1:24">
      <c r="A6036" s="27" t="s">
        <v>11113</v>
      </c>
      <c r="B6036" s="28" t="s">
        <v>5102</v>
      </c>
      <c r="C6036" s="27" t="s">
        <v>11112</v>
      </c>
      <c r="D6036" s="27" t="s">
        <v>5104</v>
      </c>
      <c r="E6036" s="29">
        <v>43038</v>
      </c>
      <c r="F6036" s="27">
        <v>15</v>
      </c>
      <c r="G6036" s="18">
        <v>15956.03</v>
      </c>
      <c r="H6036" s="27">
        <f t="shared" si="188"/>
        <v>0</v>
      </c>
      <c r="I6036" s="18">
        <v>1218.24</v>
      </c>
      <c r="J6036" s="27">
        <v>15956.03</v>
      </c>
      <c r="K6036" s="18">
        <f t="shared" si="189"/>
        <v>0</v>
      </c>
      <c r="L6036" s="27">
        <v>2225.9499999999998</v>
      </c>
      <c r="M6036" s="36">
        <v>1007.71</v>
      </c>
      <c r="T6036" s="41">
        <v>0</v>
      </c>
      <c r="U6036" s="41">
        <v>0</v>
      </c>
      <c r="V6036" s="42" t="s">
        <v>113</v>
      </c>
      <c r="W6036" s="42">
        <v>0</v>
      </c>
      <c r="X6036" s="42">
        <v>0</v>
      </c>
    </row>
    <row r="6037" spans="1:24">
      <c r="A6037" s="27" t="s">
        <v>11114</v>
      </c>
      <c r="B6037" s="28" t="s">
        <v>5102</v>
      </c>
      <c r="C6037" s="27" t="s">
        <v>11115</v>
      </c>
      <c r="D6037" s="27" t="s">
        <v>5104</v>
      </c>
      <c r="E6037" s="29">
        <v>43038</v>
      </c>
      <c r="F6037" s="27">
        <v>15</v>
      </c>
      <c r="G6037" s="18">
        <v>21352.92</v>
      </c>
      <c r="H6037" s="27">
        <f t="shared" si="188"/>
        <v>0</v>
      </c>
      <c r="I6037" s="18">
        <v>1630.29</v>
      </c>
      <c r="J6037" s="27">
        <v>21352.92</v>
      </c>
      <c r="K6037" s="18">
        <f t="shared" si="189"/>
        <v>0</v>
      </c>
      <c r="L6037" s="27">
        <v>2978.84</v>
      </c>
      <c r="M6037" s="36">
        <v>1348.55</v>
      </c>
      <c r="T6037" s="41">
        <v>0</v>
      </c>
      <c r="U6037" s="41">
        <v>0</v>
      </c>
      <c r="V6037" s="42" t="s">
        <v>113</v>
      </c>
      <c r="W6037" s="42">
        <v>0</v>
      </c>
      <c r="X6037" s="42">
        <v>0</v>
      </c>
    </row>
    <row r="6038" spans="1:24">
      <c r="A6038" s="27" t="s">
        <v>11116</v>
      </c>
      <c r="B6038" s="28" t="s">
        <v>5102</v>
      </c>
      <c r="C6038" s="27" t="s">
        <v>11117</v>
      </c>
      <c r="D6038" s="27" t="s">
        <v>5104</v>
      </c>
      <c r="E6038" s="29">
        <v>43038</v>
      </c>
      <c r="F6038" s="27">
        <v>15</v>
      </c>
      <c r="G6038" s="18">
        <v>87699.5</v>
      </c>
      <c r="H6038" s="27">
        <f t="shared" si="188"/>
        <v>0</v>
      </c>
      <c r="I6038" s="18">
        <v>6695.85</v>
      </c>
      <c r="J6038" s="27">
        <v>87699.5</v>
      </c>
      <c r="K6038" s="18">
        <f t="shared" si="189"/>
        <v>0</v>
      </c>
      <c r="L6038" s="27">
        <v>12234.55</v>
      </c>
      <c r="M6038" s="36">
        <v>5538.7</v>
      </c>
      <c r="T6038" s="41">
        <v>0</v>
      </c>
      <c r="U6038" s="41">
        <v>0</v>
      </c>
      <c r="V6038" s="42" t="s">
        <v>113</v>
      </c>
      <c r="W6038" s="42">
        <v>0</v>
      </c>
      <c r="X6038" s="42">
        <v>0</v>
      </c>
    </row>
    <row r="6039" spans="1:24">
      <c r="A6039" s="27" t="s">
        <v>11118</v>
      </c>
      <c r="B6039" s="28" t="s">
        <v>5102</v>
      </c>
      <c r="C6039" s="27" t="s">
        <v>11119</v>
      </c>
      <c r="D6039" s="27" t="s">
        <v>5104</v>
      </c>
      <c r="E6039" s="29">
        <v>43038</v>
      </c>
      <c r="F6039" s="27">
        <v>15</v>
      </c>
      <c r="G6039" s="18">
        <v>40945.99</v>
      </c>
      <c r="H6039" s="27">
        <f t="shared" si="188"/>
        <v>0</v>
      </c>
      <c r="I6039" s="18">
        <v>3126.22</v>
      </c>
      <c r="J6039" s="27">
        <v>40945.99</v>
      </c>
      <c r="K6039" s="18">
        <f t="shared" si="189"/>
        <v>0</v>
      </c>
      <c r="L6039" s="27">
        <v>5712.18</v>
      </c>
      <c r="M6039" s="36">
        <v>2585.96</v>
      </c>
      <c r="T6039" s="41">
        <v>0</v>
      </c>
      <c r="U6039" s="41">
        <v>0</v>
      </c>
      <c r="V6039" s="42" t="s">
        <v>113</v>
      </c>
      <c r="W6039" s="42">
        <v>0</v>
      </c>
      <c r="X6039" s="42">
        <v>0</v>
      </c>
    </row>
    <row r="6040" spans="1:24">
      <c r="A6040" s="27" t="s">
        <v>11120</v>
      </c>
      <c r="B6040" s="28" t="s">
        <v>5102</v>
      </c>
      <c r="C6040" s="27" t="s">
        <v>11121</v>
      </c>
      <c r="D6040" s="27" t="s">
        <v>5104</v>
      </c>
      <c r="E6040" s="29">
        <v>43038</v>
      </c>
      <c r="F6040" s="27">
        <v>15</v>
      </c>
      <c r="G6040" s="18">
        <v>167401.39000000001</v>
      </c>
      <c r="H6040" s="27">
        <f t="shared" si="188"/>
        <v>0</v>
      </c>
      <c r="I6040" s="18">
        <v>12764.11</v>
      </c>
      <c r="J6040" s="27">
        <v>167401.39000000001</v>
      </c>
      <c r="K6040" s="18">
        <f t="shared" si="189"/>
        <v>0</v>
      </c>
      <c r="L6040" s="27">
        <v>23337.64</v>
      </c>
      <c r="M6040" s="36">
        <v>10573.53</v>
      </c>
      <c r="T6040" s="41">
        <v>0</v>
      </c>
      <c r="U6040" s="41">
        <v>0</v>
      </c>
      <c r="V6040" s="42" t="s">
        <v>113</v>
      </c>
      <c r="W6040" s="42">
        <v>0</v>
      </c>
      <c r="X6040" s="42">
        <v>0</v>
      </c>
    </row>
    <row r="6041" spans="1:24">
      <c r="A6041" s="27" t="s">
        <v>11122</v>
      </c>
      <c r="B6041" s="28" t="s">
        <v>5102</v>
      </c>
      <c r="C6041" s="27" t="s">
        <v>11121</v>
      </c>
      <c r="D6041" s="27" t="s">
        <v>5104</v>
      </c>
      <c r="E6041" s="29">
        <v>43038</v>
      </c>
      <c r="F6041" s="27">
        <v>15</v>
      </c>
      <c r="G6041" s="18">
        <v>22548.34</v>
      </c>
      <c r="H6041" s="27">
        <f t="shared" si="188"/>
        <v>0</v>
      </c>
      <c r="I6041" s="18">
        <v>1721.56</v>
      </c>
      <c r="J6041" s="27">
        <v>22548.34</v>
      </c>
      <c r="K6041" s="18">
        <f t="shared" si="189"/>
        <v>0</v>
      </c>
      <c r="L6041" s="27">
        <v>3145.61</v>
      </c>
      <c r="M6041" s="36">
        <v>1424.05</v>
      </c>
      <c r="T6041" s="41">
        <v>0</v>
      </c>
      <c r="U6041" s="41">
        <v>0</v>
      </c>
      <c r="V6041" s="42" t="s">
        <v>113</v>
      </c>
      <c r="W6041" s="42">
        <v>0</v>
      </c>
      <c r="X6041" s="42">
        <v>0</v>
      </c>
    </row>
    <row r="6042" spans="1:24">
      <c r="A6042" s="27" t="s">
        <v>11123</v>
      </c>
      <c r="B6042" s="28" t="s">
        <v>5102</v>
      </c>
      <c r="C6042" s="27" t="s">
        <v>11124</v>
      </c>
      <c r="D6042" s="27" t="s">
        <v>5104</v>
      </c>
      <c r="E6042" s="29">
        <v>43038</v>
      </c>
      <c r="F6042" s="27">
        <v>15</v>
      </c>
      <c r="G6042" s="18">
        <v>260308.9</v>
      </c>
      <c r="H6042" s="27">
        <f t="shared" si="188"/>
        <v>0</v>
      </c>
      <c r="I6042" s="18">
        <v>19874.55</v>
      </c>
      <c r="J6042" s="27">
        <v>260308.9</v>
      </c>
      <c r="K6042" s="18">
        <f t="shared" si="189"/>
        <v>0</v>
      </c>
      <c r="L6042" s="27">
        <v>36314.47</v>
      </c>
      <c r="M6042" s="36">
        <v>16439.919999999998</v>
      </c>
      <c r="T6042" s="41">
        <v>0</v>
      </c>
      <c r="U6042" s="41">
        <v>0</v>
      </c>
      <c r="V6042" s="42" t="s">
        <v>113</v>
      </c>
      <c r="W6042" s="42">
        <v>0</v>
      </c>
      <c r="X6042" s="42">
        <v>0</v>
      </c>
    </row>
    <row r="6043" spans="1:24">
      <c r="A6043" s="27" t="s">
        <v>11125</v>
      </c>
      <c r="B6043" s="28" t="s">
        <v>5102</v>
      </c>
      <c r="C6043" s="27" t="s">
        <v>11126</v>
      </c>
      <c r="D6043" s="27" t="s">
        <v>5104</v>
      </c>
      <c r="E6043" s="29">
        <v>43038</v>
      </c>
      <c r="F6043" s="27">
        <v>15</v>
      </c>
      <c r="G6043" s="18">
        <v>120766</v>
      </c>
      <c r="H6043" s="27">
        <f t="shared" si="188"/>
        <v>0</v>
      </c>
      <c r="I6043" s="18">
        <v>9220.4699999999993</v>
      </c>
      <c r="J6043" s="27">
        <v>120766</v>
      </c>
      <c r="K6043" s="18">
        <f t="shared" si="189"/>
        <v>0</v>
      </c>
      <c r="L6043" s="27">
        <v>16847.5</v>
      </c>
      <c r="M6043" s="36">
        <v>7627.03</v>
      </c>
      <c r="T6043" s="41">
        <v>0</v>
      </c>
      <c r="U6043" s="41">
        <v>0</v>
      </c>
      <c r="V6043" s="42" t="s">
        <v>113</v>
      </c>
      <c r="W6043" s="42">
        <v>0</v>
      </c>
      <c r="X6043" s="42">
        <v>0</v>
      </c>
    </row>
    <row r="6044" spans="1:24">
      <c r="A6044" s="27" t="s">
        <v>11127</v>
      </c>
      <c r="B6044" s="28" t="s">
        <v>5102</v>
      </c>
      <c r="C6044" s="27" t="s">
        <v>11128</v>
      </c>
      <c r="D6044" s="27" t="s">
        <v>5104</v>
      </c>
      <c r="E6044" s="29">
        <v>43038</v>
      </c>
      <c r="F6044" s="27">
        <v>15</v>
      </c>
      <c r="G6044" s="18">
        <v>5135.5600000000004</v>
      </c>
      <c r="H6044" s="27">
        <f t="shared" si="188"/>
        <v>0</v>
      </c>
      <c r="I6044" s="18">
        <v>392.1</v>
      </c>
      <c r="J6044" s="27">
        <v>5135.5600000000004</v>
      </c>
      <c r="K6044" s="18">
        <f t="shared" si="189"/>
        <v>0</v>
      </c>
      <c r="L6044" s="27">
        <v>716.44</v>
      </c>
      <c r="M6044" s="36">
        <v>324.33999999999997</v>
      </c>
      <c r="T6044" s="41">
        <v>0</v>
      </c>
      <c r="U6044" s="41">
        <v>0</v>
      </c>
      <c r="V6044" s="42" t="s">
        <v>113</v>
      </c>
      <c r="W6044" s="42">
        <v>0</v>
      </c>
      <c r="X6044" s="42">
        <v>0</v>
      </c>
    </row>
    <row r="6045" spans="1:24">
      <c r="A6045" s="27" t="s">
        <v>11129</v>
      </c>
      <c r="B6045" s="28" t="s">
        <v>5102</v>
      </c>
      <c r="C6045" s="27" t="s">
        <v>11128</v>
      </c>
      <c r="D6045" s="27" t="s">
        <v>5104</v>
      </c>
      <c r="E6045" s="29">
        <v>43038</v>
      </c>
      <c r="F6045" s="27">
        <v>15</v>
      </c>
      <c r="G6045" s="18">
        <v>180306.44</v>
      </c>
      <c r="H6045" s="27">
        <f t="shared" si="188"/>
        <v>0</v>
      </c>
      <c r="I6045" s="18">
        <v>13766.37</v>
      </c>
      <c r="J6045" s="27">
        <v>180306.44</v>
      </c>
      <c r="K6045" s="18">
        <f t="shared" si="189"/>
        <v>0</v>
      </c>
      <c r="L6045" s="27">
        <v>25153.7</v>
      </c>
      <c r="M6045" s="36">
        <v>11387.33</v>
      </c>
      <c r="T6045" s="41">
        <v>0</v>
      </c>
      <c r="U6045" s="41">
        <v>0</v>
      </c>
      <c r="V6045" s="42" t="s">
        <v>113</v>
      </c>
      <c r="W6045" s="42">
        <v>0</v>
      </c>
      <c r="X6045" s="42">
        <v>0</v>
      </c>
    </row>
    <row r="6046" spans="1:24">
      <c r="A6046" s="27" t="s">
        <v>11130</v>
      </c>
      <c r="B6046" s="28" t="s">
        <v>5102</v>
      </c>
      <c r="C6046" s="27" t="s">
        <v>11131</v>
      </c>
      <c r="D6046" s="27" t="s">
        <v>5104</v>
      </c>
      <c r="E6046" s="29">
        <v>43038</v>
      </c>
      <c r="F6046" s="27">
        <v>15</v>
      </c>
      <c r="G6046" s="18">
        <v>16024.9</v>
      </c>
      <c r="H6046" s="27">
        <f t="shared" si="188"/>
        <v>0</v>
      </c>
      <c r="I6046" s="18">
        <v>1223.5</v>
      </c>
      <c r="J6046" s="27">
        <v>16024.9</v>
      </c>
      <c r="K6046" s="18">
        <f t="shared" si="189"/>
        <v>0</v>
      </c>
      <c r="L6046" s="27">
        <v>2235.56</v>
      </c>
      <c r="M6046" s="36">
        <v>1012.06</v>
      </c>
      <c r="T6046" s="41">
        <v>0</v>
      </c>
      <c r="U6046" s="41">
        <v>0</v>
      </c>
      <c r="V6046" s="42" t="s">
        <v>113</v>
      </c>
      <c r="W6046" s="42">
        <v>0</v>
      </c>
      <c r="X6046" s="42">
        <v>0</v>
      </c>
    </row>
    <row r="6047" spans="1:24">
      <c r="A6047" s="27" t="s">
        <v>11132</v>
      </c>
      <c r="B6047" s="28" t="s">
        <v>5102</v>
      </c>
      <c r="C6047" s="27" t="s">
        <v>11133</v>
      </c>
      <c r="D6047" s="27" t="s">
        <v>5104</v>
      </c>
      <c r="E6047" s="29">
        <v>43038</v>
      </c>
      <c r="F6047" s="27">
        <v>15</v>
      </c>
      <c r="G6047" s="18">
        <v>156826.16</v>
      </c>
      <c r="H6047" s="27">
        <f t="shared" si="188"/>
        <v>0</v>
      </c>
      <c r="I6047" s="18">
        <v>11973.65</v>
      </c>
      <c r="J6047" s="27">
        <v>156826.16</v>
      </c>
      <c r="K6047" s="18">
        <f t="shared" si="189"/>
        <v>0</v>
      </c>
      <c r="L6047" s="27">
        <v>21878.07</v>
      </c>
      <c r="M6047" s="36">
        <v>9904.42</v>
      </c>
      <c r="T6047" s="41">
        <v>0</v>
      </c>
      <c r="U6047" s="41">
        <v>0</v>
      </c>
      <c r="V6047" s="42" t="s">
        <v>113</v>
      </c>
      <c r="W6047" s="42">
        <v>0</v>
      </c>
      <c r="X6047" s="42">
        <v>0</v>
      </c>
    </row>
    <row r="6048" spans="1:24">
      <c r="A6048" s="27" t="s">
        <v>11134</v>
      </c>
      <c r="B6048" s="28" t="s">
        <v>5102</v>
      </c>
      <c r="C6048" s="27" t="s">
        <v>11135</v>
      </c>
      <c r="D6048" s="27" t="s">
        <v>5104</v>
      </c>
      <c r="E6048" s="29">
        <v>43038</v>
      </c>
      <c r="F6048" s="27">
        <v>15</v>
      </c>
      <c r="G6048" s="18">
        <v>72889.94</v>
      </c>
      <c r="H6048" s="27">
        <f t="shared" si="188"/>
        <v>0</v>
      </c>
      <c r="I6048" s="18">
        <v>5565.14</v>
      </c>
      <c r="J6048" s="27">
        <v>72889.94</v>
      </c>
      <c r="K6048" s="18">
        <f t="shared" si="189"/>
        <v>0</v>
      </c>
      <c r="L6048" s="27">
        <v>10168.540000000001</v>
      </c>
      <c r="M6048" s="36">
        <v>4603.3999999999996</v>
      </c>
      <c r="T6048" s="41">
        <v>0</v>
      </c>
      <c r="U6048" s="41">
        <v>0</v>
      </c>
      <c r="V6048" s="42" t="s">
        <v>113</v>
      </c>
      <c r="W6048" s="42">
        <v>0</v>
      </c>
      <c r="X6048" s="42">
        <v>0</v>
      </c>
    </row>
    <row r="6049" spans="1:24">
      <c r="A6049" s="27" t="s">
        <v>11136</v>
      </c>
      <c r="B6049" s="28" t="s">
        <v>5102</v>
      </c>
      <c r="C6049" s="27" t="s">
        <v>11137</v>
      </c>
      <c r="D6049" s="27" t="s">
        <v>5104</v>
      </c>
      <c r="E6049" s="29">
        <v>43038</v>
      </c>
      <c r="F6049" s="27">
        <v>15</v>
      </c>
      <c r="G6049" s="18">
        <v>7156.75</v>
      </c>
      <c r="H6049" s="27">
        <f t="shared" si="188"/>
        <v>0</v>
      </c>
      <c r="I6049" s="18">
        <v>546.41999999999996</v>
      </c>
      <c r="J6049" s="27">
        <v>7156.75</v>
      </c>
      <c r="K6049" s="18">
        <f t="shared" si="189"/>
        <v>0</v>
      </c>
      <c r="L6049" s="27">
        <v>998.41</v>
      </c>
      <c r="M6049" s="36">
        <v>451.99</v>
      </c>
      <c r="T6049" s="41">
        <v>0</v>
      </c>
      <c r="U6049" s="41">
        <v>0</v>
      </c>
      <c r="V6049" s="42" t="s">
        <v>113</v>
      </c>
      <c r="W6049" s="42">
        <v>0</v>
      </c>
      <c r="X6049" s="42">
        <v>0</v>
      </c>
    </row>
    <row r="6050" spans="1:24">
      <c r="A6050" s="27" t="s">
        <v>11138</v>
      </c>
      <c r="B6050" s="28" t="s">
        <v>5102</v>
      </c>
      <c r="C6050" s="27" t="s">
        <v>11137</v>
      </c>
      <c r="D6050" s="27" t="s">
        <v>5104</v>
      </c>
      <c r="E6050" s="29">
        <v>43038</v>
      </c>
      <c r="F6050" s="27">
        <v>15</v>
      </c>
      <c r="G6050" s="18">
        <v>140256.74</v>
      </c>
      <c r="H6050" s="27">
        <f t="shared" si="188"/>
        <v>0</v>
      </c>
      <c r="I6050" s="18">
        <v>10708.58</v>
      </c>
      <c r="J6050" s="27">
        <v>140256.74</v>
      </c>
      <c r="K6050" s="18">
        <f t="shared" si="189"/>
        <v>0</v>
      </c>
      <c r="L6050" s="27">
        <v>19566.55</v>
      </c>
      <c r="M6050" s="36">
        <v>8857.9699999999993</v>
      </c>
      <c r="T6050" s="41">
        <v>0</v>
      </c>
      <c r="U6050" s="41">
        <v>0</v>
      </c>
      <c r="V6050" s="42" t="s">
        <v>113</v>
      </c>
      <c r="W6050" s="42">
        <v>0</v>
      </c>
      <c r="X6050" s="42">
        <v>0</v>
      </c>
    </row>
    <row r="6051" spans="1:24">
      <c r="A6051" s="27" t="s">
        <v>11139</v>
      </c>
      <c r="B6051" s="28" t="s">
        <v>5102</v>
      </c>
      <c r="C6051" s="27" t="s">
        <v>11140</v>
      </c>
      <c r="D6051" s="27" t="s">
        <v>5104</v>
      </c>
      <c r="E6051" s="29">
        <v>43038</v>
      </c>
      <c r="F6051" s="27">
        <v>15</v>
      </c>
      <c r="G6051" s="18">
        <v>22792.69</v>
      </c>
      <c r="H6051" s="27">
        <f t="shared" si="188"/>
        <v>0</v>
      </c>
      <c r="I6051" s="18">
        <v>1740.22</v>
      </c>
      <c r="J6051" s="27">
        <v>22792.69</v>
      </c>
      <c r="K6051" s="18">
        <f t="shared" si="189"/>
        <v>0</v>
      </c>
      <c r="L6051" s="27">
        <v>3179.7</v>
      </c>
      <c r="M6051" s="36">
        <v>1439.48</v>
      </c>
      <c r="T6051" s="41">
        <v>0</v>
      </c>
      <c r="U6051" s="41">
        <v>0</v>
      </c>
      <c r="V6051" s="42" t="s">
        <v>113</v>
      </c>
      <c r="W6051" s="42">
        <v>0</v>
      </c>
      <c r="X6051" s="42">
        <v>0</v>
      </c>
    </row>
    <row r="6052" spans="1:24">
      <c r="A6052" s="27" t="s">
        <v>11141</v>
      </c>
      <c r="B6052" s="28" t="s">
        <v>5102</v>
      </c>
      <c r="C6052" s="27" t="s">
        <v>11142</v>
      </c>
      <c r="D6052" s="27" t="s">
        <v>5104</v>
      </c>
      <c r="E6052" s="29">
        <v>43038</v>
      </c>
      <c r="F6052" s="27">
        <v>15</v>
      </c>
      <c r="G6052" s="18">
        <v>136367.19</v>
      </c>
      <c r="H6052" s="27">
        <f t="shared" si="188"/>
        <v>0</v>
      </c>
      <c r="I6052" s="18">
        <v>10411.620000000001</v>
      </c>
      <c r="J6052" s="27">
        <v>136367.19</v>
      </c>
      <c r="K6052" s="18">
        <f t="shared" si="189"/>
        <v>0</v>
      </c>
      <c r="L6052" s="27">
        <v>19023.95</v>
      </c>
      <c r="M6052" s="36">
        <v>8612.33</v>
      </c>
      <c r="T6052" s="41">
        <v>0</v>
      </c>
      <c r="U6052" s="41">
        <v>0</v>
      </c>
      <c r="V6052" s="42" t="s">
        <v>113</v>
      </c>
      <c r="W6052" s="42">
        <v>0</v>
      </c>
      <c r="X6052" s="42">
        <v>0</v>
      </c>
    </row>
    <row r="6053" spans="1:24">
      <c r="A6053" s="27" t="s">
        <v>11143</v>
      </c>
      <c r="B6053" s="28" t="s">
        <v>5102</v>
      </c>
      <c r="C6053" s="27" t="s">
        <v>11144</v>
      </c>
      <c r="D6053" s="27" t="s">
        <v>5104</v>
      </c>
      <c r="E6053" s="29">
        <v>43038</v>
      </c>
      <c r="F6053" s="27">
        <v>15</v>
      </c>
      <c r="G6053" s="18">
        <v>152781.04999999999</v>
      </c>
      <c r="H6053" s="27">
        <f t="shared" si="188"/>
        <v>0</v>
      </c>
      <c r="I6053" s="18">
        <v>11664.81</v>
      </c>
      <c r="J6053" s="27">
        <v>152781.04999999999</v>
      </c>
      <c r="K6053" s="18">
        <f t="shared" si="189"/>
        <v>0</v>
      </c>
      <c r="L6053" s="27">
        <v>21313.759999999998</v>
      </c>
      <c r="M6053" s="36">
        <v>9648.9500000000007</v>
      </c>
      <c r="T6053" s="41">
        <v>0</v>
      </c>
      <c r="U6053" s="41">
        <v>0</v>
      </c>
      <c r="V6053" s="42" t="s">
        <v>113</v>
      </c>
      <c r="W6053" s="42">
        <v>0</v>
      </c>
      <c r="X6053" s="42">
        <v>0</v>
      </c>
    </row>
    <row r="6054" spans="1:24">
      <c r="A6054" s="27" t="s">
        <v>11145</v>
      </c>
      <c r="B6054" s="28" t="s">
        <v>5102</v>
      </c>
      <c r="C6054" s="27" t="s">
        <v>11144</v>
      </c>
      <c r="D6054" s="27" t="s">
        <v>5104</v>
      </c>
      <c r="E6054" s="29">
        <v>43038</v>
      </c>
      <c r="F6054" s="27">
        <v>15</v>
      </c>
      <c r="G6054" s="18">
        <v>15791.53</v>
      </c>
      <c r="H6054" s="27">
        <f t="shared" si="188"/>
        <v>0</v>
      </c>
      <c r="I6054" s="18">
        <v>1205.68</v>
      </c>
      <c r="J6054" s="27">
        <v>15791.53</v>
      </c>
      <c r="K6054" s="18">
        <f t="shared" si="189"/>
        <v>0</v>
      </c>
      <c r="L6054" s="27">
        <v>2203</v>
      </c>
      <c r="M6054" s="36">
        <v>997.32</v>
      </c>
      <c r="T6054" s="41">
        <v>0</v>
      </c>
      <c r="U6054" s="41">
        <v>0</v>
      </c>
      <c r="V6054" s="42" t="s">
        <v>113</v>
      </c>
      <c r="W6054" s="42">
        <v>0</v>
      </c>
      <c r="X6054" s="42">
        <v>0</v>
      </c>
    </row>
    <row r="6055" spans="1:24">
      <c r="A6055" s="27" t="s">
        <v>11146</v>
      </c>
      <c r="B6055" s="28" t="s">
        <v>5102</v>
      </c>
      <c r="C6055" s="27" t="s">
        <v>11147</v>
      </c>
      <c r="D6055" s="27" t="s">
        <v>5104</v>
      </c>
      <c r="E6055" s="29">
        <v>43038</v>
      </c>
      <c r="F6055" s="27">
        <v>15</v>
      </c>
      <c r="G6055" s="18">
        <v>18825.37</v>
      </c>
      <c r="H6055" s="27">
        <f t="shared" si="188"/>
        <v>0</v>
      </c>
      <c r="I6055" s="18">
        <v>1437.31</v>
      </c>
      <c r="J6055" s="27">
        <v>18825.37</v>
      </c>
      <c r="K6055" s="18">
        <f t="shared" si="189"/>
        <v>0</v>
      </c>
      <c r="L6055" s="27">
        <v>2626.23</v>
      </c>
      <c r="M6055" s="36">
        <v>1188.92</v>
      </c>
      <c r="T6055" s="41">
        <v>0</v>
      </c>
      <c r="U6055" s="41">
        <v>0</v>
      </c>
      <c r="V6055" s="42" t="s">
        <v>113</v>
      </c>
      <c r="W6055" s="42">
        <v>0</v>
      </c>
      <c r="X6055" s="42">
        <v>0</v>
      </c>
    </row>
    <row r="6056" spans="1:24">
      <c r="A6056" s="27" t="s">
        <v>11148</v>
      </c>
      <c r="B6056" s="28" t="s">
        <v>5102</v>
      </c>
      <c r="C6056" s="27" t="s">
        <v>11149</v>
      </c>
      <c r="D6056" s="27" t="s">
        <v>5104</v>
      </c>
      <c r="E6056" s="29">
        <v>43038</v>
      </c>
      <c r="F6056" s="27">
        <v>15</v>
      </c>
      <c r="G6056" s="18">
        <v>73901.210000000006</v>
      </c>
      <c r="H6056" s="27">
        <f t="shared" si="188"/>
        <v>0</v>
      </c>
      <c r="I6056" s="18">
        <v>5642.35</v>
      </c>
      <c r="J6056" s="27">
        <v>73901.210000000006</v>
      </c>
      <c r="K6056" s="18">
        <f t="shared" si="189"/>
        <v>0</v>
      </c>
      <c r="L6056" s="27">
        <v>10309.61</v>
      </c>
      <c r="M6056" s="36">
        <v>4667.26</v>
      </c>
      <c r="T6056" s="41">
        <v>0</v>
      </c>
      <c r="U6056" s="41">
        <v>0</v>
      </c>
      <c r="V6056" s="42" t="s">
        <v>113</v>
      </c>
      <c r="W6056" s="42">
        <v>0</v>
      </c>
      <c r="X6056" s="42">
        <v>0</v>
      </c>
    </row>
    <row r="6057" spans="1:24">
      <c r="A6057" s="27" t="s">
        <v>11150</v>
      </c>
      <c r="B6057" s="28" t="s">
        <v>5102</v>
      </c>
      <c r="C6057" s="27" t="s">
        <v>11151</v>
      </c>
      <c r="D6057" s="27" t="s">
        <v>5104</v>
      </c>
      <c r="E6057" s="29">
        <v>43101</v>
      </c>
      <c r="F6057" s="27">
        <v>15</v>
      </c>
      <c r="G6057" s="18">
        <v>11442.96</v>
      </c>
      <c r="H6057" s="27">
        <f t="shared" si="188"/>
        <v>0</v>
      </c>
      <c r="I6057" s="18">
        <v>664.33</v>
      </c>
      <c r="J6057" s="27">
        <v>11442.96</v>
      </c>
      <c r="K6057" s="18">
        <f t="shared" si="189"/>
        <v>0</v>
      </c>
      <c r="L6057" s="27">
        <v>1389.05</v>
      </c>
      <c r="M6057" s="36">
        <v>724.72</v>
      </c>
      <c r="T6057" s="41">
        <v>0</v>
      </c>
      <c r="U6057" s="41">
        <v>0</v>
      </c>
      <c r="V6057" s="42" t="s">
        <v>113</v>
      </c>
      <c r="W6057" s="42">
        <v>0</v>
      </c>
      <c r="X6057" s="42">
        <v>0</v>
      </c>
    </row>
    <row r="6058" spans="1:24">
      <c r="A6058" s="27" t="s">
        <v>11152</v>
      </c>
      <c r="B6058" s="28" t="s">
        <v>5102</v>
      </c>
      <c r="C6058" s="27" t="s">
        <v>11153</v>
      </c>
      <c r="D6058" s="27" t="s">
        <v>5104</v>
      </c>
      <c r="E6058" s="29">
        <v>43101</v>
      </c>
      <c r="F6058" s="27">
        <v>15</v>
      </c>
      <c r="G6058" s="18">
        <v>29045.58</v>
      </c>
      <c r="H6058" s="27">
        <f t="shared" si="188"/>
        <v>0</v>
      </c>
      <c r="I6058" s="18">
        <v>1686.26</v>
      </c>
      <c r="J6058" s="27">
        <v>29045.58</v>
      </c>
      <c r="K6058" s="18">
        <f t="shared" si="189"/>
        <v>0</v>
      </c>
      <c r="L6058" s="27">
        <v>3525.81</v>
      </c>
      <c r="M6058" s="36">
        <v>1839.55</v>
      </c>
      <c r="T6058" s="41">
        <v>0</v>
      </c>
      <c r="U6058" s="41">
        <v>0</v>
      </c>
      <c r="V6058" s="42" t="s">
        <v>113</v>
      </c>
      <c r="W6058" s="42">
        <v>0</v>
      </c>
      <c r="X6058" s="42">
        <v>0</v>
      </c>
    </row>
    <row r="6059" spans="1:24">
      <c r="A6059" s="27" t="s">
        <v>11154</v>
      </c>
      <c r="B6059" s="28" t="s">
        <v>5102</v>
      </c>
      <c r="C6059" s="27" t="s">
        <v>11155</v>
      </c>
      <c r="D6059" s="27" t="s">
        <v>5104</v>
      </c>
      <c r="E6059" s="29">
        <v>43189</v>
      </c>
      <c r="F6059" s="27">
        <v>15</v>
      </c>
      <c r="G6059" s="18">
        <v>10757.15</v>
      </c>
      <c r="H6059" s="27">
        <f t="shared" si="188"/>
        <v>0</v>
      </c>
      <c r="I6059" s="18">
        <v>510.48</v>
      </c>
      <c r="J6059" s="27">
        <v>10757.15</v>
      </c>
      <c r="K6059" s="18">
        <f t="shared" si="189"/>
        <v>0</v>
      </c>
      <c r="L6059" s="27">
        <v>1191.8</v>
      </c>
      <c r="M6059" s="36">
        <v>681.32</v>
      </c>
      <c r="T6059" s="41">
        <v>0</v>
      </c>
      <c r="U6059" s="41">
        <v>0</v>
      </c>
      <c r="V6059" s="42" t="s">
        <v>113</v>
      </c>
      <c r="W6059" s="42">
        <v>0</v>
      </c>
      <c r="X6059" s="42">
        <v>0</v>
      </c>
    </row>
    <row r="6060" spans="1:24">
      <c r="A6060" s="27" t="s">
        <v>11156</v>
      </c>
      <c r="B6060" s="28" t="s">
        <v>5102</v>
      </c>
      <c r="C6060" s="27" t="s">
        <v>11157</v>
      </c>
      <c r="D6060" s="27" t="s">
        <v>5104</v>
      </c>
      <c r="E6060" s="29">
        <v>43189</v>
      </c>
      <c r="F6060" s="27">
        <v>12</v>
      </c>
      <c r="G6060" s="18">
        <v>1035.8699999999999</v>
      </c>
      <c r="H6060" s="27">
        <f t="shared" si="188"/>
        <v>1035.8699999999999</v>
      </c>
      <c r="I6060" s="18">
        <v>1035.8699999999999</v>
      </c>
      <c r="J6060" s="27">
        <v>1035.8699999999999</v>
      </c>
      <c r="K6060" s="18">
        <f t="shared" si="189"/>
        <v>1035.8699999999999</v>
      </c>
      <c r="L6060" s="27">
        <v>1035.8699999999999</v>
      </c>
      <c r="M6060" s="36">
        <v>0</v>
      </c>
      <c r="T6060" s="41">
        <v>0</v>
      </c>
      <c r="U6060" s="41">
        <v>0</v>
      </c>
      <c r="V6060" s="42" t="s">
        <v>113</v>
      </c>
      <c r="W6060" s="42">
        <v>1035.8699999999999</v>
      </c>
      <c r="X6060" s="42">
        <v>1035.8699999999999</v>
      </c>
    </row>
    <row r="6061" spans="1:24">
      <c r="A6061" s="27" t="s">
        <v>11158</v>
      </c>
      <c r="B6061" s="28" t="s">
        <v>5102</v>
      </c>
      <c r="C6061" s="27" t="s">
        <v>11157</v>
      </c>
      <c r="D6061" s="27" t="s">
        <v>5104</v>
      </c>
      <c r="E6061" s="29">
        <v>43189</v>
      </c>
      <c r="F6061" s="27">
        <v>12</v>
      </c>
      <c r="G6061" s="18">
        <v>4860.6400000000003</v>
      </c>
      <c r="H6061" s="27">
        <f t="shared" si="188"/>
        <v>4860.6400000000003</v>
      </c>
      <c r="I6061" s="18">
        <v>4860.6400000000003</v>
      </c>
      <c r="J6061" s="27">
        <v>4860.6400000000003</v>
      </c>
      <c r="K6061" s="18">
        <f t="shared" si="189"/>
        <v>4860.6400000000003</v>
      </c>
      <c r="L6061" s="27">
        <v>4860.6400000000003</v>
      </c>
      <c r="M6061" s="36">
        <v>0</v>
      </c>
      <c r="T6061" s="41">
        <v>0</v>
      </c>
      <c r="U6061" s="41">
        <v>0</v>
      </c>
      <c r="V6061" s="42" t="s">
        <v>113</v>
      </c>
      <c r="W6061" s="42">
        <v>4860.6400000000003</v>
      </c>
      <c r="X6061" s="42">
        <v>4860.6400000000003</v>
      </c>
    </row>
    <row r="6062" spans="1:24">
      <c r="A6062" s="27" t="s">
        <v>11159</v>
      </c>
      <c r="B6062" s="28" t="s">
        <v>5102</v>
      </c>
      <c r="C6062" s="27" t="s">
        <v>11160</v>
      </c>
      <c r="D6062" s="27" t="s">
        <v>5104</v>
      </c>
      <c r="E6062" s="29">
        <v>43189</v>
      </c>
      <c r="F6062" s="27">
        <v>15</v>
      </c>
      <c r="G6062" s="18">
        <v>48208.01</v>
      </c>
      <c r="H6062" s="27">
        <f t="shared" si="188"/>
        <v>0</v>
      </c>
      <c r="I6062" s="18">
        <v>2287.6799999999998</v>
      </c>
      <c r="J6062" s="27">
        <v>48208.01</v>
      </c>
      <c r="K6062" s="18">
        <f t="shared" si="189"/>
        <v>0</v>
      </c>
      <c r="L6062" s="27">
        <v>5341.01</v>
      </c>
      <c r="M6062" s="36">
        <v>3053.33</v>
      </c>
      <c r="T6062" s="41">
        <v>0</v>
      </c>
      <c r="U6062" s="41">
        <v>0</v>
      </c>
      <c r="V6062" s="42" t="s">
        <v>113</v>
      </c>
      <c r="W6062" s="42">
        <v>0</v>
      </c>
      <c r="X6062" s="42">
        <v>0</v>
      </c>
    </row>
    <row r="6063" spans="1:24">
      <c r="A6063" s="27" t="s">
        <v>11161</v>
      </c>
      <c r="B6063" s="28" t="s">
        <v>5102</v>
      </c>
      <c r="C6063" s="27" t="s">
        <v>11162</v>
      </c>
      <c r="D6063" s="27" t="s">
        <v>5104</v>
      </c>
      <c r="E6063" s="29">
        <v>43189</v>
      </c>
      <c r="F6063" s="27">
        <v>12</v>
      </c>
      <c r="G6063" s="18">
        <v>2151.4299999999998</v>
      </c>
      <c r="H6063" s="27">
        <f t="shared" si="188"/>
        <v>2151.4299999999998</v>
      </c>
      <c r="I6063" s="18">
        <v>2151.4299999999998</v>
      </c>
      <c r="J6063" s="27">
        <v>2151.4299999999998</v>
      </c>
      <c r="K6063" s="18">
        <f t="shared" si="189"/>
        <v>2151.4299999999998</v>
      </c>
      <c r="L6063" s="27">
        <v>2151.4299999999998</v>
      </c>
      <c r="M6063" s="36">
        <v>0</v>
      </c>
      <c r="T6063" s="41">
        <v>0</v>
      </c>
      <c r="U6063" s="41">
        <v>0</v>
      </c>
      <c r="V6063" s="42" t="s">
        <v>113</v>
      </c>
      <c r="W6063" s="42">
        <v>2151.4299999999998</v>
      </c>
      <c r="X6063" s="42">
        <v>2151.4299999999998</v>
      </c>
    </row>
    <row r="6064" spans="1:24">
      <c r="A6064" s="27" t="s">
        <v>11163</v>
      </c>
      <c r="B6064" s="28" t="s">
        <v>5102</v>
      </c>
      <c r="C6064" s="27" t="s">
        <v>11162</v>
      </c>
      <c r="D6064" s="27" t="s">
        <v>5104</v>
      </c>
      <c r="E6064" s="29">
        <v>43189</v>
      </c>
      <c r="F6064" s="27">
        <v>15</v>
      </c>
      <c r="G6064" s="18">
        <v>32988.620000000003</v>
      </c>
      <c r="H6064" s="27">
        <f t="shared" si="188"/>
        <v>0</v>
      </c>
      <c r="I6064" s="18">
        <v>1565.46</v>
      </c>
      <c r="J6064" s="27">
        <v>32988.620000000003</v>
      </c>
      <c r="K6064" s="18">
        <f t="shared" si="189"/>
        <v>0</v>
      </c>
      <c r="L6064" s="27">
        <v>3654.84</v>
      </c>
      <c r="M6064" s="36">
        <v>2089.38</v>
      </c>
      <c r="T6064" s="41">
        <v>0</v>
      </c>
      <c r="U6064" s="41">
        <v>0</v>
      </c>
      <c r="V6064" s="42" t="s">
        <v>113</v>
      </c>
      <c r="W6064" s="42">
        <v>0</v>
      </c>
      <c r="X6064" s="42">
        <v>0</v>
      </c>
    </row>
    <row r="6065" spans="1:24">
      <c r="A6065" s="27" t="s">
        <v>11164</v>
      </c>
      <c r="B6065" s="28" t="s">
        <v>5102</v>
      </c>
      <c r="C6065" s="27" t="s">
        <v>11165</v>
      </c>
      <c r="D6065" s="27" t="s">
        <v>5104</v>
      </c>
      <c r="E6065" s="29">
        <v>43189</v>
      </c>
      <c r="F6065" s="27">
        <v>15</v>
      </c>
      <c r="G6065" s="18">
        <v>54423.25</v>
      </c>
      <c r="H6065" s="27">
        <f t="shared" si="188"/>
        <v>0</v>
      </c>
      <c r="I6065" s="18">
        <v>2582.62</v>
      </c>
      <c r="J6065" s="27">
        <v>54423.25</v>
      </c>
      <c r="K6065" s="18">
        <f t="shared" si="189"/>
        <v>0</v>
      </c>
      <c r="L6065" s="27">
        <v>6029.6</v>
      </c>
      <c r="M6065" s="36">
        <v>3446.98</v>
      </c>
      <c r="T6065" s="41">
        <v>0</v>
      </c>
      <c r="U6065" s="41">
        <v>0</v>
      </c>
      <c r="V6065" s="42" t="s">
        <v>113</v>
      </c>
      <c r="W6065" s="42">
        <v>0</v>
      </c>
      <c r="X6065" s="42">
        <v>0</v>
      </c>
    </row>
    <row r="6066" spans="1:24">
      <c r="A6066" s="27" t="s">
        <v>11166</v>
      </c>
      <c r="B6066" s="28" t="s">
        <v>5102</v>
      </c>
      <c r="C6066" s="27" t="s">
        <v>11165</v>
      </c>
      <c r="D6066" s="27" t="s">
        <v>5104</v>
      </c>
      <c r="E6066" s="29">
        <v>43189</v>
      </c>
      <c r="F6066" s="27">
        <v>12</v>
      </c>
      <c r="G6066" s="18">
        <v>1753.02</v>
      </c>
      <c r="H6066" s="27">
        <f t="shared" si="188"/>
        <v>1753.02</v>
      </c>
      <c r="I6066" s="18">
        <v>1753.02</v>
      </c>
      <c r="J6066" s="27">
        <v>1753.02</v>
      </c>
      <c r="K6066" s="18">
        <f t="shared" si="189"/>
        <v>1753.02</v>
      </c>
      <c r="L6066" s="27">
        <v>1753.02</v>
      </c>
      <c r="M6066" s="36">
        <v>0</v>
      </c>
      <c r="T6066" s="41">
        <v>0</v>
      </c>
      <c r="U6066" s="41">
        <v>0</v>
      </c>
      <c r="V6066" s="42" t="s">
        <v>113</v>
      </c>
      <c r="W6066" s="42">
        <v>1753.02</v>
      </c>
      <c r="X6066" s="42">
        <v>1753.02</v>
      </c>
    </row>
    <row r="6067" spans="1:24">
      <c r="A6067" s="27" t="s">
        <v>11167</v>
      </c>
      <c r="B6067" s="28" t="s">
        <v>5102</v>
      </c>
      <c r="C6067" s="27" t="s">
        <v>11168</v>
      </c>
      <c r="D6067" s="27" t="s">
        <v>5104</v>
      </c>
      <c r="E6067" s="29">
        <v>43189</v>
      </c>
      <c r="F6067" s="27">
        <v>15</v>
      </c>
      <c r="G6067" s="18">
        <v>50518.8</v>
      </c>
      <c r="H6067" s="27">
        <f t="shared" si="188"/>
        <v>0</v>
      </c>
      <c r="I6067" s="18">
        <v>2397.33</v>
      </c>
      <c r="J6067" s="27">
        <v>50518.8</v>
      </c>
      <c r="K6067" s="18">
        <f t="shared" si="189"/>
        <v>0</v>
      </c>
      <c r="L6067" s="27">
        <v>5597.02</v>
      </c>
      <c r="M6067" s="36">
        <v>3199.69</v>
      </c>
      <c r="T6067" s="41">
        <v>0</v>
      </c>
      <c r="U6067" s="41">
        <v>0</v>
      </c>
      <c r="V6067" s="42" t="s">
        <v>113</v>
      </c>
      <c r="W6067" s="42">
        <v>0</v>
      </c>
      <c r="X6067" s="42">
        <v>0</v>
      </c>
    </row>
    <row r="6068" spans="1:24">
      <c r="A6068" s="27" t="s">
        <v>11169</v>
      </c>
      <c r="B6068" s="28" t="s">
        <v>5102</v>
      </c>
      <c r="C6068" s="27" t="s">
        <v>11168</v>
      </c>
      <c r="D6068" s="27" t="s">
        <v>5104</v>
      </c>
      <c r="E6068" s="29">
        <v>43189</v>
      </c>
      <c r="F6068" s="27">
        <v>15</v>
      </c>
      <c r="G6068" s="18">
        <v>65260.09</v>
      </c>
      <c r="H6068" s="27">
        <f t="shared" si="188"/>
        <v>0</v>
      </c>
      <c r="I6068" s="18">
        <v>3096.88</v>
      </c>
      <c r="J6068" s="27">
        <v>65260.09</v>
      </c>
      <c r="K6068" s="18">
        <f t="shared" si="189"/>
        <v>0</v>
      </c>
      <c r="L6068" s="27">
        <v>7230.23</v>
      </c>
      <c r="M6068" s="36">
        <v>4133.3500000000004</v>
      </c>
      <c r="T6068" s="41">
        <v>0</v>
      </c>
      <c r="U6068" s="41">
        <v>0</v>
      </c>
      <c r="V6068" s="42" t="s">
        <v>113</v>
      </c>
      <c r="W6068" s="42">
        <v>0</v>
      </c>
      <c r="X6068" s="42">
        <v>0</v>
      </c>
    </row>
    <row r="6069" spans="1:24">
      <c r="A6069" s="27" t="s">
        <v>11170</v>
      </c>
      <c r="B6069" s="28" t="s">
        <v>5102</v>
      </c>
      <c r="C6069" s="27" t="s">
        <v>11171</v>
      </c>
      <c r="D6069" s="27" t="s">
        <v>5104</v>
      </c>
      <c r="E6069" s="29">
        <v>43189</v>
      </c>
      <c r="F6069" s="27">
        <v>12</v>
      </c>
      <c r="G6069" s="18">
        <v>2709.21</v>
      </c>
      <c r="H6069" s="27">
        <f t="shared" si="188"/>
        <v>2709.21</v>
      </c>
      <c r="I6069" s="18">
        <v>2709.21</v>
      </c>
      <c r="J6069" s="27">
        <v>2709.21</v>
      </c>
      <c r="K6069" s="18">
        <f t="shared" si="189"/>
        <v>2709.21</v>
      </c>
      <c r="L6069" s="27">
        <v>2709.21</v>
      </c>
      <c r="M6069" s="36">
        <v>0</v>
      </c>
      <c r="T6069" s="41">
        <v>0</v>
      </c>
      <c r="U6069" s="41">
        <v>0</v>
      </c>
      <c r="V6069" s="42" t="s">
        <v>113</v>
      </c>
      <c r="W6069" s="42">
        <v>2709.21</v>
      </c>
      <c r="X6069" s="42">
        <v>2709.21</v>
      </c>
    </row>
    <row r="6070" spans="1:24">
      <c r="A6070" s="27" t="s">
        <v>11172</v>
      </c>
      <c r="B6070" s="28" t="s">
        <v>5102</v>
      </c>
      <c r="C6070" s="27" t="s">
        <v>11171</v>
      </c>
      <c r="D6070" s="27" t="s">
        <v>5104</v>
      </c>
      <c r="E6070" s="29">
        <v>43189</v>
      </c>
      <c r="F6070" s="27">
        <v>12</v>
      </c>
      <c r="G6070" s="18">
        <v>2310.8000000000002</v>
      </c>
      <c r="H6070" s="27">
        <f t="shared" si="188"/>
        <v>2310.8000000000002</v>
      </c>
      <c r="I6070" s="18">
        <v>2310.8000000000002</v>
      </c>
      <c r="J6070" s="27">
        <v>2310.8000000000002</v>
      </c>
      <c r="K6070" s="18">
        <f t="shared" si="189"/>
        <v>2310.8000000000002</v>
      </c>
      <c r="L6070" s="27">
        <v>2310.8000000000002</v>
      </c>
      <c r="M6070" s="36">
        <v>0</v>
      </c>
      <c r="T6070" s="41">
        <v>0</v>
      </c>
      <c r="U6070" s="41">
        <v>0</v>
      </c>
      <c r="V6070" s="42" t="s">
        <v>113</v>
      </c>
      <c r="W6070" s="42">
        <v>2310.8000000000002</v>
      </c>
      <c r="X6070" s="42">
        <v>2310.8000000000002</v>
      </c>
    </row>
    <row r="6071" spans="1:24">
      <c r="A6071" s="27" t="s">
        <v>11173</v>
      </c>
      <c r="B6071" s="28" t="s">
        <v>5102</v>
      </c>
      <c r="C6071" s="27" t="s">
        <v>11174</v>
      </c>
      <c r="D6071" s="27" t="s">
        <v>5104</v>
      </c>
      <c r="E6071" s="29">
        <v>43189</v>
      </c>
      <c r="F6071" s="27">
        <v>15</v>
      </c>
      <c r="G6071" s="18">
        <v>9402.56</v>
      </c>
      <c r="H6071" s="27">
        <f t="shared" si="188"/>
        <v>0</v>
      </c>
      <c r="I6071" s="18">
        <v>446.19</v>
      </c>
      <c r="J6071" s="27">
        <v>9402.56</v>
      </c>
      <c r="K6071" s="18">
        <f t="shared" si="189"/>
        <v>0</v>
      </c>
      <c r="L6071" s="27">
        <v>1041.72</v>
      </c>
      <c r="M6071" s="36">
        <v>595.53</v>
      </c>
      <c r="T6071" s="41">
        <v>0</v>
      </c>
      <c r="U6071" s="41">
        <v>0</v>
      </c>
      <c r="V6071" s="42" t="s">
        <v>113</v>
      </c>
      <c r="W6071" s="42">
        <v>0</v>
      </c>
      <c r="X6071" s="42">
        <v>0</v>
      </c>
    </row>
    <row r="6072" spans="1:24">
      <c r="A6072" s="27" t="s">
        <v>11175</v>
      </c>
      <c r="B6072" s="28" t="s">
        <v>5102</v>
      </c>
      <c r="C6072" s="27" t="s">
        <v>11174</v>
      </c>
      <c r="D6072" s="27" t="s">
        <v>5104</v>
      </c>
      <c r="E6072" s="29">
        <v>43189</v>
      </c>
      <c r="F6072" s="27">
        <v>15</v>
      </c>
      <c r="G6072" s="18">
        <v>60718.18</v>
      </c>
      <c r="H6072" s="27">
        <f t="shared" si="188"/>
        <v>0</v>
      </c>
      <c r="I6072" s="18">
        <v>2881.34</v>
      </c>
      <c r="J6072" s="27">
        <v>60718.18</v>
      </c>
      <c r="K6072" s="18">
        <f t="shared" si="189"/>
        <v>0</v>
      </c>
      <c r="L6072" s="27">
        <v>6727.02</v>
      </c>
      <c r="M6072" s="36">
        <v>3845.68</v>
      </c>
      <c r="T6072" s="41">
        <v>0</v>
      </c>
      <c r="U6072" s="41">
        <v>0</v>
      </c>
      <c r="V6072" s="42" t="s">
        <v>113</v>
      </c>
      <c r="W6072" s="42">
        <v>0</v>
      </c>
      <c r="X6072" s="42">
        <v>0</v>
      </c>
    </row>
    <row r="6073" spans="1:24">
      <c r="A6073" s="27" t="s">
        <v>11176</v>
      </c>
      <c r="B6073" s="28" t="s">
        <v>5102</v>
      </c>
      <c r="C6073" s="27" t="s">
        <v>11177</v>
      </c>
      <c r="D6073" s="27" t="s">
        <v>5104</v>
      </c>
      <c r="E6073" s="29">
        <v>43189</v>
      </c>
      <c r="F6073" s="27">
        <v>15</v>
      </c>
      <c r="G6073" s="18">
        <v>35106.47</v>
      </c>
      <c r="H6073" s="27">
        <f t="shared" si="188"/>
        <v>0</v>
      </c>
      <c r="I6073" s="18">
        <v>1666.13</v>
      </c>
      <c r="J6073" s="27">
        <v>35106.47</v>
      </c>
      <c r="K6073" s="18">
        <f t="shared" si="189"/>
        <v>0</v>
      </c>
      <c r="L6073" s="27">
        <v>3889.64</v>
      </c>
      <c r="M6073" s="36">
        <v>2223.5100000000002</v>
      </c>
      <c r="T6073" s="41">
        <v>0</v>
      </c>
      <c r="U6073" s="41">
        <v>0</v>
      </c>
      <c r="V6073" s="42" t="s">
        <v>113</v>
      </c>
      <c r="W6073" s="42">
        <v>0</v>
      </c>
      <c r="X6073" s="42">
        <v>0</v>
      </c>
    </row>
    <row r="6074" spans="1:24">
      <c r="A6074" s="27" t="s">
        <v>11178</v>
      </c>
      <c r="B6074" s="28" t="s">
        <v>5102</v>
      </c>
      <c r="C6074" s="27" t="s">
        <v>11179</v>
      </c>
      <c r="D6074" s="27" t="s">
        <v>5104</v>
      </c>
      <c r="E6074" s="29">
        <v>43189</v>
      </c>
      <c r="F6074" s="27">
        <v>12</v>
      </c>
      <c r="G6074" s="18">
        <v>3079.51</v>
      </c>
      <c r="H6074" s="27">
        <f t="shared" si="188"/>
        <v>3079.51</v>
      </c>
      <c r="I6074" s="18">
        <v>3079.51</v>
      </c>
      <c r="J6074" s="27">
        <v>3079.51</v>
      </c>
      <c r="K6074" s="18">
        <f t="shared" si="189"/>
        <v>3079.51</v>
      </c>
      <c r="L6074" s="27">
        <v>3079.51</v>
      </c>
      <c r="M6074" s="36">
        <v>0</v>
      </c>
      <c r="T6074" s="41">
        <v>0</v>
      </c>
      <c r="U6074" s="41">
        <v>0</v>
      </c>
      <c r="V6074" s="42" t="s">
        <v>113</v>
      </c>
      <c r="W6074" s="42">
        <v>3079.51</v>
      </c>
      <c r="X6074" s="42">
        <v>3079.51</v>
      </c>
    </row>
    <row r="6075" spans="1:24">
      <c r="A6075" s="27" t="s">
        <v>11180</v>
      </c>
      <c r="B6075" s="28" t="s">
        <v>5102</v>
      </c>
      <c r="C6075" s="27" t="s">
        <v>11179</v>
      </c>
      <c r="D6075" s="27" t="s">
        <v>5104</v>
      </c>
      <c r="E6075" s="29">
        <v>43189</v>
      </c>
      <c r="F6075" s="27">
        <v>15</v>
      </c>
      <c r="G6075" s="18">
        <v>100315.15</v>
      </c>
      <c r="H6075" s="27">
        <f t="shared" si="188"/>
        <v>0</v>
      </c>
      <c r="I6075" s="18">
        <v>4760.8900000000003</v>
      </c>
      <c r="J6075" s="27">
        <v>100315.15</v>
      </c>
      <c r="K6075" s="18">
        <f t="shared" si="189"/>
        <v>0</v>
      </c>
      <c r="L6075" s="27">
        <v>11114.47</v>
      </c>
      <c r="M6075" s="36">
        <v>6353.58</v>
      </c>
      <c r="T6075" s="41">
        <v>0</v>
      </c>
      <c r="U6075" s="41">
        <v>0</v>
      </c>
      <c r="V6075" s="42" t="s">
        <v>113</v>
      </c>
      <c r="W6075" s="42">
        <v>0</v>
      </c>
      <c r="X6075" s="42">
        <v>0</v>
      </c>
    </row>
    <row r="6076" spans="1:24">
      <c r="A6076" s="27" t="s">
        <v>11181</v>
      </c>
      <c r="B6076" s="28" t="s">
        <v>5102</v>
      </c>
      <c r="C6076" s="27" t="s">
        <v>11182</v>
      </c>
      <c r="D6076" s="27" t="s">
        <v>5104</v>
      </c>
      <c r="E6076" s="29">
        <v>43189</v>
      </c>
      <c r="F6076" s="27">
        <v>15</v>
      </c>
      <c r="G6076" s="18">
        <v>133958.82999999999</v>
      </c>
      <c r="H6076" s="27">
        <f t="shared" si="188"/>
        <v>0</v>
      </c>
      <c r="I6076" s="18">
        <v>6357.61</v>
      </c>
      <c r="J6076" s="27">
        <v>133958.82999999999</v>
      </c>
      <c r="K6076" s="18">
        <f t="shared" si="189"/>
        <v>0</v>
      </c>
      <c r="L6076" s="27">
        <v>14842.05</v>
      </c>
      <c r="M6076" s="36">
        <v>8484.44</v>
      </c>
      <c r="T6076" s="41">
        <v>0</v>
      </c>
      <c r="U6076" s="41">
        <v>0</v>
      </c>
      <c r="V6076" s="42" t="s">
        <v>113</v>
      </c>
      <c r="W6076" s="42">
        <v>0</v>
      </c>
      <c r="X6076" s="42">
        <v>0</v>
      </c>
    </row>
    <row r="6077" spans="1:24">
      <c r="A6077" s="27" t="s">
        <v>11183</v>
      </c>
      <c r="B6077" s="28" t="s">
        <v>5102</v>
      </c>
      <c r="C6077" s="27" t="s">
        <v>11182</v>
      </c>
      <c r="D6077" s="27" t="s">
        <v>5104</v>
      </c>
      <c r="E6077" s="29">
        <v>43189</v>
      </c>
      <c r="F6077" s="27">
        <v>15</v>
      </c>
      <c r="G6077" s="18">
        <v>9392.51</v>
      </c>
      <c r="H6077" s="27">
        <f t="shared" si="188"/>
        <v>0</v>
      </c>
      <c r="I6077" s="18">
        <v>445.77</v>
      </c>
      <c r="J6077" s="27">
        <v>9392.51</v>
      </c>
      <c r="K6077" s="18">
        <f t="shared" si="189"/>
        <v>0</v>
      </c>
      <c r="L6077" s="27">
        <v>1040.6500000000001</v>
      </c>
      <c r="M6077" s="36">
        <v>594.88</v>
      </c>
      <c r="T6077" s="41">
        <v>0</v>
      </c>
      <c r="U6077" s="41">
        <v>0</v>
      </c>
      <c r="V6077" s="42" t="s">
        <v>113</v>
      </c>
      <c r="W6077" s="42">
        <v>0</v>
      </c>
      <c r="X6077" s="42">
        <v>0</v>
      </c>
    </row>
    <row r="6078" spans="1:24">
      <c r="A6078" s="27" t="s">
        <v>11184</v>
      </c>
      <c r="B6078" s="28" t="s">
        <v>5102</v>
      </c>
      <c r="C6078" s="27" t="s">
        <v>11185</v>
      </c>
      <c r="D6078" s="27" t="s">
        <v>5104</v>
      </c>
      <c r="E6078" s="29">
        <v>43189</v>
      </c>
      <c r="F6078" s="27">
        <v>15</v>
      </c>
      <c r="G6078" s="18">
        <v>13780.82</v>
      </c>
      <c r="H6078" s="27">
        <f t="shared" si="188"/>
        <v>0</v>
      </c>
      <c r="I6078" s="18">
        <v>654.03</v>
      </c>
      <c r="J6078" s="27">
        <v>13780.82</v>
      </c>
      <c r="K6078" s="18">
        <f t="shared" si="189"/>
        <v>0</v>
      </c>
      <c r="L6078" s="27">
        <v>1526.85</v>
      </c>
      <c r="M6078" s="36">
        <v>872.82</v>
      </c>
      <c r="T6078" s="41">
        <v>0</v>
      </c>
      <c r="U6078" s="41">
        <v>0</v>
      </c>
      <c r="V6078" s="42" t="s">
        <v>113</v>
      </c>
      <c r="W6078" s="42">
        <v>0</v>
      </c>
      <c r="X6078" s="42">
        <v>0</v>
      </c>
    </row>
    <row r="6079" spans="1:24">
      <c r="A6079" s="27" t="s">
        <v>11186</v>
      </c>
      <c r="B6079" s="28" t="s">
        <v>5102</v>
      </c>
      <c r="C6079" s="27" t="s">
        <v>11185</v>
      </c>
      <c r="D6079" s="27" t="s">
        <v>5104</v>
      </c>
      <c r="E6079" s="29">
        <v>43189</v>
      </c>
      <c r="F6079" s="27">
        <v>15</v>
      </c>
      <c r="G6079" s="18">
        <v>101931.9</v>
      </c>
      <c r="H6079" s="27">
        <f t="shared" si="188"/>
        <v>0</v>
      </c>
      <c r="I6079" s="18">
        <v>4837.63</v>
      </c>
      <c r="J6079" s="27">
        <v>101931.9</v>
      </c>
      <c r="K6079" s="18">
        <f t="shared" si="189"/>
        <v>0</v>
      </c>
      <c r="L6079" s="27">
        <v>11293.61</v>
      </c>
      <c r="M6079" s="36">
        <v>6455.98</v>
      </c>
      <c r="T6079" s="41">
        <v>0</v>
      </c>
      <c r="U6079" s="41">
        <v>0</v>
      </c>
      <c r="V6079" s="42" t="s">
        <v>113</v>
      </c>
      <c r="W6079" s="42">
        <v>0</v>
      </c>
      <c r="X6079" s="42">
        <v>0</v>
      </c>
    </row>
    <row r="6080" spans="1:24">
      <c r="A6080" s="27" t="s">
        <v>11187</v>
      </c>
      <c r="B6080" s="28" t="s">
        <v>5102</v>
      </c>
      <c r="C6080" s="27" t="s">
        <v>11188</v>
      </c>
      <c r="D6080" s="27" t="s">
        <v>5104</v>
      </c>
      <c r="E6080" s="29">
        <v>43189</v>
      </c>
      <c r="F6080" s="27">
        <v>15</v>
      </c>
      <c r="G6080" s="18">
        <v>47809.440000000002</v>
      </c>
      <c r="H6080" s="27">
        <f t="shared" si="188"/>
        <v>0</v>
      </c>
      <c r="I6080" s="18">
        <v>2269</v>
      </c>
      <c r="J6080" s="27">
        <v>47809.440000000002</v>
      </c>
      <c r="K6080" s="18">
        <f t="shared" si="189"/>
        <v>0</v>
      </c>
      <c r="L6080" s="27">
        <v>5297.07</v>
      </c>
      <c r="M6080" s="36">
        <v>3028.07</v>
      </c>
      <c r="T6080" s="41">
        <v>0</v>
      </c>
      <c r="U6080" s="41">
        <v>0</v>
      </c>
      <c r="V6080" s="42" t="s">
        <v>113</v>
      </c>
      <c r="W6080" s="42">
        <v>0</v>
      </c>
      <c r="X6080" s="42">
        <v>0</v>
      </c>
    </row>
    <row r="6081" spans="1:24">
      <c r="A6081" s="27" t="s">
        <v>11189</v>
      </c>
      <c r="B6081" s="28" t="s">
        <v>5102</v>
      </c>
      <c r="C6081" s="27" t="s">
        <v>11188</v>
      </c>
      <c r="D6081" s="27" t="s">
        <v>5104</v>
      </c>
      <c r="E6081" s="29">
        <v>43189</v>
      </c>
      <c r="F6081" s="27">
        <v>15</v>
      </c>
      <c r="G6081" s="18">
        <v>23250.33</v>
      </c>
      <c r="H6081" s="27">
        <f t="shared" si="188"/>
        <v>0</v>
      </c>
      <c r="I6081" s="18">
        <v>1103.45</v>
      </c>
      <c r="J6081" s="27">
        <v>23250.33</v>
      </c>
      <c r="K6081" s="18">
        <f t="shared" si="189"/>
        <v>0</v>
      </c>
      <c r="L6081" s="27">
        <v>2576.04</v>
      </c>
      <c r="M6081" s="36">
        <v>1472.59</v>
      </c>
      <c r="T6081" s="41">
        <v>0</v>
      </c>
      <c r="U6081" s="41">
        <v>0</v>
      </c>
      <c r="V6081" s="42" t="s">
        <v>113</v>
      </c>
      <c r="W6081" s="42">
        <v>0</v>
      </c>
      <c r="X6081" s="42">
        <v>0</v>
      </c>
    </row>
    <row r="6082" spans="1:24">
      <c r="A6082" s="27" t="s">
        <v>11190</v>
      </c>
      <c r="B6082" s="28" t="s">
        <v>5102</v>
      </c>
      <c r="C6082" s="27" t="s">
        <v>11191</v>
      </c>
      <c r="D6082" s="27" t="s">
        <v>5104</v>
      </c>
      <c r="E6082" s="29">
        <v>43189</v>
      </c>
      <c r="F6082" s="27">
        <v>15</v>
      </c>
      <c r="G6082" s="18">
        <v>40495.599999999999</v>
      </c>
      <c r="H6082" s="27">
        <f t="shared" si="188"/>
        <v>0</v>
      </c>
      <c r="I6082" s="18">
        <v>1921.89</v>
      </c>
      <c r="J6082" s="27">
        <v>40495.599999999999</v>
      </c>
      <c r="K6082" s="18">
        <f t="shared" si="189"/>
        <v>0</v>
      </c>
      <c r="L6082" s="27">
        <v>4486.7299999999996</v>
      </c>
      <c r="M6082" s="36">
        <v>2564.84</v>
      </c>
      <c r="T6082" s="41">
        <v>0</v>
      </c>
      <c r="U6082" s="41">
        <v>0</v>
      </c>
      <c r="V6082" s="42" t="s">
        <v>113</v>
      </c>
      <c r="W6082" s="42">
        <v>0</v>
      </c>
      <c r="X6082" s="42">
        <v>0</v>
      </c>
    </row>
    <row r="6083" spans="1:24">
      <c r="A6083" s="27" t="s">
        <v>11192</v>
      </c>
      <c r="B6083" s="28" t="s">
        <v>5102</v>
      </c>
      <c r="C6083" s="27" t="s">
        <v>11193</v>
      </c>
      <c r="D6083" s="27" t="s">
        <v>5104</v>
      </c>
      <c r="E6083" s="29">
        <v>43189</v>
      </c>
      <c r="F6083" s="27">
        <v>15</v>
      </c>
      <c r="G6083" s="18">
        <v>10008.42</v>
      </c>
      <c r="H6083" s="27">
        <f t="shared" si="188"/>
        <v>0</v>
      </c>
      <c r="I6083" s="18">
        <v>474.99</v>
      </c>
      <c r="J6083" s="27">
        <v>10008.42</v>
      </c>
      <c r="K6083" s="18">
        <f t="shared" si="189"/>
        <v>0</v>
      </c>
      <c r="L6083" s="27">
        <v>1108.8900000000001</v>
      </c>
      <c r="M6083" s="36">
        <v>633.9</v>
      </c>
      <c r="T6083" s="41">
        <v>0</v>
      </c>
      <c r="U6083" s="41">
        <v>0</v>
      </c>
      <c r="V6083" s="42" t="s">
        <v>113</v>
      </c>
      <c r="W6083" s="42">
        <v>0</v>
      </c>
      <c r="X6083" s="42">
        <v>0</v>
      </c>
    </row>
    <row r="6084" spans="1:24">
      <c r="A6084" s="27" t="s">
        <v>11194</v>
      </c>
      <c r="B6084" s="28" t="s">
        <v>5102</v>
      </c>
      <c r="C6084" s="27" t="s">
        <v>11193</v>
      </c>
      <c r="D6084" s="27" t="s">
        <v>5104</v>
      </c>
      <c r="E6084" s="29">
        <v>43189</v>
      </c>
      <c r="F6084" s="27">
        <v>15</v>
      </c>
      <c r="G6084" s="18">
        <v>48810.29</v>
      </c>
      <c r="H6084" s="27">
        <f t="shared" si="188"/>
        <v>0</v>
      </c>
      <c r="I6084" s="18">
        <v>2316.5100000000002</v>
      </c>
      <c r="J6084" s="27">
        <v>48810.29</v>
      </c>
      <c r="K6084" s="18">
        <f t="shared" si="189"/>
        <v>0</v>
      </c>
      <c r="L6084" s="27">
        <v>5407.97</v>
      </c>
      <c r="M6084" s="36">
        <v>3091.46</v>
      </c>
      <c r="T6084" s="41">
        <v>0</v>
      </c>
      <c r="U6084" s="41">
        <v>0</v>
      </c>
      <c r="V6084" s="42" t="s">
        <v>113</v>
      </c>
      <c r="W6084" s="42">
        <v>0</v>
      </c>
      <c r="X6084" s="42">
        <v>0</v>
      </c>
    </row>
    <row r="6085" spans="1:24">
      <c r="A6085" s="27" t="s">
        <v>11195</v>
      </c>
      <c r="B6085" s="28" t="s">
        <v>5102</v>
      </c>
      <c r="C6085" s="27" t="s">
        <v>11196</v>
      </c>
      <c r="D6085" s="27" t="s">
        <v>5104</v>
      </c>
      <c r="E6085" s="29">
        <v>43189</v>
      </c>
      <c r="F6085" s="27">
        <v>12</v>
      </c>
      <c r="G6085" s="18">
        <v>3772.41</v>
      </c>
      <c r="H6085" s="27">
        <f t="shared" si="188"/>
        <v>3772.41</v>
      </c>
      <c r="I6085" s="18">
        <v>3772.41</v>
      </c>
      <c r="J6085" s="27">
        <v>3772.41</v>
      </c>
      <c r="K6085" s="18">
        <f t="shared" si="189"/>
        <v>3772.41</v>
      </c>
      <c r="L6085" s="27">
        <v>3772.41</v>
      </c>
      <c r="M6085" s="36">
        <v>0</v>
      </c>
      <c r="T6085" s="41">
        <v>0</v>
      </c>
      <c r="U6085" s="41">
        <v>0</v>
      </c>
      <c r="V6085" s="42" t="s">
        <v>113</v>
      </c>
      <c r="W6085" s="42">
        <v>3772.41</v>
      </c>
      <c r="X6085" s="42">
        <v>3772.41</v>
      </c>
    </row>
    <row r="6086" spans="1:24">
      <c r="A6086" s="27" t="s">
        <v>11197</v>
      </c>
      <c r="B6086" s="28" t="s">
        <v>5102</v>
      </c>
      <c r="C6086" s="27" t="s">
        <v>11196</v>
      </c>
      <c r="D6086" s="27" t="s">
        <v>5104</v>
      </c>
      <c r="E6086" s="29">
        <v>43189</v>
      </c>
      <c r="F6086" s="27">
        <v>15</v>
      </c>
      <c r="G6086" s="18">
        <v>17938.16</v>
      </c>
      <c r="H6086" s="27">
        <f t="shared" ref="H6086:H6149" si="190">IFERROR(IF(ROUND((G6086-I6086)/G6086,2)&lt;=0.05,G6086,0),0)</f>
        <v>0</v>
      </c>
      <c r="I6086" s="18">
        <v>851.34</v>
      </c>
      <c r="J6086" s="27">
        <v>17938.16</v>
      </c>
      <c r="K6086" s="18">
        <f t="shared" ref="K6086:K6149" si="191">IFERROR(IF(ROUND((J6086-L6086)/J6086,2)&lt;=0.05,J6086,0),0)</f>
        <v>0</v>
      </c>
      <c r="L6086" s="27">
        <v>1987.47</v>
      </c>
      <c r="M6086" s="36">
        <v>1136.1300000000001</v>
      </c>
      <c r="T6086" s="41">
        <v>0</v>
      </c>
      <c r="U6086" s="41">
        <v>0</v>
      </c>
      <c r="V6086" s="42" t="s">
        <v>113</v>
      </c>
      <c r="W6086" s="42">
        <v>0</v>
      </c>
      <c r="X6086" s="42">
        <v>0</v>
      </c>
    </row>
    <row r="6087" spans="1:24">
      <c r="A6087" s="27" t="s">
        <v>11198</v>
      </c>
      <c r="B6087" s="28" t="s">
        <v>5102</v>
      </c>
      <c r="C6087" s="27" t="s">
        <v>11199</v>
      </c>
      <c r="D6087" s="27" t="s">
        <v>5104</v>
      </c>
      <c r="E6087" s="29">
        <v>43189</v>
      </c>
      <c r="F6087" s="27">
        <v>15</v>
      </c>
      <c r="G6087" s="18">
        <v>26329.84</v>
      </c>
      <c r="H6087" s="27">
        <f t="shared" si="190"/>
        <v>0</v>
      </c>
      <c r="I6087" s="18">
        <v>1249.5999999999999</v>
      </c>
      <c r="J6087" s="27">
        <v>26329.84</v>
      </c>
      <c r="K6087" s="18">
        <f t="shared" si="191"/>
        <v>0</v>
      </c>
      <c r="L6087" s="27">
        <v>2917.23</v>
      </c>
      <c r="M6087" s="36">
        <v>1667.63</v>
      </c>
      <c r="T6087" s="41">
        <v>0</v>
      </c>
      <c r="U6087" s="41">
        <v>0</v>
      </c>
      <c r="V6087" s="42" t="s">
        <v>113</v>
      </c>
      <c r="W6087" s="42">
        <v>0</v>
      </c>
      <c r="X6087" s="42">
        <v>0</v>
      </c>
    </row>
    <row r="6088" spans="1:24">
      <c r="A6088" s="27" t="s">
        <v>11200</v>
      </c>
      <c r="B6088" s="28" t="s">
        <v>5102</v>
      </c>
      <c r="C6088" s="27" t="s">
        <v>11201</v>
      </c>
      <c r="D6088" s="27" t="s">
        <v>5104</v>
      </c>
      <c r="E6088" s="29">
        <v>43189</v>
      </c>
      <c r="F6088" s="27">
        <v>15</v>
      </c>
      <c r="G6088" s="18">
        <v>46462.42</v>
      </c>
      <c r="H6088" s="27">
        <f t="shared" si="190"/>
        <v>0</v>
      </c>
      <c r="I6088" s="18">
        <v>2205.02</v>
      </c>
      <c r="J6088" s="27">
        <v>46462.42</v>
      </c>
      <c r="K6088" s="18">
        <f t="shared" si="191"/>
        <v>0</v>
      </c>
      <c r="L6088" s="27">
        <v>5147.78</v>
      </c>
      <c r="M6088" s="36">
        <v>2942.76</v>
      </c>
      <c r="T6088" s="41">
        <v>0</v>
      </c>
      <c r="U6088" s="41">
        <v>0</v>
      </c>
      <c r="V6088" s="42" t="s">
        <v>113</v>
      </c>
      <c r="W6088" s="42">
        <v>0</v>
      </c>
      <c r="X6088" s="42">
        <v>0</v>
      </c>
    </row>
    <row r="6089" spans="1:24">
      <c r="A6089" s="27" t="s">
        <v>11202</v>
      </c>
      <c r="B6089" s="28" t="s">
        <v>5102</v>
      </c>
      <c r="C6089" s="27" t="s">
        <v>11203</v>
      </c>
      <c r="D6089" s="27" t="s">
        <v>5104</v>
      </c>
      <c r="E6089" s="29">
        <v>43189</v>
      </c>
      <c r="F6089" s="27">
        <v>15</v>
      </c>
      <c r="G6089" s="18">
        <v>47085.48</v>
      </c>
      <c r="H6089" s="27">
        <f t="shared" si="190"/>
        <v>0</v>
      </c>
      <c r="I6089" s="18">
        <v>2234.59</v>
      </c>
      <c r="J6089" s="27">
        <v>47085.48</v>
      </c>
      <c r="K6089" s="18">
        <f t="shared" si="191"/>
        <v>0</v>
      </c>
      <c r="L6089" s="27">
        <v>5216.8100000000004</v>
      </c>
      <c r="M6089" s="36">
        <v>2982.22</v>
      </c>
      <c r="T6089" s="41">
        <v>0</v>
      </c>
      <c r="U6089" s="41">
        <v>0</v>
      </c>
      <c r="V6089" s="42" t="s">
        <v>113</v>
      </c>
      <c r="W6089" s="42">
        <v>0</v>
      </c>
      <c r="X6089" s="42">
        <v>0</v>
      </c>
    </row>
    <row r="6090" spans="1:24">
      <c r="A6090" s="27" t="s">
        <v>11204</v>
      </c>
      <c r="B6090" s="28" t="s">
        <v>5102</v>
      </c>
      <c r="C6090" s="27" t="s">
        <v>11205</v>
      </c>
      <c r="D6090" s="27" t="s">
        <v>5104</v>
      </c>
      <c r="E6090" s="29">
        <v>43189</v>
      </c>
      <c r="F6090" s="27">
        <v>15</v>
      </c>
      <c r="G6090" s="18">
        <v>100846.6</v>
      </c>
      <c r="H6090" s="27">
        <f t="shared" si="190"/>
        <v>0</v>
      </c>
      <c r="I6090" s="18">
        <v>4785.99</v>
      </c>
      <c r="J6090" s="27">
        <v>100846.6</v>
      </c>
      <c r="K6090" s="18">
        <f t="shared" si="191"/>
        <v>0</v>
      </c>
      <c r="L6090" s="27">
        <v>11173.24</v>
      </c>
      <c r="M6090" s="36">
        <v>6387.25</v>
      </c>
      <c r="T6090" s="41">
        <v>0</v>
      </c>
      <c r="U6090" s="41">
        <v>0</v>
      </c>
      <c r="V6090" s="42" t="s">
        <v>113</v>
      </c>
      <c r="W6090" s="42">
        <v>0</v>
      </c>
      <c r="X6090" s="42">
        <v>0</v>
      </c>
    </row>
    <row r="6091" spans="1:24">
      <c r="A6091" s="27" t="s">
        <v>11206</v>
      </c>
      <c r="B6091" s="28" t="s">
        <v>5102</v>
      </c>
      <c r="C6091" s="27" t="s">
        <v>11207</v>
      </c>
      <c r="D6091" s="27" t="s">
        <v>5104</v>
      </c>
      <c r="E6091" s="29">
        <v>43189</v>
      </c>
      <c r="F6091" s="27">
        <v>15</v>
      </c>
      <c r="G6091" s="18">
        <v>17534.669999999998</v>
      </c>
      <c r="H6091" s="27">
        <f t="shared" si="190"/>
        <v>0</v>
      </c>
      <c r="I6091" s="18">
        <v>832.16</v>
      </c>
      <c r="J6091" s="27">
        <v>17534.669999999998</v>
      </c>
      <c r="K6091" s="18">
        <f t="shared" si="191"/>
        <v>0</v>
      </c>
      <c r="L6091" s="27">
        <v>1942.74</v>
      </c>
      <c r="M6091" s="36">
        <v>1110.58</v>
      </c>
      <c r="T6091" s="41">
        <v>0</v>
      </c>
      <c r="U6091" s="41">
        <v>0</v>
      </c>
      <c r="V6091" s="42" t="s">
        <v>113</v>
      </c>
      <c r="W6091" s="42">
        <v>0</v>
      </c>
      <c r="X6091" s="42">
        <v>0</v>
      </c>
    </row>
    <row r="6092" spans="1:24">
      <c r="A6092" s="27" t="s">
        <v>11208</v>
      </c>
      <c r="B6092" s="28" t="s">
        <v>5102</v>
      </c>
      <c r="C6092" s="27" t="s">
        <v>11207</v>
      </c>
      <c r="D6092" s="27" t="s">
        <v>5104</v>
      </c>
      <c r="E6092" s="29">
        <v>43189</v>
      </c>
      <c r="F6092" s="27">
        <v>15</v>
      </c>
      <c r="G6092" s="18">
        <v>39875.79</v>
      </c>
      <c r="H6092" s="27">
        <f t="shared" si="190"/>
        <v>0</v>
      </c>
      <c r="I6092" s="18">
        <v>1892.44</v>
      </c>
      <c r="J6092" s="27">
        <v>39875.79</v>
      </c>
      <c r="K6092" s="18">
        <f t="shared" si="191"/>
        <v>0</v>
      </c>
      <c r="L6092" s="27">
        <v>4418.0200000000004</v>
      </c>
      <c r="M6092" s="36">
        <v>2525.58</v>
      </c>
      <c r="T6092" s="41">
        <v>0</v>
      </c>
      <c r="U6092" s="41">
        <v>0</v>
      </c>
      <c r="V6092" s="42" t="s">
        <v>113</v>
      </c>
      <c r="W6092" s="42">
        <v>0</v>
      </c>
      <c r="X6092" s="42">
        <v>0</v>
      </c>
    </row>
    <row r="6093" spans="1:24">
      <c r="A6093" s="27" t="s">
        <v>11209</v>
      </c>
      <c r="B6093" s="28" t="s">
        <v>5102</v>
      </c>
      <c r="C6093" s="27" t="s">
        <v>11210</v>
      </c>
      <c r="D6093" s="27" t="s">
        <v>5104</v>
      </c>
      <c r="E6093" s="29">
        <v>43189</v>
      </c>
      <c r="F6093" s="27">
        <v>15</v>
      </c>
      <c r="G6093" s="18">
        <v>130308.41</v>
      </c>
      <c r="H6093" s="27">
        <f t="shared" si="190"/>
        <v>0</v>
      </c>
      <c r="I6093" s="18">
        <v>6184.2</v>
      </c>
      <c r="J6093" s="27">
        <v>130308.41</v>
      </c>
      <c r="K6093" s="18">
        <f t="shared" si="191"/>
        <v>0</v>
      </c>
      <c r="L6093" s="27">
        <v>14437.45</v>
      </c>
      <c r="M6093" s="36">
        <v>8253.25</v>
      </c>
      <c r="T6093" s="41">
        <v>0</v>
      </c>
      <c r="U6093" s="41">
        <v>0</v>
      </c>
      <c r="V6093" s="42" t="s">
        <v>113</v>
      </c>
      <c r="W6093" s="42">
        <v>0</v>
      </c>
      <c r="X6093" s="42">
        <v>0</v>
      </c>
    </row>
    <row r="6094" spans="1:24">
      <c r="A6094" s="27" t="s">
        <v>11211</v>
      </c>
      <c r="B6094" s="28" t="s">
        <v>5102</v>
      </c>
      <c r="C6094" s="27" t="s">
        <v>11210</v>
      </c>
      <c r="D6094" s="27" t="s">
        <v>5104</v>
      </c>
      <c r="E6094" s="29">
        <v>43189</v>
      </c>
      <c r="F6094" s="27">
        <v>12</v>
      </c>
      <c r="G6094" s="18">
        <v>3293.32</v>
      </c>
      <c r="H6094" s="27">
        <f t="shared" si="190"/>
        <v>3293.32</v>
      </c>
      <c r="I6094" s="18">
        <v>3293.32</v>
      </c>
      <c r="J6094" s="27">
        <v>3293.32</v>
      </c>
      <c r="K6094" s="18">
        <f t="shared" si="191"/>
        <v>3293.32</v>
      </c>
      <c r="L6094" s="27">
        <v>3293.32</v>
      </c>
      <c r="M6094" s="36">
        <v>0</v>
      </c>
      <c r="T6094" s="41">
        <v>0</v>
      </c>
      <c r="U6094" s="41">
        <v>0</v>
      </c>
      <c r="V6094" s="42" t="s">
        <v>113</v>
      </c>
      <c r="W6094" s="42">
        <v>3293.32</v>
      </c>
      <c r="X6094" s="42">
        <v>3293.32</v>
      </c>
    </row>
    <row r="6095" spans="1:24">
      <c r="A6095" s="27" t="s">
        <v>11212</v>
      </c>
      <c r="B6095" s="28" t="s">
        <v>5102</v>
      </c>
      <c r="C6095" s="27" t="s">
        <v>11213</v>
      </c>
      <c r="D6095" s="27" t="s">
        <v>5104</v>
      </c>
      <c r="E6095" s="29">
        <v>43189</v>
      </c>
      <c r="F6095" s="27">
        <v>15</v>
      </c>
      <c r="G6095" s="18">
        <v>5073.4799999999996</v>
      </c>
      <c r="H6095" s="27">
        <f t="shared" si="190"/>
        <v>0</v>
      </c>
      <c r="I6095" s="18">
        <v>240.78</v>
      </c>
      <c r="J6095" s="27">
        <v>5073.4799999999996</v>
      </c>
      <c r="K6095" s="18">
        <f t="shared" si="191"/>
        <v>0</v>
      </c>
      <c r="L6095" s="27">
        <v>562.12</v>
      </c>
      <c r="M6095" s="36">
        <v>321.33999999999997</v>
      </c>
      <c r="T6095" s="41">
        <v>0</v>
      </c>
      <c r="U6095" s="41">
        <v>0</v>
      </c>
      <c r="V6095" s="42" t="s">
        <v>113</v>
      </c>
      <c r="W6095" s="42">
        <v>0</v>
      </c>
      <c r="X6095" s="42">
        <v>0</v>
      </c>
    </row>
    <row r="6096" spans="1:24">
      <c r="A6096" s="27" t="s">
        <v>11214</v>
      </c>
      <c r="B6096" s="28" t="s">
        <v>5102</v>
      </c>
      <c r="C6096" s="27" t="s">
        <v>11213</v>
      </c>
      <c r="D6096" s="27" t="s">
        <v>5104</v>
      </c>
      <c r="E6096" s="29">
        <v>43189</v>
      </c>
      <c r="F6096" s="27">
        <v>15</v>
      </c>
      <c r="G6096" s="18">
        <v>67112.38</v>
      </c>
      <c r="H6096" s="27">
        <f t="shared" si="190"/>
        <v>0</v>
      </c>
      <c r="I6096" s="18">
        <v>3185.03</v>
      </c>
      <c r="J6096" s="27">
        <v>67112.38</v>
      </c>
      <c r="K6096" s="18">
        <f t="shared" si="191"/>
        <v>0</v>
      </c>
      <c r="L6096" s="27">
        <v>7435.68</v>
      </c>
      <c r="M6096" s="36">
        <v>4250.6499999999996</v>
      </c>
      <c r="T6096" s="41">
        <v>0</v>
      </c>
      <c r="U6096" s="41">
        <v>0</v>
      </c>
      <c r="V6096" s="42" t="s">
        <v>113</v>
      </c>
      <c r="W6096" s="42">
        <v>0</v>
      </c>
      <c r="X6096" s="42">
        <v>0</v>
      </c>
    </row>
    <row r="6097" spans="1:24">
      <c r="A6097" s="27" t="s">
        <v>11215</v>
      </c>
      <c r="B6097" s="28" t="s">
        <v>5102</v>
      </c>
      <c r="C6097" s="27" t="s">
        <v>11216</v>
      </c>
      <c r="D6097" s="27" t="s">
        <v>5104</v>
      </c>
      <c r="E6097" s="29">
        <v>43189</v>
      </c>
      <c r="F6097" s="27">
        <v>15</v>
      </c>
      <c r="G6097" s="18">
        <v>333446.95</v>
      </c>
      <c r="H6097" s="27">
        <f t="shared" si="190"/>
        <v>0</v>
      </c>
      <c r="I6097" s="18">
        <v>15826.57</v>
      </c>
      <c r="J6097" s="27">
        <v>333446.95</v>
      </c>
      <c r="K6097" s="18">
        <f t="shared" si="191"/>
        <v>0</v>
      </c>
      <c r="L6097" s="27">
        <v>36945.730000000003</v>
      </c>
      <c r="M6097" s="36">
        <v>21119.16</v>
      </c>
      <c r="T6097" s="41">
        <v>0</v>
      </c>
      <c r="U6097" s="41">
        <v>0</v>
      </c>
      <c r="V6097" s="42" t="s">
        <v>113</v>
      </c>
      <c r="W6097" s="42">
        <v>0</v>
      </c>
      <c r="X6097" s="42">
        <v>0</v>
      </c>
    </row>
    <row r="6098" spans="1:24">
      <c r="A6098" s="27" t="s">
        <v>11217</v>
      </c>
      <c r="B6098" s="28" t="s">
        <v>5102</v>
      </c>
      <c r="C6098" s="27" t="s">
        <v>11216</v>
      </c>
      <c r="D6098" s="27" t="s">
        <v>5104</v>
      </c>
      <c r="E6098" s="29">
        <v>43189</v>
      </c>
      <c r="F6098" s="27">
        <v>15</v>
      </c>
      <c r="G6098" s="18">
        <v>105600.21</v>
      </c>
      <c r="H6098" s="27">
        <f t="shared" si="190"/>
        <v>0</v>
      </c>
      <c r="I6098" s="18">
        <v>5012.16</v>
      </c>
      <c r="J6098" s="27">
        <v>105600.21</v>
      </c>
      <c r="K6098" s="18">
        <f t="shared" si="191"/>
        <v>0</v>
      </c>
      <c r="L6098" s="27">
        <v>11700.44</v>
      </c>
      <c r="M6098" s="36">
        <v>6688.28</v>
      </c>
      <c r="T6098" s="41">
        <v>0</v>
      </c>
      <c r="U6098" s="41">
        <v>0</v>
      </c>
      <c r="V6098" s="42" t="s">
        <v>113</v>
      </c>
      <c r="W6098" s="42">
        <v>0</v>
      </c>
      <c r="X6098" s="42">
        <v>0</v>
      </c>
    </row>
    <row r="6099" spans="1:24">
      <c r="A6099" s="27" t="s">
        <v>11218</v>
      </c>
      <c r="B6099" s="28" t="s">
        <v>5102</v>
      </c>
      <c r="C6099" s="27" t="s">
        <v>11219</v>
      </c>
      <c r="D6099" s="27" t="s">
        <v>5104</v>
      </c>
      <c r="E6099" s="29">
        <v>43189</v>
      </c>
      <c r="F6099" s="27">
        <v>15</v>
      </c>
      <c r="G6099" s="18">
        <v>63984.36</v>
      </c>
      <c r="H6099" s="27">
        <f t="shared" si="190"/>
        <v>0</v>
      </c>
      <c r="I6099" s="18">
        <v>3036.92</v>
      </c>
      <c r="J6099" s="27">
        <v>63984.36</v>
      </c>
      <c r="K6099" s="18">
        <f t="shared" si="191"/>
        <v>0</v>
      </c>
      <c r="L6099" s="27">
        <v>7089.43</v>
      </c>
      <c r="M6099" s="36">
        <v>4052.51</v>
      </c>
      <c r="T6099" s="41">
        <v>0</v>
      </c>
      <c r="U6099" s="41">
        <v>0</v>
      </c>
      <c r="V6099" s="42" t="s">
        <v>113</v>
      </c>
      <c r="W6099" s="42">
        <v>0</v>
      </c>
      <c r="X6099" s="42">
        <v>0</v>
      </c>
    </row>
    <row r="6100" spans="1:24">
      <c r="A6100" s="27" t="s">
        <v>11220</v>
      </c>
      <c r="B6100" s="28" t="s">
        <v>5102</v>
      </c>
      <c r="C6100" s="27" t="s">
        <v>11221</v>
      </c>
      <c r="D6100" s="27" t="s">
        <v>5104</v>
      </c>
      <c r="E6100" s="29">
        <v>43189</v>
      </c>
      <c r="F6100" s="27">
        <v>15</v>
      </c>
      <c r="G6100" s="18">
        <v>66975.5</v>
      </c>
      <c r="H6100" s="27">
        <f t="shared" si="190"/>
        <v>0</v>
      </c>
      <c r="I6100" s="18">
        <v>3178.89</v>
      </c>
      <c r="J6100" s="27">
        <v>66975.5</v>
      </c>
      <c r="K6100" s="18">
        <f t="shared" si="191"/>
        <v>0</v>
      </c>
      <c r="L6100" s="27">
        <v>7420.84</v>
      </c>
      <c r="M6100" s="36">
        <v>4241.95</v>
      </c>
      <c r="T6100" s="41">
        <v>0</v>
      </c>
      <c r="U6100" s="41">
        <v>0</v>
      </c>
      <c r="V6100" s="42" t="s">
        <v>113</v>
      </c>
      <c r="W6100" s="42">
        <v>0</v>
      </c>
      <c r="X6100" s="42">
        <v>0</v>
      </c>
    </row>
    <row r="6101" spans="1:24">
      <c r="A6101" s="27" t="s">
        <v>11222</v>
      </c>
      <c r="B6101" s="28" t="s">
        <v>5102</v>
      </c>
      <c r="C6101" s="27" t="s">
        <v>11223</v>
      </c>
      <c r="D6101" s="27" t="s">
        <v>5104</v>
      </c>
      <c r="E6101" s="29">
        <v>43189</v>
      </c>
      <c r="F6101" s="27">
        <v>15</v>
      </c>
      <c r="G6101" s="18">
        <v>70356.789999999994</v>
      </c>
      <c r="H6101" s="27">
        <f t="shared" si="190"/>
        <v>0</v>
      </c>
      <c r="I6101" s="18">
        <v>3339.38</v>
      </c>
      <c r="J6101" s="27">
        <v>70356.789999999994</v>
      </c>
      <c r="K6101" s="18">
        <f t="shared" si="191"/>
        <v>0</v>
      </c>
      <c r="L6101" s="27">
        <v>7795.49</v>
      </c>
      <c r="M6101" s="36">
        <v>4456.1099999999997</v>
      </c>
      <c r="T6101" s="41">
        <v>0</v>
      </c>
      <c r="U6101" s="41">
        <v>0</v>
      </c>
      <c r="V6101" s="42" t="s">
        <v>113</v>
      </c>
      <c r="W6101" s="42">
        <v>0</v>
      </c>
      <c r="X6101" s="42">
        <v>0</v>
      </c>
    </row>
    <row r="6102" spans="1:24">
      <c r="A6102" s="27" t="s">
        <v>11224</v>
      </c>
      <c r="B6102" s="28" t="s">
        <v>5102</v>
      </c>
      <c r="C6102" s="27" t="s">
        <v>11225</v>
      </c>
      <c r="D6102" s="27" t="s">
        <v>5104</v>
      </c>
      <c r="E6102" s="29">
        <v>43189</v>
      </c>
      <c r="F6102" s="27">
        <v>15</v>
      </c>
      <c r="G6102" s="18">
        <v>44867.09</v>
      </c>
      <c r="H6102" s="27">
        <f t="shared" si="190"/>
        <v>0</v>
      </c>
      <c r="I6102" s="18">
        <v>2129.5500000000002</v>
      </c>
      <c r="J6102" s="27">
        <v>44867.09</v>
      </c>
      <c r="K6102" s="18">
        <f t="shared" si="191"/>
        <v>0</v>
      </c>
      <c r="L6102" s="27">
        <v>4971.25</v>
      </c>
      <c r="M6102" s="36">
        <v>2841.7</v>
      </c>
      <c r="T6102" s="41">
        <v>0</v>
      </c>
      <c r="U6102" s="41">
        <v>0</v>
      </c>
      <c r="V6102" s="42" t="s">
        <v>113</v>
      </c>
      <c r="W6102" s="42">
        <v>0</v>
      </c>
      <c r="X6102" s="42">
        <v>0</v>
      </c>
    </row>
    <row r="6103" spans="1:24">
      <c r="A6103" s="27" t="s">
        <v>11226</v>
      </c>
      <c r="B6103" s="28" t="s">
        <v>5102</v>
      </c>
      <c r="C6103" s="27" t="s">
        <v>11227</v>
      </c>
      <c r="D6103" s="27" t="s">
        <v>5104</v>
      </c>
      <c r="E6103" s="29">
        <v>43189</v>
      </c>
      <c r="F6103" s="27">
        <v>15</v>
      </c>
      <c r="G6103" s="18">
        <v>19377.37</v>
      </c>
      <c r="H6103" s="27">
        <f t="shared" si="190"/>
        <v>0</v>
      </c>
      <c r="I6103" s="18">
        <v>919.72</v>
      </c>
      <c r="J6103" s="27">
        <v>19377.37</v>
      </c>
      <c r="K6103" s="18">
        <f t="shared" si="191"/>
        <v>0</v>
      </c>
      <c r="L6103" s="27">
        <v>2147</v>
      </c>
      <c r="M6103" s="36">
        <v>1227.28</v>
      </c>
      <c r="T6103" s="41">
        <v>0</v>
      </c>
      <c r="U6103" s="41">
        <v>0</v>
      </c>
      <c r="V6103" s="42" t="s">
        <v>113</v>
      </c>
      <c r="W6103" s="42">
        <v>0</v>
      </c>
      <c r="X6103" s="42">
        <v>0</v>
      </c>
    </row>
    <row r="6104" spans="1:24">
      <c r="A6104" s="27" t="s">
        <v>11228</v>
      </c>
      <c r="B6104" s="28" t="s">
        <v>5102</v>
      </c>
      <c r="C6104" s="27" t="s">
        <v>11227</v>
      </c>
      <c r="D6104" s="27" t="s">
        <v>5104</v>
      </c>
      <c r="E6104" s="29">
        <v>43189</v>
      </c>
      <c r="F6104" s="27">
        <v>15</v>
      </c>
      <c r="G6104" s="18">
        <v>78549.899999999994</v>
      </c>
      <c r="H6104" s="27">
        <f t="shared" si="190"/>
        <v>0</v>
      </c>
      <c r="I6104" s="18">
        <v>3728.26</v>
      </c>
      <c r="J6104" s="27">
        <v>78549.899999999994</v>
      </c>
      <c r="K6104" s="18">
        <f t="shared" si="191"/>
        <v>0</v>
      </c>
      <c r="L6104" s="27">
        <v>8703.2900000000009</v>
      </c>
      <c r="M6104" s="36">
        <v>4975.03</v>
      </c>
      <c r="T6104" s="41">
        <v>0</v>
      </c>
      <c r="U6104" s="41">
        <v>0</v>
      </c>
      <c r="V6104" s="42" t="s">
        <v>113</v>
      </c>
      <c r="W6104" s="42">
        <v>0</v>
      </c>
      <c r="X6104" s="42">
        <v>0</v>
      </c>
    </row>
    <row r="6105" spans="1:24">
      <c r="A6105" s="27" t="s">
        <v>11229</v>
      </c>
      <c r="B6105" s="28" t="s">
        <v>5102</v>
      </c>
      <c r="C6105" s="27" t="s">
        <v>11230</v>
      </c>
      <c r="D6105" s="27" t="s">
        <v>5104</v>
      </c>
      <c r="E6105" s="29">
        <v>43189</v>
      </c>
      <c r="F6105" s="27">
        <v>15</v>
      </c>
      <c r="G6105" s="18">
        <v>54750.85</v>
      </c>
      <c r="H6105" s="27">
        <f t="shared" si="190"/>
        <v>0</v>
      </c>
      <c r="I6105" s="18">
        <v>2598.67</v>
      </c>
      <c r="J6105" s="27">
        <v>54750.85</v>
      </c>
      <c r="K6105" s="18">
        <f t="shared" si="191"/>
        <v>0</v>
      </c>
      <c r="L6105" s="27">
        <v>6066.36</v>
      </c>
      <c r="M6105" s="36">
        <v>3467.69</v>
      </c>
      <c r="T6105" s="41">
        <v>0</v>
      </c>
      <c r="U6105" s="41">
        <v>0</v>
      </c>
      <c r="V6105" s="42" t="s">
        <v>113</v>
      </c>
      <c r="W6105" s="42">
        <v>0</v>
      </c>
      <c r="X6105" s="42">
        <v>0</v>
      </c>
    </row>
    <row r="6106" spans="1:24">
      <c r="A6106" s="27" t="s">
        <v>11231</v>
      </c>
      <c r="B6106" s="28" t="s">
        <v>5102</v>
      </c>
      <c r="C6106" s="27" t="s">
        <v>11232</v>
      </c>
      <c r="D6106" s="27" t="s">
        <v>5104</v>
      </c>
      <c r="E6106" s="29">
        <v>43189</v>
      </c>
      <c r="F6106" s="27">
        <v>15</v>
      </c>
      <c r="G6106" s="18">
        <v>110151.94</v>
      </c>
      <c r="H6106" s="27">
        <f t="shared" si="190"/>
        <v>0</v>
      </c>
      <c r="I6106" s="18">
        <v>5228.2</v>
      </c>
      <c r="J6106" s="27">
        <v>110151.94</v>
      </c>
      <c r="K6106" s="18">
        <f t="shared" si="191"/>
        <v>0</v>
      </c>
      <c r="L6106" s="27">
        <v>12204.77</v>
      </c>
      <c r="M6106" s="36">
        <v>6976.57</v>
      </c>
      <c r="T6106" s="41">
        <v>0</v>
      </c>
      <c r="U6106" s="41">
        <v>0</v>
      </c>
      <c r="V6106" s="42" t="s">
        <v>113</v>
      </c>
      <c r="W6106" s="42">
        <v>0</v>
      </c>
      <c r="X6106" s="42">
        <v>0</v>
      </c>
    </row>
    <row r="6107" spans="1:24">
      <c r="A6107" s="27" t="s">
        <v>11233</v>
      </c>
      <c r="B6107" s="28" t="s">
        <v>5102</v>
      </c>
      <c r="C6107" s="27" t="s">
        <v>11234</v>
      </c>
      <c r="D6107" s="27" t="s">
        <v>5104</v>
      </c>
      <c r="E6107" s="29">
        <v>43189</v>
      </c>
      <c r="F6107" s="27">
        <v>15</v>
      </c>
      <c r="G6107" s="18">
        <v>57351.839999999997</v>
      </c>
      <c r="H6107" s="27">
        <f t="shared" si="190"/>
        <v>0</v>
      </c>
      <c r="I6107" s="18">
        <v>2722.12</v>
      </c>
      <c r="J6107" s="27">
        <v>57351.839999999997</v>
      </c>
      <c r="K6107" s="18">
        <f t="shared" si="191"/>
        <v>0</v>
      </c>
      <c r="L6107" s="27">
        <v>6354.55</v>
      </c>
      <c r="M6107" s="36">
        <v>3632.43</v>
      </c>
      <c r="T6107" s="41">
        <v>0</v>
      </c>
      <c r="U6107" s="41">
        <v>0</v>
      </c>
      <c r="V6107" s="42" t="s">
        <v>113</v>
      </c>
      <c r="W6107" s="42">
        <v>0</v>
      </c>
      <c r="X6107" s="42">
        <v>0</v>
      </c>
    </row>
    <row r="6108" spans="1:24">
      <c r="A6108" s="27" t="s">
        <v>11235</v>
      </c>
      <c r="B6108" s="28" t="s">
        <v>5102</v>
      </c>
      <c r="C6108" s="27" t="s">
        <v>11236</v>
      </c>
      <c r="D6108" s="27" t="s">
        <v>5104</v>
      </c>
      <c r="E6108" s="29">
        <v>43189</v>
      </c>
      <c r="F6108" s="27">
        <v>15</v>
      </c>
      <c r="G6108" s="18">
        <v>8973.41</v>
      </c>
      <c r="H6108" s="27">
        <f t="shared" si="190"/>
        <v>0</v>
      </c>
      <c r="I6108" s="18">
        <v>425.91</v>
      </c>
      <c r="J6108" s="27">
        <v>8973.41</v>
      </c>
      <c r="K6108" s="18">
        <f t="shared" si="191"/>
        <v>0</v>
      </c>
      <c r="L6108" s="27">
        <v>994.25</v>
      </c>
      <c r="M6108" s="36">
        <v>568.34</v>
      </c>
      <c r="T6108" s="41">
        <v>0</v>
      </c>
      <c r="U6108" s="41">
        <v>0</v>
      </c>
      <c r="V6108" s="42" t="s">
        <v>113</v>
      </c>
      <c r="W6108" s="42">
        <v>0</v>
      </c>
      <c r="X6108" s="42">
        <v>0</v>
      </c>
    </row>
    <row r="6109" spans="1:24">
      <c r="A6109" s="27" t="s">
        <v>11237</v>
      </c>
      <c r="B6109" s="28" t="s">
        <v>5102</v>
      </c>
      <c r="C6109" s="27" t="s">
        <v>11236</v>
      </c>
      <c r="D6109" s="27" t="s">
        <v>5104</v>
      </c>
      <c r="E6109" s="29">
        <v>43189</v>
      </c>
      <c r="F6109" s="27">
        <v>15</v>
      </c>
      <c r="G6109" s="18">
        <v>130439.67</v>
      </c>
      <c r="H6109" s="27">
        <f t="shared" si="190"/>
        <v>0</v>
      </c>
      <c r="I6109" s="18">
        <v>6191.13</v>
      </c>
      <c r="J6109" s="27">
        <v>130439.67</v>
      </c>
      <c r="K6109" s="18">
        <f t="shared" si="191"/>
        <v>0</v>
      </c>
      <c r="L6109" s="27">
        <v>14452.64</v>
      </c>
      <c r="M6109" s="36">
        <v>8261.51</v>
      </c>
      <c r="T6109" s="41">
        <v>0</v>
      </c>
      <c r="U6109" s="41">
        <v>0</v>
      </c>
      <c r="V6109" s="42" t="s">
        <v>113</v>
      </c>
      <c r="W6109" s="42">
        <v>0</v>
      </c>
      <c r="X6109" s="42">
        <v>0</v>
      </c>
    </row>
    <row r="6110" spans="1:24">
      <c r="A6110" s="27" t="s">
        <v>11238</v>
      </c>
      <c r="B6110" s="28" t="s">
        <v>5102</v>
      </c>
      <c r="C6110" s="27" t="s">
        <v>11239</v>
      </c>
      <c r="D6110" s="27" t="s">
        <v>5104</v>
      </c>
      <c r="E6110" s="29">
        <v>43189</v>
      </c>
      <c r="F6110" s="27">
        <v>15</v>
      </c>
      <c r="G6110" s="18">
        <v>59432.63</v>
      </c>
      <c r="H6110" s="27">
        <f t="shared" si="190"/>
        <v>0</v>
      </c>
      <c r="I6110" s="18">
        <v>2820.88</v>
      </c>
      <c r="J6110" s="27">
        <v>59432.63</v>
      </c>
      <c r="K6110" s="18">
        <f t="shared" si="191"/>
        <v>0</v>
      </c>
      <c r="L6110" s="27">
        <v>6585.1</v>
      </c>
      <c r="M6110" s="36">
        <v>3764.22</v>
      </c>
      <c r="T6110" s="41">
        <v>0</v>
      </c>
      <c r="U6110" s="41">
        <v>0</v>
      </c>
      <c r="V6110" s="42" t="s">
        <v>113</v>
      </c>
      <c r="W6110" s="42">
        <v>0</v>
      </c>
      <c r="X6110" s="42">
        <v>0</v>
      </c>
    </row>
    <row r="6111" spans="1:24">
      <c r="A6111" s="27" t="s">
        <v>11240</v>
      </c>
      <c r="B6111" s="28" t="s">
        <v>5102</v>
      </c>
      <c r="C6111" s="27" t="s">
        <v>11241</v>
      </c>
      <c r="D6111" s="27" t="s">
        <v>5104</v>
      </c>
      <c r="E6111" s="29">
        <v>43189</v>
      </c>
      <c r="F6111" s="27">
        <v>15</v>
      </c>
      <c r="G6111" s="18">
        <v>27960.639999999999</v>
      </c>
      <c r="H6111" s="27">
        <f t="shared" si="190"/>
        <v>0</v>
      </c>
      <c r="I6111" s="18">
        <v>1327.11</v>
      </c>
      <c r="J6111" s="27">
        <v>27960.639999999999</v>
      </c>
      <c r="K6111" s="18">
        <f t="shared" si="191"/>
        <v>0</v>
      </c>
      <c r="L6111" s="27">
        <v>3098.02</v>
      </c>
      <c r="M6111" s="36">
        <v>1770.91</v>
      </c>
      <c r="T6111" s="41">
        <v>0</v>
      </c>
      <c r="U6111" s="41">
        <v>0</v>
      </c>
      <c r="V6111" s="42" t="s">
        <v>113</v>
      </c>
      <c r="W6111" s="42">
        <v>0</v>
      </c>
      <c r="X6111" s="42">
        <v>0</v>
      </c>
    </row>
    <row r="6112" spans="1:24">
      <c r="A6112" s="27" t="s">
        <v>11242</v>
      </c>
      <c r="B6112" s="28" t="s">
        <v>5102</v>
      </c>
      <c r="C6112" s="27" t="s">
        <v>11243</v>
      </c>
      <c r="D6112" s="27" t="s">
        <v>5104</v>
      </c>
      <c r="E6112" s="29">
        <v>43189</v>
      </c>
      <c r="F6112" s="27">
        <v>15</v>
      </c>
      <c r="G6112" s="18">
        <v>6502.48</v>
      </c>
      <c r="H6112" s="27">
        <f t="shared" si="190"/>
        <v>0</v>
      </c>
      <c r="I6112" s="18">
        <v>308.63</v>
      </c>
      <c r="J6112" s="27">
        <v>6502.48</v>
      </c>
      <c r="K6112" s="18">
        <f t="shared" si="191"/>
        <v>0</v>
      </c>
      <c r="L6112" s="27">
        <v>720.47</v>
      </c>
      <c r="M6112" s="36">
        <v>411.84</v>
      </c>
      <c r="T6112" s="41">
        <v>0</v>
      </c>
      <c r="U6112" s="41">
        <v>0</v>
      </c>
      <c r="V6112" s="42" t="s">
        <v>113</v>
      </c>
      <c r="W6112" s="42">
        <v>0</v>
      </c>
      <c r="X6112" s="42">
        <v>0</v>
      </c>
    </row>
    <row r="6113" spans="1:24">
      <c r="A6113" s="27" t="s">
        <v>11244</v>
      </c>
      <c r="B6113" s="28" t="s">
        <v>5102</v>
      </c>
      <c r="C6113" s="27" t="s">
        <v>11245</v>
      </c>
      <c r="D6113" s="27" t="s">
        <v>5104</v>
      </c>
      <c r="E6113" s="29">
        <v>43189</v>
      </c>
      <c r="F6113" s="27">
        <v>15</v>
      </c>
      <c r="G6113" s="18">
        <v>50849.36</v>
      </c>
      <c r="H6113" s="27">
        <f t="shared" si="190"/>
        <v>0</v>
      </c>
      <c r="I6113" s="18">
        <v>2413.4899999999998</v>
      </c>
      <c r="J6113" s="27">
        <v>50849.36</v>
      </c>
      <c r="K6113" s="18">
        <f t="shared" si="191"/>
        <v>0</v>
      </c>
      <c r="L6113" s="27">
        <v>5634.08</v>
      </c>
      <c r="M6113" s="36">
        <v>3220.59</v>
      </c>
      <c r="T6113" s="41">
        <v>0</v>
      </c>
      <c r="U6113" s="41">
        <v>0</v>
      </c>
      <c r="V6113" s="42" t="s">
        <v>113</v>
      </c>
      <c r="W6113" s="42">
        <v>0</v>
      </c>
      <c r="X6113" s="42">
        <v>0</v>
      </c>
    </row>
    <row r="6114" spans="1:24">
      <c r="A6114" s="27" t="s">
        <v>11246</v>
      </c>
      <c r="B6114" s="28" t="s">
        <v>5102</v>
      </c>
      <c r="C6114" s="27" t="s">
        <v>11247</v>
      </c>
      <c r="D6114" s="27" t="s">
        <v>5104</v>
      </c>
      <c r="E6114" s="29">
        <v>43189</v>
      </c>
      <c r="F6114" s="27">
        <v>15</v>
      </c>
      <c r="G6114" s="18">
        <v>238847.97</v>
      </c>
      <c r="H6114" s="27">
        <f t="shared" si="190"/>
        <v>0</v>
      </c>
      <c r="I6114" s="18">
        <v>11334.74</v>
      </c>
      <c r="J6114" s="27">
        <v>238847.97</v>
      </c>
      <c r="K6114" s="18">
        <f t="shared" si="191"/>
        <v>0</v>
      </c>
      <c r="L6114" s="27">
        <v>26462.52</v>
      </c>
      <c r="M6114" s="36">
        <v>15127.78</v>
      </c>
      <c r="T6114" s="41">
        <v>0</v>
      </c>
      <c r="U6114" s="41">
        <v>0</v>
      </c>
      <c r="V6114" s="42" t="s">
        <v>113</v>
      </c>
      <c r="W6114" s="42">
        <v>0</v>
      </c>
      <c r="X6114" s="42">
        <v>0</v>
      </c>
    </row>
    <row r="6115" spans="1:24">
      <c r="A6115" s="27" t="s">
        <v>11248</v>
      </c>
      <c r="B6115" s="28" t="s">
        <v>5102</v>
      </c>
      <c r="C6115" s="27" t="s">
        <v>11249</v>
      </c>
      <c r="D6115" s="27" t="s">
        <v>5104</v>
      </c>
      <c r="E6115" s="29">
        <v>43189</v>
      </c>
      <c r="F6115" s="27">
        <v>15</v>
      </c>
      <c r="G6115" s="18">
        <v>17276.52</v>
      </c>
      <c r="H6115" s="27">
        <f t="shared" si="190"/>
        <v>0</v>
      </c>
      <c r="I6115" s="18">
        <v>819.87</v>
      </c>
      <c r="J6115" s="27">
        <v>17276.52</v>
      </c>
      <c r="K6115" s="18">
        <f t="shared" si="191"/>
        <v>0</v>
      </c>
      <c r="L6115" s="27">
        <v>1914.1</v>
      </c>
      <c r="M6115" s="36">
        <v>1094.23</v>
      </c>
      <c r="T6115" s="41">
        <v>0</v>
      </c>
      <c r="U6115" s="41">
        <v>0</v>
      </c>
      <c r="V6115" s="42" t="s">
        <v>113</v>
      </c>
      <c r="W6115" s="42">
        <v>0</v>
      </c>
      <c r="X6115" s="42">
        <v>0</v>
      </c>
    </row>
    <row r="6116" spans="1:24">
      <c r="A6116" s="27" t="s">
        <v>11250</v>
      </c>
      <c r="B6116" s="28" t="s">
        <v>5102</v>
      </c>
      <c r="C6116" s="27" t="s">
        <v>11251</v>
      </c>
      <c r="D6116" s="27" t="s">
        <v>5104</v>
      </c>
      <c r="E6116" s="29">
        <v>43189</v>
      </c>
      <c r="F6116" s="27">
        <v>15</v>
      </c>
      <c r="G6116" s="18">
        <v>118430.58</v>
      </c>
      <c r="H6116" s="27">
        <f t="shared" si="190"/>
        <v>0</v>
      </c>
      <c r="I6116" s="18">
        <v>5620.23</v>
      </c>
      <c r="J6116" s="27">
        <v>118430.58</v>
      </c>
      <c r="K6116" s="18">
        <f t="shared" si="191"/>
        <v>0</v>
      </c>
      <c r="L6116" s="27">
        <v>13121.2</v>
      </c>
      <c r="M6116" s="36">
        <v>7500.97</v>
      </c>
      <c r="T6116" s="41">
        <v>0</v>
      </c>
      <c r="U6116" s="41">
        <v>0</v>
      </c>
      <c r="V6116" s="42" t="s">
        <v>113</v>
      </c>
      <c r="W6116" s="42">
        <v>0</v>
      </c>
      <c r="X6116" s="42">
        <v>0</v>
      </c>
    </row>
    <row r="6117" spans="1:24">
      <c r="A6117" s="27" t="s">
        <v>11252</v>
      </c>
      <c r="B6117" s="28" t="s">
        <v>5102</v>
      </c>
      <c r="C6117" s="27" t="s">
        <v>11253</v>
      </c>
      <c r="D6117" s="27" t="s">
        <v>5104</v>
      </c>
      <c r="E6117" s="29">
        <v>43189</v>
      </c>
      <c r="F6117" s="27">
        <v>15</v>
      </c>
      <c r="G6117" s="18">
        <v>84395.83</v>
      </c>
      <c r="H6117" s="27">
        <f t="shared" si="190"/>
        <v>0</v>
      </c>
      <c r="I6117" s="18">
        <v>4005.08</v>
      </c>
      <c r="J6117" s="27">
        <v>84395.83</v>
      </c>
      <c r="K6117" s="18">
        <f t="shared" si="191"/>
        <v>0</v>
      </c>
      <c r="L6117" s="27">
        <v>9350.41</v>
      </c>
      <c r="M6117" s="36">
        <v>5345.33</v>
      </c>
      <c r="T6117" s="41">
        <v>0</v>
      </c>
      <c r="U6117" s="41">
        <v>0</v>
      </c>
      <c r="V6117" s="42" t="s">
        <v>113</v>
      </c>
      <c r="W6117" s="42">
        <v>0</v>
      </c>
      <c r="X6117" s="42">
        <v>0</v>
      </c>
    </row>
    <row r="6118" spans="1:24">
      <c r="A6118" s="27" t="s">
        <v>11254</v>
      </c>
      <c r="B6118" s="28" t="s">
        <v>5102</v>
      </c>
      <c r="C6118" s="27" t="s">
        <v>11251</v>
      </c>
      <c r="D6118" s="27" t="s">
        <v>5104</v>
      </c>
      <c r="E6118" s="29">
        <v>43189</v>
      </c>
      <c r="F6118" s="27">
        <v>15</v>
      </c>
      <c r="G6118" s="18">
        <v>86728.16</v>
      </c>
      <c r="H6118" s="27">
        <f t="shared" si="190"/>
        <v>0</v>
      </c>
      <c r="I6118" s="18">
        <v>4115.76</v>
      </c>
      <c r="J6118" s="27">
        <v>86728.16</v>
      </c>
      <c r="K6118" s="18">
        <f t="shared" si="191"/>
        <v>0</v>
      </c>
      <c r="L6118" s="27">
        <v>9608.81</v>
      </c>
      <c r="M6118" s="36">
        <v>5493.05</v>
      </c>
      <c r="T6118" s="41">
        <v>0</v>
      </c>
      <c r="U6118" s="41">
        <v>0</v>
      </c>
      <c r="V6118" s="42" t="s">
        <v>113</v>
      </c>
      <c r="W6118" s="42">
        <v>0</v>
      </c>
      <c r="X6118" s="42">
        <v>0</v>
      </c>
    </row>
    <row r="6119" spans="1:24">
      <c r="A6119" s="27" t="s">
        <v>11255</v>
      </c>
      <c r="B6119" s="28" t="s">
        <v>5102</v>
      </c>
      <c r="C6119" s="27" t="s">
        <v>11253</v>
      </c>
      <c r="D6119" s="27" t="s">
        <v>5104</v>
      </c>
      <c r="E6119" s="29">
        <v>43189</v>
      </c>
      <c r="F6119" s="27">
        <v>15</v>
      </c>
      <c r="G6119" s="18">
        <v>120762.91</v>
      </c>
      <c r="H6119" s="27">
        <f t="shared" si="190"/>
        <v>0</v>
      </c>
      <c r="I6119" s="18">
        <v>5730.91</v>
      </c>
      <c r="J6119" s="27">
        <v>120762.91</v>
      </c>
      <c r="K6119" s="18">
        <f t="shared" si="191"/>
        <v>0</v>
      </c>
      <c r="L6119" s="27">
        <v>13379.6</v>
      </c>
      <c r="M6119" s="36">
        <v>7648.69</v>
      </c>
      <c r="T6119" s="41">
        <v>0</v>
      </c>
      <c r="U6119" s="41">
        <v>0</v>
      </c>
      <c r="V6119" s="42" t="s">
        <v>113</v>
      </c>
      <c r="W6119" s="42">
        <v>0</v>
      </c>
      <c r="X6119" s="42">
        <v>0</v>
      </c>
    </row>
    <row r="6120" spans="1:24">
      <c r="A6120" s="27" t="s">
        <v>11256</v>
      </c>
      <c r="B6120" s="28" t="s">
        <v>5102</v>
      </c>
      <c r="C6120" s="27" t="s">
        <v>11253</v>
      </c>
      <c r="D6120" s="27" t="s">
        <v>5104</v>
      </c>
      <c r="E6120" s="29">
        <v>43189</v>
      </c>
      <c r="F6120" s="27">
        <v>15</v>
      </c>
      <c r="G6120" s="18">
        <v>36367.089999999997</v>
      </c>
      <c r="H6120" s="27">
        <f t="shared" si="190"/>
        <v>0</v>
      </c>
      <c r="I6120" s="18">
        <v>1725.83</v>
      </c>
      <c r="J6120" s="27">
        <v>36367.089999999997</v>
      </c>
      <c r="K6120" s="18">
        <f t="shared" si="191"/>
        <v>0</v>
      </c>
      <c r="L6120" s="27">
        <v>4029.19</v>
      </c>
      <c r="M6120" s="36">
        <v>2303.36</v>
      </c>
      <c r="T6120" s="41">
        <v>0</v>
      </c>
      <c r="U6120" s="41">
        <v>0</v>
      </c>
      <c r="V6120" s="42" t="s">
        <v>113</v>
      </c>
      <c r="W6120" s="42">
        <v>0</v>
      </c>
      <c r="X6120" s="42">
        <v>0</v>
      </c>
    </row>
    <row r="6121" spans="1:24">
      <c r="A6121" s="27" t="s">
        <v>11257</v>
      </c>
      <c r="B6121" s="28" t="s">
        <v>5102</v>
      </c>
      <c r="C6121" s="27" t="s">
        <v>11258</v>
      </c>
      <c r="D6121" s="27" t="s">
        <v>5104</v>
      </c>
      <c r="E6121" s="29">
        <v>43189</v>
      </c>
      <c r="F6121" s="27">
        <v>15</v>
      </c>
      <c r="G6121" s="18">
        <v>48282.92</v>
      </c>
      <c r="H6121" s="27">
        <f t="shared" si="190"/>
        <v>0</v>
      </c>
      <c r="I6121" s="18">
        <v>2291.4699999999998</v>
      </c>
      <c r="J6121" s="27">
        <v>48282.92</v>
      </c>
      <c r="K6121" s="18">
        <f t="shared" si="191"/>
        <v>0</v>
      </c>
      <c r="L6121" s="27">
        <v>5349.53</v>
      </c>
      <c r="M6121" s="36">
        <v>3058.06</v>
      </c>
      <c r="T6121" s="41">
        <v>0</v>
      </c>
      <c r="U6121" s="41">
        <v>0</v>
      </c>
      <c r="V6121" s="42" t="s">
        <v>113</v>
      </c>
      <c r="W6121" s="42">
        <v>0</v>
      </c>
      <c r="X6121" s="42">
        <v>0</v>
      </c>
    </row>
    <row r="6122" spans="1:24">
      <c r="A6122" s="27" t="s">
        <v>11259</v>
      </c>
      <c r="B6122" s="28" t="s">
        <v>5102</v>
      </c>
      <c r="C6122" s="27" t="s">
        <v>11260</v>
      </c>
      <c r="D6122" s="27" t="s">
        <v>5104</v>
      </c>
      <c r="E6122" s="29">
        <v>43189</v>
      </c>
      <c r="F6122" s="27">
        <v>12</v>
      </c>
      <c r="G6122" s="18">
        <v>1965.92</v>
      </c>
      <c r="H6122" s="27">
        <f t="shared" si="190"/>
        <v>1965.92</v>
      </c>
      <c r="I6122" s="18">
        <v>1965.92</v>
      </c>
      <c r="J6122" s="27">
        <v>1965.92</v>
      </c>
      <c r="K6122" s="18">
        <f t="shared" si="191"/>
        <v>1965.92</v>
      </c>
      <c r="L6122" s="27">
        <v>1965.92</v>
      </c>
      <c r="M6122" s="36">
        <v>0</v>
      </c>
      <c r="T6122" s="41">
        <v>0</v>
      </c>
      <c r="U6122" s="41">
        <v>0</v>
      </c>
      <c r="V6122" s="42" t="s">
        <v>113</v>
      </c>
      <c r="W6122" s="42">
        <v>1965.92</v>
      </c>
      <c r="X6122" s="42">
        <v>1965.92</v>
      </c>
    </row>
    <row r="6123" spans="1:24">
      <c r="A6123" s="27" t="s">
        <v>11261</v>
      </c>
      <c r="B6123" s="28" t="s">
        <v>5102</v>
      </c>
      <c r="C6123" s="27" t="s">
        <v>11260</v>
      </c>
      <c r="D6123" s="27" t="s">
        <v>5104</v>
      </c>
      <c r="E6123" s="29">
        <v>43189</v>
      </c>
      <c r="F6123" s="27">
        <v>15</v>
      </c>
      <c r="G6123" s="18">
        <v>13368.24</v>
      </c>
      <c r="H6123" s="27">
        <f t="shared" si="190"/>
        <v>0</v>
      </c>
      <c r="I6123" s="18">
        <v>634.44000000000005</v>
      </c>
      <c r="J6123" s="27">
        <v>13368.24</v>
      </c>
      <c r="K6123" s="18">
        <f t="shared" si="191"/>
        <v>0</v>
      </c>
      <c r="L6123" s="27">
        <v>1481.13</v>
      </c>
      <c r="M6123" s="36">
        <v>846.69</v>
      </c>
      <c r="T6123" s="41">
        <v>0</v>
      </c>
      <c r="U6123" s="41">
        <v>0</v>
      </c>
      <c r="V6123" s="42" t="s">
        <v>113</v>
      </c>
      <c r="W6123" s="42">
        <v>0</v>
      </c>
      <c r="X6123" s="42">
        <v>0</v>
      </c>
    </row>
    <row r="6124" spans="1:24">
      <c r="A6124" s="27" t="s">
        <v>11262</v>
      </c>
      <c r="B6124" s="28" t="s">
        <v>5102</v>
      </c>
      <c r="C6124" s="27" t="s">
        <v>11263</v>
      </c>
      <c r="D6124" s="27" t="s">
        <v>5104</v>
      </c>
      <c r="E6124" s="29">
        <v>43189</v>
      </c>
      <c r="F6124" s="27">
        <v>15</v>
      </c>
      <c r="G6124" s="18">
        <v>209802.73</v>
      </c>
      <c r="H6124" s="27">
        <f t="shared" si="190"/>
        <v>0</v>
      </c>
      <c r="I6124" s="18">
        <v>9957.07</v>
      </c>
      <c r="J6124" s="27">
        <v>209802.73</v>
      </c>
      <c r="K6124" s="18">
        <f t="shared" si="191"/>
        <v>0</v>
      </c>
      <c r="L6124" s="27">
        <v>23245.18</v>
      </c>
      <c r="M6124" s="36">
        <v>13288.11</v>
      </c>
      <c r="T6124" s="41">
        <v>0</v>
      </c>
      <c r="U6124" s="41">
        <v>0</v>
      </c>
      <c r="V6124" s="42" t="s">
        <v>113</v>
      </c>
      <c r="W6124" s="42">
        <v>0</v>
      </c>
      <c r="X6124" s="42">
        <v>0</v>
      </c>
    </row>
    <row r="6125" spans="1:24">
      <c r="A6125" s="27" t="s">
        <v>11264</v>
      </c>
      <c r="B6125" s="28" t="s">
        <v>5102</v>
      </c>
      <c r="C6125" s="27" t="s">
        <v>11265</v>
      </c>
      <c r="D6125" s="27" t="s">
        <v>5104</v>
      </c>
      <c r="E6125" s="29">
        <v>43189</v>
      </c>
      <c r="F6125" s="27">
        <v>15</v>
      </c>
      <c r="G6125" s="18">
        <v>12503.24</v>
      </c>
      <c r="H6125" s="27">
        <f t="shared" si="190"/>
        <v>0</v>
      </c>
      <c r="I6125" s="18">
        <v>593.4</v>
      </c>
      <c r="J6125" s="27">
        <v>12503.24</v>
      </c>
      <c r="K6125" s="18">
        <f t="shared" si="191"/>
        <v>0</v>
      </c>
      <c r="L6125" s="27">
        <v>1385.31</v>
      </c>
      <c r="M6125" s="36">
        <v>791.91</v>
      </c>
      <c r="T6125" s="41">
        <v>0</v>
      </c>
      <c r="U6125" s="41">
        <v>0</v>
      </c>
      <c r="V6125" s="42" t="s">
        <v>113</v>
      </c>
      <c r="W6125" s="42">
        <v>0</v>
      </c>
      <c r="X6125" s="42">
        <v>0</v>
      </c>
    </row>
    <row r="6126" spans="1:24">
      <c r="A6126" s="27" t="s">
        <v>11266</v>
      </c>
      <c r="B6126" s="28" t="s">
        <v>5102</v>
      </c>
      <c r="C6126" s="27" t="s">
        <v>11265</v>
      </c>
      <c r="D6126" s="27" t="s">
        <v>5104</v>
      </c>
      <c r="E6126" s="29">
        <v>43189</v>
      </c>
      <c r="F6126" s="27">
        <v>15</v>
      </c>
      <c r="G6126" s="18">
        <v>132031.03</v>
      </c>
      <c r="H6126" s="27">
        <f t="shared" si="190"/>
        <v>0</v>
      </c>
      <c r="I6126" s="18">
        <v>6266.08</v>
      </c>
      <c r="J6126" s="27">
        <v>132031.03</v>
      </c>
      <c r="K6126" s="18">
        <f t="shared" si="191"/>
        <v>0</v>
      </c>
      <c r="L6126" s="27">
        <v>14628.42</v>
      </c>
      <c r="M6126" s="36">
        <v>8362.34</v>
      </c>
      <c r="T6126" s="41">
        <v>0</v>
      </c>
      <c r="U6126" s="41">
        <v>0</v>
      </c>
      <c r="V6126" s="42" t="s">
        <v>113</v>
      </c>
      <c r="W6126" s="42">
        <v>0</v>
      </c>
      <c r="X6126" s="42">
        <v>0</v>
      </c>
    </row>
    <row r="6127" spans="1:24">
      <c r="A6127" s="27" t="s">
        <v>11267</v>
      </c>
      <c r="B6127" s="28" t="s">
        <v>5102</v>
      </c>
      <c r="C6127" s="27" t="s">
        <v>11263</v>
      </c>
      <c r="D6127" s="27" t="s">
        <v>5104</v>
      </c>
      <c r="E6127" s="29">
        <v>43189</v>
      </c>
      <c r="F6127" s="27">
        <v>15</v>
      </c>
      <c r="G6127" s="18">
        <v>98295.88</v>
      </c>
      <c r="H6127" s="27">
        <f t="shared" si="190"/>
        <v>0</v>
      </c>
      <c r="I6127" s="18">
        <v>4665.04</v>
      </c>
      <c r="J6127" s="27">
        <v>98295.88</v>
      </c>
      <c r="K6127" s="18">
        <f t="shared" si="191"/>
        <v>0</v>
      </c>
      <c r="L6127" s="27">
        <v>10890.73</v>
      </c>
      <c r="M6127" s="36">
        <v>6225.69</v>
      </c>
      <c r="T6127" s="41">
        <v>0</v>
      </c>
      <c r="U6127" s="41">
        <v>0</v>
      </c>
      <c r="V6127" s="42" t="s">
        <v>113</v>
      </c>
      <c r="W6127" s="42">
        <v>0</v>
      </c>
      <c r="X6127" s="42">
        <v>0</v>
      </c>
    </row>
    <row r="6128" spans="1:24">
      <c r="A6128" s="27" t="s">
        <v>11268</v>
      </c>
      <c r="B6128" s="28" t="s">
        <v>5102</v>
      </c>
      <c r="C6128" s="27" t="s">
        <v>11263</v>
      </c>
      <c r="D6128" s="27" t="s">
        <v>5104</v>
      </c>
      <c r="E6128" s="29">
        <v>43189</v>
      </c>
      <c r="F6128" s="27">
        <v>12</v>
      </c>
      <c r="G6128" s="18">
        <v>3145.47</v>
      </c>
      <c r="H6128" s="27">
        <f t="shared" si="190"/>
        <v>3145.47</v>
      </c>
      <c r="I6128" s="18">
        <v>3145.47</v>
      </c>
      <c r="J6128" s="27">
        <v>3145.47</v>
      </c>
      <c r="K6128" s="18">
        <f t="shared" si="191"/>
        <v>3145.47</v>
      </c>
      <c r="L6128" s="27">
        <v>3145.47</v>
      </c>
      <c r="M6128" s="36">
        <v>0</v>
      </c>
      <c r="T6128" s="41">
        <v>0</v>
      </c>
      <c r="U6128" s="41">
        <v>0</v>
      </c>
      <c r="V6128" s="42" t="s">
        <v>113</v>
      </c>
      <c r="W6128" s="42">
        <v>3145.47</v>
      </c>
      <c r="X6128" s="42">
        <v>3145.47</v>
      </c>
    </row>
    <row r="6129" spans="1:24">
      <c r="A6129" s="27" t="s">
        <v>11269</v>
      </c>
      <c r="B6129" s="28" t="s">
        <v>5102</v>
      </c>
      <c r="C6129" s="27" t="s">
        <v>11265</v>
      </c>
      <c r="D6129" s="27" t="s">
        <v>5104</v>
      </c>
      <c r="E6129" s="29">
        <v>43189</v>
      </c>
      <c r="F6129" s="27">
        <v>15</v>
      </c>
      <c r="G6129" s="18">
        <v>78479.429999999993</v>
      </c>
      <c r="H6129" s="27">
        <f t="shared" si="190"/>
        <v>0</v>
      </c>
      <c r="I6129" s="18">
        <v>3724.57</v>
      </c>
      <c r="J6129" s="27">
        <v>78479.429999999993</v>
      </c>
      <c r="K6129" s="18">
        <f t="shared" si="191"/>
        <v>0</v>
      </c>
      <c r="L6129" s="27">
        <v>8695.16</v>
      </c>
      <c r="M6129" s="36">
        <v>4970.59</v>
      </c>
      <c r="T6129" s="41">
        <v>0</v>
      </c>
      <c r="U6129" s="41">
        <v>0</v>
      </c>
      <c r="V6129" s="42" t="s">
        <v>113</v>
      </c>
      <c r="W6129" s="42">
        <v>0</v>
      </c>
      <c r="X6129" s="42">
        <v>0</v>
      </c>
    </row>
    <row r="6130" spans="1:24">
      <c r="A6130" s="27" t="s">
        <v>11270</v>
      </c>
      <c r="B6130" s="28" t="s">
        <v>5102</v>
      </c>
      <c r="C6130" s="27" t="s">
        <v>11271</v>
      </c>
      <c r="D6130" s="27" t="s">
        <v>5104</v>
      </c>
      <c r="E6130" s="29">
        <v>43189</v>
      </c>
      <c r="F6130" s="27">
        <v>15</v>
      </c>
      <c r="G6130" s="18">
        <v>112839.52</v>
      </c>
      <c r="H6130" s="27">
        <f t="shared" si="190"/>
        <v>0</v>
      </c>
      <c r="I6130" s="18">
        <v>5355.54</v>
      </c>
      <c r="J6130" s="27">
        <v>112839.52</v>
      </c>
      <c r="K6130" s="18">
        <f t="shared" si="191"/>
        <v>0</v>
      </c>
      <c r="L6130" s="27">
        <v>12502.35</v>
      </c>
      <c r="M6130" s="36">
        <v>7146.81</v>
      </c>
      <c r="T6130" s="41">
        <v>0</v>
      </c>
      <c r="U6130" s="41">
        <v>0</v>
      </c>
      <c r="V6130" s="42" t="s">
        <v>113</v>
      </c>
      <c r="W6130" s="42">
        <v>0</v>
      </c>
      <c r="X6130" s="42">
        <v>0</v>
      </c>
    </row>
    <row r="6131" spans="1:24">
      <c r="A6131" s="27" t="s">
        <v>11272</v>
      </c>
      <c r="B6131" s="28" t="s">
        <v>5102</v>
      </c>
      <c r="C6131" s="27" t="s">
        <v>11271</v>
      </c>
      <c r="D6131" s="27" t="s">
        <v>5104</v>
      </c>
      <c r="E6131" s="29">
        <v>43189</v>
      </c>
      <c r="F6131" s="27">
        <v>15</v>
      </c>
      <c r="G6131" s="18">
        <v>24611.1</v>
      </c>
      <c r="H6131" s="27">
        <f t="shared" si="190"/>
        <v>0</v>
      </c>
      <c r="I6131" s="18">
        <v>1168.08</v>
      </c>
      <c r="J6131" s="27">
        <v>24611.1</v>
      </c>
      <c r="K6131" s="18">
        <f t="shared" si="191"/>
        <v>0</v>
      </c>
      <c r="L6131" s="27">
        <v>2726.85</v>
      </c>
      <c r="M6131" s="36">
        <v>1558.77</v>
      </c>
      <c r="T6131" s="41">
        <v>0</v>
      </c>
      <c r="U6131" s="41">
        <v>0</v>
      </c>
      <c r="V6131" s="42" t="s">
        <v>113</v>
      </c>
      <c r="W6131" s="42">
        <v>0</v>
      </c>
      <c r="X6131" s="42">
        <v>0</v>
      </c>
    </row>
    <row r="6132" spans="1:24">
      <c r="A6132" s="27" t="s">
        <v>11273</v>
      </c>
      <c r="B6132" s="28" t="s">
        <v>5102</v>
      </c>
      <c r="C6132" s="27" t="s">
        <v>11274</v>
      </c>
      <c r="D6132" s="27" t="s">
        <v>5104</v>
      </c>
      <c r="E6132" s="29">
        <v>43189</v>
      </c>
      <c r="F6132" s="27">
        <v>15</v>
      </c>
      <c r="G6132" s="18">
        <v>7429.77</v>
      </c>
      <c r="H6132" s="27">
        <f t="shared" si="190"/>
        <v>0</v>
      </c>
      <c r="I6132" s="18">
        <v>352.63</v>
      </c>
      <c r="J6132" s="27">
        <v>7429.77</v>
      </c>
      <c r="K6132" s="18">
        <f t="shared" si="191"/>
        <v>0</v>
      </c>
      <c r="L6132" s="27">
        <v>823.2</v>
      </c>
      <c r="M6132" s="36">
        <v>470.57</v>
      </c>
      <c r="T6132" s="41">
        <v>0</v>
      </c>
      <c r="U6132" s="41">
        <v>0</v>
      </c>
      <c r="V6132" s="42" t="s">
        <v>113</v>
      </c>
      <c r="W6132" s="42">
        <v>0</v>
      </c>
      <c r="X6132" s="42">
        <v>0</v>
      </c>
    </row>
    <row r="6133" spans="1:24">
      <c r="A6133" s="27" t="s">
        <v>11275</v>
      </c>
      <c r="B6133" s="28" t="s">
        <v>5102</v>
      </c>
      <c r="C6133" s="27" t="s">
        <v>11276</v>
      </c>
      <c r="D6133" s="27" t="s">
        <v>5104</v>
      </c>
      <c r="E6133" s="29">
        <v>43189</v>
      </c>
      <c r="F6133" s="27">
        <v>15</v>
      </c>
      <c r="G6133" s="18">
        <v>57735.46</v>
      </c>
      <c r="H6133" s="27">
        <f t="shared" si="190"/>
        <v>0</v>
      </c>
      <c r="I6133" s="18">
        <v>2740.22</v>
      </c>
      <c r="J6133" s="27">
        <v>57735.46</v>
      </c>
      <c r="K6133" s="18">
        <f t="shared" si="191"/>
        <v>0</v>
      </c>
      <c r="L6133" s="27">
        <v>6396.95</v>
      </c>
      <c r="M6133" s="36">
        <v>3656.73</v>
      </c>
      <c r="T6133" s="41">
        <v>0</v>
      </c>
      <c r="U6133" s="41">
        <v>0</v>
      </c>
      <c r="V6133" s="42" t="s">
        <v>113</v>
      </c>
      <c r="W6133" s="42">
        <v>0</v>
      </c>
      <c r="X6133" s="42">
        <v>0</v>
      </c>
    </row>
    <row r="6134" spans="1:24">
      <c r="A6134" s="27" t="s">
        <v>11277</v>
      </c>
      <c r="B6134" s="28" t="s">
        <v>5102</v>
      </c>
      <c r="C6134" s="27" t="s">
        <v>11276</v>
      </c>
      <c r="D6134" s="27" t="s">
        <v>5104</v>
      </c>
      <c r="E6134" s="29">
        <v>43189</v>
      </c>
      <c r="F6134" s="27">
        <v>15</v>
      </c>
      <c r="G6134" s="18">
        <v>13002.09</v>
      </c>
      <c r="H6134" s="27">
        <f t="shared" si="190"/>
        <v>0</v>
      </c>
      <c r="I6134" s="18">
        <v>617.1</v>
      </c>
      <c r="J6134" s="27">
        <v>13002.09</v>
      </c>
      <c r="K6134" s="18">
        <f t="shared" si="191"/>
        <v>0</v>
      </c>
      <c r="L6134" s="27">
        <v>1440.6</v>
      </c>
      <c r="M6134" s="36">
        <v>823.5</v>
      </c>
      <c r="T6134" s="41">
        <v>0</v>
      </c>
      <c r="U6134" s="41">
        <v>0</v>
      </c>
      <c r="V6134" s="42" t="s">
        <v>113</v>
      </c>
      <c r="W6134" s="42">
        <v>0</v>
      </c>
      <c r="X6134" s="42">
        <v>0</v>
      </c>
    </row>
    <row r="6135" spans="1:24">
      <c r="A6135" s="27" t="s">
        <v>11278</v>
      </c>
      <c r="B6135" s="28" t="s">
        <v>5102</v>
      </c>
      <c r="C6135" s="27" t="s">
        <v>11279</v>
      </c>
      <c r="D6135" s="27" t="s">
        <v>5104</v>
      </c>
      <c r="E6135" s="29">
        <v>43189</v>
      </c>
      <c r="F6135" s="27">
        <v>15</v>
      </c>
      <c r="G6135" s="18">
        <v>127699.07</v>
      </c>
      <c r="H6135" s="27">
        <f t="shared" si="190"/>
        <v>0</v>
      </c>
      <c r="I6135" s="18">
        <v>6060.8</v>
      </c>
      <c r="J6135" s="27">
        <v>127699.07</v>
      </c>
      <c r="K6135" s="18">
        <f t="shared" si="191"/>
        <v>0</v>
      </c>
      <c r="L6135" s="27">
        <v>14148.75</v>
      </c>
      <c r="M6135" s="36">
        <v>8087.95</v>
      </c>
      <c r="T6135" s="41">
        <v>0</v>
      </c>
      <c r="U6135" s="41">
        <v>0</v>
      </c>
      <c r="V6135" s="42" t="s">
        <v>113</v>
      </c>
      <c r="W6135" s="42">
        <v>0</v>
      </c>
      <c r="X6135" s="42">
        <v>0</v>
      </c>
    </row>
    <row r="6136" spans="1:24">
      <c r="A6136" s="27" t="s">
        <v>11280</v>
      </c>
      <c r="B6136" s="28" t="s">
        <v>5102</v>
      </c>
      <c r="C6136" s="27" t="s">
        <v>11281</v>
      </c>
      <c r="D6136" s="27" t="s">
        <v>5104</v>
      </c>
      <c r="E6136" s="29">
        <v>43189</v>
      </c>
      <c r="F6136" s="27">
        <v>15</v>
      </c>
      <c r="G6136" s="18">
        <v>54949.3</v>
      </c>
      <c r="H6136" s="27">
        <f t="shared" si="190"/>
        <v>0</v>
      </c>
      <c r="I6136" s="18">
        <v>2607.98</v>
      </c>
      <c r="J6136" s="27">
        <v>54949.3</v>
      </c>
      <c r="K6136" s="18">
        <f t="shared" si="191"/>
        <v>0</v>
      </c>
      <c r="L6136" s="27">
        <v>6088.25</v>
      </c>
      <c r="M6136" s="36">
        <v>3480.27</v>
      </c>
      <c r="T6136" s="41">
        <v>0</v>
      </c>
      <c r="U6136" s="41">
        <v>0</v>
      </c>
      <c r="V6136" s="42" t="s">
        <v>113</v>
      </c>
      <c r="W6136" s="42">
        <v>0</v>
      </c>
      <c r="X6136" s="42">
        <v>0</v>
      </c>
    </row>
    <row r="6137" spans="1:24">
      <c r="A6137" s="27" t="s">
        <v>11282</v>
      </c>
      <c r="B6137" s="28" t="s">
        <v>5102</v>
      </c>
      <c r="C6137" s="27" t="s">
        <v>11283</v>
      </c>
      <c r="D6137" s="27" t="s">
        <v>5104</v>
      </c>
      <c r="E6137" s="29">
        <v>43189</v>
      </c>
      <c r="F6137" s="27">
        <v>15</v>
      </c>
      <c r="G6137" s="18">
        <v>124423.55</v>
      </c>
      <c r="H6137" s="27">
        <f t="shared" si="190"/>
        <v>0</v>
      </c>
      <c r="I6137" s="18">
        <v>5904.5</v>
      </c>
      <c r="J6137" s="27">
        <v>124423.55</v>
      </c>
      <c r="K6137" s="18">
        <f t="shared" si="191"/>
        <v>0</v>
      </c>
      <c r="L6137" s="27">
        <v>13785.05</v>
      </c>
      <c r="M6137" s="36">
        <v>7880.55</v>
      </c>
      <c r="T6137" s="41">
        <v>0</v>
      </c>
      <c r="U6137" s="41">
        <v>0</v>
      </c>
      <c r="V6137" s="42" t="s">
        <v>113</v>
      </c>
      <c r="W6137" s="42">
        <v>0</v>
      </c>
      <c r="X6137" s="42">
        <v>0</v>
      </c>
    </row>
    <row r="6138" spans="1:24">
      <c r="A6138" s="27" t="s">
        <v>11284</v>
      </c>
      <c r="B6138" s="28" t="s">
        <v>5102</v>
      </c>
      <c r="C6138" s="27" t="s">
        <v>11285</v>
      </c>
      <c r="D6138" s="27" t="s">
        <v>5104</v>
      </c>
      <c r="E6138" s="29">
        <v>43189</v>
      </c>
      <c r="F6138" s="27">
        <v>15</v>
      </c>
      <c r="G6138" s="18">
        <v>113990.8</v>
      </c>
      <c r="H6138" s="27">
        <f t="shared" si="190"/>
        <v>0</v>
      </c>
      <c r="I6138" s="18">
        <v>5409.42</v>
      </c>
      <c r="J6138" s="27">
        <v>113990.8</v>
      </c>
      <c r="K6138" s="18">
        <f t="shared" si="191"/>
        <v>0</v>
      </c>
      <c r="L6138" s="27">
        <v>12629.2</v>
      </c>
      <c r="M6138" s="36">
        <v>7219.78</v>
      </c>
      <c r="T6138" s="41">
        <v>0</v>
      </c>
      <c r="U6138" s="41">
        <v>0</v>
      </c>
      <c r="V6138" s="42" t="s">
        <v>113</v>
      </c>
      <c r="W6138" s="42">
        <v>0</v>
      </c>
      <c r="X6138" s="42">
        <v>0</v>
      </c>
    </row>
    <row r="6139" spans="1:24">
      <c r="A6139" s="27" t="s">
        <v>11286</v>
      </c>
      <c r="B6139" s="28" t="s">
        <v>5102</v>
      </c>
      <c r="C6139" s="27" t="s">
        <v>11287</v>
      </c>
      <c r="D6139" s="27" t="s">
        <v>5104</v>
      </c>
      <c r="E6139" s="29">
        <v>43189</v>
      </c>
      <c r="F6139" s="27">
        <v>15</v>
      </c>
      <c r="G6139" s="18">
        <v>62425.58</v>
      </c>
      <c r="H6139" s="27">
        <f t="shared" si="190"/>
        <v>0</v>
      </c>
      <c r="I6139" s="18">
        <v>2962.39</v>
      </c>
      <c r="J6139" s="27">
        <v>62425.58</v>
      </c>
      <c r="K6139" s="18">
        <f t="shared" si="191"/>
        <v>0</v>
      </c>
      <c r="L6139" s="27">
        <v>6916.21</v>
      </c>
      <c r="M6139" s="36">
        <v>3953.82</v>
      </c>
      <c r="T6139" s="41">
        <v>0</v>
      </c>
      <c r="U6139" s="41">
        <v>0</v>
      </c>
      <c r="V6139" s="42" t="s">
        <v>113</v>
      </c>
      <c r="W6139" s="42">
        <v>0</v>
      </c>
      <c r="X6139" s="42">
        <v>0</v>
      </c>
    </row>
    <row r="6140" spans="1:24">
      <c r="A6140" s="27" t="s">
        <v>11288</v>
      </c>
      <c r="B6140" s="28" t="s">
        <v>5102</v>
      </c>
      <c r="C6140" s="27" t="s">
        <v>11289</v>
      </c>
      <c r="D6140" s="27" t="s">
        <v>5104</v>
      </c>
      <c r="E6140" s="29">
        <v>43189</v>
      </c>
      <c r="F6140" s="27">
        <v>15</v>
      </c>
      <c r="G6140" s="18">
        <v>45579.22</v>
      </c>
      <c r="H6140" s="27">
        <f t="shared" si="190"/>
        <v>0</v>
      </c>
      <c r="I6140" s="18">
        <v>2162.9499999999998</v>
      </c>
      <c r="J6140" s="27">
        <v>45579.22</v>
      </c>
      <c r="K6140" s="18">
        <f t="shared" si="191"/>
        <v>0</v>
      </c>
      <c r="L6140" s="27">
        <v>5049.78</v>
      </c>
      <c r="M6140" s="36">
        <v>2886.83</v>
      </c>
      <c r="T6140" s="41">
        <v>0</v>
      </c>
      <c r="U6140" s="41">
        <v>0</v>
      </c>
      <c r="V6140" s="42" t="s">
        <v>113</v>
      </c>
      <c r="W6140" s="42">
        <v>0</v>
      </c>
      <c r="X6140" s="42">
        <v>0</v>
      </c>
    </row>
    <row r="6141" spans="1:24">
      <c r="A6141" s="27" t="s">
        <v>11290</v>
      </c>
      <c r="B6141" s="28" t="s">
        <v>5102</v>
      </c>
      <c r="C6141" s="27" t="s">
        <v>11291</v>
      </c>
      <c r="D6141" s="27" t="s">
        <v>5104</v>
      </c>
      <c r="E6141" s="29">
        <v>43189</v>
      </c>
      <c r="F6141" s="27">
        <v>15</v>
      </c>
      <c r="G6141" s="18">
        <v>114589.42</v>
      </c>
      <c r="H6141" s="27">
        <f t="shared" si="190"/>
        <v>0</v>
      </c>
      <c r="I6141" s="18">
        <v>5437.82</v>
      </c>
      <c r="J6141" s="27">
        <v>114589.42</v>
      </c>
      <c r="K6141" s="18">
        <f t="shared" si="191"/>
        <v>0</v>
      </c>
      <c r="L6141" s="27">
        <v>12695.51</v>
      </c>
      <c r="M6141" s="36">
        <v>7257.69</v>
      </c>
      <c r="T6141" s="41">
        <v>0</v>
      </c>
      <c r="U6141" s="41">
        <v>0</v>
      </c>
      <c r="V6141" s="42" t="s">
        <v>113</v>
      </c>
      <c r="W6141" s="42">
        <v>0</v>
      </c>
      <c r="X6141" s="42">
        <v>0</v>
      </c>
    </row>
    <row r="6142" spans="1:24">
      <c r="A6142" s="27" t="s">
        <v>11292</v>
      </c>
      <c r="B6142" s="28" t="s">
        <v>5102</v>
      </c>
      <c r="C6142" s="27" t="s">
        <v>11293</v>
      </c>
      <c r="D6142" s="27" t="s">
        <v>5104</v>
      </c>
      <c r="E6142" s="29">
        <v>43189</v>
      </c>
      <c r="F6142" s="27">
        <v>15</v>
      </c>
      <c r="G6142" s="18">
        <v>51565.24</v>
      </c>
      <c r="H6142" s="27">
        <f t="shared" si="190"/>
        <v>0</v>
      </c>
      <c r="I6142" s="18">
        <v>2447.02</v>
      </c>
      <c r="J6142" s="27">
        <v>51565.24</v>
      </c>
      <c r="K6142" s="18">
        <f t="shared" si="191"/>
        <v>0</v>
      </c>
      <c r="L6142" s="27">
        <v>5712.98</v>
      </c>
      <c r="M6142" s="36">
        <v>3265.96</v>
      </c>
      <c r="T6142" s="41">
        <v>0</v>
      </c>
      <c r="U6142" s="41">
        <v>0</v>
      </c>
      <c r="V6142" s="42" t="s">
        <v>113</v>
      </c>
      <c r="W6142" s="42">
        <v>0</v>
      </c>
      <c r="X6142" s="42">
        <v>0</v>
      </c>
    </row>
    <row r="6143" spans="1:24">
      <c r="A6143" s="27" t="s">
        <v>11294</v>
      </c>
      <c r="B6143" s="28" t="s">
        <v>5102</v>
      </c>
      <c r="C6143" s="27" t="s">
        <v>11295</v>
      </c>
      <c r="D6143" s="27" t="s">
        <v>5104</v>
      </c>
      <c r="E6143" s="29">
        <v>43189</v>
      </c>
      <c r="F6143" s="27">
        <v>15</v>
      </c>
      <c r="G6143" s="18">
        <v>45408.2</v>
      </c>
      <c r="H6143" s="27">
        <f t="shared" si="190"/>
        <v>0</v>
      </c>
      <c r="I6143" s="18">
        <v>2154.83</v>
      </c>
      <c r="J6143" s="27">
        <v>45408.2</v>
      </c>
      <c r="K6143" s="18">
        <f t="shared" si="191"/>
        <v>0</v>
      </c>
      <c r="L6143" s="27">
        <v>5030.83</v>
      </c>
      <c r="M6143" s="36">
        <v>2876</v>
      </c>
      <c r="T6143" s="41">
        <v>0</v>
      </c>
      <c r="U6143" s="41">
        <v>0</v>
      </c>
      <c r="V6143" s="42" t="s">
        <v>113</v>
      </c>
      <c r="W6143" s="42">
        <v>0</v>
      </c>
      <c r="X6143" s="42">
        <v>0</v>
      </c>
    </row>
    <row r="6144" spans="1:24">
      <c r="A6144" s="27" t="s">
        <v>11296</v>
      </c>
      <c r="B6144" s="28" t="s">
        <v>5102</v>
      </c>
      <c r="C6144" s="27" t="s">
        <v>11297</v>
      </c>
      <c r="D6144" s="27" t="s">
        <v>5104</v>
      </c>
      <c r="E6144" s="29">
        <v>43189</v>
      </c>
      <c r="F6144" s="27">
        <v>15</v>
      </c>
      <c r="G6144" s="18">
        <v>93894.9</v>
      </c>
      <c r="H6144" s="27">
        <f t="shared" si="190"/>
        <v>0</v>
      </c>
      <c r="I6144" s="18">
        <v>4455.7700000000004</v>
      </c>
      <c r="J6144" s="27">
        <v>93894.9</v>
      </c>
      <c r="K6144" s="18">
        <f t="shared" si="191"/>
        <v>0</v>
      </c>
      <c r="L6144" s="27">
        <v>10402.74</v>
      </c>
      <c r="M6144" s="36">
        <v>5946.97</v>
      </c>
      <c r="T6144" s="41">
        <v>0</v>
      </c>
      <c r="U6144" s="41">
        <v>0</v>
      </c>
      <c r="V6144" s="42" t="s">
        <v>113</v>
      </c>
      <c r="W6144" s="42">
        <v>0</v>
      </c>
      <c r="X6144" s="42">
        <v>0</v>
      </c>
    </row>
    <row r="6145" spans="1:24">
      <c r="A6145" s="27" t="s">
        <v>11298</v>
      </c>
      <c r="B6145" s="28" t="s">
        <v>5102</v>
      </c>
      <c r="C6145" s="27" t="s">
        <v>11299</v>
      </c>
      <c r="D6145" s="27" t="s">
        <v>5104</v>
      </c>
      <c r="E6145" s="29">
        <v>43189</v>
      </c>
      <c r="F6145" s="27">
        <v>15</v>
      </c>
      <c r="G6145" s="18">
        <v>30015.59</v>
      </c>
      <c r="H6145" s="27">
        <f t="shared" si="190"/>
        <v>0</v>
      </c>
      <c r="I6145" s="18">
        <v>1424.38</v>
      </c>
      <c r="J6145" s="27">
        <v>30015.59</v>
      </c>
      <c r="K6145" s="18">
        <f t="shared" si="191"/>
        <v>0</v>
      </c>
      <c r="L6145" s="27">
        <v>3325.46</v>
      </c>
      <c r="M6145" s="36">
        <v>1901.08</v>
      </c>
      <c r="T6145" s="41">
        <v>0</v>
      </c>
      <c r="U6145" s="41">
        <v>0</v>
      </c>
      <c r="V6145" s="42" t="s">
        <v>113</v>
      </c>
      <c r="W6145" s="42">
        <v>0</v>
      </c>
      <c r="X6145" s="42">
        <v>0</v>
      </c>
    </row>
    <row r="6146" spans="1:24">
      <c r="A6146" s="27" t="s">
        <v>11300</v>
      </c>
      <c r="B6146" s="28" t="s">
        <v>5102</v>
      </c>
      <c r="C6146" s="27" t="s">
        <v>11301</v>
      </c>
      <c r="D6146" s="27" t="s">
        <v>5104</v>
      </c>
      <c r="E6146" s="29">
        <v>43189</v>
      </c>
      <c r="F6146" s="27">
        <v>15</v>
      </c>
      <c r="G6146" s="18">
        <v>74910.69</v>
      </c>
      <c r="H6146" s="27">
        <f t="shared" si="190"/>
        <v>0</v>
      </c>
      <c r="I6146" s="18">
        <v>3554.87</v>
      </c>
      <c r="J6146" s="27">
        <v>74910.69</v>
      </c>
      <c r="K6146" s="18">
        <f t="shared" si="191"/>
        <v>0</v>
      </c>
      <c r="L6146" s="27">
        <v>8299.4500000000007</v>
      </c>
      <c r="M6146" s="36">
        <v>4744.58</v>
      </c>
      <c r="T6146" s="41">
        <v>0</v>
      </c>
      <c r="U6146" s="41">
        <v>0</v>
      </c>
      <c r="V6146" s="42" t="s">
        <v>113</v>
      </c>
      <c r="W6146" s="42">
        <v>0</v>
      </c>
      <c r="X6146" s="42">
        <v>0</v>
      </c>
    </row>
    <row r="6147" spans="1:24">
      <c r="A6147" s="27" t="s">
        <v>11302</v>
      </c>
      <c r="B6147" s="28" t="s">
        <v>5102</v>
      </c>
      <c r="C6147" s="27" t="s">
        <v>11303</v>
      </c>
      <c r="D6147" s="27" t="s">
        <v>5104</v>
      </c>
      <c r="E6147" s="29">
        <v>43189</v>
      </c>
      <c r="F6147" s="27">
        <v>15</v>
      </c>
      <c r="G6147" s="18">
        <v>13169.23</v>
      </c>
      <c r="H6147" s="27">
        <f t="shared" si="190"/>
        <v>0</v>
      </c>
      <c r="I6147" s="18">
        <v>624.94000000000005</v>
      </c>
      <c r="J6147" s="27">
        <v>13169.23</v>
      </c>
      <c r="K6147" s="18">
        <f t="shared" si="191"/>
        <v>0</v>
      </c>
      <c r="L6147" s="27">
        <v>1459.03</v>
      </c>
      <c r="M6147" s="36">
        <v>834.09</v>
      </c>
      <c r="T6147" s="41">
        <v>0</v>
      </c>
      <c r="U6147" s="41">
        <v>0</v>
      </c>
      <c r="V6147" s="42" t="s">
        <v>113</v>
      </c>
      <c r="W6147" s="42">
        <v>0</v>
      </c>
      <c r="X6147" s="42">
        <v>0</v>
      </c>
    </row>
    <row r="6148" spans="1:24">
      <c r="A6148" s="27" t="s">
        <v>11304</v>
      </c>
      <c r="B6148" s="28" t="s">
        <v>5102</v>
      </c>
      <c r="C6148" s="27" t="s">
        <v>11305</v>
      </c>
      <c r="D6148" s="27" t="s">
        <v>5104</v>
      </c>
      <c r="E6148" s="29">
        <v>43189</v>
      </c>
      <c r="F6148" s="27">
        <v>15</v>
      </c>
      <c r="G6148" s="18">
        <v>5814.99</v>
      </c>
      <c r="H6148" s="27">
        <f t="shared" si="190"/>
        <v>0</v>
      </c>
      <c r="I6148" s="18">
        <v>275.95</v>
      </c>
      <c r="J6148" s="27">
        <v>5814.99</v>
      </c>
      <c r="K6148" s="18">
        <f t="shared" si="191"/>
        <v>0</v>
      </c>
      <c r="L6148" s="27">
        <v>644.25</v>
      </c>
      <c r="M6148" s="36">
        <v>368.3</v>
      </c>
      <c r="T6148" s="41">
        <v>0</v>
      </c>
      <c r="U6148" s="41">
        <v>0</v>
      </c>
      <c r="V6148" s="42" t="s">
        <v>113</v>
      </c>
      <c r="W6148" s="42">
        <v>0</v>
      </c>
      <c r="X6148" s="42">
        <v>0</v>
      </c>
    </row>
    <row r="6149" spans="1:24">
      <c r="A6149" s="27" t="s">
        <v>11306</v>
      </c>
      <c r="B6149" s="28" t="s">
        <v>5102</v>
      </c>
      <c r="C6149" s="27" t="s">
        <v>11307</v>
      </c>
      <c r="D6149" s="27" t="s">
        <v>5104</v>
      </c>
      <c r="E6149" s="29">
        <v>43189</v>
      </c>
      <c r="F6149" s="27">
        <v>15</v>
      </c>
      <c r="G6149" s="18">
        <v>37882.54</v>
      </c>
      <c r="H6149" s="27">
        <f t="shared" si="190"/>
        <v>0</v>
      </c>
      <c r="I6149" s="18">
        <v>1798.02</v>
      </c>
      <c r="J6149" s="27">
        <v>37882.54</v>
      </c>
      <c r="K6149" s="18">
        <f t="shared" si="191"/>
        <v>0</v>
      </c>
      <c r="L6149" s="27">
        <v>4197.3500000000004</v>
      </c>
      <c r="M6149" s="36">
        <v>2399.33</v>
      </c>
      <c r="T6149" s="41">
        <v>0</v>
      </c>
      <c r="U6149" s="41">
        <v>0</v>
      </c>
      <c r="V6149" s="42" t="s">
        <v>113</v>
      </c>
      <c r="W6149" s="42">
        <v>0</v>
      </c>
      <c r="X6149" s="42">
        <v>0</v>
      </c>
    </row>
    <row r="6150" spans="1:24">
      <c r="A6150" s="27" t="s">
        <v>11308</v>
      </c>
      <c r="B6150" s="28" t="s">
        <v>5102</v>
      </c>
      <c r="C6150" s="27" t="s">
        <v>11309</v>
      </c>
      <c r="D6150" s="27" t="s">
        <v>5104</v>
      </c>
      <c r="E6150" s="29">
        <v>43189</v>
      </c>
      <c r="F6150" s="27">
        <v>15</v>
      </c>
      <c r="G6150" s="18">
        <v>90078.18</v>
      </c>
      <c r="H6150" s="27">
        <f t="shared" ref="H6150:H6213" si="192">IFERROR(IF(ROUND((G6150-I6150)/G6150,2)&lt;=0.05,G6150,0),0)</f>
        <v>0</v>
      </c>
      <c r="I6150" s="18">
        <v>4275.37</v>
      </c>
      <c r="J6150" s="27">
        <v>90078.18</v>
      </c>
      <c r="K6150" s="18">
        <f t="shared" ref="K6150:K6213" si="193">IFERROR(IF(ROUND((J6150-L6150)/J6150,2)&lt;=0.05,J6150,0),0)</f>
        <v>0</v>
      </c>
      <c r="L6150" s="27">
        <v>9980.56</v>
      </c>
      <c r="M6150" s="36">
        <v>5705.19</v>
      </c>
      <c r="T6150" s="41">
        <v>0</v>
      </c>
      <c r="U6150" s="41">
        <v>0</v>
      </c>
      <c r="V6150" s="42" t="s">
        <v>113</v>
      </c>
      <c r="W6150" s="42">
        <v>0</v>
      </c>
      <c r="X6150" s="42">
        <v>0</v>
      </c>
    </row>
    <row r="6151" spans="1:24">
      <c r="A6151" s="27" t="s">
        <v>11310</v>
      </c>
      <c r="B6151" s="28" t="s">
        <v>5102</v>
      </c>
      <c r="C6151" s="27" t="s">
        <v>11311</v>
      </c>
      <c r="D6151" s="27" t="s">
        <v>5104</v>
      </c>
      <c r="E6151" s="29">
        <v>43189</v>
      </c>
      <c r="F6151" s="27">
        <v>15</v>
      </c>
      <c r="G6151" s="18">
        <v>90249.59</v>
      </c>
      <c r="H6151" s="27">
        <f t="shared" si="192"/>
        <v>0</v>
      </c>
      <c r="I6151" s="18">
        <v>4283.51</v>
      </c>
      <c r="J6151" s="27">
        <v>90249.59</v>
      </c>
      <c r="K6151" s="18">
        <f t="shared" si="193"/>
        <v>0</v>
      </c>
      <c r="L6151" s="27">
        <v>9999.5499999999993</v>
      </c>
      <c r="M6151" s="36">
        <v>5716.04</v>
      </c>
      <c r="T6151" s="41">
        <v>0</v>
      </c>
      <c r="U6151" s="41">
        <v>0</v>
      </c>
      <c r="V6151" s="42" t="s">
        <v>113</v>
      </c>
      <c r="W6151" s="42">
        <v>0</v>
      </c>
      <c r="X6151" s="42">
        <v>0</v>
      </c>
    </row>
    <row r="6152" spans="1:24">
      <c r="A6152" s="27" t="s">
        <v>11312</v>
      </c>
      <c r="B6152" s="28" t="s">
        <v>5102</v>
      </c>
      <c r="C6152" s="27" t="s">
        <v>11313</v>
      </c>
      <c r="D6152" s="27" t="s">
        <v>5104</v>
      </c>
      <c r="E6152" s="29">
        <v>43189</v>
      </c>
      <c r="F6152" s="27">
        <v>15</v>
      </c>
      <c r="G6152" s="18">
        <v>9856.31</v>
      </c>
      <c r="H6152" s="27">
        <f t="shared" si="192"/>
        <v>0</v>
      </c>
      <c r="I6152" s="18">
        <v>467.81</v>
      </c>
      <c r="J6152" s="27">
        <v>9856.31</v>
      </c>
      <c r="K6152" s="18">
        <f t="shared" si="193"/>
        <v>0</v>
      </c>
      <c r="L6152" s="27">
        <v>1092.07</v>
      </c>
      <c r="M6152" s="36">
        <v>624.26</v>
      </c>
      <c r="T6152" s="41">
        <v>0</v>
      </c>
      <c r="U6152" s="41">
        <v>0</v>
      </c>
      <c r="V6152" s="42" t="s">
        <v>113</v>
      </c>
      <c r="W6152" s="42">
        <v>0</v>
      </c>
      <c r="X6152" s="42">
        <v>0</v>
      </c>
    </row>
    <row r="6153" spans="1:24">
      <c r="A6153" s="27" t="s">
        <v>11314</v>
      </c>
      <c r="B6153" s="28" t="s">
        <v>5102</v>
      </c>
      <c r="C6153" s="27" t="s">
        <v>11315</v>
      </c>
      <c r="D6153" s="27" t="s">
        <v>5104</v>
      </c>
      <c r="E6153" s="29">
        <v>43189</v>
      </c>
      <c r="F6153" s="27">
        <v>15</v>
      </c>
      <c r="G6153" s="18">
        <v>85364.29</v>
      </c>
      <c r="H6153" s="27">
        <f t="shared" si="192"/>
        <v>0</v>
      </c>
      <c r="I6153" s="18">
        <v>4051.64</v>
      </c>
      <c r="J6153" s="27">
        <v>85364.29</v>
      </c>
      <c r="K6153" s="18">
        <f t="shared" si="193"/>
        <v>0</v>
      </c>
      <c r="L6153" s="27">
        <v>9458.27</v>
      </c>
      <c r="M6153" s="36">
        <v>5406.63</v>
      </c>
      <c r="T6153" s="41">
        <v>0</v>
      </c>
      <c r="U6153" s="41">
        <v>0</v>
      </c>
      <c r="V6153" s="42" t="s">
        <v>113</v>
      </c>
      <c r="W6153" s="42">
        <v>0</v>
      </c>
      <c r="X6153" s="42">
        <v>0</v>
      </c>
    </row>
    <row r="6154" spans="1:24">
      <c r="A6154" s="27" t="s">
        <v>11316</v>
      </c>
      <c r="B6154" s="28" t="s">
        <v>5102</v>
      </c>
      <c r="C6154" s="27" t="s">
        <v>11317</v>
      </c>
      <c r="D6154" s="27" t="s">
        <v>5104</v>
      </c>
      <c r="E6154" s="29">
        <v>43189</v>
      </c>
      <c r="F6154" s="27">
        <v>15</v>
      </c>
      <c r="G6154" s="18">
        <v>16284.35</v>
      </c>
      <c r="H6154" s="27">
        <f t="shared" si="192"/>
        <v>0</v>
      </c>
      <c r="I6154" s="18">
        <v>772.9</v>
      </c>
      <c r="J6154" s="27">
        <v>16284.35</v>
      </c>
      <c r="K6154" s="18">
        <f t="shared" si="193"/>
        <v>0</v>
      </c>
      <c r="L6154" s="27">
        <v>1804.28</v>
      </c>
      <c r="M6154" s="36">
        <v>1031.3800000000001</v>
      </c>
      <c r="T6154" s="41">
        <v>0</v>
      </c>
      <c r="U6154" s="41">
        <v>0</v>
      </c>
      <c r="V6154" s="42" t="s">
        <v>113</v>
      </c>
      <c r="W6154" s="42">
        <v>0</v>
      </c>
      <c r="X6154" s="42">
        <v>0</v>
      </c>
    </row>
    <row r="6155" spans="1:24">
      <c r="A6155" s="27" t="s">
        <v>11318</v>
      </c>
      <c r="B6155" s="28" t="s">
        <v>5102</v>
      </c>
      <c r="C6155" s="27" t="s">
        <v>11319</v>
      </c>
      <c r="D6155" s="27" t="s">
        <v>5104</v>
      </c>
      <c r="E6155" s="29">
        <v>43189</v>
      </c>
      <c r="F6155" s="27">
        <v>15</v>
      </c>
      <c r="G6155" s="18">
        <v>98134.64</v>
      </c>
      <c r="H6155" s="27">
        <f t="shared" si="192"/>
        <v>0</v>
      </c>
      <c r="I6155" s="18">
        <v>4657.76</v>
      </c>
      <c r="J6155" s="27">
        <v>98134.64</v>
      </c>
      <c r="K6155" s="18">
        <f t="shared" si="193"/>
        <v>0</v>
      </c>
      <c r="L6155" s="27">
        <v>10873.21</v>
      </c>
      <c r="M6155" s="36">
        <v>6215.45</v>
      </c>
      <c r="T6155" s="41">
        <v>0</v>
      </c>
      <c r="U6155" s="41">
        <v>0</v>
      </c>
      <c r="V6155" s="42" t="s">
        <v>113</v>
      </c>
      <c r="W6155" s="42">
        <v>0</v>
      </c>
      <c r="X6155" s="42">
        <v>0</v>
      </c>
    </row>
    <row r="6156" spans="1:24">
      <c r="A6156" s="27" t="s">
        <v>11320</v>
      </c>
      <c r="B6156" s="28" t="s">
        <v>5102</v>
      </c>
      <c r="C6156" s="27" t="s">
        <v>11321</v>
      </c>
      <c r="D6156" s="27" t="s">
        <v>5104</v>
      </c>
      <c r="E6156" s="29">
        <v>43189</v>
      </c>
      <c r="F6156" s="27">
        <v>15</v>
      </c>
      <c r="G6156" s="18">
        <v>39425.269999999997</v>
      </c>
      <c r="H6156" s="27">
        <f t="shared" si="192"/>
        <v>0</v>
      </c>
      <c r="I6156" s="18">
        <v>1871.23</v>
      </c>
      <c r="J6156" s="27">
        <v>39425.269999999997</v>
      </c>
      <c r="K6156" s="18">
        <f t="shared" si="193"/>
        <v>0</v>
      </c>
      <c r="L6156" s="27">
        <v>4368.2700000000004</v>
      </c>
      <c r="M6156" s="36">
        <v>2497.04</v>
      </c>
      <c r="T6156" s="41">
        <v>0</v>
      </c>
      <c r="U6156" s="41">
        <v>0</v>
      </c>
      <c r="V6156" s="42" t="s">
        <v>113</v>
      </c>
      <c r="W6156" s="42">
        <v>0</v>
      </c>
      <c r="X6156" s="42">
        <v>0</v>
      </c>
    </row>
    <row r="6157" spans="1:24">
      <c r="A6157" s="27" t="s">
        <v>11322</v>
      </c>
      <c r="B6157" s="28" t="s">
        <v>5102</v>
      </c>
      <c r="C6157" s="27" t="s">
        <v>11323</v>
      </c>
      <c r="D6157" s="27" t="s">
        <v>5104</v>
      </c>
      <c r="E6157" s="29">
        <v>43189</v>
      </c>
      <c r="F6157" s="27">
        <v>15</v>
      </c>
      <c r="G6157" s="18">
        <v>43024.97</v>
      </c>
      <c r="H6157" s="27">
        <f t="shared" si="192"/>
        <v>0</v>
      </c>
      <c r="I6157" s="18">
        <v>2042.09</v>
      </c>
      <c r="J6157" s="27">
        <v>43024.97</v>
      </c>
      <c r="K6157" s="18">
        <f t="shared" si="193"/>
        <v>0</v>
      </c>
      <c r="L6157" s="27">
        <v>4767.12</v>
      </c>
      <c r="M6157" s="36">
        <v>2725.03</v>
      </c>
      <c r="T6157" s="41">
        <v>0</v>
      </c>
      <c r="U6157" s="41">
        <v>0</v>
      </c>
      <c r="V6157" s="42" t="s">
        <v>113</v>
      </c>
      <c r="W6157" s="42">
        <v>0</v>
      </c>
      <c r="X6157" s="42">
        <v>0</v>
      </c>
    </row>
    <row r="6158" spans="1:24">
      <c r="A6158" s="27" t="s">
        <v>11324</v>
      </c>
      <c r="B6158" s="28" t="s">
        <v>5102</v>
      </c>
      <c r="C6158" s="27" t="s">
        <v>11325</v>
      </c>
      <c r="D6158" s="27" t="s">
        <v>5104</v>
      </c>
      <c r="E6158" s="29">
        <v>43189</v>
      </c>
      <c r="F6158" s="27">
        <v>15</v>
      </c>
      <c r="G6158" s="18">
        <v>108933.74</v>
      </c>
      <c r="H6158" s="27">
        <f t="shared" si="192"/>
        <v>0</v>
      </c>
      <c r="I6158" s="18">
        <v>5170.3100000000004</v>
      </c>
      <c r="J6158" s="27">
        <v>108933.74</v>
      </c>
      <c r="K6158" s="18">
        <f t="shared" si="193"/>
        <v>0</v>
      </c>
      <c r="L6158" s="27">
        <v>12069.73</v>
      </c>
      <c r="M6158" s="36">
        <v>6899.42</v>
      </c>
      <c r="T6158" s="41">
        <v>0</v>
      </c>
      <c r="U6158" s="41">
        <v>0</v>
      </c>
      <c r="V6158" s="42" t="s">
        <v>113</v>
      </c>
      <c r="W6158" s="42">
        <v>0</v>
      </c>
      <c r="X6158" s="42">
        <v>0</v>
      </c>
    </row>
    <row r="6159" spans="1:24">
      <c r="A6159" s="27" t="s">
        <v>11326</v>
      </c>
      <c r="B6159" s="28" t="s">
        <v>5102</v>
      </c>
      <c r="C6159" s="27" t="s">
        <v>11327</v>
      </c>
      <c r="D6159" s="27" t="s">
        <v>5104</v>
      </c>
      <c r="E6159" s="29">
        <v>43189</v>
      </c>
      <c r="F6159" s="27">
        <v>15</v>
      </c>
      <c r="G6159" s="18">
        <v>73867.960000000006</v>
      </c>
      <c r="H6159" s="27">
        <f t="shared" si="192"/>
        <v>0</v>
      </c>
      <c r="I6159" s="18">
        <v>3505.84</v>
      </c>
      <c r="J6159" s="27">
        <v>73867.960000000006</v>
      </c>
      <c r="K6159" s="18">
        <f t="shared" si="193"/>
        <v>0</v>
      </c>
      <c r="L6159" s="27">
        <v>8184.35</v>
      </c>
      <c r="M6159" s="36">
        <v>4678.51</v>
      </c>
      <c r="T6159" s="41">
        <v>0</v>
      </c>
      <c r="U6159" s="41">
        <v>0</v>
      </c>
      <c r="V6159" s="42" t="s">
        <v>113</v>
      </c>
      <c r="W6159" s="42">
        <v>0</v>
      </c>
      <c r="X6159" s="42">
        <v>0</v>
      </c>
    </row>
    <row r="6160" spans="1:24">
      <c r="A6160" s="27" t="s">
        <v>11328</v>
      </c>
      <c r="B6160" s="28" t="s">
        <v>5102</v>
      </c>
      <c r="C6160" s="27" t="s">
        <v>11329</v>
      </c>
      <c r="D6160" s="27" t="s">
        <v>5104</v>
      </c>
      <c r="E6160" s="29">
        <v>43189</v>
      </c>
      <c r="F6160" s="27">
        <v>15</v>
      </c>
      <c r="G6160" s="18">
        <v>85634.53</v>
      </c>
      <c r="H6160" s="27">
        <f t="shared" si="192"/>
        <v>0</v>
      </c>
      <c r="I6160" s="18">
        <v>4064.29</v>
      </c>
      <c r="J6160" s="27">
        <v>85634.53</v>
      </c>
      <c r="K6160" s="18">
        <f t="shared" si="193"/>
        <v>0</v>
      </c>
      <c r="L6160" s="27">
        <v>9488.0499999999993</v>
      </c>
      <c r="M6160" s="36">
        <v>5423.76</v>
      </c>
      <c r="T6160" s="41">
        <v>0</v>
      </c>
      <c r="U6160" s="41">
        <v>0</v>
      </c>
      <c r="V6160" s="42" t="s">
        <v>113</v>
      </c>
      <c r="W6160" s="42">
        <v>0</v>
      </c>
      <c r="X6160" s="42">
        <v>0</v>
      </c>
    </row>
    <row r="6161" spans="1:24">
      <c r="A6161" s="27" t="s">
        <v>11330</v>
      </c>
      <c r="B6161" s="28" t="s">
        <v>5102</v>
      </c>
      <c r="C6161" s="27" t="s">
        <v>11331</v>
      </c>
      <c r="D6161" s="27" t="s">
        <v>5104</v>
      </c>
      <c r="E6161" s="29">
        <v>43189</v>
      </c>
      <c r="F6161" s="27">
        <v>12</v>
      </c>
      <c r="G6161" s="18">
        <v>1470.82</v>
      </c>
      <c r="H6161" s="27">
        <f t="shared" si="192"/>
        <v>1470.82</v>
      </c>
      <c r="I6161" s="18">
        <v>1470.82</v>
      </c>
      <c r="J6161" s="27">
        <v>1470.82</v>
      </c>
      <c r="K6161" s="18">
        <f t="shared" si="193"/>
        <v>1470.82</v>
      </c>
      <c r="L6161" s="27">
        <v>1470.82</v>
      </c>
      <c r="M6161" s="36">
        <v>0</v>
      </c>
      <c r="T6161" s="41">
        <v>0</v>
      </c>
      <c r="U6161" s="41">
        <v>0</v>
      </c>
      <c r="V6161" s="42" t="s">
        <v>113</v>
      </c>
      <c r="W6161" s="42">
        <v>1470.82</v>
      </c>
      <c r="X6161" s="42">
        <v>1470.82</v>
      </c>
    </row>
    <row r="6162" spans="1:24">
      <c r="A6162" s="27" t="s">
        <v>11332</v>
      </c>
      <c r="B6162" s="28" t="s">
        <v>5102</v>
      </c>
      <c r="C6162" s="27" t="s">
        <v>11333</v>
      </c>
      <c r="D6162" s="27" t="s">
        <v>5104</v>
      </c>
      <c r="E6162" s="29">
        <v>43189</v>
      </c>
      <c r="F6162" s="27">
        <v>15</v>
      </c>
      <c r="G6162" s="18">
        <v>70027.47</v>
      </c>
      <c r="H6162" s="27">
        <f t="shared" si="192"/>
        <v>0</v>
      </c>
      <c r="I6162" s="18">
        <v>3323.56</v>
      </c>
      <c r="J6162" s="27">
        <v>70027.47</v>
      </c>
      <c r="K6162" s="18">
        <f t="shared" si="193"/>
        <v>0</v>
      </c>
      <c r="L6162" s="27">
        <v>7758.83</v>
      </c>
      <c r="M6162" s="36">
        <v>4435.2700000000004</v>
      </c>
      <c r="T6162" s="41">
        <v>0</v>
      </c>
      <c r="U6162" s="41">
        <v>0</v>
      </c>
      <c r="V6162" s="42" t="s">
        <v>113</v>
      </c>
      <c r="W6162" s="42">
        <v>0</v>
      </c>
      <c r="X6162" s="42">
        <v>0</v>
      </c>
    </row>
    <row r="6163" spans="1:24">
      <c r="A6163" s="27" t="s">
        <v>11334</v>
      </c>
      <c r="B6163" s="28" t="s">
        <v>5102</v>
      </c>
      <c r="C6163" s="27" t="s">
        <v>11335</v>
      </c>
      <c r="D6163" s="27" t="s">
        <v>5104</v>
      </c>
      <c r="E6163" s="29">
        <v>43189</v>
      </c>
      <c r="F6163" s="27">
        <v>15</v>
      </c>
      <c r="G6163" s="18">
        <v>178084.68</v>
      </c>
      <c r="H6163" s="27">
        <f t="shared" si="192"/>
        <v>0</v>
      </c>
      <c r="I6163" s="18">
        <v>8452.41</v>
      </c>
      <c r="J6163" s="27">
        <v>178084.68</v>
      </c>
      <c r="K6163" s="18">
        <f t="shared" si="193"/>
        <v>0</v>
      </c>
      <c r="L6163" s="27">
        <v>19731.57</v>
      </c>
      <c r="M6163" s="36">
        <v>11279.16</v>
      </c>
      <c r="T6163" s="41">
        <v>0</v>
      </c>
      <c r="U6163" s="41">
        <v>0</v>
      </c>
      <c r="V6163" s="42" t="s">
        <v>113</v>
      </c>
      <c r="W6163" s="42">
        <v>0</v>
      </c>
      <c r="X6163" s="42">
        <v>0</v>
      </c>
    </row>
    <row r="6164" spans="1:24">
      <c r="A6164" s="27" t="s">
        <v>11336</v>
      </c>
      <c r="B6164" s="28" t="s">
        <v>5102</v>
      </c>
      <c r="C6164" s="27" t="s">
        <v>11335</v>
      </c>
      <c r="D6164" s="27" t="s">
        <v>5104</v>
      </c>
      <c r="E6164" s="29">
        <v>43189</v>
      </c>
      <c r="F6164" s="27">
        <v>15</v>
      </c>
      <c r="G6164" s="18">
        <v>8361.7099999999991</v>
      </c>
      <c r="H6164" s="27">
        <f t="shared" si="192"/>
        <v>0</v>
      </c>
      <c r="I6164" s="18">
        <v>396.87</v>
      </c>
      <c r="J6164" s="27">
        <v>8361.7099999999991</v>
      </c>
      <c r="K6164" s="18">
        <f t="shared" si="193"/>
        <v>0</v>
      </c>
      <c r="L6164" s="27">
        <v>926.47</v>
      </c>
      <c r="M6164" s="36">
        <v>529.6</v>
      </c>
      <c r="T6164" s="41">
        <v>0</v>
      </c>
      <c r="U6164" s="41">
        <v>0</v>
      </c>
      <c r="V6164" s="42" t="s">
        <v>113</v>
      </c>
      <c r="W6164" s="42">
        <v>0</v>
      </c>
      <c r="X6164" s="42">
        <v>0</v>
      </c>
    </row>
    <row r="6165" spans="1:24">
      <c r="A6165" s="27" t="s">
        <v>11337</v>
      </c>
      <c r="B6165" s="28" t="s">
        <v>5102</v>
      </c>
      <c r="C6165" s="27" t="s">
        <v>11338</v>
      </c>
      <c r="D6165" s="27" t="s">
        <v>5104</v>
      </c>
      <c r="E6165" s="29">
        <v>43189</v>
      </c>
      <c r="F6165" s="27">
        <v>15</v>
      </c>
      <c r="G6165" s="18">
        <v>33048.69</v>
      </c>
      <c r="H6165" s="27">
        <f t="shared" si="192"/>
        <v>0</v>
      </c>
      <c r="I6165" s="18">
        <v>1568.59</v>
      </c>
      <c r="J6165" s="27">
        <v>33048.69</v>
      </c>
      <c r="K6165" s="18">
        <f t="shared" si="193"/>
        <v>0</v>
      </c>
      <c r="L6165" s="27">
        <v>3661.76</v>
      </c>
      <c r="M6165" s="36">
        <v>2093.17</v>
      </c>
      <c r="T6165" s="41">
        <v>0</v>
      </c>
      <c r="U6165" s="41">
        <v>0</v>
      </c>
      <c r="V6165" s="42" t="s">
        <v>113</v>
      </c>
      <c r="W6165" s="42">
        <v>0</v>
      </c>
      <c r="X6165" s="42">
        <v>0</v>
      </c>
    </row>
    <row r="6166" spans="1:24">
      <c r="A6166" s="27" t="s">
        <v>11339</v>
      </c>
      <c r="B6166" s="28" t="s">
        <v>5102</v>
      </c>
      <c r="C6166" s="27" t="s">
        <v>11340</v>
      </c>
      <c r="D6166" s="27" t="s">
        <v>5104</v>
      </c>
      <c r="E6166" s="29">
        <v>43189</v>
      </c>
      <c r="F6166" s="27">
        <v>15</v>
      </c>
      <c r="G6166" s="18">
        <v>167931.16</v>
      </c>
      <c r="H6166" s="27">
        <f t="shared" si="192"/>
        <v>0</v>
      </c>
      <c r="I6166" s="18">
        <v>7970.49</v>
      </c>
      <c r="J6166" s="27">
        <v>167931.16</v>
      </c>
      <c r="K6166" s="18">
        <f t="shared" si="193"/>
        <v>0</v>
      </c>
      <c r="L6166" s="27">
        <v>18606.57</v>
      </c>
      <c r="M6166" s="36">
        <v>10636.08</v>
      </c>
      <c r="T6166" s="41">
        <v>0</v>
      </c>
      <c r="U6166" s="41">
        <v>0</v>
      </c>
      <c r="V6166" s="42" t="s">
        <v>113</v>
      </c>
      <c r="W6166" s="42">
        <v>0</v>
      </c>
      <c r="X6166" s="42">
        <v>0</v>
      </c>
    </row>
    <row r="6167" spans="1:24">
      <c r="A6167" s="27" t="s">
        <v>11341</v>
      </c>
      <c r="B6167" s="28" t="s">
        <v>5102</v>
      </c>
      <c r="C6167" s="27" t="s">
        <v>11342</v>
      </c>
      <c r="D6167" s="27" t="s">
        <v>5104</v>
      </c>
      <c r="E6167" s="29">
        <v>43189</v>
      </c>
      <c r="F6167" s="27">
        <v>15</v>
      </c>
      <c r="G6167" s="18">
        <v>170917.5</v>
      </c>
      <c r="H6167" s="27">
        <f t="shared" si="192"/>
        <v>0</v>
      </c>
      <c r="I6167" s="18">
        <v>8112.23</v>
      </c>
      <c r="J6167" s="27">
        <v>170917.5</v>
      </c>
      <c r="K6167" s="18">
        <f t="shared" si="193"/>
        <v>0</v>
      </c>
      <c r="L6167" s="27">
        <v>18937.45</v>
      </c>
      <c r="M6167" s="36">
        <v>10825.22</v>
      </c>
      <c r="T6167" s="41">
        <v>0</v>
      </c>
      <c r="U6167" s="41">
        <v>0</v>
      </c>
      <c r="V6167" s="42" t="s">
        <v>113</v>
      </c>
      <c r="W6167" s="42">
        <v>0</v>
      </c>
      <c r="X6167" s="42">
        <v>0</v>
      </c>
    </row>
    <row r="6168" spans="1:24">
      <c r="A6168" s="27" t="s">
        <v>11343</v>
      </c>
      <c r="B6168" s="28" t="s">
        <v>5102</v>
      </c>
      <c r="C6168" s="27" t="s">
        <v>11344</v>
      </c>
      <c r="D6168" s="27" t="s">
        <v>5104</v>
      </c>
      <c r="E6168" s="29">
        <v>43189</v>
      </c>
      <c r="F6168" s="27">
        <v>15</v>
      </c>
      <c r="G6168" s="18">
        <v>75355.009999999995</v>
      </c>
      <c r="H6168" s="27">
        <f t="shared" si="192"/>
        <v>0</v>
      </c>
      <c r="I6168" s="18">
        <v>3576.56</v>
      </c>
      <c r="J6168" s="27">
        <v>75355.009999999995</v>
      </c>
      <c r="K6168" s="18">
        <f t="shared" si="193"/>
        <v>0</v>
      </c>
      <c r="L6168" s="27">
        <v>8349.24</v>
      </c>
      <c r="M6168" s="36">
        <v>4772.68</v>
      </c>
      <c r="T6168" s="41">
        <v>0</v>
      </c>
      <c r="U6168" s="41">
        <v>0</v>
      </c>
      <c r="V6168" s="42" t="s">
        <v>113</v>
      </c>
      <c r="W6168" s="42">
        <v>0</v>
      </c>
      <c r="X6168" s="42">
        <v>0</v>
      </c>
    </row>
    <row r="6169" spans="1:24">
      <c r="A6169" s="27" t="s">
        <v>11345</v>
      </c>
      <c r="B6169" s="28" t="s">
        <v>5102</v>
      </c>
      <c r="C6169" s="27" t="s">
        <v>11346</v>
      </c>
      <c r="D6169" s="27" t="s">
        <v>5104</v>
      </c>
      <c r="E6169" s="29">
        <v>43189</v>
      </c>
      <c r="F6169" s="27">
        <v>15</v>
      </c>
      <c r="G6169" s="18">
        <v>65843.289999999994</v>
      </c>
      <c r="H6169" s="27">
        <f t="shared" si="192"/>
        <v>0</v>
      </c>
      <c r="I6169" s="18">
        <v>3125.19</v>
      </c>
      <c r="J6169" s="27">
        <v>65843.289999999994</v>
      </c>
      <c r="K6169" s="18">
        <f t="shared" si="193"/>
        <v>0</v>
      </c>
      <c r="L6169" s="27">
        <v>7295.43</v>
      </c>
      <c r="M6169" s="36">
        <v>4170.24</v>
      </c>
      <c r="T6169" s="41">
        <v>0</v>
      </c>
      <c r="U6169" s="41">
        <v>0</v>
      </c>
      <c r="V6169" s="42" t="s">
        <v>113</v>
      </c>
      <c r="W6169" s="42">
        <v>0</v>
      </c>
      <c r="X6169" s="42">
        <v>0</v>
      </c>
    </row>
    <row r="6170" spans="1:24">
      <c r="A6170" s="27" t="s">
        <v>11347</v>
      </c>
      <c r="B6170" s="28" t="s">
        <v>5102</v>
      </c>
      <c r="C6170" s="27" t="s">
        <v>11348</v>
      </c>
      <c r="D6170" s="27" t="s">
        <v>5104</v>
      </c>
      <c r="E6170" s="29">
        <v>43189</v>
      </c>
      <c r="F6170" s="27">
        <v>15</v>
      </c>
      <c r="G6170" s="18">
        <v>109320.19</v>
      </c>
      <c r="H6170" s="27">
        <f t="shared" si="192"/>
        <v>0</v>
      </c>
      <c r="I6170" s="18">
        <v>5188.7700000000004</v>
      </c>
      <c r="J6170" s="27">
        <v>109320.19</v>
      </c>
      <c r="K6170" s="18">
        <f t="shared" si="193"/>
        <v>0</v>
      </c>
      <c r="L6170" s="27">
        <v>12112.66</v>
      </c>
      <c r="M6170" s="36">
        <v>6923.89</v>
      </c>
      <c r="T6170" s="41">
        <v>0</v>
      </c>
      <c r="U6170" s="41">
        <v>0</v>
      </c>
      <c r="V6170" s="42" t="s">
        <v>113</v>
      </c>
      <c r="W6170" s="42">
        <v>0</v>
      </c>
      <c r="X6170" s="42">
        <v>0</v>
      </c>
    </row>
    <row r="6171" spans="1:24">
      <c r="A6171" s="27" t="s">
        <v>11349</v>
      </c>
      <c r="B6171" s="28" t="s">
        <v>5102</v>
      </c>
      <c r="C6171" s="27" t="s">
        <v>11350</v>
      </c>
      <c r="D6171" s="27" t="s">
        <v>5104</v>
      </c>
      <c r="E6171" s="29">
        <v>43189</v>
      </c>
      <c r="F6171" s="27">
        <v>15</v>
      </c>
      <c r="G6171" s="18">
        <v>24100.68</v>
      </c>
      <c r="H6171" s="27">
        <f t="shared" si="192"/>
        <v>0</v>
      </c>
      <c r="I6171" s="18">
        <v>1143.9100000000001</v>
      </c>
      <c r="J6171" s="27">
        <v>24100.68</v>
      </c>
      <c r="K6171" s="18">
        <f t="shared" si="193"/>
        <v>0</v>
      </c>
      <c r="L6171" s="27">
        <v>2670.35</v>
      </c>
      <c r="M6171" s="36">
        <v>1526.44</v>
      </c>
      <c r="T6171" s="41">
        <v>0</v>
      </c>
      <c r="U6171" s="41">
        <v>0</v>
      </c>
      <c r="V6171" s="42" t="s">
        <v>113</v>
      </c>
      <c r="W6171" s="42">
        <v>0</v>
      </c>
      <c r="X6171" s="42">
        <v>0</v>
      </c>
    </row>
    <row r="6172" spans="1:24">
      <c r="A6172" s="27" t="s">
        <v>11351</v>
      </c>
      <c r="B6172" s="28" t="s">
        <v>5102</v>
      </c>
      <c r="C6172" s="27" t="s">
        <v>11352</v>
      </c>
      <c r="D6172" s="27" t="s">
        <v>5104</v>
      </c>
      <c r="E6172" s="29">
        <v>43189</v>
      </c>
      <c r="F6172" s="27">
        <v>15</v>
      </c>
      <c r="G6172" s="18">
        <v>27748.67</v>
      </c>
      <c r="H6172" s="27">
        <f t="shared" si="192"/>
        <v>0</v>
      </c>
      <c r="I6172" s="18">
        <v>1317.06</v>
      </c>
      <c r="J6172" s="27">
        <v>27748.67</v>
      </c>
      <c r="K6172" s="18">
        <f t="shared" si="193"/>
        <v>0</v>
      </c>
      <c r="L6172" s="27">
        <v>3074.55</v>
      </c>
      <c r="M6172" s="36">
        <v>1757.49</v>
      </c>
      <c r="T6172" s="41">
        <v>0</v>
      </c>
      <c r="U6172" s="41">
        <v>0</v>
      </c>
      <c r="V6172" s="42" t="s">
        <v>113</v>
      </c>
      <c r="W6172" s="42">
        <v>0</v>
      </c>
      <c r="X6172" s="42">
        <v>0</v>
      </c>
    </row>
    <row r="6173" spans="1:24">
      <c r="A6173" s="27" t="s">
        <v>11353</v>
      </c>
      <c r="B6173" s="28" t="s">
        <v>5102</v>
      </c>
      <c r="C6173" s="27" t="s">
        <v>11352</v>
      </c>
      <c r="D6173" s="27" t="s">
        <v>5104</v>
      </c>
      <c r="E6173" s="29">
        <v>43189</v>
      </c>
      <c r="F6173" s="27">
        <v>15</v>
      </c>
      <c r="G6173" s="18">
        <v>102921.25</v>
      </c>
      <c r="H6173" s="27">
        <f t="shared" si="192"/>
        <v>0</v>
      </c>
      <c r="I6173" s="18">
        <v>4885.0600000000004</v>
      </c>
      <c r="J6173" s="27">
        <v>102921.25</v>
      </c>
      <c r="K6173" s="18">
        <f t="shared" si="193"/>
        <v>0</v>
      </c>
      <c r="L6173" s="27">
        <v>11403.67</v>
      </c>
      <c r="M6173" s="36">
        <v>6518.61</v>
      </c>
      <c r="T6173" s="41">
        <v>0</v>
      </c>
      <c r="U6173" s="41">
        <v>0</v>
      </c>
      <c r="V6173" s="42" t="s">
        <v>113</v>
      </c>
      <c r="W6173" s="42">
        <v>0</v>
      </c>
      <c r="X6173" s="42">
        <v>0</v>
      </c>
    </row>
    <row r="6174" spans="1:24">
      <c r="A6174" s="27" t="s">
        <v>11354</v>
      </c>
      <c r="B6174" s="28" t="s">
        <v>5102</v>
      </c>
      <c r="C6174" s="27" t="s">
        <v>11355</v>
      </c>
      <c r="D6174" s="27" t="s">
        <v>5104</v>
      </c>
      <c r="E6174" s="29">
        <v>43189</v>
      </c>
      <c r="F6174" s="27">
        <v>15</v>
      </c>
      <c r="G6174" s="18">
        <v>82648.990000000005</v>
      </c>
      <c r="H6174" s="27">
        <f t="shared" si="192"/>
        <v>0</v>
      </c>
      <c r="I6174" s="18">
        <v>3921.81</v>
      </c>
      <c r="J6174" s="27">
        <v>82648.990000000005</v>
      </c>
      <c r="K6174" s="18">
        <f t="shared" si="193"/>
        <v>0</v>
      </c>
      <c r="L6174" s="27">
        <v>9156.5300000000007</v>
      </c>
      <c r="M6174" s="36">
        <v>5234.72</v>
      </c>
      <c r="T6174" s="41">
        <v>0</v>
      </c>
      <c r="U6174" s="41">
        <v>0</v>
      </c>
      <c r="V6174" s="42" t="s">
        <v>113</v>
      </c>
      <c r="W6174" s="42">
        <v>0</v>
      </c>
      <c r="X6174" s="42">
        <v>0</v>
      </c>
    </row>
    <row r="6175" spans="1:24">
      <c r="A6175" s="27" t="s">
        <v>11356</v>
      </c>
      <c r="B6175" s="28" t="s">
        <v>5102</v>
      </c>
      <c r="C6175" s="27" t="s">
        <v>11357</v>
      </c>
      <c r="D6175" s="27" t="s">
        <v>5104</v>
      </c>
      <c r="E6175" s="29">
        <v>43189</v>
      </c>
      <c r="F6175" s="27">
        <v>15</v>
      </c>
      <c r="G6175" s="18">
        <v>82648.98</v>
      </c>
      <c r="H6175" s="27">
        <f t="shared" si="192"/>
        <v>0</v>
      </c>
      <c r="I6175" s="18">
        <v>3921.81</v>
      </c>
      <c r="J6175" s="27">
        <v>82648.98</v>
      </c>
      <c r="K6175" s="18">
        <f t="shared" si="193"/>
        <v>0</v>
      </c>
      <c r="L6175" s="27">
        <v>9156.5300000000007</v>
      </c>
      <c r="M6175" s="36">
        <v>5234.72</v>
      </c>
      <c r="T6175" s="41">
        <v>0</v>
      </c>
      <c r="U6175" s="41">
        <v>0</v>
      </c>
      <c r="V6175" s="42" t="s">
        <v>113</v>
      </c>
      <c r="W6175" s="42">
        <v>0</v>
      </c>
      <c r="X6175" s="42">
        <v>0</v>
      </c>
    </row>
    <row r="6176" spans="1:24">
      <c r="A6176" s="27" t="s">
        <v>11358</v>
      </c>
      <c r="B6176" s="28" t="s">
        <v>5102</v>
      </c>
      <c r="C6176" s="27" t="s">
        <v>11359</v>
      </c>
      <c r="D6176" s="27" t="s">
        <v>5104</v>
      </c>
      <c r="E6176" s="29">
        <v>43189</v>
      </c>
      <c r="F6176" s="27">
        <v>15</v>
      </c>
      <c r="G6176" s="18">
        <v>83788.98</v>
      </c>
      <c r="H6176" s="27">
        <f t="shared" si="192"/>
        <v>0</v>
      </c>
      <c r="I6176" s="18">
        <v>3975.9</v>
      </c>
      <c r="J6176" s="27">
        <v>83788.98</v>
      </c>
      <c r="K6176" s="18">
        <f t="shared" si="193"/>
        <v>0</v>
      </c>
      <c r="L6176" s="27">
        <v>9282.82</v>
      </c>
      <c r="M6176" s="36">
        <v>5306.92</v>
      </c>
      <c r="T6176" s="41">
        <v>0</v>
      </c>
      <c r="U6176" s="41">
        <v>0</v>
      </c>
      <c r="V6176" s="42" t="s">
        <v>113</v>
      </c>
      <c r="W6176" s="42">
        <v>0</v>
      </c>
      <c r="X6176" s="42">
        <v>0</v>
      </c>
    </row>
    <row r="6177" spans="1:24">
      <c r="A6177" s="27" t="s">
        <v>11360</v>
      </c>
      <c r="B6177" s="28" t="s">
        <v>5102</v>
      </c>
      <c r="C6177" s="27" t="s">
        <v>11361</v>
      </c>
      <c r="D6177" s="27" t="s">
        <v>5104</v>
      </c>
      <c r="E6177" s="29">
        <v>43189</v>
      </c>
      <c r="F6177" s="27">
        <v>15</v>
      </c>
      <c r="G6177" s="18">
        <v>7124.91</v>
      </c>
      <c r="H6177" s="27">
        <f t="shared" si="192"/>
        <v>0</v>
      </c>
      <c r="I6177" s="18">
        <v>338.09</v>
      </c>
      <c r="J6177" s="27">
        <v>7124.91</v>
      </c>
      <c r="K6177" s="18">
        <f t="shared" si="193"/>
        <v>0</v>
      </c>
      <c r="L6177" s="27">
        <v>789.36</v>
      </c>
      <c r="M6177" s="36">
        <v>451.27</v>
      </c>
      <c r="T6177" s="41">
        <v>0</v>
      </c>
      <c r="U6177" s="41">
        <v>0</v>
      </c>
      <c r="V6177" s="42" t="s">
        <v>113</v>
      </c>
      <c r="W6177" s="42">
        <v>0</v>
      </c>
      <c r="X6177" s="42">
        <v>0</v>
      </c>
    </row>
    <row r="6178" spans="1:24">
      <c r="A6178" s="27" t="s">
        <v>11362</v>
      </c>
      <c r="B6178" s="28" t="s">
        <v>5102</v>
      </c>
      <c r="C6178" s="27" t="s">
        <v>11363</v>
      </c>
      <c r="D6178" s="27" t="s">
        <v>5104</v>
      </c>
      <c r="E6178" s="29">
        <v>43189</v>
      </c>
      <c r="F6178" s="27">
        <v>15</v>
      </c>
      <c r="G6178" s="18">
        <v>157967.89000000001</v>
      </c>
      <c r="H6178" s="27">
        <f t="shared" si="192"/>
        <v>0</v>
      </c>
      <c r="I6178" s="18">
        <v>7496.75</v>
      </c>
      <c r="J6178" s="27">
        <v>157967.89000000001</v>
      </c>
      <c r="K6178" s="18">
        <f t="shared" si="193"/>
        <v>0</v>
      </c>
      <c r="L6178" s="27">
        <v>17501.86</v>
      </c>
      <c r="M6178" s="36">
        <v>10005.11</v>
      </c>
      <c r="T6178" s="41">
        <v>0</v>
      </c>
      <c r="U6178" s="41">
        <v>0</v>
      </c>
      <c r="V6178" s="42" t="s">
        <v>113</v>
      </c>
      <c r="W6178" s="42">
        <v>0</v>
      </c>
      <c r="X6178" s="42">
        <v>0</v>
      </c>
    </row>
    <row r="6179" spans="1:24">
      <c r="A6179" s="27" t="s">
        <v>11364</v>
      </c>
      <c r="B6179" s="28" t="s">
        <v>5102</v>
      </c>
      <c r="C6179" s="27" t="s">
        <v>11363</v>
      </c>
      <c r="D6179" s="27" t="s">
        <v>5104</v>
      </c>
      <c r="E6179" s="29">
        <v>43189</v>
      </c>
      <c r="F6179" s="27">
        <v>15</v>
      </c>
      <c r="G6179" s="18">
        <v>9063.15</v>
      </c>
      <c r="H6179" s="27">
        <f t="shared" si="192"/>
        <v>0</v>
      </c>
      <c r="I6179" s="18">
        <v>430.11</v>
      </c>
      <c r="J6179" s="27">
        <v>9063.15</v>
      </c>
      <c r="K6179" s="18">
        <f t="shared" si="193"/>
        <v>0</v>
      </c>
      <c r="L6179" s="27">
        <v>1004.14</v>
      </c>
      <c r="M6179" s="36">
        <v>574.03</v>
      </c>
      <c r="T6179" s="41">
        <v>0</v>
      </c>
      <c r="U6179" s="41">
        <v>0</v>
      </c>
      <c r="V6179" s="42" t="s">
        <v>113</v>
      </c>
      <c r="W6179" s="42">
        <v>0</v>
      </c>
      <c r="X6179" s="42">
        <v>0</v>
      </c>
    </row>
    <row r="6180" spans="1:24">
      <c r="A6180" s="27" t="s">
        <v>11365</v>
      </c>
      <c r="B6180" s="28" t="s">
        <v>5102</v>
      </c>
      <c r="C6180" s="27" t="s">
        <v>11366</v>
      </c>
      <c r="D6180" s="27" t="s">
        <v>5104</v>
      </c>
      <c r="E6180" s="29">
        <v>43189</v>
      </c>
      <c r="F6180" s="27">
        <v>15</v>
      </c>
      <c r="G6180" s="18">
        <v>200805.45</v>
      </c>
      <c r="H6180" s="27">
        <f t="shared" si="192"/>
        <v>0</v>
      </c>
      <c r="I6180" s="18">
        <v>9529.7099999999991</v>
      </c>
      <c r="J6180" s="27">
        <v>200805.45</v>
      </c>
      <c r="K6180" s="18">
        <f t="shared" si="193"/>
        <v>0</v>
      </c>
      <c r="L6180" s="27">
        <v>22247.99</v>
      </c>
      <c r="M6180" s="36">
        <v>12718.28</v>
      </c>
      <c r="T6180" s="41">
        <v>0</v>
      </c>
      <c r="U6180" s="41">
        <v>0</v>
      </c>
      <c r="V6180" s="42" t="s">
        <v>113</v>
      </c>
      <c r="W6180" s="42">
        <v>0</v>
      </c>
      <c r="X6180" s="42">
        <v>0</v>
      </c>
    </row>
    <row r="6181" spans="1:24">
      <c r="A6181" s="27" t="s">
        <v>11367</v>
      </c>
      <c r="B6181" s="28" t="s">
        <v>5102</v>
      </c>
      <c r="C6181" s="27" t="s">
        <v>11368</v>
      </c>
      <c r="D6181" s="27" t="s">
        <v>5104</v>
      </c>
      <c r="E6181" s="29">
        <v>43189</v>
      </c>
      <c r="F6181" s="27">
        <v>15</v>
      </c>
      <c r="G6181" s="18">
        <v>88861.36</v>
      </c>
      <c r="H6181" s="27">
        <f t="shared" si="192"/>
        <v>0</v>
      </c>
      <c r="I6181" s="18">
        <v>4217.13</v>
      </c>
      <c r="J6181" s="27">
        <v>88861.36</v>
      </c>
      <c r="K6181" s="18">
        <f t="shared" si="193"/>
        <v>0</v>
      </c>
      <c r="L6181" s="27">
        <v>9845.2800000000007</v>
      </c>
      <c r="M6181" s="36">
        <v>5628.15</v>
      </c>
      <c r="T6181" s="41">
        <v>0</v>
      </c>
      <c r="U6181" s="41">
        <v>0</v>
      </c>
      <c r="V6181" s="42" t="s">
        <v>113</v>
      </c>
      <c r="W6181" s="42">
        <v>0</v>
      </c>
      <c r="X6181" s="42">
        <v>0</v>
      </c>
    </row>
    <row r="6182" spans="1:24">
      <c r="A6182" s="27" t="s">
        <v>11369</v>
      </c>
      <c r="B6182" s="28" t="s">
        <v>5102</v>
      </c>
      <c r="C6182" s="27" t="s">
        <v>11368</v>
      </c>
      <c r="D6182" s="27" t="s">
        <v>5104</v>
      </c>
      <c r="E6182" s="29">
        <v>43189</v>
      </c>
      <c r="F6182" s="27">
        <v>15</v>
      </c>
      <c r="G6182" s="18">
        <v>6655.76</v>
      </c>
      <c r="H6182" s="27">
        <f t="shared" si="192"/>
        <v>0</v>
      </c>
      <c r="I6182" s="18">
        <v>315.86</v>
      </c>
      <c r="J6182" s="27">
        <v>6655.76</v>
      </c>
      <c r="K6182" s="18">
        <f t="shared" si="193"/>
        <v>0</v>
      </c>
      <c r="L6182" s="27">
        <v>737.41</v>
      </c>
      <c r="M6182" s="36">
        <v>421.55</v>
      </c>
      <c r="T6182" s="41">
        <v>0</v>
      </c>
      <c r="U6182" s="41">
        <v>0</v>
      </c>
      <c r="V6182" s="42" t="s">
        <v>113</v>
      </c>
      <c r="W6182" s="42">
        <v>0</v>
      </c>
      <c r="X6182" s="42">
        <v>0</v>
      </c>
    </row>
    <row r="6183" spans="1:24">
      <c r="A6183" s="27" t="s">
        <v>11370</v>
      </c>
      <c r="B6183" s="28" t="s">
        <v>5102</v>
      </c>
      <c r="C6183" s="27" t="s">
        <v>11371</v>
      </c>
      <c r="D6183" s="27" t="s">
        <v>5104</v>
      </c>
      <c r="E6183" s="29">
        <v>43189</v>
      </c>
      <c r="F6183" s="27">
        <v>15</v>
      </c>
      <c r="G6183" s="18">
        <v>139629.18</v>
      </c>
      <c r="H6183" s="27">
        <f t="shared" si="192"/>
        <v>0</v>
      </c>
      <c r="I6183" s="18">
        <v>6626.44</v>
      </c>
      <c r="J6183" s="27">
        <v>139629.18</v>
      </c>
      <c r="K6183" s="18">
        <f t="shared" si="193"/>
        <v>0</v>
      </c>
      <c r="L6183" s="27">
        <v>15470.04</v>
      </c>
      <c r="M6183" s="36">
        <v>8843.6</v>
      </c>
      <c r="T6183" s="41">
        <v>0</v>
      </c>
      <c r="U6183" s="41">
        <v>0</v>
      </c>
      <c r="V6183" s="42" t="s">
        <v>113</v>
      </c>
      <c r="W6183" s="42">
        <v>0</v>
      </c>
      <c r="X6183" s="42">
        <v>0</v>
      </c>
    </row>
    <row r="6184" spans="1:24">
      <c r="A6184" s="27" t="s">
        <v>11372</v>
      </c>
      <c r="B6184" s="28" t="s">
        <v>5102</v>
      </c>
      <c r="C6184" s="27" t="s">
        <v>11373</v>
      </c>
      <c r="D6184" s="27" t="s">
        <v>5104</v>
      </c>
      <c r="E6184" s="29">
        <v>43189</v>
      </c>
      <c r="F6184" s="27">
        <v>15</v>
      </c>
      <c r="G6184" s="18">
        <v>167668.29999999999</v>
      </c>
      <c r="H6184" s="27">
        <f t="shared" si="192"/>
        <v>0</v>
      </c>
      <c r="I6184" s="18">
        <v>7957.1</v>
      </c>
      <c r="J6184" s="27">
        <v>167668.29999999999</v>
      </c>
      <c r="K6184" s="18">
        <f t="shared" si="193"/>
        <v>0</v>
      </c>
      <c r="L6184" s="27">
        <v>18576.59</v>
      </c>
      <c r="M6184" s="36">
        <v>10619.49</v>
      </c>
      <c r="T6184" s="41">
        <v>0</v>
      </c>
      <c r="U6184" s="41">
        <v>0</v>
      </c>
      <c r="V6184" s="42" t="s">
        <v>113</v>
      </c>
      <c r="W6184" s="42">
        <v>0</v>
      </c>
      <c r="X6184" s="42">
        <v>0</v>
      </c>
    </row>
    <row r="6185" spans="1:24">
      <c r="A6185" s="27" t="s">
        <v>11374</v>
      </c>
      <c r="B6185" s="28" t="s">
        <v>5102</v>
      </c>
      <c r="C6185" s="27" t="s">
        <v>11375</v>
      </c>
      <c r="D6185" s="27" t="s">
        <v>5104</v>
      </c>
      <c r="E6185" s="29">
        <v>43189</v>
      </c>
      <c r="F6185" s="27">
        <v>15</v>
      </c>
      <c r="G6185" s="18">
        <v>182183.5</v>
      </c>
      <c r="H6185" s="27">
        <f t="shared" si="192"/>
        <v>0</v>
      </c>
      <c r="I6185" s="18">
        <v>8645.9599999999991</v>
      </c>
      <c r="J6185" s="27">
        <v>182183.5</v>
      </c>
      <c r="K6185" s="18">
        <f t="shared" si="193"/>
        <v>0</v>
      </c>
      <c r="L6185" s="27">
        <v>20184.79</v>
      </c>
      <c r="M6185" s="36">
        <v>11538.83</v>
      </c>
      <c r="T6185" s="41">
        <v>0</v>
      </c>
      <c r="U6185" s="41">
        <v>0</v>
      </c>
      <c r="V6185" s="42" t="s">
        <v>113</v>
      </c>
      <c r="W6185" s="42">
        <v>0</v>
      </c>
      <c r="X6185" s="42">
        <v>0</v>
      </c>
    </row>
    <row r="6186" spans="1:24">
      <c r="A6186" s="27" t="s">
        <v>11376</v>
      </c>
      <c r="B6186" s="28" t="s">
        <v>5102</v>
      </c>
      <c r="C6186" s="27" t="s">
        <v>11377</v>
      </c>
      <c r="D6186" s="27" t="s">
        <v>5104</v>
      </c>
      <c r="E6186" s="29">
        <v>43189</v>
      </c>
      <c r="F6186" s="27">
        <v>15</v>
      </c>
      <c r="G6186" s="18">
        <v>129600.07</v>
      </c>
      <c r="H6186" s="27">
        <f t="shared" si="192"/>
        <v>0</v>
      </c>
      <c r="I6186" s="18">
        <v>6150.28</v>
      </c>
      <c r="J6186" s="27">
        <v>129600.07</v>
      </c>
      <c r="K6186" s="18">
        <f t="shared" si="193"/>
        <v>0</v>
      </c>
      <c r="L6186" s="27">
        <v>14358.69</v>
      </c>
      <c r="M6186" s="36">
        <v>8208.41</v>
      </c>
      <c r="T6186" s="41">
        <v>0</v>
      </c>
      <c r="U6186" s="41">
        <v>0</v>
      </c>
      <c r="V6186" s="42" t="s">
        <v>113</v>
      </c>
      <c r="W6186" s="42">
        <v>0</v>
      </c>
      <c r="X6186" s="42">
        <v>0</v>
      </c>
    </row>
    <row r="6187" spans="1:24">
      <c r="A6187" s="27" t="s">
        <v>11378</v>
      </c>
      <c r="B6187" s="28" t="s">
        <v>5102</v>
      </c>
      <c r="C6187" s="27" t="s">
        <v>11377</v>
      </c>
      <c r="D6187" s="27" t="s">
        <v>5104</v>
      </c>
      <c r="E6187" s="29">
        <v>43189</v>
      </c>
      <c r="F6187" s="27">
        <v>12</v>
      </c>
      <c r="G6187" s="18">
        <v>3386.02</v>
      </c>
      <c r="H6187" s="27">
        <f t="shared" si="192"/>
        <v>3386.02</v>
      </c>
      <c r="I6187" s="18">
        <v>3386.02</v>
      </c>
      <c r="J6187" s="27">
        <v>3386.02</v>
      </c>
      <c r="K6187" s="18">
        <f t="shared" si="193"/>
        <v>3386.02</v>
      </c>
      <c r="L6187" s="27">
        <v>3386.02</v>
      </c>
      <c r="M6187" s="36">
        <v>0</v>
      </c>
      <c r="T6187" s="41">
        <v>0</v>
      </c>
      <c r="U6187" s="41">
        <v>0</v>
      </c>
      <c r="V6187" s="42" t="s">
        <v>113</v>
      </c>
      <c r="W6187" s="42">
        <v>3386.02</v>
      </c>
      <c r="X6187" s="42">
        <v>3386.02</v>
      </c>
    </row>
    <row r="6188" spans="1:24">
      <c r="A6188" s="27" t="s">
        <v>11379</v>
      </c>
      <c r="B6188" s="28" t="s">
        <v>5102</v>
      </c>
      <c r="C6188" s="27" t="s">
        <v>11380</v>
      </c>
      <c r="D6188" s="27" t="s">
        <v>5104</v>
      </c>
      <c r="E6188" s="29">
        <v>43189</v>
      </c>
      <c r="F6188" s="27">
        <v>15</v>
      </c>
      <c r="G6188" s="18">
        <v>23278.92</v>
      </c>
      <c r="H6188" s="27">
        <f t="shared" si="192"/>
        <v>0</v>
      </c>
      <c r="I6188" s="18">
        <v>1104.72</v>
      </c>
      <c r="J6188" s="27">
        <v>23278.92</v>
      </c>
      <c r="K6188" s="18">
        <f t="shared" si="193"/>
        <v>0</v>
      </c>
      <c r="L6188" s="27">
        <v>2579.12</v>
      </c>
      <c r="M6188" s="36">
        <v>1474.4</v>
      </c>
      <c r="T6188" s="41">
        <v>0</v>
      </c>
      <c r="U6188" s="41">
        <v>0</v>
      </c>
      <c r="V6188" s="42" t="s">
        <v>113</v>
      </c>
      <c r="W6188" s="42">
        <v>0</v>
      </c>
      <c r="X6188" s="42">
        <v>0</v>
      </c>
    </row>
    <row r="6189" spans="1:24">
      <c r="A6189" s="27" t="s">
        <v>11381</v>
      </c>
      <c r="B6189" s="28" t="s">
        <v>5102</v>
      </c>
      <c r="C6189" s="27" t="s">
        <v>11382</v>
      </c>
      <c r="D6189" s="27" t="s">
        <v>5104</v>
      </c>
      <c r="E6189" s="29">
        <v>43189</v>
      </c>
      <c r="F6189" s="27">
        <v>15</v>
      </c>
      <c r="G6189" s="18">
        <v>26834.240000000002</v>
      </c>
      <c r="H6189" s="27">
        <f t="shared" si="192"/>
        <v>0</v>
      </c>
      <c r="I6189" s="18">
        <v>1273.44</v>
      </c>
      <c r="J6189" s="27">
        <v>26834.240000000002</v>
      </c>
      <c r="K6189" s="18">
        <f t="shared" si="193"/>
        <v>0</v>
      </c>
      <c r="L6189" s="27">
        <v>2973.03</v>
      </c>
      <c r="M6189" s="36">
        <v>1699.59</v>
      </c>
      <c r="T6189" s="41">
        <v>0</v>
      </c>
      <c r="U6189" s="41">
        <v>0</v>
      </c>
      <c r="V6189" s="42" t="s">
        <v>113</v>
      </c>
      <c r="W6189" s="42">
        <v>0</v>
      </c>
      <c r="X6189" s="42">
        <v>0</v>
      </c>
    </row>
    <row r="6190" spans="1:24">
      <c r="A6190" s="27" t="s">
        <v>11383</v>
      </c>
      <c r="B6190" s="28" t="s">
        <v>5102</v>
      </c>
      <c r="C6190" s="27" t="s">
        <v>11382</v>
      </c>
      <c r="D6190" s="27" t="s">
        <v>5104</v>
      </c>
      <c r="E6190" s="29">
        <v>43189</v>
      </c>
      <c r="F6190" s="27">
        <v>12</v>
      </c>
      <c r="G6190" s="18">
        <v>846.5</v>
      </c>
      <c r="H6190" s="27">
        <f t="shared" si="192"/>
        <v>846.5</v>
      </c>
      <c r="I6190" s="18">
        <v>846.5</v>
      </c>
      <c r="J6190" s="27">
        <v>846.5</v>
      </c>
      <c r="K6190" s="18">
        <f t="shared" si="193"/>
        <v>846.5</v>
      </c>
      <c r="L6190" s="27">
        <v>846.5</v>
      </c>
      <c r="M6190" s="36">
        <v>0</v>
      </c>
      <c r="T6190" s="41">
        <v>0</v>
      </c>
      <c r="U6190" s="41">
        <v>0</v>
      </c>
      <c r="V6190" s="42" t="s">
        <v>113</v>
      </c>
      <c r="W6190" s="42">
        <v>846.5</v>
      </c>
      <c r="X6190" s="42">
        <v>846.5</v>
      </c>
    </row>
    <row r="6191" spans="1:24">
      <c r="A6191" s="27" t="s">
        <v>11384</v>
      </c>
      <c r="B6191" s="28" t="s">
        <v>5102</v>
      </c>
      <c r="C6191" s="27" t="s">
        <v>11385</v>
      </c>
      <c r="D6191" s="27" t="s">
        <v>5104</v>
      </c>
      <c r="E6191" s="29">
        <v>43189</v>
      </c>
      <c r="F6191" s="27">
        <v>15</v>
      </c>
      <c r="G6191" s="18">
        <v>186485.27</v>
      </c>
      <c r="H6191" s="27">
        <f t="shared" si="192"/>
        <v>0</v>
      </c>
      <c r="I6191" s="18">
        <v>8849.81</v>
      </c>
      <c r="J6191" s="27">
        <v>186485.27</v>
      </c>
      <c r="K6191" s="18">
        <f t="shared" si="193"/>
        <v>0</v>
      </c>
      <c r="L6191" s="27">
        <v>20661.12</v>
      </c>
      <c r="M6191" s="36">
        <v>11811.31</v>
      </c>
      <c r="T6191" s="41">
        <v>0</v>
      </c>
      <c r="U6191" s="41">
        <v>0</v>
      </c>
      <c r="V6191" s="42" t="s">
        <v>113</v>
      </c>
      <c r="W6191" s="42">
        <v>0</v>
      </c>
      <c r="X6191" s="42">
        <v>0</v>
      </c>
    </row>
    <row r="6192" spans="1:24">
      <c r="A6192" s="27" t="s">
        <v>11386</v>
      </c>
      <c r="B6192" s="28" t="s">
        <v>5102</v>
      </c>
      <c r="C6192" s="27" t="s">
        <v>11385</v>
      </c>
      <c r="D6192" s="27" t="s">
        <v>5104</v>
      </c>
      <c r="E6192" s="29">
        <v>43189</v>
      </c>
      <c r="F6192" s="27">
        <v>12</v>
      </c>
      <c r="G6192" s="18">
        <v>1777.66</v>
      </c>
      <c r="H6192" s="27">
        <f t="shared" si="192"/>
        <v>1777.66</v>
      </c>
      <c r="I6192" s="18">
        <v>1777.66</v>
      </c>
      <c r="J6192" s="27">
        <v>1777.66</v>
      </c>
      <c r="K6192" s="18">
        <f t="shared" si="193"/>
        <v>1777.66</v>
      </c>
      <c r="L6192" s="27">
        <v>1777.66</v>
      </c>
      <c r="M6192" s="36">
        <v>0</v>
      </c>
      <c r="T6192" s="41">
        <v>0</v>
      </c>
      <c r="U6192" s="41">
        <v>0</v>
      </c>
      <c r="V6192" s="42" t="s">
        <v>113</v>
      </c>
      <c r="W6192" s="42">
        <v>1777.66</v>
      </c>
      <c r="X6192" s="42">
        <v>1777.66</v>
      </c>
    </row>
    <row r="6193" spans="1:24">
      <c r="A6193" s="27" t="s">
        <v>11387</v>
      </c>
      <c r="B6193" s="28" t="s">
        <v>5102</v>
      </c>
      <c r="C6193" s="27" t="s">
        <v>11388</v>
      </c>
      <c r="D6193" s="27" t="s">
        <v>5104</v>
      </c>
      <c r="E6193" s="29">
        <v>43189</v>
      </c>
      <c r="F6193" s="27">
        <v>15</v>
      </c>
      <c r="G6193" s="18">
        <v>171840.72</v>
      </c>
      <c r="H6193" s="27">
        <f t="shared" si="192"/>
        <v>0</v>
      </c>
      <c r="I6193" s="18">
        <v>8154.84</v>
      </c>
      <c r="J6193" s="27">
        <v>171840.72</v>
      </c>
      <c r="K6193" s="18">
        <f t="shared" si="193"/>
        <v>0</v>
      </c>
      <c r="L6193" s="27">
        <v>19038.62</v>
      </c>
      <c r="M6193" s="36">
        <v>10883.78</v>
      </c>
      <c r="T6193" s="41">
        <v>0</v>
      </c>
      <c r="U6193" s="41">
        <v>0</v>
      </c>
      <c r="V6193" s="42" t="s">
        <v>113</v>
      </c>
      <c r="W6193" s="42">
        <v>0</v>
      </c>
      <c r="X6193" s="42">
        <v>0</v>
      </c>
    </row>
    <row r="6194" spans="1:24">
      <c r="A6194" s="27" t="s">
        <v>11389</v>
      </c>
      <c r="B6194" s="28" t="s">
        <v>5102</v>
      </c>
      <c r="C6194" s="27" t="s">
        <v>11390</v>
      </c>
      <c r="D6194" s="27" t="s">
        <v>5104</v>
      </c>
      <c r="E6194" s="29">
        <v>43189</v>
      </c>
      <c r="F6194" s="27">
        <v>15</v>
      </c>
      <c r="G6194" s="18">
        <v>74153.929999999993</v>
      </c>
      <c r="H6194" s="27">
        <f t="shared" si="192"/>
        <v>0</v>
      </c>
      <c r="I6194" s="18">
        <v>3519.03</v>
      </c>
      <c r="J6194" s="27">
        <v>74153.929999999993</v>
      </c>
      <c r="K6194" s="18">
        <f t="shared" si="193"/>
        <v>0</v>
      </c>
      <c r="L6194" s="27">
        <v>8215.68</v>
      </c>
      <c r="M6194" s="36">
        <v>4696.6499999999996</v>
      </c>
      <c r="T6194" s="41">
        <v>0</v>
      </c>
      <c r="U6194" s="41">
        <v>0</v>
      </c>
      <c r="V6194" s="42" t="s">
        <v>113</v>
      </c>
      <c r="W6194" s="42">
        <v>0</v>
      </c>
      <c r="X6194" s="42">
        <v>0</v>
      </c>
    </row>
    <row r="6195" spans="1:24">
      <c r="A6195" s="27" t="s">
        <v>11391</v>
      </c>
      <c r="B6195" s="28" t="s">
        <v>5102</v>
      </c>
      <c r="C6195" s="27" t="s">
        <v>11392</v>
      </c>
      <c r="D6195" s="27" t="s">
        <v>5104</v>
      </c>
      <c r="E6195" s="29">
        <v>43189</v>
      </c>
      <c r="F6195" s="27">
        <v>15</v>
      </c>
      <c r="G6195" s="18">
        <v>68346.039999999994</v>
      </c>
      <c r="H6195" s="27">
        <f t="shared" si="192"/>
        <v>0</v>
      </c>
      <c r="I6195" s="18">
        <v>3244.12</v>
      </c>
      <c r="J6195" s="27">
        <v>68346.039999999994</v>
      </c>
      <c r="K6195" s="18">
        <f t="shared" si="193"/>
        <v>0</v>
      </c>
      <c r="L6195" s="27">
        <v>7572.87</v>
      </c>
      <c r="M6195" s="36">
        <v>4328.75</v>
      </c>
      <c r="T6195" s="41">
        <v>0</v>
      </c>
      <c r="U6195" s="41">
        <v>0</v>
      </c>
      <c r="V6195" s="42" t="s">
        <v>113</v>
      </c>
      <c r="W6195" s="42">
        <v>0</v>
      </c>
      <c r="X6195" s="42">
        <v>0</v>
      </c>
    </row>
    <row r="6196" spans="1:24">
      <c r="A6196" s="27" t="s">
        <v>11393</v>
      </c>
      <c r="B6196" s="28" t="s">
        <v>5102</v>
      </c>
      <c r="C6196" s="27" t="s">
        <v>11392</v>
      </c>
      <c r="D6196" s="27" t="s">
        <v>5104</v>
      </c>
      <c r="E6196" s="29">
        <v>43189</v>
      </c>
      <c r="F6196" s="27">
        <v>15</v>
      </c>
      <c r="G6196" s="18">
        <v>32953.96</v>
      </c>
      <c r="H6196" s="27">
        <f t="shared" si="192"/>
        <v>0</v>
      </c>
      <c r="I6196" s="18">
        <v>1564.19</v>
      </c>
      <c r="J6196" s="27">
        <v>32953.96</v>
      </c>
      <c r="K6196" s="18">
        <f t="shared" si="193"/>
        <v>0</v>
      </c>
      <c r="L6196" s="27">
        <v>3651.35</v>
      </c>
      <c r="M6196" s="36">
        <v>2087.16</v>
      </c>
      <c r="T6196" s="41">
        <v>0</v>
      </c>
      <c r="U6196" s="41">
        <v>0</v>
      </c>
      <c r="V6196" s="42" t="s">
        <v>113</v>
      </c>
      <c r="W6196" s="42">
        <v>0</v>
      </c>
      <c r="X6196" s="42">
        <v>0</v>
      </c>
    </row>
    <row r="6197" spans="1:24">
      <c r="A6197" s="27" t="s">
        <v>11394</v>
      </c>
      <c r="B6197" s="28" t="s">
        <v>5102</v>
      </c>
      <c r="C6197" s="27" t="s">
        <v>11395</v>
      </c>
      <c r="D6197" s="27" t="s">
        <v>5104</v>
      </c>
      <c r="E6197" s="29">
        <v>43189</v>
      </c>
      <c r="F6197" s="27">
        <v>15</v>
      </c>
      <c r="G6197" s="18">
        <v>69368.479999999996</v>
      </c>
      <c r="H6197" s="27">
        <f t="shared" si="192"/>
        <v>0</v>
      </c>
      <c r="I6197" s="18">
        <v>3292.65</v>
      </c>
      <c r="J6197" s="27">
        <v>69368.479999999996</v>
      </c>
      <c r="K6197" s="18">
        <f t="shared" si="193"/>
        <v>0</v>
      </c>
      <c r="L6197" s="27">
        <v>7686.15</v>
      </c>
      <c r="M6197" s="36">
        <v>4393.5</v>
      </c>
      <c r="T6197" s="41">
        <v>0</v>
      </c>
      <c r="U6197" s="41">
        <v>0</v>
      </c>
      <c r="V6197" s="42" t="s">
        <v>113</v>
      </c>
      <c r="W6197" s="42">
        <v>0</v>
      </c>
      <c r="X6197" s="42">
        <v>0</v>
      </c>
    </row>
    <row r="6198" spans="1:24">
      <c r="A6198" s="27" t="s">
        <v>11396</v>
      </c>
      <c r="B6198" s="28" t="s">
        <v>5102</v>
      </c>
      <c r="C6198" s="27" t="s">
        <v>11397</v>
      </c>
      <c r="D6198" s="27" t="s">
        <v>5104</v>
      </c>
      <c r="E6198" s="29">
        <v>43189</v>
      </c>
      <c r="F6198" s="27">
        <v>15</v>
      </c>
      <c r="G6198" s="18">
        <v>122535.25</v>
      </c>
      <c r="H6198" s="27">
        <f t="shared" si="192"/>
        <v>0</v>
      </c>
      <c r="I6198" s="18">
        <v>5816.27</v>
      </c>
      <c r="J6198" s="27">
        <v>122535.25</v>
      </c>
      <c r="K6198" s="18">
        <f t="shared" si="193"/>
        <v>0</v>
      </c>
      <c r="L6198" s="27">
        <v>13577.13</v>
      </c>
      <c r="M6198" s="36">
        <v>7760.86</v>
      </c>
      <c r="T6198" s="41">
        <v>0</v>
      </c>
      <c r="U6198" s="41">
        <v>0</v>
      </c>
      <c r="V6198" s="42" t="s">
        <v>113</v>
      </c>
      <c r="W6198" s="42">
        <v>0</v>
      </c>
      <c r="X6198" s="42">
        <v>0</v>
      </c>
    </row>
    <row r="6199" spans="1:24">
      <c r="A6199" s="27" t="s">
        <v>11398</v>
      </c>
      <c r="B6199" s="28" t="s">
        <v>5102</v>
      </c>
      <c r="C6199" s="27" t="s">
        <v>11399</v>
      </c>
      <c r="D6199" s="27" t="s">
        <v>5104</v>
      </c>
      <c r="E6199" s="29">
        <v>43189</v>
      </c>
      <c r="F6199" s="27">
        <v>15</v>
      </c>
      <c r="G6199" s="18">
        <v>121906.07</v>
      </c>
      <c r="H6199" s="27">
        <f t="shared" si="192"/>
        <v>0</v>
      </c>
      <c r="I6199" s="18">
        <v>5786.4</v>
      </c>
      <c r="J6199" s="27">
        <v>121906.07</v>
      </c>
      <c r="K6199" s="18">
        <f t="shared" si="193"/>
        <v>0</v>
      </c>
      <c r="L6199" s="27">
        <v>13507.41</v>
      </c>
      <c r="M6199" s="36">
        <v>7721.01</v>
      </c>
      <c r="T6199" s="41">
        <v>0</v>
      </c>
      <c r="U6199" s="41">
        <v>0</v>
      </c>
      <c r="V6199" s="42" t="s">
        <v>113</v>
      </c>
      <c r="W6199" s="42">
        <v>0</v>
      </c>
      <c r="X6199" s="42">
        <v>0</v>
      </c>
    </row>
    <row r="6200" spans="1:24">
      <c r="A6200" s="27" t="s">
        <v>11400</v>
      </c>
      <c r="B6200" s="28" t="s">
        <v>5102</v>
      </c>
      <c r="C6200" s="27" t="s">
        <v>11401</v>
      </c>
      <c r="D6200" s="27" t="s">
        <v>5104</v>
      </c>
      <c r="E6200" s="29">
        <v>43189</v>
      </c>
      <c r="F6200" s="27">
        <v>15</v>
      </c>
      <c r="G6200" s="18">
        <v>118288.21</v>
      </c>
      <c r="H6200" s="27">
        <f t="shared" si="192"/>
        <v>0</v>
      </c>
      <c r="I6200" s="18">
        <v>5614.68</v>
      </c>
      <c r="J6200" s="27">
        <v>118288.21</v>
      </c>
      <c r="K6200" s="18">
        <f t="shared" si="193"/>
        <v>0</v>
      </c>
      <c r="L6200" s="27">
        <v>13106.55</v>
      </c>
      <c r="M6200" s="36">
        <v>7491.87</v>
      </c>
      <c r="T6200" s="41">
        <v>0</v>
      </c>
      <c r="U6200" s="41">
        <v>0</v>
      </c>
      <c r="V6200" s="42" t="s">
        <v>113</v>
      </c>
      <c r="W6200" s="42">
        <v>0</v>
      </c>
      <c r="X6200" s="42">
        <v>0</v>
      </c>
    </row>
    <row r="6201" spans="1:24">
      <c r="A6201" s="27" t="s">
        <v>11402</v>
      </c>
      <c r="B6201" s="28" t="s">
        <v>5102</v>
      </c>
      <c r="C6201" s="27" t="s">
        <v>11401</v>
      </c>
      <c r="D6201" s="27" t="s">
        <v>5104</v>
      </c>
      <c r="E6201" s="29">
        <v>43189</v>
      </c>
      <c r="F6201" s="27">
        <v>15</v>
      </c>
      <c r="G6201" s="18">
        <v>19190.38</v>
      </c>
      <c r="H6201" s="27">
        <f t="shared" si="192"/>
        <v>0</v>
      </c>
      <c r="I6201" s="18">
        <v>910.89</v>
      </c>
      <c r="J6201" s="27">
        <v>19190.38</v>
      </c>
      <c r="K6201" s="18">
        <f t="shared" si="193"/>
        <v>0</v>
      </c>
      <c r="L6201" s="27">
        <v>2126.33</v>
      </c>
      <c r="M6201" s="36">
        <v>1215.44</v>
      </c>
      <c r="T6201" s="41">
        <v>0</v>
      </c>
      <c r="U6201" s="41">
        <v>0</v>
      </c>
      <c r="V6201" s="42" t="s">
        <v>113</v>
      </c>
      <c r="W6201" s="42">
        <v>0</v>
      </c>
      <c r="X6201" s="42">
        <v>0</v>
      </c>
    </row>
    <row r="6202" spans="1:24">
      <c r="A6202" s="27" t="s">
        <v>11403</v>
      </c>
      <c r="B6202" s="28" t="s">
        <v>5102</v>
      </c>
      <c r="C6202" s="27" t="s">
        <v>11404</v>
      </c>
      <c r="D6202" s="27" t="s">
        <v>5104</v>
      </c>
      <c r="E6202" s="29">
        <v>43189</v>
      </c>
      <c r="F6202" s="27">
        <v>15</v>
      </c>
      <c r="G6202" s="18">
        <v>179005.3</v>
      </c>
      <c r="H6202" s="27">
        <f t="shared" si="192"/>
        <v>0</v>
      </c>
      <c r="I6202" s="18">
        <v>8496.68</v>
      </c>
      <c r="J6202" s="27">
        <v>179005.3</v>
      </c>
      <c r="K6202" s="18">
        <f t="shared" si="193"/>
        <v>0</v>
      </c>
      <c r="L6202" s="27">
        <v>19834.11</v>
      </c>
      <c r="M6202" s="36">
        <v>11337.43</v>
      </c>
      <c r="T6202" s="41">
        <v>0</v>
      </c>
      <c r="U6202" s="41">
        <v>0</v>
      </c>
      <c r="V6202" s="42" t="s">
        <v>113</v>
      </c>
      <c r="W6202" s="42">
        <v>0</v>
      </c>
      <c r="X6202" s="42">
        <v>0</v>
      </c>
    </row>
    <row r="6203" spans="1:24">
      <c r="A6203" s="27" t="s">
        <v>11405</v>
      </c>
      <c r="B6203" s="28" t="s">
        <v>5102</v>
      </c>
      <c r="C6203" s="27" t="s">
        <v>11406</v>
      </c>
      <c r="D6203" s="27" t="s">
        <v>5104</v>
      </c>
      <c r="E6203" s="29">
        <v>43189</v>
      </c>
      <c r="F6203" s="27">
        <v>15</v>
      </c>
      <c r="G6203" s="18">
        <v>154860.03</v>
      </c>
      <c r="H6203" s="27">
        <f t="shared" si="192"/>
        <v>0</v>
      </c>
      <c r="I6203" s="18">
        <v>7350.59</v>
      </c>
      <c r="J6203" s="27">
        <v>154860.03</v>
      </c>
      <c r="K6203" s="18">
        <f t="shared" si="193"/>
        <v>0</v>
      </c>
      <c r="L6203" s="27">
        <v>17158.759999999998</v>
      </c>
      <c r="M6203" s="36">
        <v>9808.17</v>
      </c>
      <c r="T6203" s="41">
        <v>0</v>
      </c>
      <c r="U6203" s="41">
        <v>0</v>
      </c>
      <c r="V6203" s="42" t="s">
        <v>113</v>
      </c>
      <c r="W6203" s="42">
        <v>0</v>
      </c>
      <c r="X6203" s="42">
        <v>0</v>
      </c>
    </row>
    <row r="6204" spans="1:24">
      <c r="A6204" s="27" t="s">
        <v>11407</v>
      </c>
      <c r="B6204" s="28" t="s">
        <v>5102</v>
      </c>
      <c r="C6204" s="27" t="s">
        <v>11406</v>
      </c>
      <c r="D6204" s="27" t="s">
        <v>5104</v>
      </c>
      <c r="E6204" s="29">
        <v>43189</v>
      </c>
      <c r="F6204" s="27">
        <v>15</v>
      </c>
      <c r="G6204" s="18">
        <v>10067.08</v>
      </c>
      <c r="H6204" s="27">
        <f t="shared" si="192"/>
        <v>0</v>
      </c>
      <c r="I6204" s="18">
        <v>477.85</v>
      </c>
      <c r="J6204" s="27">
        <v>10067.08</v>
      </c>
      <c r="K6204" s="18">
        <f t="shared" si="193"/>
        <v>0</v>
      </c>
      <c r="L6204" s="27">
        <v>1115.46</v>
      </c>
      <c r="M6204" s="36">
        <v>637.61</v>
      </c>
      <c r="T6204" s="41">
        <v>0</v>
      </c>
      <c r="U6204" s="41">
        <v>0</v>
      </c>
      <c r="V6204" s="42" t="s">
        <v>113</v>
      </c>
      <c r="W6204" s="42">
        <v>0</v>
      </c>
      <c r="X6204" s="42">
        <v>0</v>
      </c>
    </row>
    <row r="6205" spans="1:24">
      <c r="A6205" s="27" t="s">
        <v>11408</v>
      </c>
      <c r="B6205" s="28" t="s">
        <v>5102</v>
      </c>
      <c r="C6205" s="27" t="s">
        <v>11409</v>
      </c>
      <c r="D6205" s="27" t="s">
        <v>5104</v>
      </c>
      <c r="E6205" s="29">
        <v>43189</v>
      </c>
      <c r="F6205" s="27">
        <v>15</v>
      </c>
      <c r="G6205" s="18">
        <v>124894.73</v>
      </c>
      <c r="H6205" s="27">
        <f t="shared" si="192"/>
        <v>0</v>
      </c>
      <c r="I6205" s="18">
        <v>5928.26</v>
      </c>
      <c r="J6205" s="27">
        <v>124894.73</v>
      </c>
      <c r="K6205" s="18">
        <f t="shared" si="193"/>
        <v>0</v>
      </c>
      <c r="L6205" s="27">
        <v>13838.56</v>
      </c>
      <c r="M6205" s="36">
        <v>7910.3</v>
      </c>
      <c r="T6205" s="41">
        <v>0</v>
      </c>
      <c r="U6205" s="41">
        <v>0</v>
      </c>
      <c r="V6205" s="42" t="s">
        <v>113</v>
      </c>
      <c r="W6205" s="42">
        <v>0</v>
      </c>
      <c r="X6205" s="42">
        <v>0</v>
      </c>
    </row>
    <row r="6206" spans="1:24">
      <c r="A6206" s="27" t="s">
        <v>11410</v>
      </c>
      <c r="B6206" s="28" t="s">
        <v>5102</v>
      </c>
      <c r="C6206" s="27" t="s">
        <v>11411</v>
      </c>
      <c r="D6206" s="27" t="s">
        <v>5104</v>
      </c>
      <c r="E6206" s="29">
        <v>43189</v>
      </c>
      <c r="F6206" s="27">
        <v>15</v>
      </c>
      <c r="G6206" s="18">
        <v>71727.95</v>
      </c>
      <c r="H6206" s="27">
        <f t="shared" si="192"/>
        <v>0</v>
      </c>
      <c r="I6206" s="18">
        <v>3404.64</v>
      </c>
      <c r="J6206" s="27">
        <v>71727.95</v>
      </c>
      <c r="K6206" s="18">
        <f t="shared" si="193"/>
        <v>0</v>
      </c>
      <c r="L6206" s="27">
        <v>7947.58</v>
      </c>
      <c r="M6206" s="36">
        <v>4542.9399999999996</v>
      </c>
      <c r="T6206" s="41">
        <v>0</v>
      </c>
      <c r="U6206" s="41">
        <v>0</v>
      </c>
      <c r="V6206" s="42" t="s">
        <v>113</v>
      </c>
      <c r="W6206" s="42">
        <v>0</v>
      </c>
      <c r="X6206" s="42">
        <v>0</v>
      </c>
    </row>
    <row r="6207" spans="1:24">
      <c r="A6207" s="27" t="s">
        <v>11412</v>
      </c>
      <c r="B6207" s="28" t="s">
        <v>5102</v>
      </c>
      <c r="C6207" s="27" t="s">
        <v>11413</v>
      </c>
      <c r="D6207" s="27" t="s">
        <v>5104</v>
      </c>
      <c r="E6207" s="29">
        <v>43189</v>
      </c>
      <c r="F6207" s="27">
        <v>15</v>
      </c>
      <c r="G6207" s="18">
        <v>80851.240000000005</v>
      </c>
      <c r="H6207" s="27">
        <f t="shared" si="192"/>
        <v>0</v>
      </c>
      <c r="I6207" s="18">
        <v>3837.69</v>
      </c>
      <c r="J6207" s="27">
        <v>80851.240000000005</v>
      </c>
      <c r="K6207" s="18">
        <f t="shared" si="193"/>
        <v>0</v>
      </c>
      <c r="L6207" s="27">
        <v>8958.4599999999991</v>
      </c>
      <c r="M6207" s="36">
        <v>5120.7700000000004</v>
      </c>
      <c r="T6207" s="41">
        <v>0</v>
      </c>
      <c r="U6207" s="41">
        <v>0</v>
      </c>
      <c r="V6207" s="42" t="s">
        <v>113</v>
      </c>
      <c r="W6207" s="42">
        <v>0</v>
      </c>
      <c r="X6207" s="42">
        <v>0</v>
      </c>
    </row>
    <row r="6208" spans="1:24">
      <c r="A6208" s="27" t="s">
        <v>11414</v>
      </c>
      <c r="B6208" s="28" t="s">
        <v>5102</v>
      </c>
      <c r="C6208" s="27" t="s">
        <v>11415</v>
      </c>
      <c r="D6208" s="27" t="s">
        <v>5104</v>
      </c>
      <c r="E6208" s="29">
        <v>43189</v>
      </c>
      <c r="F6208" s="27">
        <v>15</v>
      </c>
      <c r="G6208" s="18">
        <v>8812.11</v>
      </c>
      <c r="H6208" s="27">
        <f t="shared" si="192"/>
        <v>0</v>
      </c>
      <c r="I6208" s="18">
        <v>418.17</v>
      </c>
      <c r="J6208" s="27">
        <v>8812.11</v>
      </c>
      <c r="K6208" s="18">
        <f t="shared" si="193"/>
        <v>0</v>
      </c>
      <c r="L6208" s="27">
        <v>976.3</v>
      </c>
      <c r="M6208" s="36">
        <v>558.13</v>
      </c>
      <c r="T6208" s="41">
        <v>0</v>
      </c>
      <c r="U6208" s="41">
        <v>0</v>
      </c>
      <c r="V6208" s="42" t="s">
        <v>113</v>
      </c>
      <c r="W6208" s="42">
        <v>0</v>
      </c>
      <c r="X6208" s="42">
        <v>0</v>
      </c>
    </row>
    <row r="6209" spans="1:24">
      <c r="A6209" s="27" t="s">
        <v>11416</v>
      </c>
      <c r="B6209" s="28" t="s">
        <v>5102</v>
      </c>
      <c r="C6209" s="27" t="s">
        <v>11417</v>
      </c>
      <c r="D6209" s="27" t="s">
        <v>5104</v>
      </c>
      <c r="E6209" s="29">
        <v>43189</v>
      </c>
      <c r="F6209" s="27">
        <v>15</v>
      </c>
      <c r="G6209" s="18">
        <v>22847.7</v>
      </c>
      <c r="H6209" s="27">
        <f t="shared" si="192"/>
        <v>0</v>
      </c>
      <c r="I6209" s="18">
        <v>1084.24</v>
      </c>
      <c r="J6209" s="27">
        <v>22847.7</v>
      </c>
      <c r="K6209" s="18">
        <f t="shared" si="193"/>
        <v>0</v>
      </c>
      <c r="L6209" s="27">
        <v>2531.33</v>
      </c>
      <c r="M6209" s="36">
        <v>1447.09</v>
      </c>
      <c r="T6209" s="41">
        <v>0</v>
      </c>
      <c r="U6209" s="41">
        <v>0</v>
      </c>
      <c r="V6209" s="42" t="s">
        <v>113</v>
      </c>
      <c r="W6209" s="42">
        <v>0</v>
      </c>
      <c r="X6209" s="42">
        <v>0</v>
      </c>
    </row>
    <row r="6210" spans="1:24">
      <c r="A6210" s="27" t="s">
        <v>11418</v>
      </c>
      <c r="B6210" s="28" t="s">
        <v>5102</v>
      </c>
      <c r="C6210" s="27" t="s">
        <v>11417</v>
      </c>
      <c r="D6210" s="27" t="s">
        <v>5104</v>
      </c>
      <c r="E6210" s="29">
        <v>43189</v>
      </c>
      <c r="F6210" s="27">
        <v>12</v>
      </c>
      <c r="G6210" s="18">
        <v>1116.47</v>
      </c>
      <c r="H6210" s="27">
        <f t="shared" si="192"/>
        <v>1116.47</v>
      </c>
      <c r="I6210" s="18">
        <v>1116.47</v>
      </c>
      <c r="J6210" s="27">
        <v>1116.47</v>
      </c>
      <c r="K6210" s="18">
        <f t="shared" si="193"/>
        <v>1116.47</v>
      </c>
      <c r="L6210" s="27">
        <v>1116.47</v>
      </c>
      <c r="M6210" s="36">
        <v>0</v>
      </c>
      <c r="T6210" s="41">
        <v>0</v>
      </c>
      <c r="U6210" s="41">
        <v>0</v>
      </c>
      <c r="V6210" s="42" t="s">
        <v>113</v>
      </c>
      <c r="W6210" s="42">
        <v>1116.47</v>
      </c>
      <c r="X6210" s="42">
        <v>1116.47</v>
      </c>
    </row>
    <row r="6211" spans="1:24">
      <c r="A6211" s="27" t="s">
        <v>11419</v>
      </c>
      <c r="B6211" s="28" t="s">
        <v>5102</v>
      </c>
      <c r="C6211" s="27" t="s">
        <v>11420</v>
      </c>
      <c r="D6211" s="27" t="s">
        <v>5104</v>
      </c>
      <c r="E6211" s="29">
        <v>43189</v>
      </c>
      <c r="F6211" s="27">
        <v>15</v>
      </c>
      <c r="G6211" s="18">
        <v>11802.66</v>
      </c>
      <c r="H6211" s="27">
        <f t="shared" si="192"/>
        <v>0</v>
      </c>
      <c r="I6211" s="18">
        <v>560.09</v>
      </c>
      <c r="J6211" s="27">
        <v>11802.66</v>
      </c>
      <c r="K6211" s="18">
        <f t="shared" si="193"/>
        <v>0</v>
      </c>
      <c r="L6211" s="27">
        <v>1307.6300000000001</v>
      </c>
      <c r="M6211" s="36">
        <v>747.54</v>
      </c>
      <c r="T6211" s="41">
        <v>0</v>
      </c>
      <c r="U6211" s="41">
        <v>0</v>
      </c>
      <c r="V6211" s="42" t="s">
        <v>113</v>
      </c>
      <c r="W6211" s="42">
        <v>0</v>
      </c>
      <c r="X6211" s="42">
        <v>0</v>
      </c>
    </row>
    <row r="6212" spans="1:24">
      <c r="A6212" s="27" t="s">
        <v>11421</v>
      </c>
      <c r="B6212" s="28" t="s">
        <v>5102</v>
      </c>
      <c r="C6212" s="27" t="s">
        <v>11422</v>
      </c>
      <c r="D6212" s="27" t="s">
        <v>5104</v>
      </c>
      <c r="E6212" s="29">
        <v>43189</v>
      </c>
      <c r="F6212" s="27">
        <v>12</v>
      </c>
      <c r="G6212" s="18">
        <v>3150.03</v>
      </c>
      <c r="H6212" s="27">
        <f t="shared" si="192"/>
        <v>3150.03</v>
      </c>
      <c r="I6212" s="18">
        <v>3150.03</v>
      </c>
      <c r="J6212" s="27">
        <v>3150.03</v>
      </c>
      <c r="K6212" s="18">
        <f t="shared" si="193"/>
        <v>3150.03</v>
      </c>
      <c r="L6212" s="27">
        <v>3150.03</v>
      </c>
      <c r="M6212" s="36">
        <v>0</v>
      </c>
      <c r="T6212" s="41">
        <v>0</v>
      </c>
      <c r="U6212" s="41">
        <v>0</v>
      </c>
      <c r="V6212" s="42" t="s">
        <v>113</v>
      </c>
      <c r="W6212" s="42">
        <v>3150.03</v>
      </c>
      <c r="X6212" s="42">
        <v>3150.03</v>
      </c>
    </row>
    <row r="6213" spans="1:24">
      <c r="A6213" s="27" t="s">
        <v>11423</v>
      </c>
      <c r="B6213" s="28" t="s">
        <v>5102</v>
      </c>
      <c r="C6213" s="27" t="s">
        <v>11424</v>
      </c>
      <c r="D6213" s="27" t="s">
        <v>5104</v>
      </c>
      <c r="E6213" s="29">
        <v>43189</v>
      </c>
      <c r="F6213" s="27">
        <v>15</v>
      </c>
      <c r="G6213" s="18">
        <v>29347.13</v>
      </c>
      <c r="H6213" s="27">
        <f t="shared" si="192"/>
        <v>0</v>
      </c>
      <c r="I6213" s="18">
        <v>1392.67</v>
      </c>
      <c r="J6213" s="27">
        <v>29347.13</v>
      </c>
      <c r="K6213" s="18">
        <f t="shared" si="193"/>
        <v>0</v>
      </c>
      <c r="L6213" s="27">
        <v>3251.41</v>
      </c>
      <c r="M6213" s="36">
        <v>1858.74</v>
      </c>
      <c r="T6213" s="41">
        <v>0</v>
      </c>
      <c r="U6213" s="41">
        <v>0</v>
      </c>
      <c r="V6213" s="42" t="s">
        <v>113</v>
      </c>
      <c r="W6213" s="42">
        <v>0</v>
      </c>
      <c r="X6213" s="42">
        <v>0</v>
      </c>
    </row>
    <row r="6214" spans="1:24">
      <c r="A6214" s="27" t="s">
        <v>11425</v>
      </c>
      <c r="B6214" s="28" t="s">
        <v>5102</v>
      </c>
      <c r="C6214" s="27" t="s">
        <v>11424</v>
      </c>
      <c r="D6214" s="27" t="s">
        <v>5104</v>
      </c>
      <c r="E6214" s="29">
        <v>43189</v>
      </c>
      <c r="F6214" s="27">
        <v>12</v>
      </c>
      <c r="G6214" s="18">
        <v>4226.62</v>
      </c>
      <c r="H6214" s="27">
        <f t="shared" ref="H6214:H6277" si="194">IFERROR(IF(ROUND((G6214-I6214)/G6214,2)&lt;=0.05,G6214,0),0)</f>
        <v>4226.62</v>
      </c>
      <c r="I6214" s="18">
        <v>4226.62</v>
      </c>
      <c r="J6214" s="27">
        <v>4226.62</v>
      </c>
      <c r="K6214" s="18">
        <f t="shared" ref="K6214:K6277" si="195">IFERROR(IF(ROUND((J6214-L6214)/J6214,2)&lt;=0.05,J6214,0),0)</f>
        <v>4226.62</v>
      </c>
      <c r="L6214" s="27">
        <v>4226.62</v>
      </c>
      <c r="M6214" s="36">
        <v>0</v>
      </c>
      <c r="T6214" s="41">
        <v>0</v>
      </c>
      <c r="U6214" s="41">
        <v>0</v>
      </c>
      <c r="V6214" s="42" t="s">
        <v>113</v>
      </c>
      <c r="W6214" s="42">
        <v>4226.62</v>
      </c>
      <c r="X6214" s="42">
        <v>4226.62</v>
      </c>
    </row>
    <row r="6215" spans="1:24">
      <c r="A6215" s="27" t="s">
        <v>11426</v>
      </c>
      <c r="B6215" s="28" t="s">
        <v>5102</v>
      </c>
      <c r="C6215" s="27" t="s">
        <v>11427</v>
      </c>
      <c r="D6215" s="27" t="s">
        <v>5104</v>
      </c>
      <c r="E6215" s="29">
        <v>43189</v>
      </c>
      <c r="F6215" s="27">
        <v>15</v>
      </c>
      <c r="G6215" s="18">
        <v>11164.67</v>
      </c>
      <c r="H6215" s="27">
        <f t="shared" si="194"/>
        <v>0</v>
      </c>
      <c r="I6215" s="18">
        <v>529.80999999999995</v>
      </c>
      <c r="J6215" s="27">
        <v>11164.67</v>
      </c>
      <c r="K6215" s="18">
        <f t="shared" si="195"/>
        <v>0</v>
      </c>
      <c r="L6215" s="27">
        <v>1236.94</v>
      </c>
      <c r="M6215" s="36">
        <v>707.13</v>
      </c>
      <c r="T6215" s="41">
        <v>0</v>
      </c>
      <c r="U6215" s="41">
        <v>0</v>
      </c>
      <c r="V6215" s="42" t="s">
        <v>113</v>
      </c>
      <c r="W6215" s="42">
        <v>0</v>
      </c>
      <c r="X6215" s="42">
        <v>0</v>
      </c>
    </row>
    <row r="6216" spans="1:24">
      <c r="A6216" s="27" t="s">
        <v>11428</v>
      </c>
      <c r="B6216" s="28" t="s">
        <v>5102</v>
      </c>
      <c r="C6216" s="27" t="s">
        <v>11429</v>
      </c>
      <c r="D6216" s="27" t="s">
        <v>5104</v>
      </c>
      <c r="E6216" s="29">
        <v>43189</v>
      </c>
      <c r="F6216" s="27">
        <v>12</v>
      </c>
      <c r="G6216" s="18">
        <v>3070.29</v>
      </c>
      <c r="H6216" s="27">
        <f t="shared" si="194"/>
        <v>3070.29</v>
      </c>
      <c r="I6216" s="18">
        <v>3070.29</v>
      </c>
      <c r="J6216" s="27">
        <v>3070.29</v>
      </c>
      <c r="K6216" s="18">
        <f t="shared" si="195"/>
        <v>3070.29</v>
      </c>
      <c r="L6216" s="27">
        <v>3070.29</v>
      </c>
      <c r="M6216" s="36">
        <v>0</v>
      </c>
      <c r="T6216" s="41">
        <v>0</v>
      </c>
      <c r="U6216" s="41">
        <v>0</v>
      </c>
      <c r="V6216" s="42" t="s">
        <v>113</v>
      </c>
      <c r="W6216" s="42">
        <v>3070.29</v>
      </c>
      <c r="X6216" s="42">
        <v>3070.29</v>
      </c>
    </row>
    <row r="6217" spans="1:24">
      <c r="A6217" s="27" t="s">
        <v>11430</v>
      </c>
      <c r="B6217" s="28" t="s">
        <v>5102</v>
      </c>
      <c r="C6217" s="27" t="s">
        <v>11431</v>
      </c>
      <c r="D6217" s="27" t="s">
        <v>5104</v>
      </c>
      <c r="E6217" s="29">
        <v>43189</v>
      </c>
      <c r="F6217" s="27">
        <v>15</v>
      </c>
      <c r="G6217" s="18">
        <v>17081.07</v>
      </c>
      <c r="H6217" s="27">
        <f t="shared" si="194"/>
        <v>0</v>
      </c>
      <c r="I6217" s="18">
        <v>810.63</v>
      </c>
      <c r="J6217" s="27">
        <v>17081.07</v>
      </c>
      <c r="K6217" s="18">
        <f t="shared" si="195"/>
        <v>0</v>
      </c>
      <c r="L6217" s="27">
        <v>1892.48</v>
      </c>
      <c r="M6217" s="36">
        <v>1081.8499999999999</v>
      </c>
      <c r="T6217" s="41">
        <v>0</v>
      </c>
      <c r="U6217" s="41">
        <v>0</v>
      </c>
      <c r="V6217" s="42" t="s">
        <v>113</v>
      </c>
      <c r="W6217" s="42">
        <v>0</v>
      </c>
      <c r="X6217" s="42">
        <v>0</v>
      </c>
    </row>
    <row r="6218" spans="1:24">
      <c r="A6218" s="27" t="s">
        <v>11432</v>
      </c>
      <c r="B6218" s="28" t="s">
        <v>5102</v>
      </c>
      <c r="C6218" s="27" t="s">
        <v>11433</v>
      </c>
      <c r="D6218" s="27" t="s">
        <v>5104</v>
      </c>
      <c r="E6218" s="29">
        <v>43189</v>
      </c>
      <c r="F6218" s="27">
        <v>15</v>
      </c>
      <c r="G6218" s="18">
        <v>18905.28</v>
      </c>
      <c r="H6218" s="27">
        <f t="shared" si="194"/>
        <v>0</v>
      </c>
      <c r="I6218" s="18">
        <v>897.21</v>
      </c>
      <c r="J6218" s="27">
        <v>18905.28</v>
      </c>
      <c r="K6218" s="18">
        <f t="shared" si="195"/>
        <v>0</v>
      </c>
      <c r="L6218" s="27">
        <v>2094.6</v>
      </c>
      <c r="M6218" s="36">
        <v>1197.3900000000001</v>
      </c>
      <c r="T6218" s="41">
        <v>0</v>
      </c>
      <c r="U6218" s="41">
        <v>0</v>
      </c>
      <c r="V6218" s="42" t="s">
        <v>113</v>
      </c>
      <c r="W6218" s="42">
        <v>0</v>
      </c>
      <c r="X6218" s="42">
        <v>0</v>
      </c>
    </row>
    <row r="6219" spans="1:24">
      <c r="A6219" s="27" t="s">
        <v>11434</v>
      </c>
      <c r="B6219" s="28" t="s">
        <v>5102</v>
      </c>
      <c r="C6219" s="27" t="s">
        <v>11433</v>
      </c>
      <c r="D6219" s="27" t="s">
        <v>5104</v>
      </c>
      <c r="E6219" s="29">
        <v>43189</v>
      </c>
      <c r="F6219" s="27">
        <v>12</v>
      </c>
      <c r="G6219" s="18">
        <v>580.42999999999995</v>
      </c>
      <c r="H6219" s="27">
        <f t="shared" si="194"/>
        <v>580.42999999999995</v>
      </c>
      <c r="I6219" s="18">
        <v>580.42999999999995</v>
      </c>
      <c r="J6219" s="27">
        <v>580.42999999999995</v>
      </c>
      <c r="K6219" s="18">
        <f t="shared" si="195"/>
        <v>580.42999999999995</v>
      </c>
      <c r="L6219" s="27">
        <v>580.42999999999995</v>
      </c>
      <c r="M6219" s="36">
        <v>0</v>
      </c>
      <c r="T6219" s="41">
        <v>0</v>
      </c>
      <c r="U6219" s="41">
        <v>0</v>
      </c>
      <c r="V6219" s="42" t="s">
        <v>113</v>
      </c>
      <c r="W6219" s="42">
        <v>580.42999999999995</v>
      </c>
      <c r="X6219" s="42">
        <v>580.42999999999995</v>
      </c>
    </row>
    <row r="6220" spans="1:24">
      <c r="A6220" s="27" t="s">
        <v>11435</v>
      </c>
      <c r="B6220" s="28" t="s">
        <v>5102</v>
      </c>
      <c r="C6220" s="27" t="s">
        <v>11436</v>
      </c>
      <c r="D6220" s="27" t="s">
        <v>5104</v>
      </c>
      <c r="E6220" s="29">
        <v>43189</v>
      </c>
      <c r="F6220" s="27">
        <v>12</v>
      </c>
      <c r="G6220" s="18">
        <v>1990.03</v>
      </c>
      <c r="H6220" s="27">
        <f t="shared" si="194"/>
        <v>1990.03</v>
      </c>
      <c r="I6220" s="18">
        <v>1990.03</v>
      </c>
      <c r="J6220" s="27">
        <v>1990.03</v>
      </c>
      <c r="K6220" s="18">
        <f t="shared" si="195"/>
        <v>1990.03</v>
      </c>
      <c r="L6220" s="27">
        <v>1990.03</v>
      </c>
      <c r="M6220" s="36">
        <v>0</v>
      </c>
      <c r="T6220" s="41">
        <v>0</v>
      </c>
      <c r="U6220" s="41">
        <v>0</v>
      </c>
      <c r="V6220" s="42" t="s">
        <v>113</v>
      </c>
      <c r="W6220" s="42">
        <v>1990.03</v>
      </c>
      <c r="X6220" s="42">
        <v>1990.03</v>
      </c>
    </row>
    <row r="6221" spans="1:24">
      <c r="A6221" s="27" t="s">
        <v>11437</v>
      </c>
      <c r="B6221" s="28" t="s">
        <v>5102</v>
      </c>
      <c r="C6221" s="27" t="s">
        <v>11438</v>
      </c>
      <c r="D6221" s="27" t="s">
        <v>5104</v>
      </c>
      <c r="E6221" s="29">
        <v>43189</v>
      </c>
      <c r="F6221" s="27">
        <v>15</v>
      </c>
      <c r="G6221" s="18">
        <v>49206.879999999997</v>
      </c>
      <c r="H6221" s="27">
        <f t="shared" si="194"/>
        <v>0</v>
      </c>
      <c r="I6221" s="18">
        <v>2335.36</v>
      </c>
      <c r="J6221" s="27">
        <v>49206.879999999997</v>
      </c>
      <c r="K6221" s="18">
        <f t="shared" si="195"/>
        <v>0</v>
      </c>
      <c r="L6221" s="27">
        <v>5451.93</v>
      </c>
      <c r="M6221" s="36">
        <v>3116.57</v>
      </c>
      <c r="T6221" s="41">
        <v>0</v>
      </c>
      <c r="U6221" s="41">
        <v>0</v>
      </c>
      <c r="V6221" s="42" t="s">
        <v>113</v>
      </c>
      <c r="W6221" s="42">
        <v>0</v>
      </c>
      <c r="X6221" s="42">
        <v>0</v>
      </c>
    </row>
    <row r="6222" spans="1:24">
      <c r="A6222" s="27" t="s">
        <v>11439</v>
      </c>
      <c r="B6222" s="28" t="s">
        <v>5102</v>
      </c>
      <c r="C6222" s="27" t="s">
        <v>11440</v>
      </c>
      <c r="D6222" s="27" t="s">
        <v>5104</v>
      </c>
      <c r="E6222" s="29">
        <v>43189</v>
      </c>
      <c r="F6222" s="27">
        <v>15</v>
      </c>
      <c r="G6222" s="18">
        <v>41996.22</v>
      </c>
      <c r="H6222" s="27">
        <f t="shared" si="194"/>
        <v>0</v>
      </c>
      <c r="I6222" s="18">
        <v>1993.15</v>
      </c>
      <c r="J6222" s="27">
        <v>41996.22</v>
      </c>
      <c r="K6222" s="18">
        <f t="shared" si="195"/>
        <v>0</v>
      </c>
      <c r="L6222" s="27">
        <v>4653.03</v>
      </c>
      <c r="M6222" s="36">
        <v>2659.88</v>
      </c>
      <c r="T6222" s="41">
        <v>0</v>
      </c>
      <c r="U6222" s="41">
        <v>0</v>
      </c>
      <c r="V6222" s="42" t="s">
        <v>113</v>
      </c>
      <c r="W6222" s="42">
        <v>0</v>
      </c>
      <c r="X6222" s="42">
        <v>0</v>
      </c>
    </row>
    <row r="6223" spans="1:24">
      <c r="A6223" s="27" t="s">
        <v>11441</v>
      </c>
      <c r="B6223" s="28" t="s">
        <v>5102</v>
      </c>
      <c r="C6223" s="27" t="s">
        <v>11442</v>
      </c>
      <c r="D6223" s="27" t="s">
        <v>5104</v>
      </c>
      <c r="E6223" s="29">
        <v>43189</v>
      </c>
      <c r="F6223" s="27">
        <v>15</v>
      </c>
      <c r="G6223" s="18">
        <v>25818.81</v>
      </c>
      <c r="H6223" s="27">
        <f t="shared" si="194"/>
        <v>0</v>
      </c>
      <c r="I6223" s="18">
        <v>1225.19</v>
      </c>
      <c r="J6223" s="27">
        <v>25818.81</v>
      </c>
      <c r="K6223" s="18">
        <f t="shared" si="195"/>
        <v>0</v>
      </c>
      <c r="L6223" s="27">
        <v>2860.47</v>
      </c>
      <c r="M6223" s="36">
        <v>1635.28</v>
      </c>
      <c r="T6223" s="41">
        <v>0</v>
      </c>
      <c r="U6223" s="41">
        <v>0</v>
      </c>
      <c r="V6223" s="42" t="s">
        <v>113</v>
      </c>
      <c r="W6223" s="42">
        <v>0</v>
      </c>
      <c r="X6223" s="42">
        <v>0</v>
      </c>
    </row>
    <row r="6224" spans="1:24">
      <c r="A6224" s="27" t="s">
        <v>11443</v>
      </c>
      <c r="B6224" s="28" t="s">
        <v>5102</v>
      </c>
      <c r="C6224" s="27" t="s">
        <v>11444</v>
      </c>
      <c r="D6224" s="27" t="s">
        <v>5104</v>
      </c>
      <c r="E6224" s="29">
        <v>43189</v>
      </c>
      <c r="F6224" s="27">
        <v>15</v>
      </c>
      <c r="G6224" s="18">
        <v>12402.4</v>
      </c>
      <c r="H6224" s="27">
        <f t="shared" si="194"/>
        <v>0</v>
      </c>
      <c r="I6224" s="18">
        <v>588.53</v>
      </c>
      <c r="J6224" s="27">
        <v>12402.4</v>
      </c>
      <c r="K6224" s="18">
        <f t="shared" si="195"/>
        <v>0</v>
      </c>
      <c r="L6224" s="27">
        <v>1374.06</v>
      </c>
      <c r="M6224" s="36">
        <v>785.53</v>
      </c>
      <c r="T6224" s="41">
        <v>0</v>
      </c>
      <c r="U6224" s="41">
        <v>0</v>
      </c>
      <c r="V6224" s="42" t="s">
        <v>113</v>
      </c>
      <c r="W6224" s="42">
        <v>0</v>
      </c>
      <c r="X6224" s="42">
        <v>0</v>
      </c>
    </row>
    <row r="6225" spans="1:24">
      <c r="A6225" s="27" t="s">
        <v>11445</v>
      </c>
      <c r="B6225" s="28" t="s">
        <v>5102</v>
      </c>
      <c r="C6225" s="27" t="s">
        <v>11444</v>
      </c>
      <c r="D6225" s="27" t="s">
        <v>5104</v>
      </c>
      <c r="E6225" s="29">
        <v>43189</v>
      </c>
      <c r="F6225" s="27">
        <v>15</v>
      </c>
      <c r="G6225" s="18">
        <v>66692.12</v>
      </c>
      <c r="H6225" s="27">
        <f t="shared" si="194"/>
        <v>0</v>
      </c>
      <c r="I6225" s="18">
        <v>3164.77</v>
      </c>
      <c r="J6225" s="27">
        <v>66692.12</v>
      </c>
      <c r="K6225" s="18">
        <f t="shared" si="195"/>
        <v>0</v>
      </c>
      <c r="L6225" s="27">
        <v>7388.82</v>
      </c>
      <c r="M6225" s="36">
        <v>4224.05</v>
      </c>
      <c r="T6225" s="41">
        <v>0</v>
      </c>
      <c r="U6225" s="41">
        <v>0</v>
      </c>
      <c r="V6225" s="42" t="s">
        <v>113</v>
      </c>
      <c r="W6225" s="42">
        <v>0</v>
      </c>
      <c r="X6225" s="42">
        <v>0</v>
      </c>
    </row>
    <row r="6226" spans="1:24">
      <c r="A6226" s="27" t="s">
        <v>11446</v>
      </c>
      <c r="B6226" s="28" t="s">
        <v>5102</v>
      </c>
      <c r="C6226" s="27" t="s">
        <v>11447</v>
      </c>
      <c r="D6226" s="27" t="s">
        <v>5104</v>
      </c>
      <c r="E6226" s="29">
        <v>43189</v>
      </c>
      <c r="F6226" s="27">
        <v>15</v>
      </c>
      <c r="G6226" s="18">
        <v>15267.81</v>
      </c>
      <c r="H6226" s="27">
        <f t="shared" si="194"/>
        <v>0</v>
      </c>
      <c r="I6226" s="18">
        <v>724.61</v>
      </c>
      <c r="J6226" s="27">
        <v>15267.81</v>
      </c>
      <c r="K6226" s="18">
        <f t="shared" si="195"/>
        <v>0</v>
      </c>
      <c r="L6226" s="27">
        <v>1691.61</v>
      </c>
      <c r="M6226" s="36">
        <v>967</v>
      </c>
      <c r="T6226" s="41">
        <v>0</v>
      </c>
      <c r="U6226" s="41">
        <v>0</v>
      </c>
      <c r="V6226" s="42" t="s">
        <v>113</v>
      </c>
      <c r="W6226" s="42">
        <v>0</v>
      </c>
      <c r="X6226" s="42">
        <v>0</v>
      </c>
    </row>
    <row r="6227" spans="1:24">
      <c r="A6227" s="27" t="s">
        <v>11448</v>
      </c>
      <c r="B6227" s="28" t="s">
        <v>5102</v>
      </c>
      <c r="C6227" s="27" t="s">
        <v>11449</v>
      </c>
      <c r="D6227" s="27" t="s">
        <v>5104</v>
      </c>
      <c r="E6227" s="29">
        <v>43189</v>
      </c>
      <c r="F6227" s="27">
        <v>15</v>
      </c>
      <c r="G6227" s="18">
        <v>228912.6</v>
      </c>
      <c r="H6227" s="27">
        <f t="shared" si="194"/>
        <v>0</v>
      </c>
      <c r="I6227" s="18">
        <v>10864.16</v>
      </c>
      <c r="J6227" s="27">
        <v>228912.6</v>
      </c>
      <c r="K6227" s="18">
        <f t="shared" si="195"/>
        <v>0</v>
      </c>
      <c r="L6227" s="27">
        <v>25362.6</v>
      </c>
      <c r="M6227" s="36">
        <v>14498.44</v>
      </c>
      <c r="T6227" s="41">
        <v>0</v>
      </c>
      <c r="U6227" s="41">
        <v>0</v>
      </c>
      <c r="V6227" s="42" t="s">
        <v>113</v>
      </c>
      <c r="W6227" s="42">
        <v>0</v>
      </c>
      <c r="X6227" s="42">
        <v>0</v>
      </c>
    </row>
    <row r="6228" spans="1:24">
      <c r="A6228" s="27" t="s">
        <v>11450</v>
      </c>
      <c r="B6228" s="28" t="s">
        <v>5102</v>
      </c>
      <c r="C6228" s="27" t="s">
        <v>11449</v>
      </c>
      <c r="D6228" s="27" t="s">
        <v>5104</v>
      </c>
      <c r="E6228" s="29">
        <v>43189</v>
      </c>
      <c r="F6228" s="27">
        <v>15</v>
      </c>
      <c r="G6228" s="18">
        <v>8052.2</v>
      </c>
      <c r="H6228" s="27">
        <f t="shared" si="194"/>
        <v>0</v>
      </c>
      <c r="I6228" s="18">
        <v>382.16</v>
      </c>
      <c r="J6228" s="27">
        <v>8052.2</v>
      </c>
      <c r="K6228" s="18">
        <f t="shared" si="195"/>
        <v>0</v>
      </c>
      <c r="L6228" s="27">
        <v>892.16</v>
      </c>
      <c r="M6228" s="36">
        <v>510</v>
      </c>
      <c r="T6228" s="41">
        <v>0</v>
      </c>
      <c r="U6228" s="41">
        <v>0</v>
      </c>
      <c r="V6228" s="42" t="s">
        <v>113</v>
      </c>
      <c r="W6228" s="42">
        <v>0</v>
      </c>
      <c r="X6228" s="42">
        <v>0</v>
      </c>
    </row>
    <row r="6229" spans="1:24">
      <c r="A6229" s="27" t="s">
        <v>11451</v>
      </c>
      <c r="B6229" s="28" t="s">
        <v>5102</v>
      </c>
      <c r="C6229" s="27" t="s">
        <v>11452</v>
      </c>
      <c r="D6229" s="27" t="s">
        <v>5104</v>
      </c>
      <c r="E6229" s="29">
        <v>43189</v>
      </c>
      <c r="F6229" s="27">
        <v>15</v>
      </c>
      <c r="G6229" s="18">
        <v>75920.759999999995</v>
      </c>
      <c r="H6229" s="27">
        <f t="shared" si="194"/>
        <v>0</v>
      </c>
      <c r="I6229" s="18">
        <v>3603.19</v>
      </c>
      <c r="J6229" s="27">
        <v>75920.759999999995</v>
      </c>
      <c r="K6229" s="18">
        <f t="shared" si="195"/>
        <v>0</v>
      </c>
      <c r="L6229" s="27">
        <v>8411.7199999999993</v>
      </c>
      <c r="M6229" s="36">
        <v>4808.53</v>
      </c>
      <c r="T6229" s="41">
        <v>0</v>
      </c>
      <c r="U6229" s="41">
        <v>0</v>
      </c>
      <c r="V6229" s="42" t="s">
        <v>113</v>
      </c>
      <c r="W6229" s="42">
        <v>0</v>
      </c>
      <c r="X6229" s="42">
        <v>0</v>
      </c>
    </row>
    <row r="6230" spans="1:24">
      <c r="A6230" s="27" t="s">
        <v>11453</v>
      </c>
      <c r="B6230" s="28" t="s">
        <v>5102</v>
      </c>
      <c r="C6230" s="27" t="s">
        <v>11454</v>
      </c>
      <c r="D6230" s="27" t="s">
        <v>5104</v>
      </c>
      <c r="E6230" s="29">
        <v>43189</v>
      </c>
      <c r="F6230" s="27">
        <v>15</v>
      </c>
      <c r="G6230" s="18">
        <v>67554.84</v>
      </c>
      <c r="H6230" s="27">
        <f t="shared" si="194"/>
        <v>0</v>
      </c>
      <c r="I6230" s="18">
        <v>3206.14</v>
      </c>
      <c r="J6230" s="27">
        <v>67554.84</v>
      </c>
      <c r="K6230" s="18">
        <f t="shared" si="195"/>
        <v>0</v>
      </c>
      <c r="L6230" s="27">
        <v>7484.8</v>
      </c>
      <c r="M6230" s="36">
        <v>4278.66</v>
      </c>
      <c r="T6230" s="41">
        <v>0</v>
      </c>
      <c r="U6230" s="41">
        <v>0</v>
      </c>
      <c r="V6230" s="42" t="s">
        <v>113</v>
      </c>
      <c r="W6230" s="42">
        <v>0</v>
      </c>
      <c r="X6230" s="42">
        <v>0</v>
      </c>
    </row>
    <row r="6231" spans="1:24">
      <c r="A6231" s="27" t="s">
        <v>11455</v>
      </c>
      <c r="B6231" s="28" t="s">
        <v>5102</v>
      </c>
      <c r="C6231" s="27" t="s">
        <v>11456</v>
      </c>
      <c r="D6231" s="27" t="s">
        <v>5104</v>
      </c>
      <c r="E6231" s="29">
        <v>43189</v>
      </c>
      <c r="F6231" s="27">
        <v>15</v>
      </c>
      <c r="G6231" s="18">
        <v>71319.5</v>
      </c>
      <c r="H6231" s="27">
        <f t="shared" si="194"/>
        <v>0</v>
      </c>
      <c r="I6231" s="18">
        <v>3384.82</v>
      </c>
      <c r="J6231" s="27">
        <v>71319.5</v>
      </c>
      <c r="K6231" s="18">
        <f t="shared" si="195"/>
        <v>0</v>
      </c>
      <c r="L6231" s="27">
        <v>7901.92</v>
      </c>
      <c r="M6231" s="36">
        <v>4517.1000000000004</v>
      </c>
      <c r="T6231" s="41">
        <v>0</v>
      </c>
      <c r="U6231" s="41">
        <v>0</v>
      </c>
      <c r="V6231" s="42" t="s">
        <v>113</v>
      </c>
      <c r="W6231" s="42">
        <v>0</v>
      </c>
      <c r="X6231" s="42">
        <v>0</v>
      </c>
    </row>
    <row r="6232" spans="1:24">
      <c r="A6232" s="27" t="s">
        <v>11457</v>
      </c>
      <c r="B6232" s="28" t="s">
        <v>5102</v>
      </c>
      <c r="C6232" s="27" t="s">
        <v>11458</v>
      </c>
      <c r="D6232" s="27" t="s">
        <v>5104</v>
      </c>
      <c r="E6232" s="29">
        <v>43189</v>
      </c>
      <c r="F6232" s="27">
        <v>15</v>
      </c>
      <c r="G6232" s="18">
        <v>9620.81</v>
      </c>
      <c r="H6232" s="27">
        <f t="shared" si="194"/>
        <v>0</v>
      </c>
      <c r="I6232" s="18">
        <v>456.6</v>
      </c>
      <c r="J6232" s="27">
        <v>9620.81</v>
      </c>
      <c r="K6232" s="18">
        <f t="shared" si="195"/>
        <v>0</v>
      </c>
      <c r="L6232" s="27">
        <v>1065.95</v>
      </c>
      <c r="M6232" s="36">
        <v>609.35</v>
      </c>
      <c r="T6232" s="41">
        <v>0</v>
      </c>
      <c r="U6232" s="41">
        <v>0</v>
      </c>
      <c r="V6232" s="42" t="s">
        <v>113</v>
      </c>
      <c r="W6232" s="42">
        <v>0</v>
      </c>
      <c r="X6232" s="42">
        <v>0</v>
      </c>
    </row>
    <row r="6233" spans="1:24">
      <c r="A6233" s="27" t="s">
        <v>11459</v>
      </c>
      <c r="B6233" s="28" t="s">
        <v>5102</v>
      </c>
      <c r="C6233" s="27" t="s">
        <v>11460</v>
      </c>
      <c r="D6233" s="27" t="s">
        <v>5104</v>
      </c>
      <c r="E6233" s="29">
        <v>43189</v>
      </c>
      <c r="F6233" s="27">
        <v>15</v>
      </c>
      <c r="G6233" s="18">
        <v>30535.63</v>
      </c>
      <c r="H6233" s="27">
        <f t="shared" si="194"/>
        <v>0</v>
      </c>
      <c r="I6233" s="18">
        <v>1449.21</v>
      </c>
      <c r="J6233" s="27">
        <v>30535.63</v>
      </c>
      <c r="K6233" s="18">
        <f t="shared" si="195"/>
        <v>0</v>
      </c>
      <c r="L6233" s="27">
        <v>3383.22</v>
      </c>
      <c r="M6233" s="36">
        <v>1934.01</v>
      </c>
      <c r="T6233" s="41">
        <v>0</v>
      </c>
      <c r="U6233" s="41">
        <v>0</v>
      </c>
      <c r="V6233" s="42" t="s">
        <v>113</v>
      </c>
      <c r="W6233" s="42">
        <v>0</v>
      </c>
      <c r="X6233" s="42">
        <v>0</v>
      </c>
    </row>
    <row r="6234" spans="1:24">
      <c r="A6234" s="27" t="s">
        <v>11461</v>
      </c>
      <c r="B6234" s="28" t="s">
        <v>5102</v>
      </c>
      <c r="C6234" s="27" t="s">
        <v>11462</v>
      </c>
      <c r="D6234" s="27" t="s">
        <v>5104</v>
      </c>
      <c r="E6234" s="29">
        <v>43189</v>
      </c>
      <c r="F6234" s="27">
        <v>15</v>
      </c>
      <c r="G6234" s="18">
        <v>8261.35</v>
      </c>
      <c r="H6234" s="27">
        <f t="shared" si="194"/>
        <v>0</v>
      </c>
      <c r="I6234" s="18">
        <v>392.08</v>
      </c>
      <c r="J6234" s="27">
        <v>8261.35</v>
      </c>
      <c r="K6234" s="18">
        <f t="shared" si="195"/>
        <v>0</v>
      </c>
      <c r="L6234" s="27">
        <v>915.32</v>
      </c>
      <c r="M6234" s="36">
        <v>523.24</v>
      </c>
      <c r="T6234" s="41">
        <v>0</v>
      </c>
      <c r="U6234" s="41">
        <v>0</v>
      </c>
      <c r="V6234" s="42" t="s">
        <v>113</v>
      </c>
      <c r="W6234" s="42">
        <v>0</v>
      </c>
      <c r="X6234" s="42">
        <v>0</v>
      </c>
    </row>
    <row r="6235" spans="1:24">
      <c r="A6235" s="27" t="s">
        <v>11463</v>
      </c>
      <c r="B6235" s="28" t="s">
        <v>5102</v>
      </c>
      <c r="C6235" s="27" t="s">
        <v>11464</v>
      </c>
      <c r="D6235" s="27" t="s">
        <v>5104</v>
      </c>
      <c r="E6235" s="29">
        <v>43189</v>
      </c>
      <c r="F6235" s="27">
        <v>15</v>
      </c>
      <c r="G6235" s="18">
        <v>59816.36</v>
      </c>
      <c r="H6235" s="27">
        <f t="shared" si="194"/>
        <v>0</v>
      </c>
      <c r="I6235" s="18">
        <v>2838.87</v>
      </c>
      <c r="J6235" s="27">
        <v>59816.36</v>
      </c>
      <c r="K6235" s="18">
        <f t="shared" si="195"/>
        <v>0</v>
      </c>
      <c r="L6235" s="27">
        <v>6627.41</v>
      </c>
      <c r="M6235" s="36">
        <v>3788.54</v>
      </c>
      <c r="T6235" s="41">
        <v>0</v>
      </c>
      <c r="U6235" s="41">
        <v>0</v>
      </c>
      <c r="V6235" s="42" t="s">
        <v>113</v>
      </c>
      <c r="W6235" s="42">
        <v>0</v>
      </c>
      <c r="X6235" s="42">
        <v>0</v>
      </c>
    </row>
    <row r="6236" spans="1:24">
      <c r="A6236" s="27" t="s">
        <v>11465</v>
      </c>
      <c r="B6236" s="28" t="s">
        <v>5102</v>
      </c>
      <c r="C6236" s="27" t="s">
        <v>11466</v>
      </c>
      <c r="D6236" s="27" t="s">
        <v>5104</v>
      </c>
      <c r="E6236" s="29">
        <v>43189</v>
      </c>
      <c r="F6236" s="27">
        <v>15</v>
      </c>
      <c r="G6236" s="18">
        <v>5981.07</v>
      </c>
      <c r="H6236" s="27">
        <f t="shared" si="194"/>
        <v>0</v>
      </c>
      <c r="I6236" s="18">
        <v>283.83</v>
      </c>
      <c r="J6236" s="27">
        <v>5981.07</v>
      </c>
      <c r="K6236" s="18">
        <f t="shared" si="195"/>
        <v>0</v>
      </c>
      <c r="L6236" s="27">
        <v>662.65</v>
      </c>
      <c r="M6236" s="36">
        <v>378.82</v>
      </c>
      <c r="T6236" s="41">
        <v>0</v>
      </c>
      <c r="U6236" s="41">
        <v>0</v>
      </c>
      <c r="V6236" s="42" t="s">
        <v>113</v>
      </c>
      <c r="W6236" s="42">
        <v>0</v>
      </c>
      <c r="X6236" s="42">
        <v>0</v>
      </c>
    </row>
    <row r="6237" spans="1:24">
      <c r="A6237" s="27" t="s">
        <v>11467</v>
      </c>
      <c r="B6237" s="28" t="s">
        <v>5102</v>
      </c>
      <c r="C6237" s="27" t="s">
        <v>11468</v>
      </c>
      <c r="D6237" s="27" t="s">
        <v>5104</v>
      </c>
      <c r="E6237" s="29">
        <v>43189</v>
      </c>
      <c r="F6237" s="27">
        <v>15</v>
      </c>
      <c r="G6237" s="18">
        <v>18352.87</v>
      </c>
      <c r="H6237" s="27">
        <f t="shared" si="194"/>
        <v>0</v>
      </c>
      <c r="I6237" s="18">
        <v>871.04</v>
      </c>
      <c r="J6237" s="27">
        <v>18352.87</v>
      </c>
      <c r="K6237" s="18">
        <f t="shared" si="195"/>
        <v>0</v>
      </c>
      <c r="L6237" s="27">
        <v>2033.44</v>
      </c>
      <c r="M6237" s="36">
        <v>1162.4000000000001</v>
      </c>
      <c r="T6237" s="41">
        <v>0</v>
      </c>
      <c r="U6237" s="41">
        <v>0</v>
      </c>
      <c r="V6237" s="42" t="s">
        <v>113</v>
      </c>
      <c r="W6237" s="42">
        <v>0</v>
      </c>
      <c r="X6237" s="42">
        <v>0</v>
      </c>
    </row>
    <row r="6238" spans="1:24">
      <c r="A6238" s="27" t="s">
        <v>11469</v>
      </c>
      <c r="B6238" s="28" t="s">
        <v>5102</v>
      </c>
      <c r="C6238" s="27" t="s">
        <v>11470</v>
      </c>
      <c r="D6238" s="27" t="s">
        <v>5104</v>
      </c>
      <c r="E6238" s="29">
        <v>43189</v>
      </c>
      <c r="F6238" s="27">
        <v>12</v>
      </c>
      <c r="G6238" s="18">
        <v>1356.12</v>
      </c>
      <c r="H6238" s="27">
        <f t="shared" si="194"/>
        <v>1356.12</v>
      </c>
      <c r="I6238" s="18">
        <v>1356.12</v>
      </c>
      <c r="J6238" s="27">
        <v>1356.12</v>
      </c>
      <c r="K6238" s="18">
        <f t="shared" si="195"/>
        <v>1356.12</v>
      </c>
      <c r="L6238" s="27">
        <v>1356.12</v>
      </c>
      <c r="M6238" s="36">
        <v>0</v>
      </c>
      <c r="T6238" s="41">
        <v>0</v>
      </c>
      <c r="U6238" s="41">
        <v>0</v>
      </c>
      <c r="V6238" s="42" t="s">
        <v>113</v>
      </c>
      <c r="W6238" s="42">
        <v>1356.12</v>
      </c>
      <c r="X6238" s="42">
        <v>1356.12</v>
      </c>
    </row>
    <row r="6239" spans="1:24">
      <c r="A6239" s="27" t="s">
        <v>11471</v>
      </c>
      <c r="B6239" s="28" t="s">
        <v>5102</v>
      </c>
      <c r="C6239" s="27" t="s">
        <v>11470</v>
      </c>
      <c r="D6239" s="27" t="s">
        <v>5104</v>
      </c>
      <c r="E6239" s="29">
        <v>43189</v>
      </c>
      <c r="F6239" s="27">
        <v>15</v>
      </c>
      <c r="G6239" s="18">
        <v>37971.440000000002</v>
      </c>
      <c r="H6239" s="27">
        <f t="shared" si="194"/>
        <v>0</v>
      </c>
      <c r="I6239" s="18">
        <v>1802.14</v>
      </c>
      <c r="J6239" s="27">
        <v>37971.440000000002</v>
      </c>
      <c r="K6239" s="18">
        <f t="shared" si="195"/>
        <v>0</v>
      </c>
      <c r="L6239" s="27">
        <v>4207.1000000000004</v>
      </c>
      <c r="M6239" s="36">
        <v>2404.96</v>
      </c>
      <c r="T6239" s="41">
        <v>0</v>
      </c>
      <c r="U6239" s="41">
        <v>0</v>
      </c>
      <c r="V6239" s="42" t="s">
        <v>113</v>
      </c>
      <c r="W6239" s="42">
        <v>0</v>
      </c>
      <c r="X6239" s="42">
        <v>0</v>
      </c>
    </row>
    <row r="6240" spans="1:24">
      <c r="A6240" s="27" t="s">
        <v>11472</v>
      </c>
      <c r="B6240" s="28" t="s">
        <v>5102</v>
      </c>
      <c r="C6240" s="27" t="s">
        <v>11473</v>
      </c>
      <c r="D6240" s="27" t="s">
        <v>5104</v>
      </c>
      <c r="E6240" s="29">
        <v>43189</v>
      </c>
      <c r="F6240" s="27">
        <v>15</v>
      </c>
      <c r="G6240" s="18">
        <v>6690.21</v>
      </c>
      <c r="H6240" s="27">
        <f t="shared" si="194"/>
        <v>0</v>
      </c>
      <c r="I6240" s="18">
        <v>317.52</v>
      </c>
      <c r="J6240" s="27">
        <v>6690.21</v>
      </c>
      <c r="K6240" s="18">
        <f t="shared" si="195"/>
        <v>0</v>
      </c>
      <c r="L6240" s="27">
        <v>741.25</v>
      </c>
      <c r="M6240" s="36">
        <v>423.73</v>
      </c>
      <c r="T6240" s="41">
        <v>0</v>
      </c>
      <c r="U6240" s="41">
        <v>0</v>
      </c>
      <c r="V6240" s="42" t="s">
        <v>113</v>
      </c>
      <c r="W6240" s="42">
        <v>0</v>
      </c>
      <c r="X6240" s="42">
        <v>0</v>
      </c>
    </row>
    <row r="6241" spans="1:24">
      <c r="A6241" s="27" t="s">
        <v>11474</v>
      </c>
      <c r="B6241" s="28" t="s">
        <v>5102</v>
      </c>
      <c r="C6241" s="27" t="s">
        <v>11475</v>
      </c>
      <c r="D6241" s="27" t="s">
        <v>5104</v>
      </c>
      <c r="E6241" s="29">
        <v>43189</v>
      </c>
      <c r="F6241" s="27">
        <v>12</v>
      </c>
      <c r="G6241" s="18">
        <v>4610.82</v>
      </c>
      <c r="H6241" s="27">
        <f t="shared" si="194"/>
        <v>4610.82</v>
      </c>
      <c r="I6241" s="18">
        <v>4610.82</v>
      </c>
      <c r="J6241" s="27">
        <v>4610.82</v>
      </c>
      <c r="K6241" s="18">
        <f t="shared" si="195"/>
        <v>4610.82</v>
      </c>
      <c r="L6241" s="27">
        <v>4610.82</v>
      </c>
      <c r="M6241" s="36">
        <v>0</v>
      </c>
      <c r="T6241" s="41">
        <v>0</v>
      </c>
      <c r="U6241" s="41">
        <v>0</v>
      </c>
      <c r="V6241" s="42" t="s">
        <v>113</v>
      </c>
      <c r="W6241" s="42">
        <v>4610.82</v>
      </c>
      <c r="X6241" s="42">
        <v>4610.82</v>
      </c>
    </row>
    <row r="6242" spans="1:24">
      <c r="A6242" s="27" t="s">
        <v>11476</v>
      </c>
      <c r="B6242" s="28" t="s">
        <v>5102</v>
      </c>
      <c r="C6242" s="27" t="s">
        <v>11477</v>
      </c>
      <c r="D6242" s="27" t="s">
        <v>5104</v>
      </c>
      <c r="E6242" s="29">
        <v>43189</v>
      </c>
      <c r="F6242" s="27">
        <v>15</v>
      </c>
      <c r="G6242" s="18">
        <v>29292.25</v>
      </c>
      <c r="H6242" s="27">
        <f t="shared" si="194"/>
        <v>0</v>
      </c>
      <c r="I6242" s="18">
        <v>1390.22</v>
      </c>
      <c r="J6242" s="27">
        <v>29292.25</v>
      </c>
      <c r="K6242" s="18">
        <f t="shared" si="195"/>
        <v>0</v>
      </c>
      <c r="L6242" s="27">
        <v>3245.48</v>
      </c>
      <c r="M6242" s="36">
        <v>1855.26</v>
      </c>
      <c r="T6242" s="41">
        <v>0</v>
      </c>
      <c r="U6242" s="41">
        <v>0</v>
      </c>
      <c r="V6242" s="42" t="s">
        <v>113</v>
      </c>
      <c r="W6242" s="42">
        <v>0</v>
      </c>
      <c r="X6242" s="42">
        <v>0</v>
      </c>
    </row>
    <row r="6243" spans="1:24">
      <c r="A6243" s="27" t="s">
        <v>11478</v>
      </c>
      <c r="B6243" s="28" t="s">
        <v>5102</v>
      </c>
      <c r="C6243" s="27" t="s">
        <v>11479</v>
      </c>
      <c r="D6243" s="27" t="s">
        <v>5104</v>
      </c>
      <c r="E6243" s="29">
        <v>43189</v>
      </c>
      <c r="F6243" s="27">
        <v>15</v>
      </c>
      <c r="G6243" s="18">
        <v>38785.129999999997</v>
      </c>
      <c r="H6243" s="27">
        <f t="shared" si="194"/>
        <v>0</v>
      </c>
      <c r="I6243" s="18">
        <v>1840.76</v>
      </c>
      <c r="J6243" s="27">
        <v>38785.129999999997</v>
      </c>
      <c r="K6243" s="18">
        <f t="shared" si="195"/>
        <v>0</v>
      </c>
      <c r="L6243" s="27">
        <v>4297.26</v>
      </c>
      <c r="M6243" s="36">
        <v>2456.5</v>
      </c>
      <c r="T6243" s="41">
        <v>0</v>
      </c>
      <c r="U6243" s="41">
        <v>0</v>
      </c>
      <c r="V6243" s="42" t="s">
        <v>113</v>
      </c>
      <c r="W6243" s="42">
        <v>0</v>
      </c>
      <c r="X6243" s="42">
        <v>0</v>
      </c>
    </row>
    <row r="6244" spans="1:24">
      <c r="A6244" s="27" t="s">
        <v>11480</v>
      </c>
      <c r="B6244" s="28" t="s">
        <v>5102</v>
      </c>
      <c r="C6244" s="27" t="s">
        <v>11481</v>
      </c>
      <c r="D6244" s="27" t="s">
        <v>5104</v>
      </c>
      <c r="E6244" s="29">
        <v>43189</v>
      </c>
      <c r="F6244" s="27">
        <v>15</v>
      </c>
      <c r="G6244" s="18">
        <v>124130.46</v>
      </c>
      <c r="H6244" s="27">
        <f t="shared" si="194"/>
        <v>0</v>
      </c>
      <c r="I6244" s="18">
        <v>5891.27</v>
      </c>
      <c r="J6244" s="27">
        <v>124130.46</v>
      </c>
      <c r="K6244" s="18">
        <f t="shared" si="195"/>
        <v>0</v>
      </c>
      <c r="L6244" s="27">
        <v>13753.21</v>
      </c>
      <c r="M6244" s="36">
        <v>7861.94</v>
      </c>
      <c r="T6244" s="41">
        <v>0</v>
      </c>
      <c r="U6244" s="41">
        <v>0</v>
      </c>
      <c r="V6244" s="42" t="s">
        <v>113</v>
      </c>
      <c r="W6244" s="42">
        <v>0</v>
      </c>
      <c r="X6244" s="42">
        <v>0</v>
      </c>
    </row>
    <row r="6245" spans="1:24">
      <c r="A6245" s="27" t="s">
        <v>11482</v>
      </c>
      <c r="B6245" s="28" t="s">
        <v>5102</v>
      </c>
      <c r="C6245" s="27" t="s">
        <v>11483</v>
      </c>
      <c r="D6245" s="27" t="s">
        <v>5104</v>
      </c>
      <c r="E6245" s="29">
        <v>43189</v>
      </c>
      <c r="F6245" s="27">
        <v>15</v>
      </c>
      <c r="G6245" s="18">
        <v>85345.35</v>
      </c>
      <c r="H6245" s="27">
        <f t="shared" si="194"/>
        <v>0</v>
      </c>
      <c r="I6245" s="18">
        <v>4050.52</v>
      </c>
      <c r="J6245" s="27">
        <v>85345.35</v>
      </c>
      <c r="K6245" s="18">
        <f t="shared" si="195"/>
        <v>0</v>
      </c>
      <c r="L6245" s="27">
        <v>9455.9599999999991</v>
      </c>
      <c r="M6245" s="36">
        <v>5405.44</v>
      </c>
      <c r="T6245" s="41">
        <v>0</v>
      </c>
      <c r="U6245" s="41">
        <v>0</v>
      </c>
      <c r="V6245" s="42" t="s">
        <v>113</v>
      </c>
      <c r="W6245" s="42">
        <v>0</v>
      </c>
      <c r="X6245" s="42">
        <v>0</v>
      </c>
    </row>
    <row r="6246" spans="1:24">
      <c r="A6246" s="27" t="s">
        <v>11484</v>
      </c>
      <c r="B6246" s="28" t="s">
        <v>5102</v>
      </c>
      <c r="C6246" s="27" t="s">
        <v>11483</v>
      </c>
      <c r="D6246" s="27" t="s">
        <v>5104</v>
      </c>
      <c r="E6246" s="29">
        <v>43189</v>
      </c>
      <c r="F6246" s="27">
        <v>15</v>
      </c>
      <c r="G6246" s="18">
        <v>8679.19</v>
      </c>
      <c r="H6246" s="27">
        <f t="shared" si="194"/>
        <v>0</v>
      </c>
      <c r="I6246" s="18">
        <v>411.91</v>
      </c>
      <c r="J6246" s="27">
        <v>8679.19</v>
      </c>
      <c r="K6246" s="18">
        <f t="shared" si="195"/>
        <v>0</v>
      </c>
      <c r="L6246" s="27">
        <v>961.62</v>
      </c>
      <c r="M6246" s="36">
        <v>549.71</v>
      </c>
      <c r="T6246" s="41">
        <v>0</v>
      </c>
      <c r="U6246" s="41">
        <v>0</v>
      </c>
      <c r="V6246" s="42" t="s">
        <v>113</v>
      </c>
      <c r="W6246" s="42">
        <v>0</v>
      </c>
      <c r="X6246" s="42">
        <v>0</v>
      </c>
    </row>
    <row r="6247" spans="1:24">
      <c r="A6247" s="27" t="s">
        <v>11485</v>
      </c>
      <c r="B6247" s="28" t="s">
        <v>5102</v>
      </c>
      <c r="C6247" s="27" t="s">
        <v>11486</v>
      </c>
      <c r="D6247" s="27" t="s">
        <v>5104</v>
      </c>
      <c r="E6247" s="29">
        <v>43189</v>
      </c>
      <c r="F6247" s="27">
        <v>15</v>
      </c>
      <c r="G6247" s="18">
        <v>85164.53</v>
      </c>
      <c r="H6247" s="27">
        <f t="shared" si="194"/>
        <v>0</v>
      </c>
      <c r="I6247" s="18">
        <v>4041.93</v>
      </c>
      <c r="J6247" s="27">
        <v>85164.53</v>
      </c>
      <c r="K6247" s="18">
        <f t="shared" si="195"/>
        <v>0</v>
      </c>
      <c r="L6247" s="27">
        <v>9435.92</v>
      </c>
      <c r="M6247" s="36">
        <v>5393.99</v>
      </c>
      <c r="T6247" s="41">
        <v>0</v>
      </c>
      <c r="U6247" s="41">
        <v>0</v>
      </c>
      <c r="V6247" s="42" t="s">
        <v>113</v>
      </c>
      <c r="W6247" s="42">
        <v>0</v>
      </c>
      <c r="X6247" s="42">
        <v>0</v>
      </c>
    </row>
    <row r="6248" spans="1:24">
      <c r="A6248" s="27" t="s">
        <v>11487</v>
      </c>
      <c r="B6248" s="28" t="s">
        <v>5102</v>
      </c>
      <c r="C6248" s="27" t="s">
        <v>11488</v>
      </c>
      <c r="D6248" s="27" t="s">
        <v>5104</v>
      </c>
      <c r="E6248" s="29">
        <v>43189</v>
      </c>
      <c r="F6248" s="27">
        <v>15</v>
      </c>
      <c r="G6248" s="18">
        <v>216708.47</v>
      </c>
      <c r="H6248" s="27">
        <f t="shared" si="194"/>
        <v>0</v>
      </c>
      <c r="I6248" s="18">
        <v>10285.049999999999</v>
      </c>
      <c r="J6248" s="27">
        <v>216708.47</v>
      </c>
      <c r="K6248" s="18">
        <f t="shared" si="195"/>
        <v>0</v>
      </c>
      <c r="L6248" s="27">
        <v>24010.52</v>
      </c>
      <c r="M6248" s="36">
        <v>13725.47</v>
      </c>
      <c r="T6248" s="41">
        <v>0</v>
      </c>
      <c r="U6248" s="41">
        <v>0</v>
      </c>
      <c r="V6248" s="42" t="s">
        <v>113</v>
      </c>
      <c r="W6248" s="42">
        <v>0</v>
      </c>
      <c r="X6248" s="42">
        <v>0</v>
      </c>
    </row>
    <row r="6249" spans="1:24">
      <c r="A6249" s="27" t="s">
        <v>11489</v>
      </c>
      <c r="B6249" s="28" t="s">
        <v>5102</v>
      </c>
      <c r="C6249" s="27" t="s">
        <v>11490</v>
      </c>
      <c r="D6249" s="27" t="s">
        <v>5104</v>
      </c>
      <c r="E6249" s="29">
        <v>43189</v>
      </c>
      <c r="F6249" s="27">
        <v>15</v>
      </c>
      <c r="G6249" s="18">
        <v>49814.92</v>
      </c>
      <c r="H6249" s="27">
        <f t="shared" si="194"/>
        <v>0</v>
      </c>
      <c r="I6249" s="18">
        <v>2364.2399999999998</v>
      </c>
      <c r="J6249" s="27">
        <v>49814.92</v>
      </c>
      <c r="K6249" s="18">
        <f t="shared" si="195"/>
        <v>0</v>
      </c>
      <c r="L6249" s="27">
        <v>5519.32</v>
      </c>
      <c r="M6249" s="36">
        <v>3155.08</v>
      </c>
      <c r="T6249" s="41">
        <v>0</v>
      </c>
      <c r="U6249" s="41">
        <v>0</v>
      </c>
      <c r="V6249" s="42" t="s">
        <v>113</v>
      </c>
      <c r="W6249" s="42">
        <v>0</v>
      </c>
      <c r="X6249" s="42">
        <v>0</v>
      </c>
    </row>
    <row r="6250" spans="1:24">
      <c r="A6250" s="27" t="s">
        <v>11491</v>
      </c>
      <c r="B6250" s="28" t="s">
        <v>5102</v>
      </c>
      <c r="C6250" s="27" t="s">
        <v>11488</v>
      </c>
      <c r="D6250" s="27" t="s">
        <v>5104</v>
      </c>
      <c r="E6250" s="29">
        <v>43189</v>
      </c>
      <c r="F6250" s="27">
        <v>15</v>
      </c>
      <c r="G6250" s="18">
        <v>11753.06</v>
      </c>
      <c r="H6250" s="27">
        <f t="shared" si="194"/>
        <v>0</v>
      </c>
      <c r="I6250" s="18">
        <v>557.79999999999995</v>
      </c>
      <c r="J6250" s="27">
        <v>11753.06</v>
      </c>
      <c r="K6250" s="18">
        <f t="shared" si="195"/>
        <v>0</v>
      </c>
      <c r="L6250" s="27">
        <v>1302.19</v>
      </c>
      <c r="M6250" s="36">
        <v>744.39</v>
      </c>
      <c r="T6250" s="41">
        <v>0</v>
      </c>
      <c r="U6250" s="41">
        <v>0</v>
      </c>
      <c r="V6250" s="42" t="s">
        <v>113</v>
      </c>
      <c r="W6250" s="42">
        <v>0</v>
      </c>
      <c r="X6250" s="42">
        <v>0</v>
      </c>
    </row>
    <row r="6251" spans="1:24">
      <c r="A6251" s="27" t="s">
        <v>11492</v>
      </c>
      <c r="B6251" s="28" t="s">
        <v>5102</v>
      </c>
      <c r="C6251" s="27" t="s">
        <v>11493</v>
      </c>
      <c r="D6251" s="27" t="s">
        <v>5104</v>
      </c>
      <c r="E6251" s="29">
        <v>43521</v>
      </c>
      <c r="F6251" s="27">
        <v>15</v>
      </c>
      <c r="G6251" s="18">
        <v>0</v>
      </c>
      <c r="H6251" s="27">
        <f t="shared" si="194"/>
        <v>0</v>
      </c>
      <c r="I6251" s="18">
        <v>0</v>
      </c>
      <c r="J6251" s="27">
        <v>48783.37</v>
      </c>
      <c r="K6251" s="18">
        <f t="shared" si="195"/>
        <v>0</v>
      </c>
      <c r="L6251" s="27">
        <v>2574.6799999999998</v>
      </c>
      <c r="M6251" s="36">
        <v>2574.6799999999998</v>
      </c>
      <c r="N6251" s="18" t="s">
        <v>123</v>
      </c>
      <c r="O6251" s="19">
        <v>48783.37</v>
      </c>
      <c r="T6251" s="41">
        <v>0</v>
      </c>
      <c r="U6251" s="41">
        <v>0</v>
      </c>
      <c r="V6251" s="42" t="s">
        <v>113</v>
      </c>
      <c r="W6251" s="42">
        <v>0</v>
      </c>
      <c r="X6251" s="42">
        <v>0</v>
      </c>
    </row>
    <row r="6252" spans="1:24">
      <c r="A6252" s="27" t="s">
        <v>11494</v>
      </c>
      <c r="B6252" s="28" t="s">
        <v>5102</v>
      </c>
      <c r="C6252" s="27" t="s">
        <v>11495</v>
      </c>
      <c r="D6252" s="27" t="s">
        <v>5104</v>
      </c>
      <c r="E6252" s="29">
        <v>43521</v>
      </c>
      <c r="F6252" s="27">
        <v>15</v>
      </c>
      <c r="G6252" s="18">
        <v>0</v>
      </c>
      <c r="H6252" s="27">
        <f t="shared" si="194"/>
        <v>0</v>
      </c>
      <c r="I6252" s="18">
        <v>0</v>
      </c>
      <c r="J6252" s="27">
        <v>193619.98</v>
      </c>
      <c r="K6252" s="18">
        <f t="shared" si="195"/>
        <v>0</v>
      </c>
      <c r="L6252" s="27">
        <v>10218.83</v>
      </c>
      <c r="M6252" s="36">
        <v>10218.83</v>
      </c>
      <c r="N6252" s="18" t="s">
        <v>123</v>
      </c>
      <c r="O6252" s="19">
        <v>193619.98</v>
      </c>
      <c r="T6252" s="41">
        <v>0</v>
      </c>
      <c r="U6252" s="41">
        <v>0</v>
      </c>
      <c r="V6252" s="42" t="s">
        <v>113</v>
      </c>
      <c r="W6252" s="42">
        <v>0</v>
      </c>
      <c r="X6252" s="42">
        <v>0</v>
      </c>
    </row>
    <row r="6253" spans="1:24">
      <c r="A6253" s="27" t="s">
        <v>11496</v>
      </c>
      <c r="B6253" s="28" t="s">
        <v>5102</v>
      </c>
      <c r="C6253" s="27" t="s">
        <v>11497</v>
      </c>
      <c r="D6253" s="27" t="s">
        <v>5104</v>
      </c>
      <c r="E6253" s="29">
        <v>43521</v>
      </c>
      <c r="F6253" s="27">
        <v>15</v>
      </c>
      <c r="G6253" s="18">
        <v>0</v>
      </c>
      <c r="H6253" s="27">
        <f t="shared" si="194"/>
        <v>0</v>
      </c>
      <c r="I6253" s="18">
        <v>0</v>
      </c>
      <c r="J6253" s="27">
        <v>61039.21</v>
      </c>
      <c r="K6253" s="18">
        <f t="shared" si="195"/>
        <v>0</v>
      </c>
      <c r="L6253" s="27">
        <v>3221.51</v>
      </c>
      <c r="M6253" s="36">
        <v>3221.51</v>
      </c>
      <c r="N6253" s="18" t="s">
        <v>123</v>
      </c>
      <c r="O6253" s="19">
        <v>61039.21</v>
      </c>
      <c r="T6253" s="41">
        <v>0</v>
      </c>
      <c r="U6253" s="41">
        <v>0</v>
      </c>
      <c r="V6253" s="42" t="s">
        <v>113</v>
      </c>
      <c r="W6253" s="42">
        <v>0</v>
      </c>
      <c r="X6253" s="42">
        <v>0</v>
      </c>
    </row>
    <row r="6254" spans="1:24">
      <c r="A6254" s="27" t="s">
        <v>11498</v>
      </c>
      <c r="B6254" s="28" t="s">
        <v>5102</v>
      </c>
      <c r="C6254" s="27" t="s">
        <v>11499</v>
      </c>
      <c r="D6254" s="27" t="s">
        <v>5104</v>
      </c>
      <c r="E6254" s="29">
        <v>43521</v>
      </c>
      <c r="F6254" s="27">
        <v>15</v>
      </c>
      <c r="G6254" s="18">
        <v>0</v>
      </c>
      <c r="H6254" s="27">
        <f t="shared" si="194"/>
        <v>0</v>
      </c>
      <c r="I6254" s="18">
        <v>0</v>
      </c>
      <c r="J6254" s="27">
        <v>26062.1</v>
      </c>
      <c r="K6254" s="18">
        <f t="shared" si="195"/>
        <v>0</v>
      </c>
      <c r="L6254" s="27">
        <v>1375.5</v>
      </c>
      <c r="M6254" s="36">
        <v>1375.5</v>
      </c>
      <c r="N6254" s="18" t="s">
        <v>123</v>
      </c>
      <c r="O6254" s="19">
        <v>26062.1</v>
      </c>
      <c r="T6254" s="41">
        <v>0</v>
      </c>
      <c r="U6254" s="41">
        <v>0</v>
      </c>
      <c r="V6254" s="42" t="s">
        <v>113</v>
      </c>
      <c r="W6254" s="42">
        <v>0</v>
      </c>
      <c r="X6254" s="42">
        <v>0</v>
      </c>
    </row>
    <row r="6255" spans="1:24">
      <c r="A6255" s="27" t="s">
        <v>11500</v>
      </c>
      <c r="B6255" s="28" t="s">
        <v>5102</v>
      </c>
      <c r="C6255" s="27" t="s">
        <v>11501</v>
      </c>
      <c r="D6255" s="27" t="s">
        <v>5104</v>
      </c>
      <c r="E6255" s="29">
        <v>43521</v>
      </c>
      <c r="F6255" s="27">
        <v>15</v>
      </c>
      <c r="G6255" s="18">
        <v>0</v>
      </c>
      <c r="H6255" s="27">
        <f t="shared" si="194"/>
        <v>0</v>
      </c>
      <c r="I6255" s="18">
        <v>0</v>
      </c>
      <c r="J6255" s="27">
        <v>64786.09</v>
      </c>
      <c r="K6255" s="18">
        <f t="shared" si="195"/>
        <v>0</v>
      </c>
      <c r="L6255" s="27">
        <v>3419.27</v>
      </c>
      <c r="M6255" s="36">
        <v>3419.27</v>
      </c>
      <c r="N6255" s="18" t="s">
        <v>123</v>
      </c>
      <c r="O6255" s="19">
        <v>64786.09</v>
      </c>
      <c r="T6255" s="41">
        <v>0</v>
      </c>
      <c r="U6255" s="41">
        <v>0</v>
      </c>
      <c r="V6255" s="42" t="s">
        <v>113</v>
      </c>
      <c r="W6255" s="42">
        <v>0</v>
      </c>
      <c r="X6255" s="42">
        <v>0</v>
      </c>
    </row>
    <row r="6256" spans="1:24">
      <c r="A6256" s="27" t="s">
        <v>11502</v>
      </c>
      <c r="B6256" s="28" t="s">
        <v>5102</v>
      </c>
      <c r="C6256" s="27" t="s">
        <v>11503</v>
      </c>
      <c r="D6256" s="27" t="s">
        <v>5104</v>
      </c>
      <c r="E6256" s="29">
        <v>43521</v>
      </c>
      <c r="F6256" s="27">
        <v>15</v>
      </c>
      <c r="G6256" s="18">
        <v>0</v>
      </c>
      <c r="H6256" s="27">
        <f t="shared" si="194"/>
        <v>0</v>
      </c>
      <c r="I6256" s="18">
        <v>0</v>
      </c>
      <c r="J6256" s="27">
        <v>33888.11</v>
      </c>
      <c r="K6256" s="18">
        <f t="shared" si="195"/>
        <v>0</v>
      </c>
      <c r="L6256" s="27">
        <v>1788.54</v>
      </c>
      <c r="M6256" s="36">
        <v>1788.54</v>
      </c>
      <c r="N6256" s="18" t="s">
        <v>123</v>
      </c>
      <c r="O6256" s="19">
        <v>33888.11</v>
      </c>
      <c r="T6256" s="41">
        <v>0</v>
      </c>
      <c r="U6256" s="41">
        <v>0</v>
      </c>
      <c r="V6256" s="42" t="s">
        <v>113</v>
      </c>
      <c r="W6256" s="42">
        <v>0</v>
      </c>
      <c r="X6256" s="42">
        <v>0</v>
      </c>
    </row>
    <row r="6257" spans="1:24">
      <c r="A6257" s="27" t="s">
        <v>11504</v>
      </c>
      <c r="B6257" s="28" t="s">
        <v>5102</v>
      </c>
      <c r="C6257" s="27" t="s">
        <v>11505</v>
      </c>
      <c r="D6257" s="27" t="s">
        <v>5104</v>
      </c>
      <c r="E6257" s="29">
        <v>43521</v>
      </c>
      <c r="F6257" s="27">
        <v>15</v>
      </c>
      <c r="G6257" s="18">
        <v>0</v>
      </c>
      <c r="H6257" s="27">
        <f t="shared" si="194"/>
        <v>0</v>
      </c>
      <c r="I6257" s="18">
        <v>0</v>
      </c>
      <c r="J6257" s="27">
        <v>69474.320000000007</v>
      </c>
      <c r="K6257" s="18">
        <f t="shared" si="195"/>
        <v>0</v>
      </c>
      <c r="L6257" s="27">
        <v>3666.7</v>
      </c>
      <c r="M6257" s="36">
        <v>3666.7</v>
      </c>
      <c r="N6257" s="18" t="s">
        <v>123</v>
      </c>
      <c r="O6257" s="19">
        <v>69474.320000000007</v>
      </c>
      <c r="T6257" s="41">
        <v>0</v>
      </c>
      <c r="U6257" s="41">
        <v>0</v>
      </c>
      <c r="V6257" s="42" t="s">
        <v>113</v>
      </c>
      <c r="W6257" s="42">
        <v>0</v>
      </c>
      <c r="X6257" s="42">
        <v>0</v>
      </c>
    </row>
    <row r="6258" spans="1:24">
      <c r="A6258" s="27" t="s">
        <v>11506</v>
      </c>
      <c r="B6258" s="28" t="s">
        <v>5102</v>
      </c>
      <c r="C6258" s="27" t="s">
        <v>11507</v>
      </c>
      <c r="D6258" s="27" t="s">
        <v>5104</v>
      </c>
      <c r="E6258" s="29">
        <v>43521</v>
      </c>
      <c r="F6258" s="27">
        <v>15</v>
      </c>
      <c r="G6258" s="18">
        <v>0</v>
      </c>
      <c r="H6258" s="27">
        <f t="shared" si="194"/>
        <v>0</v>
      </c>
      <c r="I6258" s="18">
        <v>0</v>
      </c>
      <c r="J6258" s="27">
        <v>96200.89</v>
      </c>
      <c r="K6258" s="18">
        <f t="shared" si="195"/>
        <v>0</v>
      </c>
      <c r="L6258" s="27">
        <v>5077.2700000000004</v>
      </c>
      <c r="M6258" s="36">
        <v>5077.2700000000004</v>
      </c>
      <c r="N6258" s="18" t="s">
        <v>123</v>
      </c>
      <c r="O6258" s="19">
        <v>96200.89</v>
      </c>
      <c r="T6258" s="41">
        <v>0</v>
      </c>
      <c r="U6258" s="41">
        <v>0</v>
      </c>
      <c r="V6258" s="42" t="s">
        <v>113</v>
      </c>
      <c r="W6258" s="42">
        <v>0</v>
      </c>
      <c r="X6258" s="42">
        <v>0</v>
      </c>
    </row>
    <row r="6259" spans="1:24">
      <c r="A6259" s="27" t="s">
        <v>11508</v>
      </c>
      <c r="B6259" s="28" t="s">
        <v>5102</v>
      </c>
      <c r="C6259" s="27" t="s">
        <v>11509</v>
      </c>
      <c r="D6259" s="27" t="s">
        <v>5104</v>
      </c>
      <c r="E6259" s="29">
        <v>43521</v>
      </c>
      <c r="F6259" s="27">
        <v>15</v>
      </c>
      <c r="G6259" s="18">
        <v>0</v>
      </c>
      <c r="H6259" s="27">
        <f t="shared" si="194"/>
        <v>0</v>
      </c>
      <c r="I6259" s="18">
        <v>0</v>
      </c>
      <c r="J6259" s="27">
        <v>94133.64</v>
      </c>
      <c r="K6259" s="18">
        <f t="shared" si="195"/>
        <v>0</v>
      </c>
      <c r="L6259" s="27">
        <v>4968.16</v>
      </c>
      <c r="M6259" s="36">
        <v>4968.16</v>
      </c>
      <c r="N6259" s="18" t="s">
        <v>123</v>
      </c>
      <c r="O6259" s="19">
        <v>94133.64</v>
      </c>
      <c r="T6259" s="41">
        <v>0</v>
      </c>
      <c r="U6259" s="41">
        <v>0</v>
      </c>
      <c r="V6259" s="42" t="s">
        <v>113</v>
      </c>
      <c r="W6259" s="42">
        <v>0</v>
      </c>
      <c r="X6259" s="42">
        <v>0</v>
      </c>
    </row>
    <row r="6260" spans="1:24">
      <c r="A6260" s="27" t="s">
        <v>11510</v>
      </c>
      <c r="B6260" s="28" t="s">
        <v>5102</v>
      </c>
      <c r="C6260" s="27" t="s">
        <v>11511</v>
      </c>
      <c r="D6260" s="27" t="s">
        <v>5104</v>
      </c>
      <c r="E6260" s="29">
        <v>43521</v>
      </c>
      <c r="F6260" s="27">
        <v>15</v>
      </c>
      <c r="G6260" s="18">
        <v>0</v>
      </c>
      <c r="H6260" s="27">
        <f t="shared" si="194"/>
        <v>0</v>
      </c>
      <c r="I6260" s="18">
        <v>0</v>
      </c>
      <c r="J6260" s="27">
        <v>52714.84</v>
      </c>
      <c r="K6260" s="18">
        <f t="shared" si="195"/>
        <v>0</v>
      </c>
      <c r="L6260" s="27">
        <v>2782.17</v>
      </c>
      <c r="M6260" s="36">
        <v>2782.17</v>
      </c>
      <c r="N6260" s="18" t="s">
        <v>123</v>
      </c>
      <c r="O6260" s="19">
        <v>52714.84</v>
      </c>
      <c r="T6260" s="41">
        <v>0</v>
      </c>
      <c r="U6260" s="41">
        <v>0</v>
      </c>
      <c r="V6260" s="42" t="s">
        <v>113</v>
      </c>
      <c r="W6260" s="42">
        <v>0</v>
      </c>
      <c r="X6260" s="42">
        <v>0</v>
      </c>
    </row>
    <row r="6261" spans="1:24">
      <c r="A6261" s="27" t="s">
        <v>11512</v>
      </c>
      <c r="B6261" s="28" t="s">
        <v>5102</v>
      </c>
      <c r="C6261" s="27" t="s">
        <v>11513</v>
      </c>
      <c r="D6261" s="27" t="s">
        <v>5104</v>
      </c>
      <c r="E6261" s="29">
        <v>43521</v>
      </c>
      <c r="F6261" s="27">
        <v>15</v>
      </c>
      <c r="G6261" s="18">
        <v>0</v>
      </c>
      <c r="H6261" s="27">
        <f t="shared" si="194"/>
        <v>0</v>
      </c>
      <c r="I6261" s="18">
        <v>0</v>
      </c>
      <c r="J6261" s="27">
        <v>420832.75</v>
      </c>
      <c r="K6261" s="18">
        <f t="shared" si="195"/>
        <v>0</v>
      </c>
      <c r="L6261" s="27">
        <v>22210.62</v>
      </c>
      <c r="M6261" s="36">
        <v>22210.62</v>
      </c>
      <c r="N6261" s="18" t="s">
        <v>123</v>
      </c>
      <c r="O6261" s="19">
        <v>420832.75</v>
      </c>
      <c r="T6261" s="41">
        <v>0</v>
      </c>
      <c r="U6261" s="41">
        <v>0</v>
      </c>
      <c r="V6261" s="42" t="s">
        <v>113</v>
      </c>
      <c r="W6261" s="42">
        <v>0</v>
      </c>
      <c r="X6261" s="42">
        <v>0</v>
      </c>
    </row>
    <row r="6262" spans="1:24">
      <c r="A6262" s="27" t="s">
        <v>11514</v>
      </c>
      <c r="B6262" s="28" t="s">
        <v>5102</v>
      </c>
      <c r="C6262" s="27" t="s">
        <v>11515</v>
      </c>
      <c r="D6262" s="27" t="s">
        <v>5104</v>
      </c>
      <c r="E6262" s="29">
        <v>43521</v>
      </c>
      <c r="F6262" s="27">
        <v>15</v>
      </c>
      <c r="G6262" s="18">
        <v>0</v>
      </c>
      <c r="H6262" s="27">
        <f t="shared" si="194"/>
        <v>0</v>
      </c>
      <c r="I6262" s="18">
        <v>0</v>
      </c>
      <c r="J6262" s="27">
        <v>40163.69</v>
      </c>
      <c r="K6262" s="18">
        <f t="shared" si="195"/>
        <v>0</v>
      </c>
      <c r="L6262" s="27">
        <v>2119.75</v>
      </c>
      <c r="M6262" s="36">
        <v>2119.75</v>
      </c>
      <c r="N6262" s="18" t="s">
        <v>123</v>
      </c>
      <c r="O6262" s="19">
        <v>40163.69</v>
      </c>
      <c r="T6262" s="41">
        <v>0</v>
      </c>
      <c r="U6262" s="41">
        <v>0</v>
      </c>
      <c r="V6262" s="42" t="s">
        <v>113</v>
      </c>
      <c r="W6262" s="42">
        <v>0</v>
      </c>
      <c r="X6262" s="42">
        <v>0</v>
      </c>
    </row>
    <row r="6263" spans="1:24">
      <c r="A6263" s="27" t="s">
        <v>11516</v>
      </c>
      <c r="B6263" s="28" t="s">
        <v>5102</v>
      </c>
      <c r="C6263" s="27" t="s">
        <v>11517</v>
      </c>
      <c r="D6263" s="27" t="s">
        <v>5104</v>
      </c>
      <c r="E6263" s="29">
        <v>43521</v>
      </c>
      <c r="F6263" s="27">
        <v>15</v>
      </c>
      <c r="G6263" s="18">
        <v>0</v>
      </c>
      <c r="H6263" s="27">
        <f t="shared" si="194"/>
        <v>0</v>
      </c>
      <c r="I6263" s="18">
        <v>0</v>
      </c>
      <c r="J6263" s="27">
        <v>71430.820000000007</v>
      </c>
      <c r="K6263" s="18">
        <f t="shared" si="195"/>
        <v>0</v>
      </c>
      <c r="L6263" s="27">
        <v>3769.96</v>
      </c>
      <c r="M6263" s="36">
        <v>3769.96</v>
      </c>
      <c r="N6263" s="18" t="s">
        <v>123</v>
      </c>
      <c r="O6263" s="19">
        <v>71430.820000000007</v>
      </c>
      <c r="T6263" s="41">
        <v>0</v>
      </c>
      <c r="U6263" s="41">
        <v>0</v>
      </c>
      <c r="V6263" s="42" t="s">
        <v>113</v>
      </c>
      <c r="W6263" s="42">
        <v>0</v>
      </c>
      <c r="X6263" s="42">
        <v>0</v>
      </c>
    </row>
    <row r="6264" spans="1:24">
      <c r="A6264" s="27" t="s">
        <v>11518</v>
      </c>
      <c r="B6264" s="28" t="s">
        <v>5102</v>
      </c>
      <c r="C6264" s="27" t="s">
        <v>11519</v>
      </c>
      <c r="D6264" s="27" t="s">
        <v>5104</v>
      </c>
      <c r="E6264" s="29">
        <v>43521</v>
      </c>
      <c r="F6264" s="27">
        <v>15</v>
      </c>
      <c r="G6264" s="18">
        <v>0</v>
      </c>
      <c r="H6264" s="27">
        <f t="shared" si="194"/>
        <v>0</v>
      </c>
      <c r="I6264" s="18">
        <v>0</v>
      </c>
      <c r="J6264" s="27">
        <v>23256.55</v>
      </c>
      <c r="K6264" s="18">
        <f t="shared" si="195"/>
        <v>0</v>
      </c>
      <c r="L6264" s="27">
        <v>1227.43</v>
      </c>
      <c r="M6264" s="36">
        <v>1227.43</v>
      </c>
      <c r="N6264" s="18" t="s">
        <v>123</v>
      </c>
      <c r="O6264" s="19">
        <v>23256.55</v>
      </c>
      <c r="T6264" s="41">
        <v>0</v>
      </c>
      <c r="U6264" s="41">
        <v>0</v>
      </c>
      <c r="V6264" s="42" t="s">
        <v>113</v>
      </c>
      <c r="W6264" s="42">
        <v>0</v>
      </c>
      <c r="X6264" s="42">
        <v>0</v>
      </c>
    </row>
    <row r="6265" spans="1:24">
      <c r="A6265" s="27" t="s">
        <v>11520</v>
      </c>
      <c r="B6265" s="28" t="s">
        <v>5102</v>
      </c>
      <c r="C6265" s="27" t="s">
        <v>11521</v>
      </c>
      <c r="D6265" s="27" t="s">
        <v>5104</v>
      </c>
      <c r="E6265" s="29">
        <v>43521</v>
      </c>
      <c r="F6265" s="27">
        <v>15</v>
      </c>
      <c r="G6265" s="18">
        <v>0</v>
      </c>
      <c r="H6265" s="27">
        <f t="shared" si="194"/>
        <v>0</v>
      </c>
      <c r="I6265" s="18">
        <v>0</v>
      </c>
      <c r="J6265" s="27">
        <v>124127.2</v>
      </c>
      <c r="K6265" s="18">
        <f t="shared" si="195"/>
        <v>0</v>
      </c>
      <c r="L6265" s="27">
        <v>6551.16</v>
      </c>
      <c r="M6265" s="36">
        <v>6551.16</v>
      </c>
      <c r="N6265" s="18" t="s">
        <v>123</v>
      </c>
      <c r="O6265" s="19">
        <v>124127.2</v>
      </c>
      <c r="T6265" s="41">
        <v>0</v>
      </c>
      <c r="U6265" s="41">
        <v>0</v>
      </c>
      <c r="V6265" s="42" t="s">
        <v>113</v>
      </c>
      <c r="W6265" s="42">
        <v>0</v>
      </c>
      <c r="X6265" s="42">
        <v>0</v>
      </c>
    </row>
    <row r="6266" spans="1:24">
      <c r="A6266" s="27" t="s">
        <v>11522</v>
      </c>
      <c r="B6266" s="28" t="s">
        <v>5102</v>
      </c>
      <c r="C6266" s="27" t="s">
        <v>11523</v>
      </c>
      <c r="D6266" s="27" t="s">
        <v>5104</v>
      </c>
      <c r="E6266" s="29">
        <v>43521</v>
      </c>
      <c r="F6266" s="27">
        <v>15</v>
      </c>
      <c r="G6266" s="18">
        <v>0</v>
      </c>
      <c r="H6266" s="27">
        <f t="shared" si="194"/>
        <v>0</v>
      </c>
      <c r="I6266" s="18">
        <v>0</v>
      </c>
      <c r="J6266" s="27">
        <v>60725.43</v>
      </c>
      <c r="K6266" s="18">
        <f t="shared" si="195"/>
        <v>0</v>
      </c>
      <c r="L6266" s="27">
        <v>3204.95</v>
      </c>
      <c r="M6266" s="36">
        <v>3204.95</v>
      </c>
      <c r="N6266" s="18" t="s">
        <v>123</v>
      </c>
      <c r="O6266" s="19">
        <v>60725.43</v>
      </c>
      <c r="T6266" s="41">
        <v>0</v>
      </c>
      <c r="U6266" s="41">
        <v>0</v>
      </c>
      <c r="V6266" s="42" t="s">
        <v>113</v>
      </c>
      <c r="W6266" s="42">
        <v>0</v>
      </c>
      <c r="X6266" s="42">
        <v>0</v>
      </c>
    </row>
    <row r="6267" spans="1:24">
      <c r="A6267" s="27" t="s">
        <v>11524</v>
      </c>
      <c r="B6267" s="28" t="s">
        <v>5102</v>
      </c>
      <c r="C6267" s="27" t="s">
        <v>11525</v>
      </c>
      <c r="D6267" s="27" t="s">
        <v>5104</v>
      </c>
      <c r="E6267" s="29">
        <v>43521</v>
      </c>
      <c r="F6267" s="27">
        <v>15</v>
      </c>
      <c r="G6267" s="18">
        <v>0</v>
      </c>
      <c r="H6267" s="27">
        <f t="shared" si="194"/>
        <v>0</v>
      </c>
      <c r="I6267" s="18">
        <v>0</v>
      </c>
      <c r="J6267" s="27">
        <v>50942.91</v>
      </c>
      <c r="K6267" s="18">
        <f t="shared" si="195"/>
        <v>0</v>
      </c>
      <c r="L6267" s="27">
        <v>2688.65</v>
      </c>
      <c r="M6267" s="36">
        <v>2688.65</v>
      </c>
      <c r="N6267" s="18" t="s">
        <v>123</v>
      </c>
      <c r="O6267" s="19">
        <v>50942.91</v>
      </c>
      <c r="T6267" s="41">
        <v>0</v>
      </c>
      <c r="U6267" s="41">
        <v>0</v>
      </c>
      <c r="V6267" s="42" t="s">
        <v>113</v>
      </c>
      <c r="W6267" s="42">
        <v>0</v>
      </c>
      <c r="X6267" s="42">
        <v>0</v>
      </c>
    </row>
    <row r="6268" spans="1:24">
      <c r="A6268" s="27" t="s">
        <v>11526</v>
      </c>
      <c r="B6268" s="28" t="s">
        <v>5102</v>
      </c>
      <c r="C6268" s="27" t="s">
        <v>11527</v>
      </c>
      <c r="D6268" s="27" t="s">
        <v>5104</v>
      </c>
      <c r="E6268" s="29">
        <v>43521</v>
      </c>
      <c r="F6268" s="27">
        <v>15</v>
      </c>
      <c r="G6268" s="18">
        <v>0</v>
      </c>
      <c r="H6268" s="27">
        <f t="shared" si="194"/>
        <v>0</v>
      </c>
      <c r="I6268" s="18">
        <v>0</v>
      </c>
      <c r="J6268" s="27">
        <v>21041.63</v>
      </c>
      <c r="K6268" s="18">
        <f t="shared" si="195"/>
        <v>0</v>
      </c>
      <c r="L6268" s="27">
        <v>1110.53</v>
      </c>
      <c r="M6268" s="36">
        <v>1110.53</v>
      </c>
      <c r="N6268" s="18" t="s">
        <v>123</v>
      </c>
      <c r="O6268" s="19">
        <v>21041.63</v>
      </c>
      <c r="T6268" s="41">
        <v>0</v>
      </c>
      <c r="U6268" s="41">
        <v>0</v>
      </c>
      <c r="V6268" s="42" t="s">
        <v>113</v>
      </c>
      <c r="W6268" s="42">
        <v>0</v>
      </c>
      <c r="X6268" s="42">
        <v>0</v>
      </c>
    </row>
    <row r="6269" spans="1:24">
      <c r="A6269" s="27" t="s">
        <v>11528</v>
      </c>
      <c r="B6269" s="28" t="s">
        <v>5102</v>
      </c>
      <c r="C6269" s="27" t="s">
        <v>11529</v>
      </c>
      <c r="D6269" s="27" t="s">
        <v>5104</v>
      </c>
      <c r="E6269" s="29">
        <v>43521</v>
      </c>
      <c r="F6269" s="27">
        <v>15</v>
      </c>
      <c r="G6269" s="18">
        <v>0</v>
      </c>
      <c r="H6269" s="27">
        <f t="shared" si="194"/>
        <v>0</v>
      </c>
      <c r="I6269" s="18">
        <v>0</v>
      </c>
      <c r="J6269" s="27">
        <v>55022.04</v>
      </c>
      <c r="K6269" s="18">
        <f t="shared" si="195"/>
        <v>0</v>
      </c>
      <c r="L6269" s="27">
        <v>2903.94</v>
      </c>
      <c r="M6269" s="36">
        <v>2903.94</v>
      </c>
      <c r="N6269" s="18" t="s">
        <v>123</v>
      </c>
      <c r="O6269" s="19">
        <v>55022.04</v>
      </c>
      <c r="T6269" s="41">
        <v>0</v>
      </c>
      <c r="U6269" s="41">
        <v>0</v>
      </c>
      <c r="V6269" s="42" t="s">
        <v>113</v>
      </c>
      <c r="W6269" s="42">
        <v>0</v>
      </c>
      <c r="X6269" s="42">
        <v>0</v>
      </c>
    </row>
    <row r="6270" spans="1:24">
      <c r="A6270" s="27" t="s">
        <v>11530</v>
      </c>
      <c r="B6270" s="28" t="s">
        <v>5102</v>
      </c>
      <c r="C6270" s="27" t="s">
        <v>11531</v>
      </c>
      <c r="D6270" s="27" t="s">
        <v>5104</v>
      </c>
      <c r="E6270" s="29">
        <v>43409</v>
      </c>
      <c r="F6270" s="27">
        <v>15</v>
      </c>
      <c r="G6270" s="18">
        <v>566.39</v>
      </c>
      <c r="H6270" s="27">
        <f t="shared" si="194"/>
        <v>0</v>
      </c>
      <c r="I6270" s="18">
        <v>2.99</v>
      </c>
      <c r="J6270" s="27">
        <v>3436.15</v>
      </c>
      <c r="K6270" s="18">
        <f t="shared" si="195"/>
        <v>0</v>
      </c>
      <c r="L6270" s="27">
        <v>221.63</v>
      </c>
      <c r="M6270" s="36">
        <v>218.64</v>
      </c>
      <c r="N6270" s="18" t="s">
        <v>123</v>
      </c>
      <c r="O6270" s="19">
        <v>2869.76</v>
      </c>
      <c r="T6270" s="41">
        <v>0</v>
      </c>
      <c r="U6270" s="41">
        <v>0</v>
      </c>
      <c r="V6270" s="42" t="s">
        <v>113</v>
      </c>
      <c r="W6270" s="42">
        <v>0</v>
      </c>
      <c r="X6270" s="42">
        <v>0</v>
      </c>
    </row>
    <row r="6271" spans="1:24">
      <c r="A6271" s="27" t="s">
        <v>11532</v>
      </c>
      <c r="B6271" s="28" t="s">
        <v>5102</v>
      </c>
      <c r="C6271" s="27" t="s">
        <v>11533</v>
      </c>
      <c r="D6271" s="27" t="s">
        <v>5104</v>
      </c>
      <c r="E6271" s="29">
        <v>43409</v>
      </c>
      <c r="F6271" s="27">
        <v>15</v>
      </c>
      <c r="G6271" s="18">
        <v>583.04999999999995</v>
      </c>
      <c r="H6271" s="27">
        <f t="shared" si="194"/>
        <v>0</v>
      </c>
      <c r="I6271" s="18">
        <v>3.08</v>
      </c>
      <c r="J6271" s="27">
        <v>3436.16</v>
      </c>
      <c r="K6271" s="18">
        <f t="shared" si="195"/>
        <v>0</v>
      </c>
      <c r="L6271" s="27">
        <v>221.71</v>
      </c>
      <c r="M6271" s="36">
        <v>218.63</v>
      </c>
      <c r="N6271" s="18" t="s">
        <v>123</v>
      </c>
      <c r="O6271" s="19">
        <v>2853.11</v>
      </c>
      <c r="T6271" s="41">
        <v>0</v>
      </c>
      <c r="U6271" s="41">
        <v>0</v>
      </c>
      <c r="V6271" s="42" t="s">
        <v>113</v>
      </c>
      <c r="W6271" s="42">
        <v>0</v>
      </c>
      <c r="X6271" s="42">
        <v>0</v>
      </c>
    </row>
    <row r="6272" spans="1:24">
      <c r="A6272" s="27" t="s">
        <v>11534</v>
      </c>
      <c r="B6272" s="28" t="s">
        <v>5102</v>
      </c>
      <c r="C6272" s="27" t="s">
        <v>11535</v>
      </c>
      <c r="D6272" s="27" t="s">
        <v>5104</v>
      </c>
      <c r="E6272" s="29">
        <v>43409</v>
      </c>
      <c r="F6272" s="27">
        <v>15</v>
      </c>
      <c r="G6272" s="18">
        <v>566.39</v>
      </c>
      <c r="H6272" s="27">
        <f t="shared" si="194"/>
        <v>0</v>
      </c>
      <c r="I6272" s="18">
        <v>2.99</v>
      </c>
      <c r="J6272" s="27">
        <v>3436.16</v>
      </c>
      <c r="K6272" s="18">
        <f t="shared" si="195"/>
        <v>0</v>
      </c>
      <c r="L6272" s="27">
        <v>221.63</v>
      </c>
      <c r="M6272" s="36">
        <v>218.64</v>
      </c>
      <c r="N6272" s="18" t="s">
        <v>123</v>
      </c>
      <c r="O6272" s="19">
        <v>2869.77</v>
      </c>
      <c r="T6272" s="41">
        <v>0</v>
      </c>
      <c r="U6272" s="41">
        <v>0</v>
      </c>
      <c r="V6272" s="42" t="s">
        <v>113</v>
      </c>
      <c r="W6272" s="42">
        <v>0</v>
      </c>
      <c r="X6272" s="42">
        <v>0</v>
      </c>
    </row>
    <row r="6273" spans="1:24">
      <c r="A6273" s="27" t="s">
        <v>11536</v>
      </c>
      <c r="B6273" s="28" t="s">
        <v>5102</v>
      </c>
      <c r="C6273" s="27" t="s">
        <v>11537</v>
      </c>
      <c r="D6273" s="27" t="s">
        <v>5104</v>
      </c>
      <c r="E6273" s="29">
        <v>43409</v>
      </c>
      <c r="F6273" s="27">
        <v>15</v>
      </c>
      <c r="G6273" s="18">
        <v>516.42999999999995</v>
      </c>
      <c r="H6273" s="27">
        <f t="shared" si="194"/>
        <v>0</v>
      </c>
      <c r="I6273" s="18">
        <v>2.73</v>
      </c>
      <c r="J6273" s="27">
        <v>3436.16</v>
      </c>
      <c r="K6273" s="18">
        <f t="shared" si="195"/>
        <v>0</v>
      </c>
      <c r="L6273" s="27">
        <v>221.39</v>
      </c>
      <c r="M6273" s="36">
        <v>218.66</v>
      </c>
      <c r="N6273" s="18" t="s">
        <v>123</v>
      </c>
      <c r="O6273" s="19">
        <v>2919.73</v>
      </c>
      <c r="T6273" s="41">
        <v>0</v>
      </c>
      <c r="U6273" s="41">
        <v>0</v>
      </c>
      <c r="V6273" s="42" t="s">
        <v>113</v>
      </c>
      <c r="W6273" s="42">
        <v>0</v>
      </c>
      <c r="X6273" s="42">
        <v>0</v>
      </c>
    </row>
    <row r="6274" spans="1:24">
      <c r="A6274" s="27" t="s">
        <v>11538</v>
      </c>
      <c r="B6274" s="28" t="s">
        <v>5102</v>
      </c>
      <c r="C6274" s="27" t="s">
        <v>11539</v>
      </c>
      <c r="D6274" s="27" t="s">
        <v>5104</v>
      </c>
      <c r="E6274" s="29">
        <v>43409</v>
      </c>
      <c r="F6274" s="27">
        <v>15</v>
      </c>
      <c r="G6274" s="18">
        <v>549.74</v>
      </c>
      <c r="H6274" s="27">
        <f t="shared" si="194"/>
        <v>0</v>
      </c>
      <c r="I6274" s="18">
        <v>2.9</v>
      </c>
      <c r="J6274" s="27">
        <v>3436.16</v>
      </c>
      <c r="K6274" s="18">
        <f t="shared" si="195"/>
        <v>0</v>
      </c>
      <c r="L6274" s="27">
        <v>221.54</v>
      </c>
      <c r="M6274" s="36">
        <v>218.64</v>
      </c>
      <c r="N6274" s="18" t="s">
        <v>123</v>
      </c>
      <c r="O6274" s="19">
        <v>2886.42</v>
      </c>
      <c r="T6274" s="41">
        <v>0</v>
      </c>
      <c r="U6274" s="41">
        <v>0</v>
      </c>
      <c r="V6274" s="42" t="s">
        <v>113</v>
      </c>
      <c r="W6274" s="42">
        <v>0</v>
      </c>
      <c r="X6274" s="42">
        <v>0</v>
      </c>
    </row>
    <row r="6275" spans="1:24">
      <c r="A6275" s="27" t="s">
        <v>11540</v>
      </c>
      <c r="B6275" s="28" t="s">
        <v>5102</v>
      </c>
      <c r="C6275" s="27" t="s">
        <v>11541</v>
      </c>
      <c r="D6275" s="27" t="s">
        <v>5104</v>
      </c>
      <c r="E6275" s="29">
        <v>43409</v>
      </c>
      <c r="F6275" s="27">
        <v>15</v>
      </c>
      <c r="G6275" s="18">
        <v>566.4</v>
      </c>
      <c r="H6275" s="27">
        <f t="shared" si="194"/>
        <v>0</v>
      </c>
      <c r="I6275" s="18">
        <v>2.99</v>
      </c>
      <c r="J6275" s="27">
        <v>3436.16</v>
      </c>
      <c r="K6275" s="18">
        <f t="shared" si="195"/>
        <v>0</v>
      </c>
      <c r="L6275" s="27">
        <v>221.63</v>
      </c>
      <c r="M6275" s="36">
        <v>218.64</v>
      </c>
      <c r="N6275" s="18" t="s">
        <v>123</v>
      </c>
      <c r="O6275" s="19">
        <v>2869.76</v>
      </c>
      <c r="T6275" s="41">
        <v>0</v>
      </c>
      <c r="U6275" s="41">
        <v>0</v>
      </c>
      <c r="V6275" s="42" t="s">
        <v>113</v>
      </c>
      <c r="W6275" s="42">
        <v>0</v>
      </c>
      <c r="X6275" s="42">
        <v>0</v>
      </c>
    </row>
    <row r="6276" spans="1:24">
      <c r="A6276" s="27" t="s">
        <v>11542</v>
      </c>
      <c r="B6276" s="28" t="s">
        <v>5102</v>
      </c>
      <c r="C6276" s="27" t="s">
        <v>11543</v>
      </c>
      <c r="D6276" s="27" t="s">
        <v>5104</v>
      </c>
      <c r="E6276" s="29">
        <v>43409</v>
      </c>
      <c r="F6276" s="27">
        <v>15</v>
      </c>
      <c r="G6276" s="18">
        <v>549.74</v>
      </c>
      <c r="H6276" s="27">
        <f t="shared" si="194"/>
        <v>0</v>
      </c>
      <c r="I6276" s="18">
        <v>2.9</v>
      </c>
      <c r="J6276" s="27">
        <v>3436.16</v>
      </c>
      <c r="K6276" s="18">
        <f t="shared" si="195"/>
        <v>0</v>
      </c>
      <c r="L6276" s="27">
        <v>221.54</v>
      </c>
      <c r="M6276" s="36">
        <v>218.64</v>
      </c>
      <c r="N6276" s="18" t="s">
        <v>123</v>
      </c>
      <c r="O6276" s="19">
        <v>2886.42</v>
      </c>
      <c r="T6276" s="41">
        <v>0</v>
      </c>
      <c r="U6276" s="41">
        <v>0</v>
      </c>
      <c r="V6276" s="42" t="s">
        <v>113</v>
      </c>
      <c r="W6276" s="42">
        <v>0</v>
      </c>
      <c r="X6276" s="42">
        <v>0</v>
      </c>
    </row>
    <row r="6277" spans="1:24">
      <c r="A6277" s="27" t="s">
        <v>11544</v>
      </c>
      <c r="B6277" s="28" t="s">
        <v>5102</v>
      </c>
      <c r="C6277" s="27" t="s">
        <v>11545</v>
      </c>
      <c r="D6277" s="27" t="s">
        <v>5104</v>
      </c>
      <c r="E6277" s="29">
        <v>43409</v>
      </c>
      <c r="F6277" s="27">
        <v>15</v>
      </c>
      <c r="G6277" s="18">
        <v>2099.02</v>
      </c>
      <c r="H6277" s="27">
        <f t="shared" si="194"/>
        <v>0</v>
      </c>
      <c r="I6277" s="18">
        <v>11.08</v>
      </c>
      <c r="J6277" s="27">
        <v>3436.16</v>
      </c>
      <c r="K6277" s="18">
        <f t="shared" si="195"/>
        <v>0</v>
      </c>
      <c r="L6277" s="27">
        <v>229.18</v>
      </c>
      <c r="M6277" s="36">
        <v>218.1</v>
      </c>
      <c r="N6277" s="18" t="s">
        <v>123</v>
      </c>
      <c r="O6277" s="19">
        <v>1337.14</v>
      </c>
      <c r="T6277" s="41">
        <v>0</v>
      </c>
      <c r="U6277" s="41">
        <v>0</v>
      </c>
      <c r="V6277" s="42" t="s">
        <v>113</v>
      </c>
      <c r="W6277" s="42">
        <v>0</v>
      </c>
      <c r="X6277" s="42">
        <v>0</v>
      </c>
    </row>
    <row r="6278" spans="1:24">
      <c r="A6278" s="27" t="s">
        <v>11546</v>
      </c>
      <c r="B6278" s="28" t="s">
        <v>5102</v>
      </c>
      <c r="C6278" s="27" t="s">
        <v>11547</v>
      </c>
      <c r="D6278" s="27" t="s">
        <v>5104</v>
      </c>
      <c r="E6278" s="29">
        <v>43409</v>
      </c>
      <c r="F6278" s="27">
        <v>15</v>
      </c>
      <c r="G6278" s="18">
        <v>583.05999999999995</v>
      </c>
      <c r="H6278" s="27">
        <f t="shared" ref="H6278:H6341" si="196">IFERROR(IF(ROUND((G6278-I6278)/G6278,2)&lt;=0.05,G6278,0),0)</f>
        <v>0</v>
      </c>
      <c r="I6278" s="18">
        <v>3.08</v>
      </c>
      <c r="J6278" s="27">
        <v>3436.16</v>
      </c>
      <c r="K6278" s="18">
        <f t="shared" ref="K6278:K6341" si="197">IFERROR(IF(ROUND((J6278-L6278)/J6278,2)&lt;=0.05,J6278,0),0)</f>
        <v>0</v>
      </c>
      <c r="L6278" s="27">
        <v>221.71</v>
      </c>
      <c r="M6278" s="36">
        <v>218.63</v>
      </c>
      <c r="N6278" s="18" t="s">
        <v>123</v>
      </c>
      <c r="O6278" s="19">
        <v>2853.1</v>
      </c>
      <c r="T6278" s="41">
        <v>0</v>
      </c>
      <c r="U6278" s="41">
        <v>0</v>
      </c>
      <c r="V6278" s="42" t="s">
        <v>113</v>
      </c>
      <c r="W6278" s="42">
        <v>0</v>
      </c>
      <c r="X6278" s="42">
        <v>0</v>
      </c>
    </row>
    <row r="6279" spans="1:24">
      <c r="A6279" s="27" t="s">
        <v>11548</v>
      </c>
      <c r="B6279" s="28" t="s">
        <v>5102</v>
      </c>
      <c r="C6279" s="27" t="s">
        <v>11549</v>
      </c>
      <c r="D6279" s="27" t="s">
        <v>5104</v>
      </c>
      <c r="E6279" s="29">
        <v>43409</v>
      </c>
      <c r="F6279" s="27">
        <v>15</v>
      </c>
      <c r="G6279" s="18">
        <v>866.26</v>
      </c>
      <c r="H6279" s="27">
        <f t="shared" si="196"/>
        <v>0</v>
      </c>
      <c r="I6279" s="18">
        <v>4.57</v>
      </c>
      <c r="J6279" s="27">
        <v>3436.16</v>
      </c>
      <c r="K6279" s="18">
        <f t="shared" si="197"/>
        <v>0</v>
      </c>
      <c r="L6279" s="27">
        <v>223.1</v>
      </c>
      <c r="M6279" s="36">
        <v>218.53</v>
      </c>
      <c r="N6279" s="18" t="s">
        <v>123</v>
      </c>
      <c r="O6279" s="19">
        <v>2569.9</v>
      </c>
      <c r="T6279" s="41">
        <v>0</v>
      </c>
      <c r="U6279" s="41">
        <v>0</v>
      </c>
      <c r="V6279" s="42" t="s">
        <v>113</v>
      </c>
      <c r="W6279" s="42">
        <v>0</v>
      </c>
      <c r="X6279" s="42">
        <v>0</v>
      </c>
    </row>
    <row r="6280" spans="1:24">
      <c r="A6280" s="27" t="s">
        <v>11550</v>
      </c>
      <c r="B6280" s="28" t="s">
        <v>5102</v>
      </c>
      <c r="C6280" s="27" t="s">
        <v>11551</v>
      </c>
      <c r="D6280" s="27" t="s">
        <v>5104</v>
      </c>
      <c r="E6280" s="29">
        <v>43409</v>
      </c>
      <c r="F6280" s="27">
        <v>15</v>
      </c>
      <c r="G6280" s="18">
        <v>516.42999999999995</v>
      </c>
      <c r="H6280" s="27">
        <f t="shared" si="196"/>
        <v>0</v>
      </c>
      <c r="I6280" s="18">
        <v>2.73</v>
      </c>
      <c r="J6280" s="27">
        <v>3436.16</v>
      </c>
      <c r="K6280" s="18">
        <f t="shared" si="197"/>
        <v>0</v>
      </c>
      <c r="L6280" s="27">
        <v>221.39</v>
      </c>
      <c r="M6280" s="36">
        <v>218.66</v>
      </c>
      <c r="N6280" s="18" t="s">
        <v>123</v>
      </c>
      <c r="O6280" s="19">
        <v>2919.73</v>
      </c>
      <c r="T6280" s="41">
        <v>0</v>
      </c>
      <c r="U6280" s="41">
        <v>0</v>
      </c>
      <c r="V6280" s="42" t="s">
        <v>113</v>
      </c>
      <c r="W6280" s="42">
        <v>0</v>
      </c>
      <c r="X6280" s="42">
        <v>0</v>
      </c>
    </row>
    <row r="6281" spans="1:24">
      <c r="A6281" s="27" t="s">
        <v>11552</v>
      </c>
      <c r="B6281" s="28" t="s">
        <v>5102</v>
      </c>
      <c r="C6281" s="27" t="s">
        <v>11553</v>
      </c>
      <c r="D6281" s="27" t="s">
        <v>5104</v>
      </c>
      <c r="E6281" s="29">
        <v>43409</v>
      </c>
      <c r="F6281" s="27">
        <v>15</v>
      </c>
      <c r="G6281" s="18">
        <v>533.09</v>
      </c>
      <c r="H6281" s="27">
        <f t="shared" si="196"/>
        <v>0</v>
      </c>
      <c r="I6281" s="18">
        <v>2.81</v>
      </c>
      <c r="J6281" s="27">
        <v>3436.16</v>
      </c>
      <c r="K6281" s="18">
        <f t="shared" si="197"/>
        <v>0</v>
      </c>
      <c r="L6281" s="27">
        <v>221.46</v>
      </c>
      <c r="M6281" s="36">
        <v>218.65</v>
      </c>
      <c r="N6281" s="18" t="s">
        <v>123</v>
      </c>
      <c r="O6281" s="19">
        <v>2903.07</v>
      </c>
      <c r="T6281" s="41">
        <v>0</v>
      </c>
      <c r="U6281" s="41">
        <v>0</v>
      </c>
      <c r="V6281" s="42" t="s">
        <v>113</v>
      </c>
      <c r="W6281" s="42">
        <v>0</v>
      </c>
      <c r="X6281" s="42">
        <v>0</v>
      </c>
    </row>
    <row r="6282" spans="1:24">
      <c r="A6282" s="27" t="s">
        <v>11554</v>
      </c>
      <c r="B6282" s="28" t="s">
        <v>5102</v>
      </c>
      <c r="C6282" s="27" t="s">
        <v>11555</v>
      </c>
      <c r="D6282" s="27" t="s">
        <v>5104</v>
      </c>
      <c r="E6282" s="29">
        <v>43409</v>
      </c>
      <c r="F6282" s="27">
        <v>15</v>
      </c>
      <c r="G6282" s="18">
        <v>683.02</v>
      </c>
      <c r="H6282" s="27">
        <f t="shared" si="196"/>
        <v>0</v>
      </c>
      <c r="I6282" s="18">
        <v>3.6</v>
      </c>
      <c r="J6282" s="27">
        <v>3436.16</v>
      </c>
      <c r="K6282" s="18">
        <f t="shared" si="197"/>
        <v>0</v>
      </c>
      <c r="L6282" s="27">
        <v>222.2</v>
      </c>
      <c r="M6282" s="36">
        <v>218.6</v>
      </c>
      <c r="N6282" s="18" t="s">
        <v>123</v>
      </c>
      <c r="O6282" s="19">
        <v>2753.14</v>
      </c>
      <c r="T6282" s="41">
        <v>0</v>
      </c>
      <c r="U6282" s="41">
        <v>0</v>
      </c>
      <c r="V6282" s="42" t="s">
        <v>113</v>
      </c>
      <c r="W6282" s="42">
        <v>0</v>
      </c>
      <c r="X6282" s="42">
        <v>0</v>
      </c>
    </row>
    <row r="6283" spans="1:24">
      <c r="A6283" s="27" t="s">
        <v>11556</v>
      </c>
      <c r="B6283" s="28" t="s">
        <v>5102</v>
      </c>
      <c r="C6283" s="27" t="s">
        <v>11557</v>
      </c>
      <c r="D6283" s="27" t="s">
        <v>5104</v>
      </c>
      <c r="E6283" s="29">
        <v>43409</v>
      </c>
      <c r="F6283" s="27">
        <v>15</v>
      </c>
      <c r="G6283" s="18">
        <v>516.42999999999995</v>
      </c>
      <c r="H6283" s="27">
        <f t="shared" si="196"/>
        <v>0</v>
      </c>
      <c r="I6283" s="18">
        <v>2.73</v>
      </c>
      <c r="J6283" s="27">
        <v>3436.16</v>
      </c>
      <c r="K6283" s="18">
        <f t="shared" si="197"/>
        <v>0</v>
      </c>
      <c r="L6283" s="27">
        <v>221.39</v>
      </c>
      <c r="M6283" s="36">
        <v>218.66</v>
      </c>
      <c r="N6283" s="18" t="s">
        <v>123</v>
      </c>
      <c r="O6283" s="19">
        <v>2919.73</v>
      </c>
      <c r="T6283" s="41">
        <v>0</v>
      </c>
      <c r="U6283" s="41">
        <v>0</v>
      </c>
      <c r="V6283" s="42" t="s">
        <v>113</v>
      </c>
      <c r="W6283" s="42">
        <v>0</v>
      </c>
      <c r="X6283" s="42">
        <v>0</v>
      </c>
    </row>
    <row r="6284" spans="1:24">
      <c r="A6284" s="27" t="s">
        <v>11558</v>
      </c>
      <c r="B6284" s="28" t="s">
        <v>5102</v>
      </c>
      <c r="C6284" s="27" t="s">
        <v>11559</v>
      </c>
      <c r="D6284" s="27" t="s">
        <v>5104</v>
      </c>
      <c r="E6284" s="29">
        <v>43409</v>
      </c>
      <c r="F6284" s="27">
        <v>15</v>
      </c>
      <c r="G6284" s="18">
        <v>1399.35</v>
      </c>
      <c r="H6284" s="27">
        <f t="shared" si="196"/>
        <v>0</v>
      </c>
      <c r="I6284" s="18">
        <v>7.39</v>
      </c>
      <c r="J6284" s="27">
        <v>3436.16</v>
      </c>
      <c r="K6284" s="18">
        <f t="shared" si="197"/>
        <v>0</v>
      </c>
      <c r="L6284" s="27">
        <v>225.73</v>
      </c>
      <c r="M6284" s="36">
        <v>218.34</v>
      </c>
      <c r="N6284" s="18" t="s">
        <v>123</v>
      </c>
      <c r="O6284" s="19">
        <v>2036.81</v>
      </c>
      <c r="T6284" s="41">
        <v>0</v>
      </c>
      <c r="U6284" s="41">
        <v>0</v>
      </c>
      <c r="V6284" s="42" t="s">
        <v>113</v>
      </c>
      <c r="W6284" s="42">
        <v>0</v>
      </c>
      <c r="X6284" s="42">
        <v>0</v>
      </c>
    </row>
    <row r="6285" spans="1:24">
      <c r="A6285" s="27" t="s">
        <v>11560</v>
      </c>
      <c r="B6285" s="28" t="s">
        <v>5102</v>
      </c>
      <c r="C6285" s="27" t="s">
        <v>11561</v>
      </c>
      <c r="D6285" s="27" t="s">
        <v>5104</v>
      </c>
      <c r="E6285" s="29">
        <v>43409</v>
      </c>
      <c r="F6285" s="27">
        <v>15</v>
      </c>
      <c r="G6285" s="18">
        <v>549.74</v>
      </c>
      <c r="H6285" s="27">
        <f t="shared" si="196"/>
        <v>0</v>
      </c>
      <c r="I6285" s="18">
        <v>2.9</v>
      </c>
      <c r="J6285" s="27">
        <v>3436.16</v>
      </c>
      <c r="K6285" s="18">
        <f t="shared" si="197"/>
        <v>0</v>
      </c>
      <c r="L6285" s="27">
        <v>221.54</v>
      </c>
      <c r="M6285" s="36">
        <v>218.64</v>
      </c>
      <c r="N6285" s="18" t="s">
        <v>123</v>
      </c>
      <c r="O6285" s="19">
        <v>2886.42</v>
      </c>
      <c r="T6285" s="41">
        <v>0</v>
      </c>
      <c r="U6285" s="41">
        <v>0</v>
      </c>
      <c r="V6285" s="42" t="s">
        <v>113</v>
      </c>
      <c r="W6285" s="42">
        <v>0</v>
      </c>
      <c r="X6285" s="42">
        <v>0</v>
      </c>
    </row>
    <row r="6286" spans="1:24">
      <c r="A6286" s="27" t="s">
        <v>11562</v>
      </c>
      <c r="B6286" s="28" t="s">
        <v>5102</v>
      </c>
      <c r="C6286" s="27" t="s">
        <v>11563</v>
      </c>
      <c r="D6286" s="27" t="s">
        <v>5104</v>
      </c>
      <c r="E6286" s="29">
        <v>43409</v>
      </c>
      <c r="F6286" s="27">
        <v>15</v>
      </c>
      <c r="G6286" s="18">
        <v>549.74</v>
      </c>
      <c r="H6286" s="27">
        <f t="shared" si="196"/>
        <v>0</v>
      </c>
      <c r="I6286" s="18">
        <v>2.9</v>
      </c>
      <c r="J6286" s="27">
        <v>3436.16</v>
      </c>
      <c r="K6286" s="18">
        <f t="shared" si="197"/>
        <v>0</v>
      </c>
      <c r="L6286" s="27">
        <v>221.54</v>
      </c>
      <c r="M6286" s="36">
        <v>218.64</v>
      </c>
      <c r="N6286" s="18" t="s">
        <v>123</v>
      </c>
      <c r="O6286" s="19">
        <v>2886.42</v>
      </c>
      <c r="T6286" s="41">
        <v>0</v>
      </c>
      <c r="U6286" s="41">
        <v>0</v>
      </c>
      <c r="V6286" s="42" t="s">
        <v>113</v>
      </c>
      <c r="W6286" s="42">
        <v>0</v>
      </c>
      <c r="X6286" s="42">
        <v>0</v>
      </c>
    </row>
    <row r="6287" spans="1:24">
      <c r="A6287" s="27" t="s">
        <v>11564</v>
      </c>
      <c r="B6287" s="28" t="s">
        <v>5102</v>
      </c>
      <c r="C6287" s="27" t="s">
        <v>11565</v>
      </c>
      <c r="D6287" s="27" t="s">
        <v>5104</v>
      </c>
      <c r="E6287" s="29">
        <v>43409</v>
      </c>
      <c r="F6287" s="27">
        <v>15</v>
      </c>
      <c r="G6287" s="18">
        <v>533.09</v>
      </c>
      <c r="H6287" s="27">
        <f t="shared" si="196"/>
        <v>0</v>
      </c>
      <c r="I6287" s="18">
        <v>2.81</v>
      </c>
      <c r="J6287" s="27">
        <v>3436.16</v>
      </c>
      <c r="K6287" s="18">
        <f t="shared" si="197"/>
        <v>0</v>
      </c>
      <c r="L6287" s="27">
        <v>221.46</v>
      </c>
      <c r="M6287" s="36">
        <v>218.65</v>
      </c>
      <c r="N6287" s="18" t="s">
        <v>123</v>
      </c>
      <c r="O6287" s="19">
        <v>2903.07</v>
      </c>
      <c r="T6287" s="41">
        <v>0</v>
      </c>
      <c r="U6287" s="41">
        <v>0</v>
      </c>
      <c r="V6287" s="42" t="s">
        <v>113</v>
      </c>
      <c r="W6287" s="42">
        <v>0</v>
      </c>
      <c r="X6287" s="42">
        <v>0</v>
      </c>
    </row>
    <row r="6288" spans="1:24">
      <c r="A6288" s="27" t="s">
        <v>11566</v>
      </c>
      <c r="B6288" s="28" t="s">
        <v>5102</v>
      </c>
      <c r="C6288" s="27" t="s">
        <v>11567</v>
      </c>
      <c r="D6288" s="27" t="s">
        <v>5104</v>
      </c>
      <c r="E6288" s="29">
        <v>43409</v>
      </c>
      <c r="F6288" s="27">
        <v>15</v>
      </c>
      <c r="G6288" s="18">
        <v>816.29</v>
      </c>
      <c r="H6288" s="27">
        <f t="shared" si="196"/>
        <v>0</v>
      </c>
      <c r="I6288" s="18">
        <v>4.3099999999999996</v>
      </c>
      <c r="J6288" s="27">
        <v>3436.16</v>
      </c>
      <c r="K6288" s="18">
        <f t="shared" si="197"/>
        <v>0</v>
      </c>
      <c r="L6288" s="27">
        <v>222.86</v>
      </c>
      <c r="M6288" s="36">
        <v>218.55</v>
      </c>
      <c r="N6288" s="18" t="s">
        <v>123</v>
      </c>
      <c r="O6288" s="19">
        <v>2619.87</v>
      </c>
      <c r="T6288" s="41">
        <v>0</v>
      </c>
      <c r="U6288" s="41">
        <v>0</v>
      </c>
      <c r="V6288" s="42" t="s">
        <v>113</v>
      </c>
      <c r="W6288" s="42">
        <v>0</v>
      </c>
      <c r="X6288" s="42">
        <v>0</v>
      </c>
    </row>
    <row r="6289" spans="1:24">
      <c r="A6289" s="27" t="s">
        <v>11568</v>
      </c>
      <c r="B6289" s="28" t="s">
        <v>5102</v>
      </c>
      <c r="C6289" s="27" t="s">
        <v>11569</v>
      </c>
      <c r="D6289" s="27" t="s">
        <v>5104</v>
      </c>
      <c r="E6289" s="29">
        <v>43409</v>
      </c>
      <c r="F6289" s="27">
        <v>15</v>
      </c>
      <c r="G6289" s="18">
        <v>699.67</v>
      </c>
      <c r="H6289" s="27">
        <f t="shared" si="196"/>
        <v>0</v>
      </c>
      <c r="I6289" s="18">
        <v>3.69</v>
      </c>
      <c r="J6289" s="27">
        <v>3436.16</v>
      </c>
      <c r="K6289" s="18">
        <f t="shared" si="197"/>
        <v>0</v>
      </c>
      <c r="L6289" s="27">
        <v>222.28</v>
      </c>
      <c r="M6289" s="36">
        <v>218.59</v>
      </c>
      <c r="N6289" s="18" t="s">
        <v>123</v>
      </c>
      <c r="O6289" s="19">
        <v>2736.49</v>
      </c>
      <c r="T6289" s="41">
        <v>0</v>
      </c>
      <c r="U6289" s="41">
        <v>0</v>
      </c>
      <c r="V6289" s="42" t="s">
        <v>113</v>
      </c>
      <c r="W6289" s="42">
        <v>0</v>
      </c>
      <c r="X6289" s="42">
        <v>0</v>
      </c>
    </row>
    <row r="6290" spans="1:24">
      <c r="A6290" s="27" t="s">
        <v>11570</v>
      </c>
      <c r="B6290" s="28" t="s">
        <v>5102</v>
      </c>
      <c r="C6290" s="27" t="s">
        <v>11571</v>
      </c>
      <c r="D6290" s="27" t="s">
        <v>5104</v>
      </c>
      <c r="E6290" s="29">
        <v>43409</v>
      </c>
      <c r="F6290" s="27">
        <v>15</v>
      </c>
      <c r="G6290" s="18">
        <v>566.4</v>
      </c>
      <c r="H6290" s="27">
        <f t="shared" si="196"/>
        <v>0</v>
      </c>
      <c r="I6290" s="18">
        <v>2.99</v>
      </c>
      <c r="J6290" s="27">
        <v>3436.16</v>
      </c>
      <c r="K6290" s="18">
        <f t="shared" si="197"/>
        <v>0</v>
      </c>
      <c r="L6290" s="27">
        <v>221.63</v>
      </c>
      <c r="M6290" s="36">
        <v>218.64</v>
      </c>
      <c r="N6290" s="18" t="s">
        <v>123</v>
      </c>
      <c r="O6290" s="19">
        <v>2869.76</v>
      </c>
      <c r="T6290" s="41">
        <v>0</v>
      </c>
      <c r="U6290" s="41">
        <v>0</v>
      </c>
      <c r="V6290" s="42" t="s">
        <v>113</v>
      </c>
      <c r="W6290" s="42">
        <v>0</v>
      </c>
      <c r="X6290" s="42">
        <v>0</v>
      </c>
    </row>
    <row r="6291" spans="1:24">
      <c r="A6291" s="27" t="s">
        <v>11572</v>
      </c>
      <c r="B6291" s="28" t="s">
        <v>5102</v>
      </c>
      <c r="C6291" s="27" t="s">
        <v>11573</v>
      </c>
      <c r="D6291" s="27" t="s">
        <v>5104</v>
      </c>
      <c r="E6291" s="29">
        <v>43409</v>
      </c>
      <c r="F6291" s="27">
        <v>15</v>
      </c>
      <c r="G6291" s="18">
        <v>516.42999999999995</v>
      </c>
      <c r="H6291" s="27">
        <f t="shared" si="196"/>
        <v>0</v>
      </c>
      <c r="I6291" s="18">
        <v>2.73</v>
      </c>
      <c r="J6291" s="27">
        <v>3436.16</v>
      </c>
      <c r="K6291" s="18">
        <f t="shared" si="197"/>
        <v>0</v>
      </c>
      <c r="L6291" s="27">
        <v>221.39</v>
      </c>
      <c r="M6291" s="36">
        <v>218.66</v>
      </c>
      <c r="N6291" s="18" t="s">
        <v>123</v>
      </c>
      <c r="O6291" s="19">
        <v>2919.73</v>
      </c>
      <c r="T6291" s="41">
        <v>0</v>
      </c>
      <c r="U6291" s="41">
        <v>0</v>
      </c>
      <c r="V6291" s="42" t="s">
        <v>113</v>
      </c>
      <c r="W6291" s="42">
        <v>0</v>
      </c>
      <c r="X6291" s="42">
        <v>0</v>
      </c>
    </row>
    <row r="6292" spans="1:24">
      <c r="A6292" s="27" t="s">
        <v>11574</v>
      </c>
      <c r="B6292" s="28" t="s">
        <v>5102</v>
      </c>
      <c r="C6292" s="27" t="s">
        <v>11575</v>
      </c>
      <c r="D6292" s="27" t="s">
        <v>5104</v>
      </c>
      <c r="E6292" s="29">
        <v>43409</v>
      </c>
      <c r="F6292" s="27">
        <v>15</v>
      </c>
      <c r="G6292" s="18">
        <v>516.42999999999995</v>
      </c>
      <c r="H6292" s="27">
        <f t="shared" si="196"/>
        <v>0</v>
      </c>
      <c r="I6292" s="18">
        <v>2.73</v>
      </c>
      <c r="J6292" s="27">
        <v>3436.16</v>
      </c>
      <c r="K6292" s="18">
        <f t="shared" si="197"/>
        <v>0</v>
      </c>
      <c r="L6292" s="27">
        <v>221.39</v>
      </c>
      <c r="M6292" s="36">
        <v>218.66</v>
      </c>
      <c r="N6292" s="18" t="s">
        <v>123</v>
      </c>
      <c r="O6292" s="19">
        <v>2919.73</v>
      </c>
      <c r="T6292" s="41">
        <v>0</v>
      </c>
      <c r="U6292" s="41">
        <v>0</v>
      </c>
      <c r="V6292" s="42" t="s">
        <v>113</v>
      </c>
      <c r="W6292" s="42">
        <v>0</v>
      </c>
      <c r="X6292" s="42">
        <v>0</v>
      </c>
    </row>
    <row r="6293" spans="1:24">
      <c r="A6293" s="27" t="s">
        <v>11576</v>
      </c>
      <c r="B6293" s="28" t="s">
        <v>5102</v>
      </c>
      <c r="C6293" s="27" t="s">
        <v>11577</v>
      </c>
      <c r="D6293" s="27" t="s">
        <v>5104</v>
      </c>
      <c r="E6293" s="29">
        <v>43409</v>
      </c>
      <c r="F6293" s="27">
        <v>15</v>
      </c>
      <c r="G6293" s="18">
        <v>1932.43</v>
      </c>
      <c r="H6293" s="27">
        <f t="shared" si="196"/>
        <v>0</v>
      </c>
      <c r="I6293" s="18">
        <v>10.199999999999999</v>
      </c>
      <c r="J6293" s="27">
        <v>3436.16</v>
      </c>
      <c r="K6293" s="18">
        <f t="shared" si="197"/>
        <v>0</v>
      </c>
      <c r="L6293" s="27">
        <v>228.36</v>
      </c>
      <c r="M6293" s="36">
        <v>218.16</v>
      </c>
      <c r="N6293" s="18" t="s">
        <v>123</v>
      </c>
      <c r="O6293" s="19">
        <v>1503.73</v>
      </c>
      <c r="T6293" s="41">
        <v>0</v>
      </c>
      <c r="U6293" s="41">
        <v>0</v>
      </c>
      <c r="V6293" s="42" t="s">
        <v>113</v>
      </c>
      <c r="W6293" s="42">
        <v>0</v>
      </c>
      <c r="X6293" s="42">
        <v>0</v>
      </c>
    </row>
    <row r="6294" spans="1:24">
      <c r="A6294" s="27" t="s">
        <v>11578</v>
      </c>
      <c r="B6294" s="28" t="s">
        <v>5102</v>
      </c>
      <c r="C6294" s="27" t="s">
        <v>11579</v>
      </c>
      <c r="D6294" s="27" t="s">
        <v>5104</v>
      </c>
      <c r="E6294" s="29">
        <v>43409</v>
      </c>
      <c r="F6294" s="27">
        <v>15</v>
      </c>
      <c r="G6294" s="18">
        <v>633.04</v>
      </c>
      <c r="H6294" s="27">
        <f t="shared" si="196"/>
        <v>0</v>
      </c>
      <c r="I6294" s="18">
        <v>3.34</v>
      </c>
      <c r="J6294" s="27">
        <v>3436.16</v>
      </c>
      <c r="K6294" s="18">
        <f t="shared" si="197"/>
        <v>0</v>
      </c>
      <c r="L6294" s="27">
        <v>221.96</v>
      </c>
      <c r="M6294" s="36">
        <v>218.62</v>
      </c>
      <c r="N6294" s="18" t="s">
        <v>123</v>
      </c>
      <c r="O6294" s="19">
        <v>2803.12</v>
      </c>
      <c r="T6294" s="41">
        <v>0</v>
      </c>
      <c r="U6294" s="41">
        <v>0</v>
      </c>
      <c r="V6294" s="42" t="s">
        <v>113</v>
      </c>
      <c r="W6294" s="42">
        <v>0</v>
      </c>
      <c r="X6294" s="42">
        <v>0</v>
      </c>
    </row>
    <row r="6295" spans="1:24">
      <c r="A6295" s="27" t="s">
        <v>11580</v>
      </c>
      <c r="B6295" s="28" t="s">
        <v>5102</v>
      </c>
      <c r="C6295" s="27" t="s">
        <v>11581</v>
      </c>
      <c r="D6295" s="27" t="s">
        <v>5104</v>
      </c>
      <c r="E6295" s="29">
        <v>43409</v>
      </c>
      <c r="F6295" s="27">
        <v>15</v>
      </c>
      <c r="G6295" s="18">
        <v>516.42999999999995</v>
      </c>
      <c r="H6295" s="27">
        <f t="shared" si="196"/>
        <v>0</v>
      </c>
      <c r="I6295" s="18">
        <v>2.73</v>
      </c>
      <c r="J6295" s="27">
        <v>3436.15</v>
      </c>
      <c r="K6295" s="18">
        <f t="shared" si="197"/>
        <v>0</v>
      </c>
      <c r="L6295" s="27">
        <v>221.39</v>
      </c>
      <c r="M6295" s="36">
        <v>218.66</v>
      </c>
      <c r="N6295" s="18" t="s">
        <v>123</v>
      </c>
      <c r="O6295" s="19">
        <v>2919.72</v>
      </c>
      <c r="T6295" s="41">
        <v>0</v>
      </c>
      <c r="U6295" s="41">
        <v>0</v>
      </c>
      <c r="V6295" s="42" t="s">
        <v>113</v>
      </c>
      <c r="W6295" s="42">
        <v>0</v>
      </c>
      <c r="X6295" s="42">
        <v>0</v>
      </c>
    </row>
    <row r="6296" spans="1:24">
      <c r="A6296" s="27" t="s">
        <v>11582</v>
      </c>
      <c r="B6296" s="28" t="s">
        <v>5102</v>
      </c>
      <c r="C6296" s="27" t="s">
        <v>11583</v>
      </c>
      <c r="D6296" s="27" t="s">
        <v>5104</v>
      </c>
      <c r="E6296" s="29">
        <v>43409</v>
      </c>
      <c r="F6296" s="27">
        <v>15</v>
      </c>
      <c r="G6296" s="18">
        <v>516.42999999999995</v>
      </c>
      <c r="H6296" s="27">
        <f t="shared" si="196"/>
        <v>0</v>
      </c>
      <c r="I6296" s="18">
        <v>2.73</v>
      </c>
      <c r="J6296" s="27">
        <v>3436.15</v>
      </c>
      <c r="K6296" s="18">
        <f t="shared" si="197"/>
        <v>0</v>
      </c>
      <c r="L6296" s="27">
        <v>221.39</v>
      </c>
      <c r="M6296" s="36">
        <v>218.66</v>
      </c>
      <c r="N6296" s="18" t="s">
        <v>123</v>
      </c>
      <c r="O6296" s="19">
        <v>2919.72</v>
      </c>
      <c r="T6296" s="41">
        <v>0</v>
      </c>
      <c r="U6296" s="41">
        <v>0</v>
      </c>
      <c r="V6296" s="42" t="s">
        <v>113</v>
      </c>
      <c r="W6296" s="42">
        <v>0</v>
      </c>
      <c r="X6296" s="42">
        <v>0</v>
      </c>
    </row>
    <row r="6297" spans="1:24">
      <c r="A6297" s="27" t="s">
        <v>11584</v>
      </c>
      <c r="B6297" s="28" t="s">
        <v>5102</v>
      </c>
      <c r="C6297" s="27" t="s">
        <v>11585</v>
      </c>
      <c r="D6297" s="27" t="s">
        <v>5104</v>
      </c>
      <c r="E6297" s="29">
        <v>43409</v>
      </c>
      <c r="F6297" s="27">
        <v>15</v>
      </c>
      <c r="G6297" s="18">
        <v>533.09</v>
      </c>
      <c r="H6297" s="27">
        <f t="shared" si="196"/>
        <v>0</v>
      </c>
      <c r="I6297" s="18">
        <v>2.81</v>
      </c>
      <c r="J6297" s="27">
        <v>3436.15</v>
      </c>
      <c r="K6297" s="18">
        <f t="shared" si="197"/>
        <v>0</v>
      </c>
      <c r="L6297" s="27">
        <v>221.46</v>
      </c>
      <c r="M6297" s="36">
        <v>218.65</v>
      </c>
      <c r="N6297" s="18" t="s">
        <v>123</v>
      </c>
      <c r="O6297" s="19">
        <v>2903.06</v>
      </c>
      <c r="T6297" s="41">
        <v>0</v>
      </c>
      <c r="U6297" s="41">
        <v>0</v>
      </c>
      <c r="V6297" s="42" t="s">
        <v>113</v>
      </c>
      <c r="W6297" s="42">
        <v>0</v>
      </c>
      <c r="X6297" s="42">
        <v>0</v>
      </c>
    </row>
    <row r="6298" spans="1:24">
      <c r="A6298" s="27" t="s">
        <v>11586</v>
      </c>
      <c r="B6298" s="28" t="s">
        <v>5102</v>
      </c>
      <c r="C6298" s="27" t="s">
        <v>11587</v>
      </c>
      <c r="D6298" s="27" t="s">
        <v>5104</v>
      </c>
      <c r="E6298" s="29">
        <v>43409</v>
      </c>
      <c r="F6298" s="27">
        <v>15</v>
      </c>
      <c r="G6298" s="18">
        <v>516.42999999999995</v>
      </c>
      <c r="H6298" s="27">
        <f t="shared" si="196"/>
        <v>0</v>
      </c>
      <c r="I6298" s="18">
        <v>2.73</v>
      </c>
      <c r="J6298" s="27">
        <v>3436.15</v>
      </c>
      <c r="K6298" s="18">
        <f t="shared" si="197"/>
        <v>0</v>
      </c>
      <c r="L6298" s="27">
        <v>221.39</v>
      </c>
      <c r="M6298" s="36">
        <v>218.66</v>
      </c>
      <c r="N6298" s="18" t="s">
        <v>123</v>
      </c>
      <c r="O6298" s="19">
        <v>2919.72</v>
      </c>
      <c r="T6298" s="41">
        <v>0</v>
      </c>
      <c r="U6298" s="41">
        <v>0</v>
      </c>
      <c r="V6298" s="42" t="s">
        <v>113</v>
      </c>
      <c r="W6298" s="42">
        <v>0</v>
      </c>
      <c r="X6298" s="42">
        <v>0</v>
      </c>
    </row>
    <row r="6299" spans="1:24">
      <c r="A6299" s="27" t="s">
        <v>11588</v>
      </c>
      <c r="B6299" s="28" t="s">
        <v>5102</v>
      </c>
      <c r="C6299" s="27" t="s">
        <v>11589</v>
      </c>
      <c r="D6299" s="27" t="s">
        <v>5104</v>
      </c>
      <c r="E6299" s="29">
        <v>43409</v>
      </c>
      <c r="F6299" s="27">
        <v>15</v>
      </c>
      <c r="G6299" s="18">
        <v>549.74</v>
      </c>
      <c r="H6299" s="27">
        <f t="shared" si="196"/>
        <v>0</v>
      </c>
      <c r="I6299" s="18">
        <v>2.9</v>
      </c>
      <c r="J6299" s="27">
        <v>3436.15</v>
      </c>
      <c r="K6299" s="18">
        <f t="shared" si="197"/>
        <v>0</v>
      </c>
      <c r="L6299" s="27">
        <v>221.54</v>
      </c>
      <c r="M6299" s="36">
        <v>218.64</v>
      </c>
      <c r="N6299" s="18" t="s">
        <v>123</v>
      </c>
      <c r="O6299" s="19">
        <v>2886.41</v>
      </c>
      <c r="T6299" s="41">
        <v>0</v>
      </c>
      <c r="U6299" s="41">
        <v>0</v>
      </c>
      <c r="V6299" s="42" t="s">
        <v>113</v>
      </c>
      <c r="W6299" s="42">
        <v>0</v>
      </c>
      <c r="X6299" s="42">
        <v>0</v>
      </c>
    </row>
    <row r="6300" spans="1:24">
      <c r="A6300" s="27" t="s">
        <v>11590</v>
      </c>
      <c r="B6300" s="28" t="s">
        <v>5102</v>
      </c>
      <c r="C6300" s="27" t="s">
        <v>11591</v>
      </c>
      <c r="D6300" s="27" t="s">
        <v>5104</v>
      </c>
      <c r="E6300" s="29">
        <v>43409</v>
      </c>
      <c r="F6300" s="27">
        <v>15</v>
      </c>
      <c r="G6300" s="18">
        <v>516.42999999999995</v>
      </c>
      <c r="H6300" s="27">
        <f t="shared" si="196"/>
        <v>0</v>
      </c>
      <c r="I6300" s="18">
        <v>2.73</v>
      </c>
      <c r="J6300" s="27">
        <v>3436.15</v>
      </c>
      <c r="K6300" s="18">
        <f t="shared" si="197"/>
        <v>0</v>
      </c>
      <c r="L6300" s="27">
        <v>221.39</v>
      </c>
      <c r="M6300" s="36">
        <v>218.66</v>
      </c>
      <c r="N6300" s="18" t="s">
        <v>123</v>
      </c>
      <c r="O6300" s="19">
        <v>2919.72</v>
      </c>
      <c r="T6300" s="41">
        <v>0</v>
      </c>
      <c r="U6300" s="41">
        <v>0</v>
      </c>
      <c r="V6300" s="42" t="s">
        <v>113</v>
      </c>
      <c r="W6300" s="42">
        <v>0</v>
      </c>
      <c r="X6300" s="42">
        <v>0</v>
      </c>
    </row>
    <row r="6301" spans="1:24">
      <c r="A6301" s="27" t="s">
        <v>11592</v>
      </c>
      <c r="B6301" s="28" t="s">
        <v>5102</v>
      </c>
      <c r="C6301" s="27" t="s">
        <v>11593</v>
      </c>
      <c r="D6301" s="27" t="s">
        <v>5104</v>
      </c>
      <c r="E6301" s="29">
        <v>43409</v>
      </c>
      <c r="F6301" s="27">
        <v>15</v>
      </c>
      <c r="G6301" s="18">
        <v>732.99</v>
      </c>
      <c r="H6301" s="27">
        <f t="shared" si="196"/>
        <v>0</v>
      </c>
      <c r="I6301" s="18">
        <v>3.87</v>
      </c>
      <c r="J6301" s="27">
        <v>3436.15</v>
      </c>
      <c r="K6301" s="18">
        <f t="shared" si="197"/>
        <v>0</v>
      </c>
      <c r="L6301" s="27">
        <v>222.45</v>
      </c>
      <c r="M6301" s="36">
        <v>218.58</v>
      </c>
      <c r="N6301" s="18" t="s">
        <v>123</v>
      </c>
      <c r="O6301" s="19">
        <v>2703.16</v>
      </c>
      <c r="T6301" s="41">
        <v>0</v>
      </c>
      <c r="U6301" s="41">
        <v>0</v>
      </c>
      <c r="V6301" s="42" t="s">
        <v>113</v>
      </c>
      <c r="W6301" s="42">
        <v>0</v>
      </c>
      <c r="X6301" s="42">
        <v>0</v>
      </c>
    </row>
    <row r="6302" spans="1:24">
      <c r="A6302" s="27" t="s">
        <v>11594</v>
      </c>
      <c r="B6302" s="28" t="s">
        <v>5102</v>
      </c>
      <c r="C6302" s="27" t="s">
        <v>11595</v>
      </c>
      <c r="D6302" s="27" t="s">
        <v>5104</v>
      </c>
      <c r="E6302" s="29">
        <v>43409</v>
      </c>
      <c r="F6302" s="27">
        <v>15</v>
      </c>
      <c r="G6302" s="18">
        <v>516.42999999999995</v>
      </c>
      <c r="H6302" s="27">
        <f t="shared" si="196"/>
        <v>0</v>
      </c>
      <c r="I6302" s="18">
        <v>2.73</v>
      </c>
      <c r="J6302" s="27">
        <v>3436.15</v>
      </c>
      <c r="K6302" s="18">
        <f t="shared" si="197"/>
        <v>0</v>
      </c>
      <c r="L6302" s="27">
        <v>221.39</v>
      </c>
      <c r="M6302" s="36">
        <v>218.66</v>
      </c>
      <c r="N6302" s="18" t="s">
        <v>123</v>
      </c>
      <c r="O6302" s="19">
        <v>2919.72</v>
      </c>
      <c r="T6302" s="41">
        <v>0</v>
      </c>
      <c r="U6302" s="41">
        <v>0</v>
      </c>
      <c r="V6302" s="42" t="s">
        <v>113</v>
      </c>
      <c r="W6302" s="42">
        <v>0</v>
      </c>
      <c r="X6302" s="42">
        <v>0</v>
      </c>
    </row>
    <row r="6303" spans="1:24">
      <c r="A6303" s="27" t="s">
        <v>11596</v>
      </c>
      <c r="B6303" s="28" t="s">
        <v>5102</v>
      </c>
      <c r="C6303" s="27" t="s">
        <v>11597</v>
      </c>
      <c r="D6303" s="27" t="s">
        <v>5104</v>
      </c>
      <c r="E6303" s="29">
        <v>43409</v>
      </c>
      <c r="F6303" s="27">
        <v>15</v>
      </c>
      <c r="G6303" s="18">
        <v>516.42999999999995</v>
      </c>
      <c r="H6303" s="27">
        <f t="shared" si="196"/>
        <v>0</v>
      </c>
      <c r="I6303" s="18">
        <v>2.73</v>
      </c>
      <c r="J6303" s="27">
        <v>3436.15</v>
      </c>
      <c r="K6303" s="18">
        <f t="shared" si="197"/>
        <v>0</v>
      </c>
      <c r="L6303" s="27">
        <v>221.39</v>
      </c>
      <c r="M6303" s="36">
        <v>218.66</v>
      </c>
      <c r="N6303" s="18" t="s">
        <v>123</v>
      </c>
      <c r="O6303" s="19">
        <v>2919.72</v>
      </c>
      <c r="T6303" s="41">
        <v>0</v>
      </c>
      <c r="U6303" s="41">
        <v>0</v>
      </c>
      <c r="V6303" s="42" t="s">
        <v>113</v>
      </c>
      <c r="W6303" s="42">
        <v>0</v>
      </c>
      <c r="X6303" s="42">
        <v>0</v>
      </c>
    </row>
    <row r="6304" spans="1:24">
      <c r="A6304" s="27" t="s">
        <v>11598</v>
      </c>
      <c r="B6304" s="28" t="s">
        <v>5102</v>
      </c>
      <c r="C6304" s="27" t="s">
        <v>11599</v>
      </c>
      <c r="D6304" s="27" t="s">
        <v>5104</v>
      </c>
      <c r="E6304" s="29">
        <v>43409</v>
      </c>
      <c r="F6304" s="27">
        <v>15</v>
      </c>
      <c r="G6304" s="18">
        <v>533.09</v>
      </c>
      <c r="H6304" s="27">
        <f t="shared" si="196"/>
        <v>0</v>
      </c>
      <c r="I6304" s="18">
        <v>2.81</v>
      </c>
      <c r="J6304" s="27">
        <v>3436.15</v>
      </c>
      <c r="K6304" s="18">
        <f t="shared" si="197"/>
        <v>0</v>
      </c>
      <c r="L6304" s="27">
        <v>221.46</v>
      </c>
      <c r="M6304" s="36">
        <v>218.65</v>
      </c>
      <c r="N6304" s="18" t="s">
        <v>123</v>
      </c>
      <c r="O6304" s="19">
        <v>2903.06</v>
      </c>
      <c r="T6304" s="41">
        <v>0</v>
      </c>
      <c r="U6304" s="41">
        <v>0</v>
      </c>
      <c r="V6304" s="42" t="s">
        <v>113</v>
      </c>
      <c r="W6304" s="42">
        <v>0</v>
      </c>
      <c r="X6304" s="42">
        <v>0</v>
      </c>
    </row>
    <row r="6305" spans="1:24">
      <c r="A6305" s="27" t="s">
        <v>11600</v>
      </c>
      <c r="B6305" s="28" t="s">
        <v>5102</v>
      </c>
      <c r="C6305" s="27" t="s">
        <v>11601</v>
      </c>
      <c r="D6305" s="27" t="s">
        <v>5104</v>
      </c>
      <c r="E6305" s="29">
        <v>43409</v>
      </c>
      <c r="F6305" s="27">
        <v>15</v>
      </c>
      <c r="G6305" s="18">
        <v>516.42999999999995</v>
      </c>
      <c r="H6305" s="27">
        <f t="shared" si="196"/>
        <v>0</v>
      </c>
      <c r="I6305" s="18">
        <v>2.73</v>
      </c>
      <c r="J6305" s="27">
        <v>3436.15</v>
      </c>
      <c r="K6305" s="18">
        <f t="shared" si="197"/>
        <v>0</v>
      </c>
      <c r="L6305" s="27">
        <v>221.39</v>
      </c>
      <c r="M6305" s="36">
        <v>218.66</v>
      </c>
      <c r="N6305" s="18" t="s">
        <v>123</v>
      </c>
      <c r="O6305" s="19">
        <v>2919.72</v>
      </c>
      <c r="T6305" s="41">
        <v>0</v>
      </c>
      <c r="U6305" s="41">
        <v>0</v>
      </c>
      <c r="V6305" s="42" t="s">
        <v>113</v>
      </c>
      <c r="W6305" s="42">
        <v>0</v>
      </c>
      <c r="X6305" s="42">
        <v>0</v>
      </c>
    </row>
    <row r="6306" spans="1:24">
      <c r="A6306" s="27" t="s">
        <v>11602</v>
      </c>
      <c r="B6306" s="28" t="s">
        <v>5102</v>
      </c>
      <c r="C6306" s="27" t="s">
        <v>11603</v>
      </c>
      <c r="D6306" s="27" t="s">
        <v>5104</v>
      </c>
      <c r="E6306" s="29">
        <v>43409</v>
      </c>
      <c r="F6306" s="27">
        <v>15</v>
      </c>
      <c r="G6306" s="18">
        <v>516.42999999999995</v>
      </c>
      <c r="H6306" s="27">
        <f t="shared" si="196"/>
        <v>0</v>
      </c>
      <c r="I6306" s="18">
        <v>2.73</v>
      </c>
      <c r="J6306" s="27">
        <v>3436.14</v>
      </c>
      <c r="K6306" s="18">
        <f t="shared" si="197"/>
        <v>0</v>
      </c>
      <c r="L6306" s="27">
        <v>221.38</v>
      </c>
      <c r="M6306" s="36">
        <v>218.65</v>
      </c>
      <c r="N6306" s="18" t="s">
        <v>123</v>
      </c>
      <c r="O6306" s="19">
        <v>2919.71</v>
      </c>
      <c r="T6306" s="41">
        <v>0</v>
      </c>
      <c r="U6306" s="41">
        <v>0</v>
      </c>
      <c r="V6306" s="42" t="s">
        <v>113</v>
      </c>
      <c r="W6306" s="42">
        <v>0</v>
      </c>
      <c r="X6306" s="42">
        <v>0</v>
      </c>
    </row>
    <row r="6307" spans="1:24">
      <c r="A6307" s="27" t="s">
        <v>11604</v>
      </c>
      <c r="B6307" s="28" t="s">
        <v>5102</v>
      </c>
      <c r="C6307" s="27" t="s">
        <v>11605</v>
      </c>
      <c r="D6307" s="27" t="s">
        <v>5104</v>
      </c>
      <c r="E6307" s="29">
        <v>43409</v>
      </c>
      <c r="F6307" s="27">
        <v>15</v>
      </c>
      <c r="G6307" s="18">
        <v>516.42999999999995</v>
      </c>
      <c r="H6307" s="27">
        <f t="shared" si="196"/>
        <v>0</v>
      </c>
      <c r="I6307" s="18">
        <v>2.73</v>
      </c>
      <c r="J6307" s="27">
        <v>3436.14</v>
      </c>
      <c r="K6307" s="18">
        <f t="shared" si="197"/>
        <v>0</v>
      </c>
      <c r="L6307" s="27">
        <v>221.38</v>
      </c>
      <c r="M6307" s="36">
        <v>218.65</v>
      </c>
      <c r="N6307" s="18" t="s">
        <v>123</v>
      </c>
      <c r="O6307" s="19">
        <v>2919.71</v>
      </c>
      <c r="T6307" s="41">
        <v>0</v>
      </c>
      <c r="U6307" s="41">
        <v>0</v>
      </c>
      <c r="V6307" s="42" t="s">
        <v>113</v>
      </c>
      <c r="W6307" s="42">
        <v>0</v>
      </c>
      <c r="X6307" s="42">
        <v>0</v>
      </c>
    </row>
    <row r="6308" spans="1:24">
      <c r="A6308" s="27" t="s">
        <v>11606</v>
      </c>
      <c r="B6308" s="28" t="s">
        <v>5102</v>
      </c>
      <c r="C6308" s="27" t="s">
        <v>11607</v>
      </c>
      <c r="D6308" s="27" t="s">
        <v>5104</v>
      </c>
      <c r="E6308" s="29">
        <v>43409</v>
      </c>
      <c r="F6308" s="27">
        <v>15</v>
      </c>
      <c r="G6308" s="18">
        <v>666.36</v>
      </c>
      <c r="H6308" s="27">
        <f t="shared" si="196"/>
        <v>0</v>
      </c>
      <c r="I6308" s="18">
        <v>3.52</v>
      </c>
      <c r="J6308" s="27">
        <v>3436.14</v>
      </c>
      <c r="K6308" s="18">
        <f t="shared" si="197"/>
        <v>0</v>
      </c>
      <c r="L6308" s="27">
        <v>222.12</v>
      </c>
      <c r="M6308" s="36">
        <v>218.6</v>
      </c>
      <c r="N6308" s="18" t="s">
        <v>123</v>
      </c>
      <c r="O6308" s="19">
        <v>2769.78</v>
      </c>
      <c r="T6308" s="41">
        <v>0</v>
      </c>
      <c r="U6308" s="41">
        <v>0</v>
      </c>
      <c r="V6308" s="42" t="s">
        <v>113</v>
      </c>
      <c r="W6308" s="42">
        <v>0</v>
      </c>
      <c r="X6308" s="42">
        <v>0</v>
      </c>
    </row>
    <row r="6309" spans="1:24">
      <c r="A6309" s="27" t="s">
        <v>11608</v>
      </c>
      <c r="B6309" s="28" t="s">
        <v>5102</v>
      </c>
      <c r="C6309" s="27" t="s">
        <v>11609</v>
      </c>
      <c r="D6309" s="27" t="s">
        <v>5104</v>
      </c>
      <c r="E6309" s="29">
        <v>43409</v>
      </c>
      <c r="F6309" s="27">
        <v>15</v>
      </c>
      <c r="G6309" s="18">
        <v>516.42999999999995</v>
      </c>
      <c r="H6309" s="27">
        <f t="shared" si="196"/>
        <v>0</v>
      </c>
      <c r="I6309" s="18">
        <v>2.73</v>
      </c>
      <c r="J6309" s="27">
        <v>3436.14</v>
      </c>
      <c r="K6309" s="18">
        <f t="shared" si="197"/>
        <v>0</v>
      </c>
      <c r="L6309" s="27">
        <v>221.38</v>
      </c>
      <c r="M6309" s="36">
        <v>218.65</v>
      </c>
      <c r="N6309" s="18" t="s">
        <v>123</v>
      </c>
      <c r="O6309" s="19">
        <v>2919.71</v>
      </c>
      <c r="T6309" s="41">
        <v>0</v>
      </c>
      <c r="U6309" s="41">
        <v>0</v>
      </c>
      <c r="V6309" s="42" t="s">
        <v>113</v>
      </c>
      <c r="W6309" s="42">
        <v>0</v>
      </c>
      <c r="X6309" s="42">
        <v>0</v>
      </c>
    </row>
    <row r="6310" spans="1:24">
      <c r="A6310" s="27" t="s">
        <v>11610</v>
      </c>
      <c r="B6310" s="28" t="s">
        <v>5102</v>
      </c>
      <c r="C6310" s="27" t="s">
        <v>11611</v>
      </c>
      <c r="D6310" s="27" t="s">
        <v>5104</v>
      </c>
      <c r="E6310" s="29">
        <v>43409</v>
      </c>
      <c r="F6310" s="27">
        <v>15</v>
      </c>
      <c r="G6310" s="18">
        <v>516.42999999999995</v>
      </c>
      <c r="H6310" s="27">
        <f t="shared" si="196"/>
        <v>0</v>
      </c>
      <c r="I6310" s="18">
        <v>2.73</v>
      </c>
      <c r="J6310" s="27">
        <v>3436.14</v>
      </c>
      <c r="K6310" s="18">
        <f t="shared" si="197"/>
        <v>0</v>
      </c>
      <c r="L6310" s="27">
        <v>221.38</v>
      </c>
      <c r="M6310" s="36">
        <v>218.65</v>
      </c>
      <c r="N6310" s="18" t="s">
        <v>123</v>
      </c>
      <c r="O6310" s="19">
        <v>2919.71</v>
      </c>
      <c r="T6310" s="41">
        <v>0</v>
      </c>
      <c r="U6310" s="41">
        <v>0</v>
      </c>
      <c r="V6310" s="42" t="s">
        <v>113</v>
      </c>
      <c r="W6310" s="42">
        <v>0</v>
      </c>
      <c r="X6310" s="42">
        <v>0</v>
      </c>
    </row>
    <row r="6311" spans="1:24">
      <c r="A6311" s="27" t="s">
        <v>11612</v>
      </c>
      <c r="B6311" s="28" t="s">
        <v>5102</v>
      </c>
      <c r="C6311" s="27" t="s">
        <v>11613</v>
      </c>
      <c r="D6311" s="27" t="s">
        <v>5104</v>
      </c>
      <c r="E6311" s="29">
        <v>43409</v>
      </c>
      <c r="F6311" s="27">
        <v>15</v>
      </c>
      <c r="G6311" s="18">
        <v>516.42999999999995</v>
      </c>
      <c r="H6311" s="27">
        <f t="shared" si="196"/>
        <v>0</v>
      </c>
      <c r="I6311" s="18">
        <v>2.73</v>
      </c>
      <c r="J6311" s="27">
        <v>3436.14</v>
      </c>
      <c r="K6311" s="18">
        <f t="shared" si="197"/>
        <v>0</v>
      </c>
      <c r="L6311" s="27">
        <v>221.38</v>
      </c>
      <c r="M6311" s="36">
        <v>218.65</v>
      </c>
      <c r="N6311" s="18" t="s">
        <v>123</v>
      </c>
      <c r="O6311" s="19">
        <v>2919.71</v>
      </c>
      <c r="T6311" s="41">
        <v>0</v>
      </c>
      <c r="U6311" s="41">
        <v>0</v>
      </c>
      <c r="V6311" s="42" t="s">
        <v>113</v>
      </c>
      <c r="W6311" s="42">
        <v>0</v>
      </c>
      <c r="X6311" s="42">
        <v>0</v>
      </c>
    </row>
    <row r="6312" spans="1:24">
      <c r="A6312" s="27" t="s">
        <v>11614</v>
      </c>
      <c r="B6312" s="28" t="s">
        <v>5102</v>
      </c>
      <c r="C6312" s="27" t="s">
        <v>11615</v>
      </c>
      <c r="D6312" s="27" t="s">
        <v>5104</v>
      </c>
      <c r="E6312" s="29">
        <v>43409</v>
      </c>
      <c r="F6312" s="27">
        <v>15</v>
      </c>
      <c r="G6312" s="18">
        <v>533.09</v>
      </c>
      <c r="H6312" s="27">
        <f t="shared" si="196"/>
        <v>0</v>
      </c>
      <c r="I6312" s="18">
        <v>2.81</v>
      </c>
      <c r="J6312" s="27">
        <v>3436.14</v>
      </c>
      <c r="K6312" s="18">
        <f t="shared" si="197"/>
        <v>0</v>
      </c>
      <c r="L6312" s="27">
        <v>221.46</v>
      </c>
      <c r="M6312" s="36">
        <v>218.65</v>
      </c>
      <c r="N6312" s="18" t="s">
        <v>123</v>
      </c>
      <c r="O6312" s="19">
        <v>2903.05</v>
      </c>
      <c r="T6312" s="41">
        <v>0</v>
      </c>
      <c r="U6312" s="41">
        <v>0</v>
      </c>
      <c r="V6312" s="42" t="s">
        <v>113</v>
      </c>
      <c r="W6312" s="42">
        <v>0</v>
      </c>
      <c r="X6312" s="42">
        <v>0</v>
      </c>
    </row>
    <row r="6313" spans="1:24">
      <c r="A6313" s="27" t="s">
        <v>11616</v>
      </c>
      <c r="B6313" s="28" t="s">
        <v>5102</v>
      </c>
      <c r="C6313" s="27" t="s">
        <v>11617</v>
      </c>
      <c r="D6313" s="27" t="s">
        <v>5104</v>
      </c>
      <c r="E6313" s="29">
        <v>43409</v>
      </c>
      <c r="F6313" s="27">
        <v>15</v>
      </c>
      <c r="G6313" s="18">
        <v>516.42999999999995</v>
      </c>
      <c r="H6313" s="27">
        <f t="shared" si="196"/>
        <v>0</v>
      </c>
      <c r="I6313" s="18">
        <v>2.73</v>
      </c>
      <c r="J6313" s="27">
        <v>3436.14</v>
      </c>
      <c r="K6313" s="18">
        <f t="shared" si="197"/>
        <v>0</v>
      </c>
      <c r="L6313" s="27">
        <v>221.38</v>
      </c>
      <c r="M6313" s="36">
        <v>218.65</v>
      </c>
      <c r="N6313" s="18" t="s">
        <v>123</v>
      </c>
      <c r="O6313" s="19">
        <v>2919.71</v>
      </c>
      <c r="T6313" s="41">
        <v>0</v>
      </c>
      <c r="U6313" s="41">
        <v>0</v>
      </c>
      <c r="V6313" s="42" t="s">
        <v>113</v>
      </c>
      <c r="W6313" s="42">
        <v>0</v>
      </c>
      <c r="X6313" s="42">
        <v>0</v>
      </c>
    </row>
    <row r="6314" spans="1:24">
      <c r="A6314" s="27" t="s">
        <v>11618</v>
      </c>
      <c r="B6314" s="28" t="s">
        <v>5102</v>
      </c>
      <c r="C6314" s="27" t="s">
        <v>11619</v>
      </c>
      <c r="D6314" s="27" t="s">
        <v>5104</v>
      </c>
      <c r="E6314" s="29">
        <v>43409</v>
      </c>
      <c r="F6314" s="27">
        <v>15</v>
      </c>
      <c r="G6314" s="18">
        <v>533.09</v>
      </c>
      <c r="H6314" s="27">
        <f t="shared" si="196"/>
        <v>0</v>
      </c>
      <c r="I6314" s="18">
        <v>2.81</v>
      </c>
      <c r="J6314" s="27">
        <v>3436.14</v>
      </c>
      <c r="K6314" s="18">
        <f t="shared" si="197"/>
        <v>0</v>
      </c>
      <c r="L6314" s="27">
        <v>221.46</v>
      </c>
      <c r="M6314" s="36">
        <v>218.65</v>
      </c>
      <c r="N6314" s="18" t="s">
        <v>123</v>
      </c>
      <c r="O6314" s="19">
        <v>2903.05</v>
      </c>
      <c r="T6314" s="41">
        <v>0</v>
      </c>
      <c r="U6314" s="41">
        <v>0</v>
      </c>
      <c r="V6314" s="42" t="s">
        <v>113</v>
      </c>
      <c r="W6314" s="42">
        <v>0</v>
      </c>
      <c r="X6314" s="42">
        <v>0</v>
      </c>
    </row>
    <row r="6315" spans="1:24">
      <c r="A6315" s="27" t="s">
        <v>11620</v>
      </c>
      <c r="B6315" s="28" t="s">
        <v>5102</v>
      </c>
      <c r="C6315" s="27" t="s">
        <v>11621</v>
      </c>
      <c r="D6315" s="27" t="s">
        <v>5104</v>
      </c>
      <c r="E6315" s="29">
        <v>43409</v>
      </c>
      <c r="F6315" s="27">
        <v>15</v>
      </c>
      <c r="G6315" s="18">
        <v>549.74</v>
      </c>
      <c r="H6315" s="27">
        <f t="shared" si="196"/>
        <v>0</v>
      </c>
      <c r="I6315" s="18">
        <v>2.9</v>
      </c>
      <c r="J6315" s="27">
        <v>3436.14</v>
      </c>
      <c r="K6315" s="18">
        <f t="shared" si="197"/>
        <v>0</v>
      </c>
      <c r="L6315" s="27">
        <v>221.54</v>
      </c>
      <c r="M6315" s="36">
        <v>218.64</v>
      </c>
      <c r="N6315" s="18" t="s">
        <v>123</v>
      </c>
      <c r="O6315" s="19">
        <v>2886.4</v>
      </c>
      <c r="T6315" s="41">
        <v>0</v>
      </c>
      <c r="U6315" s="41">
        <v>0</v>
      </c>
      <c r="V6315" s="42" t="s">
        <v>113</v>
      </c>
      <c r="W6315" s="42">
        <v>0</v>
      </c>
      <c r="X6315" s="42">
        <v>0</v>
      </c>
    </row>
    <row r="6316" spans="1:24">
      <c r="A6316" s="27" t="s">
        <v>11622</v>
      </c>
      <c r="B6316" s="28" t="s">
        <v>5102</v>
      </c>
      <c r="C6316" s="27" t="s">
        <v>11623</v>
      </c>
      <c r="D6316" s="27" t="s">
        <v>5104</v>
      </c>
      <c r="E6316" s="29">
        <v>43409</v>
      </c>
      <c r="F6316" s="27">
        <v>15</v>
      </c>
      <c r="G6316" s="18">
        <v>516.42999999999995</v>
      </c>
      <c r="H6316" s="27">
        <f t="shared" si="196"/>
        <v>0</v>
      </c>
      <c r="I6316" s="18">
        <v>2.73</v>
      </c>
      <c r="J6316" s="27">
        <v>3436.14</v>
      </c>
      <c r="K6316" s="18">
        <f t="shared" si="197"/>
        <v>0</v>
      </c>
      <c r="L6316" s="27">
        <v>221.38</v>
      </c>
      <c r="M6316" s="36">
        <v>218.65</v>
      </c>
      <c r="N6316" s="18" t="s">
        <v>123</v>
      </c>
      <c r="O6316" s="19">
        <v>2919.71</v>
      </c>
      <c r="T6316" s="41">
        <v>0</v>
      </c>
      <c r="U6316" s="41">
        <v>0</v>
      </c>
      <c r="V6316" s="42" t="s">
        <v>113</v>
      </c>
      <c r="W6316" s="42">
        <v>0</v>
      </c>
      <c r="X6316" s="42">
        <v>0</v>
      </c>
    </row>
    <row r="6317" spans="1:24">
      <c r="A6317" s="27" t="s">
        <v>11624</v>
      </c>
      <c r="B6317" s="28" t="s">
        <v>5102</v>
      </c>
      <c r="C6317" s="27" t="s">
        <v>11625</v>
      </c>
      <c r="D6317" s="27" t="s">
        <v>5104</v>
      </c>
      <c r="E6317" s="29">
        <v>43409</v>
      </c>
      <c r="F6317" s="27">
        <v>15</v>
      </c>
      <c r="G6317" s="18">
        <v>533.09</v>
      </c>
      <c r="H6317" s="27">
        <f t="shared" si="196"/>
        <v>0</v>
      </c>
      <c r="I6317" s="18">
        <v>2.81</v>
      </c>
      <c r="J6317" s="27">
        <v>3436.14</v>
      </c>
      <c r="K6317" s="18">
        <f t="shared" si="197"/>
        <v>0</v>
      </c>
      <c r="L6317" s="27">
        <v>221.46</v>
      </c>
      <c r="M6317" s="36">
        <v>218.65</v>
      </c>
      <c r="N6317" s="18" t="s">
        <v>123</v>
      </c>
      <c r="O6317" s="19">
        <v>2903.05</v>
      </c>
      <c r="T6317" s="41">
        <v>0</v>
      </c>
      <c r="U6317" s="41">
        <v>0</v>
      </c>
      <c r="V6317" s="42" t="s">
        <v>113</v>
      </c>
      <c r="W6317" s="42">
        <v>0</v>
      </c>
      <c r="X6317" s="42">
        <v>0</v>
      </c>
    </row>
    <row r="6318" spans="1:24">
      <c r="A6318" s="27" t="s">
        <v>11626</v>
      </c>
      <c r="B6318" s="28" t="s">
        <v>5102</v>
      </c>
      <c r="C6318" s="27" t="s">
        <v>11627</v>
      </c>
      <c r="D6318" s="27" t="s">
        <v>5104</v>
      </c>
      <c r="E6318" s="29">
        <v>43409</v>
      </c>
      <c r="F6318" s="27">
        <v>15</v>
      </c>
      <c r="G6318" s="18">
        <v>566.4</v>
      </c>
      <c r="H6318" s="27">
        <f t="shared" si="196"/>
        <v>0</v>
      </c>
      <c r="I6318" s="18">
        <v>2.99</v>
      </c>
      <c r="J6318" s="27">
        <v>3436.14</v>
      </c>
      <c r="K6318" s="18">
        <f t="shared" si="197"/>
        <v>0</v>
      </c>
      <c r="L6318" s="27">
        <v>221.63</v>
      </c>
      <c r="M6318" s="36">
        <v>218.64</v>
      </c>
      <c r="N6318" s="18" t="s">
        <v>123</v>
      </c>
      <c r="O6318" s="19">
        <v>2869.74</v>
      </c>
      <c r="T6318" s="41">
        <v>0</v>
      </c>
      <c r="U6318" s="41">
        <v>0</v>
      </c>
      <c r="V6318" s="42" t="s">
        <v>113</v>
      </c>
      <c r="W6318" s="42">
        <v>0</v>
      </c>
      <c r="X6318" s="42">
        <v>0</v>
      </c>
    </row>
    <row r="6319" spans="1:24">
      <c r="A6319" s="27" t="s">
        <v>11628</v>
      </c>
      <c r="B6319" s="28" t="s">
        <v>5102</v>
      </c>
      <c r="C6319" s="27" t="s">
        <v>11629</v>
      </c>
      <c r="D6319" s="27" t="s">
        <v>5104</v>
      </c>
      <c r="E6319" s="29">
        <v>43409</v>
      </c>
      <c r="F6319" s="27">
        <v>15</v>
      </c>
      <c r="G6319" s="18">
        <v>566.4</v>
      </c>
      <c r="H6319" s="27">
        <f t="shared" si="196"/>
        <v>0</v>
      </c>
      <c r="I6319" s="18">
        <v>2.99</v>
      </c>
      <c r="J6319" s="27">
        <v>3436.14</v>
      </c>
      <c r="K6319" s="18">
        <f t="shared" si="197"/>
        <v>0</v>
      </c>
      <c r="L6319" s="27">
        <v>221.63</v>
      </c>
      <c r="M6319" s="36">
        <v>218.64</v>
      </c>
      <c r="N6319" s="18" t="s">
        <v>123</v>
      </c>
      <c r="O6319" s="19">
        <v>2869.74</v>
      </c>
      <c r="T6319" s="41">
        <v>0</v>
      </c>
      <c r="U6319" s="41">
        <v>0</v>
      </c>
      <c r="V6319" s="42" t="s">
        <v>113</v>
      </c>
      <c r="W6319" s="42">
        <v>0</v>
      </c>
      <c r="X6319" s="42">
        <v>0</v>
      </c>
    </row>
    <row r="6320" spans="1:24">
      <c r="A6320" s="27" t="s">
        <v>11630</v>
      </c>
      <c r="B6320" s="28" t="s">
        <v>5102</v>
      </c>
      <c r="C6320" s="27" t="s">
        <v>11631</v>
      </c>
      <c r="D6320" s="27" t="s">
        <v>5104</v>
      </c>
      <c r="E6320" s="29">
        <v>43409</v>
      </c>
      <c r="F6320" s="27">
        <v>15</v>
      </c>
      <c r="G6320" s="18">
        <v>533.09</v>
      </c>
      <c r="H6320" s="27">
        <f t="shared" si="196"/>
        <v>0</v>
      </c>
      <c r="I6320" s="18">
        <v>2.81</v>
      </c>
      <c r="J6320" s="27">
        <v>3436.14</v>
      </c>
      <c r="K6320" s="18">
        <f t="shared" si="197"/>
        <v>0</v>
      </c>
      <c r="L6320" s="27">
        <v>221.46</v>
      </c>
      <c r="M6320" s="36">
        <v>218.65</v>
      </c>
      <c r="N6320" s="18" t="s">
        <v>123</v>
      </c>
      <c r="O6320" s="19">
        <v>2903.05</v>
      </c>
      <c r="T6320" s="41">
        <v>0</v>
      </c>
      <c r="U6320" s="41">
        <v>0</v>
      </c>
      <c r="V6320" s="42" t="s">
        <v>113</v>
      </c>
      <c r="W6320" s="42">
        <v>0</v>
      </c>
      <c r="X6320" s="42">
        <v>0</v>
      </c>
    </row>
    <row r="6321" spans="1:24">
      <c r="A6321" s="27" t="s">
        <v>11632</v>
      </c>
      <c r="B6321" s="28" t="s">
        <v>5102</v>
      </c>
      <c r="C6321" s="27" t="s">
        <v>11633</v>
      </c>
      <c r="D6321" s="27" t="s">
        <v>5104</v>
      </c>
      <c r="E6321" s="29">
        <v>43409</v>
      </c>
      <c r="F6321" s="27">
        <v>15</v>
      </c>
      <c r="G6321" s="18">
        <v>549.74</v>
      </c>
      <c r="H6321" s="27">
        <f t="shared" si="196"/>
        <v>0</v>
      </c>
      <c r="I6321" s="18">
        <v>2.9</v>
      </c>
      <c r="J6321" s="27">
        <v>1046.54</v>
      </c>
      <c r="K6321" s="18">
        <f t="shared" si="197"/>
        <v>0</v>
      </c>
      <c r="L6321" s="27">
        <v>69.36</v>
      </c>
      <c r="M6321" s="36">
        <v>66.459999999999994</v>
      </c>
      <c r="N6321" s="18" t="s">
        <v>123</v>
      </c>
      <c r="O6321" s="19">
        <v>496.8</v>
      </c>
      <c r="T6321" s="41">
        <v>0</v>
      </c>
      <c r="U6321" s="41">
        <v>0</v>
      </c>
      <c r="V6321" s="42" t="s">
        <v>113</v>
      </c>
      <c r="W6321" s="42">
        <v>0</v>
      </c>
      <c r="X6321" s="42">
        <v>0</v>
      </c>
    </row>
    <row r="6322" spans="1:24">
      <c r="A6322" s="27" t="s">
        <v>11634</v>
      </c>
      <c r="B6322" s="28" t="s">
        <v>5102</v>
      </c>
      <c r="C6322" s="27" t="s">
        <v>11635</v>
      </c>
      <c r="D6322" s="27" t="s">
        <v>5104</v>
      </c>
      <c r="E6322" s="29">
        <v>43409</v>
      </c>
      <c r="F6322" s="27">
        <v>15</v>
      </c>
      <c r="G6322" s="18">
        <v>549.74</v>
      </c>
      <c r="H6322" s="27">
        <f t="shared" si="196"/>
        <v>0</v>
      </c>
      <c r="I6322" s="18">
        <v>2.9</v>
      </c>
      <c r="J6322" s="27">
        <v>1046.54</v>
      </c>
      <c r="K6322" s="18">
        <f t="shared" si="197"/>
        <v>0</v>
      </c>
      <c r="L6322" s="27">
        <v>69.36</v>
      </c>
      <c r="M6322" s="36">
        <v>66.459999999999994</v>
      </c>
      <c r="N6322" s="18" t="s">
        <v>123</v>
      </c>
      <c r="O6322" s="19">
        <v>496.8</v>
      </c>
      <c r="T6322" s="41">
        <v>0</v>
      </c>
      <c r="U6322" s="41">
        <v>0</v>
      </c>
      <c r="V6322" s="42" t="s">
        <v>113</v>
      </c>
      <c r="W6322" s="42">
        <v>0</v>
      </c>
      <c r="X6322" s="42">
        <v>0</v>
      </c>
    </row>
    <row r="6323" spans="1:24">
      <c r="A6323" s="27" t="s">
        <v>11636</v>
      </c>
      <c r="B6323" s="28" t="s">
        <v>5102</v>
      </c>
      <c r="C6323" s="27" t="s">
        <v>11637</v>
      </c>
      <c r="D6323" s="27" t="s">
        <v>5104</v>
      </c>
      <c r="E6323" s="29">
        <v>43409</v>
      </c>
      <c r="F6323" s="27">
        <v>15</v>
      </c>
      <c r="G6323" s="18">
        <v>666.36</v>
      </c>
      <c r="H6323" s="27">
        <f t="shared" si="196"/>
        <v>0</v>
      </c>
      <c r="I6323" s="18">
        <v>3.52</v>
      </c>
      <c r="J6323" s="27">
        <v>1046.54</v>
      </c>
      <c r="K6323" s="18">
        <f t="shared" si="197"/>
        <v>0</v>
      </c>
      <c r="L6323" s="27">
        <v>69.930000000000007</v>
      </c>
      <c r="M6323" s="36">
        <v>66.41</v>
      </c>
      <c r="N6323" s="18" t="s">
        <v>123</v>
      </c>
      <c r="O6323" s="19">
        <v>380.18</v>
      </c>
      <c r="T6323" s="41">
        <v>0</v>
      </c>
      <c r="U6323" s="41">
        <v>0</v>
      </c>
      <c r="V6323" s="42" t="s">
        <v>113</v>
      </c>
      <c r="W6323" s="42">
        <v>0</v>
      </c>
      <c r="X6323" s="42">
        <v>0</v>
      </c>
    </row>
    <row r="6324" spans="1:24">
      <c r="A6324" s="27" t="s">
        <v>11638</v>
      </c>
      <c r="B6324" s="28" t="s">
        <v>5102</v>
      </c>
      <c r="C6324" s="27" t="s">
        <v>11639</v>
      </c>
      <c r="D6324" s="27" t="s">
        <v>5104</v>
      </c>
      <c r="E6324" s="29">
        <v>43409</v>
      </c>
      <c r="F6324" s="27">
        <v>15</v>
      </c>
      <c r="G6324" s="18">
        <v>583.05999999999995</v>
      </c>
      <c r="H6324" s="27">
        <f t="shared" si="196"/>
        <v>0</v>
      </c>
      <c r="I6324" s="18">
        <v>3.08</v>
      </c>
      <c r="J6324" s="27">
        <v>1046.54</v>
      </c>
      <c r="K6324" s="18">
        <f t="shared" si="197"/>
        <v>0</v>
      </c>
      <c r="L6324" s="27">
        <v>69.52</v>
      </c>
      <c r="M6324" s="36">
        <v>66.44</v>
      </c>
      <c r="N6324" s="18" t="s">
        <v>123</v>
      </c>
      <c r="O6324" s="19">
        <v>463.48</v>
      </c>
      <c r="T6324" s="41">
        <v>0</v>
      </c>
      <c r="U6324" s="41">
        <v>0</v>
      </c>
      <c r="V6324" s="42" t="s">
        <v>113</v>
      </c>
      <c r="W6324" s="42">
        <v>0</v>
      </c>
      <c r="X6324" s="42">
        <v>0</v>
      </c>
    </row>
    <row r="6325" spans="1:24">
      <c r="A6325" s="27" t="s">
        <v>11640</v>
      </c>
      <c r="B6325" s="28" t="s">
        <v>5102</v>
      </c>
      <c r="C6325" s="27" t="s">
        <v>11641</v>
      </c>
      <c r="D6325" s="27" t="s">
        <v>5104</v>
      </c>
      <c r="E6325" s="29">
        <v>43409</v>
      </c>
      <c r="F6325" s="27">
        <v>15</v>
      </c>
      <c r="G6325" s="18">
        <v>583.05999999999995</v>
      </c>
      <c r="H6325" s="27">
        <f t="shared" si="196"/>
        <v>0</v>
      </c>
      <c r="I6325" s="18">
        <v>3.08</v>
      </c>
      <c r="J6325" s="27">
        <v>1046.54</v>
      </c>
      <c r="K6325" s="18">
        <f t="shared" si="197"/>
        <v>0</v>
      </c>
      <c r="L6325" s="27">
        <v>69.52</v>
      </c>
      <c r="M6325" s="36">
        <v>66.44</v>
      </c>
      <c r="N6325" s="18" t="s">
        <v>123</v>
      </c>
      <c r="O6325" s="19">
        <v>463.48</v>
      </c>
      <c r="T6325" s="41">
        <v>0</v>
      </c>
      <c r="U6325" s="41">
        <v>0</v>
      </c>
      <c r="V6325" s="42" t="s">
        <v>113</v>
      </c>
      <c r="W6325" s="42">
        <v>0</v>
      </c>
      <c r="X6325" s="42">
        <v>0</v>
      </c>
    </row>
    <row r="6326" spans="1:24">
      <c r="A6326" s="27" t="s">
        <v>11642</v>
      </c>
      <c r="B6326" s="28" t="s">
        <v>5102</v>
      </c>
      <c r="C6326" s="27" t="s">
        <v>11643</v>
      </c>
      <c r="D6326" s="27" t="s">
        <v>5104</v>
      </c>
      <c r="E6326" s="29">
        <v>43409</v>
      </c>
      <c r="F6326" s="27">
        <v>15</v>
      </c>
      <c r="G6326" s="18">
        <v>599.72</v>
      </c>
      <c r="H6326" s="27">
        <f t="shared" si="196"/>
        <v>0</v>
      </c>
      <c r="I6326" s="18">
        <v>3.17</v>
      </c>
      <c r="J6326" s="27">
        <v>1046.54</v>
      </c>
      <c r="K6326" s="18">
        <f t="shared" si="197"/>
        <v>0</v>
      </c>
      <c r="L6326" s="27">
        <v>69.61</v>
      </c>
      <c r="M6326" s="36">
        <v>66.44</v>
      </c>
      <c r="N6326" s="18" t="s">
        <v>123</v>
      </c>
      <c r="O6326" s="19">
        <v>446.82</v>
      </c>
      <c r="T6326" s="41">
        <v>0</v>
      </c>
      <c r="U6326" s="41">
        <v>0</v>
      </c>
      <c r="V6326" s="42" t="s">
        <v>113</v>
      </c>
      <c r="W6326" s="42">
        <v>0</v>
      </c>
      <c r="X6326" s="42">
        <v>0</v>
      </c>
    </row>
    <row r="6327" spans="1:24">
      <c r="A6327" s="27" t="s">
        <v>11644</v>
      </c>
      <c r="B6327" s="28" t="s">
        <v>5102</v>
      </c>
      <c r="C6327" s="27" t="s">
        <v>11645</v>
      </c>
      <c r="D6327" s="27" t="s">
        <v>5104</v>
      </c>
      <c r="E6327" s="29">
        <v>43409</v>
      </c>
      <c r="F6327" s="27">
        <v>15</v>
      </c>
      <c r="G6327" s="18">
        <v>583.05999999999995</v>
      </c>
      <c r="H6327" s="27">
        <f t="shared" si="196"/>
        <v>0</v>
      </c>
      <c r="I6327" s="18">
        <v>3.08</v>
      </c>
      <c r="J6327" s="27">
        <v>1046.54</v>
      </c>
      <c r="K6327" s="18">
        <f t="shared" si="197"/>
        <v>0</v>
      </c>
      <c r="L6327" s="27">
        <v>69.52</v>
      </c>
      <c r="M6327" s="36">
        <v>66.44</v>
      </c>
      <c r="N6327" s="18" t="s">
        <v>123</v>
      </c>
      <c r="O6327" s="19">
        <v>463.48</v>
      </c>
      <c r="T6327" s="41">
        <v>0</v>
      </c>
      <c r="U6327" s="41">
        <v>0</v>
      </c>
      <c r="V6327" s="42" t="s">
        <v>113</v>
      </c>
      <c r="W6327" s="42">
        <v>0</v>
      </c>
      <c r="X6327" s="42">
        <v>0</v>
      </c>
    </row>
    <row r="6328" spans="1:24">
      <c r="A6328" s="27" t="s">
        <v>11646</v>
      </c>
      <c r="B6328" s="28" t="s">
        <v>5102</v>
      </c>
      <c r="C6328" s="27" t="s">
        <v>11647</v>
      </c>
      <c r="D6328" s="27" t="s">
        <v>5104</v>
      </c>
      <c r="E6328" s="29">
        <v>43409</v>
      </c>
      <c r="F6328" s="27">
        <v>15</v>
      </c>
      <c r="G6328" s="18">
        <v>583.05999999999995</v>
      </c>
      <c r="H6328" s="27">
        <f t="shared" si="196"/>
        <v>0</v>
      </c>
      <c r="I6328" s="18">
        <v>3.08</v>
      </c>
      <c r="J6328" s="27">
        <v>1046.54</v>
      </c>
      <c r="K6328" s="18">
        <f t="shared" si="197"/>
        <v>0</v>
      </c>
      <c r="L6328" s="27">
        <v>69.52</v>
      </c>
      <c r="M6328" s="36">
        <v>66.44</v>
      </c>
      <c r="N6328" s="18" t="s">
        <v>123</v>
      </c>
      <c r="O6328" s="19">
        <v>463.48</v>
      </c>
      <c r="T6328" s="41">
        <v>0</v>
      </c>
      <c r="U6328" s="41">
        <v>0</v>
      </c>
      <c r="V6328" s="42" t="s">
        <v>113</v>
      </c>
      <c r="W6328" s="42">
        <v>0</v>
      </c>
      <c r="X6328" s="42">
        <v>0</v>
      </c>
    </row>
    <row r="6329" spans="1:24">
      <c r="A6329" s="27" t="s">
        <v>11648</v>
      </c>
      <c r="B6329" s="28" t="s">
        <v>5102</v>
      </c>
      <c r="C6329" s="27" t="s">
        <v>11649</v>
      </c>
      <c r="D6329" s="27" t="s">
        <v>5104</v>
      </c>
      <c r="E6329" s="29">
        <v>43409</v>
      </c>
      <c r="F6329" s="27">
        <v>15</v>
      </c>
      <c r="G6329" s="18">
        <v>599.72</v>
      </c>
      <c r="H6329" s="27">
        <f t="shared" si="196"/>
        <v>0</v>
      </c>
      <c r="I6329" s="18">
        <v>3.17</v>
      </c>
      <c r="J6329" s="27">
        <v>1046.54</v>
      </c>
      <c r="K6329" s="18">
        <f t="shared" si="197"/>
        <v>0</v>
      </c>
      <c r="L6329" s="27">
        <v>69.61</v>
      </c>
      <c r="M6329" s="36">
        <v>66.44</v>
      </c>
      <c r="N6329" s="18" t="s">
        <v>123</v>
      </c>
      <c r="O6329" s="19">
        <v>446.82</v>
      </c>
      <c r="T6329" s="41">
        <v>0</v>
      </c>
      <c r="U6329" s="41">
        <v>0</v>
      </c>
      <c r="V6329" s="42" t="s">
        <v>113</v>
      </c>
      <c r="W6329" s="42">
        <v>0</v>
      </c>
      <c r="X6329" s="42">
        <v>0</v>
      </c>
    </row>
    <row r="6330" spans="1:24">
      <c r="A6330" s="27" t="s">
        <v>11650</v>
      </c>
      <c r="B6330" s="28" t="s">
        <v>5102</v>
      </c>
      <c r="C6330" s="27" t="s">
        <v>11651</v>
      </c>
      <c r="D6330" s="27" t="s">
        <v>5104</v>
      </c>
      <c r="E6330" s="29">
        <v>43409</v>
      </c>
      <c r="F6330" s="27">
        <v>15</v>
      </c>
      <c r="G6330" s="18">
        <v>583.05999999999995</v>
      </c>
      <c r="H6330" s="27">
        <f t="shared" si="196"/>
        <v>0</v>
      </c>
      <c r="I6330" s="18">
        <v>3.08</v>
      </c>
      <c r="J6330" s="27">
        <v>1046.54</v>
      </c>
      <c r="K6330" s="18">
        <f t="shared" si="197"/>
        <v>0</v>
      </c>
      <c r="L6330" s="27">
        <v>69.52</v>
      </c>
      <c r="M6330" s="36">
        <v>66.44</v>
      </c>
      <c r="N6330" s="18" t="s">
        <v>123</v>
      </c>
      <c r="O6330" s="19">
        <v>463.48</v>
      </c>
      <c r="T6330" s="41">
        <v>0</v>
      </c>
      <c r="U6330" s="41">
        <v>0</v>
      </c>
      <c r="V6330" s="42" t="s">
        <v>113</v>
      </c>
      <c r="W6330" s="42">
        <v>0</v>
      </c>
      <c r="X6330" s="42">
        <v>0</v>
      </c>
    </row>
    <row r="6331" spans="1:24">
      <c r="A6331" s="27" t="s">
        <v>11652</v>
      </c>
      <c r="B6331" s="28" t="s">
        <v>5102</v>
      </c>
      <c r="C6331" s="27" t="s">
        <v>11653</v>
      </c>
      <c r="D6331" s="27" t="s">
        <v>5104</v>
      </c>
      <c r="E6331" s="29">
        <v>43409</v>
      </c>
      <c r="F6331" s="27">
        <v>15</v>
      </c>
      <c r="G6331" s="18">
        <v>583.05999999999995</v>
      </c>
      <c r="H6331" s="27">
        <f t="shared" si="196"/>
        <v>0</v>
      </c>
      <c r="I6331" s="18">
        <v>3.08</v>
      </c>
      <c r="J6331" s="27">
        <v>1046.54</v>
      </c>
      <c r="K6331" s="18">
        <f t="shared" si="197"/>
        <v>0</v>
      </c>
      <c r="L6331" s="27">
        <v>69.52</v>
      </c>
      <c r="M6331" s="36">
        <v>66.44</v>
      </c>
      <c r="N6331" s="18" t="s">
        <v>123</v>
      </c>
      <c r="O6331" s="19">
        <v>463.48</v>
      </c>
      <c r="T6331" s="41">
        <v>0</v>
      </c>
      <c r="U6331" s="41">
        <v>0</v>
      </c>
      <c r="V6331" s="42" t="s">
        <v>113</v>
      </c>
      <c r="W6331" s="42">
        <v>0</v>
      </c>
      <c r="X6331" s="42">
        <v>0</v>
      </c>
    </row>
    <row r="6332" spans="1:24">
      <c r="A6332" s="27" t="s">
        <v>11654</v>
      </c>
      <c r="B6332" s="28" t="s">
        <v>5102</v>
      </c>
      <c r="C6332" s="27" t="s">
        <v>11655</v>
      </c>
      <c r="D6332" s="27" t="s">
        <v>5104</v>
      </c>
      <c r="E6332" s="29">
        <v>43409</v>
      </c>
      <c r="F6332" s="27">
        <v>15</v>
      </c>
      <c r="G6332" s="18">
        <v>616.38</v>
      </c>
      <c r="H6332" s="27">
        <f t="shared" si="196"/>
        <v>0</v>
      </c>
      <c r="I6332" s="18">
        <v>3.25</v>
      </c>
      <c r="J6332" s="27">
        <v>1046.54</v>
      </c>
      <c r="K6332" s="18">
        <f t="shared" si="197"/>
        <v>0</v>
      </c>
      <c r="L6332" s="27">
        <v>69.680000000000007</v>
      </c>
      <c r="M6332" s="36">
        <v>66.430000000000007</v>
      </c>
      <c r="N6332" s="18" t="s">
        <v>123</v>
      </c>
      <c r="O6332" s="19">
        <v>430.16</v>
      </c>
      <c r="T6332" s="41">
        <v>0</v>
      </c>
      <c r="U6332" s="41">
        <v>0</v>
      </c>
      <c r="V6332" s="42" t="s">
        <v>113</v>
      </c>
      <c r="W6332" s="42">
        <v>0</v>
      </c>
      <c r="X6332" s="42">
        <v>0</v>
      </c>
    </row>
    <row r="6333" spans="1:24">
      <c r="A6333" s="27" t="s">
        <v>11656</v>
      </c>
      <c r="B6333" s="28" t="s">
        <v>5102</v>
      </c>
      <c r="C6333" s="27" t="s">
        <v>11657</v>
      </c>
      <c r="D6333" s="27" t="s">
        <v>5104</v>
      </c>
      <c r="E6333" s="29">
        <v>43409</v>
      </c>
      <c r="F6333" s="27">
        <v>15</v>
      </c>
      <c r="G6333" s="18">
        <v>732.99</v>
      </c>
      <c r="H6333" s="27">
        <f t="shared" si="196"/>
        <v>0</v>
      </c>
      <c r="I6333" s="18">
        <v>3.87</v>
      </c>
      <c r="J6333" s="27">
        <v>1046.54</v>
      </c>
      <c r="K6333" s="18">
        <f t="shared" si="197"/>
        <v>0</v>
      </c>
      <c r="L6333" s="27">
        <v>70.260000000000005</v>
      </c>
      <c r="M6333" s="36">
        <v>66.39</v>
      </c>
      <c r="N6333" s="18" t="s">
        <v>123</v>
      </c>
      <c r="O6333" s="19">
        <v>313.55</v>
      </c>
      <c r="T6333" s="41">
        <v>0</v>
      </c>
      <c r="U6333" s="41">
        <v>0</v>
      </c>
      <c r="V6333" s="42" t="s">
        <v>113</v>
      </c>
      <c r="W6333" s="42">
        <v>0</v>
      </c>
      <c r="X6333" s="42">
        <v>0</v>
      </c>
    </row>
    <row r="6334" spans="1:24">
      <c r="A6334" s="27" t="s">
        <v>11658</v>
      </c>
      <c r="B6334" s="28" t="s">
        <v>5102</v>
      </c>
      <c r="C6334" s="27" t="s">
        <v>11659</v>
      </c>
      <c r="D6334" s="27" t="s">
        <v>5104</v>
      </c>
      <c r="E6334" s="29">
        <v>43409</v>
      </c>
      <c r="F6334" s="27">
        <v>15</v>
      </c>
      <c r="G6334" s="18">
        <v>583.05999999999995</v>
      </c>
      <c r="H6334" s="27">
        <f t="shared" si="196"/>
        <v>0</v>
      </c>
      <c r="I6334" s="18">
        <v>3.08</v>
      </c>
      <c r="J6334" s="27">
        <v>1046.54</v>
      </c>
      <c r="K6334" s="18">
        <f t="shared" si="197"/>
        <v>0</v>
      </c>
      <c r="L6334" s="27">
        <v>69.52</v>
      </c>
      <c r="M6334" s="36">
        <v>66.44</v>
      </c>
      <c r="N6334" s="18" t="s">
        <v>123</v>
      </c>
      <c r="O6334" s="19">
        <v>463.48</v>
      </c>
      <c r="T6334" s="41">
        <v>0</v>
      </c>
      <c r="U6334" s="41">
        <v>0</v>
      </c>
      <c r="V6334" s="42" t="s">
        <v>113</v>
      </c>
      <c r="W6334" s="42">
        <v>0</v>
      </c>
      <c r="X6334" s="42">
        <v>0</v>
      </c>
    </row>
    <row r="6335" spans="1:24">
      <c r="A6335" s="27" t="s">
        <v>11660</v>
      </c>
      <c r="B6335" s="28" t="s">
        <v>5102</v>
      </c>
      <c r="C6335" s="27" t="s">
        <v>11661</v>
      </c>
      <c r="D6335" s="27" t="s">
        <v>5104</v>
      </c>
      <c r="E6335" s="29">
        <v>43409</v>
      </c>
      <c r="F6335" s="27">
        <v>15</v>
      </c>
      <c r="G6335" s="18">
        <v>649.70000000000005</v>
      </c>
      <c r="H6335" s="27">
        <f t="shared" si="196"/>
        <v>0</v>
      </c>
      <c r="I6335" s="18">
        <v>3.43</v>
      </c>
      <c r="J6335" s="27">
        <v>1046.54</v>
      </c>
      <c r="K6335" s="18">
        <f t="shared" si="197"/>
        <v>0</v>
      </c>
      <c r="L6335" s="27">
        <v>69.849999999999994</v>
      </c>
      <c r="M6335" s="36">
        <v>66.42</v>
      </c>
      <c r="N6335" s="18" t="s">
        <v>123</v>
      </c>
      <c r="O6335" s="19">
        <v>396.84</v>
      </c>
      <c r="T6335" s="41">
        <v>0</v>
      </c>
      <c r="U6335" s="41">
        <v>0</v>
      </c>
      <c r="V6335" s="42" t="s">
        <v>113</v>
      </c>
      <c r="W6335" s="42">
        <v>0</v>
      </c>
      <c r="X6335" s="42">
        <v>0</v>
      </c>
    </row>
    <row r="6336" spans="1:24">
      <c r="A6336" s="27" t="s">
        <v>11662</v>
      </c>
      <c r="B6336" s="28" t="s">
        <v>5102</v>
      </c>
      <c r="C6336" s="27" t="s">
        <v>11663</v>
      </c>
      <c r="D6336" s="27" t="s">
        <v>5104</v>
      </c>
      <c r="E6336" s="29">
        <v>43409</v>
      </c>
      <c r="F6336" s="27">
        <v>15</v>
      </c>
      <c r="G6336" s="18">
        <v>832.95</v>
      </c>
      <c r="H6336" s="27">
        <f t="shared" si="196"/>
        <v>0</v>
      </c>
      <c r="I6336" s="18">
        <v>4.4000000000000004</v>
      </c>
      <c r="J6336" s="27">
        <v>1046.54</v>
      </c>
      <c r="K6336" s="18">
        <f t="shared" si="197"/>
        <v>0</v>
      </c>
      <c r="L6336" s="27">
        <v>70.760000000000005</v>
      </c>
      <c r="M6336" s="36">
        <v>66.36</v>
      </c>
      <c r="N6336" s="18" t="s">
        <v>123</v>
      </c>
      <c r="O6336" s="19">
        <v>213.59</v>
      </c>
      <c r="T6336" s="41">
        <v>0</v>
      </c>
      <c r="U6336" s="41">
        <v>0</v>
      </c>
      <c r="V6336" s="42" t="s">
        <v>113</v>
      </c>
      <c r="W6336" s="42">
        <v>0</v>
      </c>
      <c r="X6336" s="42">
        <v>0</v>
      </c>
    </row>
    <row r="6337" spans="1:24">
      <c r="A6337" s="27" t="s">
        <v>11664</v>
      </c>
      <c r="B6337" s="28" t="s">
        <v>5102</v>
      </c>
      <c r="C6337" s="27" t="s">
        <v>11665</v>
      </c>
      <c r="D6337" s="27" t="s">
        <v>5104</v>
      </c>
      <c r="E6337" s="29">
        <v>43409</v>
      </c>
      <c r="F6337" s="27">
        <v>15</v>
      </c>
      <c r="G6337" s="18">
        <v>949.56</v>
      </c>
      <c r="H6337" s="27">
        <f t="shared" si="196"/>
        <v>0</v>
      </c>
      <c r="I6337" s="18">
        <v>5.01</v>
      </c>
      <c r="J6337" s="27">
        <v>1046.54</v>
      </c>
      <c r="K6337" s="18">
        <f t="shared" si="197"/>
        <v>0</v>
      </c>
      <c r="L6337" s="27">
        <v>71.33</v>
      </c>
      <c r="M6337" s="36">
        <v>66.319999999999993</v>
      </c>
      <c r="N6337" s="18" t="s">
        <v>123</v>
      </c>
      <c r="O6337" s="19">
        <v>96.98</v>
      </c>
      <c r="T6337" s="41">
        <v>0</v>
      </c>
      <c r="U6337" s="41">
        <v>0</v>
      </c>
      <c r="V6337" s="42" t="s">
        <v>113</v>
      </c>
      <c r="W6337" s="42">
        <v>0</v>
      </c>
      <c r="X6337" s="42">
        <v>0</v>
      </c>
    </row>
    <row r="6338" spans="1:24">
      <c r="A6338" s="27" t="s">
        <v>11666</v>
      </c>
      <c r="B6338" s="28" t="s">
        <v>5102</v>
      </c>
      <c r="C6338" s="27" t="s">
        <v>11667</v>
      </c>
      <c r="D6338" s="27" t="s">
        <v>5104</v>
      </c>
      <c r="E6338" s="29">
        <v>43409</v>
      </c>
      <c r="F6338" s="27">
        <v>15</v>
      </c>
      <c r="G6338" s="18">
        <v>583.05999999999995</v>
      </c>
      <c r="H6338" s="27">
        <f t="shared" si="196"/>
        <v>0</v>
      </c>
      <c r="I6338" s="18">
        <v>3.08</v>
      </c>
      <c r="J6338" s="27">
        <v>1046.54</v>
      </c>
      <c r="K6338" s="18">
        <f t="shared" si="197"/>
        <v>0</v>
      </c>
      <c r="L6338" s="27">
        <v>69.52</v>
      </c>
      <c r="M6338" s="36">
        <v>66.44</v>
      </c>
      <c r="N6338" s="18" t="s">
        <v>123</v>
      </c>
      <c r="O6338" s="19">
        <v>463.48</v>
      </c>
      <c r="T6338" s="41">
        <v>0</v>
      </c>
      <c r="U6338" s="41">
        <v>0</v>
      </c>
      <c r="V6338" s="42" t="s">
        <v>113</v>
      </c>
      <c r="W6338" s="42">
        <v>0</v>
      </c>
      <c r="X6338" s="42">
        <v>0</v>
      </c>
    </row>
    <row r="6339" spans="1:24">
      <c r="A6339" s="27" t="s">
        <v>11668</v>
      </c>
      <c r="B6339" s="28" t="s">
        <v>5102</v>
      </c>
      <c r="C6339" s="27" t="s">
        <v>11669</v>
      </c>
      <c r="D6339" s="27" t="s">
        <v>5104</v>
      </c>
      <c r="E6339" s="29">
        <v>43409</v>
      </c>
      <c r="F6339" s="27">
        <v>15</v>
      </c>
      <c r="G6339" s="18">
        <v>816.29</v>
      </c>
      <c r="H6339" s="27">
        <f t="shared" si="196"/>
        <v>0</v>
      </c>
      <c r="I6339" s="18">
        <v>4.3099999999999996</v>
      </c>
      <c r="J6339" s="27">
        <v>1046.54</v>
      </c>
      <c r="K6339" s="18">
        <f t="shared" si="197"/>
        <v>0</v>
      </c>
      <c r="L6339" s="27">
        <v>70.67</v>
      </c>
      <c r="M6339" s="36">
        <v>66.36</v>
      </c>
      <c r="N6339" s="18" t="s">
        <v>123</v>
      </c>
      <c r="O6339" s="19">
        <v>230.25</v>
      </c>
      <c r="T6339" s="41">
        <v>0</v>
      </c>
      <c r="U6339" s="41">
        <v>0</v>
      </c>
      <c r="V6339" s="42" t="s">
        <v>113</v>
      </c>
      <c r="W6339" s="42">
        <v>0</v>
      </c>
      <c r="X6339" s="42">
        <v>0</v>
      </c>
    </row>
    <row r="6340" spans="1:24">
      <c r="A6340" s="27" t="s">
        <v>11670</v>
      </c>
      <c r="B6340" s="28" t="s">
        <v>5102</v>
      </c>
      <c r="C6340" s="27" t="s">
        <v>11671</v>
      </c>
      <c r="D6340" s="27" t="s">
        <v>5104</v>
      </c>
      <c r="E6340" s="29">
        <v>43409</v>
      </c>
      <c r="F6340" s="27">
        <v>15</v>
      </c>
      <c r="G6340" s="18">
        <v>766.31</v>
      </c>
      <c r="H6340" s="27">
        <f t="shared" si="196"/>
        <v>0</v>
      </c>
      <c r="I6340" s="18">
        <v>4.04</v>
      </c>
      <c r="J6340" s="27">
        <v>1046.54</v>
      </c>
      <c r="K6340" s="18">
        <f t="shared" si="197"/>
        <v>0</v>
      </c>
      <c r="L6340" s="27">
        <v>70.42</v>
      </c>
      <c r="M6340" s="36">
        <v>66.38</v>
      </c>
      <c r="N6340" s="18" t="s">
        <v>123</v>
      </c>
      <c r="O6340" s="19">
        <v>280.23</v>
      </c>
      <c r="T6340" s="41">
        <v>0</v>
      </c>
      <c r="U6340" s="41">
        <v>0</v>
      </c>
      <c r="V6340" s="42" t="s">
        <v>113</v>
      </c>
      <c r="W6340" s="42">
        <v>0</v>
      </c>
      <c r="X6340" s="42">
        <v>0</v>
      </c>
    </row>
    <row r="6341" spans="1:24">
      <c r="A6341" s="27" t="s">
        <v>11672</v>
      </c>
      <c r="B6341" s="28" t="s">
        <v>5102</v>
      </c>
      <c r="C6341" s="27" t="s">
        <v>11673</v>
      </c>
      <c r="D6341" s="27" t="s">
        <v>5104</v>
      </c>
      <c r="E6341" s="29">
        <v>43409</v>
      </c>
      <c r="F6341" s="27">
        <v>15</v>
      </c>
      <c r="G6341" s="18">
        <v>583.05999999999995</v>
      </c>
      <c r="H6341" s="27">
        <f t="shared" si="196"/>
        <v>0</v>
      </c>
      <c r="I6341" s="18">
        <v>3.08</v>
      </c>
      <c r="J6341" s="27">
        <v>1046.54</v>
      </c>
      <c r="K6341" s="18">
        <f t="shared" si="197"/>
        <v>0</v>
      </c>
      <c r="L6341" s="27">
        <v>69.52</v>
      </c>
      <c r="M6341" s="36">
        <v>66.44</v>
      </c>
      <c r="N6341" s="18" t="s">
        <v>123</v>
      </c>
      <c r="O6341" s="19">
        <v>463.48</v>
      </c>
      <c r="T6341" s="41">
        <v>0</v>
      </c>
      <c r="U6341" s="41">
        <v>0</v>
      </c>
      <c r="V6341" s="42" t="s">
        <v>113</v>
      </c>
      <c r="W6341" s="42">
        <v>0</v>
      </c>
      <c r="X6341" s="42">
        <v>0</v>
      </c>
    </row>
    <row r="6342" spans="1:24">
      <c r="A6342" s="27" t="s">
        <v>11674</v>
      </c>
      <c r="B6342" s="28" t="s">
        <v>5102</v>
      </c>
      <c r="C6342" s="27" t="s">
        <v>11675</v>
      </c>
      <c r="D6342" s="27" t="s">
        <v>5104</v>
      </c>
      <c r="E6342" s="29">
        <v>43409</v>
      </c>
      <c r="F6342" s="27">
        <v>15</v>
      </c>
      <c r="G6342" s="18">
        <v>766.31</v>
      </c>
      <c r="H6342" s="27">
        <f t="shared" ref="H6342:H6405" si="198">IFERROR(IF(ROUND((G6342-I6342)/G6342,2)&lt;=0.05,G6342,0),0)</f>
        <v>0</v>
      </c>
      <c r="I6342" s="18">
        <v>4.04</v>
      </c>
      <c r="J6342" s="27">
        <v>1046.54</v>
      </c>
      <c r="K6342" s="18">
        <f t="shared" ref="K6342:K6405" si="199">IFERROR(IF(ROUND((J6342-L6342)/J6342,2)&lt;=0.05,J6342,0),0)</f>
        <v>0</v>
      </c>
      <c r="L6342" s="27">
        <v>70.42</v>
      </c>
      <c r="M6342" s="36">
        <v>66.38</v>
      </c>
      <c r="N6342" s="18" t="s">
        <v>123</v>
      </c>
      <c r="O6342" s="19">
        <v>280.23</v>
      </c>
      <c r="T6342" s="41">
        <v>0</v>
      </c>
      <c r="U6342" s="41">
        <v>0</v>
      </c>
      <c r="V6342" s="42" t="s">
        <v>113</v>
      </c>
      <c r="W6342" s="42">
        <v>0</v>
      </c>
      <c r="X6342" s="42">
        <v>0</v>
      </c>
    </row>
    <row r="6343" spans="1:24">
      <c r="A6343" s="27" t="s">
        <v>11676</v>
      </c>
      <c r="B6343" s="28" t="s">
        <v>5102</v>
      </c>
      <c r="C6343" s="27" t="s">
        <v>11677</v>
      </c>
      <c r="D6343" s="27" t="s">
        <v>5104</v>
      </c>
      <c r="E6343" s="29">
        <v>43409</v>
      </c>
      <c r="F6343" s="27">
        <v>15</v>
      </c>
      <c r="G6343" s="18">
        <v>583.05999999999995</v>
      </c>
      <c r="H6343" s="27">
        <f t="shared" si="198"/>
        <v>0</v>
      </c>
      <c r="I6343" s="18">
        <v>3.08</v>
      </c>
      <c r="J6343" s="27">
        <v>976.78</v>
      </c>
      <c r="K6343" s="18">
        <f t="shared" si="199"/>
        <v>0</v>
      </c>
      <c r="L6343" s="27">
        <v>65.08</v>
      </c>
      <c r="M6343" s="36">
        <v>62</v>
      </c>
      <c r="N6343" s="18" t="s">
        <v>123</v>
      </c>
      <c r="O6343" s="19">
        <v>393.72</v>
      </c>
      <c r="T6343" s="41">
        <v>0</v>
      </c>
      <c r="U6343" s="41">
        <v>0</v>
      </c>
      <c r="V6343" s="42" t="s">
        <v>113</v>
      </c>
      <c r="W6343" s="42">
        <v>0</v>
      </c>
      <c r="X6343" s="42">
        <v>0</v>
      </c>
    </row>
    <row r="6344" spans="1:24">
      <c r="A6344" s="27" t="s">
        <v>11678</v>
      </c>
      <c r="B6344" s="28" t="s">
        <v>5102</v>
      </c>
      <c r="C6344" s="27" t="s">
        <v>11679</v>
      </c>
      <c r="D6344" s="27" t="s">
        <v>5104</v>
      </c>
      <c r="E6344" s="29">
        <v>43409</v>
      </c>
      <c r="F6344" s="27">
        <v>15</v>
      </c>
      <c r="G6344" s="18">
        <v>599.72</v>
      </c>
      <c r="H6344" s="27">
        <f t="shared" si="198"/>
        <v>0</v>
      </c>
      <c r="I6344" s="18">
        <v>3.17</v>
      </c>
      <c r="J6344" s="27">
        <v>976.78</v>
      </c>
      <c r="K6344" s="18">
        <f t="shared" si="199"/>
        <v>0</v>
      </c>
      <c r="L6344" s="27">
        <v>65.17</v>
      </c>
      <c r="M6344" s="36">
        <v>62</v>
      </c>
      <c r="N6344" s="18" t="s">
        <v>123</v>
      </c>
      <c r="O6344" s="19">
        <v>377.06</v>
      </c>
      <c r="T6344" s="41">
        <v>0</v>
      </c>
      <c r="U6344" s="41">
        <v>0</v>
      </c>
      <c r="V6344" s="42" t="s">
        <v>113</v>
      </c>
      <c r="W6344" s="42">
        <v>0</v>
      </c>
      <c r="X6344" s="42">
        <v>0</v>
      </c>
    </row>
    <row r="6345" spans="1:24">
      <c r="A6345" s="27" t="s">
        <v>11680</v>
      </c>
      <c r="B6345" s="28" t="s">
        <v>5102</v>
      </c>
      <c r="C6345" s="27" t="s">
        <v>11681</v>
      </c>
      <c r="D6345" s="27" t="s">
        <v>5104</v>
      </c>
      <c r="E6345" s="29">
        <v>43409</v>
      </c>
      <c r="F6345" s="27">
        <v>15</v>
      </c>
      <c r="G6345" s="18">
        <v>666.36</v>
      </c>
      <c r="H6345" s="27">
        <f t="shared" si="198"/>
        <v>0</v>
      </c>
      <c r="I6345" s="18">
        <v>3.52</v>
      </c>
      <c r="J6345" s="27">
        <v>976.78</v>
      </c>
      <c r="K6345" s="18">
        <f t="shared" si="199"/>
        <v>0</v>
      </c>
      <c r="L6345" s="27">
        <v>65.489999999999995</v>
      </c>
      <c r="M6345" s="36">
        <v>61.97</v>
      </c>
      <c r="N6345" s="18" t="s">
        <v>123</v>
      </c>
      <c r="O6345" s="19">
        <v>310.42</v>
      </c>
      <c r="T6345" s="41">
        <v>0</v>
      </c>
      <c r="U6345" s="41">
        <v>0</v>
      </c>
      <c r="V6345" s="42" t="s">
        <v>113</v>
      </c>
      <c r="W6345" s="42">
        <v>0</v>
      </c>
      <c r="X6345" s="42">
        <v>0</v>
      </c>
    </row>
    <row r="6346" spans="1:24">
      <c r="A6346" s="27" t="s">
        <v>11682</v>
      </c>
      <c r="B6346" s="28" t="s">
        <v>5102</v>
      </c>
      <c r="C6346" s="27" t="s">
        <v>11683</v>
      </c>
      <c r="D6346" s="27" t="s">
        <v>5104</v>
      </c>
      <c r="E6346" s="29">
        <v>43409</v>
      </c>
      <c r="F6346" s="27">
        <v>15</v>
      </c>
      <c r="G6346" s="18">
        <v>599.72</v>
      </c>
      <c r="H6346" s="27">
        <f t="shared" si="198"/>
        <v>0</v>
      </c>
      <c r="I6346" s="18">
        <v>3.17</v>
      </c>
      <c r="J6346" s="27">
        <v>1744.24</v>
      </c>
      <c r="K6346" s="18">
        <f t="shared" si="199"/>
        <v>0</v>
      </c>
      <c r="L6346" s="27">
        <v>114.04</v>
      </c>
      <c r="M6346" s="36">
        <v>110.87</v>
      </c>
      <c r="N6346" s="18" t="s">
        <v>123</v>
      </c>
      <c r="O6346" s="19">
        <v>1144.52</v>
      </c>
      <c r="T6346" s="41">
        <v>0</v>
      </c>
      <c r="U6346" s="41">
        <v>0</v>
      </c>
      <c r="V6346" s="42" t="s">
        <v>113</v>
      </c>
      <c r="W6346" s="42">
        <v>0</v>
      </c>
      <c r="X6346" s="42">
        <v>0</v>
      </c>
    </row>
    <row r="6347" spans="1:24">
      <c r="A6347" s="27" t="s">
        <v>11684</v>
      </c>
      <c r="B6347" s="28" t="s">
        <v>5102</v>
      </c>
      <c r="C6347" s="27" t="s">
        <v>11685</v>
      </c>
      <c r="D6347" s="27" t="s">
        <v>5104</v>
      </c>
      <c r="E6347" s="29">
        <v>43409</v>
      </c>
      <c r="F6347" s="27">
        <v>15</v>
      </c>
      <c r="G6347" s="18">
        <v>566.4</v>
      </c>
      <c r="H6347" s="27">
        <f t="shared" si="198"/>
        <v>0</v>
      </c>
      <c r="I6347" s="18">
        <v>2.99</v>
      </c>
      <c r="J6347" s="27">
        <v>1744.24</v>
      </c>
      <c r="K6347" s="18">
        <f t="shared" si="199"/>
        <v>0</v>
      </c>
      <c r="L6347" s="27">
        <v>113.88</v>
      </c>
      <c r="M6347" s="36">
        <v>110.89</v>
      </c>
      <c r="N6347" s="18" t="s">
        <v>123</v>
      </c>
      <c r="O6347" s="19">
        <v>1177.8399999999999</v>
      </c>
      <c r="T6347" s="41">
        <v>0</v>
      </c>
      <c r="U6347" s="41">
        <v>0</v>
      </c>
      <c r="V6347" s="42" t="s">
        <v>113</v>
      </c>
      <c r="W6347" s="42">
        <v>0</v>
      </c>
      <c r="X6347" s="42">
        <v>0</v>
      </c>
    </row>
    <row r="6348" spans="1:24">
      <c r="A6348" s="27" t="s">
        <v>11686</v>
      </c>
      <c r="B6348" s="28" t="s">
        <v>5102</v>
      </c>
      <c r="C6348" s="27" t="s">
        <v>11687</v>
      </c>
      <c r="D6348" s="27" t="s">
        <v>5104</v>
      </c>
      <c r="E6348" s="29">
        <v>43409</v>
      </c>
      <c r="F6348" s="27">
        <v>15</v>
      </c>
      <c r="G6348" s="18">
        <v>1149.47</v>
      </c>
      <c r="H6348" s="27">
        <f t="shared" si="198"/>
        <v>0</v>
      </c>
      <c r="I6348" s="18">
        <v>6.07</v>
      </c>
      <c r="J6348" s="27">
        <v>1744.24</v>
      </c>
      <c r="K6348" s="18">
        <f t="shared" si="199"/>
        <v>0</v>
      </c>
      <c r="L6348" s="27">
        <v>116.75</v>
      </c>
      <c r="M6348" s="36">
        <v>110.68</v>
      </c>
      <c r="N6348" s="18" t="s">
        <v>123</v>
      </c>
      <c r="O6348" s="19">
        <v>594.77</v>
      </c>
      <c r="T6348" s="41">
        <v>0</v>
      </c>
      <c r="U6348" s="41">
        <v>0</v>
      </c>
      <c r="V6348" s="42" t="s">
        <v>113</v>
      </c>
      <c r="W6348" s="42">
        <v>0</v>
      </c>
      <c r="X6348" s="42">
        <v>0</v>
      </c>
    </row>
    <row r="6349" spans="1:24">
      <c r="A6349" s="27" t="s">
        <v>11688</v>
      </c>
      <c r="B6349" s="28" t="s">
        <v>5102</v>
      </c>
      <c r="C6349" s="27" t="s">
        <v>11689</v>
      </c>
      <c r="D6349" s="27" t="s">
        <v>5104</v>
      </c>
      <c r="E6349" s="29">
        <v>43409</v>
      </c>
      <c r="F6349" s="27">
        <v>15</v>
      </c>
      <c r="G6349" s="18">
        <v>566.4</v>
      </c>
      <c r="H6349" s="27">
        <f t="shared" si="198"/>
        <v>0</v>
      </c>
      <c r="I6349" s="18">
        <v>2.99</v>
      </c>
      <c r="J6349" s="27">
        <v>1744.24</v>
      </c>
      <c r="K6349" s="18">
        <f t="shared" si="199"/>
        <v>0</v>
      </c>
      <c r="L6349" s="27">
        <v>113.88</v>
      </c>
      <c r="M6349" s="36">
        <v>110.89</v>
      </c>
      <c r="N6349" s="18" t="s">
        <v>123</v>
      </c>
      <c r="O6349" s="19">
        <v>1177.8399999999999</v>
      </c>
      <c r="T6349" s="41">
        <v>0</v>
      </c>
      <c r="U6349" s="41">
        <v>0</v>
      </c>
      <c r="V6349" s="42" t="s">
        <v>113</v>
      </c>
      <c r="W6349" s="42">
        <v>0</v>
      </c>
      <c r="X6349" s="42">
        <v>0</v>
      </c>
    </row>
    <row r="6350" spans="1:24">
      <c r="A6350" s="27" t="s">
        <v>11690</v>
      </c>
      <c r="B6350" s="28" t="s">
        <v>5102</v>
      </c>
      <c r="C6350" s="27" t="s">
        <v>11691</v>
      </c>
      <c r="D6350" s="27" t="s">
        <v>5104</v>
      </c>
      <c r="E6350" s="29">
        <v>43409</v>
      </c>
      <c r="F6350" s="27">
        <v>15</v>
      </c>
      <c r="G6350" s="18">
        <v>616.38</v>
      </c>
      <c r="H6350" s="27">
        <f t="shared" si="198"/>
        <v>0</v>
      </c>
      <c r="I6350" s="18">
        <v>3.25</v>
      </c>
      <c r="J6350" s="27">
        <v>1744.24</v>
      </c>
      <c r="K6350" s="18">
        <f t="shared" si="199"/>
        <v>0</v>
      </c>
      <c r="L6350" s="27">
        <v>114.12</v>
      </c>
      <c r="M6350" s="36">
        <v>110.87</v>
      </c>
      <c r="N6350" s="18" t="s">
        <v>123</v>
      </c>
      <c r="O6350" s="19">
        <v>1127.8599999999999</v>
      </c>
      <c r="T6350" s="41">
        <v>0</v>
      </c>
      <c r="U6350" s="41">
        <v>0</v>
      </c>
      <c r="V6350" s="42" t="s">
        <v>113</v>
      </c>
      <c r="W6350" s="42">
        <v>0</v>
      </c>
      <c r="X6350" s="42">
        <v>0</v>
      </c>
    </row>
    <row r="6351" spans="1:24">
      <c r="A6351" s="27" t="s">
        <v>11692</v>
      </c>
      <c r="B6351" s="28" t="s">
        <v>5102</v>
      </c>
      <c r="C6351" s="27" t="s">
        <v>11693</v>
      </c>
      <c r="D6351" s="27" t="s">
        <v>5104</v>
      </c>
      <c r="E6351" s="29">
        <v>43409</v>
      </c>
      <c r="F6351" s="27">
        <v>15</v>
      </c>
      <c r="G6351" s="18">
        <v>599.72</v>
      </c>
      <c r="H6351" s="27">
        <f t="shared" si="198"/>
        <v>0</v>
      </c>
      <c r="I6351" s="18">
        <v>3.17</v>
      </c>
      <c r="J6351" s="27">
        <v>1744.24</v>
      </c>
      <c r="K6351" s="18">
        <f t="shared" si="199"/>
        <v>0</v>
      </c>
      <c r="L6351" s="27">
        <v>114.04</v>
      </c>
      <c r="M6351" s="36">
        <v>110.87</v>
      </c>
      <c r="N6351" s="18" t="s">
        <v>123</v>
      </c>
      <c r="O6351" s="19">
        <v>1144.52</v>
      </c>
      <c r="T6351" s="41">
        <v>0</v>
      </c>
      <c r="U6351" s="41">
        <v>0</v>
      </c>
      <c r="V6351" s="42" t="s">
        <v>113</v>
      </c>
      <c r="W6351" s="42">
        <v>0</v>
      </c>
      <c r="X6351" s="42">
        <v>0</v>
      </c>
    </row>
    <row r="6352" spans="1:24">
      <c r="A6352" s="27" t="s">
        <v>11694</v>
      </c>
      <c r="B6352" s="28" t="s">
        <v>5102</v>
      </c>
      <c r="C6352" s="27" t="s">
        <v>11695</v>
      </c>
      <c r="D6352" s="27" t="s">
        <v>5104</v>
      </c>
      <c r="E6352" s="29">
        <v>43409</v>
      </c>
      <c r="F6352" s="27">
        <v>15</v>
      </c>
      <c r="G6352" s="18">
        <v>549.74</v>
      </c>
      <c r="H6352" s="27">
        <f t="shared" si="198"/>
        <v>0</v>
      </c>
      <c r="I6352" s="18">
        <v>2.9</v>
      </c>
      <c r="J6352" s="27">
        <v>1744.24</v>
      </c>
      <c r="K6352" s="18">
        <f t="shared" si="199"/>
        <v>0</v>
      </c>
      <c r="L6352" s="27">
        <v>113.79</v>
      </c>
      <c r="M6352" s="36">
        <v>110.89</v>
      </c>
      <c r="N6352" s="18" t="s">
        <v>123</v>
      </c>
      <c r="O6352" s="19">
        <v>1194.5</v>
      </c>
      <c r="T6352" s="41">
        <v>0</v>
      </c>
      <c r="U6352" s="41">
        <v>0</v>
      </c>
      <c r="V6352" s="42" t="s">
        <v>113</v>
      </c>
      <c r="W6352" s="42">
        <v>0</v>
      </c>
      <c r="X6352" s="42">
        <v>0</v>
      </c>
    </row>
    <row r="6353" spans="1:24">
      <c r="A6353" s="27" t="s">
        <v>11696</v>
      </c>
      <c r="B6353" s="28" t="s">
        <v>5102</v>
      </c>
      <c r="C6353" s="27" t="s">
        <v>11697</v>
      </c>
      <c r="D6353" s="27" t="s">
        <v>5104</v>
      </c>
      <c r="E6353" s="29">
        <v>43409</v>
      </c>
      <c r="F6353" s="27">
        <v>15</v>
      </c>
      <c r="G6353" s="18">
        <v>549.74</v>
      </c>
      <c r="H6353" s="27">
        <f t="shared" si="198"/>
        <v>0</v>
      </c>
      <c r="I6353" s="18">
        <v>2.9</v>
      </c>
      <c r="J6353" s="27">
        <v>1744.24</v>
      </c>
      <c r="K6353" s="18">
        <f t="shared" si="199"/>
        <v>0</v>
      </c>
      <c r="L6353" s="27">
        <v>113.79</v>
      </c>
      <c r="M6353" s="36">
        <v>110.89</v>
      </c>
      <c r="N6353" s="18" t="s">
        <v>123</v>
      </c>
      <c r="O6353" s="19">
        <v>1194.5</v>
      </c>
      <c r="T6353" s="41">
        <v>0</v>
      </c>
      <c r="U6353" s="41">
        <v>0</v>
      </c>
      <c r="V6353" s="42" t="s">
        <v>113</v>
      </c>
      <c r="W6353" s="42">
        <v>0</v>
      </c>
      <c r="X6353" s="42">
        <v>0</v>
      </c>
    </row>
    <row r="6354" spans="1:24">
      <c r="A6354" s="27" t="s">
        <v>11698</v>
      </c>
      <c r="B6354" s="28" t="s">
        <v>5102</v>
      </c>
      <c r="C6354" s="27" t="s">
        <v>11699</v>
      </c>
      <c r="D6354" s="27" t="s">
        <v>5104</v>
      </c>
      <c r="E6354" s="29">
        <v>43409</v>
      </c>
      <c r="F6354" s="27">
        <v>15</v>
      </c>
      <c r="G6354" s="18">
        <v>666.36</v>
      </c>
      <c r="H6354" s="27">
        <f t="shared" si="198"/>
        <v>0</v>
      </c>
      <c r="I6354" s="18">
        <v>3.52</v>
      </c>
      <c r="J6354" s="27">
        <v>1744.24</v>
      </c>
      <c r="K6354" s="18">
        <f t="shared" si="199"/>
        <v>0</v>
      </c>
      <c r="L6354" s="27">
        <v>114.37</v>
      </c>
      <c r="M6354" s="36">
        <v>110.85</v>
      </c>
      <c r="N6354" s="18" t="s">
        <v>123</v>
      </c>
      <c r="O6354" s="19">
        <v>1077.8800000000001</v>
      </c>
      <c r="T6354" s="41">
        <v>0</v>
      </c>
      <c r="U6354" s="41">
        <v>0</v>
      </c>
      <c r="V6354" s="42" t="s">
        <v>113</v>
      </c>
      <c r="W6354" s="42">
        <v>0</v>
      </c>
      <c r="X6354" s="42">
        <v>0</v>
      </c>
    </row>
    <row r="6355" spans="1:24">
      <c r="A6355" s="27" t="s">
        <v>11700</v>
      </c>
      <c r="B6355" s="28" t="s">
        <v>5102</v>
      </c>
      <c r="C6355" s="27" t="s">
        <v>11701</v>
      </c>
      <c r="D6355" s="27" t="s">
        <v>5104</v>
      </c>
      <c r="E6355" s="29">
        <v>43409</v>
      </c>
      <c r="F6355" s="27">
        <v>15</v>
      </c>
      <c r="G6355" s="18">
        <v>616.38</v>
      </c>
      <c r="H6355" s="27">
        <f t="shared" si="198"/>
        <v>0</v>
      </c>
      <c r="I6355" s="18">
        <v>3.25</v>
      </c>
      <c r="J6355" s="27">
        <v>1744.24</v>
      </c>
      <c r="K6355" s="18">
        <f t="shared" si="199"/>
        <v>0</v>
      </c>
      <c r="L6355" s="27">
        <v>114.12</v>
      </c>
      <c r="M6355" s="36">
        <v>110.87</v>
      </c>
      <c r="N6355" s="18" t="s">
        <v>123</v>
      </c>
      <c r="O6355" s="19">
        <v>1127.8599999999999</v>
      </c>
      <c r="T6355" s="41">
        <v>0</v>
      </c>
      <c r="U6355" s="41">
        <v>0</v>
      </c>
      <c r="V6355" s="42" t="s">
        <v>113</v>
      </c>
      <c r="W6355" s="42">
        <v>0</v>
      </c>
      <c r="X6355" s="42">
        <v>0</v>
      </c>
    </row>
    <row r="6356" spans="1:24">
      <c r="A6356" s="27" t="s">
        <v>11702</v>
      </c>
      <c r="B6356" s="28" t="s">
        <v>5102</v>
      </c>
      <c r="C6356" s="27" t="s">
        <v>11703</v>
      </c>
      <c r="D6356" s="27" t="s">
        <v>5104</v>
      </c>
      <c r="E6356" s="29">
        <v>43409</v>
      </c>
      <c r="F6356" s="27">
        <v>15</v>
      </c>
      <c r="G6356" s="18">
        <v>583.05999999999995</v>
      </c>
      <c r="H6356" s="27">
        <f t="shared" si="198"/>
        <v>0</v>
      </c>
      <c r="I6356" s="18">
        <v>3.08</v>
      </c>
      <c r="J6356" s="27">
        <v>1744.24</v>
      </c>
      <c r="K6356" s="18">
        <f t="shared" si="199"/>
        <v>0</v>
      </c>
      <c r="L6356" s="27">
        <v>113.96</v>
      </c>
      <c r="M6356" s="36">
        <v>110.88</v>
      </c>
      <c r="N6356" s="18" t="s">
        <v>123</v>
      </c>
      <c r="O6356" s="19">
        <v>1161.18</v>
      </c>
      <c r="T6356" s="41">
        <v>0</v>
      </c>
      <c r="U6356" s="41">
        <v>0</v>
      </c>
      <c r="V6356" s="42" t="s">
        <v>113</v>
      </c>
      <c r="W6356" s="42">
        <v>0</v>
      </c>
      <c r="X6356" s="42">
        <v>0</v>
      </c>
    </row>
    <row r="6357" spans="1:24">
      <c r="A6357" s="27" t="s">
        <v>11704</v>
      </c>
      <c r="B6357" s="28" t="s">
        <v>5102</v>
      </c>
      <c r="C6357" s="27" t="s">
        <v>11705</v>
      </c>
      <c r="D6357" s="27" t="s">
        <v>5104</v>
      </c>
      <c r="E6357" s="29">
        <v>43409</v>
      </c>
      <c r="F6357" s="27">
        <v>15</v>
      </c>
      <c r="G6357" s="18">
        <v>549.74</v>
      </c>
      <c r="H6357" s="27">
        <f t="shared" si="198"/>
        <v>0</v>
      </c>
      <c r="I6357" s="18">
        <v>2.9</v>
      </c>
      <c r="J6357" s="27">
        <v>1744.24</v>
      </c>
      <c r="K6357" s="18">
        <f t="shared" si="199"/>
        <v>0</v>
      </c>
      <c r="L6357" s="27">
        <v>113.79</v>
      </c>
      <c r="M6357" s="36">
        <v>110.89</v>
      </c>
      <c r="N6357" s="18" t="s">
        <v>123</v>
      </c>
      <c r="O6357" s="19">
        <v>1194.5</v>
      </c>
      <c r="T6357" s="41">
        <v>0</v>
      </c>
      <c r="U6357" s="41">
        <v>0</v>
      </c>
      <c r="V6357" s="42" t="s">
        <v>113</v>
      </c>
      <c r="W6357" s="42">
        <v>0</v>
      </c>
      <c r="X6357" s="42">
        <v>0</v>
      </c>
    </row>
    <row r="6358" spans="1:24">
      <c r="A6358" s="27" t="s">
        <v>11706</v>
      </c>
      <c r="B6358" s="28" t="s">
        <v>5102</v>
      </c>
      <c r="C6358" s="27" t="s">
        <v>11707</v>
      </c>
      <c r="D6358" s="27" t="s">
        <v>5104</v>
      </c>
      <c r="E6358" s="29">
        <v>43409</v>
      </c>
      <c r="F6358" s="27">
        <v>15</v>
      </c>
      <c r="G6358" s="18">
        <v>649.70000000000005</v>
      </c>
      <c r="H6358" s="27">
        <f t="shared" si="198"/>
        <v>0</v>
      </c>
      <c r="I6358" s="18">
        <v>3.43</v>
      </c>
      <c r="J6358" s="27">
        <v>1744.24</v>
      </c>
      <c r="K6358" s="18">
        <f t="shared" si="199"/>
        <v>0</v>
      </c>
      <c r="L6358" s="27">
        <v>114.29</v>
      </c>
      <c r="M6358" s="36">
        <v>110.86</v>
      </c>
      <c r="N6358" s="18" t="s">
        <v>123</v>
      </c>
      <c r="O6358" s="19">
        <v>1094.54</v>
      </c>
      <c r="T6358" s="41">
        <v>0</v>
      </c>
      <c r="U6358" s="41">
        <v>0</v>
      </c>
      <c r="V6358" s="42" t="s">
        <v>113</v>
      </c>
      <c r="W6358" s="42">
        <v>0</v>
      </c>
      <c r="X6358" s="42">
        <v>0</v>
      </c>
    </row>
    <row r="6359" spans="1:24">
      <c r="A6359" s="27" t="s">
        <v>11708</v>
      </c>
      <c r="B6359" s="28" t="s">
        <v>5102</v>
      </c>
      <c r="C6359" s="27" t="s">
        <v>11709</v>
      </c>
      <c r="D6359" s="27" t="s">
        <v>5104</v>
      </c>
      <c r="E6359" s="29">
        <v>43409</v>
      </c>
      <c r="F6359" s="27">
        <v>15</v>
      </c>
      <c r="G6359" s="18">
        <v>716.33</v>
      </c>
      <c r="H6359" s="27">
        <f t="shared" si="198"/>
        <v>0</v>
      </c>
      <c r="I6359" s="18">
        <v>3.78</v>
      </c>
      <c r="J6359" s="27">
        <v>1744.24</v>
      </c>
      <c r="K6359" s="18">
        <f t="shared" si="199"/>
        <v>0</v>
      </c>
      <c r="L6359" s="27">
        <v>114.61</v>
      </c>
      <c r="M6359" s="36">
        <v>110.83</v>
      </c>
      <c r="N6359" s="18" t="s">
        <v>123</v>
      </c>
      <c r="O6359" s="19">
        <v>1027.9100000000001</v>
      </c>
      <c r="T6359" s="41">
        <v>0</v>
      </c>
      <c r="U6359" s="41">
        <v>0</v>
      </c>
      <c r="V6359" s="42" t="s">
        <v>113</v>
      </c>
      <c r="W6359" s="42">
        <v>0</v>
      </c>
      <c r="X6359" s="42">
        <v>0</v>
      </c>
    </row>
    <row r="6360" spans="1:24">
      <c r="A6360" s="27" t="s">
        <v>11710</v>
      </c>
      <c r="B6360" s="28" t="s">
        <v>5102</v>
      </c>
      <c r="C6360" s="27" t="s">
        <v>11711</v>
      </c>
      <c r="D6360" s="27" t="s">
        <v>5104</v>
      </c>
      <c r="E6360" s="29">
        <v>43409</v>
      </c>
      <c r="F6360" s="27">
        <v>15</v>
      </c>
      <c r="G6360" s="18">
        <v>583.05999999999995</v>
      </c>
      <c r="H6360" s="27">
        <f t="shared" si="198"/>
        <v>0</v>
      </c>
      <c r="I6360" s="18">
        <v>3.08</v>
      </c>
      <c r="J6360" s="27">
        <v>1744.24</v>
      </c>
      <c r="K6360" s="18">
        <f t="shared" si="199"/>
        <v>0</v>
      </c>
      <c r="L6360" s="27">
        <v>113.96</v>
      </c>
      <c r="M6360" s="36">
        <v>110.88</v>
      </c>
      <c r="N6360" s="18" t="s">
        <v>123</v>
      </c>
      <c r="O6360" s="19">
        <v>1161.18</v>
      </c>
      <c r="T6360" s="41">
        <v>0</v>
      </c>
      <c r="U6360" s="41">
        <v>0</v>
      </c>
      <c r="V6360" s="42" t="s">
        <v>113</v>
      </c>
      <c r="W6360" s="42">
        <v>0</v>
      </c>
      <c r="X6360" s="42">
        <v>0</v>
      </c>
    </row>
    <row r="6361" spans="1:24">
      <c r="A6361" s="27" t="s">
        <v>11712</v>
      </c>
      <c r="B6361" s="28" t="s">
        <v>5102</v>
      </c>
      <c r="C6361" s="27" t="s">
        <v>11713</v>
      </c>
      <c r="D6361" s="27" t="s">
        <v>5104</v>
      </c>
      <c r="E6361" s="29">
        <v>43409</v>
      </c>
      <c r="F6361" s="27">
        <v>15</v>
      </c>
      <c r="G6361" s="18">
        <v>549.74</v>
      </c>
      <c r="H6361" s="27">
        <f t="shared" si="198"/>
        <v>0</v>
      </c>
      <c r="I6361" s="18">
        <v>2.9</v>
      </c>
      <c r="J6361" s="27">
        <v>1744.24</v>
      </c>
      <c r="K6361" s="18">
        <f t="shared" si="199"/>
        <v>0</v>
      </c>
      <c r="L6361" s="27">
        <v>113.79</v>
      </c>
      <c r="M6361" s="36">
        <v>110.89</v>
      </c>
      <c r="N6361" s="18" t="s">
        <v>123</v>
      </c>
      <c r="O6361" s="19">
        <v>1194.5</v>
      </c>
      <c r="T6361" s="41">
        <v>0</v>
      </c>
      <c r="U6361" s="41">
        <v>0</v>
      </c>
      <c r="V6361" s="42" t="s">
        <v>113</v>
      </c>
      <c r="W6361" s="42">
        <v>0</v>
      </c>
      <c r="X6361" s="42">
        <v>0</v>
      </c>
    </row>
    <row r="6362" spans="1:24">
      <c r="A6362" s="27" t="s">
        <v>11714</v>
      </c>
      <c r="B6362" s="28" t="s">
        <v>5102</v>
      </c>
      <c r="C6362" s="27" t="s">
        <v>11715</v>
      </c>
      <c r="D6362" s="27" t="s">
        <v>5104</v>
      </c>
      <c r="E6362" s="29">
        <v>43409</v>
      </c>
      <c r="F6362" s="27">
        <v>15</v>
      </c>
      <c r="G6362" s="18">
        <v>616.38</v>
      </c>
      <c r="H6362" s="27">
        <f t="shared" si="198"/>
        <v>0</v>
      </c>
      <c r="I6362" s="18">
        <v>3.25</v>
      </c>
      <c r="J6362" s="27">
        <v>1744.24</v>
      </c>
      <c r="K6362" s="18">
        <f t="shared" si="199"/>
        <v>0</v>
      </c>
      <c r="L6362" s="27">
        <v>114.12</v>
      </c>
      <c r="M6362" s="36">
        <v>110.87</v>
      </c>
      <c r="N6362" s="18" t="s">
        <v>123</v>
      </c>
      <c r="O6362" s="19">
        <v>1127.8599999999999</v>
      </c>
      <c r="T6362" s="41">
        <v>0</v>
      </c>
      <c r="U6362" s="41">
        <v>0</v>
      </c>
      <c r="V6362" s="42" t="s">
        <v>113</v>
      </c>
      <c r="W6362" s="42">
        <v>0</v>
      </c>
      <c r="X6362" s="42">
        <v>0</v>
      </c>
    </row>
    <row r="6363" spans="1:24">
      <c r="A6363" s="27" t="s">
        <v>11716</v>
      </c>
      <c r="B6363" s="28" t="s">
        <v>5102</v>
      </c>
      <c r="C6363" s="27" t="s">
        <v>11717</v>
      </c>
      <c r="D6363" s="27" t="s">
        <v>5104</v>
      </c>
      <c r="E6363" s="29">
        <v>43409</v>
      </c>
      <c r="F6363" s="27">
        <v>15</v>
      </c>
      <c r="G6363" s="18">
        <v>583.05999999999995</v>
      </c>
      <c r="H6363" s="27">
        <f t="shared" si="198"/>
        <v>0</v>
      </c>
      <c r="I6363" s="18">
        <v>3.08</v>
      </c>
      <c r="J6363" s="27">
        <v>1744.24</v>
      </c>
      <c r="K6363" s="18">
        <f t="shared" si="199"/>
        <v>0</v>
      </c>
      <c r="L6363" s="27">
        <v>113.96</v>
      </c>
      <c r="M6363" s="36">
        <v>110.88</v>
      </c>
      <c r="N6363" s="18" t="s">
        <v>123</v>
      </c>
      <c r="O6363" s="19">
        <v>1161.18</v>
      </c>
      <c r="T6363" s="41">
        <v>0</v>
      </c>
      <c r="U6363" s="41">
        <v>0</v>
      </c>
      <c r="V6363" s="42" t="s">
        <v>113</v>
      </c>
      <c r="W6363" s="42">
        <v>0</v>
      </c>
      <c r="X6363" s="42">
        <v>0</v>
      </c>
    </row>
    <row r="6364" spans="1:24">
      <c r="A6364" s="27" t="s">
        <v>11718</v>
      </c>
      <c r="B6364" s="28" t="s">
        <v>5102</v>
      </c>
      <c r="C6364" s="27" t="s">
        <v>11719</v>
      </c>
      <c r="D6364" s="27" t="s">
        <v>5104</v>
      </c>
      <c r="E6364" s="29">
        <v>43409</v>
      </c>
      <c r="F6364" s="27">
        <v>15</v>
      </c>
      <c r="G6364" s="18">
        <v>549.74</v>
      </c>
      <c r="H6364" s="27">
        <f t="shared" si="198"/>
        <v>0</v>
      </c>
      <c r="I6364" s="18">
        <v>2.9</v>
      </c>
      <c r="J6364" s="27">
        <v>1744.24</v>
      </c>
      <c r="K6364" s="18">
        <f t="shared" si="199"/>
        <v>0</v>
      </c>
      <c r="L6364" s="27">
        <v>113.79</v>
      </c>
      <c r="M6364" s="36">
        <v>110.89</v>
      </c>
      <c r="N6364" s="18" t="s">
        <v>123</v>
      </c>
      <c r="O6364" s="19">
        <v>1194.5</v>
      </c>
      <c r="T6364" s="41">
        <v>0</v>
      </c>
      <c r="U6364" s="41">
        <v>0</v>
      </c>
      <c r="V6364" s="42" t="s">
        <v>113</v>
      </c>
      <c r="W6364" s="42">
        <v>0</v>
      </c>
      <c r="X6364" s="42">
        <v>0</v>
      </c>
    </row>
    <row r="6365" spans="1:24">
      <c r="A6365" s="27" t="s">
        <v>11720</v>
      </c>
      <c r="B6365" s="28" t="s">
        <v>5102</v>
      </c>
      <c r="C6365" s="27" t="s">
        <v>11721</v>
      </c>
      <c r="D6365" s="27" t="s">
        <v>5104</v>
      </c>
      <c r="E6365" s="29">
        <v>43409</v>
      </c>
      <c r="F6365" s="27">
        <v>15</v>
      </c>
      <c r="G6365" s="18">
        <v>699.67</v>
      </c>
      <c r="H6365" s="27">
        <f t="shared" si="198"/>
        <v>0</v>
      </c>
      <c r="I6365" s="18">
        <v>3.69</v>
      </c>
      <c r="J6365" s="27">
        <v>1744.24</v>
      </c>
      <c r="K6365" s="18">
        <f t="shared" si="199"/>
        <v>0</v>
      </c>
      <c r="L6365" s="27">
        <v>114.53</v>
      </c>
      <c r="M6365" s="36">
        <v>110.84</v>
      </c>
      <c r="N6365" s="18" t="s">
        <v>123</v>
      </c>
      <c r="O6365" s="19">
        <v>1044.57</v>
      </c>
      <c r="T6365" s="41">
        <v>0</v>
      </c>
      <c r="U6365" s="41">
        <v>0</v>
      </c>
      <c r="V6365" s="42" t="s">
        <v>113</v>
      </c>
      <c r="W6365" s="42">
        <v>0</v>
      </c>
      <c r="X6365" s="42">
        <v>0</v>
      </c>
    </row>
    <row r="6366" spans="1:24">
      <c r="A6366" s="27" t="s">
        <v>11722</v>
      </c>
      <c r="B6366" s="28" t="s">
        <v>5102</v>
      </c>
      <c r="C6366" s="27" t="s">
        <v>11723</v>
      </c>
      <c r="D6366" s="27" t="s">
        <v>5104</v>
      </c>
      <c r="E6366" s="29">
        <v>43409</v>
      </c>
      <c r="F6366" s="27">
        <v>15</v>
      </c>
      <c r="G6366" s="18">
        <v>566.4</v>
      </c>
      <c r="H6366" s="27">
        <f t="shared" si="198"/>
        <v>0</v>
      </c>
      <c r="I6366" s="18">
        <v>2.99</v>
      </c>
      <c r="J6366" s="27">
        <v>1744.24</v>
      </c>
      <c r="K6366" s="18">
        <f t="shared" si="199"/>
        <v>0</v>
      </c>
      <c r="L6366" s="27">
        <v>113.88</v>
      </c>
      <c r="M6366" s="36">
        <v>110.89</v>
      </c>
      <c r="N6366" s="18" t="s">
        <v>123</v>
      </c>
      <c r="O6366" s="19">
        <v>1177.8399999999999</v>
      </c>
      <c r="T6366" s="41">
        <v>0</v>
      </c>
      <c r="U6366" s="41">
        <v>0</v>
      </c>
      <c r="V6366" s="42" t="s">
        <v>113</v>
      </c>
      <c r="W6366" s="42">
        <v>0</v>
      </c>
      <c r="X6366" s="42">
        <v>0</v>
      </c>
    </row>
    <row r="6367" spans="1:24">
      <c r="A6367" s="27" t="s">
        <v>11724</v>
      </c>
      <c r="B6367" s="28" t="s">
        <v>5102</v>
      </c>
      <c r="C6367" s="27" t="s">
        <v>11725</v>
      </c>
      <c r="D6367" s="27" t="s">
        <v>5104</v>
      </c>
      <c r="E6367" s="29">
        <v>43409</v>
      </c>
      <c r="F6367" s="27">
        <v>15</v>
      </c>
      <c r="G6367" s="18">
        <v>583.05999999999995</v>
      </c>
      <c r="H6367" s="27">
        <f t="shared" si="198"/>
        <v>0</v>
      </c>
      <c r="I6367" s="18">
        <v>3.08</v>
      </c>
      <c r="J6367" s="27">
        <v>1744.24</v>
      </c>
      <c r="K6367" s="18">
        <f t="shared" si="199"/>
        <v>0</v>
      </c>
      <c r="L6367" s="27">
        <v>113.96</v>
      </c>
      <c r="M6367" s="36">
        <v>110.88</v>
      </c>
      <c r="N6367" s="18" t="s">
        <v>123</v>
      </c>
      <c r="O6367" s="19">
        <v>1161.18</v>
      </c>
      <c r="T6367" s="41">
        <v>0</v>
      </c>
      <c r="U6367" s="41">
        <v>0</v>
      </c>
      <c r="V6367" s="42" t="s">
        <v>113</v>
      </c>
      <c r="W6367" s="42">
        <v>0</v>
      </c>
      <c r="X6367" s="42">
        <v>0</v>
      </c>
    </row>
    <row r="6368" spans="1:24">
      <c r="A6368" s="27" t="s">
        <v>11726</v>
      </c>
      <c r="B6368" s="28" t="s">
        <v>5102</v>
      </c>
      <c r="C6368" s="27" t="s">
        <v>11727</v>
      </c>
      <c r="D6368" s="27" t="s">
        <v>5104</v>
      </c>
      <c r="E6368" s="29">
        <v>43409</v>
      </c>
      <c r="F6368" s="27">
        <v>15</v>
      </c>
      <c r="G6368" s="18">
        <v>599.72</v>
      </c>
      <c r="H6368" s="27">
        <f t="shared" si="198"/>
        <v>0</v>
      </c>
      <c r="I6368" s="18">
        <v>3.17</v>
      </c>
      <c r="J6368" s="27">
        <v>1744.24</v>
      </c>
      <c r="K6368" s="18">
        <f t="shared" si="199"/>
        <v>0</v>
      </c>
      <c r="L6368" s="27">
        <v>114.04</v>
      </c>
      <c r="M6368" s="36">
        <v>110.87</v>
      </c>
      <c r="N6368" s="18" t="s">
        <v>123</v>
      </c>
      <c r="O6368" s="19">
        <v>1144.52</v>
      </c>
      <c r="T6368" s="41">
        <v>0</v>
      </c>
      <c r="U6368" s="41">
        <v>0</v>
      </c>
      <c r="V6368" s="42" t="s">
        <v>113</v>
      </c>
      <c r="W6368" s="42">
        <v>0</v>
      </c>
      <c r="X6368" s="42">
        <v>0</v>
      </c>
    </row>
    <row r="6369" spans="1:24">
      <c r="A6369" s="27" t="s">
        <v>11728</v>
      </c>
      <c r="B6369" s="28" t="s">
        <v>5102</v>
      </c>
      <c r="C6369" s="27" t="s">
        <v>11729</v>
      </c>
      <c r="D6369" s="27" t="s">
        <v>5104</v>
      </c>
      <c r="E6369" s="29">
        <v>43409</v>
      </c>
      <c r="F6369" s="27">
        <v>15</v>
      </c>
      <c r="G6369" s="18">
        <v>633.04</v>
      </c>
      <c r="H6369" s="27">
        <f t="shared" si="198"/>
        <v>0</v>
      </c>
      <c r="I6369" s="18">
        <v>3.34</v>
      </c>
      <c r="J6369" s="27">
        <v>1744.24</v>
      </c>
      <c r="K6369" s="18">
        <f t="shared" si="199"/>
        <v>0</v>
      </c>
      <c r="L6369" s="27">
        <v>114.2</v>
      </c>
      <c r="M6369" s="36">
        <v>110.86</v>
      </c>
      <c r="N6369" s="18" t="s">
        <v>123</v>
      </c>
      <c r="O6369" s="19">
        <v>1111.2</v>
      </c>
      <c r="T6369" s="41">
        <v>0</v>
      </c>
      <c r="U6369" s="41">
        <v>0</v>
      </c>
      <c r="V6369" s="42" t="s">
        <v>113</v>
      </c>
      <c r="W6369" s="42">
        <v>0</v>
      </c>
      <c r="X6369" s="42">
        <v>0</v>
      </c>
    </row>
    <row r="6370" spans="1:24">
      <c r="A6370" s="27" t="s">
        <v>11730</v>
      </c>
      <c r="B6370" s="28" t="s">
        <v>5102</v>
      </c>
      <c r="C6370" s="27" t="s">
        <v>11731</v>
      </c>
      <c r="D6370" s="27" t="s">
        <v>5104</v>
      </c>
      <c r="E6370" s="29">
        <v>43409</v>
      </c>
      <c r="F6370" s="27">
        <v>15</v>
      </c>
      <c r="G6370" s="18">
        <v>533.09</v>
      </c>
      <c r="H6370" s="27">
        <f t="shared" si="198"/>
        <v>0</v>
      </c>
      <c r="I6370" s="18">
        <v>2.81</v>
      </c>
      <c r="J6370" s="27">
        <v>1744.24</v>
      </c>
      <c r="K6370" s="18">
        <f t="shared" si="199"/>
        <v>0</v>
      </c>
      <c r="L6370" s="27">
        <v>113.71</v>
      </c>
      <c r="M6370" s="36">
        <v>110.9</v>
      </c>
      <c r="N6370" s="18" t="s">
        <v>123</v>
      </c>
      <c r="O6370" s="19">
        <v>1211.1500000000001</v>
      </c>
      <c r="T6370" s="41">
        <v>0</v>
      </c>
      <c r="U6370" s="41">
        <v>0</v>
      </c>
      <c r="V6370" s="42" t="s">
        <v>113</v>
      </c>
      <c r="W6370" s="42">
        <v>0</v>
      </c>
      <c r="X6370" s="42">
        <v>0</v>
      </c>
    </row>
    <row r="6371" spans="1:24">
      <c r="A6371" s="27" t="s">
        <v>11732</v>
      </c>
      <c r="B6371" s="28" t="s">
        <v>5102</v>
      </c>
      <c r="C6371" s="27" t="s">
        <v>11733</v>
      </c>
      <c r="D6371" s="27" t="s">
        <v>5104</v>
      </c>
      <c r="E6371" s="29">
        <v>43409</v>
      </c>
      <c r="F6371" s="27">
        <v>15</v>
      </c>
      <c r="G6371" s="18">
        <v>716.33</v>
      </c>
      <c r="H6371" s="27">
        <f t="shared" si="198"/>
        <v>0</v>
      </c>
      <c r="I6371" s="18">
        <v>3.78</v>
      </c>
      <c r="J6371" s="27">
        <v>1744.24</v>
      </c>
      <c r="K6371" s="18">
        <f t="shared" si="199"/>
        <v>0</v>
      </c>
      <c r="L6371" s="27">
        <v>114.61</v>
      </c>
      <c r="M6371" s="36">
        <v>110.83</v>
      </c>
      <c r="N6371" s="18" t="s">
        <v>123</v>
      </c>
      <c r="O6371" s="19">
        <v>1027.9100000000001</v>
      </c>
      <c r="T6371" s="41">
        <v>0</v>
      </c>
      <c r="U6371" s="41">
        <v>0</v>
      </c>
      <c r="V6371" s="42" t="s">
        <v>113</v>
      </c>
      <c r="W6371" s="42">
        <v>0</v>
      </c>
      <c r="X6371" s="42">
        <v>0</v>
      </c>
    </row>
    <row r="6372" spans="1:24">
      <c r="A6372" s="27" t="s">
        <v>11734</v>
      </c>
      <c r="B6372" s="28" t="s">
        <v>5102</v>
      </c>
      <c r="C6372" s="27" t="s">
        <v>11735</v>
      </c>
      <c r="D6372" s="27" t="s">
        <v>5104</v>
      </c>
      <c r="E6372" s="29">
        <v>43409</v>
      </c>
      <c r="F6372" s="27">
        <v>15</v>
      </c>
      <c r="G6372" s="18">
        <v>566.4</v>
      </c>
      <c r="H6372" s="27">
        <f t="shared" si="198"/>
        <v>0</v>
      </c>
      <c r="I6372" s="18">
        <v>2.99</v>
      </c>
      <c r="J6372" s="27">
        <v>1098.8699999999999</v>
      </c>
      <c r="K6372" s="18">
        <f t="shared" si="199"/>
        <v>0</v>
      </c>
      <c r="L6372" s="27">
        <v>72.77</v>
      </c>
      <c r="M6372" s="36">
        <v>69.78</v>
      </c>
      <c r="N6372" s="18" t="s">
        <v>123</v>
      </c>
      <c r="O6372" s="19">
        <v>532.47</v>
      </c>
      <c r="T6372" s="41">
        <v>0</v>
      </c>
      <c r="U6372" s="41">
        <v>0</v>
      </c>
      <c r="V6372" s="42" t="s">
        <v>113</v>
      </c>
      <c r="W6372" s="42">
        <v>0</v>
      </c>
      <c r="X6372" s="42">
        <v>0</v>
      </c>
    </row>
    <row r="6373" spans="1:24">
      <c r="A6373" s="27" t="s">
        <v>11736</v>
      </c>
      <c r="B6373" s="28" t="s">
        <v>5102</v>
      </c>
      <c r="C6373" s="27" t="s">
        <v>11737</v>
      </c>
      <c r="D6373" s="27" t="s">
        <v>5104</v>
      </c>
      <c r="E6373" s="29">
        <v>43409</v>
      </c>
      <c r="F6373" s="27">
        <v>15</v>
      </c>
      <c r="G6373" s="18">
        <v>1999.07</v>
      </c>
      <c r="H6373" s="27">
        <f t="shared" si="198"/>
        <v>0</v>
      </c>
      <c r="I6373" s="18">
        <v>10.55</v>
      </c>
      <c r="J6373" s="27">
        <v>1098.8699999999999</v>
      </c>
      <c r="K6373" s="18">
        <f t="shared" si="199"/>
        <v>0</v>
      </c>
      <c r="L6373" s="27">
        <v>79.83</v>
      </c>
      <c r="M6373" s="36">
        <v>69.28</v>
      </c>
      <c r="N6373" s="18" t="s">
        <v>123</v>
      </c>
      <c r="O6373" s="19">
        <v>-900.2</v>
      </c>
      <c r="T6373" s="41">
        <v>0</v>
      </c>
      <c r="U6373" s="41">
        <v>0</v>
      </c>
      <c r="V6373" s="42" t="s">
        <v>113</v>
      </c>
      <c r="W6373" s="42">
        <v>0</v>
      </c>
      <c r="X6373" s="42">
        <v>0</v>
      </c>
    </row>
    <row r="6374" spans="1:24">
      <c r="A6374" s="27" t="s">
        <v>11738</v>
      </c>
      <c r="B6374" s="28" t="s">
        <v>5102</v>
      </c>
      <c r="C6374" s="27" t="s">
        <v>11739</v>
      </c>
      <c r="D6374" s="27" t="s">
        <v>5104</v>
      </c>
      <c r="E6374" s="29">
        <v>43409</v>
      </c>
      <c r="F6374" s="27">
        <v>15</v>
      </c>
      <c r="G6374" s="18">
        <v>1282.74</v>
      </c>
      <c r="H6374" s="27">
        <f t="shared" si="198"/>
        <v>0</v>
      </c>
      <c r="I6374" s="18">
        <v>6.77</v>
      </c>
      <c r="J6374" s="27">
        <v>1098.8699999999999</v>
      </c>
      <c r="K6374" s="18">
        <f t="shared" si="199"/>
        <v>0</v>
      </c>
      <c r="L6374" s="27">
        <v>76.3</v>
      </c>
      <c r="M6374" s="36">
        <v>69.53</v>
      </c>
      <c r="N6374" s="18" t="s">
        <v>123</v>
      </c>
      <c r="O6374" s="19">
        <v>-183.87</v>
      </c>
      <c r="T6374" s="41">
        <v>0</v>
      </c>
      <c r="U6374" s="41">
        <v>0</v>
      </c>
      <c r="V6374" s="42" t="s">
        <v>113</v>
      </c>
      <c r="W6374" s="42">
        <v>0</v>
      </c>
      <c r="X6374" s="42">
        <v>0</v>
      </c>
    </row>
    <row r="6375" spans="1:24">
      <c r="A6375" s="27" t="s">
        <v>11740</v>
      </c>
      <c r="B6375" s="28" t="s">
        <v>5102</v>
      </c>
      <c r="C6375" s="27" t="s">
        <v>11741</v>
      </c>
      <c r="D6375" s="27" t="s">
        <v>5104</v>
      </c>
      <c r="E6375" s="29">
        <v>43409</v>
      </c>
      <c r="F6375" s="27">
        <v>15</v>
      </c>
      <c r="G6375" s="18">
        <v>583.05999999999995</v>
      </c>
      <c r="H6375" s="27">
        <f t="shared" si="198"/>
        <v>0</v>
      </c>
      <c r="I6375" s="18">
        <v>3.08</v>
      </c>
      <c r="J6375" s="27">
        <v>1098.8699999999999</v>
      </c>
      <c r="K6375" s="18">
        <f t="shared" si="199"/>
        <v>0</v>
      </c>
      <c r="L6375" s="27">
        <v>72.86</v>
      </c>
      <c r="M6375" s="36">
        <v>69.78</v>
      </c>
      <c r="N6375" s="18" t="s">
        <v>123</v>
      </c>
      <c r="O6375" s="19">
        <v>515.80999999999995</v>
      </c>
      <c r="T6375" s="41">
        <v>0</v>
      </c>
      <c r="U6375" s="41">
        <v>0</v>
      </c>
      <c r="V6375" s="42" t="s">
        <v>113</v>
      </c>
      <c r="W6375" s="42">
        <v>0</v>
      </c>
      <c r="X6375" s="42">
        <v>0</v>
      </c>
    </row>
    <row r="6376" spans="1:24">
      <c r="A6376" s="27" t="s">
        <v>11742</v>
      </c>
      <c r="B6376" s="28" t="s">
        <v>5102</v>
      </c>
      <c r="C6376" s="27" t="s">
        <v>11743</v>
      </c>
      <c r="D6376" s="27" t="s">
        <v>5104</v>
      </c>
      <c r="E6376" s="29">
        <v>43409</v>
      </c>
      <c r="F6376" s="27">
        <v>15</v>
      </c>
      <c r="G6376" s="18">
        <v>866.26</v>
      </c>
      <c r="H6376" s="27">
        <f t="shared" si="198"/>
        <v>0</v>
      </c>
      <c r="I6376" s="18">
        <v>4.57</v>
      </c>
      <c r="J6376" s="27">
        <v>1098.8699999999999</v>
      </c>
      <c r="K6376" s="18">
        <f t="shared" si="199"/>
        <v>0</v>
      </c>
      <c r="L6376" s="27">
        <v>74.25</v>
      </c>
      <c r="M6376" s="36">
        <v>69.680000000000007</v>
      </c>
      <c r="N6376" s="18" t="s">
        <v>123</v>
      </c>
      <c r="O6376" s="19">
        <v>232.61</v>
      </c>
      <c r="T6376" s="41">
        <v>0</v>
      </c>
      <c r="U6376" s="41">
        <v>0</v>
      </c>
      <c r="V6376" s="42" t="s">
        <v>113</v>
      </c>
      <c r="W6376" s="42">
        <v>0</v>
      </c>
      <c r="X6376" s="42">
        <v>0</v>
      </c>
    </row>
    <row r="6377" spans="1:24">
      <c r="A6377" s="27" t="s">
        <v>11744</v>
      </c>
      <c r="B6377" s="28" t="s">
        <v>5102</v>
      </c>
      <c r="C6377" s="27" t="s">
        <v>11745</v>
      </c>
      <c r="D6377" s="27" t="s">
        <v>5104</v>
      </c>
      <c r="E6377" s="29">
        <v>43409</v>
      </c>
      <c r="F6377" s="27">
        <v>15</v>
      </c>
      <c r="G6377" s="18">
        <v>649.70000000000005</v>
      </c>
      <c r="H6377" s="27">
        <f t="shared" si="198"/>
        <v>0</v>
      </c>
      <c r="I6377" s="18">
        <v>3.43</v>
      </c>
      <c r="J6377" s="27">
        <v>1098.8699999999999</v>
      </c>
      <c r="K6377" s="18">
        <f t="shared" si="199"/>
        <v>0</v>
      </c>
      <c r="L6377" s="27">
        <v>73.180000000000007</v>
      </c>
      <c r="M6377" s="36">
        <v>69.75</v>
      </c>
      <c r="N6377" s="18" t="s">
        <v>123</v>
      </c>
      <c r="O6377" s="19">
        <v>449.17</v>
      </c>
      <c r="T6377" s="41">
        <v>0</v>
      </c>
      <c r="U6377" s="41">
        <v>0</v>
      </c>
      <c r="V6377" s="42" t="s">
        <v>113</v>
      </c>
      <c r="W6377" s="42">
        <v>0</v>
      </c>
      <c r="X6377" s="42">
        <v>0</v>
      </c>
    </row>
    <row r="6378" spans="1:24">
      <c r="A6378" s="27" t="s">
        <v>11746</v>
      </c>
      <c r="B6378" s="28" t="s">
        <v>5102</v>
      </c>
      <c r="C6378" s="27" t="s">
        <v>11747</v>
      </c>
      <c r="D6378" s="27" t="s">
        <v>5104</v>
      </c>
      <c r="E6378" s="29">
        <v>43409</v>
      </c>
      <c r="F6378" s="27">
        <v>15</v>
      </c>
      <c r="G6378" s="18">
        <v>649.70000000000005</v>
      </c>
      <c r="H6378" s="27">
        <f t="shared" si="198"/>
        <v>0</v>
      </c>
      <c r="I6378" s="18">
        <v>3.43</v>
      </c>
      <c r="J6378" s="27">
        <v>1098.8699999999999</v>
      </c>
      <c r="K6378" s="18">
        <f t="shared" si="199"/>
        <v>0</v>
      </c>
      <c r="L6378" s="27">
        <v>73.180000000000007</v>
      </c>
      <c r="M6378" s="36">
        <v>69.75</v>
      </c>
      <c r="N6378" s="18" t="s">
        <v>123</v>
      </c>
      <c r="O6378" s="19">
        <v>449.17</v>
      </c>
      <c r="T6378" s="41">
        <v>0</v>
      </c>
      <c r="U6378" s="41">
        <v>0</v>
      </c>
      <c r="V6378" s="42" t="s">
        <v>113</v>
      </c>
      <c r="W6378" s="42">
        <v>0</v>
      </c>
      <c r="X6378" s="42">
        <v>0</v>
      </c>
    </row>
    <row r="6379" spans="1:24">
      <c r="A6379" s="27" t="s">
        <v>11748</v>
      </c>
      <c r="B6379" s="28" t="s">
        <v>5102</v>
      </c>
      <c r="C6379" s="27" t="s">
        <v>11749</v>
      </c>
      <c r="D6379" s="27" t="s">
        <v>5104</v>
      </c>
      <c r="E6379" s="29">
        <v>43409</v>
      </c>
      <c r="F6379" s="27">
        <v>15</v>
      </c>
      <c r="G6379" s="18">
        <v>3848.21</v>
      </c>
      <c r="H6379" s="27">
        <f t="shared" si="198"/>
        <v>0</v>
      </c>
      <c r="I6379" s="18">
        <v>20.309999999999999</v>
      </c>
      <c r="J6379" s="27">
        <v>1098.8699999999999</v>
      </c>
      <c r="K6379" s="18">
        <f t="shared" si="199"/>
        <v>0</v>
      </c>
      <c r="L6379" s="27">
        <v>88.93</v>
      </c>
      <c r="M6379" s="36">
        <v>68.62</v>
      </c>
      <c r="N6379" s="18" t="s">
        <v>123</v>
      </c>
      <c r="O6379" s="19">
        <v>-2749.34</v>
      </c>
      <c r="T6379" s="41">
        <v>0</v>
      </c>
      <c r="U6379" s="41">
        <v>0</v>
      </c>
      <c r="V6379" s="42" t="s">
        <v>113</v>
      </c>
      <c r="W6379" s="42">
        <v>0</v>
      </c>
      <c r="X6379" s="42">
        <v>0</v>
      </c>
    </row>
    <row r="6380" spans="1:24">
      <c r="A6380" s="27" t="s">
        <v>11750</v>
      </c>
      <c r="B6380" s="28" t="s">
        <v>5102</v>
      </c>
      <c r="C6380" s="27" t="s">
        <v>11751</v>
      </c>
      <c r="D6380" s="27" t="s">
        <v>5104</v>
      </c>
      <c r="E6380" s="29">
        <v>43409</v>
      </c>
      <c r="F6380" s="27">
        <v>15</v>
      </c>
      <c r="G6380" s="18">
        <v>533.09</v>
      </c>
      <c r="H6380" s="27">
        <f t="shared" si="198"/>
        <v>0</v>
      </c>
      <c r="I6380" s="18">
        <v>2.81</v>
      </c>
      <c r="J6380" s="27">
        <v>1098.8699999999999</v>
      </c>
      <c r="K6380" s="18">
        <f t="shared" si="199"/>
        <v>0</v>
      </c>
      <c r="L6380" s="27">
        <v>72.61</v>
      </c>
      <c r="M6380" s="36">
        <v>69.8</v>
      </c>
      <c r="N6380" s="18" t="s">
        <v>123</v>
      </c>
      <c r="O6380" s="19">
        <v>565.78</v>
      </c>
      <c r="T6380" s="41">
        <v>0</v>
      </c>
      <c r="U6380" s="41">
        <v>0</v>
      </c>
      <c r="V6380" s="42" t="s">
        <v>113</v>
      </c>
      <c r="W6380" s="42">
        <v>0</v>
      </c>
      <c r="X6380" s="42">
        <v>0</v>
      </c>
    </row>
    <row r="6381" spans="1:24">
      <c r="A6381" s="27" t="s">
        <v>11752</v>
      </c>
      <c r="B6381" s="28" t="s">
        <v>5102</v>
      </c>
      <c r="C6381" s="27" t="s">
        <v>11753</v>
      </c>
      <c r="D6381" s="27" t="s">
        <v>5104</v>
      </c>
      <c r="E6381" s="29">
        <v>43409</v>
      </c>
      <c r="F6381" s="27">
        <v>15</v>
      </c>
      <c r="G6381" s="18">
        <v>683.02</v>
      </c>
      <c r="H6381" s="27">
        <f t="shared" si="198"/>
        <v>0</v>
      </c>
      <c r="I6381" s="18">
        <v>3.6</v>
      </c>
      <c r="J6381" s="27">
        <v>1098.8699999999999</v>
      </c>
      <c r="K6381" s="18">
        <f t="shared" si="199"/>
        <v>0</v>
      </c>
      <c r="L6381" s="27">
        <v>73.34</v>
      </c>
      <c r="M6381" s="36">
        <v>69.739999999999995</v>
      </c>
      <c r="N6381" s="18" t="s">
        <v>123</v>
      </c>
      <c r="O6381" s="19">
        <v>415.85</v>
      </c>
      <c r="T6381" s="41">
        <v>0</v>
      </c>
      <c r="U6381" s="41">
        <v>0</v>
      </c>
      <c r="V6381" s="42" t="s">
        <v>113</v>
      </c>
      <c r="W6381" s="42">
        <v>0</v>
      </c>
      <c r="X6381" s="42">
        <v>0</v>
      </c>
    </row>
    <row r="6382" spans="1:24">
      <c r="A6382" s="27" t="s">
        <v>11754</v>
      </c>
      <c r="B6382" s="28" t="s">
        <v>5102</v>
      </c>
      <c r="C6382" s="27" t="s">
        <v>11755</v>
      </c>
      <c r="D6382" s="27" t="s">
        <v>5104</v>
      </c>
      <c r="E6382" s="29">
        <v>43409</v>
      </c>
      <c r="F6382" s="27">
        <v>15</v>
      </c>
      <c r="G6382" s="18">
        <v>533.09</v>
      </c>
      <c r="H6382" s="27">
        <f t="shared" si="198"/>
        <v>0</v>
      </c>
      <c r="I6382" s="18">
        <v>2.81</v>
      </c>
      <c r="J6382" s="27">
        <v>1098.8699999999999</v>
      </c>
      <c r="K6382" s="18">
        <f t="shared" si="199"/>
        <v>0</v>
      </c>
      <c r="L6382" s="27">
        <v>72.61</v>
      </c>
      <c r="M6382" s="36">
        <v>69.8</v>
      </c>
      <c r="N6382" s="18" t="s">
        <v>123</v>
      </c>
      <c r="O6382" s="19">
        <v>565.78</v>
      </c>
      <c r="T6382" s="41">
        <v>0</v>
      </c>
      <c r="U6382" s="41">
        <v>0</v>
      </c>
      <c r="V6382" s="42" t="s">
        <v>113</v>
      </c>
      <c r="W6382" s="42">
        <v>0</v>
      </c>
      <c r="X6382" s="42">
        <v>0</v>
      </c>
    </row>
    <row r="6383" spans="1:24">
      <c r="A6383" s="27" t="s">
        <v>11756</v>
      </c>
      <c r="B6383" s="28" t="s">
        <v>5102</v>
      </c>
      <c r="C6383" s="27" t="s">
        <v>11757</v>
      </c>
      <c r="D6383" s="27" t="s">
        <v>5104</v>
      </c>
      <c r="E6383" s="29">
        <v>43409</v>
      </c>
      <c r="F6383" s="27">
        <v>15</v>
      </c>
      <c r="G6383" s="18">
        <v>533.09</v>
      </c>
      <c r="H6383" s="27">
        <f t="shared" si="198"/>
        <v>0</v>
      </c>
      <c r="I6383" s="18">
        <v>2.81</v>
      </c>
      <c r="J6383" s="27">
        <v>1098.8699999999999</v>
      </c>
      <c r="K6383" s="18">
        <f t="shared" si="199"/>
        <v>0</v>
      </c>
      <c r="L6383" s="27">
        <v>72.61</v>
      </c>
      <c r="M6383" s="36">
        <v>69.8</v>
      </c>
      <c r="N6383" s="18" t="s">
        <v>123</v>
      </c>
      <c r="O6383" s="19">
        <v>565.78</v>
      </c>
      <c r="T6383" s="41">
        <v>0</v>
      </c>
      <c r="U6383" s="41">
        <v>0</v>
      </c>
      <c r="V6383" s="42" t="s">
        <v>113</v>
      </c>
      <c r="W6383" s="42">
        <v>0</v>
      </c>
      <c r="X6383" s="42">
        <v>0</v>
      </c>
    </row>
    <row r="6384" spans="1:24">
      <c r="A6384" s="27" t="s">
        <v>11758</v>
      </c>
      <c r="B6384" s="28" t="s">
        <v>5102</v>
      </c>
      <c r="C6384" s="27" t="s">
        <v>11759</v>
      </c>
      <c r="D6384" s="27" t="s">
        <v>5104</v>
      </c>
      <c r="E6384" s="29">
        <v>43409</v>
      </c>
      <c r="F6384" s="27">
        <v>15</v>
      </c>
      <c r="G6384" s="18">
        <v>633.04</v>
      </c>
      <c r="H6384" s="27">
        <f t="shared" si="198"/>
        <v>0</v>
      </c>
      <c r="I6384" s="18">
        <v>3.34</v>
      </c>
      <c r="J6384" s="27">
        <v>1098.8699999999999</v>
      </c>
      <c r="K6384" s="18">
        <f t="shared" si="199"/>
        <v>0</v>
      </c>
      <c r="L6384" s="27">
        <v>73.099999999999994</v>
      </c>
      <c r="M6384" s="36">
        <v>69.760000000000005</v>
      </c>
      <c r="N6384" s="18" t="s">
        <v>123</v>
      </c>
      <c r="O6384" s="19">
        <v>465.83</v>
      </c>
      <c r="T6384" s="41">
        <v>0</v>
      </c>
      <c r="U6384" s="41">
        <v>0</v>
      </c>
      <c r="V6384" s="42" t="s">
        <v>113</v>
      </c>
      <c r="W6384" s="42">
        <v>0</v>
      </c>
      <c r="X6384" s="42">
        <v>0</v>
      </c>
    </row>
    <row r="6385" spans="1:24">
      <c r="A6385" s="27" t="s">
        <v>11760</v>
      </c>
      <c r="B6385" s="28" t="s">
        <v>5102</v>
      </c>
      <c r="C6385" s="27" t="s">
        <v>11761</v>
      </c>
      <c r="D6385" s="27" t="s">
        <v>5104</v>
      </c>
      <c r="E6385" s="29">
        <v>43409</v>
      </c>
      <c r="F6385" s="27">
        <v>15</v>
      </c>
      <c r="G6385" s="18">
        <v>583.05999999999995</v>
      </c>
      <c r="H6385" s="27">
        <f t="shared" si="198"/>
        <v>0</v>
      </c>
      <c r="I6385" s="18">
        <v>3.08</v>
      </c>
      <c r="J6385" s="27">
        <v>1098.8699999999999</v>
      </c>
      <c r="K6385" s="18">
        <f t="shared" si="199"/>
        <v>0</v>
      </c>
      <c r="L6385" s="27">
        <v>72.86</v>
      </c>
      <c r="M6385" s="36">
        <v>69.78</v>
      </c>
      <c r="N6385" s="18" t="s">
        <v>123</v>
      </c>
      <c r="O6385" s="19">
        <v>515.80999999999995</v>
      </c>
      <c r="T6385" s="41">
        <v>0</v>
      </c>
      <c r="U6385" s="41">
        <v>0</v>
      </c>
      <c r="V6385" s="42" t="s">
        <v>113</v>
      </c>
      <c r="W6385" s="42">
        <v>0</v>
      </c>
      <c r="X6385" s="42">
        <v>0</v>
      </c>
    </row>
    <row r="6386" spans="1:24">
      <c r="A6386" s="27" t="s">
        <v>11762</v>
      </c>
      <c r="B6386" s="28" t="s">
        <v>5102</v>
      </c>
      <c r="C6386" s="27" t="s">
        <v>11763</v>
      </c>
      <c r="D6386" s="27" t="s">
        <v>5104</v>
      </c>
      <c r="E6386" s="29">
        <v>43409</v>
      </c>
      <c r="F6386" s="27">
        <v>15</v>
      </c>
      <c r="G6386" s="18">
        <v>583.05999999999995</v>
      </c>
      <c r="H6386" s="27">
        <f t="shared" si="198"/>
        <v>0</v>
      </c>
      <c r="I6386" s="18">
        <v>3.08</v>
      </c>
      <c r="J6386" s="27">
        <v>1098.8699999999999</v>
      </c>
      <c r="K6386" s="18">
        <f t="shared" si="199"/>
        <v>0</v>
      </c>
      <c r="L6386" s="27">
        <v>72.86</v>
      </c>
      <c r="M6386" s="36">
        <v>69.78</v>
      </c>
      <c r="N6386" s="18" t="s">
        <v>123</v>
      </c>
      <c r="O6386" s="19">
        <v>515.80999999999995</v>
      </c>
      <c r="T6386" s="41">
        <v>0</v>
      </c>
      <c r="U6386" s="41">
        <v>0</v>
      </c>
      <c r="V6386" s="42" t="s">
        <v>113</v>
      </c>
      <c r="W6386" s="42">
        <v>0</v>
      </c>
      <c r="X6386" s="42">
        <v>0</v>
      </c>
    </row>
    <row r="6387" spans="1:24">
      <c r="A6387" s="27" t="s">
        <v>11764</v>
      </c>
      <c r="B6387" s="28" t="s">
        <v>5102</v>
      </c>
      <c r="C6387" s="27" t="s">
        <v>11765</v>
      </c>
      <c r="D6387" s="27" t="s">
        <v>5104</v>
      </c>
      <c r="E6387" s="29">
        <v>43409</v>
      </c>
      <c r="F6387" s="27">
        <v>15</v>
      </c>
      <c r="G6387" s="18">
        <v>533.09</v>
      </c>
      <c r="H6387" s="27">
        <f t="shared" si="198"/>
        <v>0</v>
      </c>
      <c r="I6387" s="18">
        <v>2.81</v>
      </c>
      <c r="J6387" s="27">
        <v>1098.8699999999999</v>
      </c>
      <c r="K6387" s="18">
        <f t="shared" si="199"/>
        <v>0</v>
      </c>
      <c r="L6387" s="27">
        <v>72.61</v>
      </c>
      <c r="M6387" s="36">
        <v>69.8</v>
      </c>
      <c r="N6387" s="18" t="s">
        <v>123</v>
      </c>
      <c r="O6387" s="19">
        <v>565.78</v>
      </c>
      <c r="T6387" s="41">
        <v>0</v>
      </c>
      <c r="U6387" s="41">
        <v>0</v>
      </c>
      <c r="V6387" s="42" t="s">
        <v>113</v>
      </c>
      <c r="W6387" s="42">
        <v>0</v>
      </c>
      <c r="X6387" s="42">
        <v>0</v>
      </c>
    </row>
    <row r="6388" spans="1:24">
      <c r="A6388" s="27" t="s">
        <v>11766</v>
      </c>
      <c r="B6388" s="28" t="s">
        <v>5102</v>
      </c>
      <c r="C6388" s="27" t="s">
        <v>11767</v>
      </c>
      <c r="D6388" s="27" t="s">
        <v>5104</v>
      </c>
      <c r="E6388" s="29">
        <v>43409</v>
      </c>
      <c r="F6388" s="27">
        <v>15</v>
      </c>
      <c r="G6388" s="18">
        <v>633.04</v>
      </c>
      <c r="H6388" s="27">
        <f t="shared" si="198"/>
        <v>0</v>
      </c>
      <c r="I6388" s="18">
        <v>3.34</v>
      </c>
      <c r="J6388" s="27">
        <v>1098.8699999999999</v>
      </c>
      <c r="K6388" s="18">
        <f t="shared" si="199"/>
        <v>0</v>
      </c>
      <c r="L6388" s="27">
        <v>73.099999999999994</v>
      </c>
      <c r="M6388" s="36">
        <v>69.760000000000005</v>
      </c>
      <c r="N6388" s="18" t="s">
        <v>123</v>
      </c>
      <c r="O6388" s="19">
        <v>465.83</v>
      </c>
      <c r="T6388" s="41">
        <v>0</v>
      </c>
      <c r="U6388" s="41">
        <v>0</v>
      </c>
      <c r="V6388" s="42" t="s">
        <v>113</v>
      </c>
      <c r="W6388" s="42">
        <v>0</v>
      </c>
      <c r="X6388" s="42">
        <v>0</v>
      </c>
    </row>
    <row r="6389" spans="1:24">
      <c r="A6389" s="27" t="s">
        <v>11768</v>
      </c>
      <c r="B6389" s="28" t="s">
        <v>5102</v>
      </c>
      <c r="C6389" s="27" t="s">
        <v>11769</v>
      </c>
      <c r="D6389" s="27" t="s">
        <v>5104</v>
      </c>
      <c r="E6389" s="29">
        <v>43409</v>
      </c>
      <c r="F6389" s="27">
        <v>15</v>
      </c>
      <c r="G6389" s="18">
        <v>2298.9299999999998</v>
      </c>
      <c r="H6389" s="27">
        <f t="shared" si="198"/>
        <v>0</v>
      </c>
      <c r="I6389" s="18">
        <v>12.13</v>
      </c>
      <c r="J6389" s="27">
        <v>1098.8699999999999</v>
      </c>
      <c r="K6389" s="18">
        <f t="shared" si="199"/>
        <v>0</v>
      </c>
      <c r="L6389" s="27">
        <v>81.3</v>
      </c>
      <c r="M6389" s="36">
        <v>69.17</v>
      </c>
      <c r="N6389" s="18" t="s">
        <v>123</v>
      </c>
      <c r="O6389" s="19">
        <v>-1200.06</v>
      </c>
      <c r="T6389" s="41">
        <v>0</v>
      </c>
      <c r="U6389" s="41">
        <v>0</v>
      </c>
      <c r="V6389" s="42" t="s">
        <v>113</v>
      </c>
      <c r="W6389" s="42">
        <v>0</v>
      </c>
      <c r="X6389" s="42">
        <v>0</v>
      </c>
    </row>
    <row r="6390" spans="1:24">
      <c r="A6390" s="27" t="s">
        <v>11770</v>
      </c>
      <c r="B6390" s="28" t="s">
        <v>5102</v>
      </c>
      <c r="C6390" s="27" t="s">
        <v>11771</v>
      </c>
      <c r="D6390" s="27" t="s">
        <v>5104</v>
      </c>
      <c r="E6390" s="29">
        <v>43409</v>
      </c>
      <c r="F6390" s="27">
        <v>15</v>
      </c>
      <c r="G6390" s="18">
        <v>533.09</v>
      </c>
      <c r="H6390" s="27">
        <f t="shared" si="198"/>
        <v>0</v>
      </c>
      <c r="I6390" s="18">
        <v>2.81</v>
      </c>
      <c r="J6390" s="27">
        <v>1098.8699999999999</v>
      </c>
      <c r="K6390" s="18">
        <f t="shared" si="199"/>
        <v>0</v>
      </c>
      <c r="L6390" s="27">
        <v>72.61</v>
      </c>
      <c r="M6390" s="36">
        <v>69.8</v>
      </c>
      <c r="N6390" s="18" t="s">
        <v>123</v>
      </c>
      <c r="O6390" s="19">
        <v>565.78</v>
      </c>
      <c r="T6390" s="41">
        <v>0</v>
      </c>
      <c r="U6390" s="41">
        <v>0</v>
      </c>
      <c r="V6390" s="42" t="s">
        <v>113</v>
      </c>
      <c r="W6390" s="42">
        <v>0</v>
      </c>
      <c r="X6390" s="42">
        <v>0</v>
      </c>
    </row>
    <row r="6391" spans="1:24">
      <c r="A6391" s="27" t="s">
        <v>11772</v>
      </c>
      <c r="B6391" s="28" t="s">
        <v>5102</v>
      </c>
      <c r="C6391" s="27" t="s">
        <v>11773</v>
      </c>
      <c r="D6391" s="27" t="s">
        <v>5104</v>
      </c>
      <c r="E6391" s="29">
        <v>43409</v>
      </c>
      <c r="F6391" s="27">
        <v>15</v>
      </c>
      <c r="G6391" s="18">
        <v>533.09</v>
      </c>
      <c r="H6391" s="27">
        <f t="shared" si="198"/>
        <v>0</v>
      </c>
      <c r="I6391" s="18">
        <v>2.81</v>
      </c>
      <c r="J6391" s="27">
        <v>1098.8699999999999</v>
      </c>
      <c r="K6391" s="18">
        <f t="shared" si="199"/>
        <v>0</v>
      </c>
      <c r="L6391" s="27">
        <v>72.61</v>
      </c>
      <c r="M6391" s="36">
        <v>69.8</v>
      </c>
      <c r="N6391" s="18" t="s">
        <v>123</v>
      </c>
      <c r="O6391" s="19">
        <v>565.78</v>
      </c>
      <c r="T6391" s="41">
        <v>0</v>
      </c>
      <c r="U6391" s="41">
        <v>0</v>
      </c>
      <c r="V6391" s="42" t="s">
        <v>113</v>
      </c>
      <c r="W6391" s="42">
        <v>0</v>
      </c>
      <c r="X6391" s="42">
        <v>0</v>
      </c>
    </row>
    <row r="6392" spans="1:24">
      <c r="A6392" s="27" t="s">
        <v>11774</v>
      </c>
      <c r="B6392" s="28" t="s">
        <v>5102</v>
      </c>
      <c r="C6392" s="27" t="s">
        <v>11775</v>
      </c>
      <c r="D6392" s="27" t="s">
        <v>5104</v>
      </c>
      <c r="E6392" s="29">
        <v>43409</v>
      </c>
      <c r="F6392" s="27">
        <v>15</v>
      </c>
      <c r="G6392" s="18">
        <v>516.42999999999995</v>
      </c>
      <c r="H6392" s="27">
        <f t="shared" si="198"/>
        <v>0</v>
      </c>
      <c r="I6392" s="18">
        <v>2.73</v>
      </c>
      <c r="J6392" s="27">
        <v>1098.8699999999999</v>
      </c>
      <c r="K6392" s="18">
        <f t="shared" si="199"/>
        <v>0</v>
      </c>
      <c r="L6392" s="27">
        <v>72.53</v>
      </c>
      <c r="M6392" s="36">
        <v>69.8</v>
      </c>
      <c r="N6392" s="18" t="s">
        <v>123</v>
      </c>
      <c r="O6392" s="19">
        <v>582.44000000000005</v>
      </c>
      <c r="T6392" s="41">
        <v>0</v>
      </c>
      <c r="U6392" s="41">
        <v>0</v>
      </c>
      <c r="V6392" s="42" t="s">
        <v>113</v>
      </c>
      <c r="W6392" s="42">
        <v>0</v>
      </c>
      <c r="X6392" s="42">
        <v>0</v>
      </c>
    </row>
    <row r="6393" spans="1:24">
      <c r="A6393" s="27" t="s">
        <v>11776</v>
      </c>
      <c r="B6393" s="28" t="s">
        <v>5102</v>
      </c>
      <c r="C6393" s="27" t="s">
        <v>11777</v>
      </c>
      <c r="D6393" s="27" t="s">
        <v>5104</v>
      </c>
      <c r="E6393" s="29">
        <v>43409</v>
      </c>
      <c r="F6393" s="27">
        <v>15</v>
      </c>
      <c r="G6393" s="18">
        <v>533.09</v>
      </c>
      <c r="H6393" s="27">
        <f t="shared" si="198"/>
        <v>0</v>
      </c>
      <c r="I6393" s="18">
        <v>2.81</v>
      </c>
      <c r="J6393" s="27">
        <v>1098.8699999999999</v>
      </c>
      <c r="K6393" s="18">
        <f t="shared" si="199"/>
        <v>0</v>
      </c>
      <c r="L6393" s="27">
        <v>72.61</v>
      </c>
      <c r="M6393" s="36">
        <v>69.8</v>
      </c>
      <c r="N6393" s="18" t="s">
        <v>123</v>
      </c>
      <c r="O6393" s="19">
        <v>565.78</v>
      </c>
      <c r="T6393" s="41">
        <v>0</v>
      </c>
      <c r="U6393" s="41">
        <v>0</v>
      </c>
      <c r="V6393" s="42" t="s">
        <v>113</v>
      </c>
      <c r="W6393" s="42">
        <v>0</v>
      </c>
      <c r="X6393" s="42">
        <v>0</v>
      </c>
    </row>
    <row r="6394" spans="1:24">
      <c r="A6394" s="27" t="s">
        <v>11778</v>
      </c>
      <c r="B6394" s="28" t="s">
        <v>5102</v>
      </c>
      <c r="C6394" s="27" t="s">
        <v>11779</v>
      </c>
      <c r="D6394" s="27" t="s">
        <v>5104</v>
      </c>
      <c r="E6394" s="29">
        <v>43409</v>
      </c>
      <c r="F6394" s="27">
        <v>15</v>
      </c>
      <c r="G6394" s="18">
        <v>566.4</v>
      </c>
      <c r="H6394" s="27">
        <f t="shared" si="198"/>
        <v>0</v>
      </c>
      <c r="I6394" s="18">
        <v>2.99</v>
      </c>
      <c r="J6394" s="27">
        <v>1098.8699999999999</v>
      </c>
      <c r="K6394" s="18">
        <f t="shared" si="199"/>
        <v>0</v>
      </c>
      <c r="L6394" s="27">
        <v>72.77</v>
      </c>
      <c r="M6394" s="36">
        <v>69.78</v>
      </c>
      <c r="N6394" s="18" t="s">
        <v>123</v>
      </c>
      <c r="O6394" s="19">
        <v>532.47</v>
      </c>
      <c r="T6394" s="41">
        <v>0</v>
      </c>
      <c r="U6394" s="41">
        <v>0</v>
      </c>
      <c r="V6394" s="42" t="s">
        <v>113</v>
      </c>
      <c r="W6394" s="42">
        <v>0</v>
      </c>
      <c r="X6394" s="42">
        <v>0</v>
      </c>
    </row>
    <row r="6395" spans="1:24">
      <c r="A6395" s="27" t="s">
        <v>11780</v>
      </c>
      <c r="B6395" s="28" t="s">
        <v>5102</v>
      </c>
      <c r="C6395" s="27" t="s">
        <v>11781</v>
      </c>
      <c r="D6395" s="27" t="s">
        <v>5104</v>
      </c>
      <c r="E6395" s="29">
        <v>43409</v>
      </c>
      <c r="F6395" s="27">
        <v>15</v>
      </c>
      <c r="G6395" s="18">
        <v>549.74</v>
      </c>
      <c r="H6395" s="27">
        <f t="shared" si="198"/>
        <v>0</v>
      </c>
      <c r="I6395" s="18">
        <v>2.9</v>
      </c>
      <c r="J6395" s="27">
        <v>1098.8699999999999</v>
      </c>
      <c r="K6395" s="18">
        <f t="shared" si="199"/>
        <v>0</v>
      </c>
      <c r="L6395" s="27">
        <v>72.69</v>
      </c>
      <c r="M6395" s="36">
        <v>69.790000000000006</v>
      </c>
      <c r="N6395" s="18" t="s">
        <v>123</v>
      </c>
      <c r="O6395" s="19">
        <v>549.13</v>
      </c>
      <c r="T6395" s="41">
        <v>0</v>
      </c>
      <c r="U6395" s="41">
        <v>0</v>
      </c>
      <c r="V6395" s="42" t="s">
        <v>113</v>
      </c>
      <c r="W6395" s="42">
        <v>0</v>
      </c>
      <c r="X6395" s="42">
        <v>0</v>
      </c>
    </row>
    <row r="6396" spans="1:24">
      <c r="A6396" s="27" t="s">
        <v>11782</v>
      </c>
      <c r="B6396" s="28" t="s">
        <v>5102</v>
      </c>
      <c r="C6396" s="27" t="s">
        <v>11783</v>
      </c>
      <c r="D6396" s="27" t="s">
        <v>5104</v>
      </c>
      <c r="E6396" s="29">
        <v>43409</v>
      </c>
      <c r="F6396" s="27">
        <v>15</v>
      </c>
      <c r="G6396" s="18">
        <v>549.74</v>
      </c>
      <c r="H6396" s="27">
        <f t="shared" si="198"/>
        <v>0</v>
      </c>
      <c r="I6396" s="18">
        <v>2.9</v>
      </c>
      <c r="J6396" s="27">
        <v>1098.8699999999999</v>
      </c>
      <c r="K6396" s="18">
        <f t="shared" si="199"/>
        <v>0</v>
      </c>
      <c r="L6396" s="27">
        <v>72.69</v>
      </c>
      <c r="M6396" s="36">
        <v>69.790000000000006</v>
      </c>
      <c r="N6396" s="18" t="s">
        <v>123</v>
      </c>
      <c r="O6396" s="19">
        <v>549.13</v>
      </c>
      <c r="T6396" s="41">
        <v>0</v>
      </c>
      <c r="U6396" s="41">
        <v>0</v>
      </c>
      <c r="V6396" s="42" t="s">
        <v>113</v>
      </c>
      <c r="W6396" s="42">
        <v>0</v>
      </c>
      <c r="X6396" s="42">
        <v>0</v>
      </c>
    </row>
    <row r="6397" spans="1:24">
      <c r="A6397" s="27" t="s">
        <v>11784</v>
      </c>
      <c r="B6397" s="28" t="s">
        <v>5102</v>
      </c>
      <c r="C6397" s="27" t="s">
        <v>11785</v>
      </c>
      <c r="D6397" s="27" t="s">
        <v>5104</v>
      </c>
      <c r="E6397" s="29">
        <v>43409</v>
      </c>
      <c r="F6397" s="27">
        <v>15</v>
      </c>
      <c r="G6397" s="18">
        <v>3515.03</v>
      </c>
      <c r="H6397" s="27">
        <f t="shared" si="198"/>
        <v>0</v>
      </c>
      <c r="I6397" s="18">
        <v>18.55</v>
      </c>
      <c r="J6397" s="27">
        <v>1098.8699999999999</v>
      </c>
      <c r="K6397" s="18">
        <f t="shared" si="199"/>
        <v>0</v>
      </c>
      <c r="L6397" s="27">
        <v>87.29</v>
      </c>
      <c r="M6397" s="36">
        <v>68.739999999999995</v>
      </c>
      <c r="N6397" s="18" t="s">
        <v>123</v>
      </c>
      <c r="O6397" s="19">
        <v>-2416.16</v>
      </c>
      <c r="T6397" s="41">
        <v>0</v>
      </c>
      <c r="U6397" s="41">
        <v>0</v>
      </c>
      <c r="V6397" s="42" t="s">
        <v>113</v>
      </c>
      <c r="W6397" s="42">
        <v>0</v>
      </c>
      <c r="X6397" s="42">
        <v>0</v>
      </c>
    </row>
    <row r="6398" spans="1:24">
      <c r="A6398" s="27" t="s">
        <v>11786</v>
      </c>
      <c r="B6398" s="28" t="s">
        <v>5102</v>
      </c>
      <c r="C6398" s="27" t="s">
        <v>11787</v>
      </c>
      <c r="D6398" s="27" t="s">
        <v>5104</v>
      </c>
      <c r="E6398" s="29">
        <v>43409</v>
      </c>
      <c r="F6398" s="27">
        <v>15</v>
      </c>
      <c r="G6398" s="18">
        <v>533.09</v>
      </c>
      <c r="H6398" s="27">
        <f t="shared" si="198"/>
        <v>0</v>
      </c>
      <c r="I6398" s="18">
        <v>2.81</v>
      </c>
      <c r="J6398" s="27">
        <v>1098.8699999999999</v>
      </c>
      <c r="K6398" s="18">
        <f t="shared" si="199"/>
        <v>0</v>
      </c>
      <c r="L6398" s="27">
        <v>72.61</v>
      </c>
      <c r="M6398" s="36">
        <v>69.8</v>
      </c>
      <c r="N6398" s="18" t="s">
        <v>123</v>
      </c>
      <c r="O6398" s="19">
        <v>565.78</v>
      </c>
      <c r="T6398" s="41">
        <v>0</v>
      </c>
      <c r="U6398" s="41">
        <v>0</v>
      </c>
      <c r="V6398" s="42" t="s">
        <v>113</v>
      </c>
      <c r="W6398" s="42">
        <v>0</v>
      </c>
      <c r="X6398" s="42">
        <v>0</v>
      </c>
    </row>
    <row r="6399" spans="1:24">
      <c r="A6399" s="27" t="s">
        <v>11788</v>
      </c>
      <c r="B6399" s="28" t="s">
        <v>5102</v>
      </c>
      <c r="C6399" s="27" t="s">
        <v>11789</v>
      </c>
      <c r="D6399" s="27" t="s">
        <v>5104</v>
      </c>
      <c r="E6399" s="29">
        <v>43409</v>
      </c>
      <c r="F6399" s="27">
        <v>15</v>
      </c>
      <c r="G6399" s="18">
        <v>533.09</v>
      </c>
      <c r="H6399" s="27">
        <f t="shared" si="198"/>
        <v>0</v>
      </c>
      <c r="I6399" s="18">
        <v>2.81</v>
      </c>
      <c r="J6399" s="27">
        <v>1098.8699999999999</v>
      </c>
      <c r="K6399" s="18">
        <f t="shared" si="199"/>
        <v>0</v>
      </c>
      <c r="L6399" s="27">
        <v>72.61</v>
      </c>
      <c r="M6399" s="36">
        <v>69.8</v>
      </c>
      <c r="N6399" s="18" t="s">
        <v>123</v>
      </c>
      <c r="O6399" s="19">
        <v>565.78</v>
      </c>
      <c r="T6399" s="41">
        <v>0</v>
      </c>
      <c r="U6399" s="41">
        <v>0</v>
      </c>
      <c r="V6399" s="42" t="s">
        <v>113</v>
      </c>
      <c r="W6399" s="42">
        <v>0</v>
      </c>
      <c r="X6399" s="42">
        <v>0</v>
      </c>
    </row>
    <row r="6400" spans="1:24">
      <c r="A6400" s="27" t="s">
        <v>11790</v>
      </c>
      <c r="B6400" s="28" t="s">
        <v>5102</v>
      </c>
      <c r="C6400" s="27" t="s">
        <v>11791</v>
      </c>
      <c r="D6400" s="27" t="s">
        <v>5104</v>
      </c>
      <c r="E6400" s="29">
        <v>43409</v>
      </c>
      <c r="F6400" s="27">
        <v>15</v>
      </c>
      <c r="G6400" s="18">
        <v>549.74</v>
      </c>
      <c r="H6400" s="27">
        <f t="shared" si="198"/>
        <v>0</v>
      </c>
      <c r="I6400" s="18">
        <v>2.9</v>
      </c>
      <c r="J6400" s="27">
        <v>1098.8699999999999</v>
      </c>
      <c r="K6400" s="18">
        <f t="shared" si="199"/>
        <v>0</v>
      </c>
      <c r="L6400" s="27">
        <v>72.69</v>
      </c>
      <c r="M6400" s="36">
        <v>69.790000000000006</v>
      </c>
      <c r="N6400" s="18" t="s">
        <v>123</v>
      </c>
      <c r="O6400" s="19">
        <v>549.13</v>
      </c>
      <c r="T6400" s="41">
        <v>0</v>
      </c>
      <c r="U6400" s="41">
        <v>0</v>
      </c>
      <c r="V6400" s="42" t="s">
        <v>113</v>
      </c>
      <c r="W6400" s="42">
        <v>0</v>
      </c>
      <c r="X6400" s="42">
        <v>0</v>
      </c>
    </row>
    <row r="6401" spans="1:24">
      <c r="A6401" s="27" t="s">
        <v>11792</v>
      </c>
      <c r="B6401" s="28" t="s">
        <v>5102</v>
      </c>
      <c r="C6401" s="27" t="s">
        <v>11793</v>
      </c>
      <c r="D6401" s="27" t="s">
        <v>5104</v>
      </c>
      <c r="E6401" s="29">
        <v>43409</v>
      </c>
      <c r="F6401" s="27">
        <v>15</v>
      </c>
      <c r="G6401" s="18">
        <v>866.26</v>
      </c>
      <c r="H6401" s="27">
        <f t="shared" si="198"/>
        <v>0</v>
      </c>
      <c r="I6401" s="18">
        <v>4.57</v>
      </c>
      <c r="J6401" s="27">
        <v>1098.8699999999999</v>
      </c>
      <c r="K6401" s="18">
        <f t="shared" si="199"/>
        <v>0</v>
      </c>
      <c r="L6401" s="27">
        <v>74.25</v>
      </c>
      <c r="M6401" s="36">
        <v>69.680000000000007</v>
      </c>
      <c r="N6401" s="18" t="s">
        <v>123</v>
      </c>
      <c r="O6401" s="19">
        <v>232.61</v>
      </c>
      <c r="T6401" s="41">
        <v>0</v>
      </c>
      <c r="U6401" s="41">
        <v>0</v>
      </c>
      <c r="V6401" s="42" t="s">
        <v>113</v>
      </c>
      <c r="W6401" s="42">
        <v>0</v>
      </c>
      <c r="X6401" s="42">
        <v>0</v>
      </c>
    </row>
    <row r="6402" spans="1:24">
      <c r="A6402" s="27" t="s">
        <v>11794</v>
      </c>
      <c r="B6402" s="28" t="s">
        <v>5102</v>
      </c>
      <c r="C6402" s="27" t="s">
        <v>11795</v>
      </c>
      <c r="D6402" s="27" t="s">
        <v>5104</v>
      </c>
      <c r="E6402" s="29">
        <v>43409</v>
      </c>
      <c r="F6402" s="27">
        <v>15</v>
      </c>
      <c r="G6402" s="18">
        <v>533.09</v>
      </c>
      <c r="H6402" s="27">
        <f t="shared" si="198"/>
        <v>0</v>
      </c>
      <c r="I6402" s="18">
        <v>2.81</v>
      </c>
      <c r="J6402" s="27">
        <v>1098.8699999999999</v>
      </c>
      <c r="K6402" s="18">
        <f t="shared" si="199"/>
        <v>0</v>
      </c>
      <c r="L6402" s="27">
        <v>72.61</v>
      </c>
      <c r="M6402" s="36">
        <v>69.8</v>
      </c>
      <c r="N6402" s="18" t="s">
        <v>123</v>
      </c>
      <c r="O6402" s="19">
        <v>565.78</v>
      </c>
      <c r="T6402" s="41">
        <v>0</v>
      </c>
      <c r="U6402" s="41">
        <v>0</v>
      </c>
      <c r="V6402" s="42" t="s">
        <v>113</v>
      </c>
      <c r="W6402" s="42">
        <v>0</v>
      </c>
      <c r="X6402" s="42">
        <v>0</v>
      </c>
    </row>
    <row r="6403" spans="1:24">
      <c r="A6403" s="27" t="s">
        <v>11796</v>
      </c>
      <c r="B6403" s="28" t="s">
        <v>5102</v>
      </c>
      <c r="C6403" s="27" t="s">
        <v>11797</v>
      </c>
      <c r="D6403" s="27" t="s">
        <v>5104</v>
      </c>
      <c r="E6403" s="29">
        <v>43409</v>
      </c>
      <c r="F6403" s="27">
        <v>15</v>
      </c>
      <c r="G6403" s="18">
        <v>516.42999999999995</v>
      </c>
      <c r="H6403" s="27">
        <f t="shared" si="198"/>
        <v>0</v>
      </c>
      <c r="I6403" s="18">
        <v>2.73</v>
      </c>
      <c r="J6403" s="27">
        <v>1098.8699999999999</v>
      </c>
      <c r="K6403" s="18">
        <f t="shared" si="199"/>
        <v>0</v>
      </c>
      <c r="L6403" s="27">
        <v>72.53</v>
      </c>
      <c r="M6403" s="36">
        <v>69.8</v>
      </c>
      <c r="N6403" s="18" t="s">
        <v>123</v>
      </c>
      <c r="O6403" s="19">
        <v>582.44000000000005</v>
      </c>
      <c r="T6403" s="41">
        <v>0</v>
      </c>
      <c r="U6403" s="41">
        <v>0</v>
      </c>
      <c r="V6403" s="42" t="s">
        <v>113</v>
      </c>
      <c r="W6403" s="42">
        <v>0</v>
      </c>
      <c r="X6403" s="42">
        <v>0</v>
      </c>
    </row>
    <row r="6404" spans="1:24">
      <c r="A6404" s="27" t="s">
        <v>11798</v>
      </c>
      <c r="B6404" s="28" t="s">
        <v>5102</v>
      </c>
      <c r="C6404" s="27" t="s">
        <v>11799</v>
      </c>
      <c r="D6404" s="27" t="s">
        <v>5104</v>
      </c>
      <c r="E6404" s="29">
        <v>43409</v>
      </c>
      <c r="F6404" s="27">
        <v>15</v>
      </c>
      <c r="G6404" s="18">
        <v>533.09</v>
      </c>
      <c r="H6404" s="27">
        <f t="shared" si="198"/>
        <v>0</v>
      </c>
      <c r="I6404" s="18">
        <v>2.81</v>
      </c>
      <c r="J6404" s="27">
        <v>1098.8699999999999</v>
      </c>
      <c r="K6404" s="18">
        <f t="shared" si="199"/>
        <v>0</v>
      </c>
      <c r="L6404" s="27">
        <v>72.61</v>
      </c>
      <c r="M6404" s="36">
        <v>69.8</v>
      </c>
      <c r="N6404" s="18" t="s">
        <v>123</v>
      </c>
      <c r="O6404" s="19">
        <v>565.78</v>
      </c>
      <c r="T6404" s="41">
        <v>0</v>
      </c>
      <c r="U6404" s="41">
        <v>0</v>
      </c>
      <c r="V6404" s="42" t="s">
        <v>113</v>
      </c>
      <c r="W6404" s="42">
        <v>0</v>
      </c>
      <c r="X6404" s="42">
        <v>0</v>
      </c>
    </row>
    <row r="6405" spans="1:24">
      <c r="A6405" s="27" t="s">
        <v>11800</v>
      </c>
      <c r="B6405" s="28" t="s">
        <v>5102</v>
      </c>
      <c r="C6405" s="27" t="s">
        <v>11801</v>
      </c>
      <c r="D6405" s="27" t="s">
        <v>5104</v>
      </c>
      <c r="E6405" s="29">
        <v>43409</v>
      </c>
      <c r="F6405" s="27">
        <v>15</v>
      </c>
      <c r="G6405" s="18">
        <v>1099.49</v>
      </c>
      <c r="H6405" s="27">
        <f t="shared" si="198"/>
        <v>0</v>
      </c>
      <c r="I6405" s="18">
        <v>5.8</v>
      </c>
      <c r="J6405" s="27">
        <v>2162.85</v>
      </c>
      <c r="K6405" s="18">
        <f t="shared" si="199"/>
        <v>0</v>
      </c>
      <c r="L6405" s="27">
        <v>143.16</v>
      </c>
      <c r="M6405" s="36">
        <v>137.36000000000001</v>
      </c>
      <c r="N6405" s="18" t="s">
        <v>123</v>
      </c>
      <c r="O6405" s="19">
        <v>1063.3599999999999</v>
      </c>
      <c r="T6405" s="41">
        <v>0</v>
      </c>
      <c r="U6405" s="41">
        <v>0</v>
      </c>
      <c r="V6405" s="42" t="s">
        <v>113</v>
      </c>
      <c r="W6405" s="42">
        <v>0</v>
      </c>
      <c r="X6405" s="42">
        <v>0</v>
      </c>
    </row>
    <row r="6406" spans="1:24">
      <c r="A6406" s="27" t="s">
        <v>11802</v>
      </c>
      <c r="B6406" s="28" t="s">
        <v>5102</v>
      </c>
      <c r="C6406" s="27" t="s">
        <v>11803</v>
      </c>
      <c r="D6406" s="27" t="s">
        <v>5104</v>
      </c>
      <c r="E6406" s="29">
        <v>43409</v>
      </c>
      <c r="F6406" s="27">
        <v>15</v>
      </c>
      <c r="G6406" s="18">
        <v>516.42999999999995</v>
      </c>
      <c r="H6406" s="27">
        <f t="shared" ref="H6406:H6469" si="200">IFERROR(IF(ROUND((G6406-I6406)/G6406,2)&lt;=0.05,G6406,0),0)</f>
        <v>0</v>
      </c>
      <c r="I6406" s="18">
        <v>2.73</v>
      </c>
      <c r="J6406" s="27">
        <v>2162.85</v>
      </c>
      <c r="K6406" s="18">
        <f t="shared" ref="K6406:K6469" si="201">IFERROR(IF(ROUND((J6406-L6406)/J6406,2)&lt;=0.05,J6406,0),0)</f>
        <v>0</v>
      </c>
      <c r="L6406" s="27">
        <v>140.29</v>
      </c>
      <c r="M6406" s="36">
        <v>137.56</v>
      </c>
      <c r="N6406" s="18" t="s">
        <v>123</v>
      </c>
      <c r="O6406" s="19">
        <v>1646.42</v>
      </c>
      <c r="T6406" s="41">
        <v>0</v>
      </c>
      <c r="U6406" s="41">
        <v>0</v>
      </c>
      <c r="V6406" s="42" t="s">
        <v>113</v>
      </c>
      <c r="W6406" s="42">
        <v>0</v>
      </c>
      <c r="X6406" s="42">
        <v>0</v>
      </c>
    </row>
    <row r="6407" spans="1:24">
      <c r="A6407" s="27" t="s">
        <v>11804</v>
      </c>
      <c r="B6407" s="28" t="s">
        <v>5102</v>
      </c>
      <c r="C6407" s="27" t="s">
        <v>11805</v>
      </c>
      <c r="D6407" s="27" t="s">
        <v>5104</v>
      </c>
      <c r="E6407" s="29">
        <v>43409</v>
      </c>
      <c r="F6407" s="27">
        <v>15</v>
      </c>
      <c r="G6407" s="18">
        <v>566.4</v>
      </c>
      <c r="H6407" s="27">
        <f t="shared" si="200"/>
        <v>0</v>
      </c>
      <c r="I6407" s="18">
        <v>2.99</v>
      </c>
      <c r="J6407" s="27">
        <v>2162.85</v>
      </c>
      <c r="K6407" s="18">
        <f t="shared" si="201"/>
        <v>0</v>
      </c>
      <c r="L6407" s="27">
        <v>140.54</v>
      </c>
      <c r="M6407" s="36">
        <v>137.55000000000001</v>
      </c>
      <c r="N6407" s="18" t="s">
        <v>123</v>
      </c>
      <c r="O6407" s="19">
        <v>1596.45</v>
      </c>
      <c r="T6407" s="41">
        <v>0</v>
      </c>
      <c r="U6407" s="41">
        <v>0</v>
      </c>
      <c r="V6407" s="42" t="s">
        <v>113</v>
      </c>
      <c r="W6407" s="42">
        <v>0</v>
      </c>
      <c r="X6407" s="42">
        <v>0</v>
      </c>
    </row>
    <row r="6408" spans="1:24">
      <c r="A6408" s="27" t="s">
        <v>11806</v>
      </c>
      <c r="B6408" s="28" t="s">
        <v>5102</v>
      </c>
      <c r="C6408" s="27" t="s">
        <v>11807</v>
      </c>
      <c r="D6408" s="27" t="s">
        <v>5104</v>
      </c>
      <c r="E6408" s="29">
        <v>43409</v>
      </c>
      <c r="F6408" s="27">
        <v>15</v>
      </c>
      <c r="G6408" s="18">
        <v>549.74</v>
      </c>
      <c r="H6408" s="27">
        <f t="shared" si="200"/>
        <v>0</v>
      </c>
      <c r="I6408" s="18">
        <v>2.9</v>
      </c>
      <c r="J6408" s="27">
        <v>2162.85</v>
      </c>
      <c r="K6408" s="18">
        <f t="shared" si="201"/>
        <v>0</v>
      </c>
      <c r="L6408" s="27">
        <v>140.44999999999999</v>
      </c>
      <c r="M6408" s="36">
        <v>137.55000000000001</v>
      </c>
      <c r="N6408" s="18" t="s">
        <v>123</v>
      </c>
      <c r="O6408" s="19">
        <v>1613.11</v>
      </c>
      <c r="T6408" s="41">
        <v>0</v>
      </c>
      <c r="U6408" s="41">
        <v>0</v>
      </c>
      <c r="V6408" s="42" t="s">
        <v>113</v>
      </c>
      <c r="W6408" s="42">
        <v>0</v>
      </c>
      <c r="X6408" s="42">
        <v>0</v>
      </c>
    </row>
    <row r="6409" spans="1:24">
      <c r="A6409" s="27" t="s">
        <v>11808</v>
      </c>
      <c r="B6409" s="28" t="s">
        <v>5102</v>
      </c>
      <c r="C6409" s="27" t="s">
        <v>11809</v>
      </c>
      <c r="D6409" s="27" t="s">
        <v>5104</v>
      </c>
      <c r="E6409" s="29">
        <v>43409</v>
      </c>
      <c r="F6409" s="27">
        <v>15</v>
      </c>
      <c r="G6409" s="18">
        <v>1132.81</v>
      </c>
      <c r="H6409" s="27">
        <f t="shared" si="200"/>
        <v>0</v>
      </c>
      <c r="I6409" s="18">
        <v>5.98</v>
      </c>
      <c r="J6409" s="27">
        <v>2162.85</v>
      </c>
      <c r="K6409" s="18">
        <f t="shared" si="201"/>
        <v>0</v>
      </c>
      <c r="L6409" s="27">
        <v>143.33000000000001</v>
      </c>
      <c r="M6409" s="36">
        <v>137.35</v>
      </c>
      <c r="N6409" s="18" t="s">
        <v>123</v>
      </c>
      <c r="O6409" s="19">
        <v>1030.04</v>
      </c>
      <c r="T6409" s="41">
        <v>0</v>
      </c>
      <c r="U6409" s="41">
        <v>0</v>
      </c>
      <c r="V6409" s="42" t="s">
        <v>113</v>
      </c>
      <c r="W6409" s="42">
        <v>0</v>
      </c>
      <c r="X6409" s="42">
        <v>0</v>
      </c>
    </row>
    <row r="6410" spans="1:24">
      <c r="A6410" s="27" t="s">
        <v>11810</v>
      </c>
      <c r="B6410" s="28" t="s">
        <v>5102</v>
      </c>
      <c r="C6410" s="27" t="s">
        <v>11811</v>
      </c>
      <c r="D6410" s="27" t="s">
        <v>5104</v>
      </c>
      <c r="E6410" s="29">
        <v>43409</v>
      </c>
      <c r="F6410" s="27">
        <v>15</v>
      </c>
      <c r="G6410" s="18">
        <v>732.99</v>
      </c>
      <c r="H6410" s="27">
        <f t="shared" si="200"/>
        <v>0</v>
      </c>
      <c r="I6410" s="18">
        <v>3.87</v>
      </c>
      <c r="J6410" s="27">
        <v>2162.85</v>
      </c>
      <c r="K6410" s="18">
        <f t="shared" si="201"/>
        <v>0</v>
      </c>
      <c r="L6410" s="27">
        <v>141.36000000000001</v>
      </c>
      <c r="M6410" s="36">
        <v>137.49</v>
      </c>
      <c r="N6410" s="18" t="s">
        <v>123</v>
      </c>
      <c r="O6410" s="19">
        <v>1429.86</v>
      </c>
      <c r="T6410" s="41">
        <v>0</v>
      </c>
      <c r="U6410" s="41">
        <v>0</v>
      </c>
      <c r="V6410" s="42" t="s">
        <v>113</v>
      </c>
      <c r="W6410" s="42">
        <v>0</v>
      </c>
      <c r="X6410" s="42">
        <v>0</v>
      </c>
    </row>
    <row r="6411" spans="1:24">
      <c r="A6411" s="27" t="s">
        <v>11812</v>
      </c>
      <c r="B6411" s="28" t="s">
        <v>5102</v>
      </c>
      <c r="C6411" s="27" t="s">
        <v>11813</v>
      </c>
      <c r="D6411" s="27" t="s">
        <v>5104</v>
      </c>
      <c r="E6411" s="29">
        <v>43409</v>
      </c>
      <c r="F6411" s="27">
        <v>15</v>
      </c>
      <c r="G6411" s="18">
        <v>533.09</v>
      </c>
      <c r="H6411" s="27">
        <f t="shared" si="200"/>
        <v>0</v>
      </c>
      <c r="I6411" s="18">
        <v>2.81</v>
      </c>
      <c r="J6411" s="27">
        <v>2162.85</v>
      </c>
      <c r="K6411" s="18">
        <f t="shared" si="201"/>
        <v>0</v>
      </c>
      <c r="L6411" s="27">
        <v>140.37</v>
      </c>
      <c r="M6411" s="36">
        <v>137.56</v>
      </c>
      <c r="N6411" s="18" t="s">
        <v>123</v>
      </c>
      <c r="O6411" s="19">
        <v>1629.76</v>
      </c>
      <c r="T6411" s="41">
        <v>0</v>
      </c>
      <c r="U6411" s="41">
        <v>0</v>
      </c>
      <c r="V6411" s="42" t="s">
        <v>113</v>
      </c>
      <c r="W6411" s="42">
        <v>0</v>
      </c>
      <c r="X6411" s="42">
        <v>0</v>
      </c>
    </row>
    <row r="6412" spans="1:24">
      <c r="A6412" s="27" t="s">
        <v>11814</v>
      </c>
      <c r="B6412" s="28" t="s">
        <v>5102</v>
      </c>
      <c r="C6412" s="27" t="s">
        <v>11815</v>
      </c>
      <c r="D6412" s="27" t="s">
        <v>5104</v>
      </c>
      <c r="E6412" s="29">
        <v>43409</v>
      </c>
      <c r="F6412" s="27">
        <v>15</v>
      </c>
      <c r="G6412" s="18">
        <v>566.4</v>
      </c>
      <c r="H6412" s="27">
        <f t="shared" si="200"/>
        <v>0</v>
      </c>
      <c r="I6412" s="18">
        <v>2.99</v>
      </c>
      <c r="J6412" s="27">
        <v>2162.85</v>
      </c>
      <c r="K6412" s="18">
        <f t="shared" si="201"/>
        <v>0</v>
      </c>
      <c r="L6412" s="27">
        <v>140.54</v>
      </c>
      <c r="M6412" s="36">
        <v>137.55000000000001</v>
      </c>
      <c r="N6412" s="18" t="s">
        <v>123</v>
      </c>
      <c r="O6412" s="19">
        <v>1596.45</v>
      </c>
      <c r="T6412" s="41">
        <v>0</v>
      </c>
      <c r="U6412" s="41">
        <v>0</v>
      </c>
      <c r="V6412" s="42" t="s">
        <v>113</v>
      </c>
      <c r="W6412" s="42">
        <v>0</v>
      </c>
      <c r="X6412" s="42">
        <v>0</v>
      </c>
    </row>
    <row r="6413" spans="1:24">
      <c r="A6413" s="27" t="s">
        <v>11816</v>
      </c>
      <c r="B6413" s="28" t="s">
        <v>5102</v>
      </c>
      <c r="C6413" s="27" t="s">
        <v>11817</v>
      </c>
      <c r="D6413" s="27" t="s">
        <v>5104</v>
      </c>
      <c r="E6413" s="29">
        <v>43409</v>
      </c>
      <c r="F6413" s="27">
        <v>15</v>
      </c>
      <c r="G6413" s="18">
        <v>583.05999999999995</v>
      </c>
      <c r="H6413" s="27">
        <f t="shared" si="200"/>
        <v>0</v>
      </c>
      <c r="I6413" s="18">
        <v>3.08</v>
      </c>
      <c r="J6413" s="27">
        <v>2162.85</v>
      </c>
      <c r="K6413" s="18">
        <f t="shared" si="201"/>
        <v>0</v>
      </c>
      <c r="L6413" s="27">
        <v>140.62</v>
      </c>
      <c r="M6413" s="36">
        <v>137.54</v>
      </c>
      <c r="N6413" s="18" t="s">
        <v>123</v>
      </c>
      <c r="O6413" s="19">
        <v>1579.79</v>
      </c>
      <c r="T6413" s="41">
        <v>0</v>
      </c>
      <c r="U6413" s="41">
        <v>0</v>
      </c>
      <c r="V6413" s="42" t="s">
        <v>113</v>
      </c>
      <c r="W6413" s="42">
        <v>0</v>
      </c>
      <c r="X6413" s="42">
        <v>0</v>
      </c>
    </row>
    <row r="6414" spans="1:24">
      <c r="A6414" s="27" t="s">
        <v>11818</v>
      </c>
      <c r="B6414" s="28" t="s">
        <v>5102</v>
      </c>
      <c r="C6414" s="27" t="s">
        <v>11819</v>
      </c>
      <c r="D6414" s="27" t="s">
        <v>5104</v>
      </c>
      <c r="E6414" s="29">
        <v>43409</v>
      </c>
      <c r="F6414" s="27">
        <v>15</v>
      </c>
      <c r="G6414" s="18">
        <v>566.4</v>
      </c>
      <c r="H6414" s="27">
        <f t="shared" si="200"/>
        <v>0</v>
      </c>
      <c r="I6414" s="18">
        <v>2.99</v>
      </c>
      <c r="J6414" s="27">
        <v>2162.85</v>
      </c>
      <c r="K6414" s="18">
        <f t="shared" si="201"/>
        <v>0</v>
      </c>
      <c r="L6414" s="27">
        <v>140.54</v>
      </c>
      <c r="M6414" s="36">
        <v>137.55000000000001</v>
      </c>
      <c r="N6414" s="18" t="s">
        <v>123</v>
      </c>
      <c r="O6414" s="19">
        <v>1596.45</v>
      </c>
      <c r="T6414" s="41">
        <v>0</v>
      </c>
      <c r="U6414" s="41">
        <v>0</v>
      </c>
      <c r="V6414" s="42" t="s">
        <v>113</v>
      </c>
      <c r="W6414" s="42">
        <v>0</v>
      </c>
      <c r="X6414" s="42">
        <v>0</v>
      </c>
    </row>
    <row r="6415" spans="1:24">
      <c r="A6415" s="27" t="s">
        <v>11820</v>
      </c>
      <c r="B6415" s="28" t="s">
        <v>5102</v>
      </c>
      <c r="C6415" s="27" t="s">
        <v>11821</v>
      </c>
      <c r="D6415" s="27" t="s">
        <v>5104</v>
      </c>
      <c r="E6415" s="29">
        <v>43409</v>
      </c>
      <c r="F6415" s="27">
        <v>15</v>
      </c>
      <c r="G6415" s="18">
        <v>749.65</v>
      </c>
      <c r="H6415" s="27">
        <f t="shared" si="200"/>
        <v>0</v>
      </c>
      <c r="I6415" s="18">
        <v>3.96</v>
      </c>
      <c r="J6415" s="27">
        <v>2162.85</v>
      </c>
      <c r="K6415" s="18">
        <f t="shared" si="201"/>
        <v>0</v>
      </c>
      <c r="L6415" s="27">
        <v>141.44</v>
      </c>
      <c r="M6415" s="36">
        <v>137.47999999999999</v>
      </c>
      <c r="N6415" s="18" t="s">
        <v>123</v>
      </c>
      <c r="O6415" s="19">
        <v>1413.2</v>
      </c>
      <c r="T6415" s="41">
        <v>0</v>
      </c>
      <c r="U6415" s="41">
        <v>0</v>
      </c>
      <c r="V6415" s="42" t="s">
        <v>113</v>
      </c>
      <c r="W6415" s="42">
        <v>0</v>
      </c>
      <c r="X6415" s="42">
        <v>0</v>
      </c>
    </row>
    <row r="6416" spans="1:24">
      <c r="A6416" s="27" t="s">
        <v>11822</v>
      </c>
      <c r="B6416" s="28" t="s">
        <v>5102</v>
      </c>
      <c r="C6416" s="27" t="s">
        <v>11823</v>
      </c>
      <c r="D6416" s="27" t="s">
        <v>5104</v>
      </c>
      <c r="E6416" s="29">
        <v>43409</v>
      </c>
      <c r="F6416" s="27">
        <v>15</v>
      </c>
      <c r="G6416" s="18">
        <v>516.42999999999995</v>
      </c>
      <c r="H6416" s="27">
        <f t="shared" si="200"/>
        <v>0</v>
      </c>
      <c r="I6416" s="18">
        <v>2.73</v>
      </c>
      <c r="J6416" s="27">
        <v>2162.85</v>
      </c>
      <c r="K6416" s="18">
        <f t="shared" si="201"/>
        <v>0</v>
      </c>
      <c r="L6416" s="27">
        <v>140.29</v>
      </c>
      <c r="M6416" s="36">
        <v>137.56</v>
      </c>
      <c r="N6416" s="18" t="s">
        <v>123</v>
      </c>
      <c r="O6416" s="19">
        <v>1646.42</v>
      </c>
      <c r="T6416" s="41">
        <v>0</v>
      </c>
      <c r="U6416" s="41">
        <v>0</v>
      </c>
      <c r="V6416" s="42" t="s">
        <v>113</v>
      </c>
      <c r="W6416" s="42">
        <v>0</v>
      </c>
      <c r="X6416" s="42">
        <v>0</v>
      </c>
    </row>
    <row r="6417" spans="1:24">
      <c r="A6417" s="27" t="s">
        <v>11824</v>
      </c>
      <c r="B6417" s="28" t="s">
        <v>5102</v>
      </c>
      <c r="C6417" s="27" t="s">
        <v>11825</v>
      </c>
      <c r="D6417" s="27" t="s">
        <v>5104</v>
      </c>
      <c r="E6417" s="29">
        <v>43409</v>
      </c>
      <c r="F6417" s="27">
        <v>15</v>
      </c>
      <c r="G6417" s="18">
        <v>533.09</v>
      </c>
      <c r="H6417" s="27">
        <f t="shared" si="200"/>
        <v>0</v>
      </c>
      <c r="I6417" s="18">
        <v>2.81</v>
      </c>
      <c r="J6417" s="27">
        <v>1116.31</v>
      </c>
      <c r="K6417" s="18">
        <f t="shared" si="201"/>
        <v>0</v>
      </c>
      <c r="L6417" s="27">
        <v>73.72</v>
      </c>
      <c r="M6417" s="36">
        <v>70.91</v>
      </c>
      <c r="N6417" s="18" t="s">
        <v>123</v>
      </c>
      <c r="O6417" s="19">
        <v>583.22</v>
      </c>
      <c r="T6417" s="41">
        <v>0</v>
      </c>
      <c r="U6417" s="41">
        <v>0</v>
      </c>
      <c r="V6417" s="42" t="s">
        <v>113</v>
      </c>
      <c r="W6417" s="42">
        <v>0</v>
      </c>
      <c r="X6417" s="42">
        <v>0</v>
      </c>
    </row>
    <row r="6418" spans="1:24">
      <c r="A6418" s="27" t="s">
        <v>11826</v>
      </c>
      <c r="B6418" s="28" t="s">
        <v>5102</v>
      </c>
      <c r="C6418" s="27" t="s">
        <v>11827</v>
      </c>
      <c r="D6418" s="27" t="s">
        <v>5104</v>
      </c>
      <c r="E6418" s="29">
        <v>43409</v>
      </c>
      <c r="F6418" s="27">
        <v>15</v>
      </c>
      <c r="G6418" s="18">
        <v>549.74</v>
      </c>
      <c r="H6418" s="27">
        <f t="shared" si="200"/>
        <v>0</v>
      </c>
      <c r="I6418" s="18">
        <v>2.9</v>
      </c>
      <c r="J6418" s="27">
        <v>1116.31</v>
      </c>
      <c r="K6418" s="18">
        <f t="shared" si="201"/>
        <v>0</v>
      </c>
      <c r="L6418" s="27">
        <v>73.8</v>
      </c>
      <c r="M6418" s="36">
        <v>70.900000000000006</v>
      </c>
      <c r="N6418" s="18" t="s">
        <v>123</v>
      </c>
      <c r="O6418" s="19">
        <v>566.57000000000005</v>
      </c>
      <c r="T6418" s="41">
        <v>0</v>
      </c>
      <c r="U6418" s="41">
        <v>0</v>
      </c>
      <c r="V6418" s="42" t="s">
        <v>113</v>
      </c>
      <c r="W6418" s="42">
        <v>0</v>
      </c>
      <c r="X6418" s="42">
        <v>0</v>
      </c>
    </row>
    <row r="6419" spans="1:24">
      <c r="A6419" s="27" t="s">
        <v>11828</v>
      </c>
      <c r="B6419" s="28" t="s">
        <v>5102</v>
      </c>
      <c r="C6419" s="27" t="s">
        <v>11829</v>
      </c>
      <c r="D6419" s="27" t="s">
        <v>5104</v>
      </c>
      <c r="E6419" s="29">
        <v>43409</v>
      </c>
      <c r="F6419" s="27">
        <v>15</v>
      </c>
      <c r="G6419" s="18">
        <v>633.04</v>
      </c>
      <c r="H6419" s="27">
        <f t="shared" si="200"/>
        <v>0</v>
      </c>
      <c r="I6419" s="18">
        <v>3.34</v>
      </c>
      <c r="J6419" s="27">
        <v>1116.31</v>
      </c>
      <c r="K6419" s="18">
        <f t="shared" si="201"/>
        <v>0</v>
      </c>
      <c r="L6419" s="27">
        <v>74.209999999999994</v>
      </c>
      <c r="M6419" s="36">
        <v>70.87</v>
      </c>
      <c r="N6419" s="18" t="s">
        <v>123</v>
      </c>
      <c r="O6419" s="19">
        <v>483.27</v>
      </c>
      <c r="T6419" s="41">
        <v>0</v>
      </c>
      <c r="U6419" s="41">
        <v>0</v>
      </c>
      <c r="V6419" s="42" t="s">
        <v>113</v>
      </c>
      <c r="W6419" s="42">
        <v>0</v>
      </c>
      <c r="X6419" s="42">
        <v>0</v>
      </c>
    </row>
    <row r="6420" spans="1:24">
      <c r="A6420" s="27" t="s">
        <v>11830</v>
      </c>
      <c r="B6420" s="28" t="s">
        <v>5102</v>
      </c>
      <c r="C6420" s="27" t="s">
        <v>11831</v>
      </c>
      <c r="D6420" s="27" t="s">
        <v>5104</v>
      </c>
      <c r="E6420" s="29">
        <v>43409</v>
      </c>
      <c r="F6420" s="27">
        <v>15</v>
      </c>
      <c r="G6420" s="18">
        <v>549.74</v>
      </c>
      <c r="H6420" s="27">
        <f t="shared" si="200"/>
        <v>0</v>
      </c>
      <c r="I6420" s="18">
        <v>2.9</v>
      </c>
      <c r="J6420" s="27">
        <v>1116.31</v>
      </c>
      <c r="K6420" s="18">
        <f t="shared" si="201"/>
        <v>0</v>
      </c>
      <c r="L6420" s="27">
        <v>73.8</v>
      </c>
      <c r="M6420" s="36">
        <v>70.900000000000006</v>
      </c>
      <c r="N6420" s="18" t="s">
        <v>123</v>
      </c>
      <c r="O6420" s="19">
        <v>566.57000000000005</v>
      </c>
      <c r="T6420" s="41">
        <v>0</v>
      </c>
      <c r="U6420" s="41">
        <v>0</v>
      </c>
      <c r="V6420" s="42" t="s">
        <v>113</v>
      </c>
      <c r="W6420" s="42">
        <v>0</v>
      </c>
      <c r="X6420" s="42">
        <v>0</v>
      </c>
    </row>
    <row r="6421" spans="1:24">
      <c r="A6421" s="27" t="s">
        <v>11832</v>
      </c>
      <c r="B6421" s="28" t="s">
        <v>5102</v>
      </c>
      <c r="C6421" s="27" t="s">
        <v>11833</v>
      </c>
      <c r="D6421" s="27" t="s">
        <v>5104</v>
      </c>
      <c r="E6421" s="29">
        <v>43409</v>
      </c>
      <c r="F6421" s="27">
        <v>15</v>
      </c>
      <c r="G6421" s="18">
        <v>533.09</v>
      </c>
      <c r="H6421" s="27">
        <f t="shared" si="200"/>
        <v>0</v>
      </c>
      <c r="I6421" s="18">
        <v>2.81</v>
      </c>
      <c r="J6421" s="27">
        <v>1116.31</v>
      </c>
      <c r="K6421" s="18">
        <f t="shared" si="201"/>
        <v>0</v>
      </c>
      <c r="L6421" s="27">
        <v>73.72</v>
      </c>
      <c r="M6421" s="36">
        <v>70.91</v>
      </c>
      <c r="N6421" s="18" t="s">
        <v>123</v>
      </c>
      <c r="O6421" s="19">
        <v>583.22</v>
      </c>
      <c r="T6421" s="41">
        <v>0</v>
      </c>
      <c r="U6421" s="41">
        <v>0</v>
      </c>
      <c r="V6421" s="42" t="s">
        <v>113</v>
      </c>
      <c r="W6421" s="42">
        <v>0</v>
      </c>
      <c r="X6421" s="42">
        <v>0</v>
      </c>
    </row>
    <row r="6422" spans="1:24">
      <c r="A6422" s="27" t="s">
        <v>11834</v>
      </c>
      <c r="B6422" s="28" t="s">
        <v>5102</v>
      </c>
      <c r="C6422" s="27" t="s">
        <v>11835</v>
      </c>
      <c r="D6422" s="27" t="s">
        <v>5104</v>
      </c>
      <c r="E6422" s="29">
        <v>43409</v>
      </c>
      <c r="F6422" s="27">
        <v>15</v>
      </c>
      <c r="G6422" s="18">
        <v>533.09</v>
      </c>
      <c r="H6422" s="27">
        <f t="shared" si="200"/>
        <v>0</v>
      </c>
      <c r="I6422" s="18">
        <v>2.81</v>
      </c>
      <c r="J6422" s="27">
        <v>1116.31</v>
      </c>
      <c r="K6422" s="18">
        <f t="shared" si="201"/>
        <v>0</v>
      </c>
      <c r="L6422" s="27">
        <v>73.72</v>
      </c>
      <c r="M6422" s="36">
        <v>70.91</v>
      </c>
      <c r="N6422" s="18" t="s">
        <v>123</v>
      </c>
      <c r="O6422" s="19">
        <v>583.22</v>
      </c>
      <c r="T6422" s="41">
        <v>0</v>
      </c>
      <c r="U6422" s="41">
        <v>0</v>
      </c>
      <c r="V6422" s="42" t="s">
        <v>113</v>
      </c>
      <c r="W6422" s="42">
        <v>0</v>
      </c>
      <c r="X6422" s="42">
        <v>0</v>
      </c>
    </row>
    <row r="6423" spans="1:24">
      <c r="A6423" s="27" t="s">
        <v>11836</v>
      </c>
      <c r="B6423" s="28" t="s">
        <v>5102</v>
      </c>
      <c r="C6423" s="27" t="s">
        <v>11837</v>
      </c>
      <c r="D6423" s="27" t="s">
        <v>5104</v>
      </c>
      <c r="E6423" s="29">
        <v>43409</v>
      </c>
      <c r="F6423" s="27">
        <v>15</v>
      </c>
      <c r="G6423" s="18">
        <v>533.09</v>
      </c>
      <c r="H6423" s="27">
        <f t="shared" si="200"/>
        <v>0</v>
      </c>
      <c r="I6423" s="18">
        <v>2.81</v>
      </c>
      <c r="J6423" s="27">
        <v>1116.31</v>
      </c>
      <c r="K6423" s="18">
        <f t="shared" si="201"/>
        <v>0</v>
      </c>
      <c r="L6423" s="27">
        <v>73.72</v>
      </c>
      <c r="M6423" s="36">
        <v>70.91</v>
      </c>
      <c r="N6423" s="18" t="s">
        <v>123</v>
      </c>
      <c r="O6423" s="19">
        <v>583.22</v>
      </c>
      <c r="T6423" s="41">
        <v>0</v>
      </c>
      <c r="U6423" s="41">
        <v>0</v>
      </c>
      <c r="V6423" s="42" t="s">
        <v>113</v>
      </c>
      <c r="W6423" s="42">
        <v>0</v>
      </c>
      <c r="X6423" s="42">
        <v>0</v>
      </c>
    </row>
    <row r="6424" spans="1:24">
      <c r="A6424" s="27" t="s">
        <v>11838</v>
      </c>
      <c r="B6424" s="28" t="s">
        <v>5102</v>
      </c>
      <c r="C6424" s="27" t="s">
        <v>11839</v>
      </c>
      <c r="D6424" s="27" t="s">
        <v>5104</v>
      </c>
      <c r="E6424" s="29">
        <v>43409</v>
      </c>
      <c r="F6424" s="27">
        <v>15</v>
      </c>
      <c r="G6424" s="18">
        <v>699.67</v>
      </c>
      <c r="H6424" s="27">
        <f t="shared" si="200"/>
        <v>0</v>
      </c>
      <c r="I6424" s="18">
        <v>3.69</v>
      </c>
      <c r="J6424" s="27">
        <v>1116.31</v>
      </c>
      <c r="K6424" s="18">
        <f t="shared" si="201"/>
        <v>0</v>
      </c>
      <c r="L6424" s="27">
        <v>74.540000000000006</v>
      </c>
      <c r="M6424" s="36">
        <v>70.849999999999994</v>
      </c>
      <c r="N6424" s="18" t="s">
        <v>123</v>
      </c>
      <c r="O6424" s="19">
        <v>416.64</v>
      </c>
      <c r="T6424" s="41">
        <v>0</v>
      </c>
      <c r="U6424" s="41">
        <v>0</v>
      </c>
      <c r="V6424" s="42" t="s">
        <v>113</v>
      </c>
      <c r="W6424" s="42">
        <v>0</v>
      </c>
      <c r="X6424" s="42">
        <v>0</v>
      </c>
    </row>
    <row r="6425" spans="1:24">
      <c r="A6425" s="27" t="s">
        <v>11840</v>
      </c>
      <c r="B6425" s="28" t="s">
        <v>5102</v>
      </c>
      <c r="C6425" s="27" t="s">
        <v>11841</v>
      </c>
      <c r="D6425" s="27" t="s">
        <v>5104</v>
      </c>
      <c r="E6425" s="29">
        <v>43409</v>
      </c>
      <c r="F6425" s="27">
        <v>15</v>
      </c>
      <c r="G6425" s="18">
        <v>549.74</v>
      </c>
      <c r="H6425" s="27">
        <f t="shared" si="200"/>
        <v>0</v>
      </c>
      <c r="I6425" s="18">
        <v>2.9</v>
      </c>
      <c r="J6425" s="27">
        <v>1116.31</v>
      </c>
      <c r="K6425" s="18">
        <f t="shared" si="201"/>
        <v>0</v>
      </c>
      <c r="L6425" s="27">
        <v>73.8</v>
      </c>
      <c r="M6425" s="36">
        <v>70.900000000000006</v>
      </c>
      <c r="N6425" s="18" t="s">
        <v>123</v>
      </c>
      <c r="O6425" s="19">
        <v>566.57000000000005</v>
      </c>
      <c r="T6425" s="41">
        <v>0</v>
      </c>
      <c r="U6425" s="41">
        <v>0</v>
      </c>
      <c r="V6425" s="42" t="s">
        <v>113</v>
      </c>
      <c r="W6425" s="42">
        <v>0</v>
      </c>
      <c r="X6425" s="42">
        <v>0</v>
      </c>
    </row>
    <row r="6426" spans="1:24">
      <c r="A6426" s="27" t="s">
        <v>11842</v>
      </c>
      <c r="B6426" s="28" t="s">
        <v>5102</v>
      </c>
      <c r="C6426" s="27" t="s">
        <v>11843</v>
      </c>
      <c r="D6426" s="27" t="s">
        <v>5104</v>
      </c>
      <c r="E6426" s="29">
        <v>43409</v>
      </c>
      <c r="F6426" s="27">
        <v>15</v>
      </c>
      <c r="G6426" s="18">
        <v>533.09</v>
      </c>
      <c r="H6426" s="27">
        <f t="shared" si="200"/>
        <v>0</v>
      </c>
      <c r="I6426" s="18">
        <v>2.81</v>
      </c>
      <c r="J6426" s="27">
        <v>1116.31</v>
      </c>
      <c r="K6426" s="18">
        <f t="shared" si="201"/>
        <v>0</v>
      </c>
      <c r="L6426" s="27">
        <v>73.72</v>
      </c>
      <c r="M6426" s="36">
        <v>70.91</v>
      </c>
      <c r="N6426" s="18" t="s">
        <v>123</v>
      </c>
      <c r="O6426" s="19">
        <v>583.22</v>
      </c>
      <c r="T6426" s="41">
        <v>0</v>
      </c>
      <c r="U6426" s="41">
        <v>0</v>
      </c>
      <c r="V6426" s="42" t="s">
        <v>113</v>
      </c>
      <c r="W6426" s="42">
        <v>0</v>
      </c>
      <c r="X6426" s="42">
        <v>0</v>
      </c>
    </row>
    <row r="6427" spans="1:24">
      <c r="A6427" s="27" t="s">
        <v>11844</v>
      </c>
      <c r="B6427" s="28" t="s">
        <v>5102</v>
      </c>
      <c r="C6427" s="27" t="s">
        <v>11845</v>
      </c>
      <c r="D6427" s="27" t="s">
        <v>5104</v>
      </c>
      <c r="E6427" s="29">
        <v>43409</v>
      </c>
      <c r="F6427" s="27">
        <v>15</v>
      </c>
      <c r="G6427" s="18">
        <v>566.4</v>
      </c>
      <c r="H6427" s="27">
        <f t="shared" si="200"/>
        <v>0</v>
      </c>
      <c r="I6427" s="18">
        <v>2.99</v>
      </c>
      <c r="J6427" s="27">
        <v>1116.31</v>
      </c>
      <c r="K6427" s="18">
        <f t="shared" si="201"/>
        <v>0</v>
      </c>
      <c r="L6427" s="27">
        <v>73.88</v>
      </c>
      <c r="M6427" s="36">
        <v>70.89</v>
      </c>
      <c r="N6427" s="18" t="s">
        <v>123</v>
      </c>
      <c r="O6427" s="19">
        <v>549.91</v>
      </c>
      <c r="T6427" s="41">
        <v>0</v>
      </c>
      <c r="U6427" s="41">
        <v>0</v>
      </c>
      <c r="V6427" s="42" t="s">
        <v>113</v>
      </c>
      <c r="W6427" s="42">
        <v>0</v>
      </c>
      <c r="X6427" s="42">
        <v>0</v>
      </c>
    </row>
    <row r="6428" spans="1:24">
      <c r="A6428" s="27" t="s">
        <v>11846</v>
      </c>
      <c r="B6428" s="28" t="s">
        <v>5102</v>
      </c>
      <c r="C6428" s="27" t="s">
        <v>11847</v>
      </c>
      <c r="D6428" s="27" t="s">
        <v>5104</v>
      </c>
      <c r="E6428" s="29">
        <v>43409</v>
      </c>
      <c r="F6428" s="27">
        <v>15</v>
      </c>
      <c r="G6428" s="18">
        <v>533.09</v>
      </c>
      <c r="H6428" s="27">
        <f t="shared" si="200"/>
        <v>0</v>
      </c>
      <c r="I6428" s="18">
        <v>2.81</v>
      </c>
      <c r="J6428" s="27">
        <v>1116.31</v>
      </c>
      <c r="K6428" s="18">
        <f t="shared" si="201"/>
        <v>0</v>
      </c>
      <c r="L6428" s="27">
        <v>73.72</v>
      </c>
      <c r="M6428" s="36">
        <v>70.91</v>
      </c>
      <c r="N6428" s="18" t="s">
        <v>123</v>
      </c>
      <c r="O6428" s="19">
        <v>583.22</v>
      </c>
      <c r="T6428" s="41">
        <v>0</v>
      </c>
      <c r="U6428" s="41">
        <v>0</v>
      </c>
      <c r="V6428" s="42" t="s">
        <v>113</v>
      </c>
      <c r="W6428" s="42">
        <v>0</v>
      </c>
      <c r="X6428" s="42">
        <v>0</v>
      </c>
    </row>
    <row r="6429" spans="1:24">
      <c r="A6429" s="27" t="s">
        <v>11848</v>
      </c>
      <c r="B6429" s="28" t="s">
        <v>5102</v>
      </c>
      <c r="C6429" s="27" t="s">
        <v>11849</v>
      </c>
      <c r="D6429" s="27" t="s">
        <v>5104</v>
      </c>
      <c r="E6429" s="29">
        <v>43409</v>
      </c>
      <c r="F6429" s="27">
        <v>15</v>
      </c>
      <c r="G6429" s="18">
        <v>549.74</v>
      </c>
      <c r="H6429" s="27">
        <f t="shared" si="200"/>
        <v>0</v>
      </c>
      <c r="I6429" s="18">
        <v>2.9</v>
      </c>
      <c r="J6429" s="27">
        <v>1116.31</v>
      </c>
      <c r="K6429" s="18">
        <f t="shared" si="201"/>
        <v>0</v>
      </c>
      <c r="L6429" s="27">
        <v>73.8</v>
      </c>
      <c r="M6429" s="36">
        <v>70.900000000000006</v>
      </c>
      <c r="N6429" s="18" t="s">
        <v>123</v>
      </c>
      <c r="O6429" s="19">
        <v>566.57000000000005</v>
      </c>
      <c r="T6429" s="41">
        <v>0</v>
      </c>
      <c r="U6429" s="41">
        <v>0</v>
      </c>
      <c r="V6429" s="42" t="s">
        <v>113</v>
      </c>
      <c r="W6429" s="42">
        <v>0</v>
      </c>
      <c r="X6429" s="42">
        <v>0</v>
      </c>
    </row>
    <row r="6430" spans="1:24">
      <c r="A6430" s="27" t="s">
        <v>11850</v>
      </c>
      <c r="B6430" s="28" t="s">
        <v>5102</v>
      </c>
      <c r="C6430" s="27" t="s">
        <v>11851</v>
      </c>
      <c r="D6430" s="27" t="s">
        <v>5104</v>
      </c>
      <c r="E6430" s="29">
        <v>43409</v>
      </c>
      <c r="F6430" s="27">
        <v>15</v>
      </c>
      <c r="G6430" s="18">
        <v>516.42999999999995</v>
      </c>
      <c r="H6430" s="27">
        <f t="shared" si="200"/>
        <v>0</v>
      </c>
      <c r="I6430" s="18">
        <v>2.73</v>
      </c>
      <c r="J6430" s="27">
        <v>1116.31</v>
      </c>
      <c r="K6430" s="18">
        <f t="shared" si="201"/>
        <v>0</v>
      </c>
      <c r="L6430" s="27">
        <v>73.64</v>
      </c>
      <c r="M6430" s="36">
        <v>70.91</v>
      </c>
      <c r="N6430" s="18" t="s">
        <v>123</v>
      </c>
      <c r="O6430" s="19">
        <v>599.88</v>
      </c>
      <c r="T6430" s="41">
        <v>0</v>
      </c>
      <c r="U6430" s="41">
        <v>0</v>
      </c>
      <c r="V6430" s="42" t="s">
        <v>113</v>
      </c>
      <c r="W6430" s="42">
        <v>0</v>
      </c>
      <c r="X6430" s="42">
        <v>0</v>
      </c>
    </row>
    <row r="6431" spans="1:24">
      <c r="A6431" s="27" t="s">
        <v>11852</v>
      </c>
      <c r="B6431" s="28" t="s">
        <v>5102</v>
      </c>
      <c r="C6431" s="27" t="s">
        <v>11853</v>
      </c>
      <c r="D6431" s="27" t="s">
        <v>5104</v>
      </c>
      <c r="E6431" s="29">
        <v>43409</v>
      </c>
      <c r="F6431" s="27">
        <v>15</v>
      </c>
      <c r="G6431" s="18">
        <v>549.74</v>
      </c>
      <c r="H6431" s="27">
        <f t="shared" si="200"/>
        <v>0</v>
      </c>
      <c r="I6431" s="18">
        <v>2.9</v>
      </c>
      <c r="J6431" s="27">
        <v>1116.31</v>
      </c>
      <c r="K6431" s="18">
        <f t="shared" si="201"/>
        <v>0</v>
      </c>
      <c r="L6431" s="27">
        <v>73.8</v>
      </c>
      <c r="M6431" s="36">
        <v>70.900000000000006</v>
      </c>
      <c r="N6431" s="18" t="s">
        <v>123</v>
      </c>
      <c r="O6431" s="19">
        <v>566.57000000000005</v>
      </c>
      <c r="T6431" s="41">
        <v>0</v>
      </c>
      <c r="U6431" s="41">
        <v>0</v>
      </c>
      <c r="V6431" s="42" t="s">
        <v>113</v>
      </c>
      <c r="W6431" s="42">
        <v>0</v>
      </c>
      <c r="X6431" s="42">
        <v>0</v>
      </c>
    </row>
    <row r="6432" spans="1:24">
      <c r="A6432" s="27" t="s">
        <v>11854</v>
      </c>
      <c r="B6432" s="28" t="s">
        <v>5102</v>
      </c>
      <c r="C6432" s="27" t="s">
        <v>11855</v>
      </c>
      <c r="D6432" s="27" t="s">
        <v>5104</v>
      </c>
      <c r="E6432" s="29">
        <v>43409</v>
      </c>
      <c r="F6432" s="27">
        <v>15</v>
      </c>
      <c r="G6432" s="18">
        <v>533.09</v>
      </c>
      <c r="H6432" s="27">
        <f t="shared" si="200"/>
        <v>0</v>
      </c>
      <c r="I6432" s="18">
        <v>2.81</v>
      </c>
      <c r="J6432" s="27">
        <v>1116.31</v>
      </c>
      <c r="K6432" s="18">
        <f t="shared" si="201"/>
        <v>0</v>
      </c>
      <c r="L6432" s="27">
        <v>73.72</v>
      </c>
      <c r="M6432" s="36">
        <v>70.91</v>
      </c>
      <c r="N6432" s="18" t="s">
        <v>123</v>
      </c>
      <c r="O6432" s="19">
        <v>583.22</v>
      </c>
      <c r="T6432" s="41">
        <v>0</v>
      </c>
      <c r="U6432" s="41">
        <v>0</v>
      </c>
      <c r="V6432" s="42" t="s">
        <v>113</v>
      </c>
      <c r="W6432" s="42">
        <v>0</v>
      </c>
      <c r="X6432" s="42">
        <v>0</v>
      </c>
    </row>
    <row r="6433" spans="1:24">
      <c r="A6433" s="27" t="s">
        <v>11856</v>
      </c>
      <c r="B6433" s="28" t="s">
        <v>5102</v>
      </c>
      <c r="C6433" s="27" t="s">
        <v>11857</v>
      </c>
      <c r="D6433" s="27" t="s">
        <v>5104</v>
      </c>
      <c r="E6433" s="29">
        <v>43409</v>
      </c>
      <c r="F6433" s="27">
        <v>15</v>
      </c>
      <c r="G6433" s="18">
        <v>533.09</v>
      </c>
      <c r="H6433" s="27">
        <f t="shared" si="200"/>
        <v>0</v>
      </c>
      <c r="I6433" s="18">
        <v>2.81</v>
      </c>
      <c r="J6433" s="27">
        <v>1116.31</v>
      </c>
      <c r="K6433" s="18">
        <f t="shared" si="201"/>
        <v>0</v>
      </c>
      <c r="L6433" s="27">
        <v>73.72</v>
      </c>
      <c r="M6433" s="36">
        <v>70.91</v>
      </c>
      <c r="N6433" s="18" t="s">
        <v>123</v>
      </c>
      <c r="O6433" s="19">
        <v>583.22</v>
      </c>
      <c r="T6433" s="41">
        <v>0</v>
      </c>
      <c r="U6433" s="41">
        <v>0</v>
      </c>
      <c r="V6433" s="42" t="s">
        <v>113</v>
      </c>
      <c r="W6433" s="42">
        <v>0</v>
      </c>
      <c r="X6433" s="42">
        <v>0</v>
      </c>
    </row>
    <row r="6434" spans="1:24">
      <c r="A6434" s="27" t="s">
        <v>11858</v>
      </c>
      <c r="B6434" s="28" t="s">
        <v>5102</v>
      </c>
      <c r="C6434" s="27" t="s">
        <v>11859</v>
      </c>
      <c r="D6434" s="27" t="s">
        <v>5104</v>
      </c>
      <c r="E6434" s="29">
        <v>43409</v>
      </c>
      <c r="F6434" s="27">
        <v>15</v>
      </c>
      <c r="G6434" s="18">
        <v>549.74</v>
      </c>
      <c r="H6434" s="27">
        <f t="shared" si="200"/>
        <v>0</v>
      </c>
      <c r="I6434" s="18">
        <v>2.9</v>
      </c>
      <c r="J6434" s="27">
        <v>1116.31</v>
      </c>
      <c r="K6434" s="18">
        <f t="shared" si="201"/>
        <v>0</v>
      </c>
      <c r="L6434" s="27">
        <v>73.8</v>
      </c>
      <c r="M6434" s="36">
        <v>70.900000000000006</v>
      </c>
      <c r="N6434" s="18" t="s">
        <v>123</v>
      </c>
      <c r="O6434" s="19">
        <v>566.57000000000005</v>
      </c>
      <c r="T6434" s="41">
        <v>0</v>
      </c>
      <c r="U6434" s="41">
        <v>0</v>
      </c>
      <c r="V6434" s="42" t="s">
        <v>113</v>
      </c>
      <c r="W6434" s="42">
        <v>0</v>
      </c>
      <c r="X6434" s="42">
        <v>0</v>
      </c>
    </row>
    <row r="6435" spans="1:24">
      <c r="A6435" s="27" t="s">
        <v>11860</v>
      </c>
      <c r="B6435" s="28" t="s">
        <v>5102</v>
      </c>
      <c r="C6435" s="27" t="s">
        <v>11861</v>
      </c>
      <c r="D6435" s="27" t="s">
        <v>5104</v>
      </c>
      <c r="E6435" s="29">
        <v>43409</v>
      </c>
      <c r="F6435" s="27">
        <v>15</v>
      </c>
      <c r="G6435" s="18">
        <v>566.4</v>
      </c>
      <c r="H6435" s="27">
        <f t="shared" si="200"/>
        <v>0</v>
      </c>
      <c r="I6435" s="18">
        <v>2.99</v>
      </c>
      <c r="J6435" s="27">
        <v>1116.31</v>
      </c>
      <c r="K6435" s="18">
        <f t="shared" si="201"/>
        <v>0</v>
      </c>
      <c r="L6435" s="27">
        <v>73.88</v>
      </c>
      <c r="M6435" s="36">
        <v>70.89</v>
      </c>
      <c r="N6435" s="18" t="s">
        <v>123</v>
      </c>
      <c r="O6435" s="19">
        <v>549.91</v>
      </c>
      <c r="T6435" s="41">
        <v>0</v>
      </c>
      <c r="U6435" s="41">
        <v>0</v>
      </c>
      <c r="V6435" s="42" t="s">
        <v>113</v>
      </c>
      <c r="W6435" s="42">
        <v>0</v>
      </c>
      <c r="X6435" s="42">
        <v>0</v>
      </c>
    </row>
    <row r="6436" spans="1:24">
      <c r="A6436" s="27" t="s">
        <v>11862</v>
      </c>
      <c r="B6436" s="28" t="s">
        <v>5102</v>
      </c>
      <c r="C6436" s="27" t="s">
        <v>11863</v>
      </c>
      <c r="D6436" s="27" t="s">
        <v>5104</v>
      </c>
      <c r="E6436" s="29">
        <v>43409</v>
      </c>
      <c r="F6436" s="27">
        <v>15</v>
      </c>
      <c r="G6436" s="18">
        <v>533.09</v>
      </c>
      <c r="H6436" s="27">
        <f t="shared" si="200"/>
        <v>0</v>
      </c>
      <c r="I6436" s="18">
        <v>2.81</v>
      </c>
      <c r="J6436" s="27">
        <v>1116.31</v>
      </c>
      <c r="K6436" s="18">
        <f t="shared" si="201"/>
        <v>0</v>
      </c>
      <c r="L6436" s="27">
        <v>73.72</v>
      </c>
      <c r="M6436" s="36">
        <v>70.91</v>
      </c>
      <c r="N6436" s="18" t="s">
        <v>123</v>
      </c>
      <c r="O6436" s="19">
        <v>583.22</v>
      </c>
      <c r="T6436" s="41">
        <v>0</v>
      </c>
      <c r="U6436" s="41">
        <v>0</v>
      </c>
      <c r="V6436" s="42" t="s">
        <v>113</v>
      </c>
      <c r="W6436" s="42">
        <v>0</v>
      </c>
      <c r="X6436" s="42">
        <v>0</v>
      </c>
    </row>
    <row r="6437" spans="1:24">
      <c r="A6437" s="27" t="s">
        <v>11864</v>
      </c>
      <c r="B6437" s="28" t="s">
        <v>5102</v>
      </c>
      <c r="C6437" s="27" t="s">
        <v>11865</v>
      </c>
      <c r="D6437" s="27" t="s">
        <v>5104</v>
      </c>
      <c r="E6437" s="29">
        <v>43409</v>
      </c>
      <c r="F6437" s="27">
        <v>15</v>
      </c>
      <c r="G6437" s="18">
        <v>533.09</v>
      </c>
      <c r="H6437" s="27">
        <f t="shared" si="200"/>
        <v>0</v>
      </c>
      <c r="I6437" s="18">
        <v>2.81</v>
      </c>
      <c r="J6437" s="27">
        <v>1116.31</v>
      </c>
      <c r="K6437" s="18">
        <f t="shared" si="201"/>
        <v>0</v>
      </c>
      <c r="L6437" s="27">
        <v>73.72</v>
      </c>
      <c r="M6437" s="36">
        <v>70.91</v>
      </c>
      <c r="N6437" s="18" t="s">
        <v>123</v>
      </c>
      <c r="O6437" s="19">
        <v>583.22</v>
      </c>
      <c r="T6437" s="41">
        <v>0</v>
      </c>
      <c r="U6437" s="41">
        <v>0</v>
      </c>
      <c r="V6437" s="42" t="s">
        <v>113</v>
      </c>
      <c r="W6437" s="42">
        <v>0</v>
      </c>
      <c r="X6437" s="42">
        <v>0</v>
      </c>
    </row>
    <row r="6438" spans="1:24">
      <c r="A6438" s="27" t="s">
        <v>11866</v>
      </c>
      <c r="B6438" s="28" t="s">
        <v>5102</v>
      </c>
      <c r="C6438" s="27" t="s">
        <v>11867</v>
      </c>
      <c r="D6438" s="27" t="s">
        <v>5104</v>
      </c>
      <c r="E6438" s="29">
        <v>43409</v>
      </c>
      <c r="F6438" s="27">
        <v>15</v>
      </c>
      <c r="G6438" s="18">
        <v>549.74</v>
      </c>
      <c r="H6438" s="27">
        <f t="shared" si="200"/>
        <v>0</v>
      </c>
      <c r="I6438" s="18">
        <v>2.9</v>
      </c>
      <c r="J6438" s="27">
        <v>1116.31</v>
      </c>
      <c r="K6438" s="18">
        <f t="shared" si="201"/>
        <v>0</v>
      </c>
      <c r="L6438" s="27">
        <v>73.8</v>
      </c>
      <c r="M6438" s="36">
        <v>70.900000000000006</v>
      </c>
      <c r="N6438" s="18" t="s">
        <v>123</v>
      </c>
      <c r="O6438" s="19">
        <v>566.57000000000005</v>
      </c>
      <c r="T6438" s="41">
        <v>0</v>
      </c>
      <c r="U6438" s="41">
        <v>0</v>
      </c>
      <c r="V6438" s="42" t="s">
        <v>113</v>
      </c>
      <c r="W6438" s="42">
        <v>0</v>
      </c>
      <c r="X6438" s="42">
        <v>0</v>
      </c>
    </row>
    <row r="6439" spans="1:24">
      <c r="A6439" s="27" t="s">
        <v>11868</v>
      </c>
      <c r="B6439" s="28" t="s">
        <v>5102</v>
      </c>
      <c r="C6439" s="27" t="s">
        <v>11869</v>
      </c>
      <c r="D6439" s="27" t="s">
        <v>5104</v>
      </c>
      <c r="E6439" s="29">
        <v>43409</v>
      </c>
      <c r="F6439" s="27">
        <v>15</v>
      </c>
      <c r="G6439" s="18">
        <v>1282.74</v>
      </c>
      <c r="H6439" s="27">
        <f t="shared" si="200"/>
        <v>0</v>
      </c>
      <c r="I6439" s="18">
        <v>6.77</v>
      </c>
      <c r="J6439" s="27">
        <v>1116.31</v>
      </c>
      <c r="K6439" s="18">
        <f t="shared" si="201"/>
        <v>0</v>
      </c>
      <c r="L6439" s="27">
        <v>77.41</v>
      </c>
      <c r="M6439" s="36">
        <v>70.64</v>
      </c>
      <c r="N6439" s="18" t="s">
        <v>123</v>
      </c>
      <c r="O6439" s="19">
        <v>-166.43</v>
      </c>
      <c r="T6439" s="41">
        <v>0</v>
      </c>
      <c r="U6439" s="41">
        <v>0</v>
      </c>
      <c r="V6439" s="42" t="s">
        <v>113</v>
      </c>
      <c r="W6439" s="42">
        <v>0</v>
      </c>
      <c r="X6439" s="42">
        <v>0</v>
      </c>
    </row>
    <row r="6440" spans="1:24">
      <c r="A6440" s="27" t="s">
        <v>11870</v>
      </c>
      <c r="B6440" s="28" t="s">
        <v>5102</v>
      </c>
      <c r="C6440" s="27" t="s">
        <v>11871</v>
      </c>
      <c r="D6440" s="27" t="s">
        <v>5104</v>
      </c>
      <c r="E6440" s="29">
        <v>43409</v>
      </c>
      <c r="F6440" s="27">
        <v>15</v>
      </c>
      <c r="G6440" s="18">
        <v>549.74</v>
      </c>
      <c r="H6440" s="27">
        <f t="shared" si="200"/>
        <v>0</v>
      </c>
      <c r="I6440" s="18">
        <v>2.9</v>
      </c>
      <c r="J6440" s="27">
        <v>575.6</v>
      </c>
      <c r="K6440" s="18">
        <f t="shared" si="201"/>
        <v>0</v>
      </c>
      <c r="L6440" s="27">
        <v>39.36</v>
      </c>
      <c r="M6440" s="36">
        <v>36.46</v>
      </c>
      <c r="N6440" s="18" t="s">
        <v>123</v>
      </c>
      <c r="O6440" s="19">
        <v>25.86</v>
      </c>
      <c r="T6440" s="41">
        <v>0</v>
      </c>
      <c r="U6440" s="41">
        <v>0</v>
      </c>
      <c r="V6440" s="42" t="s">
        <v>113</v>
      </c>
      <c r="W6440" s="42">
        <v>0</v>
      </c>
      <c r="X6440" s="42">
        <v>0</v>
      </c>
    </row>
    <row r="6441" spans="1:24">
      <c r="A6441" s="27" t="s">
        <v>11872</v>
      </c>
      <c r="B6441" s="28" t="s">
        <v>5102</v>
      </c>
      <c r="C6441" s="27" t="s">
        <v>11873</v>
      </c>
      <c r="D6441" s="27" t="s">
        <v>5104</v>
      </c>
      <c r="E6441" s="29">
        <v>43409</v>
      </c>
      <c r="F6441" s="27">
        <v>15</v>
      </c>
      <c r="G6441" s="18">
        <v>516.42999999999995</v>
      </c>
      <c r="H6441" s="27">
        <f t="shared" si="200"/>
        <v>0</v>
      </c>
      <c r="I6441" s="18">
        <v>2.73</v>
      </c>
      <c r="J6441" s="27">
        <v>575.6</v>
      </c>
      <c r="K6441" s="18">
        <f t="shared" si="201"/>
        <v>0</v>
      </c>
      <c r="L6441" s="27">
        <v>39.21</v>
      </c>
      <c r="M6441" s="36">
        <v>36.479999999999997</v>
      </c>
      <c r="N6441" s="18" t="s">
        <v>123</v>
      </c>
      <c r="O6441" s="19">
        <v>59.17</v>
      </c>
      <c r="T6441" s="41">
        <v>0</v>
      </c>
      <c r="U6441" s="41">
        <v>0</v>
      </c>
      <c r="V6441" s="42" t="s">
        <v>113</v>
      </c>
      <c r="W6441" s="42">
        <v>0</v>
      </c>
      <c r="X6441" s="42">
        <v>0</v>
      </c>
    </row>
    <row r="6442" spans="1:24">
      <c r="A6442" s="27" t="s">
        <v>11874</v>
      </c>
      <c r="B6442" s="28" t="s">
        <v>5102</v>
      </c>
      <c r="C6442" s="27" t="s">
        <v>11875</v>
      </c>
      <c r="D6442" s="27" t="s">
        <v>5104</v>
      </c>
      <c r="E6442" s="29">
        <v>43409</v>
      </c>
      <c r="F6442" s="27">
        <v>15</v>
      </c>
      <c r="G6442" s="18">
        <v>533.09</v>
      </c>
      <c r="H6442" s="27">
        <f t="shared" si="200"/>
        <v>0</v>
      </c>
      <c r="I6442" s="18">
        <v>2.81</v>
      </c>
      <c r="J6442" s="27">
        <v>575.6</v>
      </c>
      <c r="K6442" s="18">
        <f t="shared" si="201"/>
        <v>0</v>
      </c>
      <c r="L6442" s="27">
        <v>39.28</v>
      </c>
      <c r="M6442" s="36">
        <v>36.47</v>
      </c>
      <c r="N6442" s="18" t="s">
        <v>123</v>
      </c>
      <c r="O6442" s="19">
        <v>42.51</v>
      </c>
      <c r="T6442" s="41">
        <v>0</v>
      </c>
      <c r="U6442" s="41">
        <v>0</v>
      </c>
      <c r="V6442" s="42" t="s">
        <v>113</v>
      </c>
      <c r="W6442" s="42">
        <v>0</v>
      </c>
      <c r="X6442" s="42">
        <v>0</v>
      </c>
    </row>
    <row r="6443" spans="1:24">
      <c r="A6443" s="27" t="s">
        <v>11876</v>
      </c>
      <c r="B6443" s="28" t="s">
        <v>5102</v>
      </c>
      <c r="C6443" s="27" t="s">
        <v>11877</v>
      </c>
      <c r="D6443" s="27" t="s">
        <v>5104</v>
      </c>
      <c r="E6443" s="29">
        <v>43409</v>
      </c>
      <c r="F6443" s="27">
        <v>15</v>
      </c>
      <c r="G6443" s="18">
        <v>549.74</v>
      </c>
      <c r="H6443" s="27">
        <f t="shared" si="200"/>
        <v>0</v>
      </c>
      <c r="I6443" s="18">
        <v>2.9</v>
      </c>
      <c r="J6443" s="27">
        <v>575.6</v>
      </c>
      <c r="K6443" s="18">
        <f t="shared" si="201"/>
        <v>0</v>
      </c>
      <c r="L6443" s="27">
        <v>39.36</v>
      </c>
      <c r="M6443" s="36">
        <v>36.46</v>
      </c>
      <c r="N6443" s="18" t="s">
        <v>123</v>
      </c>
      <c r="O6443" s="19">
        <v>25.86</v>
      </c>
      <c r="T6443" s="41">
        <v>0</v>
      </c>
      <c r="U6443" s="41">
        <v>0</v>
      </c>
      <c r="V6443" s="42" t="s">
        <v>113</v>
      </c>
      <c r="W6443" s="42">
        <v>0</v>
      </c>
      <c r="X6443" s="42">
        <v>0</v>
      </c>
    </row>
    <row r="6444" spans="1:24">
      <c r="A6444" s="27" t="s">
        <v>11878</v>
      </c>
      <c r="B6444" s="28" t="s">
        <v>5102</v>
      </c>
      <c r="C6444" s="27" t="s">
        <v>11879</v>
      </c>
      <c r="D6444" s="27" t="s">
        <v>5104</v>
      </c>
      <c r="E6444" s="29">
        <v>43409</v>
      </c>
      <c r="F6444" s="27">
        <v>15</v>
      </c>
      <c r="G6444" s="18">
        <v>533.09</v>
      </c>
      <c r="H6444" s="27">
        <f t="shared" si="200"/>
        <v>0</v>
      </c>
      <c r="I6444" s="18">
        <v>2.81</v>
      </c>
      <c r="J6444" s="27">
        <v>575.6</v>
      </c>
      <c r="K6444" s="18">
        <f t="shared" si="201"/>
        <v>0</v>
      </c>
      <c r="L6444" s="27">
        <v>39.28</v>
      </c>
      <c r="M6444" s="36">
        <v>36.47</v>
      </c>
      <c r="N6444" s="18" t="s">
        <v>123</v>
      </c>
      <c r="O6444" s="19">
        <v>42.51</v>
      </c>
      <c r="T6444" s="41">
        <v>0</v>
      </c>
      <c r="U6444" s="41">
        <v>0</v>
      </c>
      <c r="V6444" s="42" t="s">
        <v>113</v>
      </c>
      <c r="W6444" s="42">
        <v>0</v>
      </c>
      <c r="X6444" s="42">
        <v>0</v>
      </c>
    </row>
    <row r="6445" spans="1:24">
      <c r="A6445" s="27" t="s">
        <v>11880</v>
      </c>
      <c r="B6445" s="28" t="s">
        <v>5102</v>
      </c>
      <c r="C6445" s="27" t="s">
        <v>11881</v>
      </c>
      <c r="D6445" s="27" t="s">
        <v>5104</v>
      </c>
      <c r="E6445" s="29">
        <v>43409</v>
      </c>
      <c r="F6445" s="27">
        <v>15</v>
      </c>
      <c r="G6445" s="18">
        <v>549.74</v>
      </c>
      <c r="H6445" s="27">
        <f t="shared" si="200"/>
        <v>0</v>
      </c>
      <c r="I6445" s="18">
        <v>2.9</v>
      </c>
      <c r="J6445" s="27">
        <v>575.6</v>
      </c>
      <c r="K6445" s="18">
        <f t="shared" si="201"/>
        <v>0</v>
      </c>
      <c r="L6445" s="27">
        <v>39.36</v>
      </c>
      <c r="M6445" s="36">
        <v>36.46</v>
      </c>
      <c r="N6445" s="18" t="s">
        <v>123</v>
      </c>
      <c r="O6445" s="19">
        <v>25.86</v>
      </c>
      <c r="T6445" s="41">
        <v>0</v>
      </c>
      <c r="U6445" s="41">
        <v>0</v>
      </c>
      <c r="V6445" s="42" t="s">
        <v>113</v>
      </c>
      <c r="W6445" s="42">
        <v>0</v>
      </c>
      <c r="X6445" s="42">
        <v>0</v>
      </c>
    </row>
    <row r="6446" spans="1:24">
      <c r="A6446" s="27" t="s">
        <v>11882</v>
      </c>
      <c r="B6446" s="28" t="s">
        <v>5102</v>
      </c>
      <c r="C6446" s="27" t="s">
        <v>11883</v>
      </c>
      <c r="D6446" s="27" t="s">
        <v>5104</v>
      </c>
      <c r="E6446" s="29">
        <v>43409</v>
      </c>
      <c r="F6446" s="27">
        <v>15</v>
      </c>
      <c r="G6446" s="18">
        <v>566.4</v>
      </c>
      <c r="H6446" s="27">
        <f t="shared" si="200"/>
        <v>0</v>
      </c>
      <c r="I6446" s="18">
        <v>2.99</v>
      </c>
      <c r="J6446" s="27">
        <v>575.6</v>
      </c>
      <c r="K6446" s="18">
        <f t="shared" si="201"/>
        <v>0</v>
      </c>
      <c r="L6446" s="27">
        <v>39.450000000000003</v>
      </c>
      <c r="M6446" s="36">
        <v>36.46</v>
      </c>
      <c r="N6446" s="18" t="s">
        <v>123</v>
      </c>
      <c r="O6446" s="19">
        <v>9.1999999999999993</v>
      </c>
      <c r="T6446" s="41">
        <v>0</v>
      </c>
      <c r="U6446" s="41">
        <v>0</v>
      </c>
      <c r="V6446" s="42" t="s">
        <v>113</v>
      </c>
      <c r="W6446" s="42">
        <v>0</v>
      </c>
      <c r="X6446" s="42">
        <v>0</v>
      </c>
    </row>
    <row r="6447" spans="1:24">
      <c r="A6447" s="27" t="s">
        <v>11884</v>
      </c>
      <c r="B6447" s="28" t="s">
        <v>5102</v>
      </c>
      <c r="C6447" s="27" t="s">
        <v>11885</v>
      </c>
      <c r="D6447" s="27" t="s">
        <v>5104</v>
      </c>
      <c r="E6447" s="29">
        <v>43409</v>
      </c>
      <c r="F6447" s="27">
        <v>15</v>
      </c>
      <c r="G6447" s="18">
        <v>549.74</v>
      </c>
      <c r="H6447" s="27">
        <f t="shared" si="200"/>
        <v>0</v>
      </c>
      <c r="I6447" s="18">
        <v>2.9</v>
      </c>
      <c r="J6447" s="27">
        <v>575.6</v>
      </c>
      <c r="K6447" s="18">
        <f t="shared" si="201"/>
        <v>0</v>
      </c>
      <c r="L6447" s="27">
        <v>39.36</v>
      </c>
      <c r="M6447" s="36">
        <v>36.46</v>
      </c>
      <c r="N6447" s="18" t="s">
        <v>123</v>
      </c>
      <c r="O6447" s="19">
        <v>25.86</v>
      </c>
      <c r="T6447" s="41">
        <v>0</v>
      </c>
      <c r="U6447" s="41">
        <v>0</v>
      </c>
      <c r="V6447" s="42" t="s">
        <v>113</v>
      </c>
      <c r="W6447" s="42">
        <v>0</v>
      </c>
      <c r="X6447" s="42">
        <v>0</v>
      </c>
    </row>
    <row r="6448" spans="1:24">
      <c r="A6448" s="27" t="s">
        <v>11886</v>
      </c>
      <c r="B6448" s="28" t="s">
        <v>5102</v>
      </c>
      <c r="C6448" s="27" t="s">
        <v>11887</v>
      </c>
      <c r="D6448" s="27" t="s">
        <v>5104</v>
      </c>
      <c r="E6448" s="29">
        <v>43409</v>
      </c>
      <c r="F6448" s="27">
        <v>15</v>
      </c>
      <c r="G6448" s="18">
        <v>533.09</v>
      </c>
      <c r="H6448" s="27">
        <f t="shared" si="200"/>
        <v>0</v>
      </c>
      <c r="I6448" s="18">
        <v>2.81</v>
      </c>
      <c r="J6448" s="27">
        <v>575.6</v>
      </c>
      <c r="K6448" s="18">
        <f t="shared" si="201"/>
        <v>0</v>
      </c>
      <c r="L6448" s="27">
        <v>39.28</v>
      </c>
      <c r="M6448" s="36">
        <v>36.47</v>
      </c>
      <c r="N6448" s="18" t="s">
        <v>123</v>
      </c>
      <c r="O6448" s="19">
        <v>42.51</v>
      </c>
      <c r="T6448" s="41">
        <v>0</v>
      </c>
      <c r="U6448" s="41">
        <v>0</v>
      </c>
      <c r="V6448" s="42" t="s">
        <v>113</v>
      </c>
      <c r="W6448" s="42">
        <v>0</v>
      </c>
      <c r="X6448" s="42">
        <v>0</v>
      </c>
    </row>
    <row r="6449" spans="1:24">
      <c r="A6449" s="27" t="s">
        <v>11888</v>
      </c>
      <c r="B6449" s="28" t="s">
        <v>5102</v>
      </c>
      <c r="C6449" s="27" t="s">
        <v>11889</v>
      </c>
      <c r="D6449" s="27" t="s">
        <v>5104</v>
      </c>
      <c r="E6449" s="29">
        <v>43409</v>
      </c>
      <c r="F6449" s="27">
        <v>15</v>
      </c>
      <c r="G6449" s="18">
        <v>549.74</v>
      </c>
      <c r="H6449" s="27">
        <f t="shared" si="200"/>
        <v>0</v>
      </c>
      <c r="I6449" s="18">
        <v>2.9</v>
      </c>
      <c r="J6449" s="27">
        <v>575.6</v>
      </c>
      <c r="K6449" s="18">
        <f t="shared" si="201"/>
        <v>0</v>
      </c>
      <c r="L6449" s="27">
        <v>39.36</v>
      </c>
      <c r="M6449" s="36">
        <v>36.46</v>
      </c>
      <c r="N6449" s="18" t="s">
        <v>123</v>
      </c>
      <c r="O6449" s="19">
        <v>25.86</v>
      </c>
      <c r="T6449" s="41">
        <v>0</v>
      </c>
      <c r="U6449" s="41">
        <v>0</v>
      </c>
      <c r="V6449" s="42" t="s">
        <v>113</v>
      </c>
      <c r="W6449" s="42">
        <v>0</v>
      </c>
      <c r="X6449" s="42">
        <v>0</v>
      </c>
    </row>
    <row r="6450" spans="1:24">
      <c r="A6450" s="27" t="s">
        <v>11890</v>
      </c>
      <c r="B6450" s="28" t="s">
        <v>5102</v>
      </c>
      <c r="C6450" s="27" t="s">
        <v>11891</v>
      </c>
      <c r="D6450" s="27" t="s">
        <v>5104</v>
      </c>
      <c r="E6450" s="29">
        <v>43409</v>
      </c>
      <c r="F6450" s="27">
        <v>15</v>
      </c>
      <c r="G6450" s="18">
        <v>516.42999999999995</v>
      </c>
      <c r="H6450" s="27">
        <f t="shared" si="200"/>
        <v>0</v>
      </c>
      <c r="I6450" s="18">
        <v>2.73</v>
      </c>
      <c r="J6450" s="27">
        <v>575.6</v>
      </c>
      <c r="K6450" s="18">
        <f t="shared" si="201"/>
        <v>0</v>
      </c>
      <c r="L6450" s="27">
        <v>39.21</v>
      </c>
      <c r="M6450" s="36">
        <v>36.479999999999997</v>
      </c>
      <c r="N6450" s="18" t="s">
        <v>123</v>
      </c>
      <c r="O6450" s="19">
        <v>59.17</v>
      </c>
      <c r="T6450" s="41">
        <v>0</v>
      </c>
      <c r="U6450" s="41">
        <v>0</v>
      </c>
      <c r="V6450" s="42" t="s">
        <v>113</v>
      </c>
      <c r="W6450" s="42">
        <v>0</v>
      </c>
      <c r="X6450" s="42">
        <v>0</v>
      </c>
    </row>
    <row r="6451" spans="1:24">
      <c r="A6451" s="27" t="s">
        <v>11892</v>
      </c>
      <c r="B6451" s="28" t="s">
        <v>5102</v>
      </c>
      <c r="C6451" s="27" t="s">
        <v>11893</v>
      </c>
      <c r="D6451" s="27" t="s">
        <v>5104</v>
      </c>
      <c r="E6451" s="29">
        <v>43409</v>
      </c>
      <c r="F6451" s="27">
        <v>15</v>
      </c>
      <c r="G6451" s="18">
        <v>549.74</v>
      </c>
      <c r="H6451" s="27">
        <f t="shared" si="200"/>
        <v>0</v>
      </c>
      <c r="I6451" s="18">
        <v>2.9</v>
      </c>
      <c r="J6451" s="27">
        <v>575.6</v>
      </c>
      <c r="K6451" s="18">
        <f t="shared" si="201"/>
        <v>0</v>
      </c>
      <c r="L6451" s="27">
        <v>39.36</v>
      </c>
      <c r="M6451" s="36">
        <v>36.46</v>
      </c>
      <c r="N6451" s="18" t="s">
        <v>123</v>
      </c>
      <c r="O6451" s="19">
        <v>25.86</v>
      </c>
      <c r="T6451" s="41">
        <v>0</v>
      </c>
      <c r="U6451" s="41">
        <v>0</v>
      </c>
      <c r="V6451" s="42" t="s">
        <v>113</v>
      </c>
      <c r="W6451" s="42">
        <v>0</v>
      </c>
      <c r="X6451" s="42">
        <v>0</v>
      </c>
    </row>
    <row r="6452" spans="1:24">
      <c r="A6452" s="27" t="s">
        <v>11894</v>
      </c>
      <c r="B6452" s="28" t="s">
        <v>5102</v>
      </c>
      <c r="C6452" s="27" t="s">
        <v>11895</v>
      </c>
      <c r="D6452" s="27" t="s">
        <v>5104</v>
      </c>
      <c r="E6452" s="29">
        <v>43409</v>
      </c>
      <c r="F6452" s="27">
        <v>15</v>
      </c>
      <c r="G6452" s="18">
        <v>533.09</v>
      </c>
      <c r="H6452" s="27">
        <f t="shared" si="200"/>
        <v>0</v>
      </c>
      <c r="I6452" s="18">
        <v>2.81</v>
      </c>
      <c r="J6452" s="27">
        <v>575.6</v>
      </c>
      <c r="K6452" s="18">
        <f t="shared" si="201"/>
        <v>0</v>
      </c>
      <c r="L6452" s="27">
        <v>39.28</v>
      </c>
      <c r="M6452" s="36">
        <v>36.47</v>
      </c>
      <c r="N6452" s="18" t="s">
        <v>123</v>
      </c>
      <c r="O6452" s="19">
        <v>42.51</v>
      </c>
      <c r="T6452" s="41">
        <v>0</v>
      </c>
      <c r="U6452" s="41">
        <v>0</v>
      </c>
      <c r="V6452" s="42" t="s">
        <v>113</v>
      </c>
      <c r="W6452" s="42">
        <v>0</v>
      </c>
      <c r="X6452" s="42">
        <v>0</v>
      </c>
    </row>
    <row r="6453" spans="1:24">
      <c r="A6453" s="27" t="s">
        <v>11896</v>
      </c>
      <c r="B6453" s="28" t="s">
        <v>5102</v>
      </c>
      <c r="C6453" s="27" t="s">
        <v>10856</v>
      </c>
      <c r="D6453" s="27" t="s">
        <v>5104</v>
      </c>
      <c r="E6453" s="29">
        <v>43409</v>
      </c>
      <c r="F6453" s="27">
        <v>15</v>
      </c>
      <c r="G6453" s="18">
        <v>533.09</v>
      </c>
      <c r="H6453" s="27">
        <f t="shared" si="200"/>
        <v>0</v>
      </c>
      <c r="I6453" s="18">
        <v>2.81</v>
      </c>
      <c r="J6453" s="27">
        <v>575.6</v>
      </c>
      <c r="K6453" s="18">
        <f t="shared" si="201"/>
        <v>0</v>
      </c>
      <c r="L6453" s="27">
        <v>39.28</v>
      </c>
      <c r="M6453" s="36">
        <v>36.47</v>
      </c>
      <c r="N6453" s="18" t="s">
        <v>123</v>
      </c>
      <c r="O6453" s="19">
        <v>42.51</v>
      </c>
      <c r="T6453" s="41">
        <v>0</v>
      </c>
      <c r="U6453" s="41">
        <v>0</v>
      </c>
      <c r="V6453" s="42" t="s">
        <v>113</v>
      </c>
      <c r="W6453" s="42">
        <v>0</v>
      </c>
      <c r="X6453" s="42">
        <v>0</v>
      </c>
    </row>
    <row r="6454" spans="1:24">
      <c r="A6454" s="27" t="s">
        <v>11897</v>
      </c>
      <c r="B6454" s="28" t="s">
        <v>5102</v>
      </c>
      <c r="C6454" s="27" t="s">
        <v>11898</v>
      </c>
      <c r="D6454" s="27" t="s">
        <v>5104</v>
      </c>
      <c r="E6454" s="29">
        <v>43409</v>
      </c>
      <c r="F6454" s="27">
        <v>15</v>
      </c>
      <c r="G6454" s="18">
        <v>516.42999999999995</v>
      </c>
      <c r="H6454" s="27">
        <f t="shared" si="200"/>
        <v>0</v>
      </c>
      <c r="I6454" s="18">
        <v>2.73</v>
      </c>
      <c r="J6454" s="27">
        <v>575.6</v>
      </c>
      <c r="K6454" s="18">
        <f t="shared" si="201"/>
        <v>0</v>
      </c>
      <c r="L6454" s="27">
        <v>39.21</v>
      </c>
      <c r="M6454" s="36">
        <v>36.479999999999997</v>
      </c>
      <c r="N6454" s="18" t="s">
        <v>123</v>
      </c>
      <c r="O6454" s="19">
        <v>59.17</v>
      </c>
      <c r="T6454" s="41">
        <v>0</v>
      </c>
      <c r="U6454" s="41">
        <v>0</v>
      </c>
      <c r="V6454" s="42" t="s">
        <v>113</v>
      </c>
      <c r="W6454" s="42">
        <v>0</v>
      </c>
      <c r="X6454" s="42">
        <v>0</v>
      </c>
    </row>
    <row r="6455" spans="1:24">
      <c r="A6455" s="27" t="s">
        <v>11899</v>
      </c>
      <c r="B6455" s="28" t="s">
        <v>5102</v>
      </c>
      <c r="C6455" s="27" t="s">
        <v>11900</v>
      </c>
      <c r="D6455" s="27" t="s">
        <v>5104</v>
      </c>
      <c r="E6455" s="29">
        <v>43409</v>
      </c>
      <c r="F6455" s="27">
        <v>15</v>
      </c>
      <c r="G6455" s="18">
        <v>583.05999999999995</v>
      </c>
      <c r="H6455" s="27">
        <f t="shared" si="200"/>
        <v>0</v>
      </c>
      <c r="I6455" s="18">
        <v>3.08</v>
      </c>
      <c r="J6455" s="27">
        <v>575.6</v>
      </c>
      <c r="K6455" s="18">
        <f t="shared" si="201"/>
        <v>0</v>
      </c>
      <c r="L6455" s="27">
        <v>39.53</v>
      </c>
      <c r="M6455" s="36">
        <v>36.450000000000003</v>
      </c>
      <c r="N6455" s="18" t="s">
        <v>123</v>
      </c>
      <c r="O6455" s="19">
        <v>-7.46</v>
      </c>
      <c r="T6455" s="41">
        <v>0</v>
      </c>
      <c r="U6455" s="41">
        <v>0</v>
      </c>
      <c r="V6455" s="42" t="s">
        <v>113</v>
      </c>
      <c r="W6455" s="42">
        <v>0</v>
      </c>
      <c r="X6455" s="42">
        <v>0</v>
      </c>
    </row>
    <row r="6456" spans="1:24">
      <c r="A6456" s="27" t="s">
        <v>11901</v>
      </c>
      <c r="B6456" s="28" t="s">
        <v>5102</v>
      </c>
      <c r="C6456" s="27" t="s">
        <v>11902</v>
      </c>
      <c r="D6456" s="27" t="s">
        <v>5104</v>
      </c>
      <c r="E6456" s="29">
        <v>43409</v>
      </c>
      <c r="F6456" s="27">
        <v>15</v>
      </c>
      <c r="G6456" s="18">
        <v>533.09</v>
      </c>
      <c r="H6456" s="27">
        <f t="shared" si="200"/>
        <v>0</v>
      </c>
      <c r="I6456" s="18">
        <v>2.81</v>
      </c>
      <c r="J6456" s="27">
        <v>575.6</v>
      </c>
      <c r="K6456" s="18">
        <f t="shared" si="201"/>
        <v>0</v>
      </c>
      <c r="L6456" s="27">
        <v>39.28</v>
      </c>
      <c r="M6456" s="36">
        <v>36.47</v>
      </c>
      <c r="N6456" s="18" t="s">
        <v>123</v>
      </c>
      <c r="O6456" s="19">
        <v>42.51</v>
      </c>
      <c r="T6456" s="41">
        <v>0</v>
      </c>
      <c r="U6456" s="41">
        <v>0</v>
      </c>
      <c r="V6456" s="42" t="s">
        <v>113</v>
      </c>
      <c r="W6456" s="42">
        <v>0</v>
      </c>
      <c r="X6456" s="42">
        <v>0</v>
      </c>
    </row>
    <row r="6457" spans="1:24">
      <c r="A6457" s="27" t="s">
        <v>11903</v>
      </c>
      <c r="B6457" s="28" t="s">
        <v>5102</v>
      </c>
      <c r="C6457" s="27" t="s">
        <v>11904</v>
      </c>
      <c r="D6457" s="27" t="s">
        <v>5104</v>
      </c>
      <c r="E6457" s="29">
        <v>43409</v>
      </c>
      <c r="F6457" s="27">
        <v>15</v>
      </c>
      <c r="G6457" s="18">
        <v>549.74</v>
      </c>
      <c r="H6457" s="27">
        <f t="shared" si="200"/>
        <v>0</v>
      </c>
      <c r="I6457" s="18">
        <v>2.9</v>
      </c>
      <c r="J6457" s="27">
        <v>575.6</v>
      </c>
      <c r="K6457" s="18">
        <f t="shared" si="201"/>
        <v>0</v>
      </c>
      <c r="L6457" s="27">
        <v>39.36</v>
      </c>
      <c r="M6457" s="36">
        <v>36.46</v>
      </c>
      <c r="N6457" s="18" t="s">
        <v>123</v>
      </c>
      <c r="O6457" s="19">
        <v>25.86</v>
      </c>
      <c r="T6457" s="41">
        <v>0</v>
      </c>
      <c r="U6457" s="41">
        <v>0</v>
      </c>
      <c r="V6457" s="42" t="s">
        <v>113</v>
      </c>
      <c r="W6457" s="42">
        <v>0</v>
      </c>
      <c r="X6457" s="42">
        <v>0</v>
      </c>
    </row>
    <row r="6458" spans="1:24">
      <c r="A6458" s="27" t="s">
        <v>11905</v>
      </c>
      <c r="B6458" s="28" t="s">
        <v>5102</v>
      </c>
      <c r="C6458" s="27" t="s">
        <v>11906</v>
      </c>
      <c r="D6458" s="27" t="s">
        <v>5104</v>
      </c>
      <c r="E6458" s="29">
        <v>43409</v>
      </c>
      <c r="F6458" s="27">
        <v>15</v>
      </c>
      <c r="G6458" s="18">
        <v>516.42999999999995</v>
      </c>
      <c r="H6458" s="27">
        <f t="shared" si="200"/>
        <v>0</v>
      </c>
      <c r="I6458" s="18">
        <v>2.73</v>
      </c>
      <c r="J6458" s="27">
        <v>575.6</v>
      </c>
      <c r="K6458" s="18">
        <f t="shared" si="201"/>
        <v>0</v>
      </c>
      <c r="L6458" s="27">
        <v>39.21</v>
      </c>
      <c r="M6458" s="36">
        <v>36.479999999999997</v>
      </c>
      <c r="N6458" s="18" t="s">
        <v>123</v>
      </c>
      <c r="O6458" s="19">
        <v>59.17</v>
      </c>
      <c r="T6458" s="41">
        <v>0</v>
      </c>
      <c r="U6458" s="41">
        <v>0</v>
      </c>
      <c r="V6458" s="42" t="s">
        <v>113</v>
      </c>
      <c r="W6458" s="42">
        <v>0</v>
      </c>
      <c r="X6458" s="42">
        <v>0</v>
      </c>
    </row>
    <row r="6459" spans="1:24">
      <c r="A6459" s="27" t="s">
        <v>11907</v>
      </c>
      <c r="B6459" s="28" t="s">
        <v>5102</v>
      </c>
      <c r="C6459" s="27" t="s">
        <v>11908</v>
      </c>
      <c r="D6459" s="27" t="s">
        <v>5104</v>
      </c>
      <c r="E6459" s="29">
        <v>43409</v>
      </c>
      <c r="F6459" s="27">
        <v>15</v>
      </c>
      <c r="G6459" s="18">
        <v>549.74</v>
      </c>
      <c r="H6459" s="27">
        <f t="shared" si="200"/>
        <v>0</v>
      </c>
      <c r="I6459" s="18">
        <v>2.9</v>
      </c>
      <c r="J6459" s="27">
        <v>575.6</v>
      </c>
      <c r="K6459" s="18">
        <f t="shared" si="201"/>
        <v>0</v>
      </c>
      <c r="L6459" s="27">
        <v>39.36</v>
      </c>
      <c r="M6459" s="36">
        <v>36.46</v>
      </c>
      <c r="N6459" s="18" t="s">
        <v>123</v>
      </c>
      <c r="O6459" s="19">
        <v>25.86</v>
      </c>
      <c r="T6459" s="41">
        <v>0</v>
      </c>
      <c r="U6459" s="41">
        <v>0</v>
      </c>
      <c r="V6459" s="42" t="s">
        <v>113</v>
      </c>
      <c r="W6459" s="42">
        <v>0</v>
      </c>
      <c r="X6459" s="42">
        <v>0</v>
      </c>
    </row>
    <row r="6460" spans="1:24">
      <c r="A6460" s="27" t="s">
        <v>11909</v>
      </c>
      <c r="B6460" s="28" t="s">
        <v>5102</v>
      </c>
      <c r="C6460" s="27" t="s">
        <v>11910</v>
      </c>
      <c r="D6460" s="27" t="s">
        <v>5104</v>
      </c>
      <c r="E6460" s="29">
        <v>43409</v>
      </c>
      <c r="F6460" s="27">
        <v>15</v>
      </c>
      <c r="G6460" s="18">
        <v>533.09</v>
      </c>
      <c r="H6460" s="27">
        <f t="shared" si="200"/>
        <v>0</v>
      </c>
      <c r="I6460" s="18">
        <v>2.81</v>
      </c>
      <c r="J6460" s="27">
        <v>575.6</v>
      </c>
      <c r="K6460" s="18">
        <f t="shared" si="201"/>
        <v>0</v>
      </c>
      <c r="L6460" s="27">
        <v>39.28</v>
      </c>
      <c r="M6460" s="36">
        <v>36.47</v>
      </c>
      <c r="N6460" s="18" t="s">
        <v>123</v>
      </c>
      <c r="O6460" s="19">
        <v>42.51</v>
      </c>
      <c r="T6460" s="41">
        <v>0</v>
      </c>
      <c r="U6460" s="41">
        <v>0</v>
      </c>
      <c r="V6460" s="42" t="s">
        <v>113</v>
      </c>
      <c r="W6460" s="42">
        <v>0</v>
      </c>
      <c r="X6460" s="42">
        <v>0</v>
      </c>
    </row>
    <row r="6461" spans="1:24">
      <c r="A6461" s="27" t="s">
        <v>11911</v>
      </c>
      <c r="B6461" s="28" t="s">
        <v>5102</v>
      </c>
      <c r="C6461" s="27" t="s">
        <v>11912</v>
      </c>
      <c r="D6461" s="27" t="s">
        <v>5104</v>
      </c>
      <c r="E6461" s="29">
        <v>43409</v>
      </c>
      <c r="F6461" s="27">
        <v>15</v>
      </c>
      <c r="G6461" s="18">
        <v>549.74</v>
      </c>
      <c r="H6461" s="27">
        <f t="shared" si="200"/>
        <v>0</v>
      </c>
      <c r="I6461" s="18">
        <v>2.9</v>
      </c>
      <c r="J6461" s="27">
        <v>575.6</v>
      </c>
      <c r="K6461" s="18">
        <f t="shared" si="201"/>
        <v>0</v>
      </c>
      <c r="L6461" s="27">
        <v>39.36</v>
      </c>
      <c r="M6461" s="36">
        <v>36.46</v>
      </c>
      <c r="N6461" s="18" t="s">
        <v>123</v>
      </c>
      <c r="O6461" s="19">
        <v>25.86</v>
      </c>
      <c r="T6461" s="41">
        <v>0</v>
      </c>
      <c r="U6461" s="41">
        <v>0</v>
      </c>
      <c r="V6461" s="42" t="s">
        <v>113</v>
      </c>
      <c r="W6461" s="42">
        <v>0</v>
      </c>
      <c r="X6461" s="42">
        <v>0</v>
      </c>
    </row>
    <row r="6462" spans="1:24">
      <c r="A6462" s="27" t="s">
        <v>11913</v>
      </c>
      <c r="B6462" s="28" t="s">
        <v>5102</v>
      </c>
      <c r="C6462" s="27" t="s">
        <v>11914</v>
      </c>
      <c r="D6462" s="27" t="s">
        <v>5104</v>
      </c>
      <c r="E6462" s="29">
        <v>43409</v>
      </c>
      <c r="F6462" s="27">
        <v>15</v>
      </c>
      <c r="G6462" s="18">
        <v>533.09</v>
      </c>
      <c r="H6462" s="27">
        <f t="shared" si="200"/>
        <v>0</v>
      </c>
      <c r="I6462" s="18">
        <v>2.81</v>
      </c>
      <c r="J6462" s="27">
        <v>575.6</v>
      </c>
      <c r="K6462" s="18">
        <f t="shared" si="201"/>
        <v>0</v>
      </c>
      <c r="L6462" s="27">
        <v>39.28</v>
      </c>
      <c r="M6462" s="36">
        <v>36.47</v>
      </c>
      <c r="N6462" s="18" t="s">
        <v>123</v>
      </c>
      <c r="O6462" s="19">
        <v>42.51</v>
      </c>
      <c r="T6462" s="41">
        <v>0</v>
      </c>
      <c r="U6462" s="41">
        <v>0</v>
      </c>
      <c r="V6462" s="42" t="s">
        <v>113</v>
      </c>
      <c r="W6462" s="42">
        <v>0</v>
      </c>
      <c r="X6462" s="42">
        <v>0</v>
      </c>
    </row>
    <row r="6463" spans="1:24">
      <c r="A6463" s="27" t="s">
        <v>11915</v>
      </c>
      <c r="B6463" s="28" t="s">
        <v>5102</v>
      </c>
      <c r="C6463" s="27" t="s">
        <v>11916</v>
      </c>
      <c r="D6463" s="27" t="s">
        <v>5104</v>
      </c>
      <c r="E6463" s="29">
        <v>43409</v>
      </c>
      <c r="F6463" s="27">
        <v>15</v>
      </c>
      <c r="G6463" s="18">
        <v>549.74</v>
      </c>
      <c r="H6463" s="27">
        <f t="shared" si="200"/>
        <v>0</v>
      </c>
      <c r="I6463" s="18">
        <v>2.9</v>
      </c>
      <c r="J6463" s="27">
        <v>575.6</v>
      </c>
      <c r="K6463" s="18">
        <f t="shared" si="201"/>
        <v>0</v>
      </c>
      <c r="L6463" s="27">
        <v>39.36</v>
      </c>
      <c r="M6463" s="36">
        <v>36.46</v>
      </c>
      <c r="N6463" s="18" t="s">
        <v>123</v>
      </c>
      <c r="O6463" s="19">
        <v>25.86</v>
      </c>
      <c r="T6463" s="41">
        <v>0</v>
      </c>
      <c r="U6463" s="41">
        <v>0</v>
      </c>
      <c r="V6463" s="42" t="s">
        <v>113</v>
      </c>
      <c r="W6463" s="42">
        <v>0</v>
      </c>
      <c r="X6463" s="42">
        <v>0</v>
      </c>
    </row>
    <row r="6464" spans="1:24">
      <c r="A6464" s="27" t="s">
        <v>11917</v>
      </c>
      <c r="B6464" s="28" t="s">
        <v>5102</v>
      </c>
      <c r="C6464" s="27" t="s">
        <v>11918</v>
      </c>
      <c r="D6464" s="27" t="s">
        <v>5104</v>
      </c>
      <c r="E6464" s="29">
        <v>43409</v>
      </c>
      <c r="F6464" s="27">
        <v>15</v>
      </c>
      <c r="G6464" s="18">
        <v>516.42999999999995</v>
      </c>
      <c r="H6464" s="27">
        <f t="shared" si="200"/>
        <v>0</v>
      </c>
      <c r="I6464" s="18">
        <v>2.73</v>
      </c>
      <c r="J6464" s="27">
        <v>575.6</v>
      </c>
      <c r="K6464" s="18">
        <f t="shared" si="201"/>
        <v>0</v>
      </c>
      <c r="L6464" s="27">
        <v>39.21</v>
      </c>
      <c r="M6464" s="36">
        <v>36.479999999999997</v>
      </c>
      <c r="N6464" s="18" t="s">
        <v>123</v>
      </c>
      <c r="O6464" s="19">
        <v>59.17</v>
      </c>
      <c r="T6464" s="41">
        <v>0</v>
      </c>
      <c r="U6464" s="41">
        <v>0</v>
      </c>
      <c r="V6464" s="42" t="s">
        <v>113</v>
      </c>
      <c r="W6464" s="42">
        <v>0</v>
      </c>
      <c r="X6464" s="42">
        <v>0</v>
      </c>
    </row>
    <row r="6465" spans="1:24">
      <c r="A6465" s="27" t="s">
        <v>11919</v>
      </c>
      <c r="B6465" s="28" t="s">
        <v>5102</v>
      </c>
      <c r="C6465" s="27" t="s">
        <v>11920</v>
      </c>
      <c r="D6465" s="27" t="s">
        <v>5104</v>
      </c>
      <c r="E6465" s="29">
        <v>43409</v>
      </c>
      <c r="F6465" s="27">
        <v>15</v>
      </c>
      <c r="G6465" s="18">
        <v>533.09</v>
      </c>
      <c r="H6465" s="27">
        <f t="shared" si="200"/>
        <v>0</v>
      </c>
      <c r="I6465" s="18">
        <v>2.81</v>
      </c>
      <c r="J6465" s="27">
        <v>575.6</v>
      </c>
      <c r="K6465" s="18">
        <f t="shared" si="201"/>
        <v>0</v>
      </c>
      <c r="L6465" s="27">
        <v>39.28</v>
      </c>
      <c r="M6465" s="36">
        <v>36.47</v>
      </c>
      <c r="N6465" s="18" t="s">
        <v>123</v>
      </c>
      <c r="O6465" s="19">
        <v>42.51</v>
      </c>
      <c r="T6465" s="41">
        <v>0</v>
      </c>
      <c r="U6465" s="41">
        <v>0</v>
      </c>
      <c r="V6465" s="42" t="s">
        <v>113</v>
      </c>
      <c r="W6465" s="42">
        <v>0</v>
      </c>
      <c r="X6465" s="42">
        <v>0</v>
      </c>
    </row>
    <row r="6466" spans="1:24">
      <c r="A6466" s="27" t="s">
        <v>11921</v>
      </c>
      <c r="B6466" s="28" t="s">
        <v>5102</v>
      </c>
      <c r="C6466" s="27" t="s">
        <v>11922</v>
      </c>
      <c r="D6466" s="27" t="s">
        <v>5104</v>
      </c>
      <c r="E6466" s="29">
        <v>43409</v>
      </c>
      <c r="F6466" s="27">
        <v>15</v>
      </c>
      <c r="G6466" s="18">
        <v>599.72</v>
      </c>
      <c r="H6466" s="27">
        <f t="shared" si="200"/>
        <v>0</v>
      </c>
      <c r="I6466" s="18">
        <v>3.17</v>
      </c>
      <c r="J6466" s="27">
        <v>575.6</v>
      </c>
      <c r="K6466" s="18">
        <f t="shared" si="201"/>
        <v>0</v>
      </c>
      <c r="L6466" s="27">
        <v>39.619999999999997</v>
      </c>
      <c r="M6466" s="36">
        <v>36.450000000000003</v>
      </c>
      <c r="N6466" s="18" t="s">
        <v>123</v>
      </c>
      <c r="O6466" s="19">
        <v>-24.12</v>
      </c>
      <c r="T6466" s="41">
        <v>0</v>
      </c>
      <c r="U6466" s="41">
        <v>0</v>
      </c>
      <c r="V6466" s="42" t="s">
        <v>113</v>
      </c>
      <c r="W6466" s="42">
        <v>0</v>
      </c>
      <c r="X6466" s="42">
        <v>0</v>
      </c>
    </row>
    <row r="6467" spans="1:24">
      <c r="A6467" s="27" t="s">
        <v>11923</v>
      </c>
      <c r="B6467" s="28" t="s">
        <v>5102</v>
      </c>
      <c r="C6467" s="27" t="s">
        <v>11924</v>
      </c>
      <c r="D6467" s="27" t="s">
        <v>5104</v>
      </c>
      <c r="E6467" s="29">
        <v>43409</v>
      </c>
      <c r="F6467" s="27">
        <v>15</v>
      </c>
      <c r="G6467" s="18">
        <v>516.42999999999995</v>
      </c>
      <c r="H6467" s="27">
        <f t="shared" si="200"/>
        <v>0</v>
      </c>
      <c r="I6467" s="18">
        <v>2.73</v>
      </c>
      <c r="J6467" s="27">
        <v>575.6</v>
      </c>
      <c r="K6467" s="18">
        <f t="shared" si="201"/>
        <v>0</v>
      </c>
      <c r="L6467" s="27">
        <v>39.21</v>
      </c>
      <c r="M6467" s="36">
        <v>36.479999999999997</v>
      </c>
      <c r="N6467" s="18" t="s">
        <v>123</v>
      </c>
      <c r="O6467" s="19">
        <v>59.17</v>
      </c>
      <c r="T6467" s="41">
        <v>0</v>
      </c>
      <c r="U6467" s="41">
        <v>0</v>
      </c>
      <c r="V6467" s="42" t="s">
        <v>113</v>
      </c>
      <c r="W6467" s="42">
        <v>0</v>
      </c>
      <c r="X6467" s="42">
        <v>0</v>
      </c>
    </row>
    <row r="6468" spans="1:24">
      <c r="A6468" s="27" t="s">
        <v>11925</v>
      </c>
      <c r="B6468" s="28" t="s">
        <v>5102</v>
      </c>
      <c r="C6468" s="27" t="s">
        <v>11926</v>
      </c>
      <c r="D6468" s="27" t="s">
        <v>5104</v>
      </c>
      <c r="E6468" s="29">
        <v>43409</v>
      </c>
      <c r="F6468" s="27">
        <v>15</v>
      </c>
      <c r="G6468" s="18">
        <v>533.09</v>
      </c>
      <c r="H6468" s="27">
        <f t="shared" si="200"/>
        <v>0</v>
      </c>
      <c r="I6468" s="18">
        <v>2.81</v>
      </c>
      <c r="J6468" s="27">
        <v>575.6</v>
      </c>
      <c r="K6468" s="18">
        <f t="shared" si="201"/>
        <v>0</v>
      </c>
      <c r="L6468" s="27">
        <v>39.28</v>
      </c>
      <c r="M6468" s="36">
        <v>36.47</v>
      </c>
      <c r="N6468" s="18" t="s">
        <v>123</v>
      </c>
      <c r="O6468" s="19">
        <v>42.51</v>
      </c>
      <c r="T6468" s="41">
        <v>0</v>
      </c>
      <c r="U6468" s="41">
        <v>0</v>
      </c>
      <c r="V6468" s="42" t="s">
        <v>113</v>
      </c>
      <c r="W6468" s="42">
        <v>0</v>
      </c>
      <c r="X6468" s="42">
        <v>0</v>
      </c>
    </row>
    <row r="6469" spans="1:24">
      <c r="A6469" s="27" t="s">
        <v>11927</v>
      </c>
      <c r="B6469" s="28" t="s">
        <v>5102</v>
      </c>
      <c r="C6469" s="27" t="s">
        <v>11928</v>
      </c>
      <c r="D6469" s="27" t="s">
        <v>5104</v>
      </c>
      <c r="E6469" s="29">
        <v>43409</v>
      </c>
      <c r="F6469" s="27">
        <v>15</v>
      </c>
      <c r="G6469" s="18">
        <v>649.70000000000005</v>
      </c>
      <c r="H6469" s="27">
        <f t="shared" si="200"/>
        <v>0</v>
      </c>
      <c r="I6469" s="18">
        <v>3.43</v>
      </c>
      <c r="J6469" s="27">
        <v>575.6</v>
      </c>
      <c r="K6469" s="18">
        <f t="shared" si="201"/>
        <v>0</v>
      </c>
      <c r="L6469" s="27">
        <v>39.86</v>
      </c>
      <c r="M6469" s="36">
        <v>36.43</v>
      </c>
      <c r="N6469" s="18" t="s">
        <v>123</v>
      </c>
      <c r="O6469" s="19">
        <v>-74.099999999999994</v>
      </c>
      <c r="T6469" s="41">
        <v>0</v>
      </c>
      <c r="U6469" s="41">
        <v>0</v>
      </c>
      <c r="V6469" s="42" t="s">
        <v>113</v>
      </c>
      <c r="W6469" s="42">
        <v>0</v>
      </c>
      <c r="X6469" s="42">
        <v>0</v>
      </c>
    </row>
    <row r="6470" spans="1:24">
      <c r="A6470" s="27" t="s">
        <v>11929</v>
      </c>
      <c r="B6470" s="28" t="s">
        <v>5102</v>
      </c>
      <c r="C6470" s="27" t="s">
        <v>11930</v>
      </c>
      <c r="D6470" s="27" t="s">
        <v>5104</v>
      </c>
      <c r="E6470" s="29">
        <v>43409</v>
      </c>
      <c r="F6470" s="27">
        <v>15</v>
      </c>
      <c r="G6470" s="18">
        <v>749.65</v>
      </c>
      <c r="H6470" s="27">
        <f t="shared" ref="H6470:H6533" si="202">IFERROR(IF(ROUND((G6470-I6470)/G6470,2)&lt;=0.05,G6470,0),0)</f>
        <v>0</v>
      </c>
      <c r="I6470" s="18">
        <v>3.96</v>
      </c>
      <c r="J6470" s="27">
        <v>11424.75</v>
      </c>
      <c r="K6470" s="18">
        <f t="shared" ref="K6470:K6533" si="203">IFERROR(IF(ROUND((J6470-L6470)/J6470,2)&lt;=0.05,J6470,0),0)</f>
        <v>0</v>
      </c>
      <c r="L6470" s="27">
        <v>731.3</v>
      </c>
      <c r="M6470" s="36">
        <v>727.34</v>
      </c>
      <c r="N6470" s="18" t="s">
        <v>123</v>
      </c>
      <c r="O6470" s="19">
        <v>10675.1</v>
      </c>
      <c r="T6470" s="41">
        <v>0</v>
      </c>
      <c r="U6470" s="41">
        <v>0</v>
      </c>
      <c r="V6470" s="42" t="s">
        <v>113</v>
      </c>
      <c r="W6470" s="42">
        <v>0</v>
      </c>
      <c r="X6470" s="42">
        <v>0</v>
      </c>
    </row>
    <row r="6471" spans="1:24">
      <c r="A6471" s="27" t="s">
        <v>11931</v>
      </c>
      <c r="B6471" s="28" t="s">
        <v>5102</v>
      </c>
      <c r="C6471" s="27" t="s">
        <v>11932</v>
      </c>
      <c r="D6471" s="27" t="s">
        <v>5104</v>
      </c>
      <c r="E6471" s="29">
        <v>43409</v>
      </c>
      <c r="F6471" s="27">
        <v>15</v>
      </c>
      <c r="G6471" s="18">
        <v>599.72</v>
      </c>
      <c r="H6471" s="27">
        <f t="shared" si="202"/>
        <v>0</v>
      </c>
      <c r="I6471" s="18">
        <v>3.17</v>
      </c>
      <c r="J6471" s="27">
        <v>11424.75</v>
      </c>
      <c r="K6471" s="18">
        <f t="shared" si="203"/>
        <v>0</v>
      </c>
      <c r="L6471" s="27">
        <v>730.57</v>
      </c>
      <c r="M6471" s="36">
        <v>727.4</v>
      </c>
      <c r="N6471" s="18" t="s">
        <v>123</v>
      </c>
      <c r="O6471" s="19">
        <v>10825.03</v>
      </c>
      <c r="T6471" s="41">
        <v>0</v>
      </c>
      <c r="U6471" s="41">
        <v>0</v>
      </c>
      <c r="V6471" s="42" t="s">
        <v>113</v>
      </c>
      <c r="W6471" s="42">
        <v>0</v>
      </c>
      <c r="X6471" s="42">
        <v>0</v>
      </c>
    </row>
    <row r="6472" spans="1:24">
      <c r="A6472" s="27" t="s">
        <v>11933</v>
      </c>
      <c r="B6472" s="28" t="s">
        <v>5102</v>
      </c>
      <c r="C6472" s="27" t="s">
        <v>11934</v>
      </c>
      <c r="D6472" s="27" t="s">
        <v>5104</v>
      </c>
      <c r="E6472" s="29">
        <v>43409</v>
      </c>
      <c r="F6472" s="27">
        <v>15</v>
      </c>
      <c r="G6472" s="18">
        <v>533.09</v>
      </c>
      <c r="H6472" s="27">
        <f t="shared" si="202"/>
        <v>0</v>
      </c>
      <c r="I6472" s="18">
        <v>2.81</v>
      </c>
      <c r="J6472" s="27">
        <v>11424.75</v>
      </c>
      <c r="K6472" s="18">
        <f t="shared" si="203"/>
        <v>0</v>
      </c>
      <c r="L6472" s="27">
        <v>730.23</v>
      </c>
      <c r="M6472" s="36">
        <v>727.42</v>
      </c>
      <c r="N6472" s="18" t="s">
        <v>123</v>
      </c>
      <c r="O6472" s="19">
        <v>10891.66</v>
      </c>
      <c r="T6472" s="41">
        <v>0</v>
      </c>
      <c r="U6472" s="41">
        <v>0</v>
      </c>
      <c r="V6472" s="42" t="s">
        <v>113</v>
      </c>
      <c r="W6472" s="42">
        <v>0</v>
      </c>
      <c r="X6472" s="42">
        <v>0</v>
      </c>
    </row>
    <row r="6473" spans="1:24">
      <c r="A6473" s="27" t="s">
        <v>11935</v>
      </c>
      <c r="B6473" s="28" t="s">
        <v>5102</v>
      </c>
      <c r="C6473" s="27" t="s">
        <v>11936</v>
      </c>
      <c r="D6473" s="27" t="s">
        <v>5104</v>
      </c>
      <c r="E6473" s="29">
        <v>43409</v>
      </c>
      <c r="F6473" s="27">
        <v>15</v>
      </c>
      <c r="G6473" s="18">
        <v>1782.5</v>
      </c>
      <c r="H6473" s="27">
        <f t="shared" si="202"/>
        <v>0</v>
      </c>
      <c r="I6473" s="18">
        <v>9.41</v>
      </c>
      <c r="J6473" s="27">
        <v>11424.75</v>
      </c>
      <c r="K6473" s="18">
        <f t="shared" si="203"/>
        <v>0</v>
      </c>
      <c r="L6473" s="27">
        <v>736.39</v>
      </c>
      <c r="M6473" s="36">
        <v>726.98</v>
      </c>
      <c r="N6473" s="18" t="s">
        <v>123</v>
      </c>
      <c r="O6473" s="19">
        <v>9642.25</v>
      </c>
      <c r="T6473" s="41">
        <v>0</v>
      </c>
      <c r="U6473" s="41">
        <v>0</v>
      </c>
      <c r="V6473" s="42" t="s">
        <v>113</v>
      </c>
      <c r="W6473" s="42">
        <v>0</v>
      </c>
      <c r="X6473" s="42">
        <v>0</v>
      </c>
    </row>
    <row r="6474" spans="1:24">
      <c r="A6474" s="27" t="s">
        <v>11937</v>
      </c>
      <c r="B6474" s="28" t="s">
        <v>5102</v>
      </c>
      <c r="C6474" s="27" t="s">
        <v>11938</v>
      </c>
      <c r="D6474" s="27" t="s">
        <v>5104</v>
      </c>
      <c r="E6474" s="29">
        <v>43409</v>
      </c>
      <c r="F6474" s="27">
        <v>15</v>
      </c>
      <c r="G6474" s="18">
        <v>1915.78</v>
      </c>
      <c r="H6474" s="27">
        <f t="shared" si="202"/>
        <v>0</v>
      </c>
      <c r="I6474" s="18">
        <v>10.11</v>
      </c>
      <c r="J6474" s="27">
        <v>11424.75</v>
      </c>
      <c r="K6474" s="18">
        <f t="shared" si="203"/>
        <v>0</v>
      </c>
      <c r="L6474" s="27">
        <v>737.04</v>
      </c>
      <c r="M6474" s="36">
        <v>726.93</v>
      </c>
      <c r="N6474" s="18" t="s">
        <v>123</v>
      </c>
      <c r="O6474" s="19">
        <v>9508.9699999999993</v>
      </c>
      <c r="T6474" s="41">
        <v>0</v>
      </c>
      <c r="U6474" s="41">
        <v>0</v>
      </c>
      <c r="V6474" s="42" t="s">
        <v>113</v>
      </c>
      <c r="W6474" s="42">
        <v>0</v>
      </c>
      <c r="X6474" s="42">
        <v>0</v>
      </c>
    </row>
    <row r="6475" spans="1:24">
      <c r="A6475" s="27" t="s">
        <v>11939</v>
      </c>
      <c r="B6475" s="28" t="s">
        <v>5102</v>
      </c>
      <c r="C6475" s="27" t="s">
        <v>11940</v>
      </c>
      <c r="D6475" s="27" t="s">
        <v>5104</v>
      </c>
      <c r="E6475" s="29">
        <v>43409</v>
      </c>
      <c r="F6475" s="27">
        <v>15</v>
      </c>
      <c r="G6475" s="18">
        <v>1049.51</v>
      </c>
      <c r="H6475" s="27">
        <f t="shared" si="202"/>
        <v>0</v>
      </c>
      <c r="I6475" s="18">
        <v>5.54</v>
      </c>
      <c r="J6475" s="27">
        <v>11424.75</v>
      </c>
      <c r="K6475" s="18">
        <f t="shared" si="203"/>
        <v>0</v>
      </c>
      <c r="L6475" s="27">
        <v>732.78</v>
      </c>
      <c r="M6475" s="36">
        <v>727.24</v>
      </c>
      <c r="N6475" s="18" t="s">
        <v>123</v>
      </c>
      <c r="O6475" s="19">
        <v>10375.24</v>
      </c>
      <c r="T6475" s="41">
        <v>0</v>
      </c>
      <c r="U6475" s="41">
        <v>0</v>
      </c>
      <c r="V6475" s="42" t="s">
        <v>113</v>
      </c>
      <c r="W6475" s="42">
        <v>0</v>
      </c>
      <c r="X6475" s="42">
        <v>0</v>
      </c>
    </row>
    <row r="6476" spans="1:24">
      <c r="A6476" s="27" t="s">
        <v>11941</v>
      </c>
      <c r="B6476" s="28" t="s">
        <v>5102</v>
      </c>
      <c r="C6476" s="27" t="s">
        <v>11942</v>
      </c>
      <c r="D6476" s="27" t="s">
        <v>5104</v>
      </c>
      <c r="E6476" s="29">
        <v>43409</v>
      </c>
      <c r="F6476" s="27">
        <v>15</v>
      </c>
      <c r="G6476" s="18">
        <v>782.97</v>
      </c>
      <c r="H6476" s="27">
        <f t="shared" si="202"/>
        <v>0</v>
      </c>
      <c r="I6476" s="18">
        <v>4.13</v>
      </c>
      <c r="J6476" s="27">
        <v>11424.75</v>
      </c>
      <c r="K6476" s="18">
        <f t="shared" si="203"/>
        <v>0</v>
      </c>
      <c r="L6476" s="27">
        <v>731.46</v>
      </c>
      <c r="M6476" s="36">
        <v>727.33</v>
      </c>
      <c r="N6476" s="18" t="s">
        <v>123</v>
      </c>
      <c r="O6476" s="19">
        <v>10641.78</v>
      </c>
      <c r="T6476" s="41">
        <v>0</v>
      </c>
      <c r="U6476" s="41">
        <v>0</v>
      </c>
      <c r="V6476" s="42" t="s">
        <v>113</v>
      </c>
      <c r="W6476" s="42">
        <v>0</v>
      </c>
      <c r="X6476" s="42">
        <v>0</v>
      </c>
    </row>
    <row r="6477" spans="1:24">
      <c r="A6477" s="27" t="s">
        <v>11943</v>
      </c>
      <c r="B6477" s="28" t="s">
        <v>5102</v>
      </c>
      <c r="C6477" s="27" t="s">
        <v>11944</v>
      </c>
      <c r="D6477" s="27" t="s">
        <v>5104</v>
      </c>
      <c r="E6477" s="29">
        <v>43409</v>
      </c>
      <c r="F6477" s="27">
        <v>15</v>
      </c>
      <c r="G6477" s="18">
        <v>566.4</v>
      </c>
      <c r="H6477" s="27">
        <f t="shared" si="202"/>
        <v>0</v>
      </c>
      <c r="I6477" s="18">
        <v>2.99</v>
      </c>
      <c r="J6477" s="27">
        <v>11424.75</v>
      </c>
      <c r="K6477" s="18">
        <f t="shared" si="203"/>
        <v>0</v>
      </c>
      <c r="L6477" s="27">
        <v>730.4</v>
      </c>
      <c r="M6477" s="36">
        <v>727.41</v>
      </c>
      <c r="N6477" s="18" t="s">
        <v>123</v>
      </c>
      <c r="O6477" s="19">
        <v>10858.35</v>
      </c>
      <c r="T6477" s="41">
        <v>0</v>
      </c>
      <c r="U6477" s="41">
        <v>0</v>
      </c>
      <c r="V6477" s="42" t="s">
        <v>113</v>
      </c>
      <c r="W6477" s="42">
        <v>0</v>
      </c>
      <c r="X6477" s="42">
        <v>0</v>
      </c>
    </row>
    <row r="6478" spans="1:24">
      <c r="A6478" s="27" t="s">
        <v>11945</v>
      </c>
      <c r="B6478" s="28" t="s">
        <v>5102</v>
      </c>
      <c r="C6478" s="27" t="s">
        <v>11946</v>
      </c>
      <c r="D6478" s="27" t="s">
        <v>5104</v>
      </c>
      <c r="E6478" s="29">
        <v>43409</v>
      </c>
      <c r="F6478" s="27">
        <v>15</v>
      </c>
      <c r="G6478" s="18">
        <v>533.09</v>
      </c>
      <c r="H6478" s="27">
        <f t="shared" si="202"/>
        <v>0</v>
      </c>
      <c r="I6478" s="18">
        <v>2.81</v>
      </c>
      <c r="J6478" s="27">
        <v>11424.75</v>
      </c>
      <c r="K6478" s="18">
        <f t="shared" si="203"/>
        <v>0</v>
      </c>
      <c r="L6478" s="27">
        <v>730.23</v>
      </c>
      <c r="M6478" s="36">
        <v>727.42</v>
      </c>
      <c r="N6478" s="18" t="s">
        <v>123</v>
      </c>
      <c r="O6478" s="19">
        <v>10891.66</v>
      </c>
      <c r="T6478" s="41">
        <v>0</v>
      </c>
      <c r="U6478" s="41">
        <v>0</v>
      </c>
      <c r="V6478" s="42" t="s">
        <v>113</v>
      </c>
      <c r="W6478" s="42">
        <v>0</v>
      </c>
      <c r="X6478" s="42">
        <v>0</v>
      </c>
    </row>
    <row r="6479" spans="1:24">
      <c r="A6479" s="27" t="s">
        <v>11947</v>
      </c>
      <c r="B6479" s="28" t="s">
        <v>5102</v>
      </c>
      <c r="C6479" s="27" t="s">
        <v>11948</v>
      </c>
      <c r="D6479" s="27" t="s">
        <v>5104</v>
      </c>
      <c r="E6479" s="29">
        <v>43409</v>
      </c>
      <c r="F6479" s="27">
        <v>15</v>
      </c>
      <c r="G6479" s="18">
        <v>1815.82</v>
      </c>
      <c r="H6479" s="27">
        <f t="shared" si="202"/>
        <v>0</v>
      </c>
      <c r="I6479" s="18">
        <v>9.58</v>
      </c>
      <c r="J6479" s="27">
        <v>11424.75</v>
      </c>
      <c r="K6479" s="18">
        <f t="shared" si="203"/>
        <v>0</v>
      </c>
      <c r="L6479" s="27">
        <v>736.55</v>
      </c>
      <c r="M6479" s="36">
        <v>726.97</v>
      </c>
      <c r="N6479" s="18" t="s">
        <v>123</v>
      </c>
      <c r="O6479" s="19">
        <v>9608.93</v>
      </c>
      <c r="T6479" s="41">
        <v>0</v>
      </c>
      <c r="U6479" s="41">
        <v>0</v>
      </c>
      <c r="V6479" s="42" t="s">
        <v>113</v>
      </c>
      <c r="W6479" s="42">
        <v>0</v>
      </c>
      <c r="X6479" s="42">
        <v>0</v>
      </c>
    </row>
    <row r="6480" spans="1:24">
      <c r="A6480" s="27" t="s">
        <v>11949</v>
      </c>
      <c r="B6480" s="28" t="s">
        <v>5102</v>
      </c>
      <c r="C6480" s="27" t="s">
        <v>11950</v>
      </c>
      <c r="D6480" s="27" t="s">
        <v>5104</v>
      </c>
      <c r="E6480" s="29">
        <v>43409</v>
      </c>
      <c r="F6480" s="27">
        <v>15</v>
      </c>
      <c r="G6480" s="18">
        <v>1332.71</v>
      </c>
      <c r="H6480" s="27">
        <f t="shared" si="202"/>
        <v>0</v>
      </c>
      <c r="I6480" s="18">
        <v>7.03</v>
      </c>
      <c r="J6480" s="27">
        <v>11424.75</v>
      </c>
      <c r="K6480" s="18">
        <f t="shared" si="203"/>
        <v>0</v>
      </c>
      <c r="L6480" s="27">
        <v>734.17</v>
      </c>
      <c r="M6480" s="36">
        <v>727.14</v>
      </c>
      <c r="N6480" s="18" t="s">
        <v>123</v>
      </c>
      <c r="O6480" s="19">
        <v>10092.040000000001</v>
      </c>
      <c r="T6480" s="41">
        <v>0</v>
      </c>
      <c r="U6480" s="41">
        <v>0</v>
      </c>
      <c r="V6480" s="42" t="s">
        <v>113</v>
      </c>
      <c r="W6480" s="42">
        <v>0</v>
      </c>
      <c r="X6480" s="42">
        <v>0</v>
      </c>
    </row>
    <row r="6481" spans="1:24">
      <c r="A6481" s="27" t="s">
        <v>11951</v>
      </c>
      <c r="B6481" s="28" t="s">
        <v>5102</v>
      </c>
      <c r="C6481" s="27" t="s">
        <v>11952</v>
      </c>
      <c r="D6481" s="27" t="s">
        <v>5104</v>
      </c>
      <c r="E6481" s="29">
        <v>43409</v>
      </c>
      <c r="F6481" s="27">
        <v>15</v>
      </c>
      <c r="G6481" s="18">
        <v>816.29</v>
      </c>
      <c r="H6481" s="27">
        <f t="shared" si="202"/>
        <v>0</v>
      </c>
      <c r="I6481" s="18">
        <v>4.3099999999999996</v>
      </c>
      <c r="J6481" s="27">
        <v>11424.75</v>
      </c>
      <c r="K6481" s="18">
        <f t="shared" si="203"/>
        <v>0</v>
      </c>
      <c r="L6481" s="27">
        <v>731.63</v>
      </c>
      <c r="M6481" s="36">
        <v>727.32</v>
      </c>
      <c r="N6481" s="18" t="s">
        <v>123</v>
      </c>
      <c r="O6481" s="19">
        <v>10608.46</v>
      </c>
      <c r="T6481" s="41">
        <v>0</v>
      </c>
      <c r="U6481" s="41">
        <v>0</v>
      </c>
      <c r="V6481" s="42" t="s">
        <v>113</v>
      </c>
      <c r="W6481" s="42">
        <v>0</v>
      </c>
      <c r="X6481" s="42">
        <v>0</v>
      </c>
    </row>
    <row r="6482" spans="1:24">
      <c r="A6482" s="27" t="s">
        <v>11953</v>
      </c>
      <c r="B6482" s="28" t="s">
        <v>5102</v>
      </c>
      <c r="C6482" s="27" t="s">
        <v>11954</v>
      </c>
      <c r="D6482" s="27" t="s">
        <v>5104</v>
      </c>
      <c r="E6482" s="29">
        <v>43409</v>
      </c>
      <c r="F6482" s="27">
        <v>15</v>
      </c>
      <c r="G6482" s="18">
        <v>583.05999999999995</v>
      </c>
      <c r="H6482" s="27">
        <f t="shared" si="202"/>
        <v>0</v>
      </c>
      <c r="I6482" s="18">
        <v>3.08</v>
      </c>
      <c r="J6482" s="27">
        <v>1360.5</v>
      </c>
      <c r="K6482" s="18">
        <f t="shared" si="203"/>
        <v>0</v>
      </c>
      <c r="L6482" s="27">
        <v>89.52</v>
      </c>
      <c r="M6482" s="36">
        <v>86.44</v>
      </c>
      <c r="N6482" s="18" t="s">
        <v>123</v>
      </c>
      <c r="O6482" s="19">
        <v>777.44</v>
      </c>
      <c r="T6482" s="41">
        <v>0</v>
      </c>
      <c r="U6482" s="41">
        <v>0</v>
      </c>
      <c r="V6482" s="42" t="s">
        <v>113</v>
      </c>
      <c r="W6482" s="42">
        <v>0</v>
      </c>
      <c r="X6482" s="42">
        <v>0</v>
      </c>
    </row>
    <row r="6483" spans="1:24">
      <c r="A6483" s="27" t="s">
        <v>11955</v>
      </c>
      <c r="B6483" s="28" t="s">
        <v>5102</v>
      </c>
      <c r="C6483" s="27" t="s">
        <v>11956</v>
      </c>
      <c r="D6483" s="27" t="s">
        <v>5104</v>
      </c>
      <c r="E6483" s="29">
        <v>43409</v>
      </c>
      <c r="F6483" s="27">
        <v>15</v>
      </c>
      <c r="G6483" s="18">
        <v>649.70000000000005</v>
      </c>
      <c r="H6483" s="27">
        <f t="shared" si="202"/>
        <v>0</v>
      </c>
      <c r="I6483" s="18">
        <v>3.43</v>
      </c>
      <c r="J6483" s="27">
        <v>1360.5</v>
      </c>
      <c r="K6483" s="18">
        <f t="shared" si="203"/>
        <v>0</v>
      </c>
      <c r="L6483" s="27">
        <v>89.85</v>
      </c>
      <c r="M6483" s="36">
        <v>86.42</v>
      </c>
      <c r="N6483" s="18" t="s">
        <v>123</v>
      </c>
      <c r="O6483" s="19">
        <v>710.8</v>
      </c>
      <c r="T6483" s="41">
        <v>0</v>
      </c>
      <c r="U6483" s="41">
        <v>0</v>
      </c>
      <c r="V6483" s="42" t="s">
        <v>113</v>
      </c>
      <c r="W6483" s="42">
        <v>0</v>
      </c>
      <c r="X6483" s="42">
        <v>0</v>
      </c>
    </row>
    <row r="6484" spans="1:24">
      <c r="A6484" s="27" t="s">
        <v>11957</v>
      </c>
      <c r="B6484" s="28" t="s">
        <v>5102</v>
      </c>
      <c r="C6484" s="27" t="s">
        <v>11958</v>
      </c>
      <c r="D6484" s="27" t="s">
        <v>5104</v>
      </c>
      <c r="E6484" s="29">
        <v>43409</v>
      </c>
      <c r="F6484" s="27">
        <v>15</v>
      </c>
      <c r="G6484" s="18">
        <v>782.97</v>
      </c>
      <c r="H6484" s="27">
        <f t="shared" si="202"/>
        <v>0</v>
      </c>
      <c r="I6484" s="18">
        <v>4.13</v>
      </c>
      <c r="J6484" s="27">
        <v>1360.5</v>
      </c>
      <c r="K6484" s="18">
        <f t="shared" si="203"/>
        <v>0</v>
      </c>
      <c r="L6484" s="27">
        <v>90.5</v>
      </c>
      <c r="M6484" s="36">
        <v>86.37</v>
      </c>
      <c r="N6484" s="18" t="s">
        <v>123</v>
      </c>
      <c r="O6484" s="19">
        <v>577.53</v>
      </c>
      <c r="T6484" s="41">
        <v>0</v>
      </c>
      <c r="U6484" s="41">
        <v>0</v>
      </c>
      <c r="V6484" s="42" t="s">
        <v>113</v>
      </c>
      <c r="W6484" s="42">
        <v>0</v>
      </c>
      <c r="X6484" s="42">
        <v>0</v>
      </c>
    </row>
    <row r="6485" spans="1:24">
      <c r="A6485" s="27" t="s">
        <v>11959</v>
      </c>
      <c r="B6485" s="28" t="s">
        <v>5102</v>
      </c>
      <c r="C6485" s="27" t="s">
        <v>11960</v>
      </c>
      <c r="D6485" s="27" t="s">
        <v>5104</v>
      </c>
      <c r="E6485" s="29">
        <v>43409</v>
      </c>
      <c r="F6485" s="27">
        <v>15</v>
      </c>
      <c r="G6485" s="18">
        <v>616.38</v>
      </c>
      <c r="H6485" s="27">
        <f t="shared" si="202"/>
        <v>0</v>
      </c>
      <c r="I6485" s="18">
        <v>3.25</v>
      </c>
      <c r="J6485" s="27">
        <v>1360.5</v>
      </c>
      <c r="K6485" s="18">
        <f t="shared" si="203"/>
        <v>0</v>
      </c>
      <c r="L6485" s="27">
        <v>89.68</v>
      </c>
      <c r="M6485" s="36">
        <v>86.43</v>
      </c>
      <c r="N6485" s="18" t="s">
        <v>123</v>
      </c>
      <c r="O6485" s="19">
        <v>744.12</v>
      </c>
      <c r="T6485" s="41">
        <v>0</v>
      </c>
      <c r="U6485" s="41">
        <v>0</v>
      </c>
      <c r="V6485" s="42" t="s">
        <v>113</v>
      </c>
      <c r="W6485" s="42">
        <v>0</v>
      </c>
      <c r="X6485" s="42">
        <v>0</v>
      </c>
    </row>
    <row r="6486" spans="1:24">
      <c r="A6486" s="27" t="s">
        <v>11961</v>
      </c>
      <c r="B6486" s="28" t="s">
        <v>5102</v>
      </c>
      <c r="C6486" s="27" t="s">
        <v>11962</v>
      </c>
      <c r="D6486" s="27" t="s">
        <v>5104</v>
      </c>
      <c r="E6486" s="29">
        <v>43409</v>
      </c>
      <c r="F6486" s="27">
        <v>15</v>
      </c>
      <c r="G6486" s="18">
        <v>949.56</v>
      </c>
      <c r="H6486" s="27">
        <f t="shared" si="202"/>
        <v>0</v>
      </c>
      <c r="I6486" s="18">
        <v>5.01</v>
      </c>
      <c r="J6486" s="27">
        <v>1360.5</v>
      </c>
      <c r="K6486" s="18">
        <f t="shared" si="203"/>
        <v>0</v>
      </c>
      <c r="L6486" s="27">
        <v>91.32</v>
      </c>
      <c r="M6486" s="36">
        <v>86.31</v>
      </c>
      <c r="N6486" s="18" t="s">
        <v>123</v>
      </c>
      <c r="O6486" s="19">
        <v>410.94</v>
      </c>
      <c r="T6486" s="41">
        <v>0</v>
      </c>
      <c r="U6486" s="41">
        <v>0</v>
      </c>
      <c r="V6486" s="42" t="s">
        <v>113</v>
      </c>
      <c r="W6486" s="42">
        <v>0</v>
      </c>
      <c r="X6486" s="42">
        <v>0</v>
      </c>
    </row>
    <row r="6487" spans="1:24">
      <c r="A6487" s="27" t="s">
        <v>11963</v>
      </c>
      <c r="B6487" s="28" t="s">
        <v>5102</v>
      </c>
      <c r="C6487" s="27" t="s">
        <v>11964</v>
      </c>
      <c r="D6487" s="27" t="s">
        <v>5104</v>
      </c>
      <c r="E6487" s="29">
        <v>43409</v>
      </c>
      <c r="F6487" s="27">
        <v>15</v>
      </c>
      <c r="G6487" s="18">
        <v>666.36</v>
      </c>
      <c r="H6487" s="27">
        <f t="shared" si="202"/>
        <v>0</v>
      </c>
      <c r="I6487" s="18">
        <v>3.52</v>
      </c>
      <c r="J6487" s="27">
        <v>1360.5</v>
      </c>
      <c r="K6487" s="18">
        <f t="shared" si="203"/>
        <v>0</v>
      </c>
      <c r="L6487" s="27">
        <v>89.93</v>
      </c>
      <c r="M6487" s="36">
        <v>86.41</v>
      </c>
      <c r="N6487" s="18" t="s">
        <v>123</v>
      </c>
      <c r="O6487" s="19">
        <v>694.14</v>
      </c>
      <c r="T6487" s="41">
        <v>0</v>
      </c>
      <c r="U6487" s="41">
        <v>0</v>
      </c>
      <c r="V6487" s="42" t="s">
        <v>113</v>
      </c>
      <c r="W6487" s="42">
        <v>0</v>
      </c>
      <c r="X6487" s="42">
        <v>0</v>
      </c>
    </row>
    <row r="6488" spans="1:24">
      <c r="A6488" s="27" t="s">
        <v>11965</v>
      </c>
      <c r="B6488" s="28" t="s">
        <v>5102</v>
      </c>
      <c r="C6488" s="27" t="s">
        <v>11966</v>
      </c>
      <c r="D6488" s="27" t="s">
        <v>5104</v>
      </c>
      <c r="E6488" s="29">
        <v>43409</v>
      </c>
      <c r="F6488" s="27">
        <v>15</v>
      </c>
      <c r="G6488" s="18">
        <v>583.05999999999995</v>
      </c>
      <c r="H6488" s="27">
        <f t="shared" si="202"/>
        <v>0</v>
      </c>
      <c r="I6488" s="18">
        <v>3.08</v>
      </c>
      <c r="J6488" s="27">
        <v>1360.5</v>
      </c>
      <c r="K6488" s="18">
        <f t="shared" si="203"/>
        <v>0</v>
      </c>
      <c r="L6488" s="27">
        <v>89.52</v>
      </c>
      <c r="M6488" s="36">
        <v>86.44</v>
      </c>
      <c r="N6488" s="18" t="s">
        <v>123</v>
      </c>
      <c r="O6488" s="19">
        <v>777.44</v>
      </c>
      <c r="T6488" s="41">
        <v>0</v>
      </c>
      <c r="U6488" s="41">
        <v>0</v>
      </c>
      <c r="V6488" s="42" t="s">
        <v>113</v>
      </c>
      <c r="W6488" s="42">
        <v>0</v>
      </c>
      <c r="X6488" s="42">
        <v>0</v>
      </c>
    </row>
    <row r="6489" spans="1:24">
      <c r="A6489" s="27" t="s">
        <v>11967</v>
      </c>
      <c r="B6489" s="28" t="s">
        <v>5102</v>
      </c>
      <c r="C6489" s="27" t="s">
        <v>11968</v>
      </c>
      <c r="D6489" s="27" t="s">
        <v>5104</v>
      </c>
      <c r="E6489" s="29">
        <v>43409</v>
      </c>
      <c r="F6489" s="27">
        <v>15</v>
      </c>
      <c r="G6489" s="18">
        <v>932.9</v>
      </c>
      <c r="H6489" s="27">
        <f t="shared" si="202"/>
        <v>0</v>
      </c>
      <c r="I6489" s="18">
        <v>4.92</v>
      </c>
      <c r="J6489" s="27">
        <v>1360.5</v>
      </c>
      <c r="K6489" s="18">
        <f t="shared" si="203"/>
        <v>0</v>
      </c>
      <c r="L6489" s="27">
        <v>91.24</v>
      </c>
      <c r="M6489" s="36">
        <v>86.32</v>
      </c>
      <c r="N6489" s="18" t="s">
        <v>123</v>
      </c>
      <c r="O6489" s="19">
        <v>427.6</v>
      </c>
      <c r="T6489" s="41">
        <v>0</v>
      </c>
      <c r="U6489" s="41">
        <v>0</v>
      </c>
      <c r="V6489" s="42" t="s">
        <v>113</v>
      </c>
      <c r="W6489" s="42">
        <v>0</v>
      </c>
      <c r="X6489" s="42">
        <v>0</v>
      </c>
    </row>
    <row r="6490" spans="1:24">
      <c r="A6490" s="27" t="s">
        <v>11969</v>
      </c>
      <c r="B6490" s="28" t="s">
        <v>5102</v>
      </c>
      <c r="C6490" s="27" t="s">
        <v>11970</v>
      </c>
      <c r="D6490" s="27" t="s">
        <v>5104</v>
      </c>
      <c r="E6490" s="29">
        <v>43409</v>
      </c>
      <c r="F6490" s="27">
        <v>15</v>
      </c>
      <c r="G6490" s="18">
        <v>583.05999999999995</v>
      </c>
      <c r="H6490" s="27">
        <f t="shared" si="202"/>
        <v>0</v>
      </c>
      <c r="I6490" s="18">
        <v>3.08</v>
      </c>
      <c r="J6490" s="27">
        <v>1360.5</v>
      </c>
      <c r="K6490" s="18">
        <f t="shared" si="203"/>
        <v>0</v>
      </c>
      <c r="L6490" s="27">
        <v>89.52</v>
      </c>
      <c r="M6490" s="36">
        <v>86.44</v>
      </c>
      <c r="N6490" s="18" t="s">
        <v>123</v>
      </c>
      <c r="O6490" s="19">
        <v>777.44</v>
      </c>
      <c r="T6490" s="41">
        <v>0</v>
      </c>
      <c r="U6490" s="41">
        <v>0</v>
      </c>
      <c r="V6490" s="42" t="s">
        <v>113</v>
      </c>
      <c r="W6490" s="42">
        <v>0</v>
      </c>
      <c r="X6490" s="42">
        <v>0</v>
      </c>
    </row>
    <row r="6491" spans="1:24">
      <c r="A6491" s="27" t="s">
        <v>11971</v>
      </c>
      <c r="B6491" s="28" t="s">
        <v>5102</v>
      </c>
      <c r="C6491" s="27" t="s">
        <v>11972</v>
      </c>
      <c r="D6491" s="27" t="s">
        <v>5104</v>
      </c>
      <c r="E6491" s="29">
        <v>43409</v>
      </c>
      <c r="F6491" s="27">
        <v>15</v>
      </c>
      <c r="G6491" s="18">
        <v>916.24</v>
      </c>
      <c r="H6491" s="27">
        <f t="shared" si="202"/>
        <v>0</v>
      </c>
      <c r="I6491" s="18">
        <v>4.84</v>
      </c>
      <c r="J6491" s="27">
        <v>1360.5</v>
      </c>
      <c r="K6491" s="18">
        <f t="shared" si="203"/>
        <v>0</v>
      </c>
      <c r="L6491" s="27">
        <v>91.16</v>
      </c>
      <c r="M6491" s="36">
        <v>86.32</v>
      </c>
      <c r="N6491" s="18" t="s">
        <v>123</v>
      </c>
      <c r="O6491" s="19">
        <v>444.26</v>
      </c>
      <c r="T6491" s="41">
        <v>0</v>
      </c>
      <c r="U6491" s="41">
        <v>0</v>
      </c>
      <c r="V6491" s="42" t="s">
        <v>113</v>
      </c>
      <c r="W6491" s="42">
        <v>0</v>
      </c>
      <c r="X6491" s="42">
        <v>0</v>
      </c>
    </row>
    <row r="6492" spans="1:24">
      <c r="A6492" s="27" t="s">
        <v>11973</v>
      </c>
      <c r="B6492" s="28" t="s">
        <v>5102</v>
      </c>
      <c r="C6492" s="27" t="s">
        <v>11974</v>
      </c>
      <c r="D6492" s="27" t="s">
        <v>5104</v>
      </c>
      <c r="E6492" s="29">
        <v>43409</v>
      </c>
      <c r="F6492" s="27">
        <v>15</v>
      </c>
      <c r="G6492" s="18">
        <v>999.54</v>
      </c>
      <c r="H6492" s="27">
        <f t="shared" si="202"/>
        <v>0</v>
      </c>
      <c r="I6492" s="18">
        <v>5.28</v>
      </c>
      <c r="J6492" s="27">
        <v>1360.5</v>
      </c>
      <c r="K6492" s="18">
        <f t="shared" si="203"/>
        <v>0</v>
      </c>
      <c r="L6492" s="27">
        <v>91.57</v>
      </c>
      <c r="M6492" s="36">
        <v>86.29</v>
      </c>
      <c r="N6492" s="18" t="s">
        <v>123</v>
      </c>
      <c r="O6492" s="19">
        <v>360.96</v>
      </c>
      <c r="T6492" s="41">
        <v>0</v>
      </c>
      <c r="U6492" s="41">
        <v>0</v>
      </c>
      <c r="V6492" s="42" t="s">
        <v>113</v>
      </c>
      <c r="W6492" s="42">
        <v>0</v>
      </c>
      <c r="X6492" s="42">
        <v>0</v>
      </c>
    </row>
    <row r="6493" spans="1:24">
      <c r="A6493" s="27" t="s">
        <v>11975</v>
      </c>
      <c r="B6493" s="28" t="s">
        <v>5102</v>
      </c>
      <c r="C6493" s="27" t="s">
        <v>11976</v>
      </c>
      <c r="D6493" s="27" t="s">
        <v>5104</v>
      </c>
      <c r="E6493" s="29">
        <v>43409</v>
      </c>
      <c r="F6493" s="27">
        <v>15</v>
      </c>
      <c r="G6493" s="18">
        <v>716.33</v>
      </c>
      <c r="H6493" s="27">
        <f t="shared" si="202"/>
        <v>0</v>
      </c>
      <c r="I6493" s="18">
        <v>3.78</v>
      </c>
      <c r="J6493" s="27">
        <v>1360.5</v>
      </c>
      <c r="K6493" s="18">
        <f t="shared" si="203"/>
        <v>0</v>
      </c>
      <c r="L6493" s="27">
        <v>90.17</v>
      </c>
      <c r="M6493" s="36">
        <v>86.39</v>
      </c>
      <c r="N6493" s="18" t="s">
        <v>123</v>
      </c>
      <c r="O6493" s="19">
        <v>644.16999999999996</v>
      </c>
      <c r="T6493" s="41">
        <v>0</v>
      </c>
      <c r="U6493" s="41">
        <v>0</v>
      </c>
      <c r="V6493" s="42" t="s">
        <v>113</v>
      </c>
      <c r="W6493" s="42">
        <v>0</v>
      </c>
      <c r="X6493" s="42">
        <v>0</v>
      </c>
    </row>
    <row r="6494" spans="1:24">
      <c r="A6494" s="27" t="s">
        <v>11977</v>
      </c>
      <c r="B6494" s="28" t="s">
        <v>5102</v>
      </c>
      <c r="C6494" s="27" t="s">
        <v>11978</v>
      </c>
      <c r="D6494" s="27" t="s">
        <v>5104</v>
      </c>
      <c r="E6494" s="29">
        <v>43409</v>
      </c>
      <c r="F6494" s="27">
        <v>15</v>
      </c>
      <c r="G6494" s="18">
        <v>649.70000000000005</v>
      </c>
      <c r="H6494" s="27">
        <f t="shared" si="202"/>
        <v>0</v>
      </c>
      <c r="I6494" s="18">
        <v>3.43</v>
      </c>
      <c r="J6494" s="27">
        <v>1360.5</v>
      </c>
      <c r="K6494" s="18">
        <f t="shared" si="203"/>
        <v>0</v>
      </c>
      <c r="L6494" s="27">
        <v>89.85</v>
      </c>
      <c r="M6494" s="36">
        <v>86.42</v>
      </c>
      <c r="N6494" s="18" t="s">
        <v>123</v>
      </c>
      <c r="O6494" s="19">
        <v>710.8</v>
      </c>
      <c r="T6494" s="41">
        <v>0</v>
      </c>
      <c r="U6494" s="41">
        <v>0</v>
      </c>
      <c r="V6494" s="42" t="s">
        <v>113</v>
      </c>
      <c r="W6494" s="42">
        <v>0</v>
      </c>
      <c r="X6494" s="42">
        <v>0</v>
      </c>
    </row>
    <row r="6495" spans="1:24">
      <c r="A6495" s="27" t="s">
        <v>11979</v>
      </c>
      <c r="B6495" s="28" t="s">
        <v>5102</v>
      </c>
      <c r="C6495" s="27" t="s">
        <v>11980</v>
      </c>
      <c r="D6495" s="27" t="s">
        <v>5104</v>
      </c>
      <c r="E6495" s="29">
        <v>43409</v>
      </c>
      <c r="F6495" s="27">
        <v>15</v>
      </c>
      <c r="G6495" s="18">
        <v>666.36</v>
      </c>
      <c r="H6495" s="27">
        <f t="shared" si="202"/>
        <v>0</v>
      </c>
      <c r="I6495" s="18">
        <v>3.52</v>
      </c>
      <c r="J6495" s="27">
        <v>1360.5</v>
      </c>
      <c r="K6495" s="18">
        <f t="shared" si="203"/>
        <v>0</v>
      </c>
      <c r="L6495" s="27">
        <v>89.93</v>
      </c>
      <c r="M6495" s="36">
        <v>86.41</v>
      </c>
      <c r="N6495" s="18" t="s">
        <v>123</v>
      </c>
      <c r="O6495" s="19">
        <v>694.14</v>
      </c>
      <c r="T6495" s="41">
        <v>0</v>
      </c>
      <c r="U6495" s="41">
        <v>0</v>
      </c>
      <c r="V6495" s="42" t="s">
        <v>113</v>
      </c>
      <c r="W6495" s="42">
        <v>0</v>
      </c>
      <c r="X6495" s="42">
        <v>0</v>
      </c>
    </row>
    <row r="6496" spans="1:24">
      <c r="A6496" s="27" t="s">
        <v>11981</v>
      </c>
      <c r="B6496" s="28" t="s">
        <v>5102</v>
      </c>
      <c r="C6496" s="27" t="s">
        <v>11982</v>
      </c>
      <c r="D6496" s="27" t="s">
        <v>5104</v>
      </c>
      <c r="E6496" s="29">
        <v>43409</v>
      </c>
      <c r="F6496" s="27">
        <v>15</v>
      </c>
      <c r="G6496" s="18">
        <v>732.99</v>
      </c>
      <c r="H6496" s="27">
        <f t="shared" si="202"/>
        <v>0</v>
      </c>
      <c r="I6496" s="18">
        <v>3.87</v>
      </c>
      <c r="J6496" s="27">
        <v>1360.5</v>
      </c>
      <c r="K6496" s="18">
        <f t="shared" si="203"/>
        <v>0</v>
      </c>
      <c r="L6496" s="27">
        <v>90.26</v>
      </c>
      <c r="M6496" s="36">
        <v>86.39</v>
      </c>
      <c r="N6496" s="18" t="s">
        <v>123</v>
      </c>
      <c r="O6496" s="19">
        <v>627.51</v>
      </c>
      <c r="T6496" s="41">
        <v>0</v>
      </c>
      <c r="U6496" s="41">
        <v>0</v>
      </c>
      <c r="V6496" s="42" t="s">
        <v>113</v>
      </c>
      <c r="W6496" s="42">
        <v>0</v>
      </c>
      <c r="X6496" s="42">
        <v>0</v>
      </c>
    </row>
    <row r="6497" spans="1:24">
      <c r="A6497" s="27" t="s">
        <v>11983</v>
      </c>
      <c r="B6497" s="28" t="s">
        <v>5102</v>
      </c>
      <c r="C6497" s="27" t="s">
        <v>11984</v>
      </c>
      <c r="D6497" s="27" t="s">
        <v>5104</v>
      </c>
      <c r="E6497" s="29">
        <v>43409</v>
      </c>
      <c r="F6497" s="27">
        <v>15</v>
      </c>
      <c r="G6497" s="18">
        <v>9745.4699999999993</v>
      </c>
      <c r="H6497" s="27">
        <f t="shared" si="202"/>
        <v>0</v>
      </c>
      <c r="I6497" s="18">
        <v>51.43</v>
      </c>
      <c r="J6497" s="27">
        <v>1360.5</v>
      </c>
      <c r="K6497" s="18">
        <f t="shared" si="203"/>
        <v>0</v>
      </c>
      <c r="L6497" s="27">
        <v>134.63</v>
      </c>
      <c r="M6497" s="36">
        <v>83.2</v>
      </c>
      <c r="N6497" s="18" t="s">
        <v>123</v>
      </c>
      <c r="O6497" s="19">
        <v>-8384.9699999999993</v>
      </c>
      <c r="T6497" s="41">
        <v>0</v>
      </c>
      <c r="U6497" s="41">
        <v>0</v>
      </c>
      <c r="V6497" s="42" t="s">
        <v>113</v>
      </c>
      <c r="W6497" s="42">
        <v>0</v>
      </c>
      <c r="X6497" s="42">
        <v>0</v>
      </c>
    </row>
    <row r="6498" spans="1:24">
      <c r="A6498" s="27" t="s">
        <v>11985</v>
      </c>
      <c r="B6498" s="28" t="s">
        <v>5102</v>
      </c>
      <c r="C6498" s="27" t="s">
        <v>11986</v>
      </c>
      <c r="D6498" s="27" t="s">
        <v>5104</v>
      </c>
      <c r="E6498" s="29">
        <v>43409</v>
      </c>
      <c r="F6498" s="27">
        <v>15</v>
      </c>
      <c r="G6498" s="18">
        <v>666.36</v>
      </c>
      <c r="H6498" s="27">
        <f t="shared" si="202"/>
        <v>0</v>
      </c>
      <c r="I6498" s="18">
        <v>3.52</v>
      </c>
      <c r="J6498" s="27">
        <v>1360.5</v>
      </c>
      <c r="K6498" s="18">
        <f t="shared" si="203"/>
        <v>0</v>
      </c>
      <c r="L6498" s="27">
        <v>89.93</v>
      </c>
      <c r="M6498" s="36">
        <v>86.41</v>
      </c>
      <c r="N6498" s="18" t="s">
        <v>123</v>
      </c>
      <c r="O6498" s="19">
        <v>694.14</v>
      </c>
      <c r="T6498" s="41">
        <v>0</v>
      </c>
      <c r="U6498" s="41">
        <v>0</v>
      </c>
      <c r="V6498" s="42" t="s">
        <v>113</v>
      </c>
      <c r="W6498" s="42">
        <v>0</v>
      </c>
      <c r="X6498" s="42">
        <v>0</v>
      </c>
    </row>
    <row r="6499" spans="1:24">
      <c r="A6499" s="27" t="s">
        <v>11987</v>
      </c>
      <c r="B6499" s="28" t="s">
        <v>5102</v>
      </c>
      <c r="C6499" s="27" t="s">
        <v>11988</v>
      </c>
      <c r="D6499" s="27" t="s">
        <v>5104</v>
      </c>
      <c r="E6499" s="29">
        <v>43409</v>
      </c>
      <c r="F6499" s="27">
        <v>15</v>
      </c>
      <c r="G6499" s="18">
        <v>583.05999999999995</v>
      </c>
      <c r="H6499" s="27">
        <f t="shared" si="202"/>
        <v>0</v>
      </c>
      <c r="I6499" s="18">
        <v>3.08</v>
      </c>
      <c r="J6499" s="27">
        <v>1360.5</v>
      </c>
      <c r="K6499" s="18">
        <f t="shared" si="203"/>
        <v>0</v>
      </c>
      <c r="L6499" s="27">
        <v>89.52</v>
      </c>
      <c r="M6499" s="36">
        <v>86.44</v>
      </c>
      <c r="N6499" s="18" t="s">
        <v>123</v>
      </c>
      <c r="O6499" s="19">
        <v>777.44</v>
      </c>
      <c r="T6499" s="41">
        <v>0</v>
      </c>
      <c r="U6499" s="41">
        <v>0</v>
      </c>
      <c r="V6499" s="42" t="s">
        <v>113</v>
      </c>
      <c r="W6499" s="42">
        <v>0</v>
      </c>
      <c r="X6499" s="42">
        <v>0</v>
      </c>
    </row>
    <row r="6500" spans="1:24">
      <c r="A6500" s="27" t="s">
        <v>11989</v>
      </c>
      <c r="B6500" s="28" t="s">
        <v>5102</v>
      </c>
      <c r="C6500" s="27" t="s">
        <v>11990</v>
      </c>
      <c r="D6500" s="27" t="s">
        <v>5104</v>
      </c>
      <c r="E6500" s="29">
        <v>43637</v>
      </c>
      <c r="F6500" s="27">
        <v>15</v>
      </c>
      <c r="G6500" s="18">
        <v>0</v>
      </c>
      <c r="H6500" s="27">
        <f t="shared" si="202"/>
        <v>0</v>
      </c>
      <c r="I6500" s="18">
        <v>0</v>
      </c>
      <c r="J6500" s="27">
        <v>145940.9</v>
      </c>
      <c r="K6500" s="18">
        <f t="shared" si="203"/>
        <v>0</v>
      </c>
      <c r="L6500" s="27">
        <v>4621.46</v>
      </c>
      <c r="M6500" s="36">
        <v>4621.46</v>
      </c>
      <c r="N6500" s="18" t="s">
        <v>123</v>
      </c>
      <c r="O6500" s="19">
        <v>145940.9</v>
      </c>
      <c r="T6500" s="41">
        <v>0</v>
      </c>
      <c r="U6500" s="41">
        <v>0</v>
      </c>
      <c r="V6500" s="42" t="s">
        <v>113</v>
      </c>
      <c r="W6500" s="42">
        <v>0</v>
      </c>
      <c r="X6500" s="42">
        <v>0</v>
      </c>
    </row>
    <row r="6501" spans="1:24">
      <c r="A6501" s="27" t="s">
        <v>11991</v>
      </c>
      <c r="B6501" s="28" t="s">
        <v>5102</v>
      </c>
      <c r="C6501" s="27" t="s">
        <v>11990</v>
      </c>
      <c r="D6501" s="27" t="s">
        <v>5104</v>
      </c>
      <c r="E6501" s="29">
        <v>43637</v>
      </c>
      <c r="F6501" s="27">
        <v>15</v>
      </c>
      <c r="G6501" s="18">
        <v>0</v>
      </c>
      <c r="H6501" s="27">
        <f t="shared" si="202"/>
        <v>0</v>
      </c>
      <c r="I6501" s="18">
        <v>0</v>
      </c>
      <c r="J6501" s="27">
        <v>2280.33</v>
      </c>
      <c r="K6501" s="18">
        <f t="shared" si="203"/>
        <v>0</v>
      </c>
      <c r="L6501" s="27">
        <v>72.209999999999994</v>
      </c>
      <c r="M6501" s="36">
        <v>72.209999999999994</v>
      </c>
      <c r="N6501" s="18" t="s">
        <v>123</v>
      </c>
      <c r="O6501" s="19">
        <v>2280.33</v>
      </c>
      <c r="T6501" s="41">
        <v>0</v>
      </c>
      <c r="U6501" s="41">
        <v>0</v>
      </c>
      <c r="V6501" s="42" t="s">
        <v>113</v>
      </c>
      <c r="W6501" s="42">
        <v>0</v>
      </c>
      <c r="X6501" s="42">
        <v>0</v>
      </c>
    </row>
    <row r="6502" spans="1:24">
      <c r="A6502" s="27" t="s">
        <v>11992</v>
      </c>
      <c r="B6502" s="28" t="s">
        <v>5102</v>
      </c>
      <c r="C6502" s="27" t="s">
        <v>11993</v>
      </c>
      <c r="D6502" s="27" t="s">
        <v>5104</v>
      </c>
      <c r="E6502" s="29">
        <v>43637</v>
      </c>
      <c r="F6502" s="27">
        <v>15</v>
      </c>
      <c r="G6502" s="18">
        <v>0</v>
      </c>
      <c r="H6502" s="27">
        <f t="shared" si="202"/>
        <v>0</v>
      </c>
      <c r="I6502" s="18">
        <v>0</v>
      </c>
      <c r="J6502" s="27">
        <v>6384.91</v>
      </c>
      <c r="K6502" s="18">
        <f t="shared" si="203"/>
        <v>0</v>
      </c>
      <c r="L6502" s="27">
        <v>202.19</v>
      </c>
      <c r="M6502" s="36">
        <v>202.19</v>
      </c>
      <c r="N6502" s="18" t="s">
        <v>123</v>
      </c>
      <c r="O6502" s="19">
        <v>6384.91</v>
      </c>
      <c r="T6502" s="41">
        <v>0</v>
      </c>
      <c r="U6502" s="41">
        <v>0</v>
      </c>
      <c r="V6502" s="42" t="s">
        <v>113</v>
      </c>
      <c r="W6502" s="42">
        <v>0</v>
      </c>
      <c r="X6502" s="42">
        <v>0</v>
      </c>
    </row>
    <row r="6503" spans="1:24">
      <c r="A6503" s="27" t="s">
        <v>11994</v>
      </c>
      <c r="B6503" s="28" t="s">
        <v>5102</v>
      </c>
      <c r="C6503" s="27" t="s">
        <v>11993</v>
      </c>
      <c r="D6503" s="27" t="s">
        <v>5104</v>
      </c>
      <c r="E6503" s="29">
        <v>43637</v>
      </c>
      <c r="F6503" s="27">
        <v>15</v>
      </c>
      <c r="G6503" s="18">
        <v>0</v>
      </c>
      <c r="H6503" s="27">
        <f t="shared" si="202"/>
        <v>0</v>
      </c>
      <c r="I6503" s="18">
        <v>0</v>
      </c>
      <c r="J6503" s="27">
        <v>138279.01</v>
      </c>
      <c r="K6503" s="18">
        <f t="shared" si="203"/>
        <v>0</v>
      </c>
      <c r="L6503" s="27">
        <v>4378.84</v>
      </c>
      <c r="M6503" s="36">
        <v>4378.84</v>
      </c>
      <c r="N6503" s="18" t="s">
        <v>123</v>
      </c>
      <c r="O6503" s="19">
        <v>138279.01</v>
      </c>
      <c r="T6503" s="41">
        <v>0</v>
      </c>
      <c r="U6503" s="41">
        <v>0</v>
      </c>
      <c r="V6503" s="42" t="s">
        <v>113</v>
      </c>
      <c r="W6503" s="42">
        <v>0</v>
      </c>
      <c r="X6503" s="42">
        <v>0</v>
      </c>
    </row>
    <row r="6504" spans="1:24">
      <c r="A6504" s="27" t="s">
        <v>11995</v>
      </c>
      <c r="B6504" s="28" t="s">
        <v>5102</v>
      </c>
      <c r="C6504" s="27" t="s">
        <v>11993</v>
      </c>
      <c r="D6504" s="27" t="s">
        <v>5104</v>
      </c>
      <c r="E6504" s="29">
        <v>43637</v>
      </c>
      <c r="F6504" s="27">
        <v>15</v>
      </c>
      <c r="G6504" s="18">
        <v>0</v>
      </c>
      <c r="H6504" s="27">
        <f t="shared" si="202"/>
        <v>0</v>
      </c>
      <c r="I6504" s="18">
        <v>0</v>
      </c>
      <c r="J6504" s="27">
        <v>195560.81</v>
      </c>
      <c r="K6504" s="18">
        <f t="shared" si="203"/>
        <v>0</v>
      </c>
      <c r="L6504" s="27">
        <v>6192.76</v>
      </c>
      <c r="M6504" s="36">
        <v>6192.76</v>
      </c>
      <c r="N6504" s="18" t="s">
        <v>123</v>
      </c>
      <c r="O6504" s="19">
        <v>195560.81</v>
      </c>
      <c r="T6504" s="41">
        <v>0</v>
      </c>
      <c r="U6504" s="41">
        <v>0</v>
      </c>
      <c r="V6504" s="42" t="s">
        <v>113</v>
      </c>
      <c r="W6504" s="42">
        <v>0</v>
      </c>
      <c r="X6504" s="42">
        <v>0</v>
      </c>
    </row>
    <row r="6505" spans="1:24">
      <c r="A6505" s="27" t="s">
        <v>11996</v>
      </c>
      <c r="B6505" s="28" t="s">
        <v>5102</v>
      </c>
      <c r="C6505" s="27" t="s">
        <v>11997</v>
      </c>
      <c r="D6505" s="27" t="s">
        <v>5104</v>
      </c>
      <c r="E6505" s="29">
        <v>43637</v>
      </c>
      <c r="F6505" s="27">
        <v>15</v>
      </c>
      <c r="G6505" s="18">
        <v>0</v>
      </c>
      <c r="H6505" s="27">
        <f t="shared" si="202"/>
        <v>0</v>
      </c>
      <c r="I6505" s="18">
        <v>0</v>
      </c>
      <c r="J6505" s="27">
        <v>44694.400000000001</v>
      </c>
      <c r="K6505" s="18">
        <f t="shared" si="203"/>
        <v>0</v>
      </c>
      <c r="L6505" s="27">
        <v>1415.32</v>
      </c>
      <c r="M6505" s="36">
        <v>1415.32</v>
      </c>
      <c r="N6505" s="18" t="s">
        <v>123</v>
      </c>
      <c r="O6505" s="19">
        <v>44694.400000000001</v>
      </c>
      <c r="T6505" s="41">
        <v>0</v>
      </c>
      <c r="U6505" s="41">
        <v>0</v>
      </c>
      <c r="V6505" s="42" t="s">
        <v>113</v>
      </c>
      <c r="W6505" s="42">
        <v>0</v>
      </c>
      <c r="X6505" s="42">
        <v>0</v>
      </c>
    </row>
    <row r="6506" spans="1:24">
      <c r="A6506" s="27" t="s">
        <v>11998</v>
      </c>
      <c r="B6506" s="28" t="s">
        <v>5102</v>
      </c>
      <c r="C6506" s="27" t="s">
        <v>11997</v>
      </c>
      <c r="D6506" s="27" t="s">
        <v>5104</v>
      </c>
      <c r="E6506" s="29">
        <v>43637</v>
      </c>
      <c r="F6506" s="27">
        <v>15</v>
      </c>
      <c r="G6506" s="18">
        <v>0</v>
      </c>
      <c r="H6506" s="27">
        <f t="shared" si="202"/>
        <v>0</v>
      </c>
      <c r="I6506" s="18">
        <v>0</v>
      </c>
      <c r="J6506" s="27">
        <v>59470.92</v>
      </c>
      <c r="K6506" s="18">
        <f t="shared" si="203"/>
        <v>0</v>
      </c>
      <c r="L6506" s="27">
        <v>1883.25</v>
      </c>
      <c r="M6506" s="36">
        <v>1883.25</v>
      </c>
      <c r="N6506" s="18" t="s">
        <v>123</v>
      </c>
      <c r="O6506" s="19">
        <v>59470.92</v>
      </c>
      <c r="T6506" s="41">
        <v>0</v>
      </c>
      <c r="U6506" s="41">
        <v>0</v>
      </c>
      <c r="V6506" s="42" t="s">
        <v>113</v>
      </c>
      <c r="W6506" s="42">
        <v>0</v>
      </c>
      <c r="X6506" s="42">
        <v>0</v>
      </c>
    </row>
    <row r="6507" spans="1:24">
      <c r="A6507" s="27" t="s">
        <v>11999</v>
      </c>
      <c r="B6507" s="28" t="s">
        <v>5102</v>
      </c>
      <c r="C6507" s="27" t="s">
        <v>12000</v>
      </c>
      <c r="D6507" s="27" t="s">
        <v>5104</v>
      </c>
      <c r="E6507" s="29">
        <v>43637</v>
      </c>
      <c r="F6507" s="27">
        <v>15</v>
      </c>
      <c r="G6507" s="18">
        <v>0</v>
      </c>
      <c r="H6507" s="27">
        <f t="shared" si="202"/>
        <v>0</v>
      </c>
      <c r="I6507" s="18">
        <v>0</v>
      </c>
      <c r="J6507" s="27">
        <v>25995.73</v>
      </c>
      <c r="K6507" s="18">
        <f t="shared" si="203"/>
        <v>0</v>
      </c>
      <c r="L6507" s="27">
        <v>823.2</v>
      </c>
      <c r="M6507" s="36">
        <v>823.2</v>
      </c>
      <c r="N6507" s="18" t="s">
        <v>123</v>
      </c>
      <c r="O6507" s="19">
        <v>25995.73</v>
      </c>
      <c r="T6507" s="41">
        <v>0</v>
      </c>
      <c r="U6507" s="41">
        <v>0</v>
      </c>
      <c r="V6507" s="42" t="s">
        <v>113</v>
      </c>
      <c r="W6507" s="42">
        <v>0</v>
      </c>
      <c r="X6507" s="42">
        <v>0</v>
      </c>
    </row>
    <row r="6508" spans="1:24">
      <c r="A6508" s="27" t="s">
        <v>12001</v>
      </c>
      <c r="B6508" s="28" t="s">
        <v>5102</v>
      </c>
      <c r="C6508" s="27" t="s">
        <v>12000</v>
      </c>
      <c r="D6508" s="27" t="s">
        <v>5104</v>
      </c>
      <c r="E6508" s="29">
        <v>43637</v>
      </c>
      <c r="F6508" s="27">
        <v>15</v>
      </c>
      <c r="G6508" s="18">
        <v>0</v>
      </c>
      <c r="H6508" s="27">
        <f t="shared" si="202"/>
        <v>0</v>
      </c>
      <c r="I6508" s="18">
        <v>0</v>
      </c>
      <c r="J6508" s="27">
        <v>47065.94</v>
      </c>
      <c r="K6508" s="18">
        <f t="shared" si="203"/>
        <v>0</v>
      </c>
      <c r="L6508" s="27">
        <v>1490.42</v>
      </c>
      <c r="M6508" s="36">
        <v>1490.42</v>
      </c>
      <c r="N6508" s="18" t="s">
        <v>123</v>
      </c>
      <c r="O6508" s="19">
        <v>47065.94</v>
      </c>
      <c r="T6508" s="41">
        <v>0</v>
      </c>
      <c r="U6508" s="41">
        <v>0</v>
      </c>
      <c r="V6508" s="42" t="s">
        <v>113</v>
      </c>
      <c r="W6508" s="42">
        <v>0</v>
      </c>
      <c r="X6508" s="42">
        <v>0</v>
      </c>
    </row>
    <row r="6509" spans="1:24">
      <c r="A6509" s="27" t="s">
        <v>12002</v>
      </c>
      <c r="B6509" s="28" t="s">
        <v>5102</v>
      </c>
      <c r="C6509" s="27" t="s">
        <v>12000</v>
      </c>
      <c r="D6509" s="27" t="s">
        <v>5104</v>
      </c>
      <c r="E6509" s="29">
        <v>43637</v>
      </c>
      <c r="F6509" s="27">
        <v>15</v>
      </c>
      <c r="G6509" s="18">
        <v>0</v>
      </c>
      <c r="H6509" s="27">
        <f t="shared" si="202"/>
        <v>0</v>
      </c>
      <c r="I6509" s="18">
        <v>0</v>
      </c>
      <c r="J6509" s="27">
        <v>87473.33</v>
      </c>
      <c r="K6509" s="18">
        <f t="shared" si="203"/>
        <v>0</v>
      </c>
      <c r="L6509" s="27">
        <v>2769.99</v>
      </c>
      <c r="M6509" s="36">
        <v>2769.99</v>
      </c>
      <c r="N6509" s="18" t="s">
        <v>123</v>
      </c>
      <c r="O6509" s="19">
        <v>87473.33</v>
      </c>
      <c r="T6509" s="41">
        <v>0</v>
      </c>
      <c r="U6509" s="41">
        <v>0</v>
      </c>
      <c r="V6509" s="42" t="s">
        <v>113</v>
      </c>
      <c r="W6509" s="42">
        <v>0</v>
      </c>
      <c r="X6509" s="42">
        <v>0</v>
      </c>
    </row>
    <row r="6510" spans="1:24">
      <c r="A6510" s="27" t="s">
        <v>12003</v>
      </c>
      <c r="B6510" s="28" t="s">
        <v>5102</v>
      </c>
      <c r="C6510" s="27" t="s">
        <v>12004</v>
      </c>
      <c r="D6510" s="27" t="s">
        <v>5104</v>
      </c>
      <c r="E6510" s="29">
        <v>43637</v>
      </c>
      <c r="F6510" s="27">
        <v>15</v>
      </c>
      <c r="G6510" s="18">
        <v>0</v>
      </c>
      <c r="H6510" s="27">
        <f t="shared" si="202"/>
        <v>0</v>
      </c>
      <c r="I6510" s="18">
        <v>0</v>
      </c>
      <c r="J6510" s="27">
        <v>46792.3</v>
      </c>
      <c r="K6510" s="18">
        <f t="shared" si="203"/>
        <v>0</v>
      </c>
      <c r="L6510" s="27">
        <v>1481.76</v>
      </c>
      <c r="M6510" s="36">
        <v>1481.76</v>
      </c>
      <c r="N6510" s="18" t="s">
        <v>123</v>
      </c>
      <c r="O6510" s="19">
        <v>46792.3</v>
      </c>
      <c r="T6510" s="41">
        <v>0</v>
      </c>
      <c r="U6510" s="41">
        <v>0</v>
      </c>
      <c r="V6510" s="42" t="s">
        <v>113</v>
      </c>
      <c r="W6510" s="42">
        <v>0</v>
      </c>
      <c r="X6510" s="42">
        <v>0</v>
      </c>
    </row>
    <row r="6511" spans="1:24">
      <c r="A6511" s="27" t="s">
        <v>12005</v>
      </c>
      <c r="B6511" s="28" t="s">
        <v>5102</v>
      </c>
      <c r="C6511" s="27" t="s">
        <v>12004</v>
      </c>
      <c r="D6511" s="27" t="s">
        <v>5104</v>
      </c>
      <c r="E6511" s="29">
        <v>43637</v>
      </c>
      <c r="F6511" s="27">
        <v>15</v>
      </c>
      <c r="G6511" s="18">
        <v>0</v>
      </c>
      <c r="H6511" s="27">
        <f t="shared" si="202"/>
        <v>0</v>
      </c>
      <c r="I6511" s="18">
        <v>0</v>
      </c>
      <c r="J6511" s="27">
        <v>39130.410000000003</v>
      </c>
      <c r="K6511" s="18">
        <f t="shared" si="203"/>
        <v>0</v>
      </c>
      <c r="L6511" s="27">
        <v>1239.1300000000001</v>
      </c>
      <c r="M6511" s="36">
        <v>1239.1300000000001</v>
      </c>
      <c r="N6511" s="18" t="s">
        <v>123</v>
      </c>
      <c r="O6511" s="19">
        <v>39130.410000000003</v>
      </c>
      <c r="T6511" s="41">
        <v>0</v>
      </c>
      <c r="U6511" s="41">
        <v>0</v>
      </c>
      <c r="V6511" s="42" t="s">
        <v>113</v>
      </c>
      <c r="W6511" s="42">
        <v>0</v>
      </c>
      <c r="X6511" s="42">
        <v>0</v>
      </c>
    </row>
    <row r="6512" spans="1:24">
      <c r="A6512" s="27" t="s">
        <v>12006</v>
      </c>
      <c r="B6512" s="28" t="s">
        <v>5102</v>
      </c>
      <c r="C6512" s="27" t="s">
        <v>12007</v>
      </c>
      <c r="D6512" s="27" t="s">
        <v>5104</v>
      </c>
      <c r="E6512" s="29">
        <v>43637</v>
      </c>
      <c r="F6512" s="27">
        <v>15</v>
      </c>
      <c r="G6512" s="18">
        <v>0</v>
      </c>
      <c r="H6512" s="27">
        <f t="shared" si="202"/>
        <v>0</v>
      </c>
      <c r="I6512" s="18">
        <v>0</v>
      </c>
      <c r="J6512" s="27">
        <v>14958.95</v>
      </c>
      <c r="K6512" s="18">
        <f t="shared" si="203"/>
        <v>0</v>
      </c>
      <c r="L6512" s="27">
        <v>473.7</v>
      </c>
      <c r="M6512" s="36">
        <v>473.7</v>
      </c>
      <c r="N6512" s="18" t="s">
        <v>123</v>
      </c>
      <c r="O6512" s="19">
        <v>14958.95</v>
      </c>
      <c r="T6512" s="41">
        <v>0</v>
      </c>
      <c r="U6512" s="41">
        <v>0</v>
      </c>
      <c r="V6512" s="42" t="s">
        <v>113</v>
      </c>
      <c r="W6512" s="42">
        <v>0</v>
      </c>
      <c r="X6512" s="42">
        <v>0</v>
      </c>
    </row>
    <row r="6513" spans="1:24">
      <c r="A6513" s="27" t="s">
        <v>12008</v>
      </c>
      <c r="B6513" s="28" t="s">
        <v>5102</v>
      </c>
      <c r="C6513" s="27" t="s">
        <v>12007</v>
      </c>
      <c r="D6513" s="27" t="s">
        <v>5104</v>
      </c>
      <c r="E6513" s="29">
        <v>43637</v>
      </c>
      <c r="F6513" s="27">
        <v>15</v>
      </c>
      <c r="G6513" s="18">
        <v>0</v>
      </c>
      <c r="H6513" s="27">
        <f t="shared" si="202"/>
        <v>0</v>
      </c>
      <c r="I6513" s="18">
        <v>0</v>
      </c>
      <c r="J6513" s="27">
        <v>64670.07</v>
      </c>
      <c r="K6513" s="18">
        <f t="shared" si="203"/>
        <v>0</v>
      </c>
      <c r="L6513" s="27">
        <v>2047.89</v>
      </c>
      <c r="M6513" s="36">
        <v>2047.89</v>
      </c>
      <c r="N6513" s="18" t="s">
        <v>123</v>
      </c>
      <c r="O6513" s="19">
        <v>64670.07</v>
      </c>
      <c r="T6513" s="41">
        <v>0</v>
      </c>
      <c r="U6513" s="41">
        <v>0</v>
      </c>
      <c r="V6513" s="42" t="s">
        <v>113</v>
      </c>
      <c r="W6513" s="42">
        <v>0</v>
      </c>
      <c r="X6513" s="42">
        <v>0</v>
      </c>
    </row>
    <row r="6514" spans="1:24">
      <c r="A6514" s="27" t="s">
        <v>12009</v>
      </c>
      <c r="B6514" s="28" t="s">
        <v>5102</v>
      </c>
      <c r="C6514" s="27" t="s">
        <v>12010</v>
      </c>
      <c r="D6514" s="27" t="s">
        <v>5104</v>
      </c>
      <c r="E6514" s="29">
        <v>43637</v>
      </c>
      <c r="F6514" s="27">
        <v>15</v>
      </c>
      <c r="G6514" s="18">
        <v>0</v>
      </c>
      <c r="H6514" s="27">
        <f t="shared" si="202"/>
        <v>0</v>
      </c>
      <c r="I6514" s="18">
        <v>0</v>
      </c>
      <c r="J6514" s="27">
        <v>63849.15</v>
      </c>
      <c r="K6514" s="18">
        <f t="shared" si="203"/>
        <v>0</v>
      </c>
      <c r="L6514" s="27">
        <v>2021.89</v>
      </c>
      <c r="M6514" s="36">
        <v>2021.89</v>
      </c>
      <c r="N6514" s="18" t="s">
        <v>123</v>
      </c>
      <c r="O6514" s="19">
        <v>63849.15</v>
      </c>
      <c r="T6514" s="41">
        <v>0</v>
      </c>
      <c r="U6514" s="41">
        <v>0</v>
      </c>
      <c r="V6514" s="42" t="s">
        <v>113</v>
      </c>
      <c r="W6514" s="42">
        <v>0</v>
      </c>
      <c r="X6514" s="42">
        <v>0</v>
      </c>
    </row>
    <row r="6515" spans="1:24">
      <c r="A6515" s="27" t="s">
        <v>12011</v>
      </c>
      <c r="B6515" s="28" t="s">
        <v>5102</v>
      </c>
      <c r="C6515" s="27" t="s">
        <v>12010</v>
      </c>
      <c r="D6515" s="27" t="s">
        <v>5104</v>
      </c>
      <c r="E6515" s="29">
        <v>43637</v>
      </c>
      <c r="F6515" s="27">
        <v>15</v>
      </c>
      <c r="G6515" s="18">
        <v>0</v>
      </c>
      <c r="H6515" s="27">
        <f t="shared" si="202"/>
        <v>0</v>
      </c>
      <c r="I6515" s="18">
        <v>0</v>
      </c>
      <c r="J6515" s="27">
        <v>44968.04</v>
      </c>
      <c r="K6515" s="18">
        <f t="shared" si="203"/>
        <v>0</v>
      </c>
      <c r="L6515" s="27">
        <v>1423.99</v>
      </c>
      <c r="M6515" s="36">
        <v>1423.99</v>
      </c>
      <c r="N6515" s="18" t="s">
        <v>123</v>
      </c>
      <c r="O6515" s="19">
        <v>44968.04</v>
      </c>
      <c r="T6515" s="41">
        <v>0</v>
      </c>
      <c r="U6515" s="41">
        <v>0</v>
      </c>
      <c r="V6515" s="42" t="s">
        <v>113</v>
      </c>
      <c r="W6515" s="42">
        <v>0</v>
      </c>
      <c r="X6515" s="42">
        <v>0</v>
      </c>
    </row>
    <row r="6516" spans="1:24">
      <c r="A6516" s="27" t="s">
        <v>12012</v>
      </c>
      <c r="B6516" s="28" t="s">
        <v>5102</v>
      </c>
      <c r="C6516" s="27" t="s">
        <v>12007</v>
      </c>
      <c r="D6516" s="27" t="s">
        <v>5104</v>
      </c>
      <c r="E6516" s="29">
        <v>43637</v>
      </c>
      <c r="F6516" s="27">
        <v>15</v>
      </c>
      <c r="G6516" s="18">
        <v>0</v>
      </c>
      <c r="H6516" s="27">
        <f t="shared" si="202"/>
        <v>0</v>
      </c>
      <c r="I6516" s="18">
        <v>0</v>
      </c>
      <c r="J6516" s="27">
        <v>37214.93</v>
      </c>
      <c r="K6516" s="18">
        <f t="shared" si="203"/>
        <v>0</v>
      </c>
      <c r="L6516" s="27">
        <v>1178.47</v>
      </c>
      <c r="M6516" s="36">
        <v>1178.47</v>
      </c>
      <c r="N6516" s="18" t="s">
        <v>123</v>
      </c>
      <c r="O6516" s="19">
        <v>37214.93</v>
      </c>
      <c r="T6516" s="41">
        <v>0</v>
      </c>
      <c r="U6516" s="41">
        <v>0</v>
      </c>
      <c r="V6516" s="42" t="s">
        <v>113</v>
      </c>
      <c r="W6516" s="42">
        <v>0</v>
      </c>
      <c r="X6516" s="42">
        <v>0</v>
      </c>
    </row>
    <row r="6517" spans="1:24">
      <c r="A6517" s="27" t="s">
        <v>12013</v>
      </c>
      <c r="B6517" s="28" t="s">
        <v>5102</v>
      </c>
      <c r="C6517" s="27" t="s">
        <v>12010</v>
      </c>
      <c r="D6517" s="27" t="s">
        <v>5104</v>
      </c>
      <c r="E6517" s="29">
        <v>43637</v>
      </c>
      <c r="F6517" s="27">
        <v>15</v>
      </c>
      <c r="G6517" s="18">
        <v>0</v>
      </c>
      <c r="H6517" s="27">
        <f t="shared" si="202"/>
        <v>0</v>
      </c>
      <c r="I6517" s="18">
        <v>0</v>
      </c>
      <c r="J6517" s="27">
        <v>55457.54</v>
      </c>
      <c r="K6517" s="18">
        <f t="shared" si="203"/>
        <v>0</v>
      </c>
      <c r="L6517" s="27">
        <v>1756.16</v>
      </c>
      <c r="M6517" s="36">
        <v>1756.16</v>
      </c>
      <c r="N6517" s="18" t="s">
        <v>123</v>
      </c>
      <c r="O6517" s="19">
        <v>55457.54</v>
      </c>
      <c r="T6517" s="41">
        <v>0</v>
      </c>
      <c r="U6517" s="41">
        <v>0</v>
      </c>
      <c r="V6517" s="42" t="s">
        <v>113</v>
      </c>
      <c r="W6517" s="42">
        <v>0</v>
      </c>
      <c r="X6517" s="42">
        <v>0</v>
      </c>
    </row>
    <row r="6518" spans="1:24">
      <c r="A6518" s="27" t="s">
        <v>12014</v>
      </c>
      <c r="B6518" s="28" t="s">
        <v>5102</v>
      </c>
      <c r="C6518" s="27" t="s">
        <v>12010</v>
      </c>
      <c r="D6518" s="27" t="s">
        <v>5104</v>
      </c>
      <c r="E6518" s="29">
        <v>43637</v>
      </c>
      <c r="F6518" s="27">
        <v>15</v>
      </c>
      <c r="G6518" s="18">
        <v>0</v>
      </c>
      <c r="H6518" s="27">
        <f t="shared" si="202"/>
        <v>0</v>
      </c>
      <c r="I6518" s="18">
        <v>0</v>
      </c>
      <c r="J6518" s="27">
        <v>64487.64</v>
      </c>
      <c r="K6518" s="18">
        <f t="shared" si="203"/>
        <v>0</v>
      </c>
      <c r="L6518" s="27">
        <v>2042.11</v>
      </c>
      <c r="M6518" s="36">
        <v>2042.11</v>
      </c>
      <c r="N6518" s="18" t="s">
        <v>123</v>
      </c>
      <c r="O6518" s="19">
        <v>64487.64</v>
      </c>
      <c r="T6518" s="41">
        <v>0</v>
      </c>
      <c r="U6518" s="41">
        <v>0</v>
      </c>
      <c r="V6518" s="42" t="s">
        <v>113</v>
      </c>
      <c r="W6518" s="42">
        <v>0</v>
      </c>
      <c r="X6518" s="42">
        <v>0</v>
      </c>
    </row>
    <row r="6519" spans="1:24">
      <c r="A6519" s="27" t="s">
        <v>12015</v>
      </c>
      <c r="B6519" s="28" t="s">
        <v>5102</v>
      </c>
      <c r="C6519" s="27" t="s">
        <v>12016</v>
      </c>
      <c r="D6519" s="27" t="s">
        <v>5104</v>
      </c>
      <c r="E6519" s="29">
        <v>43637</v>
      </c>
      <c r="F6519" s="27">
        <v>15</v>
      </c>
      <c r="G6519" s="18">
        <v>0</v>
      </c>
      <c r="H6519" s="27">
        <f t="shared" si="202"/>
        <v>0</v>
      </c>
      <c r="I6519" s="18">
        <v>0</v>
      </c>
      <c r="J6519" s="27">
        <v>85375.43</v>
      </c>
      <c r="K6519" s="18">
        <f t="shared" si="203"/>
        <v>0</v>
      </c>
      <c r="L6519" s="27">
        <v>2703.56</v>
      </c>
      <c r="M6519" s="36">
        <v>2703.56</v>
      </c>
      <c r="N6519" s="18" t="s">
        <v>123</v>
      </c>
      <c r="O6519" s="19">
        <v>85375.43</v>
      </c>
      <c r="T6519" s="41">
        <v>0</v>
      </c>
      <c r="U6519" s="41">
        <v>0</v>
      </c>
      <c r="V6519" s="42" t="s">
        <v>113</v>
      </c>
      <c r="W6519" s="42">
        <v>0</v>
      </c>
      <c r="X6519" s="42">
        <v>0</v>
      </c>
    </row>
    <row r="6520" spans="1:24">
      <c r="A6520" s="27" t="s">
        <v>12017</v>
      </c>
      <c r="B6520" s="28" t="s">
        <v>5102</v>
      </c>
      <c r="C6520" s="27" t="s">
        <v>12016</v>
      </c>
      <c r="D6520" s="27" t="s">
        <v>5104</v>
      </c>
      <c r="E6520" s="29">
        <v>43637</v>
      </c>
      <c r="F6520" s="27">
        <v>15</v>
      </c>
      <c r="G6520" s="18">
        <v>0</v>
      </c>
      <c r="H6520" s="27">
        <f t="shared" si="202"/>
        <v>0</v>
      </c>
      <c r="I6520" s="18">
        <v>0</v>
      </c>
      <c r="J6520" s="27">
        <v>63484.3</v>
      </c>
      <c r="K6520" s="18">
        <f t="shared" si="203"/>
        <v>0</v>
      </c>
      <c r="L6520" s="27">
        <v>2010.34</v>
      </c>
      <c r="M6520" s="36">
        <v>2010.34</v>
      </c>
      <c r="N6520" s="18" t="s">
        <v>123</v>
      </c>
      <c r="O6520" s="19">
        <v>63484.3</v>
      </c>
      <c r="T6520" s="41">
        <v>0</v>
      </c>
      <c r="U6520" s="41">
        <v>0</v>
      </c>
      <c r="V6520" s="42" t="s">
        <v>113</v>
      </c>
      <c r="W6520" s="42">
        <v>0</v>
      </c>
      <c r="X6520" s="42">
        <v>0</v>
      </c>
    </row>
    <row r="6521" spans="1:24">
      <c r="A6521" s="27" t="s">
        <v>12018</v>
      </c>
      <c r="B6521" s="28" t="s">
        <v>5102</v>
      </c>
      <c r="C6521" s="27" t="s">
        <v>12016</v>
      </c>
      <c r="D6521" s="27" t="s">
        <v>5104</v>
      </c>
      <c r="E6521" s="29">
        <v>43637</v>
      </c>
      <c r="F6521" s="27">
        <v>15</v>
      </c>
      <c r="G6521" s="18">
        <v>0</v>
      </c>
      <c r="H6521" s="27">
        <f t="shared" si="202"/>
        <v>0</v>
      </c>
      <c r="I6521" s="18">
        <v>0</v>
      </c>
      <c r="J6521" s="27">
        <v>96229.78</v>
      </c>
      <c r="K6521" s="18">
        <f t="shared" si="203"/>
        <v>0</v>
      </c>
      <c r="L6521" s="27">
        <v>3047.28</v>
      </c>
      <c r="M6521" s="36">
        <v>3047.28</v>
      </c>
      <c r="N6521" s="18" t="s">
        <v>123</v>
      </c>
      <c r="O6521" s="19">
        <v>96229.78</v>
      </c>
      <c r="T6521" s="41">
        <v>0</v>
      </c>
      <c r="U6521" s="41">
        <v>0</v>
      </c>
      <c r="V6521" s="42" t="s">
        <v>113</v>
      </c>
      <c r="W6521" s="42">
        <v>0</v>
      </c>
      <c r="X6521" s="42">
        <v>0</v>
      </c>
    </row>
    <row r="6522" spans="1:24">
      <c r="A6522" s="27" t="s">
        <v>12019</v>
      </c>
      <c r="B6522" s="28" t="s">
        <v>5102</v>
      </c>
      <c r="C6522" s="27" t="s">
        <v>12020</v>
      </c>
      <c r="D6522" s="27" t="s">
        <v>5104</v>
      </c>
      <c r="E6522" s="29">
        <v>43637</v>
      </c>
      <c r="F6522" s="27">
        <v>15</v>
      </c>
      <c r="G6522" s="18">
        <v>0</v>
      </c>
      <c r="H6522" s="27">
        <f t="shared" si="202"/>
        <v>0</v>
      </c>
      <c r="I6522" s="18">
        <v>0</v>
      </c>
      <c r="J6522" s="27">
        <v>47886.86</v>
      </c>
      <c r="K6522" s="18">
        <f t="shared" si="203"/>
        <v>0</v>
      </c>
      <c r="L6522" s="27">
        <v>1516.42</v>
      </c>
      <c r="M6522" s="36">
        <v>1516.42</v>
      </c>
      <c r="N6522" s="18" t="s">
        <v>123</v>
      </c>
      <c r="O6522" s="19">
        <v>47886.86</v>
      </c>
      <c r="T6522" s="41">
        <v>0</v>
      </c>
      <c r="U6522" s="41">
        <v>0</v>
      </c>
      <c r="V6522" s="42" t="s">
        <v>113</v>
      </c>
      <c r="W6522" s="42">
        <v>0</v>
      </c>
      <c r="X6522" s="42">
        <v>0</v>
      </c>
    </row>
    <row r="6523" spans="1:24">
      <c r="A6523" s="27" t="s">
        <v>12021</v>
      </c>
      <c r="B6523" s="28" t="s">
        <v>5102</v>
      </c>
      <c r="C6523" s="27" t="s">
        <v>12020</v>
      </c>
      <c r="D6523" s="27" t="s">
        <v>5104</v>
      </c>
      <c r="E6523" s="29">
        <v>43637</v>
      </c>
      <c r="F6523" s="27">
        <v>15</v>
      </c>
      <c r="G6523" s="18">
        <v>0</v>
      </c>
      <c r="H6523" s="27">
        <f t="shared" si="202"/>
        <v>0</v>
      </c>
      <c r="I6523" s="18">
        <v>0</v>
      </c>
      <c r="J6523" s="27">
        <v>74977.14</v>
      </c>
      <c r="K6523" s="18">
        <f t="shared" si="203"/>
        <v>0</v>
      </c>
      <c r="L6523" s="27">
        <v>2374.2800000000002</v>
      </c>
      <c r="M6523" s="36">
        <v>2374.2800000000002</v>
      </c>
      <c r="N6523" s="18" t="s">
        <v>123</v>
      </c>
      <c r="O6523" s="19">
        <v>74977.14</v>
      </c>
      <c r="T6523" s="41">
        <v>0</v>
      </c>
      <c r="U6523" s="41">
        <v>0</v>
      </c>
      <c r="V6523" s="42" t="s">
        <v>113</v>
      </c>
      <c r="W6523" s="42">
        <v>0</v>
      </c>
      <c r="X6523" s="42">
        <v>0</v>
      </c>
    </row>
    <row r="6524" spans="1:24">
      <c r="A6524" s="27" t="s">
        <v>12022</v>
      </c>
      <c r="B6524" s="28" t="s">
        <v>5102</v>
      </c>
      <c r="C6524" s="27" t="s">
        <v>12020</v>
      </c>
      <c r="D6524" s="27" t="s">
        <v>5104</v>
      </c>
      <c r="E6524" s="29">
        <v>43637</v>
      </c>
      <c r="F6524" s="27">
        <v>15</v>
      </c>
      <c r="G6524" s="18">
        <v>0</v>
      </c>
      <c r="H6524" s="27">
        <f t="shared" si="202"/>
        <v>0</v>
      </c>
      <c r="I6524" s="18">
        <v>0</v>
      </c>
      <c r="J6524" s="27">
        <v>147765.17000000001</v>
      </c>
      <c r="K6524" s="18">
        <f t="shared" si="203"/>
        <v>0</v>
      </c>
      <c r="L6524" s="27">
        <v>4679.2299999999996</v>
      </c>
      <c r="M6524" s="36">
        <v>4679.2299999999996</v>
      </c>
      <c r="N6524" s="18" t="s">
        <v>123</v>
      </c>
      <c r="O6524" s="19">
        <v>147765.17000000001</v>
      </c>
      <c r="T6524" s="41">
        <v>0</v>
      </c>
      <c r="U6524" s="41">
        <v>0</v>
      </c>
      <c r="V6524" s="42" t="s">
        <v>113</v>
      </c>
      <c r="W6524" s="42">
        <v>0</v>
      </c>
      <c r="X6524" s="42">
        <v>0</v>
      </c>
    </row>
    <row r="6525" spans="1:24">
      <c r="A6525" s="27" t="s">
        <v>12023</v>
      </c>
      <c r="B6525" s="28" t="s">
        <v>5102</v>
      </c>
      <c r="C6525" s="27" t="s">
        <v>12024</v>
      </c>
      <c r="D6525" s="27" t="s">
        <v>5104</v>
      </c>
      <c r="E6525" s="29">
        <v>43636</v>
      </c>
      <c r="F6525" s="27">
        <v>15</v>
      </c>
      <c r="G6525" s="18">
        <v>0</v>
      </c>
      <c r="H6525" s="27">
        <f t="shared" si="202"/>
        <v>0</v>
      </c>
      <c r="I6525" s="18">
        <v>0</v>
      </c>
      <c r="J6525" s="27">
        <v>112109.67</v>
      </c>
      <c r="K6525" s="18">
        <f t="shared" si="203"/>
        <v>0</v>
      </c>
      <c r="L6525" s="27">
        <v>3550.14</v>
      </c>
      <c r="M6525" s="36">
        <v>3550.14</v>
      </c>
      <c r="N6525" s="18" t="s">
        <v>123</v>
      </c>
      <c r="O6525" s="19">
        <v>112109.67</v>
      </c>
      <c r="T6525" s="41">
        <v>0</v>
      </c>
      <c r="U6525" s="41">
        <v>0</v>
      </c>
      <c r="V6525" s="42" t="s">
        <v>113</v>
      </c>
      <c r="W6525" s="42">
        <v>0</v>
      </c>
      <c r="X6525" s="42">
        <v>0</v>
      </c>
    </row>
    <row r="6526" spans="1:24">
      <c r="A6526" s="27" t="s">
        <v>12025</v>
      </c>
      <c r="B6526" s="28" t="s">
        <v>5102</v>
      </c>
      <c r="C6526" s="27" t="s">
        <v>12026</v>
      </c>
      <c r="D6526" s="27" t="s">
        <v>5104</v>
      </c>
      <c r="E6526" s="29">
        <v>43636</v>
      </c>
      <c r="F6526" s="27">
        <v>15</v>
      </c>
      <c r="G6526" s="18">
        <v>0</v>
      </c>
      <c r="H6526" s="27">
        <f t="shared" si="202"/>
        <v>0</v>
      </c>
      <c r="I6526" s="18">
        <v>0</v>
      </c>
      <c r="J6526" s="27">
        <v>65639.78</v>
      </c>
      <c r="K6526" s="18">
        <f t="shared" si="203"/>
        <v>0</v>
      </c>
      <c r="L6526" s="27">
        <v>2078.59</v>
      </c>
      <c r="M6526" s="36">
        <v>2078.59</v>
      </c>
      <c r="N6526" s="18" t="s">
        <v>123</v>
      </c>
      <c r="O6526" s="19">
        <v>65639.78</v>
      </c>
      <c r="T6526" s="41">
        <v>0</v>
      </c>
      <c r="U6526" s="41">
        <v>0</v>
      </c>
      <c r="V6526" s="42" t="s">
        <v>113</v>
      </c>
      <c r="W6526" s="42">
        <v>0</v>
      </c>
      <c r="X6526" s="42">
        <v>0</v>
      </c>
    </row>
    <row r="6527" spans="1:24">
      <c r="A6527" s="27" t="s">
        <v>12027</v>
      </c>
      <c r="B6527" s="28" t="s">
        <v>5102</v>
      </c>
      <c r="C6527" s="27" t="s">
        <v>12024</v>
      </c>
      <c r="D6527" s="27" t="s">
        <v>5104</v>
      </c>
      <c r="E6527" s="29">
        <v>43636</v>
      </c>
      <c r="F6527" s="27">
        <v>15</v>
      </c>
      <c r="G6527" s="18">
        <v>0</v>
      </c>
      <c r="H6527" s="27">
        <f t="shared" si="202"/>
        <v>0</v>
      </c>
      <c r="I6527" s="18">
        <v>0</v>
      </c>
      <c r="J6527" s="27">
        <v>11296.54</v>
      </c>
      <c r="K6527" s="18">
        <f t="shared" si="203"/>
        <v>0</v>
      </c>
      <c r="L6527" s="27">
        <v>357.72</v>
      </c>
      <c r="M6527" s="36">
        <v>357.72</v>
      </c>
      <c r="N6527" s="18" t="s">
        <v>123</v>
      </c>
      <c r="O6527" s="19">
        <v>11296.54</v>
      </c>
      <c r="T6527" s="41">
        <v>0</v>
      </c>
      <c r="U6527" s="41">
        <v>0</v>
      </c>
      <c r="V6527" s="42" t="s">
        <v>113</v>
      </c>
      <c r="W6527" s="42">
        <v>0</v>
      </c>
      <c r="X6527" s="42">
        <v>0</v>
      </c>
    </row>
    <row r="6528" spans="1:24">
      <c r="A6528" s="27" t="s">
        <v>12028</v>
      </c>
      <c r="B6528" s="28" t="s">
        <v>5102</v>
      </c>
      <c r="C6528" s="27" t="s">
        <v>12029</v>
      </c>
      <c r="D6528" s="27" t="s">
        <v>5104</v>
      </c>
      <c r="E6528" s="29">
        <v>43636</v>
      </c>
      <c r="F6528" s="27">
        <v>15</v>
      </c>
      <c r="G6528" s="18">
        <v>0</v>
      </c>
      <c r="H6528" s="27">
        <f t="shared" si="202"/>
        <v>0</v>
      </c>
      <c r="I6528" s="18">
        <v>0</v>
      </c>
      <c r="J6528" s="27">
        <v>68121.59</v>
      </c>
      <c r="K6528" s="18">
        <f t="shared" si="203"/>
        <v>0</v>
      </c>
      <c r="L6528" s="27">
        <v>2157.1799999999998</v>
      </c>
      <c r="M6528" s="36">
        <v>2157.1799999999998</v>
      </c>
      <c r="N6528" s="18" t="s">
        <v>123</v>
      </c>
      <c r="O6528" s="19">
        <v>68121.59</v>
      </c>
      <c r="T6528" s="41">
        <v>0</v>
      </c>
      <c r="U6528" s="41">
        <v>0</v>
      </c>
      <c r="V6528" s="42" t="s">
        <v>113</v>
      </c>
      <c r="W6528" s="42">
        <v>0</v>
      </c>
      <c r="X6528" s="42">
        <v>0</v>
      </c>
    </row>
    <row r="6529" spans="1:24">
      <c r="A6529" s="27" t="s">
        <v>12030</v>
      </c>
      <c r="B6529" s="28" t="s">
        <v>5102</v>
      </c>
      <c r="C6529" s="27" t="s">
        <v>12029</v>
      </c>
      <c r="D6529" s="27" t="s">
        <v>5104</v>
      </c>
      <c r="E6529" s="29">
        <v>43636</v>
      </c>
      <c r="F6529" s="27">
        <v>15</v>
      </c>
      <c r="G6529" s="18">
        <v>0</v>
      </c>
      <c r="H6529" s="27">
        <f t="shared" si="202"/>
        <v>0</v>
      </c>
      <c r="I6529" s="18">
        <v>0</v>
      </c>
      <c r="J6529" s="27">
        <v>6589.65</v>
      </c>
      <c r="K6529" s="18">
        <f t="shared" si="203"/>
        <v>0</v>
      </c>
      <c r="L6529" s="27">
        <v>208.67</v>
      </c>
      <c r="M6529" s="36">
        <v>208.67</v>
      </c>
      <c r="N6529" s="18" t="s">
        <v>123</v>
      </c>
      <c r="O6529" s="19">
        <v>6589.65</v>
      </c>
      <c r="T6529" s="41">
        <v>0</v>
      </c>
      <c r="U6529" s="41">
        <v>0</v>
      </c>
      <c r="V6529" s="42" t="s">
        <v>113</v>
      </c>
      <c r="W6529" s="42">
        <v>0</v>
      </c>
      <c r="X6529" s="42">
        <v>0</v>
      </c>
    </row>
    <row r="6530" spans="1:24">
      <c r="A6530" s="27" t="s">
        <v>12031</v>
      </c>
      <c r="B6530" s="28" t="s">
        <v>5102</v>
      </c>
      <c r="C6530" s="27" t="s">
        <v>12032</v>
      </c>
      <c r="D6530" s="27" t="s">
        <v>5104</v>
      </c>
      <c r="E6530" s="29">
        <v>43636</v>
      </c>
      <c r="F6530" s="27">
        <v>15</v>
      </c>
      <c r="G6530" s="18">
        <v>0</v>
      </c>
      <c r="H6530" s="27">
        <f t="shared" si="202"/>
        <v>0</v>
      </c>
      <c r="I6530" s="18">
        <v>0</v>
      </c>
      <c r="J6530" s="27">
        <v>65725.36</v>
      </c>
      <c r="K6530" s="18">
        <f t="shared" si="203"/>
        <v>0</v>
      </c>
      <c r="L6530" s="27">
        <v>2081.3000000000002</v>
      </c>
      <c r="M6530" s="36">
        <v>2081.3000000000002</v>
      </c>
      <c r="N6530" s="18" t="s">
        <v>123</v>
      </c>
      <c r="O6530" s="19">
        <v>65725.36</v>
      </c>
      <c r="T6530" s="41">
        <v>0</v>
      </c>
      <c r="U6530" s="41">
        <v>0</v>
      </c>
      <c r="V6530" s="42" t="s">
        <v>113</v>
      </c>
      <c r="W6530" s="42">
        <v>0</v>
      </c>
      <c r="X6530" s="42">
        <v>0</v>
      </c>
    </row>
    <row r="6531" spans="1:24">
      <c r="A6531" s="27" t="s">
        <v>12033</v>
      </c>
      <c r="B6531" s="28" t="s">
        <v>5102</v>
      </c>
      <c r="C6531" s="27" t="s">
        <v>12034</v>
      </c>
      <c r="D6531" s="27" t="s">
        <v>5104</v>
      </c>
      <c r="E6531" s="29">
        <v>43636</v>
      </c>
      <c r="F6531" s="27">
        <v>15</v>
      </c>
      <c r="G6531" s="18">
        <v>0</v>
      </c>
      <c r="H6531" s="27">
        <f t="shared" si="202"/>
        <v>0</v>
      </c>
      <c r="I6531" s="18">
        <v>0</v>
      </c>
      <c r="J6531" s="27">
        <v>116816.56</v>
      </c>
      <c r="K6531" s="18">
        <f t="shared" si="203"/>
        <v>0</v>
      </c>
      <c r="L6531" s="27">
        <v>3699.19</v>
      </c>
      <c r="M6531" s="36">
        <v>3699.19</v>
      </c>
      <c r="N6531" s="18" t="s">
        <v>123</v>
      </c>
      <c r="O6531" s="19">
        <v>116816.56</v>
      </c>
      <c r="T6531" s="41">
        <v>0</v>
      </c>
      <c r="U6531" s="41">
        <v>0</v>
      </c>
      <c r="V6531" s="42" t="s">
        <v>113</v>
      </c>
      <c r="W6531" s="42">
        <v>0</v>
      </c>
      <c r="X6531" s="42">
        <v>0</v>
      </c>
    </row>
    <row r="6532" spans="1:24">
      <c r="A6532" s="27" t="s">
        <v>12035</v>
      </c>
      <c r="B6532" s="28" t="s">
        <v>5102</v>
      </c>
      <c r="C6532" s="27" t="s">
        <v>12034</v>
      </c>
      <c r="D6532" s="27" t="s">
        <v>5104</v>
      </c>
      <c r="E6532" s="29">
        <v>43636</v>
      </c>
      <c r="F6532" s="27">
        <v>15</v>
      </c>
      <c r="G6532" s="18">
        <v>0</v>
      </c>
      <c r="H6532" s="27">
        <f t="shared" si="202"/>
        <v>0</v>
      </c>
      <c r="I6532" s="18">
        <v>0</v>
      </c>
      <c r="J6532" s="27">
        <v>9413.7800000000007</v>
      </c>
      <c r="K6532" s="18">
        <f t="shared" si="203"/>
        <v>0</v>
      </c>
      <c r="L6532" s="27">
        <v>298.10000000000002</v>
      </c>
      <c r="M6532" s="36">
        <v>298.10000000000002</v>
      </c>
      <c r="N6532" s="18" t="s">
        <v>123</v>
      </c>
      <c r="O6532" s="19">
        <v>9413.7800000000007</v>
      </c>
      <c r="T6532" s="41">
        <v>0</v>
      </c>
      <c r="U6532" s="41">
        <v>0</v>
      </c>
      <c r="V6532" s="42" t="s">
        <v>113</v>
      </c>
      <c r="W6532" s="42">
        <v>0</v>
      </c>
      <c r="X6532" s="42">
        <v>0</v>
      </c>
    </row>
    <row r="6533" spans="1:24">
      <c r="A6533" s="27" t="s">
        <v>12036</v>
      </c>
      <c r="B6533" s="28" t="s">
        <v>5102</v>
      </c>
      <c r="C6533" s="27" t="s">
        <v>12037</v>
      </c>
      <c r="D6533" s="27" t="s">
        <v>5104</v>
      </c>
      <c r="E6533" s="29">
        <v>43636</v>
      </c>
      <c r="F6533" s="27">
        <v>15</v>
      </c>
      <c r="G6533" s="18">
        <v>0</v>
      </c>
      <c r="H6533" s="27">
        <f t="shared" si="202"/>
        <v>0</v>
      </c>
      <c r="I6533" s="18">
        <v>0</v>
      </c>
      <c r="J6533" s="27">
        <v>139152.91</v>
      </c>
      <c r="K6533" s="18">
        <f t="shared" si="203"/>
        <v>0</v>
      </c>
      <c r="L6533" s="27">
        <v>4406.51</v>
      </c>
      <c r="M6533" s="36">
        <v>4406.51</v>
      </c>
      <c r="N6533" s="18" t="s">
        <v>123</v>
      </c>
      <c r="O6533" s="19">
        <v>139152.91</v>
      </c>
      <c r="T6533" s="41">
        <v>0</v>
      </c>
      <c r="U6533" s="41">
        <v>0</v>
      </c>
      <c r="V6533" s="42" t="s">
        <v>113</v>
      </c>
      <c r="W6533" s="42">
        <v>0</v>
      </c>
      <c r="X6533" s="42">
        <v>0</v>
      </c>
    </row>
    <row r="6534" spans="1:24">
      <c r="A6534" s="27" t="s">
        <v>12038</v>
      </c>
      <c r="B6534" s="28" t="s">
        <v>5102</v>
      </c>
      <c r="C6534" s="27" t="s">
        <v>12039</v>
      </c>
      <c r="D6534" s="27" t="s">
        <v>5104</v>
      </c>
      <c r="E6534" s="29">
        <v>43636</v>
      </c>
      <c r="F6534" s="27">
        <v>15</v>
      </c>
      <c r="G6534" s="18">
        <v>0</v>
      </c>
      <c r="H6534" s="27">
        <f t="shared" ref="H6534:H6597" si="204">IFERROR(IF(ROUND((G6534-I6534)/G6534,2)&lt;=0.05,G6534,0),0)</f>
        <v>0</v>
      </c>
      <c r="I6534" s="18">
        <v>0</v>
      </c>
      <c r="J6534" s="27">
        <v>21052.65</v>
      </c>
      <c r="K6534" s="18">
        <f t="shared" ref="K6534:K6597" si="205">IFERROR(IF(ROUND((J6534-L6534)/J6534,2)&lt;=0.05,J6534,0),0)</f>
        <v>0</v>
      </c>
      <c r="L6534" s="27">
        <v>666.67</v>
      </c>
      <c r="M6534" s="36">
        <v>666.67</v>
      </c>
      <c r="N6534" s="18" t="s">
        <v>123</v>
      </c>
      <c r="O6534" s="19">
        <v>21052.65</v>
      </c>
      <c r="T6534" s="41">
        <v>0</v>
      </c>
      <c r="U6534" s="41">
        <v>0</v>
      </c>
      <c r="V6534" s="42" t="s">
        <v>113</v>
      </c>
      <c r="W6534" s="42">
        <v>0</v>
      </c>
      <c r="X6534" s="42">
        <v>0</v>
      </c>
    </row>
    <row r="6535" spans="1:24">
      <c r="A6535" s="27" t="s">
        <v>12040</v>
      </c>
      <c r="B6535" s="28" t="s">
        <v>5102</v>
      </c>
      <c r="C6535" s="27" t="s">
        <v>12039</v>
      </c>
      <c r="D6535" s="27" t="s">
        <v>5104</v>
      </c>
      <c r="E6535" s="29">
        <v>43636</v>
      </c>
      <c r="F6535" s="27">
        <v>15</v>
      </c>
      <c r="G6535" s="18">
        <v>0</v>
      </c>
      <c r="H6535" s="27">
        <f t="shared" si="204"/>
        <v>0</v>
      </c>
      <c r="I6535" s="18">
        <v>0</v>
      </c>
      <c r="J6535" s="27">
        <v>98673.62</v>
      </c>
      <c r="K6535" s="18">
        <f t="shared" si="205"/>
        <v>0</v>
      </c>
      <c r="L6535" s="27">
        <v>3124.66</v>
      </c>
      <c r="M6535" s="36">
        <v>3124.66</v>
      </c>
      <c r="N6535" s="18" t="s">
        <v>123</v>
      </c>
      <c r="O6535" s="19">
        <v>98673.62</v>
      </c>
      <c r="T6535" s="41">
        <v>0</v>
      </c>
      <c r="U6535" s="41">
        <v>0</v>
      </c>
      <c r="V6535" s="42" t="s">
        <v>113</v>
      </c>
      <c r="W6535" s="42">
        <v>0</v>
      </c>
      <c r="X6535" s="42">
        <v>0</v>
      </c>
    </row>
    <row r="6536" spans="1:24">
      <c r="A6536" s="27" t="s">
        <v>12041</v>
      </c>
      <c r="B6536" s="28" t="s">
        <v>5102</v>
      </c>
      <c r="C6536" s="27" t="s">
        <v>12042</v>
      </c>
      <c r="D6536" s="27" t="s">
        <v>5104</v>
      </c>
      <c r="E6536" s="29">
        <v>43636</v>
      </c>
      <c r="F6536" s="27">
        <v>15</v>
      </c>
      <c r="G6536" s="18">
        <v>0</v>
      </c>
      <c r="H6536" s="27">
        <f t="shared" si="204"/>
        <v>0</v>
      </c>
      <c r="I6536" s="18">
        <v>0</v>
      </c>
      <c r="J6536" s="27">
        <v>118014.68</v>
      </c>
      <c r="K6536" s="18">
        <f t="shared" si="205"/>
        <v>0</v>
      </c>
      <c r="L6536" s="27">
        <v>3737.13</v>
      </c>
      <c r="M6536" s="36">
        <v>3737.13</v>
      </c>
      <c r="N6536" s="18" t="s">
        <v>123</v>
      </c>
      <c r="O6536" s="19">
        <v>118014.68</v>
      </c>
      <c r="T6536" s="41">
        <v>0</v>
      </c>
      <c r="U6536" s="41">
        <v>0</v>
      </c>
      <c r="V6536" s="42" t="s">
        <v>113</v>
      </c>
      <c r="W6536" s="42">
        <v>0</v>
      </c>
      <c r="X6536" s="42">
        <v>0</v>
      </c>
    </row>
    <row r="6537" spans="1:24">
      <c r="A6537" s="27" t="s">
        <v>12043</v>
      </c>
      <c r="B6537" s="28" t="s">
        <v>5102</v>
      </c>
      <c r="C6537" s="27" t="s">
        <v>12042</v>
      </c>
      <c r="D6537" s="27" t="s">
        <v>5104</v>
      </c>
      <c r="E6537" s="29">
        <v>43636</v>
      </c>
      <c r="F6537" s="27">
        <v>15</v>
      </c>
      <c r="G6537" s="18">
        <v>0</v>
      </c>
      <c r="H6537" s="27">
        <f t="shared" si="204"/>
        <v>0</v>
      </c>
      <c r="I6537" s="18">
        <v>0</v>
      </c>
      <c r="J6537" s="27">
        <v>92340.71</v>
      </c>
      <c r="K6537" s="18">
        <f t="shared" si="205"/>
        <v>0</v>
      </c>
      <c r="L6537" s="27">
        <v>2924.12</v>
      </c>
      <c r="M6537" s="36">
        <v>2924.12</v>
      </c>
      <c r="N6537" s="18" t="s">
        <v>123</v>
      </c>
      <c r="O6537" s="19">
        <v>92340.71</v>
      </c>
      <c r="T6537" s="41">
        <v>0</v>
      </c>
      <c r="U6537" s="41">
        <v>0</v>
      </c>
      <c r="V6537" s="42" t="s">
        <v>113</v>
      </c>
      <c r="W6537" s="42">
        <v>0</v>
      </c>
      <c r="X6537" s="42">
        <v>0</v>
      </c>
    </row>
    <row r="6538" spans="1:24">
      <c r="A6538" s="27" t="s">
        <v>12044</v>
      </c>
      <c r="B6538" s="28" t="s">
        <v>5102</v>
      </c>
      <c r="C6538" s="27" t="s">
        <v>12045</v>
      </c>
      <c r="D6538" s="27" t="s">
        <v>5104</v>
      </c>
      <c r="E6538" s="29">
        <v>43636</v>
      </c>
      <c r="F6538" s="27">
        <v>15</v>
      </c>
      <c r="G6538" s="18">
        <v>0</v>
      </c>
      <c r="H6538" s="27">
        <f t="shared" si="204"/>
        <v>0</v>
      </c>
      <c r="I6538" s="18">
        <v>0</v>
      </c>
      <c r="J6538" s="27">
        <v>106204.65</v>
      </c>
      <c r="K6538" s="18">
        <f t="shared" si="205"/>
        <v>0</v>
      </c>
      <c r="L6538" s="27">
        <v>3363.15</v>
      </c>
      <c r="M6538" s="36">
        <v>3363.15</v>
      </c>
      <c r="N6538" s="18" t="s">
        <v>123</v>
      </c>
      <c r="O6538" s="19">
        <v>106204.65</v>
      </c>
      <c r="T6538" s="41">
        <v>0</v>
      </c>
      <c r="U6538" s="41">
        <v>0</v>
      </c>
      <c r="V6538" s="42" t="s">
        <v>113</v>
      </c>
      <c r="W6538" s="42">
        <v>0</v>
      </c>
      <c r="X6538" s="42">
        <v>0</v>
      </c>
    </row>
    <row r="6539" spans="1:24">
      <c r="A6539" s="27" t="s">
        <v>12046</v>
      </c>
      <c r="B6539" s="28" t="s">
        <v>5102</v>
      </c>
      <c r="C6539" s="27" t="s">
        <v>12047</v>
      </c>
      <c r="D6539" s="27" t="s">
        <v>5104</v>
      </c>
      <c r="E6539" s="29">
        <v>43636</v>
      </c>
      <c r="F6539" s="27">
        <v>15</v>
      </c>
      <c r="G6539" s="18">
        <v>0</v>
      </c>
      <c r="H6539" s="27">
        <f t="shared" si="204"/>
        <v>0</v>
      </c>
      <c r="I6539" s="18">
        <v>0</v>
      </c>
      <c r="J6539" s="27">
        <v>70346.679999999993</v>
      </c>
      <c r="K6539" s="18">
        <f t="shared" si="205"/>
        <v>0</v>
      </c>
      <c r="L6539" s="27">
        <v>2227.65</v>
      </c>
      <c r="M6539" s="36">
        <v>2227.65</v>
      </c>
      <c r="N6539" s="18" t="s">
        <v>123</v>
      </c>
      <c r="O6539" s="19">
        <v>70346.679999999993</v>
      </c>
      <c r="T6539" s="41">
        <v>0</v>
      </c>
      <c r="U6539" s="41">
        <v>0</v>
      </c>
      <c r="V6539" s="42" t="s">
        <v>113</v>
      </c>
      <c r="W6539" s="42">
        <v>0</v>
      </c>
      <c r="X6539" s="42">
        <v>0</v>
      </c>
    </row>
    <row r="6540" spans="1:24">
      <c r="A6540" s="27" t="s">
        <v>12048</v>
      </c>
      <c r="B6540" s="28" t="s">
        <v>5102</v>
      </c>
      <c r="C6540" s="27" t="s">
        <v>12049</v>
      </c>
      <c r="D6540" s="27" t="s">
        <v>5104</v>
      </c>
      <c r="E6540" s="29">
        <v>43636</v>
      </c>
      <c r="F6540" s="27">
        <v>15</v>
      </c>
      <c r="G6540" s="18">
        <v>0</v>
      </c>
      <c r="H6540" s="27">
        <f t="shared" si="204"/>
        <v>0</v>
      </c>
      <c r="I6540" s="18">
        <v>0</v>
      </c>
      <c r="J6540" s="27">
        <v>145057.92000000001</v>
      </c>
      <c r="K6540" s="18">
        <f t="shared" si="205"/>
        <v>0</v>
      </c>
      <c r="L6540" s="27">
        <v>4593.5</v>
      </c>
      <c r="M6540" s="36">
        <v>4593.5</v>
      </c>
      <c r="N6540" s="18" t="s">
        <v>123</v>
      </c>
      <c r="O6540" s="19">
        <v>145057.92000000001</v>
      </c>
      <c r="T6540" s="41">
        <v>0</v>
      </c>
      <c r="U6540" s="41">
        <v>0</v>
      </c>
      <c r="V6540" s="42" t="s">
        <v>113</v>
      </c>
      <c r="W6540" s="42">
        <v>0</v>
      </c>
      <c r="X6540" s="42">
        <v>0</v>
      </c>
    </row>
    <row r="6541" spans="1:24">
      <c r="A6541" s="27" t="s">
        <v>12050</v>
      </c>
      <c r="B6541" s="28" t="s">
        <v>5102</v>
      </c>
      <c r="C6541" s="27" t="s">
        <v>12049</v>
      </c>
      <c r="D6541" s="27" t="s">
        <v>5104</v>
      </c>
      <c r="E6541" s="29">
        <v>43636</v>
      </c>
      <c r="F6541" s="27">
        <v>15</v>
      </c>
      <c r="G6541" s="18">
        <v>0</v>
      </c>
      <c r="H6541" s="27">
        <f t="shared" si="204"/>
        <v>0</v>
      </c>
      <c r="I6541" s="18">
        <v>0</v>
      </c>
      <c r="J6541" s="27">
        <v>39709.07</v>
      </c>
      <c r="K6541" s="18">
        <f t="shared" si="205"/>
        <v>0</v>
      </c>
      <c r="L6541" s="27">
        <v>1257.45</v>
      </c>
      <c r="M6541" s="36">
        <v>1257.45</v>
      </c>
      <c r="N6541" s="18" t="s">
        <v>123</v>
      </c>
      <c r="O6541" s="19">
        <v>39709.07</v>
      </c>
      <c r="T6541" s="41">
        <v>0</v>
      </c>
      <c r="U6541" s="41">
        <v>0</v>
      </c>
      <c r="V6541" s="42" t="s">
        <v>113</v>
      </c>
      <c r="W6541" s="42">
        <v>0</v>
      </c>
      <c r="X6541" s="42">
        <v>0</v>
      </c>
    </row>
    <row r="6542" spans="1:24">
      <c r="A6542" s="27" t="s">
        <v>12051</v>
      </c>
      <c r="B6542" s="28" t="s">
        <v>5102</v>
      </c>
      <c r="C6542" s="27" t="s">
        <v>12052</v>
      </c>
      <c r="D6542" s="27" t="s">
        <v>5104</v>
      </c>
      <c r="E6542" s="29">
        <v>43636</v>
      </c>
      <c r="F6542" s="27">
        <v>15</v>
      </c>
      <c r="G6542" s="18">
        <v>0</v>
      </c>
      <c r="H6542" s="27">
        <f t="shared" si="204"/>
        <v>0</v>
      </c>
      <c r="I6542" s="18">
        <v>0</v>
      </c>
      <c r="J6542" s="27">
        <v>127770.79</v>
      </c>
      <c r="K6542" s="18">
        <f t="shared" si="205"/>
        <v>0</v>
      </c>
      <c r="L6542" s="27">
        <v>4046.08</v>
      </c>
      <c r="M6542" s="36">
        <v>4046.08</v>
      </c>
      <c r="N6542" s="18" t="s">
        <v>123</v>
      </c>
      <c r="O6542" s="19">
        <v>127770.79</v>
      </c>
      <c r="T6542" s="41">
        <v>0</v>
      </c>
      <c r="U6542" s="41">
        <v>0</v>
      </c>
      <c r="V6542" s="42" t="s">
        <v>113</v>
      </c>
      <c r="W6542" s="42">
        <v>0</v>
      </c>
      <c r="X6542" s="42">
        <v>0</v>
      </c>
    </row>
    <row r="6543" spans="1:24">
      <c r="A6543" s="27" t="s">
        <v>12053</v>
      </c>
      <c r="B6543" s="28" t="s">
        <v>5102</v>
      </c>
      <c r="C6543" s="27" t="s">
        <v>12052</v>
      </c>
      <c r="D6543" s="27" t="s">
        <v>5104</v>
      </c>
      <c r="E6543" s="29">
        <v>43636</v>
      </c>
      <c r="F6543" s="27">
        <v>15</v>
      </c>
      <c r="G6543" s="18">
        <v>0</v>
      </c>
      <c r="H6543" s="27">
        <f t="shared" si="204"/>
        <v>0</v>
      </c>
      <c r="I6543" s="18">
        <v>0</v>
      </c>
      <c r="J6543" s="27">
        <v>148395.54</v>
      </c>
      <c r="K6543" s="18">
        <f t="shared" si="205"/>
        <v>0</v>
      </c>
      <c r="L6543" s="27">
        <v>4699.1899999999996</v>
      </c>
      <c r="M6543" s="36">
        <v>4699.1899999999996</v>
      </c>
      <c r="N6543" s="18" t="s">
        <v>123</v>
      </c>
      <c r="O6543" s="19">
        <v>148395.54</v>
      </c>
      <c r="T6543" s="41">
        <v>0</v>
      </c>
      <c r="U6543" s="41">
        <v>0</v>
      </c>
      <c r="V6543" s="42" t="s">
        <v>113</v>
      </c>
      <c r="W6543" s="42">
        <v>0</v>
      </c>
      <c r="X6543" s="42">
        <v>0</v>
      </c>
    </row>
    <row r="6544" spans="1:24">
      <c r="A6544" s="27" t="s">
        <v>12054</v>
      </c>
      <c r="B6544" s="28" t="s">
        <v>5102</v>
      </c>
      <c r="C6544" s="27" t="s">
        <v>12055</v>
      </c>
      <c r="D6544" s="27" t="s">
        <v>5104</v>
      </c>
      <c r="E6544" s="29">
        <v>43636</v>
      </c>
      <c r="F6544" s="27">
        <v>15</v>
      </c>
      <c r="G6544" s="18">
        <v>0</v>
      </c>
      <c r="H6544" s="27">
        <f t="shared" si="204"/>
        <v>0</v>
      </c>
      <c r="I6544" s="18">
        <v>0</v>
      </c>
      <c r="J6544" s="27">
        <v>72914.070000000007</v>
      </c>
      <c r="K6544" s="18">
        <f t="shared" si="205"/>
        <v>0</v>
      </c>
      <c r="L6544" s="27">
        <v>2308.9499999999998</v>
      </c>
      <c r="M6544" s="36">
        <v>2308.9499999999998</v>
      </c>
      <c r="N6544" s="18" t="s">
        <v>123</v>
      </c>
      <c r="O6544" s="19">
        <v>72914.070000000007</v>
      </c>
      <c r="T6544" s="41">
        <v>0</v>
      </c>
      <c r="U6544" s="41">
        <v>0</v>
      </c>
      <c r="V6544" s="42" t="s">
        <v>113</v>
      </c>
      <c r="W6544" s="42">
        <v>0</v>
      </c>
      <c r="X6544" s="42">
        <v>0</v>
      </c>
    </row>
    <row r="6545" spans="1:24">
      <c r="A6545" s="27" t="s">
        <v>12056</v>
      </c>
      <c r="B6545" s="28" t="s">
        <v>5102</v>
      </c>
      <c r="C6545" s="27" t="s">
        <v>12055</v>
      </c>
      <c r="D6545" s="27" t="s">
        <v>5104</v>
      </c>
      <c r="E6545" s="29">
        <v>43636</v>
      </c>
      <c r="F6545" s="27">
        <v>15</v>
      </c>
      <c r="G6545" s="18">
        <v>0</v>
      </c>
      <c r="H6545" s="27">
        <f t="shared" si="204"/>
        <v>0</v>
      </c>
      <c r="I6545" s="18">
        <v>0</v>
      </c>
      <c r="J6545" s="27">
        <v>54599.97</v>
      </c>
      <c r="K6545" s="18">
        <f t="shared" si="205"/>
        <v>0</v>
      </c>
      <c r="L6545" s="27">
        <v>1729</v>
      </c>
      <c r="M6545" s="36">
        <v>1729</v>
      </c>
      <c r="N6545" s="18" t="s">
        <v>123</v>
      </c>
      <c r="O6545" s="19">
        <v>54599.97</v>
      </c>
      <c r="T6545" s="41">
        <v>0</v>
      </c>
      <c r="U6545" s="41">
        <v>0</v>
      </c>
      <c r="V6545" s="42" t="s">
        <v>113</v>
      </c>
      <c r="W6545" s="42">
        <v>0</v>
      </c>
      <c r="X6545" s="42">
        <v>0</v>
      </c>
    </row>
    <row r="6546" spans="1:24">
      <c r="A6546" s="27" t="s">
        <v>12057</v>
      </c>
      <c r="B6546" s="28" t="s">
        <v>5102</v>
      </c>
      <c r="C6546" s="27" t="s">
        <v>12058</v>
      </c>
      <c r="D6546" s="27" t="s">
        <v>5104</v>
      </c>
      <c r="E6546" s="29">
        <v>43636</v>
      </c>
      <c r="F6546" s="27">
        <v>15</v>
      </c>
      <c r="G6546" s="18">
        <v>0</v>
      </c>
      <c r="H6546" s="27">
        <f t="shared" si="204"/>
        <v>0</v>
      </c>
      <c r="I6546" s="18">
        <v>0</v>
      </c>
      <c r="J6546" s="27">
        <v>187847.87</v>
      </c>
      <c r="K6546" s="18">
        <f t="shared" si="205"/>
        <v>0</v>
      </c>
      <c r="L6546" s="27">
        <v>5948.52</v>
      </c>
      <c r="M6546" s="36">
        <v>5948.52</v>
      </c>
      <c r="N6546" s="18" t="s">
        <v>123</v>
      </c>
      <c r="O6546" s="19">
        <v>187847.87</v>
      </c>
      <c r="T6546" s="41">
        <v>0</v>
      </c>
      <c r="U6546" s="41">
        <v>0</v>
      </c>
      <c r="V6546" s="42" t="s">
        <v>113</v>
      </c>
      <c r="W6546" s="42">
        <v>0</v>
      </c>
      <c r="X6546" s="42">
        <v>0</v>
      </c>
    </row>
    <row r="6547" spans="1:24">
      <c r="A6547" s="27" t="s">
        <v>12059</v>
      </c>
      <c r="B6547" s="28" t="s">
        <v>5102</v>
      </c>
      <c r="C6547" s="27" t="s">
        <v>12060</v>
      </c>
      <c r="D6547" s="27" t="s">
        <v>5104</v>
      </c>
      <c r="E6547" s="29">
        <v>43636</v>
      </c>
      <c r="F6547" s="27">
        <v>15</v>
      </c>
      <c r="G6547" s="18">
        <v>0</v>
      </c>
      <c r="H6547" s="27">
        <f t="shared" si="204"/>
        <v>0</v>
      </c>
      <c r="I6547" s="18">
        <v>0</v>
      </c>
      <c r="J6547" s="27">
        <v>102267.98</v>
      </c>
      <c r="K6547" s="18">
        <f t="shared" si="205"/>
        <v>0</v>
      </c>
      <c r="L6547" s="27">
        <v>3238.49</v>
      </c>
      <c r="M6547" s="36">
        <v>3238.49</v>
      </c>
      <c r="N6547" s="18" t="s">
        <v>123</v>
      </c>
      <c r="O6547" s="19">
        <v>102267.98</v>
      </c>
      <c r="T6547" s="41">
        <v>0</v>
      </c>
      <c r="U6547" s="41">
        <v>0</v>
      </c>
      <c r="V6547" s="42" t="s">
        <v>113</v>
      </c>
      <c r="W6547" s="42">
        <v>0</v>
      </c>
      <c r="X6547" s="42">
        <v>0</v>
      </c>
    </row>
    <row r="6548" spans="1:24">
      <c r="A6548" s="27" t="s">
        <v>12061</v>
      </c>
      <c r="B6548" s="28" t="s">
        <v>5102</v>
      </c>
      <c r="C6548" s="27" t="s">
        <v>12060</v>
      </c>
      <c r="D6548" s="27" t="s">
        <v>5104</v>
      </c>
      <c r="E6548" s="29">
        <v>43636</v>
      </c>
      <c r="F6548" s="27">
        <v>15</v>
      </c>
      <c r="G6548" s="18">
        <v>0</v>
      </c>
      <c r="H6548" s="27">
        <f t="shared" si="204"/>
        <v>0</v>
      </c>
      <c r="I6548" s="18">
        <v>0</v>
      </c>
      <c r="J6548" s="27">
        <v>112965.46</v>
      </c>
      <c r="K6548" s="18">
        <f t="shared" si="205"/>
        <v>0</v>
      </c>
      <c r="L6548" s="27">
        <v>3577.24</v>
      </c>
      <c r="M6548" s="36">
        <v>3577.24</v>
      </c>
      <c r="N6548" s="18" t="s">
        <v>123</v>
      </c>
      <c r="O6548" s="19">
        <v>112965.46</v>
      </c>
      <c r="T6548" s="41">
        <v>0</v>
      </c>
      <c r="U6548" s="41">
        <v>0</v>
      </c>
      <c r="V6548" s="42" t="s">
        <v>113</v>
      </c>
      <c r="W6548" s="42">
        <v>0</v>
      </c>
      <c r="X6548" s="42">
        <v>0</v>
      </c>
    </row>
    <row r="6549" spans="1:24">
      <c r="A6549" s="27" t="s">
        <v>12062</v>
      </c>
      <c r="B6549" s="28" t="s">
        <v>5102</v>
      </c>
      <c r="C6549" s="27" t="s">
        <v>12063</v>
      </c>
      <c r="D6549" s="27" t="s">
        <v>5104</v>
      </c>
      <c r="E6549" s="29">
        <v>43636</v>
      </c>
      <c r="F6549" s="27">
        <v>15</v>
      </c>
      <c r="G6549" s="18">
        <v>0</v>
      </c>
      <c r="H6549" s="27">
        <f t="shared" si="204"/>
        <v>0</v>
      </c>
      <c r="I6549" s="18">
        <v>0</v>
      </c>
      <c r="J6549" s="27">
        <v>175010.89</v>
      </c>
      <c r="K6549" s="18">
        <f t="shared" si="205"/>
        <v>0</v>
      </c>
      <c r="L6549" s="27">
        <v>5542.01</v>
      </c>
      <c r="M6549" s="36">
        <v>5542.01</v>
      </c>
      <c r="N6549" s="18" t="s">
        <v>123</v>
      </c>
      <c r="O6549" s="19">
        <v>175010.89</v>
      </c>
      <c r="T6549" s="41">
        <v>0</v>
      </c>
      <c r="U6549" s="41">
        <v>0</v>
      </c>
      <c r="V6549" s="42" t="s">
        <v>113</v>
      </c>
      <c r="W6549" s="42">
        <v>0</v>
      </c>
      <c r="X6549" s="42">
        <v>0</v>
      </c>
    </row>
    <row r="6550" spans="1:24">
      <c r="A6550" s="27" t="s">
        <v>12064</v>
      </c>
      <c r="B6550" s="28" t="s">
        <v>5102</v>
      </c>
      <c r="C6550" s="27" t="s">
        <v>12065</v>
      </c>
      <c r="D6550" s="27" t="s">
        <v>5104</v>
      </c>
      <c r="E6550" s="29">
        <v>43636</v>
      </c>
      <c r="F6550" s="27">
        <v>15</v>
      </c>
      <c r="G6550" s="18">
        <v>0</v>
      </c>
      <c r="H6550" s="27">
        <f t="shared" si="204"/>
        <v>0</v>
      </c>
      <c r="I6550" s="18">
        <v>0</v>
      </c>
      <c r="J6550" s="27">
        <v>110740.38</v>
      </c>
      <c r="K6550" s="18">
        <f t="shared" si="205"/>
        <v>0</v>
      </c>
      <c r="L6550" s="27">
        <v>3506.78</v>
      </c>
      <c r="M6550" s="36">
        <v>3506.78</v>
      </c>
      <c r="N6550" s="18" t="s">
        <v>123</v>
      </c>
      <c r="O6550" s="19">
        <v>110740.38</v>
      </c>
      <c r="T6550" s="41">
        <v>0</v>
      </c>
      <c r="U6550" s="41">
        <v>0</v>
      </c>
      <c r="V6550" s="42" t="s">
        <v>113</v>
      </c>
      <c r="W6550" s="42">
        <v>0</v>
      </c>
      <c r="X6550" s="42">
        <v>0</v>
      </c>
    </row>
    <row r="6551" spans="1:24">
      <c r="A6551" s="27" t="s">
        <v>12066</v>
      </c>
      <c r="B6551" s="28" t="s">
        <v>5102</v>
      </c>
      <c r="C6551" s="27" t="s">
        <v>12065</v>
      </c>
      <c r="D6551" s="27" t="s">
        <v>5104</v>
      </c>
      <c r="E6551" s="29">
        <v>43636</v>
      </c>
      <c r="F6551" s="27">
        <v>15</v>
      </c>
      <c r="G6551" s="18">
        <v>0</v>
      </c>
      <c r="H6551" s="27">
        <f t="shared" si="204"/>
        <v>0</v>
      </c>
      <c r="I6551" s="18">
        <v>0</v>
      </c>
      <c r="J6551" s="27">
        <v>11895.61</v>
      </c>
      <c r="K6551" s="18">
        <f t="shared" si="205"/>
        <v>0</v>
      </c>
      <c r="L6551" s="27">
        <v>376.69</v>
      </c>
      <c r="M6551" s="36">
        <v>376.69</v>
      </c>
      <c r="N6551" s="18" t="s">
        <v>123</v>
      </c>
      <c r="O6551" s="19">
        <v>11895.61</v>
      </c>
      <c r="T6551" s="41">
        <v>0</v>
      </c>
      <c r="U6551" s="41">
        <v>0</v>
      </c>
      <c r="V6551" s="42" t="s">
        <v>113</v>
      </c>
      <c r="W6551" s="42">
        <v>0</v>
      </c>
      <c r="X6551" s="42">
        <v>0</v>
      </c>
    </row>
    <row r="6552" spans="1:24">
      <c r="A6552" s="27" t="s">
        <v>12067</v>
      </c>
      <c r="B6552" s="28" t="s">
        <v>5102</v>
      </c>
      <c r="C6552" s="27" t="s">
        <v>12068</v>
      </c>
      <c r="D6552" s="27" t="s">
        <v>5104</v>
      </c>
      <c r="E6552" s="29">
        <v>43636</v>
      </c>
      <c r="F6552" s="27">
        <v>15</v>
      </c>
      <c r="G6552" s="18">
        <v>0</v>
      </c>
      <c r="H6552" s="27">
        <f t="shared" si="204"/>
        <v>0</v>
      </c>
      <c r="I6552" s="18">
        <v>0</v>
      </c>
      <c r="J6552" s="27">
        <v>58536.65</v>
      </c>
      <c r="K6552" s="18">
        <f t="shared" si="205"/>
        <v>0</v>
      </c>
      <c r="L6552" s="27">
        <v>1853.66</v>
      </c>
      <c r="M6552" s="36">
        <v>1853.66</v>
      </c>
      <c r="N6552" s="18" t="s">
        <v>123</v>
      </c>
      <c r="O6552" s="19">
        <v>58536.65</v>
      </c>
      <c r="T6552" s="41">
        <v>0</v>
      </c>
      <c r="U6552" s="41">
        <v>0</v>
      </c>
      <c r="V6552" s="42" t="s">
        <v>113</v>
      </c>
      <c r="W6552" s="42">
        <v>0</v>
      </c>
      <c r="X6552" s="42">
        <v>0</v>
      </c>
    </row>
    <row r="6553" spans="1:24">
      <c r="A6553" s="27" t="s">
        <v>12069</v>
      </c>
      <c r="B6553" s="28" t="s">
        <v>5102</v>
      </c>
      <c r="C6553" s="27" t="s">
        <v>12070</v>
      </c>
      <c r="D6553" s="27" t="s">
        <v>5104</v>
      </c>
      <c r="E6553" s="29">
        <v>43637</v>
      </c>
      <c r="F6553" s="27">
        <v>15</v>
      </c>
      <c r="G6553" s="18">
        <v>0</v>
      </c>
      <c r="H6553" s="27">
        <f t="shared" si="204"/>
        <v>0</v>
      </c>
      <c r="I6553" s="18">
        <v>0</v>
      </c>
      <c r="J6553" s="27">
        <v>129590.68</v>
      </c>
      <c r="K6553" s="18">
        <f t="shared" si="205"/>
        <v>0</v>
      </c>
      <c r="L6553" s="27">
        <v>4103.71</v>
      </c>
      <c r="M6553" s="36">
        <v>4103.71</v>
      </c>
      <c r="N6553" s="18" t="s">
        <v>123</v>
      </c>
      <c r="O6553" s="19">
        <v>129590.68</v>
      </c>
      <c r="T6553" s="41">
        <v>0</v>
      </c>
      <c r="U6553" s="41">
        <v>0</v>
      </c>
      <c r="V6553" s="42" t="s">
        <v>113</v>
      </c>
      <c r="W6553" s="42">
        <v>0</v>
      </c>
      <c r="X6553" s="42">
        <v>0</v>
      </c>
    </row>
    <row r="6554" spans="1:24">
      <c r="A6554" s="27" t="s">
        <v>12071</v>
      </c>
      <c r="B6554" s="28" t="s">
        <v>5102</v>
      </c>
      <c r="C6554" s="27" t="s">
        <v>12070</v>
      </c>
      <c r="D6554" s="27" t="s">
        <v>5104</v>
      </c>
      <c r="E6554" s="29">
        <v>43637</v>
      </c>
      <c r="F6554" s="27">
        <v>15</v>
      </c>
      <c r="G6554" s="18">
        <v>0</v>
      </c>
      <c r="H6554" s="27">
        <f t="shared" si="204"/>
        <v>0</v>
      </c>
      <c r="I6554" s="18">
        <v>0</v>
      </c>
      <c r="J6554" s="27">
        <v>31535.37</v>
      </c>
      <c r="K6554" s="18">
        <f t="shared" si="205"/>
        <v>0</v>
      </c>
      <c r="L6554" s="27">
        <v>998.62</v>
      </c>
      <c r="M6554" s="36">
        <v>998.62</v>
      </c>
      <c r="N6554" s="18" t="s">
        <v>123</v>
      </c>
      <c r="O6554" s="19">
        <v>31535.37</v>
      </c>
      <c r="T6554" s="41">
        <v>0</v>
      </c>
      <c r="U6554" s="41">
        <v>0</v>
      </c>
      <c r="V6554" s="42" t="s">
        <v>113</v>
      </c>
      <c r="W6554" s="42">
        <v>0</v>
      </c>
      <c r="X6554" s="42">
        <v>0</v>
      </c>
    </row>
    <row r="6555" spans="1:24">
      <c r="A6555" s="27" t="s">
        <v>12072</v>
      </c>
      <c r="B6555" s="28" t="s">
        <v>5102</v>
      </c>
      <c r="C6555" s="27" t="s">
        <v>12070</v>
      </c>
      <c r="D6555" s="27" t="s">
        <v>5104</v>
      </c>
      <c r="E6555" s="29">
        <v>43637</v>
      </c>
      <c r="F6555" s="27">
        <v>15</v>
      </c>
      <c r="G6555" s="18">
        <v>0</v>
      </c>
      <c r="H6555" s="27">
        <f t="shared" si="204"/>
        <v>0</v>
      </c>
      <c r="I6555" s="18">
        <v>0</v>
      </c>
      <c r="J6555" s="27">
        <v>52066.21</v>
      </c>
      <c r="K6555" s="18">
        <f t="shared" si="205"/>
        <v>0</v>
      </c>
      <c r="L6555" s="27">
        <v>1648.76</v>
      </c>
      <c r="M6555" s="36">
        <v>1648.76</v>
      </c>
      <c r="N6555" s="18" t="s">
        <v>123</v>
      </c>
      <c r="O6555" s="19">
        <v>52066.21</v>
      </c>
      <c r="T6555" s="41">
        <v>0</v>
      </c>
      <c r="U6555" s="41">
        <v>0</v>
      </c>
      <c r="V6555" s="42" t="s">
        <v>113</v>
      </c>
      <c r="W6555" s="42">
        <v>0</v>
      </c>
      <c r="X6555" s="42">
        <v>0</v>
      </c>
    </row>
    <row r="6556" spans="1:24">
      <c r="A6556" s="27" t="s">
        <v>12073</v>
      </c>
      <c r="B6556" s="28" t="s">
        <v>5102</v>
      </c>
      <c r="C6556" s="27" t="s">
        <v>12074</v>
      </c>
      <c r="D6556" s="27" t="s">
        <v>5104</v>
      </c>
      <c r="E6556" s="29">
        <v>43637</v>
      </c>
      <c r="F6556" s="27">
        <v>15</v>
      </c>
      <c r="G6556" s="18">
        <v>0</v>
      </c>
      <c r="H6556" s="27">
        <f t="shared" si="204"/>
        <v>0</v>
      </c>
      <c r="I6556" s="18">
        <v>0</v>
      </c>
      <c r="J6556" s="27">
        <v>85244.06</v>
      </c>
      <c r="K6556" s="18">
        <f t="shared" si="205"/>
        <v>0</v>
      </c>
      <c r="L6556" s="27">
        <v>2699.4</v>
      </c>
      <c r="M6556" s="36">
        <v>2699.4</v>
      </c>
      <c r="N6556" s="18" t="s">
        <v>123</v>
      </c>
      <c r="O6556" s="19">
        <v>85244.06</v>
      </c>
      <c r="T6556" s="41">
        <v>0</v>
      </c>
      <c r="U6556" s="41">
        <v>0</v>
      </c>
      <c r="V6556" s="42" t="s">
        <v>113</v>
      </c>
      <c r="W6556" s="42">
        <v>0</v>
      </c>
      <c r="X6556" s="42">
        <v>0</v>
      </c>
    </row>
    <row r="6557" spans="1:24">
      <c r="A6557" s="27" t="s">
        <v>12075</v>
      </c>
      <c r="B6557" s="28" t="s">
        <v>5102</v>
      </c>
      <c r="C6557" s="27" t="s">
        <v>12074</v>
      </c>
      <c r="D6557" s="27" t="s">
        <v>5104</v>
      </c>
      <c r="E6557" s="29">
        <v>43637</v>
      </c>
      <c r="F6557" s="27">
        <v>15</v>
      </c>
      <c r="G6557" s="18">
        <v>0</v>
      </c>
      <c r="H6557" s="27">
        <f t="shared" si="204"/>
        <v>0</v>
      </c>
      <c r="I6557" s="18">
        <v>0</v>
      </c>
      <c r="J6557" s="27">
        <v>78263.570000000007</v>
      </c>
      <c r="K6557" s="18">
        <f t="shared" si="205"/>
        <v>0</v>
      </c>
      <c r="L6557" s="27">
        <v>2478.35</v>
      </c>
      <c r="M6557" s="36">
        <v>2478.35</v>
      </c>
      <c r="N6557" s="18" t="s">
        <v>123</v>
      </c>
      <c r="O6557" s="19">
        <v>78263.570000000007</v>
      </c>
      <c r="T6557" s="41">
        <v>0</v>
      </c>
      <c r="U6557" s="41">
        <v>0</v>
      </c>
      <c r="V6557" s="42" t="s">
        <v>113</v>
      </c>
      <c r="W6557" s="42">
        <v>0</v>
      </c>
      <c r="X6557" s="42">
        <v>0</v>
      </c>
    </row>
    <row r="6558" spans="1:24">
      <c r="A6558" s="27" t="s">
        <v>12076</v>
      </c>
      <c r="B6558" s="28" t="s">
        <v>5102</v>
      </c>
      <c r="C6558" s="27" t="s">
        <v>12077</v>
      </c>
      <c r="D6558" s="27" t="s">
        <v>5104</v>
      </c>
      <c r="E6558" s="29">
        <v>43637</v>
      </c>
      <c r="F6558" s="27">
        <v>15</v>
      </c>
      <c r="G6558" s="18">
        <v>0</v>
      </c>
      <c r="H6558" s="27">
        <f t="shared" si="204"/>
        <v>0</v>
      </c>
      <c r="I6558" s="18">
        <v>0</v>
      </c>
      <c r="J6558" s="27">
        <v>51901.97</v>
      </c>
      <c r="K6558" s="18">
        <f t="shared" si="205"/>
        <v>0</v>
      </c>
      <c r="L6558" s="27">
        <v>1643.56</v>
      </c>
      <c r="M6558" s="36">
        <v>1643.56</v>
      </c>
      <c r="N6558" s="18" t="s">
        <v>123</v>
      </c>
      <c r="O6558" s="19">
        <v>51901.97</v>
      </c>
      <c r="T6558" s="41">
        <v>0</v>
      </c>
      <c r="U6558" s="41">
        <v>0</v>
      </c>
      <c r="V6558" s="42" t="s">
        <v>113</v>
      </c>
      <c r="W6558" s="42">
        <v>0</v>
      </c>
      <c r="X6558" s="42">
        <v>0</v>
      </c>
    </row>
    <row r="6559" spans="1:24">
      <c r="A6559" s="27" t="s">
        <v>12078</v>
      </c>
      <c r="B6559" s="28" t="s">
        <v>5102</v>
      </c>
      <c r="C6559" s="27" t="s">
        <v>12077</v>
      </c>
      <c r="D6559" s="27" t="s">
        <v>5104</v>
      </c>
      <c r="E6559" s="29">
        <v>43637</v>
      </c>
      <c r="F6559" s="27">
        <v>15</v>
      </c>
      <c r="G6559" s="18">
        <v>0</v>
      </c>
      <c r="H6559" s="27">
        <f t="shared" si="204"/>
        <v>0</v>
      </c>
      <c r="I6559" s="18">
        <v>0</v>
      </c>
      <c r="J6559" s="27">
        <v>80973.64</v>
      </c>
      <c r="K6559" s="18">
        <f t="shared" si="205"/>
        <v>0</v>
      </c>
      <c r="L6559" s="27">
        <v>2564.17</v>
      </c>
      <c r="M6559" s="36">
        <v>2564.17</v>
      </c>
      <c r="N6559" s="18" t="s">
        <v>123</v>
      </c>
      <c r="O6559" s="19">
        <v>80973.64</v>
      </c>
      <c r="T6559" s="41">
        <v>0</v>
      </c>
      <c r="U6559" s="41">
        <v>0</v>
      </c>
      <c r="V6559" s="42" t="s">
        <v>113</v>
      </c>
      <c r="W6559" s="42">
        <v>0</v>
      </c>
      <c r="X6559" s="42">
        <v>0</v>
      </c>
    </row>
    <row r="6560" spans="1:24">
      <c r="A6560" s="27" t="s">
        <v>12079</v>
      </c>
      <c r="B6560" s="28" t="s">
        <v>5102</v>
      </c>
      <c r="C6560" s="27" t="s">
        <v>12077</v>
      </c>
      <c r="D6560" s="27" t="s">
        <v>5104</v>
      </c>
      <c r="E6560" s="29">
        <v>43637</v>
      </c>
      <c r="F6560" s="27">
        <v>15</v>
      </c>
      <c r="G6560" s="18">
        <v>0</v>
      </c>
      <c r="H6560" s="27">
        <f t="shared" si="204"/>
        <v>0</v>
      </c>
      <c r="I6560" s="18">
        <v>0</v>
      </c>
      <c r="J6560" s="27">
        <v>25211.88</v>
      </c>
      <c r="K6560" s="18">
        <f t="shared" si="205"/>
        <v>0</v>
      </c>
      <c r="L6560" s="27">
        <v>798.38</v>
      </c>
      <c r="M6560" s="36">
        <v>798.38</v>
      </c>
      <c r="N6560" s="18" t="s">
        <v>123</v>
      </c>
      <c r="O6560" s="19">
        <v>25211.88</v>
      </c>
      <c r="T6560" s="41">
        <v>0</v>
      </c>
      <c r="U6560" s="41">
        <v>0</v>
      </c>
      <c r="V6560" s="42" t="s">
        <v>113</v>
      </c>
      <c r="W6560" s="42">
        <v>0</v>
      </c>
      <c r="X6560" s="42">
        <v>0</v>
      </c>
    </row>
    <row r="6561" spans="1:24">
      <c r="A6561" s="27" t="s">
        <v>12080</v>
      </c>
      <c r="B6561" s="28" t="s">
        <v>5102</v>
      </c>
      <c r="C6561" s="27" t="s">
        <v>12081</v>
      </c>
      <c r="D6561" s="27" t="s">
        <v>5104</v>
      </c>
      <c r="E6561" s="29">
        <v>43637</v>
      </c>
      <c r="F6561" s="27">
        <v>15</v>
      </c>
      <c r="G6561" s="18">
        <v>0</v>
      </c>
      <c r="H6561" s="27">
        <f t="shared" si="204"/>
        <v>0</v>
      </c>
      <c r="I6561" s="18">
        <v>0</v>
      </c>
      <c r="J6561" s="27">
        <v>45249.98</v>
      </c>
      <c r="K6561" s="18">
        <f t="shared" si="205"/>
        <v>0</v>
      </c>
      <c r="L6561" s="27">
        <v>1432.92</v>
      </c>
      <c r="M6561" s="36">
        <v>1432.92</v>
      </c>
      <c r="N6561" s="18" t="s">
        <v>123</v>
      </c>
      <c r="O6561" s="19">
        <v>45249.98</v>
      </c>
      <c r="T6561" s="41">
        <v>0</v>
      </c>
      <c r="U6561" s="41">
        <v>0</v>
      </c>
      <c r="V6561" s="42" t="s">
        <v>113</v>
      </c>
      <c r="W6561" s="42">
        <v>0</v>
      </c>
      <c r="X6561" s="42">
        <v>0</v>
      </c>
    </row>
    <row r="6562" spans="1:24">
      <c r="A6562" s="27" t="s">
        <v>12082</v>
      </c>
      <c r="B6562" s="28" t="s">
        <v>5102</v>
      </c>
      <c r="C6562" s="27" t="s">
        <v>12081</v>
      </c>
      <c r="D6562" s="27" t="s">
        <v>5104</v>
      </c>
      <c r="E6562" s="29">
        <v>43637</v>
      </c>
      <c r="F6562" s="27">
        <v>15</v>
      </c>
      <c r="G6562" s="18">
        <v>0</v>
      </c>
      <c r="H6562" s="27">
        <f t="shared" si="204"/>
        <v>0</v>
      </c>
      <c r="I6562" s="18">
        <v>0</v>
      </c>
      <c r="J6562" s="27">
        <v>111195.05</v>
      </c>
      <c r="K6562" s="18">
        <f t="shared" si="205"/>
        <v>0</v>
      </c>
      <c r="L6562" s="27">
        <v>3521.18</v>
      </c>
      <c r="M6562" s="36">
        <v>3521.18</v>
      </c>
      <c r="N6562" s="18" t="s">
        <v>123</v>
      </c>
      <c r="O6562" s="19">
        <v>111195.05</v>
      </c>
      <c r="T6562" s="41">
        <v>0</v>
      </c>
      <c r="U6562" s="41">
        <v>0</v>
      </c>
      <c r="V6562" s="42" t="s">
        <v>113</v>
      </c>
      <c r="W6562" s="42">
        <v>0</v>
      </c>
      <c r="X6562" s="42">
        <v>0</v>
      </c>
    </row>
    <row r="6563" spans="1:24">
      <c r="A6563" s="27" t="s">
        <v>12083</v>
      </c>
      <c r="B6563" s="28" t="s">
        <v>5102</v>
      </c>
      <c r="C6563" s="27" t="s">
        <v>12081</v>
      </c>
      <c r="D6563" s="27" t="s">
        <v>5104</v>
      </c>
      <c r="E6563" s="29">
        <v>43637</v>
      </c>
      <c r="F6563" s="27">
        <v>15</v>
      </c>
      <c r="G6563" s="18">
        <v>0</v>
      </c>
      <c r="H6563" s="27">
        <f t="shared" si="204"/>
        <v>0</v>
      </c>
      <c r="I6563" s="18">
        <v>0</v>
      </c>
      <c r="J6563" s="27">
        <v>13303.99</v>
      </c>
      <c r="K6563" s="18">
        <f t="shared" si="205"/>
        <v>0</v>
      </c>
      <c r="L6563" s="27">
        <v>421.29</v>
      </c>
      <c r="M6563" s="36">
        <v>421.29</v>
      </c>
      <c r="N6563" s="18" t="s">
        <v>123</v>
      </c>
      <c r="O6563" s="19">
        <v>13303.99</v>
      </c>
      <c r="T6563" s="41">
        <v>0</v>
      </c>
      <c r="U6563" s="41">
        <v>0</v>
      </c>
      <c r="V6563" s="42" t="s">
        <v>113</v>
      </c>
      <c r="W6563" s="42">
        <v>0</v>
      </c>
      <c r="X6563" s="42">
        <v>0</v>
      </c>
    </row>
    <row r="6564" spans="1:24">
      <c r="A6564" s="27" t="s">
        <v>12084</v>
      </c>
      <c r="B6564" s="28" t="s">
        <v>5102</v>
      </c>
      <c r="C6564" s="27" t="s">
        <v>12085</v>
      </c>
      <c r="D6564" s="27" t="s">
        <v>5104</v>
      </c>
      <c r="E6564" s="29">
        <v>43637</v>
      </c>
      <c r="F6564" s="27">
        <v>15</v>
      </c>
      <c r="G6564" s="18">
        <v>0</v>
      </c>
      <c r="H6564" s="27">
        <f t="shared" si="204"/>
        <v>0</v>
      </c>
      <c r="I6564" s="18">
        <v>0</v>
      </c>
      <c r="J6564" s="27">
        <v>51984.09</v>
      </c>
      <c r="K6564" s="18">
        <f t="shared" si="205"/>
        <v>0</v>
      </c>
      <c r="L6564" s="27">
        <v>1646.16</v>
      </c>
      <c r="M6564" s="36">
        <v>1646.16</v>
      </c>
      <c r="N6564" s="18" t="s">
        <v>123</v>
      </c>
      <c r="O6564" s="19">
        <v>51984.09</v>
      </c>
      <c r="T6564" s="41">
        <v>0</v>
      </c>
      <c r="U6564" s="41">
        <v>0</v>
      </c>
      <c r="V6564" s="42" t="s">
        <v>113</v>
      </c>
      <c r="W6564" s="42">
        <v>0</v>
      </c>
      <c r="X6564" s="42">
        <v>0</v>
      </c>
    </row>
    <row r="6565" spans="1:24">
      <c r="A6565" s="27" t="s">
        <v>12086</v>
      </c>
      <c r="B6565" s="28" t="s">
        <v>5102</v>
      </c>
      <c r="C6565" s="27" t="s">
        <v>12085</v>
      </c>
      <c r="D6565" s="27" t="s">
        <v>5104</v>
      </c>
      <c r="E6565" s="29">
        <v>43637</v>
      </c>
      <c r="F6565" s="27">
        <v>15</v>
      </c>
      <c r="G6565" s="18">
        <v>0</v>
      </c>
      <c r="H6565" s="27">
        <f t="shared" si="204"/>
        <v>0</v>
      </c>
      <c r="I6565" s="18">
        <v>0</v>
      </c>
      <c r="J6565" s="27">
        <v>5748.64</v>
      </c>
      <c r="K6565" s="18">
        <f t="shared" si="205"/>
        <v>0</v>
      </c>
      <c r="L6565" s="27">
        <v>182.04</v>
      </c>
      <c r="M6565" s="36">
        <v>182.04</v>
      </c>
      <c r="N6565" s="18" t="s">
        <v>123</v>
      </c>
      <c r="O6565" s="19">
        <v>5748.64</v>
      </c>
      <c r="T6565" s="41">
        <v>0</v>
      </c>
      <c r="U6565" s="41">
        <v>0</v>
      </c>
      <c r="V6565" s="42" t="s">
        <v>113</v>
      </c>
      <c r="W6565" s="42">
        <v>0</v>
      </c>
      <c r="X6565" s="42">
        <v>0</v>
      </c>
    </row>
    <row r="6566" spans="1:24">
      <c r="A6566" s="27" t="s">
        <v>12087</v>
      </c>
      <c r="B6566" s="28" t="s">
        <v>5102</v>
      </c>
      <c r="C6566" s="27" t="s">
        <v>12085</v>
      </c>
      <c r="D6566" s="27" t="s">
        <v>5104</v>
      </c>
      <c r="E6566" s="29">
        <v>43637</v>
      </c>
      <c r="F6566" s="27">
        <v>15</v>
      </c>
      <c r="G6566" s="18">
        <v>0</v>
      </c>
      <c r="H6566" s="27">
        <f t="shared" si="204"/>
        <v>0</v>
      </c>
      <c r="I6566" s="18">
        <v>0</v>
      </c>
      <c r="J6566" s="27">
        <v>13878.85</v>
      </c>
      <c r="K6566" s="18">
        <f t="shared" si="205"/>
        <v>0</v>
      </c>
      <c r="L6566" s="27">
        <v>439.5</v>
      </c>
      <c r="M6566" s="36">
        <v>439.5</v>
      </c>
      <c r="N6566" s="18" t="s">
        <v>123</v>
      </c>
      <c r="O6566" s="19">
        <v>13878.85</v>
      </c>
      <c r="T6566" s="41">
        <v>0</v>
      </c>
      <c r="U6566" s="41">
        <v>0</v>
      </c>
      <c r="V6566" s="42" t="s">
        <v>113</v>
      </c>
      <c r="W6566" s="42">
        <v>0</v>
      </c>
      <c r="X6566" s="42">
        <v>0</v>
      </c>
    </row>
    <row r="6567" spans="1:24">
      <c r="A6567" s="27" t="s">
        <v>12088</v>
      </c>
      <c r="B6567" s="28" t="s">
        <v>5102</v>
      </c>
      <c r="C6567" s="27" t="s">
        <v>12089</v>
      </c>
      <c r="D6567" s="27" t="s">
        <v>5104</v>
      </c>
      <c r="E6567" s="29">
        <v>43637</v>
      </c>
      <c r="F6567" s="27">
        <v>15</v>
      </c>
      <c r="G6567" s="18">
        <v>0</v>
      </c>
      <c r="H6567" s="27">
        <f t="shared" si="204"/>
        <v>0</v>
      </c>
      <c r="I6567" s="18">
        <v>0</v>
      </c>
      <c r="J6567" s="27">
        <v>34902.43</v>
      </c>
      <c r="K6567" s="18">
        <f t="shared" si="205"/>
        <v>0</v>
      </c>
      <c r="L6567" s="27">
        <v>1105.24</v>
      </c>
      <c r="M6567" s="36">
        <v>1105.24</v>
      </c>
      <c r="N6567" s="18" t="s">
        <v>123</v>
      </c>
      <c r="O6567" s="19">
        <v>34902.43</v>
      </c>
      <c r="T6567" s="41">
        <v>0</v>
      </c>
      <c r="U6567" s="41">
        <v>0</v>
      </c>
      <c r="V6567" s="42" t="s">
        <v>113</v>
      </c>
      <c r="W6567" s="42">
        <v>0</v>
      </c>
      <c r="X6567" s="42">
        <v>0</v>
      </c>
    </row>
    <row r="6568" spans="1:24">
      <c r="A6568" s="27" t="s">
        <v>12090</v>
      </c>
      <c r="B6568" s="28" t="s">
        <v>5102</v>
      </c>
      <c r="C6568" s="27" t="s">
        <v>12089</v>
      </c>
      <c r="D6568" s="27" t="s">
        <v>5104</v>
      </c>
      <c r="E6568" s="29">
        <v>43637</v>
      </c>
      <c r="F6568" s="27">
        <v>15</v>
      </c>
      <c r="G6568" s="18">
        <v>0</v>
      </c>
      <c r="H6568" s="27">
        <f t="shared" si="204"/>
        <v>0</v>
      </c>
      <c r="I6568" s="18">
        <v>0</v>
      </c>
      <c r="J6568" s="27">
        <v>35559.42</v>
      </c>
      <c r="K6568" s="18">
        <f t="shared" si="205"/>
        <v>0</v>
      </c>
      <c r="L6568" s="27">
        <v>1126.05</v>
      </c>
      <c r="M6568" s="36">
        <v>1126.05</v>
      </c>
      <c r="N6568" s="18" t="s">
        <v>123</v>
      </c>
      <c r="O6568" s="19">
        <v>35559.42</v>
      </c>
      <c r="T6568" s="41">
        <v>0</v>
      </c>
      <c r="U6568" s="41">
        <v>0</v>
      </c>
      <c r="V6568" s="42" t="s">
        <v>113</v>
      </c>
      <c r="W6568" s="42">
        <v>0</v>
      </c>
      <c r="X6568" s="42">
        <v>0</v>
      </c>
    </row>
    <row r="6569" spans="1:24">
      <c r="A6569" s="27" t="s">
        <v>12091</v>
      </c>
      <c r="B6569" s="28" t="s">
        <v>5102</v>
      </c>
      <c r="C6569" s="27" t="s">
        <v>12089</v>
      </c>
      <c r="D6569" s="27" t="s">
        <v>5104</v>
      </c>
      <c r="E6569" s="29">
        <v>43637</v>
      </c>
      <c r="F6569" s="27">
        <v>15</v>
      </c>
      <c r="G6569" s="18">
        <v>0</v>
      </c>
      <c r="H6569" s="27">
        <f t="shared" si="204"/>
        <v>0</v>
      </c>
      <c r="I6569" s="18">
        <v>0</v>
      </c>
      <c r="J6569" s="27">
        <v>30139.27</v>
      </c>
      <c r="K6569" s="18">
        <f t="shared" si="205"/>
        <v>0</v>
      </c>
      <c r="L6569" s="27">
        <v>954.41</v>
      </c>
      <c r="M6569" s="36">
        <v>954.41</v>
      </c>
      <c r="N6569" s="18" t="s">
        <v>123</v>
      </c>
      <c r="O6569" s="19">
        <v>30139.27</v>
      </c>
      <c r="T6569" s="41">
        <v>0</v>
      </c>
      <c r="U6569" s="41">
        <v>0</v>
      </c>
      <c r="V6569" s="42" t="s">
        <v>113</v>
      </c>
      <c r="W6569" s="42">
        <v>0</v>
      </c>
      <c r="X6569" s="42">
        <v>0</v>
      </c>
    </row>
    <row r="6570" spans="1:24">
      <c r="A6570" s="27" t="s">
        <v>12092</v>
      </c>
      <c r="B6570" s="28" t="s">
        <v>5102</v>
      </c>
      <c r="C6570" s="27" t="s">
        <v>12093</v>
      </c>
      <c r="D6570" s="27" t="s">
        <v>5104</v>
      </c>
      <c r="E6570" s="29">
        <v>43637</v>
      </c>
      <c r="F6570" s="27">
        <v>15</v>
      </c>
      <c r="G6570" s="18">
        <v>0</v>
      </c>
      <c r="H6570" s="27">
        <f t="shared" si="204"/>
        <v>0</v>
      </c>
      <c r="I6570" s="18">
        <v>0</v>
      </c>
      <c r="J6570" s="27">
        <v>56829.37</v>
      </c>
      <c r="K6570" s="18">
        <f t="shared" si="205"/>
        <v>0</v>
      </c>
      <c r="L6570" s="27">
        <v>1799.6</v>
      </c>
      <c r="M6570" s="36">
        <v>1799.6</v>
      </c>
      <c r="N6570" s="18" t="s">
        <v>123</v>
      </c>
      <c r="O6570" s="19">
        <v>56829.37</v>
      </c>
      <c r="T6570" s="41">
        <v>0</v>
      </c>
      <c r="U6570" s="41">
        <v>0</v>
      </c>
      <c r="V6570" s="42" t="s">
        <v>113</v>
      </c>
      <c r="W6570" s="42">
        <v>0</v>
      </c>
      <c r="X6570" s="42">
        <v>0</v>
      </c>
    </row>
    <row r="6571" spans="1:24">
      <c r="A6571" s="27" t="s">
        <v>12094</v>
      </c>
      <c r="B6571" s="28" t="s">
        <v>5102</v>
      </c>
      <c r="C6571" s="27" t="s">
        <v>12093</v>
      </c>
      <c r="D6571" s="27" t="s">
        <v>5104</v>
      </c>
      <c r="E6571" s="29">
        <v>43637</v>
      </c>
      <c r="F6571" s="27">
        <v>15</v>
      </c>
      <c r="G6571" s="18">
        <v>0</v>
      </c>
      <c r="H6571" s="27">
        <f t="shared" si="204"/>
        <v>0</v>
      </c>
      <c r="I6571" s="18">
        <v>0</v>
      </c>
      <c r="J6571" s="27">
        <v>2299.4499999999998</v>
      </c>
      <c r="K6571" s="18">
        <f t="shared" si="205"/>
        <v>0</v>
      </c>
      <c r="L6571" s="27">
        <v>72.819999999999993</v>
      </c>
      <c r="M6571" s="36">
        <v>72.819999999999993</v>
      </c>
      <c r="N6571" s="18" t="s">
        <v>123</v>
      </c>
      <c r="O6571" s="19">
        <v>2299.4499999999998</v>
      </c>
      <c r="T6571" s="41">
        <v>0</v>
      </c>
      <c r="U6571" s="41">
        <v>0</v>
      </c>
      <c r="V6571" s="42" t="s">
        <v>113</v>
      </c>
      <c r="W6571" s="42">
        <v>0</v>
      </c>
      <c r="X6571" s="42">
        <v>0</v>
      </c>
    </row>
    <row r="6572" spans="1:24">
      <c r="A6572" s="27" t="s">
        <v>12095</v>
      </c>
      <c r="B6572" s="28" t="s">
        <v>5102</v>
      </c>
      <c r="C6572" s="27" t="s">
        <v>12096</v>
      </c>
      <c r="D6572" s="27" t="s">
        <v>5104</v>
      </c>
      <c r="E6572" s="29">
        <v>43637</v>
      </c>
      <c r="F6572" s="27">
        <v>15</v>
      </c>
      <c r="G6572" s="18">
        <v>0</v>
      </c>
      <c r="H6572" s="27">
        <f t="shared" si="204"/>
        <v>0</v>
      </c>
      <c r="I6572" s="18">
        <v>0</v>
      </c>
      <c r="J6572" s="27">
        <v>23980.03</v>
      </c>
      <c r="K6572" s="18">
        <f t="shared" si="205"/>
        <v>0</v>
      </c>
      <c r="L6572" s="27">
        <v>759.37</v>
      </c>
      <c r="M6572" s="36">
        <v>759.37</v>
      </c>
      <c r="N6572" s="18" t="s">
        <v>123</v>
      </c>
      <c r="O6572" s="19">
        <v>23980.03</v>
      </c>
      <c r="T6572" s="41">
        <v>0</v>
      </c>
      <c r="U6572" s="41">
        <v>0</v>
      </c>
      <c r="V6572" s="42" t="s">
        <v>113</v>
      </c>
      <c r="W6572" s="42">
        <v>0</v>
      </c>
      <c r="X6572" s="42">
        <v>0</v>
      </c>
    </row>
    <row r="6573" spans="1:24">
      <c r="A6573" s="27" t="s">
        <v>12097</v>
      </c>
      <c r="B6573" s="28" t="s">
        <v>5102</v>
      </c>
      <c r="C6573" s="27" t="s">
        <v>12096</v>
      </c>
      <c r="D6573" s="27" t="s">
        <v>5104</v>
      </c>
      <c r="E6573" s="29">
        <v>43637</v>
      </c>
      <c r="F6573" s="27">
        <v>15</v>
      </c>
      <c r="G6573" s="18">
        <v>0</v>
      </c>
      <c r="H6573" s="27">
        <f t="shared" si="204"/>
        <v>0</v>
      </c>
      <c r="I6573" s="18">
        <v>0</v>
      </c>
      <c r="J6573" s="27">
        <v>9197.82</v>
      </c>
      <c r="K6573" s="18">
        <f t="shared" si="205"/>
        <v>0</v>
      </c>
      <c r="L6573" s="27">
        <v>291.26</v>
      </c>
      <c r="M6573" s="36">
        <v>291.26</v>
      </c>
      <c r="N6573" s="18" t="s">
        <v>123</v>
      </c>
      <c r="O6573" s="19">
        <v>9197.82</v>
      </c>
      <c r="T6573" s="41">
        <v>0</v>
      </c>
      <c r="U6573" s="41">
        <v>0</v>
      </c>
      <c r="V6573" s="42" t="s">
        <v>113</v>
      </c>
      <c r="W6573" s="42">
        <v>0</v>
      </c>
      <c r="X6573" s="42">
        <v>0</v>
      </c>
    </row>
    <row r="6574" spans="1:24">
      <c r="A6574" s="27" t="s">
        <v>12098</v>
      </c>
      <c r="B6574" s="28" t="s">
        <v>5102</v>
      </c>
      <c r="C6574" s="27" t="s">
        <v>12096</v>
      </c>
      <c r="D6574" s="27" t="s">
        <v>5104</v>
      </c>
      <c r="E6574" s="29">
        <v>43637</v>
      </c>
      <c r="F6574" s="27">
        <v>15</v>
      </c>
      <c r="G6574" s="18">
        <v>0</v>
      </c>
      <c r="H6574" s="27">
        <f t="shared" si="204"/>
        <v>0</v>
      </c>
      <c r="I6574" s="18">
        <v>0</v>
      </c>
      <c r="J6574" s="27">
        <v>29975.03</v>
      </c>
      <c r="K6574" s="18">
        <f t="shared" si="205"/>
        <v>0</v>
      </c>
      <c r="L6574" s="27">
        <v>949.21</v>
      </c>
      <c r="M6574" s="36">
        <v>949.21</v>
      </c>
      <c r="N6574" s="18" t="s">
        <v>123</v>
      </c>
      <c r="O6574" s="19">
        <v>29975.03</v>
      </c>
      <c r="T6574" s="41">
        <v>0</v>
      </c>
      <c r="U6574" s="41">
        <v>0</v>
      </c>
      <c r="V6574" s="42" t="s">
        <v>113</v>
      </c>
      <c r="W6574" s="42">
        <v>0</v>
      </c>
      <c r="X6574" s="42">
        <v>0</v>
      </c>
    </row>
    <row r="6575" spans="1:24">
      <c r="A6575" s="27" t="s">
        <v>12099</v>
      </c>
      <c r="B6575" s="28" t="s">
        <v>5102</v>
      </c>
      <c r="C6575" s="27" t="s">
        <v>12100</v>
      </c>
      <c r="D6575" s="27" t="s">
        <v>5104</v>
      </c>
      <c r="E6575" s="29">
        <v>43637</v>
      </c>
      <c r="F6575" s="27">
        <v>15</v>
      </c>
      <c r="G6575" s="18">
        <v>0</v>
      </c>
      <c r="H6575" s="27">
        <f t="shared" si="204"/>
        <v>0</v>
      </c>
      <c r="I6575" s="18">
        <v>0</v>
      </c>
      <c r="J6575" s="27">
        <v>89596.6</v>
      </c>
      <c r="K6575" s="18">
        <f t="shared" si="205"/>
        <v>0</v>
      </c>
      <c r="L6575" s="27">
        <v>2837.23</v>
      </c>
      <c r="M6575" s="36">
        <v>2837.23</v>
      </c>
      <c r="N6575" s="18" t="s">
        <v>123</v>
      </c>
      <c r="O6575" s="19">
        <v>89596.6</v>
      </c>
      <c r="T6575" s="41">
        <v>0</v>
      </c>
      <c r="U6575" s="41">
        <v>0</v>
      </c>
      <c r="V6575" s="42" t="s">
        <v>113</v>
      </c>
      <c r="W6575" s="42">
        <v>0</v>
      </c>
      <c r="X6575" s="42">
        <v>0</v>
      </c>
    </row>
    <row r="6576" spans="1:24">
      <c r="A6576" s="27" t="s">
        <v>12101</v>
      </c>
      <c r="B6576" s="28" t="s">
        <v>5102</v>
      </c>
      <c r="C6576" s="27" t="s">
        <v>12100</v>
      </c>
      <c r="D6576" s="27" t="s">
        <v>5104</v>
      </c>
      <c r="E6576" s="29">
        <v>43637</v>
      </c>
      <c r="F6576" s="27">
        <v>15</v>
      </c>
      <c r="G6576" s="18">
        <v>0</v>
      </c>
      <c r="H6576" s="27">
        <f t="shared" si="204"/>
        <v>0</v>
      </c>
      <c r="I6576" s="18">
        <v>0</v>
      </c>
      <c r="J6576" s="27">
        <v>27675.58</v>
      </c>
      <c r="K6576" s="18">
        <f t="shared" si="205"/>
        <v>0</v>
      </c>
      <c r="L6576" s="27">
        <v>876.39</v>
      </c>
      <c r="M6576" s="36">
        <v>876.39</v>
      </c>
      <c r="N6576" s="18" t="s">
        <v>123</v>
      </c>
      <c r="O6576" s="19">
        <v>27675.58</v>
      </c>
      <c r="T6576" s="41">
        <v>0</v>
      </c>
      <c r="U6576" s="41">
        <v>0</v>
      </c>
      <c r="V6576" s="42" t="s">
        <v>113</v>
      </c>
      <c r="W6576" s="42">
        <v>0</v>
      </c>
      <c r="X6576" s="42">
        <v>0</v>
      </c>
    </row>
    <row r="6577" spans="1:24">
      <c r="A6577" s="27" t="s">
        <v>12102</v>
      </c>
      <c r="B6577" s="28" t="s">
        <v>5102</v>
      </c>
      <c r="C6577" s="27" t="s">
        <v>12100</v>
      </c>
      <c r="D6577" s="27" t="s">
        <v>5104</v>
      </c>
      <c r="E6577" s="29">
        <v>43637</v>
      </c>
      <c r="F6577" s="27">
        <v>15</v>
      </c>
      <c r="G6577" s="18">
        <v>0</v>
      </c>
      <c r="H6577" s="27">
        <f t="shared" si="204"/>
        <v>0</v>
      </c>
      <c r="I6577" s="18">
        <v>0</v>
      </c>
      <c r="J6577" s="27">
        <v>21434.2</v>
      </c>
      <c r="K6577" s="18">
        <f t="shared" si="205"/>
        <v>0</v>
      </c>
      <c r="L6577" s="27">
        <v>678.75</v>
      </c>
      <c r="M6577" s="36">
        <v>678.75</v>
      </c>
      <c r="N6577" s="18" t="s">
        <v>123</v>
      </c>
      <c r="O6577" s="19">
        <v>21434.2</v>
      </c>
      <c r="T6577" s="41">
        <v>0</v>
      </c>
      <c r="U6577" s="41">
        <v>0</v>
      </c>
      <c r="V6577" s="42" t="s">
        <v>113</v>
      </c>
      <c r="W6577" s="42">
        <v>0</v>
      </c>
      <c r="X6577" s="42">
        <v>0</v>
      </c>
    </row>
    <row r="6578" spans="1:24">
      <c r="A6578" s="27" t="s">
        <v>12103</v>
      </c>
      <c r="B6578" s="28" t="s">
        <v>5102</v>
      </c>
      <c r="C6578" s="27" t="s">
        <v>12104</v>
      </c>
      <c r="D6578" s="27" t="s">
        <v>5104</v>
      </c>
      <c r="E6578" s="29">
        <v>43637</v>
      </c>
      <c r="F6578" s="27">
        <v>15</v>
      </c>
      <c r="G6578" s="18">
        <v>0</v>
      </c>
      <c r="H6578" s="27">
        <f t="shared" si="204"/>
        <v>0</v>
      </c>
      <c r="I6578" s="18">
        <v>0</v>
      </c>
      <c r="J6578" s="27">
        <v>16178.31</v>
      </c>
      <c r="K6578" s="18">
        <f t="shared" si="205"/>
        <v>0</v>
      </c>
      <c r="L6578" s="27">
        <v>512.30999999999995</v>
      </c>
      <c r="M6578" s="36">
        <v>512.30999999999995</v>
      </c>
      <c r="N6578" s="18" t="s">
        <v>123</v>
      </c>
      <c r="O6578" s="19">
        <v>16178.31</v>
      </c>
      <c r="T6578" s="41">
        <v>0</v>
      </c>
      <c r="U6578" s="41">
        <v>0</v>
      </c>
      <c r="V6578" s="42" t="s">
        <v>113</v>
      </c>
      <c r="W6578" s="42">
        <v>0</v>
      </c>
      <c r="X6578" s="42">
        <v>0</v>
      </c>
    </row>
    <row r="6579" spans="1:24">
      <c r="A6579" s="27" t="s">
        <v>12105</v>
      </c>
      <c r="B6579" s="28" t="s">
        <v>5102</v>
      </c>
      <c r="C6579" s="27" t="s">
        <v>12104</v>
      </c>
      <c r="D6579" s="27" t="s">
        <v>5104</v>
      </c>
      <c r="E6579" s="29">
        <v>43637</v>
      </c>
      <c r="F6579" s="27">
        <v>15</v>
      </c>
      <c r="G6579" s="18">
        <v>0</v>
      </c>
      <c r="H6579" s="27">
        <f t="shared" si="204"/>
        <v>0</v>
      </c>
      <c r="I6579" s="18">
        <v>0</v>
      </c>
      <c r="J6579" s="27">
        <v>54119.3</v>
      </c>
      <c r="K6579" s="18">
        <f t="shared" si="205"/>
        <v>0</v>
      </c>
      <c r="L6579" s="27">
        <v>1713.78</v>
      </c>
      <c r="M6579" s="36">
        <v>1713.78</v>
      </c>
      <c r="N6579" s="18" t="s">
        <v>123</v>
      </c>
      <c r="O6579" s="19">
        <v>54119.3</v>
      </c>
      <c r="T6579" s="41">
        <v>0</v>
      </c>
      <c r="U6579" s="41">
        <v>0</v>
      </c>
      <c r="V6579" s="42" t="s">
        <v>113</v>
      </c>
      <c r="W6579" s="42">
        <v>0</v>
      </c>
      <c r="X6579" s="42">
        <v>0</v>
      </c>
    </row>
    <row r="6580" spans="1:24">
      <c r="A6580" s="27" t="s">
        <v>12106</v>
      </c>
      <c r="B6580" s="28" t="s">
        <v>5102</v>
      </c>
      <c r="C6580" s="27" t="s">
        <v>12104</v>
      </c>
      <c r="D6580" s="27" t="s">
        <v>5104</v>
      </c>
      <c r="E6580" s="29">
        <v>43637</v>
      </c>
      <c r="F6580" s="27">
        <v>15</v>
      </c>
      <c r="G6580" s="18">
        <v>0</v>
      </c>
      <c r="H6580" s="27">
        <f t="shared" si="204"/>
        <v>0</v>
      </c>
      <c r="I6580" s="18">
        <v>0</v>
      </c>
      <c r="J6580" s="27">
        <v>9936.93</v>
      </c>
      <c r="K6580" s="18">
        <f t="shared" si="205"/>
        <v>0</v>
      </c>
      <c r="L6580" s="27">
        <v>314.67</v>
      </c>
      <c r="M6580" s="36">
        <v>314.67</v>
      </c>
      <c r="N6580" s="18" t="s">
        <v>123</v>
      </c>
      <c r="O6580" s="19">
        <v>9936.93</v>
      </c>
      <c r="T6580" s="41">
        <v>0</v>
      </c>
      <c r="U6580" s="41">
        <v>0</v>
      </c>
      <c r="V6580" s="42" t="s">
        <v>113</v>
      </c>
      <c r="W6580" s="42">
        <v>0</v>
      </c>
      <c r="X6580" s="42">
        <v>0</v>
      </c>
    </row>
    <row r="6581" spans="1:24">
      <c r="A6581" s="27" t="s">
        <v>12107</v>
      </c>
      <c r="B6581" s="28" t="s">
        <v>5102</v>
      </c>
      <c r="C6581" s="27" t="s">
        <v>12100</v>
      </c>
      <c r="D6581" s="27" t="s">
        <v>5104</v>
      </c>
      <c r="E6581" s="29">
        <v>43637</v>
      </c>
      <c r="F6581" s="27">
        <v>15</v>
      </c>
      <c r="G6581" s="18">
        <v>0</v>
      </c>
      <c r="H6581" s="27">
        <f t="shared" si="204"/>
        <v>0</v>
      </c>
      <c r="I6581" s="18">
        <v>0</v>
      </c>
      <c r="J6581" s="27">
        <v>27100.71</v>
      </c>
      <c r="K6581" s="18">
        <f t="shared" si="205"/>
        <v>0</v>
      </c>
      <c r="L6581" s="27">
        <v>858.19</v>
      </c>
      <c r="M6581" s="36">
        <v>858.19</v>
      </c>
      <c r="N6581" s="18" t="s">
        <v>123</v>
      </c>
      <c r="O6581" s="19">
        <v>27100.71</v>
      </c>
      <c r="T6581" s="41">
        <v>0</v>
      </c>
      <c r="U6581" s="41">
        <v>0</v>
      </c>
      <c r="V6581" s="42" t="s">
        <v>113</v>
      </c>
      <c r="W6581" s="42">
        <v>0</v>
      </c>
      <c r="X6581" s="42">
        <v>0</v>
      </c>
    </row>
    <row r="6582" spans="1:24">
      <c r="A6582" s="27" t="s">
        <v>12108</v>
      </c>
      <c r="B6582" s="28" t="s">
        <v>5102</v>
      </c>
      <c r="C6582" s="27" t="s">
        <v>12109</v>
      </c>
      <c r="D6582" s="27" t="s">
        <v>5104</v>
      </c>
      <c r="E6582" s="29">
        <v>43637</v>
      </c>
      <c r="F6582" s="27">
        <v>15</v>
      </c>
      <c r="G6582" s="18">
        <v>0</v>
      </c>
      <c r="H6582" s="27">
        <f t="shared" si="204"/>
        <v>0</v>
      </c>
      <c r="I6582" s="18">
        <v>0</v>
      </c>
      <c r="J6582" s="27">
        <v>31781.75</v>
      </c>
      <c r="K6582" s="18">
        <f t="shared" si="205"/>
        <v>0</v>
      </c>
      <c r="L6582" s="27">
        <v>1006.42</v>
      </c>
      <c r="M6582" s="36">
        <v>1006.42</v>
      </c>
      <c r="N6582" s="18" t="s">
        <v>123</v>
      </c>
      <c r="O6582" s="19">
        <v>31781.75</v>
      </c>
      <c r="T6582" s="41">
        <v>0</v>
      </c>
      <c r="U6582" s="41">
        <v>0</v>
      </c>
      <c r="V6582" s="42" t="s">
        <v>113</v>
      </c>
      <c r="W6582" s="42">
        <v>0</v>
      </c>
      <c r="X6582" s="42">
        <v>0</v>
      </c>
    </row>
    <row r="6583" spans="1:24">
      <c r="A6583" s="27" t="s">
        <v>12110</v>
      </c>
      <c r="B6583" s="28" t="s">
        <v>5102</v>
      </c>
      <c r="C6583" s="27" t="s">
        <v>12109</v>
      </c>
      <c r="D6583" s="27" t="s">
        <v>5104</v>
      </c>
      <c r="E6583" s="29">
        <v>43637</v>
      </c>
      <c r="F6583" s="27">
        <v>15</v>
      </c>
      <c r="G6583" s="18">
        <v>0</v>
      </c>
      <c r="H6583" s="27">
        <f t="shared" si="204"/>
        <v>0</v>
      </c>
      <c r="I6583" s="18">
        <v>0</v>
      </c>
      <c r="J6583" s="27">
        <v>16671.04</v>
      </c>
      <c r="K6583" s="18">
        <f t="shared" si="205"/>
        <v>0</v>
      </c>
      <c r="L6583" s="27">
        <v>527.91999999999996</v>
      </c>
      <c r="M6583" s="36">
        <v>527.91999999999996</v>
      </c>
      <c r="N6583" s="18" t="s">
        <v>123</v>
      </c>
      <c r="O6583" s="19">
        <v>16671.04</v>
      </c>
      <c r="T6583" s="41">
        <v>0</v>
      </c>
      <c r="U6583" s="41">
        <v>0</v>
      </c>
      <c r="V6583" s="42" t="s">
        <v>113</v>
      </c>
      <c r="W6583" s="42">
        <v>0</v>
      </c>
      <c r="X6583" s="42">
        <v>0</v>
      </c>
    </row>
    <row r="6584" spans="1:24">
      <c r="A6584" s="27" t="s">
        <v>12111</v>
      </c>
      <c r="B6584" s="28" t="s">
        <v>5102</v>
      </c>
      <c r="C6584" s="27" t="s">
        <v>12112</v>
      </c>
      <c r="D6584" s="27" t="s">
        <v>5104</v>
      </c>
      <c r="E6584" s="29">
        <v>43637</v>
      </c>
      <c r="F6584" s="27">
        <v>15</v>
      </c>
      <c r="G6584" s="18">
        <v>0</v>
      </c>
      <c r="H6584" s="27">
        <f t="shared" si="204"/>
        <v>0</v>
      </c>
      <c r="I6584" s="18">
        <v>0</v>
      </c>
      <c r="J6584" s="27">
        <v>4106.17</v>
      </c>
      <c r="K6584" s="18">
        <f t="shared" si="205"/>
        <v>0</v>
      </c>
      <c r="L6584" s="27">
        <v>130.03</v>
      </c>
      <c r="M6584" s="36">
        <v>130.03</v>
      </c>
      <c r="N6584" s="18" t="s">
        <v>123</v>
      </c>
      <c r="O6584" s="19">
        <v>4106.17</v>
      </c>
      <c r="T6584" s="41">
        <v>0</v>
      </c>
      <c r="U6584" s="41">
        <v>0</v>
      </c>
      <c r="V6584" s="42" t="s">
        <v>113</v>
      </c>
      <c r="W6584" s="42">
        <v>0</v>
      </c>
      <c r="X6584" s="42">
        <v>0</v>
      </c>
    </row>
    <row r="6585" spans="1:24">
      <c r="A6585" s="27" t="s">
        <v>12113</v>
      </c>
      <c r="B6585" s="28" t="s">
        <v>5102</v>
      </c>
      <c r="C6585" s="27" t="s">
        <v>12112</v>
      </c>
      <c r="D6585" s="27" t="s">
        <v>5104</v>
      </c>
      <c r="E6585" s="29">
        <v>43637</v>
      </c>
      <c r="F6585" s="27">
        <v>15</v>
      </c>
      <c r="G6585" s="18">
        <v>0</v>
      </c>
      <c r="H6585" s="27">
        <f t="shared" si="204"/>
        <v>0</v>
      </c>
      <c r="I6585" s="18">
        <v>0</v>
      </c>
      <c r="J6585" s="27">
        <v>8787.2000000000007</v>
      </c>
      <c r="K6585" s="18">
        <f t="shared" si="205"/>
        <v>0</v>
      </c>
      <c r="L6585" s="27">
        <v>278.26</v>
      </c>
      <c r="M6585" s="36">
        <v>278.26</v>
      </c>
      <c r="N6585" s="18" t="s">
        <v>123</v>
      </c>
      <c r="O6585" s="19">
        <v>8787.2000000000007</v>
      </c>
      <c r="T6585" s="41">
        <v>0</v>
      </c>
      <c r="U6585" s="41">
        <v>0</v>
      </c>
      <c r="V6585" s="42" t="s">
        <v>113</v>
      </c>
      <c r="W6585" s="42">
        <v>0</v>
      </c>
      <c r="X6585" s="42">
        <v>0</v>
      </c>
    </row>
    <row r="6586" spans="1:24">
      <c r="A6586" s="27" t="s">
        <v>12114</v>
      </c>
      <c r="B6586" s="28" t="s">
        <v>5102</v>
      </c>
      <c r="C6586" s="27" t="s">
        <v>12115</v>
      </c>
      <c r="D6586" s="27" t="s">
        <v>5104</v>
      </c>
      <c r="E6586" s="29">
        <v>43636</v>
      </c>
      <c r="F6586" s="27">
        <v>15</v>
      </c>
      <c r="G6586" s="18">
        <v>0</v>
      </c>
      <c r="H6586" s="27">
        <f t="shared" si="204"/>
        <v>0</v>
      </c>
      <c r="I6586" s="18">
        <v>0</v>
      </c>
      <c r="J6586" s="27">
        <v>111847.8</v>
      </c>
      <c r="K6586" s="18">
        <f t="shared" si="205"/>
        <v>0</v>
      </c>
      <c r="L6586" s="27">
        <v>3541.85</v>
      </c>
      <c r="M6586" s="36">
        <v>3541.85</v>
      </c>
      <c r="N6586" s="18" t="s">
        <v>123</v>
      </c>
      <c r="O6586" s="19">
        <v>111847.8</v>
      </c>
      <c r="T6586" s="41">
        <v>0</v>
      </c>
      <c r="U6586" s="41">
        <v>0</v>
      </c>
      <c r="V6586" s="42" t="s">
        <v>113</v>
      </c>
      <c r="W6586" s="42">
        <v>0</v>
      </c>
      <c r="X6586" s="42">
        <v>0</v>
      </c>
    </row>
    <row r="6587" spans="1:24">
      <c r="A6587" s="27" t="s">
        <v>12116</v>
      </c>
      <c r="B6587" s="28" t="s">
        <v>5102</v>
      </c>
      <c r="C6587" s="27" t="s">
        <v>12115</v>
      </c>
      <c r="D6587" s="27" t="s">
        <v>5104</v>
      </c>
      <c r="E6587" s="29">
        <v>43636</v>
      </c>
      <c r="F6587" s="27">
        <v>15</v>
      </c>
      <c r="G6587" s="18">
        <v>0</v>
      </c>
      <c r="H6587" s="27">
        <f t="shared" si="204"/>
        <v>0</v>
      </c>
      <c r="I6587" s="18">
        <v>0</v>
      </c>
      <c r="J6587" s="27">
        <v>52058.83</v>
      </c>
      <c r="K6587" s="18">
        <f t="shared" si="205"/>
        <v>0</v>
      </c>
      <c r="L6587" s="27">
        <v>1648.53</v>
      </c>
      <c r="M6587" s="36">
        <v>1648.53</v>
      </c>
      <c r="N6587" s="18" t="s">
        <v>123</v>
      </c>
      <c r="O6587" s="19">
        <v>52058.83</v>
      </c>
      <c r="T6587" s="41">
        <v>0</v>
      </c>
      <c r="U6587" s="41">
        <v>0</v>
      </c>
      <c r="V6587" s="42" t="s">
        <v>113</v>
      </c>
      <c r="W6587" s="42">
        <v>0</v>
      </c>
      <c r="X6587" s="42">
        <v>0</v>
      </c>
    </row>
    <row r="6588" spans="1:24">
      <c r="A6588" s="27" t="s">
        <v>12117</v>
      </c>
      <c r="B6588" s="28" t="s">
        <v>5102</v>
      </c>
      <c r="C6588" s="27" t="s">
        <v>12115</v>
      </c>
      <c r="D6588" s="27" t="s">
        <v>5104</v>
      </c>
      <c r="E6588" s="29">
        <v>43636</v>
      </c>
      <c r="F6588" s="27">
        <v>15</v>
      </c>
      <c r="G6588" s="18">
        <v>0</v>
      </c>
      <c r="H6588" s="27">
        <f t="shared" si="204"/>
        <v>0</v>
      </c>
      <c r="I6588" s="18">
        <v>0</v>
      </c>
      <c r="J6588" s="27">
        <v>13476.46</v>
      </c>
      <c r="K6588" s="18">
        <f t="shared" si="205"/>
        <v>0</v>
      </c>
      <c r="L6588" s="27">
        <v>426.75</v>
      </c>
      <c r="M6588" s="36">
        <v>426.75</v>
      </c>
      <c r="N6588" s="18" t="s">
        <v>123</v>
      </c>
      <c r="O6588" s="19">
        <v>13476.46</v>
      </c>
      <c r="T6588" s="41">
        <v>0</v>
      </c>
      <c r="U6588" s="41">
        <v>0</v>
      </c>
      <c r="V6588" s="42" t="s">
        <v>113</v>
      </c>
      <c r="W6588" s="42">
        <v>0</v>
      </c>
      <c r="X6588" s="42">
        <v>0</v>
      </c>
    </row>
    <row r="6589" spans="1:24">
      <c r="A6589" s="27" t="s">
        <v>12118</v>
      </c>
      <c r="B6589" s="28" t="s">
        <v>5102</v>
      </c>
      <c r="C6589" s="27" t="s">
        <v>12115</v>
      </c>
      <c r="D6589" s="27" t="s">
        <v>5104</v>
      </c>
      <c r="E6589" s="29">
        <v>43636</v>
      </c>
      <c r="F6589" s="27">
        <v>15</v>
      </c>
      <c r="G6589" s="18">
        <v>0</v>
      </c>
      <c r="H6589" s="27">
        <f t="shared" si="204"/>
        <v>0</v>
      </c>
      <c r="I6589" s="18">
        <v>0</v>
      </c>
      <c r="J6589" s="27">
        <v>12723.97</v>
      </c>
      <c r="K6589" s="18">
        <f t="shared" si="205"/>
        <v>0</v>
      </c>
      <c r="L6589" s="27">
        <v>402.93</v>
      </c>
      <c r="M6589" s="36">
        <v>402.93</v>
      </c>
      <c r="N6589" s="18" t="s">
        <v>123</v>
      </c>
      <c r="O6589" s="19">
        <v>12723.97</v>
      </c>
      <c r="T6589" s="41">
        <v>0</v>
      </c>
      <c r="U6589" s="41">
        <v>0</v>
      </c>
      <c r="V6589" s="42" t="s">
        <v>113</v>
      </c>
      <c r="W6589" s="42">
        <v>0</v>
      </c>
      <c r="X6589" s="42">
        <v>0</v>
      </c>
    </row>
    <row r="6590" spans="1:24">
      <c r="A6590" s="27" t="s">
        <v>12119</v>
      </c>
      <c r="B6590" s="28" t="s">
        <v>5102</v>
      </c>
      <c r="C6590" s="27" t="s">
        <v>12120</v>
      </c>
      <c r="D6590" s="27" t="s">
        <v>5104</v>
      </c>
      <c r="E6590" s="29">
        <v>43636</v>
      </c>
      <c r="F6590" s="27">
        <v>15</v>
      </c>
      <c r="G6590" s="18">
        <v>0</v>
      </c>
      <c r="H6590" s="27">
        <f t="shared" si="204"/>
        <v>0</v>
      </c>
      <c r="I6590" s="18">
        <v>0</v>
      </c>
      <c r="J6590" s="27">
        <v>5199.04</v>
      </c>
      <c r="K6590" s="18">
        <f t="shared" si="205"/>
        <v>0</v>
      </c>
      <c r="L6590" s="27">
        <v>164.64</v>
      </c>
      <c r="M6590" s="36">
        <v>164.64</v>
      </c>
      <c r="N6590" s="18" t="s">
        <v>123</v>
      </c>
      <c r="O6590" s="19">
        <v>5199.04</v>
      </c>
      <c r="T6590" s="41">
        <v>0</v>
      </c>
      <c r="U6590" s="41">
        <v>0</v>
      </c>
      <c r="V6590" s="42" t="s">
        <v>113</v>
      </c>
      <c r="W6590" s="42">
        <v>0</v>
      </c>
      <c r="X6590" s="42">
        <v>0</v>
      </c>
    </row>
    <row r="6591" spans="1:24">
      <c r="A6591" s="27" t="s">
        <v>12121</v>
      </c>
      <c r="B6591" s="28" t="s">
        <v>5102</v>
      </c>
      <c r="C6591" s="27" t="s">
        <v>12120</v>
      </c>
      <c r="D6591" s="27" t="s">
        <v>5104</v>
      </c>
      <c r="E6591" s="29">
        <v>43636</v>
      </c>
      <c r="F6591" s="27">
        <v>15</v>
      </c>
      <c r="G6591" s="18">
        <v>0</v>
      </c>
      <c r="H6591" s="27">
        <f t="shared" si="204"/>
        <v>0</v>
      </c>
      <c r="I6591" s="18">
        <v>0</v>
      </c>
      <c r="J6591" s="27">
        <v>25789.98</v>
      </c>
      <c r="K6591" s="18">
        <f t="shared" si="205"/>
        <v>0</v>
      </c>
      <c r="L6591" s="27">
        <v>816.68</v>
      </c>
      <c r="M6591" s="36">
        <v>816.68</v>
      </c>
      <c r="N6591" s="18" t="s">
        <v>123</v>
      </c>
      <c r="O6591" s="19">
        <v>25789.98</v>
      </c>
      <c r="T6591" s="41">
        <v>0</v>
      </c>
      <c r="U6591" s="41">
        <v>0</v>
      </c>
      <c r="V6591" s="42" t="s">
        <v>113</v>
      </c>
      <c r="W6591" s="42">
        <v>0</v>
      </c>
      <c r="X6591" s="42">
        <v>0</v>
      </c>
    </row>
    <row r="6592" spans="1:24">
      <c r="A6592" s="27" t="s">
        <v>12122</v>
      </c>
      <c r="B6592" s="28" t="s">
        <v>5102</v>
      </c>
      <c r="C6592" s="27" t="s">
        <v>12120</v>
      </c>
      <c r="D6592" s="27" t="s">
        <v>5104</v>
      </c>
      <c r="E6592" s="29">
        <v>43636</v>
      </c>
      <c r="F6592" s="27">
        <v>15</v>
      </c>
      <c r="G6592" s="18">
        <v>0</v>
      </c>
      <c r="H6592" s="27">
        <f t="shared" si="204"/>
        <v>0</v>
      </c>
      <c r="I6592" s="18">
        <v>0</v>
      </c>
      <c r="J6592" s="27">
        <v>83800.33</v>
      </c>
      <c r="K6592" s="18">
        <f t="shared" si="205"/>
        <v>0</v>
      </c>
      <c r="L6592" s="27">
        <v>2653.68</v>
      </c>
      <c r="M6592" s="36">
        <v>2653.68</v>
      </c>
      <c r="N6592" s="18" t="s">
        <v>123</v>
      </c>
      <c r="O6592" s="19">
        <v>83800.33</v>
      </c>
      <c r="T6592" s="41">
        <v>0</v>
      </c>
      <c r="U6592" s="41">
        <v>0</v>
      </c>
      <c r="V6592" s="42" t="s">
        <v>113</v>
      </c>
      <c r="W6592" s="42">
        <v>0</v>
      </c>
      <c r="X6592" s="42">
        <v>0</v>
      </c>
    </row>
    <row r="6593" spans="1:24">
      <c r="A6593" s="27" t="s">
        <v>12123</v>
      </c>
      <c r="B6593" s="28" t="s">
        <v>5102</v>
      </c>
      <c r="C6593" s="27" t="s">
        <v>12124</v>
      </c>
      <c r="D6593" s="27" t="s">
        <v>5104</v>
      </c>
      <c r="E6593" s="29">
        <v>43636</v>
      </c>
      <c r="F6593" s="27">
        <v>15</v>
      </c>
      <c r="G6593" s="18">
        <v>0</v>
      </c>
      <c r="H6593" s="27">
        <f t="shared" si="204"/>
        <v>0</v>
      </c>
      <c r="I6593" s="18">
        <v>0</v>
      </c>
      <c r="J6593" s="27">
        <v>41660.74</v>
      </c>
      <c r="K6593" s="18">
        <f t="shared" si="205"/>
        <v>0</v>
      </c>
      <c r="L6593" s="27">
        <v>1319.26</v>
      </c>
      <c r="M6593" s="36">
        <v>1319.26</v>
      </c>
      <c r="N6593" s="18" t="s">
        <v>123</v>
      </c>
      <c r="O6593" s="19">
        <v>41660.74</v>
      </c>
      <c r="T6593" s="41">
        <v>0</v>
      </c>
      <c r="U6593" s="41">
        <v>0</v>
      </c>
      <c r="V6593" s="42" t="s">
        <v>113</v>
      </c>
      <c r="W6593" s="42">
        <v>0</v>
      </c>
      <c r="X6593" s="42">
        <v>0</v>
      </c>
    </row>
    <row r="6594" spans="1:24">
      <c r="A6594" s="27" t="s">
        <v>12125</v>
      </c>
      <c r="B6594" s="28" t="s">
        <v>5102</v>
      </c>
      <c r="C6594" s="27" t="s">
        <v>12124</v>
      </c>
      <c r="D6594" s="27" t="s">
        <v>5104</v>
      </c>
      <c r="E6594" s="29">
        <v>43636</v>
      </c>
      <c r="F6594" s="27">
        <v>15</v>
      </c>
      <c r="G6594" s="18">
        <v>0</v>
      </c>
      <c r="H6594" s="27">
        <f t="shared" si="204"/>
        <v>0</v>
      </c>
      <c r="I6594" s="18">
        <v>0</v>
      </c>
      <c r="J6594" s="27">
        <v>26132.02</v>
      </c>
      <c r="K6594" s="18">
        <f t="shared" si="205"/>
        <v>0</v>
      </c>
      <c r="L6594" s="27">
        <v>827.51</v>
      </c>
      <c r="M6594" s="36">
        <v>827.51</v>
      </c>
      <c r="N6594" s="18" t="s">
        <v>123</v>
      </c>
      <c r="O6594" s="19">
        <v>26132.02</v>
      </c>
      <c r="T6594" s="41">
        <v>0</v>
      </c>
      <c r="U6594" s="41">
        <v>0</v>
      </c>
      <c r="V6594" s="42" t="s">
        <v>113</v>
      </c>
      <c r="W6594" s="42">
        <v>0</v>
      </c>
      <c r="X6594" s="42">
        <v>0</v>
      </c>
    </row>
    <row r="6595" spans="1:24">
      <c r="A6595" s="27" t="s">
        <v>12126</v>
      </c>
      <c r="B6595" s="28" t="s">
        <v>5102</v>
      </c>
      <c r="C6595" s="27" t="s">
        <v>12124</v>
      </c>
      <c r="D6595" s="27" t="s">
        <v>5104</v>
      </c>
      <c r="E6595" s="29">
        <v>43636</v>
      </c>
      <c r="F6595" s="27">
        <v>15</v>
      </c>
      <c r="G6595" s="18">
        <v>0</v>
      </c>
      <c r="H6595" s="27">
        <f t="shared" si="204"/>
        <v>0</v>
      </c>
      <c r="I6595" s="18">
        <v>0</v>
      </c>
      <c r="J6595" s="27">
        <v>1504.98</v>
      </c>
      <c r="K6595" s="18">
        <f t="shared" si="205"/>
        <v>0</v>
      </c>
      <c r="L6595" s="27">
        <v>47.66</v>
      </c>
      <c r="M6595" s="36">
        <v>47.66</v>
      </c>
      <c r="N6595" s="18" t="s">
        <v>123</v>
      </c>
      <c r="O6595" s="19">
        <v>1504.98</v>
      </c>
      <c r="T6595" s="41">
        <v>0</v>
      </c>
      <c r="U6595" s="41">
        <v>0</v>
      </c>
      <c r="V6595" s="42" t="s">
        <v>113</v>
      </c>
      <c r="W6595" s="42">
        <v>0</v>
      </c>
      <c r="X6595" s="42">
        <v>0</v>
      </c>
    </row>
    <row r="6596" spans="1:24">
      <c r="A6596" s="27" t="s">
        <v>12127</v>
      </c>
      <c r="B6596" s="28" t="s">
        <v>5102</v>
      </c>
      <c r="C6596" s="27" t="s">
        <v>12128</v>
      </c>
      <c r="D6596" s="27" t="s">
        <v>5104</v>
      </c>
      <c r="E6596" s="29">
        <v>43636</v>
      </c>
      <c r="F6596" s="27">
        <v>15</v>
      </c>
      <c r="G6596" s="18">
        <v>0</v>
      </c>
      <c r="H6596" s="27">
        <f t="shared" si="204"/>
        <v>0</v>
      </c>
      <c r="I6596" s="18">
        <v>0</v>
      </c>
      <c r="J6596" s="27">
        <v>10876.94</v>
      </c>
      <c r="K6596" s="18">
        <f t="shared" si="205"/>
        <v>0</v>
      </c>
      <c r="L6596" s="27">
        <v>344.44</v>
      </c>
      <c r="M6596" s="36">
        <v>344.44</v>
      </c>
      <c r="N6596" s="18" t="s">
        <v>123</v>
      </c>
      <c r="O6596" s="19">
        <v>10876.94</v>
      </c>
      <c r="T6596" s="41">
        <v>0</v>
      </c>
      <c r="U6596" s="41">
        <v>0</v>
      </c>
      <c r="V6596" s="42" t="s">
        <v>113</v>
      </c>
      <c r="W6596" s="42">
        <v>0</v>
      </c>
      <c r="X6596" s="42">
        <v>0</v>
      </c>
    </row>
    <row r="6597" spans="1:24">
      <c r="A6597" s="27" t="s">
        <v>12129</v>
      </c>
      <c r="B6597" s="28" t="s">
        <v>5102</v>
      </c>
      <c r="C6597" s="27" t="s">
        <v>12128</v>
      </c>
      <c r="D6597" s="27" t="s">
        <v>5104</v>
      </c>
      <c r="E6597" s="29">
        <v>43636</v>
      </c>
      <c r="F6597" s="27">
        <v>15</v>
      </c>
      <c r="G6597" s="18">
        <v>0</v>
      </c>
      <c r="H6597" s="27">
        <f t="shared" si="204"/>
        <v>0</v>
      </c>
      <c r="I6597" s="18">
        <v>0</v>
      </c>
      <c r="J6597" s="27">
        <v>21275.03</v>
      </c>
      <c r="K6597" s="18">
        <f t="shared" si="205"/>
        <v>0</v>
      </c>
      <c r="L6597" s="27">
        <v>673.71</v>
      </c>
      <c r="M6597" s="36">
        <v>673.71</v>
      </c>
      <c r="N6597" s="18" t="s">
        <v>123</v>
      </c>
      <c r="O6597" s="19">
        <v>21275.03</v>
      </c>
      <c r="T6597" s="41">
        <v>0</v>
      </c>
      <c r="U6597" s="41">
        <v>0</v>
      </c>
      <c r="V6597" s="42" t="s">
        <v>113</v>
      </c>
      <c r="W6597" s="42">
        <v>0</v>
      </c>
      <c r="X6597" s="42">
        <v>0</v>
      </c>
    </row>
    <row r="6598" spans="1:24">
      <c r="A6598" s="27" t="s">
        <v>12130</v>
      </c>
      <c r="B6598" s="28" t="s">
        <v>5102</v>
      </c>
      <c r="C6598" s="27" t="s">
        <v>12131</v>
      </c>
      <c r="D6598" s="27" t="s">
        <v>5104</v>
      </c>
      <c r="E6598" s="29">
        <v>43636</v>
      </c>
      <c r="F6598" s="27">
        <v>15</v>
      </c>
      <c r="G6598" s="18">
        <v>0</v>
      </c>
      <c r="H6598" s="27">
        <f t="shared" ref="H6598:H6661" si="206">IFERROR(IF(ROUND((G6598-I6598)/G6598,2)&lt;=0.05,G6598,0),0)</f>
        <v>0</v>
      </c>
      <c r="I6598" s="18">
        <v>0</v>
      </c>
      <c r="J6598" s="27">
        <v>27979.05</v>
      </c>
      <c r="K6598" s="18">
        <f t="shared" ref="K6598:K6661" si="207">IFERROR(IF(ROUND((J6598-L6598)/J6598,2)&lt;=0.05,J6598,0),0)</f>
        <v>0</v>
      </c>
      <c r="L6598" s="27">
        <v>886</v>
      </c>
      <c r="M6598" s="36">
        <v>886</v>
      </c>
      <c r="N6598" s="18" t="s">
        <v>123</v>
      </c>
      <c r="O6598" s="19">
        <v>27979.05</v>
      </c>
      <c r="T6598" s="41">
        <v>0</v>
      </c>
      <c r="U6598" s="41">
        <v>0</v>
      </c>
      <c r="V6598" s="42" t="s">
        <v>113</v>
      </c>
      <c r="W6598" s="42">
        <v>0</v>
      </c>
      <c r="X6598" s="42">
        <v>0</v>
      </c>
    </row>
    <row r="6599" spans="1:24">
      <c r="A6599" s="27" t="s">
        <v>12132</v>
      </c>
      <c r="B6599" s="28" t="s">
        <v>5102</v>
      </c>
      <c r="C6599" s="27" t="s">
        <v>12131</v>
      </c>
      <c r="D6599" s="27" t="s">
        <v>5104</v>
      </c>
      <c r="E6599" s="29">
        <v>43636</v>
      </c>
      <c r="F6599" s="27">
        <v>15</v>
      </c>
      <c r="G6599" s="18">
        <v>0</v>
      </c>
      <c r="H6599" s="27">
        <f t="shared" si="206"/>
        <v>0</v>
      </c>
      <c r="I6599" s="18">
        <v>0</v>
      </c>
      <c r="J6599" s="27">
        <v>26405.66</v>
      </c>
      <c r="K6599" s="18">
        <f t="shared" si="207"/>
        <v>0</v>
      </c>
      <c r="L6599" s="27">
        <v>836.18</v>
      </c>
      <c r="M6599" s="36">
        <v>836.18</v>
      </c>
      <c r="N6599" s="18" t="s">
        <v>123</v>
      </c>
      <c r="O6599" s="19">
        <v>26405.66</v>
      </c>
      <c r="T6599" s="41">
        <v>0</v>
      </c>
      <c r="U6599" s="41">
        <v>0</v>
      </c>
      <c r="V6599" s="42" t="s">
        <v>113</v>
      </c>
      <c r="W6599" s="42">
        <v>0</v>
      </c>
      <c r="X6599" s="42">
        <v>0</v>
      </c>
    </row>
    <row r="6600" spans="1:24">
      <c r="A6600" s="27" t="s">
        <v>12133</v>
      </c>
      <c r="B6600" s="28" t="s">
        <v>5102</v>
      </c>
      <c r="C6600" s="27" t="s">
        <v>12131</v>
      </c>
      <c r="D6600" s="27" t="s">
        <v>5104</v>
      </c>
      <c r="E6600" s="29">
        <v>43636</v>
      </c>
      <c r="F6600" s="27">
        <v>15</v>
      </c>
      <c r="G6600" s="18">
        <v>0</v>
      </c>
      <c r="H6600" s="27">
        <f t="shared" si="206"/>
        <v>0</v>
      </c>
      <c r="I6600" s="18">
        <v>0</v>
      </c>
      <c r="J6600" s="27">
        <v>4036.09</v>
      </c>
      <c r="K6600" s="18">
        <f t="shared" si="207"/>
        <v>0</v>
      </c>
      <c r="L6600" s="27">
        <v>127.81</v>
      </c>
      <c r="M6600" s="36">
        <v>127.81</v>
      </c>
      <c r="N6600" s="18" t="s">
        <v>123</v>
      </c>
      <c r="O6600" s="19">
        <v>4036.09</v>
      </c>
      <c r="T6600" s="41">
        <v>0</v>
      </c>
      <c r="U6600" s="41">
        <v>0</v>
      </c>
      <c r="V6600" s="42" t="s">
        <v>113</v>
      </c>
      <c r="W6600" s="42">
        <v>0</v>
      </c>
      <c r="X6600" s="42">
        <v>0</v>
      </c>
    </row>
    <row r="6601" spans="1:24">
      <c r="A6601" s="27" t="s">
        <v>12134</v>
      </c>
      <c r="B6601" s="28" t="s">
        <v>5102</v>
      </c>
      <c r="C6601" s="27" t="s">
        <v>12135</v>
      </c>
      <c r="D6601" s="27" t="s">
        <v>5104</v>
      </c>
      <c r="E6601" s="29">
        <v>43636</v>
      </c>
      <c r="F6601" s="27">
        <v>15</v>
      </c>
      <c r="G6601" s="18">
        <v>0</v>
      </c>
      <c r="H6601" s="27">
        <f t="shared" si="206"/>
        <v>0</v>
      </c>
      <c r="I6601" s="18">
        <v>0</v>
      </c>
      <c r="J6601" s="27">
        <v>4788.59</v>
      </c>
      <c r="K6601" s="18">
        <f t="shared" si="207"/>
        <v>0</v>
      </c>
      <c r="L6601" s="27">
        <v>151.63999999999999</v>
      </c>
      <c r="M6601" s="36">
        <v>151.63999999999999</v>
      </c>
      <c r="N6601" s="18" t="s">
        <v>123</v>
      </c>
      <c r="O6601" s="19">
        <v>4788.59</v>
      </c>
      <c r="T6601" s="41">
        <v>0</v>
      </c>
      <c r="U6601" s="41">
        <v>0</v>
      </c>
      <c r="V6601" s="42" t="s">
        <v>113</v>
      </c>
      <c r="W6601" s="42">
        <v>0</v>
      </c>
      <c r="X6601" s="42">
        <v>0</v>
      </c>
    </row>
    <row r="6602" spans="1:24">
      <c r="A6602" s="27" t="s">
        <v>12136</v>
      </c>
      <c r="B6602" s="28" t="s">
        <v>5102</v>
      </c>
      <c r="C6602" s="27" t="s">
        <v>12135</v>
      </c>
      <c r="D6602" s="27" t="s">
        <v>5104</v>
      </c>
      <c r="E6602" s="29">
        <v>43636</v>
      </c>
      <c r="F6602" s="27">
        <v>15</v>
      </c>
      <c r="G6602" s="18">
        <v>0</v>
      </c>
      <c r="H6602" s="27">
        <f t="shared" si="206"/>
        <v>0</v>
      </c>
      <c r="I6602" s="18">
        <v>0</v>
      </c>
      <c r="J6602" s="27">
        <v>14502.59</v>
      </c>
      <c r="K6602" s="18">
        <f t="shared" si="207"/>
        <v>0</v>
      </c>
      <c r="L6602" s="27">
        <v>459.25</v>
      </c>
      <c r="M6602" s="36">
        <v>459.25</v>
      </c>
      <c r="N6602" s="18" t="s">
        <v>123</v>
      </c>
      <c r="O6602" s="19">
        <v>14502.59</v>
      </c>
      <c r="T6602" s="41">
        <v>0</v>
      </c>
      <c r="U6602" s="41">
        <v>0</v>
      </c>
      <c r="V6602" s="42" t="s">
        <v>113</v>
      </c>
      <c r="W6602" s="42">
        <v>0</v>
      </c>
      <c r="X6602" s="42">
        <v>0</v>
      </c>
    </row>
    <row r="6603" spans="1:24">
      <c r="A6603" s="27" t="s">
        <v>12137</v>
      </c>
      <c r="B6603" s="28" t="s">
        <v>5102</v>
      </c>
      <c r="C6603" s="27" t="s">
        <v>12135</v>
      </c>
      <c r="D6603" s="27" t="s">
        <v>5104</v>
      </c>
      <c r="E6603" s="29">
        <v>43636</v>
      </c>
      <c r="F6603" s="27">
        <v>15</v>
      </c>
      <c r="G6603" s="18">
        <v>0</v>
      </c>
      <c r="H6603" s="27">
        <f t="shared" si="206"/>
        <v>0</v>
      </c>
      <c r="I6603" s="18">
        <v>0</v>
      </c>
      <c r="J6603" s="27">
        <v>3352.01</v>
      </c>
      <c r="K6603" s="18">
        <f t="shared" si="207"/>
        <v>0</v>
      </c>
      <c r="L6603" s="27">
        <v>106.15</v>
      </c>
      <c r="M6603" s="36">
        <v>106.15</v>
      </c>
      <c r="N6603" s="18" t="s">
        <v>123</v>
      </c>
      <c r="O6603" s="19">
        <v>3352.01</v>
      </c>
      <c r="T6603" s="41">
        <v>0</v>
      </c>
      <c r="U6603" s="41">
        <v>0</v>
      </c>
      <c r="V6603" s="42" t="s">
        <v>113</v>
      </c>
      <c r="W6603" s="42">
        <v>0</v>
      </c>
      <c r="X6603" s="42">
        <v>0</v>
      </c>
    </row>
    <row r="6604" spans="1:24">
      <c r="A6604" s="27" t="s">
        <v>12138</v>
      </c>
      <c r="B6604" s="28" t="s">
        <v>5102</v>
      </c>
      <c r="C6604" s="27" t="s">
        <v>12135</v>
      </c>
      <c r="D6604" s="27" t="s">
        <v>5104</v>
      </c>
      <c r="E6604" s="29">
        <v>43636</v>
      </c>
      <c r="F6604" s="27">
        <v>15</v>
      </c>
      <c r="G6604" s="18">
        <v>0</v>
      </c>
      <c r="H6604" s="27">
        <f t="shared" si="206"/>
        <v>0</v>
      </c>
      <c r="I6604" s="18">
        <v>0</v>
      </c>
      <c r="J6604" s="27">
        <v>62798.95</v>
      </c>
      <c r="K6604" s="18">
        <f t="shared" si="207"/>
        <v>0</v>
      </c>
      <c r="L6604" s="27">
        <v>1988.63</v>
      </c>
      <c r="M6604" s="36">
        <v>1988.63</v>
      </c>
      <c r="N6604" s="18" t="s">
        <v>123</v>
      </c>
      <c r="O6604" s="19">
        <v>62798.95</v>
      </c>
      <c r="T6604" s="41">
        <v>0</v>
      </c>
      <c r="U6604" s="41">
        <v>0</v>
      </c>
      <c r="V6604" s="42" t="s">
        <v>113</v>
      </c>
      <c r="W6604" s="42">
        <v>0</v>
      </c>
      <c r="X6604" s="42">
        <v>0</v>
      </c>
    </row>
    <row r="6605" spans="1:24">
      <c r="A6605" s="27" t="s">
        <v>12139</v>
      </c>
      <c r="B6605" s="28" t="s">
        <v>5102</v>
      </c>
      <c r="C6605" s="27" t="s">
        <v>12140</v>
      </c>
      <c r="D6605" s="27" t="s">
        <v>5104</v>
      </c>
      <c r="E6605" s="29">
        <v>43636</v>
      </c>
      <c r="F6605" s="27">
        <v>15</v>
      </c>
      <c r="G6605" s="18">
        <v>0</v>
      </c>
      <c r="H6605" s="27">
        <f t="shared" si="206"/>
        <v>0</v>
      </c>
      <c r="I6605" s="18">
        <v>0</v>
      </c>
      <c r="J6605" s="27">
        <v>58831.26</v>
      </c>
      <c r="K6605" s="18">
        <f t="shared" si="207"/>
        <v>0</v>
      </c>
      <c r="L6605" s="27">
        <v>1862.99</v>
      </c>
      <c r="M6605" s="36">
        <v>1862.99</v>
      </c>
      <c r="N6605" s="18" t="s">
        <v>123</v>
      </c>
      <c r="O6605" s="19">
        <v>58831.26</v>
      </c>
      <c r="T6605" s="41">
        <v>0</v>
      </c>
      <c r="U6605" s="41">
        <v>0</v>
      </c>
      <c r="V6605" s="42" t="s">
        <v>113</v>
      </c>
      <c r="W6605" s="42">
        <v>0</v>
      </c>
      <c r="X6605" s="42">
        <v>0</v>
      </c>
    </row>
    <row r="6606" spans="1:24">
      <c r="A6606" s="27" t="s">
        <v>12141</v>
      </c>
      <c r="B6606" s="28" t="s">
        <v>5102</v>
      </c>
      <c r="C6606" s="27" t="s">
        <v>12140</v>
      </c>
      <c r="D6606" s="27" t="s">
        <v>5104</v>
      </c>
      <c r="E6606" s="29">
        <v>43636</v>
      </c>
      <c r="F6606" s="27">
        <v>15</v>
      </c>
      <c r="G6606" s="18">
        <v>0</v>
      </c>
      <c r="H6606" s="27">
        <f t="shared" si="206"/>
        <v>0</v>
      </c>
      <c r="I6606" s="18">
        <v>0</v>
      </c>
      <c r="J6606" s="27">
        <v>80379.91</v>
      </c>
      <c r="K6606" s="18">
        <f t="shared" si="207"/>
        <v>0</v>
      </c>
      <c r="L6606" s="27">
        <v>2545.36</v>
      </c>
      <c r="M6606" s="36">
        <v>2545.36</v>
      </c>
      <c r="N6606" s="18" t="s">
        <v>123</v>
      </c>
      <c r="O6606" s="19">
        <v>80379.91</v>
      </c>
      <c r="T6606" s="41">
        <v>0</v>
      </c>
      <c r="U6606" s="41">
        <v>0</v>
      </c>
      <c r="V6606" s="42" t="s">
        <v>113</v>
      </c>
      <c r="W6606" s="42">
        <v>0</v>
      </c>
      <c r="X6606" s="42">
        <v>0</v>
      </c>
    </row>
    <row r="6607" spans="1:24">
      <c r="A6607" s="27" t="s">
        <v>12142</v>
      </c>
      <c r="B6607" s="28" t="s">
        <v>5102</v>
      </c>
      <c r="C6607" s="27" t="s">
        <v>12140</v>
      </c>
      <c r="D6607" s="27" t="s">
        <v>5104</v>
      </c>
      <c r="E6607" s="29">
        <v>43636</v>
      </c>
      <c r="F6607" s="27">
        <v>15</v>
      </c>
      <c r="G6607" s="18">
        <v>0</v>
      </c>
      <c r="H6607" s="27">
        <f t="shared" si="206"/>
        <v>0</v>
      </c>
      <c r="I6607" s="18">
        <v>0</v>
      </c>
      <c r="J6607" s="27">
        <v>4651.78</v>
      </c>
      <c r="K6607" s="18">
        <f t="shared" si="207"/>
        <v>0</v>
      </c>
      <c r="L6607" s="27">
        <v>147.31</v>
      </c>
      <c r="M6607" s="36">
        <v>147.31</v>
      </c>
      <c r="N6607" s="18" t="s">
        <v>123</v>
      </c>
      <c r="O6607" s="19">
        <v>4651.78</v>
      </c>
      <c r="T6607" s="41">
        <v>0</v>
      </c>
      <c r="U6607" s="41">
        <v>0</v>
      </c>
      <c r="V6607" s="42" t="s">
        <v>113</v>
      </c>
      <c r="W6607" s="42">
        <v>0</v>
      </c>
      <c r="X6607" s="42">
        <v>0</v>
      </c>
    </row>
    <row r="6608" spans="1:24">
      <c r="A6608" s="27" t="s">
        <v>12143</v>
      </c>
      <c r="B6608" s="28" t="s">
        <v>5102</v>
      </c>
      <c r="C6608" s="27" t="s">
        <v>12140</v>
      </c>
      <c r="D6608" s="27" t="s">
        <v>5104</v>
      </c>
      <c r="E6608" s="29">
        <v>43636</v>
      </c>
      <c r="F6608" s="27">
        <v>15</v>
      </c>
      <c r="G6608" s="18">
        <v>0</v>
      </c>
      <c r="H6608" s="27">
        <f t="shared" si="206"/>
        <v>0</v>
      </c>
      <c r="I6608" s="18">
        <v>0</v>
      </c>
      <c r="J6608" s="27">
        <v>12518.74</v>
      </c>
      <c r="K6608" s="18">
        <f t="shared" si="207"/>
        <v>0</v>
      </c>
      <c r="L6608" s="27">
        <v>396.43</v>
      </c>
      <c r="M6608" s="36">
        <v>396.43</v>
      </c>
      <c r="N6608" s="18" t="s">
        <v>123</v>
      </c>
      <c r="O6608" s="19">
        <v>12518.74</v>
      </c>
      <c r="T6608" s="41">
        <v>0</v>
      </c>
      <c r="U6608" s="41">
        <v>0</v>
      </c>
      <c r="V6608" s="42" t="s">
        <v>113</v>
      </c>
      <c r="W6608" s="42">
        <v>0</v>
      </c>
      <c r="X6608" s="42">
        <v>0</v>
      </c>
    </row>
    <row r="6609" spans="1:24">
      <c r="A6609" s="27" t="s">
        <v>12144</v>
      </c>
      <c r="B6609" s="28" t="s">
        <v>5102</v>
      </c>
      <c r="C6609" s="27" t="s">
        <v>12145</v>
      </c>
      <c r="D6609" s="27" t="s">
        <v>5104</v>
      </c>
      <c r="E6609" s="29">
        <v>43636</v>
      </c>
      <c r="F6609" s="27">
        <v>15</v>
      </c>
      <c r="G6609" s="18">
        <v>0</v>
      </c>
      <c r="H6609" s="27">
        <f t="shared" si="206"/>
        <v>0</v>
      </c>
      <c r="I6609" s="18">
        <v>0</v>
      </c>
      <c r="J6609" s="27">
        <v>46175.69</v>
      </c>
      <c r="K6609" s="18">
        <f t="shared" si="207"/>
        <v>0</v>
      </c>
      <c r="L6609" s="27">
        <v>1462.23</v>
      </c>
      <c r="M6609" s="36">
        <v>1462.23</v>
      </c>
      <c r="N6609" s="18" t="s">
        <v>123</v>
      </c>
      <c r="O6609" s="19">
        <v>46175.69</v>
      </c>
      <c r="T6609" s="41">
        <v>0</v>
      </c>
      <c r="U6609" s="41">
        <v>0</v>
      </c>
      <c r="V6609" s="42" t="s">
        <v>113</v>
      </c>
      <c r="W6609" s="42">
        <v>0</v>
      </c>
      <c r="X6609" s="42">
        <v>0</v>
      </c>
    </row>
    <row r="6610" spans="1:24">
      <c r="A6610" s="27" t="s">
        <v>12146</v>
      </c>
      <c r="B6610" s="28" t="s">
        <v>5102</v>
      </c>
      <c r="C6610" s="27" t="s">
        <v>12145</v>
      </c>
      <c r="D6610" s="27" t="s">
        <v>5104</v>
      </c>
      <c r="E6610" s="29">
        <v>43636</v>
      </c>
      <c r="F6610" s="27">
        <v>15</v>
      </c>
      <c r="G6610" s="18">
        <v>0</v>
      </c>
      <c r="H6610" s="27">
        <f t="shared" si="206"/>
        <v>0</v>
      </c>
      <c r="I6610" s="18">
        <v>0</v>
      </c>
      <c r="J6610" s="27">
        <v>75044.06</v>
      </c>
      <c r="K6610" s="18">
        <f t="shared" si="207"/>
        <v>0</v>
      </c>
      <c r="L6610" s="27">
        <v>2376.4</v>
      </c>
      <c r="M6610" s="36">
        <v>2376.4</v>
      </c>
      <c r="N6610" s="18" t="s">
        <v>123</v>
      </c>
      <c r="O6610" s="19">
        <v>75044.06</v>
      </c>
      <c r="T6610" s="41">
        <v>0</v>
      </c>
      <c r="U6610" s="41">
        <v>0</v>
      </c>
      <c r="V6610" s="42" t="s">
        <v>113</v>
      </c>
      <c r="W6610" s="42">
        <v>0</v>
      </c>
      <c r="X6610" s="42">
        <v>0</v>
      </c>
    </row>
    <row r="6611" spans="1:24">
      <c r="A6611" s="27" t="s">
        <v>12147</v>
      </c>
      <c r="B6611" s="28" t="s">
        <v>5102</v>
      </c>
      <c r="C6611" s="27" t="s">
        <v>12148</v>
      </c>
      <c r="D6611" s="27" t="s">
        <v>5104</v>
      </c>
      <c r="E6611" s="29">
        <v>43636</v>
      </c>
      <c r="F6611" s="27">
        <v>15</v>
      </c>
      <c r="G6611" s="18">
        <v>0</v>
      </c>
      <c r="H6611" s="27">
        <f t="shared" si="206"/>
        <v>0</v>
      </c>
      <c r="I6611" s="18">
        <v>0</v>
      </c>
      <c r="J6611" s="27">
        <v>38855.99</v>
      </c>
      <c r="K6611" s="18">
        <f t="shared" si="207"/>
        <v>0</v>
      </c>
      <c r="L6611" s="27">
        <v>1230.44</v>
      </c>
      <c r="M6611" s="36">
        <v>1230.44</v>
      </c>
      <c r="N6611" s="18" t="s">
        <v>123</v>
      </c>
      <c r="O6611" s="19">
        <v>38855.99</v>
      </c>
      <c r="T6611" s="41">
        <v>0</v>
      </c>
      <c r="U6611" s="41">
        <v>0</v>
      </c>
      <c r="V6611" s="42" t="s">
        <v>113</v>
      </c>
      <c r="W6611" s="42">
        <v>0</v>
      </c>
      <c r="X6611" s="42">
        <v>0</v>
      </c>
    </row>
    <row r="6612" spans="1:24">
      <c r="A6612" s="27" t="s">
        <v>12149</v>
      </c>
      <c r="B6612" s="28" t="s">
        <v>5102</v>
      </c>
      <c r="C6612" s="27" t="s">
        <v>12148</v>
      </c>
      <c r="D6612" s="27" t="s">
        <v>5104</v>
      </c>
      <c r="E6612" s="29">
        <v>43636</v>
      </c>
      <c r="F6612" s="27">
        <v>15</v>
      </c>
      <c r="G6612" s="18">
        <v>0</v>
      </c>
      <c r="H6612" s="27">
        <f t="shared" si="206"/>
        <v>0</v>
      </c>
      <c r="I6612" s="18">
        <v>0</v>
      </c>
      <c r="J6612" s="27">
        <v>1368.17</v>
      </c>
      <c r="K6612" s="18">
        <f t="shared" si="207"/>
        <v>0</v>
      </c>
      <c r="L6612" s="27">
        <v>43.33</v>
      </c>
      <c r="M6612" s="36">
        <v>43.33</v>
      </c>
      <c r="N6612" s="18" t="s">
        <v>123</v>
      </c>
      <c r="O6612" s="19">
        <v>1368.17</v>
      </c>
      <c r="T6612" s="41">
        <v>0</v>
      </c>
      <c r="U6612" s="41">
        <v>0</v>
      </c>
      <c r="V6612" s="42" t="s">
        <v>113</v>
      </c>
      <c r="W6612" s="42">
        <v>0</v>
      </c>
      <c r="X6612" s="42">
        <v>0</v>
      </c>
    </row>
    <row r="6613" spans="1:24">
      <c r="A6613" s="27" t="s">
        <v>12150</v>
      </c>
      <c r="B6613" s="28" t="s">
        <v>5102</v>
      </c>
      <c r="C6613" s="27" t="s">
        <v>12151</v>
      </c>
      <c r="D6613" s="27" t="s">
        <v>5104</v>
      </c>
      <c r="E6613" s="29">
        <v>43636</v>
      </c>
      <c r="F6613" s="27">
        <v>15</v>
      </c>
      <c r="G6613" s="18">
        <v>0</v>
      </c>
      <c r="H6613" s="27">
        <f t="shared" si="206"/>
        <v>0</v>
      </c>
      <c r="I6613" s="18">
        <v>0</v>
      </c>
      <c r="J6613" s="27">
        <v>17923.009999999998</v>
      </c>
      <c r="K6613" s="18">
        <f t="shared" si="207"/>
        <v>0</v>
      </c>
      <c r="L6613" s="27">
        <v>567.55999999999995</v>
      </c>
      <c r="M6613" s="36">
        <v>567.55999999999995</v>
      </c>
      <c r="N6613" s="18" t="s">
        <v>123</v>
      </c>
      <c r="O6613" s="19">
        <v>17923.009999999998</v>
      </c>
      <c r="T6613" s="41">
        <v>0</v>
      </c>
      <c r="U6613" s="41">
        <v>0</v>
      </c>
      <c r="V6613" s="42" t="s">
        <v>113</v>
      </c>
      <c r="W6613" s="42">
        <v>0</v>
      </c>
      <c r="X6613" s="42">
        <v>0</v>
      </c>
    </row>
    <row r="6614" spans="1:24">
      <c r="A6614" s="27" t="s">
        <v>12152</v>
      </c>
      <c r="B6614" s="28" t="s">
        <v>5102</v>
      </c>
      <c r="C6614" s="27" t="s">
        <v>12151</v>
      </c>
      <c r="D6614" s="27" t="s">
        <v>5104</v>
      </c>
      <c r="E6614" s="29">
        <v>43636</v>
      </c>
      <c r="F6614" s="27">
        <v>15</v>
      </c>
      <c r="G6614" s="18">
        <v>0</v>
      </c>
      <c r="H6614" s="27">
        <f t="shared" si="206"/>
        <v>0</v>
      </c>
      <c r="I6614" s="18">
        <v>0</v>
      </c>
      <c r="J6614" s="27">
        <v>27910.639999999999</v>
      </c>
      <c r="K6614" s="18">
        <f t="shared" si="207"/>
        <v>0</v>
      </c>
      <c r="L6614" s="27">
        <v>883.84</v>
      </c>
      <c r="M6614" s="36">
        <v>883.84</v>
      </c>
      <c r="N6614" s="18" t="s">
        <v>123</v>
      </c>
      <c r="O6614" s="19">
        <v>27910.639999999999</v>
      </c>
      <c r="T6614" s="41">
        <v>0</v>
      </c>
      <c r="U6614" s="41">
        <v>0</v>
      </c>
      <c r="V6614" s="42" t="s">
        <v>113</v>
      </c>
      <c r="W6614" s="42">
        <v>0</v>
      </c>
      <c r="X6614" s="42">
        <v>0</v>
      </c>
    </row>
    <row r="6615" spans="1:24">
      <c r="A6615" s="27" t="s">
        <v>12153</v>
      </c>
      <c r="B6615" s="28" t="s">
        <v>5102</v>
      </c>
      <c r="C6615" s="27" t="s">
        <v>12151</v>
      </c>
      <c r="D6615" s="27" t="s">
        <v>5104</v>
      </c>
      <c r="E6615" s="29">
        <v>43636</v>
      </c>
      <c r="F6615" s="27">
        <v>15</v>
      </c>
      <c r="G6615" s="18">
        <v>0</v>
      </c>
      <c r="H6615" s="27">
        <f t="shared" si="206"/>
        <v>0</v>
      </c>
      <c r="I6615" s="18">
        <v>0</v>
      </c>
      <c r="J6615" s="27">
        <v>75454.5</v>
      </c>
      <c r="K6615" s="18">
        <f t="shared" si="207"/>
        <v>0</v>
      </c>
      <c r="L6615" s="27">
        <v>2389.39</v>
      </c>
      <c r="M6615" s="36">
        <v>2389.39</v>
      </c>
      <c r="N6615" s="18" t="s">
        <v>123</v>
      </c>
      <c r="O6615" s="19">
        <v>75454.5</v>
      </c>
      <c r="T6615" s="41">
        <v>0</v>
      </c>
      <c r="U6615" s="41">
        <v>0</v>
      </c>
      <c r="V6615" s="42" t="s">
        <v>113</v>
      </c>
      <c r="W6615" s="42">
        <v>0</v>
      </c>
      <c r="X6615" s="42">
        <v>0</v>
      </c>
    </row>
    <row r="6616" spans="1:24">
      <c r="A6616" s="27" t="s">
        <v>12154</v>
      </c>
      <c r="B6616" s="28" t="s">
        <v>5102</v>
      </c>
      <c r="C6616" s="27" t="s">
        <v>12155</v>
      </c>
      <c r="D6616" s="27" t="s">
        <v>5104</v>
      </c>
      <c r="E6616" s="29">
        <v>43668</v>
      </c>
      <c r="F6616" s="27">
        <v>15</v>
      </c>
      <c r="G6616" s="18">
        <v>0</v>
      </c>
      <c r="H6616" s="27">
        <f t="shared" si="206"/>
        <v>0</v>
      </c>
      <c r="I6616" s="18">
        <v>0</v>
      </c>
      <c r="J6616" s="27">
        <v>26083.3</v>
      </c>
      <c r="K6616" s="18">
        <f t="shared" si="207"/>
        <v>0</v>
      </c>
      <c r="L6616" s="27">
        <v>688.31</v>
      </c>
      <c r="M6616" s="36">
        <v>688.31</v>
      </c>
      <c r="N6616" s="18" t="s">
        <v>123</v>
      </c>
      <c r="O6616" s="19">
        <v>26083.3</v>
      </c>
      <c r="T6616" s="41">
        <v>0</v>
      </c>
      <c r="U6616" s="41">
        <v>0</v>
      </c>
      <c r="V6616" s="42" t="s">
        <v>113</v>
      </c>
      <c r="W6616" s="42">
        <v>0</v>
      </c>
      <c r="X6616" s="42">
        <v>0</v>
      </c>
    </row>
    <row r="6617" spans="1:24">
      <c r="A6617" s="27" t="s">
        <v>12156</v>
      </c>
      <c r="B6617" s="28" t="s">
        <v>5102</v>
      </c>
      <c r="C6617" s="27" t="s">
        <v>12157</v>
      </c>
      <c r="D6617" s="27" t="s">
        <v>5104</v>
      </c>
      <c r="E6617" s="29">
        <v>43668</v>
      </c>
      <c r="F6617" s="27">
        <v>15</v>
      </c>
      <c r="G6617" s="18">
        <v>0</v>
      </c>
      <c r="H6617" s="27">
        <f t="shared" si="206"/>
        <v>0</v>
      </c>
      <c r="I6617" s="18">
        <v>0</v>
      </c>
      <c r="J6617" s="27">
        <v>24848.5</v>
      </c>
      <c r="K6617" s="18">
        <f t="shared" si="207"/>
        <v>0</v>
      </c>
      <c r="L6617" s="27">
        <v>655.72</v>
      </c>
      <c r="M6617" s="36">
        <v>655.72</v>
      </c>
      <c r="N6617" s="18" t="s">
        <v>123</v>
      </c>
      <c r="O6617" s="19">
        <v>24848.5</v>
      </c>
      <c r="T6617" s="41">
        <v>0</v>
      </c>
      <c r="U6617" s="41">
        <v>0</v>
      </c>
      <c r="V6617" s="42" t="s">
        <v>113</v>
      </c>
      <c r="W6617" s="42">
        <v>0</v>
      </c>
      <c r="X6617" s="42">
        <v>0</v>
      </c>
    </row>
    <row r="6618" spans="1:24">
      <c r="A6618" s="27" t="s">
        <v>12158</v>
      </c>
      <c r="B6618" s="28" t="s">
        <v>5102</v>
      </c>
      <c r="C6618" s="27" t="s">
        <v>12159</v>
      </c>
      <c r="D6618" s="27" t="s">
        <v>5104</v>
      </c>
      <c r="E6618" s="29">
        <v>43668</v>
      </c>
      <c r="F6618" s="27">
        <v>15</v>
      </c>
      <c r="G6618" s="18">
        <v>0</v>
      </c>
      <c r="H6618" s="27">
        <f t="shared" si="206"/>
        <v>0</v>
      </c>
      <c r="I6618" s="18">
        <v>0</v>
      </c>
      <c r="J6618" s="27">
        <v>47848.68</v>
      </c>
      <c r="K6618" s="18">
        <f t="shared" si="207"/>
        <v>0</v>
      </c>
      <c r="L6618" s="27">
        <v>1262.67</v>
      </c>
      <c r="M6618" s="36">
        <v>1262.67</v>
      </c>
      <c r="N6618" s="18" t="s">
        <v>123</v>
      </c>
      <c r="O6618" s="19">
        <v>47848.68</v>
      </c>
      <c r="T6618" s="41">
        <v>0</v>
      </c>
      <c r="U6618" s="41">
        <v>0</v>
      </c>
      <c r="V6618" s="42" t="s">
        <v>113</v>
      </c>
      <c r="W6618" s="42">
        <v>0</v>
      </c>
      <c r="X6618" s="42">
        <v>0</v>
      </c>
    </row>
    <row r="6619" spans="1:24">
      <c r="A6619" s="27" t="s">
        <v>12160</v>
      </c>
      <c r="B6619" s="28" t="s">
        <v>5102</v>
      </c>
      <c r="C6619" s="27" t="s">
        <v>12161</v>
      </c>
      <c r="D6619" s="27" t="s">
        <v>5104</v>
      </c>
      <c r="E6619" s="29">
        <v>43668</v>
      </c>
      <c r="F6619" s="27">
        <v>15</v>
      </c>
      <c r="G6619" s="18">
        <v>0</v>
      </c>
      <c r="H6619" s="27">
        <f t="shared" si="206"/>
        <v>0</v>
      </c>
      <c r="I6619" s="18">
        <v>0</v>
      </c>
      <c r="J6619" s="27">
        <v>15374.33</v>
      </c>
      <c r="K6619" s="18">
        <f t="shared" si="207"/>
        <v>0</v>
      </c>
      <c r="L6619" s="27">
        <v>405.71</v>
      </c>
      <c r="M6619" s="36">
        <v>405.71</v>
      </c>
      <c r="N6619" s="18" t="s">
        <v>123</v>
      </c>
      <c r="O6619" s="19">
        <v>15374.33</v>
      </c>
      <c r="T6619" s="41">
        <v>0</v>
      </c>
      <c r="U6619" s="41">
        <v>0</v>
      </c>
      <c r="V6619" s="42" t="s">
        <v>113</v>
      </c>
      <c r="W6619" s="42">
        <v>0</v>
      </c>
      <c r="X6619" s="42">
        <v>0</v>
      </c>
    </row>
    <row r="6620" spans="1:24">
      <c r="A6620" s="27" t="s">
        <v>12162</v>
      </c>
      <c r="B6620" s="28" t="s">
        <v>5102</v>
      </c>
      <c r="C6620" s="27" t="s">
        <v>12163</v>
      </c>
      <c r="D6620" s="27" t="s">
        <v>5104</v>
      </c>
      <c r="E6620" s="29">
        <v>43668</v>
      </c>
      <c r="F6620" s="27">
        <v>15</v>
      </c>
      <c r="G6620" s="18">
        <v>0</v>
      </c>
      <c r="H6620" s="27">
        <f t="shared" si="206"/>
        <v>0</v>
      </c>
      <c r="I6620" s="18">
        <v>0</v>
      </c>
      <c r="J6620" s="27">
        <v>39093.21</v>
      </c>
      <c r="K6620" s="18">
        <f t="shared" si="207"/>
        <v>0</v>
      </c>
      <c r="L6620" s="27">
        <v>1031.6300000000001</v>
      </c>
      <c r="M6620" s="36">
        <v>1031.6300000000001</v>
      </c>
      <c r="N6620" s="18" t="s">
        <v>123</v>
      </c>
      <c r="O6620" s="19">
        <v>39093.21</v>
      </c>
      <c r="T6620" s="41">
        <v>0</v>
      </c>
      <c r="U6620" s="41">
        <v>0</v>
      </c>
      <c r="V6620" s="42" t="s">
        <v>113</v>
      </c>
      <c r="W6620" s="42">
        <v>0</v>
      </c>
      <c r="X6620" s="42">
        <v>0</v>
      </c>
    </row>
    <row r="6621" spans="1:24">
      <c r="A6621" s="27" t="s">
        <v>12164</v>
      </c>
      <c r="B6621" s="28" t="s">
        <v>5102</v>
      </c>
      <c r="C6621" s="27" t="s">
        <v>12165</v>
      </c>
      <c r="D6621" s="27" t="s">
        <v>5104</v>
      </c>
      <c r="E6621" s="29">
        <v>43668</v>
      </c>
      <c r="F6621" s="27">
        <v>15</v>
      </c>
      <c r="G6621" s="18">
        <v>0</v>
      </c>
      <c r="H6621" s="27">
        <f t="shared" si="206"/>
        <v>0</v>
      </c>
      <c r="I6621" s="18">
        <v>0</v>
      </c>
      <c r="J6621" s="27">
        <v>30090.15</v>
      </c>
      <c r="K6621" s="18">
        <f t="shared" si="207"/>
        <v>0</v>
      </c>
      <c r="L6621" s="27">
        <v>794.05</v>
      </c>
      <c r="M6621" s="36">
        <v>794.05</v>
      </c>
      <c r="N6621" s="18" t="s">
        <v>123</v>
      </c>
      <c r="O6621" s="19">
        <v>30090.15</v>
      </c>
      <c r="T6621" s="41">
        <v>0</v>
      </c>
      <c r="U6621" s="41">
        <v>0</v>
      </c>
      <c r="V6621" s="42" t="s">
        <v>113</v>
      </c>
      <c r="W6621" s="42">
        <v>0</v>
      </c>
      <c r="X6621" s="42">
        <v>0</v>
      </c>
    </row>
    <row r="6622" spans="1:24">
      <c r="A6622" s="27" t="s">
        <v>12166</v>
      </c>
      <c r="B6622" s="28" t="s">
        <v>5102</v>
      </c>
      <c r="C6622" s="27" t="s">
        <v>12167</v>
      </c>
      <c r="D6622" s="27" t="s">
        <v>5104</v>
      </c>
      <c r="E6622" s="29">
        <v>43699</v>
      </c>
      <c r="F6622" s="27">
        <v>15</v>
      </c>
      <c r="G6622" s="18">
        <v>0</v>
      </c>
      <c r="H6622" s="27">
        <f t="shared" si="206"/>
        <v>0</v>
      </c>
      <c r="I6622" s="18">
        <v>0</v>
      </c>
      <c r="J6622" s="27">
        <v>7823.22</v>
      </c>
      <c r="K6622" s="18">
        <f t="shared" si="207"/>
        <v>0</v>
      </c>
      <c r="L6622" s="27">
        <v>165.16</v>
      </c>
      <c r="M6622" s="36">
        <v>165.16</v>
      </c>
      <c r="N6622" s="18" t="s">
        <v>123</v>
      </c>
      <c r="O6622" s="19">
        <v>7823.22</v>
      </c>
      <c r="T6622" s="41">
        <v>0</v>
      </c>
      <c r="U6622" s="41">
        <v>0</v>
      </c>
      <c r="V6622" s="42" t="s">
        <v>113</v>
      </c>
      <c r="W6622" s="42">
        <v>0</v>
      </c>
      <c r="X6622" s="42">
        <v>0</v>
      </c>
    </row>
    <row r="6623" spans="1:24">
      <c r="A6623" s="27" t="s">
        <v>12168</v>
      </c>
      <c r="B6623" s="28" t="s">
        <v>5102</v>
      </c>
      <c r="C6623" s="27" t="s">
        <v>12169</v>
      </c>
      <c r="D6623" s="27" t="s">
        <v>5104</v>
      </c>
      <c r="E6623" s="29">
        <v>43737</v>
      </c>
      <c r="F6623" s="27">
        <v>15</v>
      </c>
      <c r="G6623" s="18">
        <v>0</v>
      </c>
      <c r="H6623" s="27">
        <f t="shared" si="206"/>
        <v>0</v>
      </c>
      <c r="I6623" s="18">
        <v>0</v>
      </c>
      <c r="J6623" s="27">
        <v>147328</v>
      </c>
      <c r="K6623" s="18">
        <f t="shared" si="207"/>
        <v>0</v>
      </c>
      <c r="L6623" s="27">
        <v>2332.69</v>
      </c>
      <c r="M6623" s="36">
        <v>2332.69</v>
      </c>
      <c r="N6623" s="18" t="s">
        <v>12170</v>
      </c>
      <c r="O6623" s="19">
        <v>147328</v>
      </c>
      <c r="T6623" s="41">
        <v>0</v>
      </c>
      <c r="U6623" s="41">
        <v>0</v>
      </c>
      <c r="V6623" s="42" t="s">
        <v>113</v>
      </c>
      <c r="W6623" s="42">
        <v>0</v>
      </c>
      <c r="X6623" s="42">
        <v>0</v>
      </c>
    </row>
    <row r="6624" spans="1:24">
      <c r="A6624" s="27" t="s">
        <v>12171</v>
      </c>
      <c r="B6624" s="28" t="s">
        <v>5102</v>
      </c>
      <c r="C6624" s="27" t="s">
        <v>12172</v>
      </c>
      <c r="D6624" s="27" t="s">
        <v>5104</v>
      </c>
      <c r="E6624" s="29">
        <v>43737</v>
      </c>
      <c r="F6624" s="27">
        <v>15</v>
      </c>
      <c r="G6624" s="18">
        <v>0</v>
      </c>
      <c r="H6624" s="27">
        <f t="shared" si="206"/>
        <v>0</v>
      </c>
      <c r="I6624" s="18">
        <v>0</v>
      </c>
      <c r="J6624" s="27">
        <v>406688</v>
      </c>
      <c r="K6624" s="18">
        <f t="shared" si="207"/>
        <v>0</v>
      </c>
      <c r="L6624" s="27">
        <v>6439.23</v>
      </c>
      <c r="M6624" s="36">
        <v>6439.23</v>
      </c>
      <c r="N6624" s="18" t="s">
        <v>12170</v>
      </c>
      <c r="O6624" s="19">
        <v>406688</v>
      </c>
      <c r="T6624" s="41">
        <v>0</v>
      </c>
      <c r="U6624" s="41">
        <v>0</v>
      </c>
      <c r="V6624" s="42" t="s">
        <v>113</v>
      </c>
      <c r="W6624" s="42">
        <v>0</v>
      </c>
      <c r="X6624" s="42">
        <v>0</v>
      </c>
    </row>
    <row r="6625" spans="1:24">
      <c r="A6625" s="27" t="s">
        <v>12173</v>
      </c>
      <c r="B6625" s="28" t="s">
        <v>5102</v>
      </c>
      <c r="C6625" s="27" t="s">
        <v>12174</v>
      </c>
      <c r="D6625" s="27" t="s">
        <v>5104</v>
      </c>
      <c r="E6625" s="29">
        <v>43737</v>
      </c>
      <c r="F6625" s="27">
        <v>15</v>
      </c>
      <c r="G6625" s="18">
        <v>0</v>
      </c>
      <c r="H6625" s="27">
        <f t="shared" si="206"/>
        <v>0</v>
      </c>
      <c r="I6625" s="18">
        <v>0</v>
      </c>
      <c r="J6625" s="27">
        <v>94149</v>
      </c>
      <c r="K6625" s="18">
        <f t="shared" si="207"/>
        <v>0</v>
      </c>
      <c r="L6625" s="27">
        <v>1490.69</v>
      </c>
      <c r="M6625" s="36">
        <v>1490.69</v>
      </c>
      <c r="N6625" s="18" t="s">
        <v>12170</v>
      </c>
      <c r="O6625" s="19">
        <v>94149</v>
      </c>
      <c r="T6625" s="41">
        <v>0</v>
      </c>
      <c r="U6625" s="41">
        <v>0</v>
      </c>
      <c r="V6625" s="42" t="s">
        <v>113</v>
      </c>
      <c r="W6625" s="42">
        <v>0</v>
      </c>
      <c r="X6625" s="42">
        <v>0</v>
      </c>
    </row>
    <row r="6626" spans="1:24">
      <c r="A6626" s="27" t="s">
        <v>12175</v>
      </c>
      <c r="B6626" s="28" t="s">
        <v>5102</v>
      </c>
      <c r="C6626" s="27" t="s">
        <v>12176</v>
      </c>
      <c r="D6626" s="27" t="s">
        <v>5104</v>
      </c>
      <c r="E6626" s="29">
        <v>43737</v>
      </c>
      <c r="F6626" s="27">
        <v>15</v>
      </c>
      <c r="G6626" s="18">
        <v>0</v>
      </c>
      <c r="H6626" s="27">
        <f t="shared" si="206"/>
        <v>0</v>
      </c>
      <c r="I6626" s="18">
        <v>0</v>
      </c>
      <c r="J6626" s="27">
        <v>311856</v>
      </c>
      <c r="K6626" s="18">
        <f t="shared" si="207"/>
        <v>0</v>
      </c>
      <c r="L6626" s="27">
        <v>4937.72</v>
      </c>
      <c r="M6626" s="36">
        <v>4937.72</v>
      </c>
      <c r="N6626" s="18" t="s">
        <v>12170</v>
      </c>
      <c r="O6626" s="19">
        <v>311856</v>
      </c>
      <c r="T6626" s="41">
        <v>0</v>
      </c>
      <c r="U6626" s="41">
        <v>0</v>
      </c>
      <c r="V6626" s="42" t="s">
        <v>113</v>
      </c>
      <c r="W6626" s="42">
        <v>0</v>
      </c>
      <c r="X6626" s="42">
        <v>0</v>
      </c>
    </row>
    <row r="6627" spans="1:24">
      <c r="A6627" s="27" t="s">
        <v>12177</v>
      </c>
      <c r="B6627" s="28" t="s">
        <v>5102</v>
      </c>
      <c r="C6627" s="27" t="s">
        <v>12178</v>
      </c>
      <c r="D6627" s="27" t="s">
        <v>5104</v>
      </c>
      <c r="E6627" s="29">
        <v>43737</v>
      </c>
      <c r="F6627" s="27">
        <v>15</v>
      </c>
      <c r="G6627" s="18">
        <v>0</v>
      </c>
      <c r="H6627" s="27">
        <f t="shared" si="206"/>
        <v>0</v>
      </c>
      <c r="I6627" s="18">
        <v>0</v>
      </c>
      <c r="J6627" s="27">
        <v>37602</v>
      </c>
      <c r="K6627" s="18">
        <f t="shared" si="207"/>
        <v>0</v>
      </c>
      <c r="L6627" s="27">
        <v>595.37</v>
      </c>
      <c r="M6627" s="36">
        <v>595.37</v>
      </c>
      <c r="N6627" s="18" t="s">
        <v>12170</v>
      </c>
      <c r="O6627" s="19">
        <v>37602</v>
      </c>
      <c r="T6627" s="41">
        <v>0</v>
      </c>
      <c r="U6627" s="41">
        <v>0</v>
      </c>
      <c r="V6627" s="42" t="s">
        <v>113</v>
      </c>
      <c r="W6627" s="42">
        <v>0</v>
      </c>
      <c r="X6627" s="42">
        <v>0</v>
      </c>
    </row>
    <row r="6628" spans="1:24">
      <c r="A6628" s="27" t="s">
        <v>12179</v>
      </c>
      <c r="B6628" s="28" t="s">
        <v>5102</v>
      </c>
      <c r="C6628" s="27" t="s">
        <v>12180</v>
      </c>
      <c r="D6628" s="27" t="s">
        <v>5104</v>
      </c>
      <c r="E6628" s="29">
        <v>43737</v>
      </c>
      <c r="F6628" s="27">
        <v>15</v>
      </c>
      <c r="G6628" s="18">
        <v>0</v>
      </c>
      <c r="H6628" s="27">
        <f t="shared" si="206"/>
        <v>0</v>
      </c>
      <c r="I6628" s="18">
        <v>0</v>
      </c>
      <c r="J6628" s="27">
        <v>449526</v>
      </c>
      <c r="K6628" s="18">
        <f t="shared" si="207"/>
        <v>0</v>
      </c>
      <c r="L6628" s="27">
        <v>7117.5</v>
      </c>
      <c r="M6628" s="36">
        <v>7117.5</v>
      </c>
      <c r="N6628" s="18" t="s">
        <v>12170</v>
      </c>
      <c r="O6628" s="19">
        <v>449526</v>
      </c>
      <c r="T6628" s="41">
        <v>0</v>
      </c>
      <c r="U6628" s="41">
        <v>0</v>
      </c>
      <c r="V6628" s="42" t="s">
        <v>113</v>
      </c>
      <c r="W6628" s="42">
        <v>0</v>
      </c>
      <c r="X6628" s="42">
        <v>0</v>
      </c>
    </row>
    <row r="6629" spans="1:24">
      <c r="A6629" s="27" t="s">
        <v>12181</v>
      </c>
      <c r="B6629" s="28" t="s">
        <v>5102</v>
      </c>
      <c r="C6629" s="27" t="s">
        <v>12182</v>
      </c>
      <c r="D6629" s="27" t="s">
        <v>5104</v>
      </c>
      <c r="E6629" s="29">
        <v>43805</v>
      </c>
      <c r="F6629" s="27">
        <v>15</v>
      </c>
      <c r="G6629" s="18">
        <v>0</v>
      </c>
      <c r="H6629" s="27">
        <f t="shared" si="206"/>
        <v>0</v>
      </c>
      <c r="I6629" s="18">
        <v>0</v>
      </c>
      <c r="J6629" s="27">
        <v>609229.06000000006</v>
      </c>
      <c r="K6629" s="18">
        <f t="shared" si="207"/>
        <v>0</v>
      </c>
      <c r="L6629" s="27">
        <v>0</v>
      </c>
      <c r="M6629" s="36">
        <v>0</v>
      </c>
      <c r="N6629" s="18" t="s">
        <v>12170</v>
      </c>
      <c r="O6629" s="19">
        <v>609229.06000000006</v>
      </c>
      <c r="T6629" s="41">
        <v>0</v>
      </c>
      <c r="U6629" s="41">
        <v>0</v>
      </c>
      <c r="V6629" s="42" t="s">
        <v>113</v>
      </c>
      <c r="W6629" s="42">
        <v>0</v>
      </c>
      <c r="X6629" s="42">
        <v>0</v>
      </c>
    </row>
    <row r="6630" spans="1:24">
      <c r="A6630" s="27" t="s">
        <v>12183</v>
      </c>
      <c r="B6630" s="28" t="s">
        <v>5102</v>
      </c>
      <c r="C6630" s="27" t="s">
        <v>12184</v>
      </c>
      <c r="D6630" s="27" t="s">
        <v>5104</v>
      </c>
      <c r="E6630" s="29">
        <v>43805</v>
      </c>
      <c r="F6630" s="27">
        <v>15</v>
      </c>
      <c r="G6630" s="18">
        <v>0</v>
      </c>
      <c r="H6630" s="27">
        <f t="shared" si="206"/>
        <v>0</v>
      </c>
      <c r="I6630" s="18">
        <v>0</v>
      </c>
      <c r="J6630" s="27">
        <v>606721.06000000006</v>
      </c>
      <c r="K6630" s="18">
        <f t="shared" si="207"/>
        <v>0</v>
      </c>
      <c r="L6630" s="27">
        <v>0</v>
      </c>
      <c r="M6630" s="36">
        <v>0</v>
      </c>
      <c r="N6630" s="18" t="s">
        <v>12170</v>
      </c>
      <c r="O6630" s="19">
        <v>606721.06000000006</v>
      </c>
      <c r="T6630" s="41">
        <v>0</v>
      </c>
      <c r="U6630" s="41">
        <v>0</v>
      </c>
      <c r="V6630" s="42" t="s">
        <v>113</v>
      </c>
      <c r="W6630" s="42">
        <v>0</v>
      </c>
      <c r="X6630" s="42">
        <v>0</v>
      </c>
    </row>
    <row r="6631" spans="1:24">
      <c r="A6631" s="27" t="s">
        <v>12185</v>
      </c>
      <c r="B6631" s="28" t="s">
        <v>5102</v>
      </c>
      <c r="C6631" s="27" t="s">
        <v>12186</v>
      </c>
      <c r="D6631" s="27" t="s">
        <v>5104</v>
      </c>
      <c r="E6631" s="29">
        <v>43805</v>
      </c>
      <c r="F6631" s="27">
        <v>15</v>
      </c>
      <c r="G6631" s="18">
        <v>0</v>
      </c>
      <c r="H6631" s="27">
        <f t="shared" si="206"/>
        <v>0</v>
      </c>
      <c r="I6631" s="18">
        <v>0</v>
      </c>
      <c r="J6631" s="27">
        <v>594759.88</v>
      </c>
      <c r="K6631" s="18">
        <f t="shared" si="207"/>
        <v>0</v>
      </c>
      <c r="L6631" s="27">
        <v>0</v>
      </c>
      <c r="M6631" s="36">
        <v>0</v>
      </c>
      <c r="N6631" s="18" t="s">
        <v>12170</v>
      </c>
      <c r="O6631" s="19">
        <v>594759.88</v>
      </c>
      <c r="T6631" s="41">
        <v>0</v>
      </c>
      <c r="U6631" s="41">
        <v>0</v>
      </c>
      <c r="V6631" s="42" t="s">
        <v>113</v>
      </c>
      <c r="W6631" s="42">
        <v>0</v>
      </c>
      <c r="X6631" s="42">
        <v>0</v>
      </c>
    </row>
    <row r="6632" spans="1:24">
      <c r="A6632" s="27" t="s">
        <v>12187</v>
      </c>
      <c r="B6632" s="28" t="s">
        <v>5102</v>
      </c>
      <c r="C6632" s="27" t="s">
        <v>12188</v>
      </c>
      <c r="D6632" s="27" t="s">
        <v>5104</v>
      </c>
      <c r="E6632" s="29">
        <v>43737</v>
      </c>
      <c r="F6632" s="27">
        <v>15</v>
      </c>
      <c r="G6632" s="18">
        <v>0</v>
      </c>
      <c r="H6632" s="27">
        <f t="shared" si="206"/>
        <v>0</v>
      </c>
      <c r="I6632" s="18">
        <v>0</v>
      </c>
      <c r="J6632" s="27">
        <v>162700</v>
      </c>
      <c r="K6632" s="18">
        <f t="shared" si="207"/>
        <v>0</v>
      </c>
      <c r="L6632" s="27">
        <v>2576.08</v>
      </c>
      <c r="M6632" s="36">
        <v>2576.08</v>
      </c>
      <c r="N6632" s="18" t="s">
        <v>12170</v>
      </c>
      <c r="O6632" s="19">
        <v>162700</v>
      </c>
      <c r="T6632" s="41">
        <v>0</v>
      </c>
      <c r="U6632" s="41">
        <v>0</v>
      </c>
      <c r="V6632" s="42" t="s">
        <v>113</v>
      </c>
      <c r="W6632" s="42">
        <v>0</v>
      </c>
      <c r="X6632" s="42">
        <v>0</v>
      </c>
    </row>
    <row r="6633" spans="1:24">
      <c r="A6633" s="27" t="s">
        <v>12189</v>
      </c>
      <c r="B6633" s="28" t="s">
        <v>5102</v>
      </c>
      <c r="C6633" s="27" t="s">
        <v>12190</v>
      </c>
      <c r="D6633" s="27" t="s">
        <v>5104</v>
      </c>
      <c r="E6633" s="29">
        <v>43734</v>
      </c>
      <c r="F6633" s="27">
        <v>15</v>
      </c>
      <c r="G6633" s="18">
        <v>0</v>
      </c>
      <c r="H6633" s="27">
        <f t="shared" si="206"/>
        <v>0</v>
      </c>
      <c r="I6633" s="18">
        <v>0</v>
      </c>
      <c r="J6633" s="27">
        <v>29555.89</v>
      </c>
      <c r="K6633" s="18">
        <f t="shared" si="207"/>
        <v>0</v>
      </c>
      <c r="L6633" s="27">
        <v>467.97</v>
      </c>
      <c r="M6633" s="36">
        <v>467.97</v>
      </c>
      <c r="N6633" s="18" t="s">
        <v>123</v>
      </c>
      <c r="O6633" s="19">
        <v>29555.89</v>
      </c>
      <c r="T6633" s="41">
        <v>0</v>
      </c>
      <c r="U6633" s="41">
        <v>0</v>
      </c>
      <c r="V6633" s="42" t="s">
        <v>113</v>
      </c>
      <c r="W6633" s="42">
        <v>0</v>
      </c>
      <c r="X6633" s="42">
        <v>0</v>
      </c>
    </row>
    <row r="6634" spans="1:24">
      <c r="A6634" s="27" t="s">
        <v>12191</v>
      </c>
      <c r="B6634" s="28" t="s">
        <v>5102</v>
      </c>
      <c r="C6634" s="27" t="s">
        <v>12192</v>
      </c>
      <c r="D6634" s="27" t="s">
        <v>5104</v>
      </c>
      <c r="E6634" s="29">
        <v>43728</v>
      </c>
      <c r="F6634" s="27">
        <v>15</v>
      </c>
      <c r="G6634" s="18">
        <v>0</v>
      </c>
      <c r="H6634" s="27">
        <f t="shared" si="206"/>
        <v>0</v>
      </c>
      <c r="I6634" s="18">
        <v>0</v>
      </c>
      <c r="J6634" s="27">
        <v>79880.039999999994</v>
      </c>
      <c r="K6634" s="18">
        <f t="shared" si="207"/>
        <v>0</v>
      </c>
      <c r="L6634" s="27">
        <v>1264.77</v>
      </c>
      <c r="M6634" s="36">
        <v>1264.77</v>
      </c>
      <c r="N6634" s="18" t="s">
        <v>123</v>
      </c>
      <c r="O6634" s="19">
        <v>79880.039999999994</v>
      </c>
      <c r="T6634" s="41">
        <v>0</v>
      </c>
      <c r="U6634" s="41">
        <v>0</v>
      </c>
      <c r="V6634" s="42" t="s">
        <v>113</v>
      </c>
      <c r="W6634" s="42">
        <v>0</v>
      </c>
      <c r="X6634" s="42">
        <v>0</v>
      </c>
    </row>
    <row r="6635" spans="1:24">
      <c r="A6635" s="27" t="s">
        <v>12193</v>
      </c>
      <c r="B6635" s="28" t="s">
        <v>5102</v>
      </c>
      <c r="C6635" s="27" t="s">
        <v>12194</v>
      </c>
      <c r="D6635" s="27" t="s">
        <v>5104</v>
      </c>
      <c r="E6635" s="29">
        <v>43728</v>
      </c>
      <c r="F6635" s="27">
        <v>15</v>
      </c>
      <c r="G6635" s="18">
        <v>0</v>
      </c>
      <c r="H6635" s="27">
        <f t="shared" si="206"/>
        <v>0</v>
      </c>
      <c r="I6635" s="18">
        <v>0</v>
      </c>
      <c r="J6635" s="27">
        <v>21812.01</v>
      </c>
      <c r="K6635" s="18">
        <f t="shared" si="207"/>
        <v>0</v>
      </c>
      <c r="L6635" s="27">
        <v>345.36</v>
      </c>
      <c r="M6635" s="36">
        <v>345.36</v>
      </c>
      <c r="N6635" s="18" t="s">
        <v>123</v>
      </c>
      <c r="O6635" s="19">
        <v>21812.01</v>
      </c>
      <c r="T6635" s="41">
        <v>0</v>
      </c>
      <c r="U6635" s="41">
        <v>0</v>
      </c>
      <c r="V6635" s="42" t="s">
        <v>113</v>
      </c>
      <c r="W6635" s="42">
        <v>0</v>
      </c>
      <c r="X6635" s="42">
        <v>0</v>
      </c>
    </row>
    <row r="6636" spans="1:24">
      <c r="A6636" s="27" t="s">
        <v>12195</v>
      </c>
      <c r="B6636" s="28" t="s">
        <v>5102</v>
      </c>
      <c r="C6636" s="27" t="s">
        <v>12196</v>
      </c>
      <c r="D6636" s="27" t="s">
        <v>5104</v>
      </c>
      <c r="E6636" s="29">
        <v>43728</v>
      </c>
      <c r="F6636" s="27">
        <v>15</v>
      </c>
      <c r="G6636" s="18">
        <v>0</v>
      </c>
      <c r="H6636" s="27">
        <f t="shared" si="206"/>
        <v>0</v>
      </c>
      <c r="I6636" s="18">
        <v>0</v>
      </c>
      <c r="J6636" s="27">
        <v>124895.21</v>
      </c>
      <c r="K6636" s="18">
        <f t="shared" si="207"/>
        <v>0</v>
      </c>
      <c r="L6636" s="27">
        <v>1977.51</v>
      </c>
      <c r="M6636" s="36">
        <v>1977.51</v>
      </c>
      <c r="N6636" s="18" t="s">
        <v>123</v>
      </c>
      <c r="O6636" s="19">
        <v>124895.21</v>
      </c>
      <c r="T6636" s="41">
        <v>0</v>
      </c>
      <c r="U6636" s="41">
        <v>0</v>
      </c>
      <c r="V6636" s="42" t="s">
        <v>113</v>
      </c>
      <c r="W6636" s="42">
        <v>0</v>
      </c>
      <c r="X6636" s="42">
        <v>0</v>
      </c>
    </row>
    <row r="6637" spans="1:24">
      <c r="A6637" s="27" t="s">
        <v>12197</v>
      </c>
      <c r="B6637" s="28" t="s">
        <v>5102</v>
      </c>
      <c r="C6637" s="27" t="s">
        <v>12198</v>
      </c>
      <c r="D6637" s="27" t="s">
        <v>5104</v>
      </c>
      <c r="E6637" s="29">
        <v>43728</v>
      </c>
      <c r="F6637" s="27">
        <v>15</v>
      </c>
      <c r="G6637" s="18">
        <v>0</v>
      </c>
      <c r="H6637" s="27">
        <f t="shared" si="206"/>
        <v>0</v>
      </c>
      <c r="I6637" s="18">
        <v>0</v>
      </c>
      <c r="J6637" s="27">
        <v>197836.63</v>
      </c>
      <c r="K6637" s="18">
        <f t="shared" si="207"/>
        <v>0</v>
      </c>
      <c r="L6637" s="27">
        <v>3132.41</v>
      </c>
      <c r="M6637" s="36">
        <v>3132.41</v>
      </c>
      <c r="N6637" s="18" t="s">
        <v>123</v>
      </c>
      <c r="O6637" s="19">
        <v>197836.63</v>
      </c>
      <c r="T6637" s="41">
        <v>0</v>
      </c>
      <c r="U6637" s="41">
        <v>0</v>
      </c>
      <c r="V6637" s="42" t="s">
        <v>113</v>
      </c>
      <c r="W6637" s="42">
        <v>0</v>
      </c>
      <c r="X6637" s="42">
        <v>0</v>
      </c>
    </row>
    <row r="6638" spans="1:24">
      <c r="A6638" s="27" t="s">
        <v>12199</v>
      </c>
      <c r="B6638" s="28" t="s">
        <v>5102</v>
      </c>
      <c r="C6638" s="27" t="s">
        <v>12200</v>
      </c>
      <c r="D6638" s="27" t="s">
        <v>5104</v>
      </c>
      <c r="E6638" s="29">
        <v>43728</v>
      </c>
      <c r="F6638" s="27">
        <v>15</v>
      </c>
      <c r="G6638" s="18">
        <v>0</v>
      </c>
      <c r="H6638" s="27">
        <f t="shared" si="206"/>
        <v>0</v>
      </c>
      <c r="I6638" s="18">
        <v>0</v>
      </c>
      <c r="J6638" s="27">
        <v>41047.79</v>
      </c>
      <c r="K6638" s="18">
        <f t="shared" si="207"/>
        <v>0</v>
      </c>
      <c r="L6638" s="27">
        <v>649.91999999999996</v>
      </c>
      <c r="M6638" s="36">
        <v>649.91999999999996</v>
      </c>
      <c r="N6638" s="18" t="s">
        <v>123</v>
      </c>
      <c r="O6638" s="19">
        <v>41047.79</v>
      </c>
      <c r="T6638" s="41">
        <v>0</v>
      </c>
      <c r="U6638" s="41">
        <v>0</v>
      </c>
      <c r="V6638" s="42" t="s">
        <v>113</v>
      </c>
      <c r="W6638" s="42">
        <v>0</v>
      </c>
      <c r="X6638" s="42">
        <v>0</v>
      </c>
    </row>
    <row r="6639" spans="1:24">
      <c r="A6639" s="27" t="s">
        <v>12201</v>
      </c>
      <c r="B6639" s="28" t="s">
        <v>5102</v>
      </c>
      <c r="C6639" s="27" t="s">
        <v>12202</v>
      </c>
      <c r="D6639" s="27" t="s">
        <v>5104</v>
      </c>
      <c r="E6639" s="29">
        <v>43728</v>
      </c>
      <c r="F6639" s="27">
        <v>15</v>
      </c>
      <c r="G6639" s="18">
        <v>0</v>
      </c>
      <c r="H6639" s="27">
        <f t="shared" si="206"/>
        <v>0</v>
      </c>
      <c r="I6639" s="18">
        <v>0</v>
      </c>
      <c r="J6639" s="27">
        <v>51352.68</v>
      </c>
      <c r="K6639" s="18">
        <f t="shared" si="207"/>
        <v>0</v>
      </c>
      <c r="L6639" s="27">
        <v>813.08</v>
      </c>
      <c r="M6639" s="36">
        <v>813.08</v>
      </c>
      <c r="N6639" s="18" t="s">
        <v>123</v>
      </c>
      <c r="O6639" s="19">
        <v>51352.68</v>
      </c>
      <c r="T6639" s="41">
        <v>0</v>
      </c>
      <c r="U6639" s="41">
        <v>0</v>
      </c>
      <c r="V6639" s="42" t="s">
        <v>113</v>
      </c>
      <c r="W6639" s="42">
        <v>0</v>
      </c>
      <c r="X6639" s="42">
        <v>0</v>
      </c>
    </row>
    <row r="6640" spans="1:24">
      <c r="A6640" s="27" t="s">
        <v>12203</v>
      </c>
      <c r="B6640" s="28" t="s">
        <v>5102</v>
      </c>
      <c r="C6640" s="27" t="s">
        <v>12204</v>
      </c>
      <c r="D6640" s="27" t="s">
        <v>5104</v>
      </c>
      <c r="E6640" s="29">
        <v>43728</v>
      </c>
      <c r="F6640" s="27">
        <v>15</v>
      </c>
      <c r="G6640" s="18">
        <v>0</v>
      </c>
      <c r="H6640" s="27">
        <f t="shared" si="206"/>
        <v>0</v>
      </c>
      <c r="I6640" s="18">
        <v>0</v>
      </c>
      <c r="J6640" s="27">
        <v>80773.13</v>
      </c>
      <c r="K6640" s="18">
        <f t="shared" si="207"/>
        <v>0</v>
      </c>
      <c r="L6640" s="27">
        <v>1278.9100000000001</v>
      </c>
      <c r="M6640" s="36">
        <v>1278.9100000000001</v>
      </c>
      <c r="N6640" s="18" t="s">
        <v>123</v>
      </c>
      <c r="O6640" s="19">
        <v>80773.13</v>
      </c>
      <c r="T6640" s="41">
        <v>0</v>
      </c>
      <c r="U6640" s="41">
        <v>0</v>
      </c>
      <c r="V6640" s="42" t="s">
        <v>113</v>
      </c>
      <c r="W6640" s="42">
        <v>0</v>
      </c>
      <c r="X6640" s="42">
        <v>0</v>
      </c>
    </row>
    <row r="6641" spans="1:24">
      <c r="A6641" s="27" t="s">
        <v>12205</v>
      </c>
      <c r="B6641" s="28" t="s">
        <v>5102</v>
      </c>
      <c r="C6641" s="27" t="s">
        <v>12206</v>
      </c>
      <c r="D6641" s="27" t="s">
        <v>5104</v>
      </c>
      <c r="E6641" s="29">
        <v>43728</v>
      </c>
      <c r="F6641" s="27">
        <v>15</v>
      </c>
      <c r="G6641" s="18">
        <v>0</v>
      </c>
      <c r="H6641" s="27">
        <f t="shared" si="206"/>
        <v>0</v>
      </c>
      <c r="I6641" s="18">
        <v>0</v>
      </c>
      <c r="J6641" s="27">
        <v>30742.91</v>
      </c>
      <c r="K6641" s="18">
        <f t="shared" si="207"/>
        <v>0</v>
      </c>
      <c r="L6641" s="27">
        <v>486.76</v>
      </c>
      <c r="M6641" s="36">
        <v>486.76</v>
      </c>
      <c r="N6641" s="18" t="s">
        <v>123</v>
      </c>
      <c r="O6641" s="19">
        <v>30742.91</v>
      </c>
      <c r="T6641" s="41">
        <v>0</v>
      </c>
      <c r="U6641" s="41">
        <v>0</v>
      </c>
      <c r="V6641" s="42" t="s">
        <v>113</v>
      </c>
      <c r="W6641" s="42">
        <v>0</v>
      </c>
      <c r="X6641" s="42">
        <v>0</v>
      </c>
    </row>
    <row r="6642" spans="1:24">
      <c r="A6642" s="27" t="s">
        <v>12207</v>
      </c>
      <c r="B6642" s="28" t="s">
        <v>5102</v>
      </c>
      <c r="C6642" s="27" t="s">
        <v>12208</v>
      </c>
      <c r="D6642" s="27" t="s">
        <v>5104</v>
      </c>
      <c r="E6642" s="29">
        <v>43728</v>
      </c>
      <c r="F6642" s="27">
        <v>15</v>
      </c>
      <c r="G6642" s="18">
        <v>0</v>
      </c>
      <c r="H6642" s="27">
        <f t="shared" si="206"/>
        <v>0</v>
      </c>
      <c r="I6642" s="18">
        <v>0</v>
      </c>
      <c r="J6642" s="27">
        <v>121082.41</v>
      </c>
      <c r="K6642" s="18">
        <f t="shared" si="207"/>
        <v>0</v>
      </c>
      <c r="L6642" s="27">
        <v>1917.14</v>
      </c>
      <c r="M6642" s="36">
        <v>1917.14</v>
      </c>
      <c r="N6642" s="18" t="s">
        <v>123</v>
      </c>
      <c r="O6642" s="19">
        <v>121082.41</v>
      </c>
      <c r="T6642" s="41">
        <v>0</v>
      </c>
      <c r="U6642" s="41">
        <v>0</v>
      </c>
      <c r="V6642" s="42" t="s">
        <v>113</v>
      </c>
      <c r="W6642" s="42">
        <v>0</v>
      </c>
      <c r="X6642" s="42">
        <v>0</v>
      </c>
    </row>
    <row r="6643" spans="1:24">
      <c r="A6643" s="27" t="s">
        <v>12209</v>
      </c>
      <c r="B6643" s="28" t="s">
        <v>5102</v>
      </c>
      <c r="C6643" s="27" t="s">
        <v>12210</v>
      </c>
      <c r="D6643" s="27" t="s">
        <v>5104</v>
      </c>
      <c r="E6643" s="29">
        <v>43728</v>
      </c>
      <c r="F6643" s="27">
        <v>15</v>
      </c>
      <c r="G6643" s="18">
        <v>0</v>
      </c>
      <c r="H6643" s="27">
        <f t="shared" si="206"/>
        <v>0</v>
      </c>
      <c r="I6643" s="18">
        <v>0</v>
      </c>
      <c r="J6643" s="27">
        <v>196840.49</v>
      </c>
      <c r="K6643" s="18">
        <f t="shared" si="207"/>
        <v>0</v>
      </c>
      <c r="L6643" s="27">
        <v>3116.64</v>
      </c>
      <c r="M6643" s="36">
        <v>3116.64</v>
      </c>
      <c r="N6643" s="18" t="s">
        <v>123</v>
      </c>
      <c r="O6643" s="19">
        <v>196840.49</v>
      </c>
      <c r="T6643" s="41">
        <v>0</v>
      </c>
      <c r="U6643" s="41">
        <v>0</v>
      </c>
      <c r="V6643" s="42" t="s">
        <v>113</v>
      </c>
      <c r="W6643" s="42">
        <v>0</v>
      </c>
      <c r="X6643" s="42">
        <v>0</v>
      </c>
    </row>
    <row r="6644" spans="1:24">
      <c r="A6644" s="27" t="s">
        <v>12211</v>
      </c>
      <c r="B6644" s="28" t="s">
        <v>5102</v>
      </c>
      <c r="C6644" s="27" t="s">
        <v>12212</v>
      </c>
      <c r="D6644" s="27" t="s">
        <v>5104</v>
      </c>
      <c r="E6644" s="29">
        <v>43728</v>
      </c>
      <c r="F6644" s="27">
        <v>15</v>
      </c>
      <c r="G6644" s="18">
        <v>0</v>
      </c>
      <c r="H6644" s="27">
        <f t="shared" si="206"/>
        <v>0</v>
      </c>
      <c r="I6644" s="18">
        <v>0</v>
      </c>
      <c r="J6644" s="27">
        <v>32202.77</v>
      </c>
      <c r="K6644" s="18">
        <f t="shared" si="207"/>
        <v>0</v>
      </c>
      <c r="L6644" s="27">
        <v>509.88</v>
      </c>
      <c r="M6644" s="36">
        <v>509.88</v>
      </c>
      <c r="N6644" s="18" t="s">
        <v>123</v>
      </c>
      <c r="O6644" s="19">
        <v>32202.77</v>
      </c>
      <c r="T6644" s="41">
        <v>0</v>
      </c>
      <c r="U6644" s="41">
        <v>0</v>
      </c>
      <c r="V6644" s="42" t="s">
        <v>113</v>
      </c>
      <c r="W6644" s="42">
        <v>0</v>
      </c>
      <c r="X6644" s="42">
        <v>0</v>
      </c>
    </row>
    <row r="6645" spans="1:24">
      <c r="A6645" s="27" t="s">
        <v>12213</v>
      </c>
      <c r="B6645" s="28" t="s">
        <v>5102</v>
      </c>
      <c r="C6645" s="27" t="s">
        <v>12214</v>
      </c>
      <c r="D6645" s="27" t="s">
        <v>5104</v>
      </c>
      <c r="E6645" s="29">
        <v>43728</v>
      </c>
      <c r="F6645" s="27">
        <v>15</v>
      </c>
      <c r="G6645" s="18">
        <v>0</v>
      </c>
      <c r="H6645" s="27">
        <f t="shared" si="206"/>
        <v>0</v>
      </c>
      <c r="I6645" s="18">
        <v>0</v>
      </c>
      <c r="J6645" s="27">
        <v>94117.96</v>
      </c>
      <c r="K6645" s="18">
        <f t="shared" si="207"/>
        <v>0</v>
      </c>
      <c r="L6645" s="27">
        <v>1490.2</v>
      </c>
      <c r="M6645" s="36">
        <v>1490.2</v>
      </c>
      <c r="N6645" s="18" t="s">
        <v>123</v>
      </c>
      <c r="O6645" s="19">
        <v>94117.96</v>
      </c>
      <c r="T6645" s="41">
        <v>0</v>
      </c>
      <c r="U6645" s="41">
        <v>0</v>
      </c>
      <c r="V6645" s="42" t="s">
        <v>113</v>
      </c>
      <c r="W6645" s="42">
        <v>0</v>
      </c>
      <c r="X6645" s="42">
        <v>0</v>
      </c>
    </row>
    <row r="6646" spans="1:24">
      <c r="A6646" s="27" t="s">
        <v>12215</v>
      </c>
      <c r="B6646" s="28" t="s">
        <v>5102</v>
      </c>
      <c r="C6646" s="27" t="s">
        <v>12216</v>
      </c>
      <c r="D6646" s="27" t="s">
        <v>5104</v>
      </c>
      <c r="E6646" s="29">
        <v>43728</v>
      </c>
      <c r="F6646" s="27">
        <v>15</v>
      </c>
      <c r="G6646" s="18">
        <v>0</v>
      </c>
      <c r="H6646" s="27">
        <f t="shared" si="206"/>
        <v>0</v>
      </c>
      <c r="I6646" s="18">
        <v>0</v>
      </c>
      <c r="J6646" s="27">
        <v>25933.96</v>
      </c>
      <c r="K6646" s="18">
        <f t="shared" si="207"/>
        <v>0</v>
      </c>
      <c r="L6646" s="27">
        <v>410.62</v>
      </c>
      <c r="M6646" s="36">
        <v>410.62</v>
      </c>
      <c r="N6646" s="18" t="s">
        <v>123</v>
      </c>
      <c r="O6646" s="19">
        <v>25933.96</v>
      </c>
      <c r="T6646" s="41">
        <v>0</v>
      </c>
      <c r="U6646" s="41">
        <v>0</v>
      </c>
      <c r="V6646" s="42" t="s">
        <v>113</v>
      </c>
      <c r="W6646" s="42">
        <v>0</v>
      </c>
      <c r="X6646" s="42">
        <v>0</v>
      </c>
    </row>
    <row r="6647" spans="1:24">
      <c r="A6647" s="27" t="s">
        <v>12217</v>
      </c>
      <c r="B6647" s="28" t="s">
        <v>5102</v>
      </c>
      <c r="C6647" s="27" t="s">
        <v>12218</v>
      </c>
      <c r="D6647" s="27" t="s">
        <v>5104</v>
      </c>
      <c r="E6647" s="29">
        <v>43728</v>
      </c>
      <c r="F6647" s="27">
        <v>15</v>
      </c>
      <c r="G6647" s="18">
        <v>0</v>
      </c>
      <c r="H6647" s="27">
        <f t="shared" si="206"/>
        <v>0</v>
      </c>
      <c r="I6647" s="18">
        <v>0</v>
      </c>
      <c r="J6647" s="27">
        <v>12692.18</v>
      </c>
      <c r="K6647" s="18">
        <f t="shared" si="207"/>
        <v>0</v>
      </c>
      <c r="L6647" s="27">
        <v>200.96</v>
      </c>
      <c r="M6647" s="36">
        <v>200.96</v>
      </c>
      <c r="N6647" s="18" t="s">
        <v>123</v>
      </c>
      <c r="O6647" s="19">
        <v>12692.18</v>
      </c>
      <c r="T6647" s="41">
        <v>0</v>
      </c>
      <c r="U6647" s="41">
        <v>0</v>
      </c>
      <c r="V6647" s="42" t="s">
        <v>113</v>
      </c>
      <c r="W6647" s="42">
        <v>0</v>
      </c>
      <c r="X6647" s="42">
        <v>0</v>
      </c>
    </row>
    <row r="6648" spans="1:24">
      <c r="A6648" s="27" t="s">
        <v>12219</v>
      </c>
      <c r="B6648" s="28" t="s">
        <v>5102</v>
      </c>
      <c r="C6648" s="27" t="s">
        <v>12220</v>
      </c>
      <c r="D6648" s="27" t="s">
        <v>5104</v>
      </c>
      <c r="E6648" s="29">
        <v>43728</v>
      </c>
      <c r="F6648" s="27">
        <v>15</v>
      </c>
      <c r="G6648" s="18">
        <v>0</v>
      </c>
      <c r="H6648" s="27">
        <f t="shared" si="206"/>
        <v>0</v>
      </c>
      <c r="I6648" s="18">
        <v>0</v>
      </c>
      <c r="J6648" s="27">
        <v>70056.05</v>
      </c>
      <c r="K6648" s="18">
        <f t="shared" si="207"/>
        <v>0</v>
      </c>
      <c r="L6648" s="27">
        <v>1109.22</v>
      </c>
      <c r="M6648" s="36">
        <v>1109.22</v>
      </c>
      <c r="N6648" s="18" t="s">
        <v>123</v>
      </c>
      <c r="O6648" s="19">
        <v>70056.05</v>
      </c>
      <c r="T6648" s="41">
        <v>0</v>
      </c>
      <c r="U6648" s="41">
        <v>0</v>
      </c>
      <c r="V6648" s="42" t="s">
        <v>113</v>
      </c>
      <c r="W6648" s="42">
        <v>0</v>
      </c>
      <c r="X6648" s="42">
        <v>0</v>
      </c>
    </row>
    <row r="6649" spans="1:24">
      <c r="A6649" s="27" t="s">
        <v>12221</v>
      </c>
      <c r="B6649" s="28" t="s">
        <v>5102</v>
      </c>
      <c r="C6649" s="27" t="s">
        <v>12222</v>
      </c>
      <c r="D6649" s="27" t="s">
        <v>5104</v>
      </c>
      <c r="E6649" s="29">
        <v>43728</v>
      </c>
      <c r="F6649" s="27">
        <v>15</v>
      </c>
      <c r="G6649" s="18">
        <v>0</v>
      </c>
      <c r="H6649" s="27">
        <f t="shared" si="206"/>
        <v>0</v>
      </c>
      <c r="I6649" s="18">
        <v>0</v>
      </c>
      <c r="J6649" s="27">
        <v>142276.12</v>
      </c>
      <c r="K6649" s="18">
        <f t="shared" si="207"/>
        <v>0</v>
      </c>
      <c r="L6649" s="27">
        <v>2252.71</v>
      </c>
      <c r="M6649" s="36">
        <v>2252.71</v>
      </c>
      <c r="N6649" s="18" t="s">
        <v>123</v>
      </c>
      <c r="O6649" s="19">
        <v>142276.12</v>
      </c>
      <c r="T6649" s="41">
        <v>0</v>
      </c>
      <c r="U6649" s="41">
        <v>0</v>
      </c>
      <c r="V6649" s="42" t="s">
        <v>113</v>
      </c>
      <c r="W6649" s="42">
        <v>0</v>
      </c>
      <c r="X6649" s="42">
        <v>0</v>
      </c>
    </row>
    <row r="6650" spans="1:24">
      <c r="A6650" s="27" t="s">
        <v>12223</v>
      </c>
      <c r="B6650" s="28" t="s">
        <v>5102</v>
      </c>
      <c r="C6650" s="27" t="s">
        <v>12224</v>
      </c>
      <c r="D6650" s="27" t="s">
        <v>5104</v>
      </c>
      <c r="E6650" s="29">
        <v>43728</v>
      </c>
      <c r="F6650" s="27">
        <v>15</v>
      </c>
      <c r="G6650" s="18">
        <v>0</v>
      </c>
      <c r="H6650" s="27">
        <f t="shared" si="206"/>
        <v>0</v>
      </c>
      <c r="I6650" s="18">
        <v>0</v>
      </c>
      <c r="J6650" s="27">
        <v>43297.69</v>
      </c>
      <c r="K6650" s="18">
        <f t="shared" si="207"/>
        <v>0</v>
      </c>
      <c r="L6650" s="27">
        <v>685.55</v>
      </c>
      <c r="M6650" s="36">
        <v>685.55</v>
      </c>
      <c r="N6650" s="18" t="s">
        <v>123</v>
      </c>
      <c r="O6650" s="19">
        <v>43297.69</v>
      </c>
      <c r="T6650" s="41">
        <v>0</v>
      </c>
      <c r="U6650" s="41">
        <v>0</v>
      </c>
      <c r="V6650" s="42" t="s">
        <v>113</v>
      </c>
      <c r="W6650" s="42">
        <v>0</v>
      </c>
      <c r="X6650" s="42">
        <v>0</v>
      </c>
    </row>
    <row r="6651" spans="1:24">
      <c r="A6651" s="27" t="s">
        <v>12225</v>
      </c>
      <c r="B6651" s="28" t="s">
        <v>5102</v>
      </c>
      <c r="C6651" s="27" t="s">
        <v>12226</v>
      </c>
      <c r="D6651" s="27" t="s">
        <v>5104</v>
      </c>
      <c r="E6651" s="29">
        <v>43728</v>
      </c>
      <c r="F6651" s="27">
        <v>15</v>
      </c>
      <c r="G6651" s="18">
        <v>0</v>
      </c>
      <c r="H6651" s="27">
        <f t="shared" si="206"/>
        <v>0</v>
      </c>
      <c r="I6651" s="18">
        <v>0</v>
      </c>
      <c r="J6651" s="27">
        <v>49102.78</v>
      </c>
      <c r="K6651" s="18">
        <f t="shared" si="207"/>
        <v>0</v>
      </c>
      <c r="L6651" s="27">
        <v>777.46</v>
      </c>
      <c r="M6651" s="36">
        <v>777.46</v>
      </c>
      <c r="N6651" s="18" t="s">
        <v>123</v>
      </c>
      <c r="O6651" s="19">
        <v>49102.78</v>
      </c>
      <c r="T6651" s="41">
        <v>0</v>
      </c>
      <c r="U6651" s="41">
        <v>0</v>
      </c>
      <c r="V6651" s="42" t="s">
        <v>113</v>
      </c>
      <c r="W6651" s="42">
        <v>0</v>
      </c>
      <c r="X6651" s="42">
        <v>0</v>
      </c>
    </row>
    <row r="6652" spans="1:24">
      <c r="A6652" s="27" t="s">
        <v>12227</v>
      </c>
      <c r="B6652" s="28" t="s">
        <v>5102</v>
      </c>
      <c r="C6652" s="27" t="s">
        <v>12228</v>
      </c>
      <c r="D6652" s="27" t="s">
        <v>5104</v>
      </c>
      <c r="E6652" s="29">
        <v>43728</v>
      </c>
      <c r="F6652" s="27">
        <v>15</v>
      </c>
      <c r="G6652" s="18">
        <v>0</v>
      </c>
      <c r="H6652" s="27">
        <f t="shared" si="206"/>
        <v>0</v>
      </c>
      <c r="I6652" s="18">
        <v>0</v>
      </c>
      <c r="J6652" s="27">
        <v>90293.16</v>
      </c>
      <c r="K6652" s="18">
        <f t="shared" si="207"/>
        <v>0</v>
      </c>
      <c r="L6652" s="27">
        <v>1429.64</v>
      </c>
      <c r="M6652" s="36">
        <v>1429.64</v>
      </c>
      <c r="N6652" s="18" t="s">
        <v>123</v>
      </c>
      <c r="O6652" s="19">
        <v>90293.16</v>
      </c>
      <c r="T6652" s="41">
        <v>0</v>
      </c>
      <c r="U6652" s="41">
        <v>0</v>
      </c>
      <c r="V6652" s="42" t="s">
        <v>113</v>
      </c>
      <c r="W6652" s="42">
        <v>0</v>
      </c>
      <c r="X6652" s="42">
        <v>0</v>
      </c>
    </row>
    <row r="6653" spans="1:24">
      <c r="A6653" s="27" t="s">
        <v>12229</v>
      </c>
      <c r="B6653" s="28" t="s">
        <v>5102</v>
      </c>
      <c r="C6653" s="27" t="s">
        <v>12228</v>
      </c>
      <c r="D6653" s="27" t="s">
        <v>5104</v>
      </c>
      <c r="E6653" s="29">
        <v>43728</v>
      </c>
      <c r="F6653" s="27">
        <v>15</v>
      </c>
      <c r="G6653" s="18">
        <v>0</v>
      </c>
      <c r="H6653" s="27">
        <f t="shared" si="206"/>
        <v>0</v>
      </c>
      <c r="I6653" s="18">
        <v>0</v>
      </c>
      <c r="J6653" s="27">
        <v>5407.76</v>
      </c>
      <c r="K6653" s="18">
        <f t="shared" si="207"/>
        <v>0</v>
      </c>
      <c r="L6653" s="27">
        <v>85.62</v>
      </c>
      <c r="M6653" s="36">
        <v>85.62</v>
      </c>
      <c r="N6653" s="18" t="s">
        <v>123</v>
      </c>
      <c r="O6653" s="19">
        <v>5407.76</v>
      </c>
      <c r="T6653" s="41">
        <v>0</v>
      </c>
      <c r="U6653" s="41">
        <v>0</v>
      </c>
      <c r="V6653" s="42" t="s">
        <v>113</v>
      </c>
      <c r="W6653" s="42">
        <v>0</v>
      </c>
      <c r="X6653" s="42">
        <v>0</v>
      </c>
    </row>
    <row r="6654" spans="1:24">
      <c r="A6654" s="27" t="s">
        <v>12230</v>
      </c>
      <c r="B6654" s="28" t="s">
        <v>5102</v>
      </c>
      <c r="C6654" s="27" t="s">
        <v>12231</v>
      </c>
      <c r="D6654" s="27" t="s">
        <v>5104</v>
      </c>
      <c r="E6654" s="29">
        <v>43728</v>
      </c>
      <c r="F6654" s="27">
        <v>15</v>
      </c>
      <c r="G6654" s="18">
        <v>0</v>
      </c>
      <c r="H6654" s="27">
        <f t="shared" si="206"/>
        <v>0</v>
      </c>
      <c r="I6654" s="18">
        <v>0</v>
      </c>
      <c r="J6654" s="27">
        <v>6227.11</v>
      </c>
      <c r="K6654" s="18">
        <f t="shared" si="207"/>
        <v>0</v>
      </c>
      <c r="L6654" s="27">
        <v>98.6</v>
      </c>
      <c r="M6654" s="36">
        <v>98.6</v>
      </c>
      <c r="N6654" s="18" t="s">
        <v>123</v>
      </c>
      <c r="O6654" s="19">
        <v>6227.11</v>
      </c>
      <c r="T6654" s="41">
        <v>0</v>
      </c>
      <c r="U6654" s="41">
        <v>0</v>
      </c>
      <c r="V6654" s="42" t="s">
        <v>113</v>
      </c>
      <c r="W6654" s="42">
        <v>0</v>
      </c>
      <c r="X6654" s="42">
        <v>0</v>
      </c>
    </row>
    <row r="6655" spans="1:24">
      <c r="A6655" s="27" t="s">
        <v>12232</v>
      </c>
      <c r="B6655" s="28" t="s">
        <v>5102</v>
      </c>
      <c r="C6655" s="27" t="s">
        <v>12231</v>
      </c>
      <c r="D6655" s="27" t="s">
        <v>5104</v>
      </c>
      <c r="E6655" s="29">
        <v>43728</v>
      </c>
      <c r="F6655" s="27">
        <v>15</v>
      </c>
      <c r="G6655" s="18">
        <v>0</v>
      </c>
      <c r="H6655" s="27">
        <f t="shared" si="206"/>
        <v>0</v>
      </c>
      <c r="I6655" s="18">
        <v>0</v>
      </c>
      <c r="J6655" s="27">
        <v>58993.71</v>
      </c>
      <c r="K6655" s="18">
        <f t="shared" si="207"/>
        <v>0</v>
      </c>
      <c r="L6655" s="27">
        <v>934.07</v>
      </c>
      <c r="M6655" s="36">
        <v>934.07</v>
      </c>
      <c r="N6655" s="18" t="s">
        <v>123</v>
      </c>
      <c r="O6655" s="19">
        <v>58993.71</v>
      </c>
      <c r="T6655" s="41">
        <v>0</v>
      </c>
      <c r="U6655" s="41">
        <v>0</v>
      </c>
      <c r="V6655" s="42" t="s">
        <v>113</v>
      </c>
      <c r="W6655" s="42">
        <v>0</v>
      </c>
      <c r="X6655" s="42">
        <v>0</v>
      </c>
    </row>
    <row r="6656" spans="1:24">
      <c r="A6656" s="27" t="s">
        <v>12233</v>
      </c>
      <c r="B6656" s="28" t="s">
        <v>5102</v>
      </c>
      <c r="C6656" s="27" t="s">
        <v>12234</v>
      </c>
      <c r="D6656" s="27" t="s">
        <v>5104</v>
      </c>
      <c r="E6656" s="29">
        <v>43728</v>
      </c>
      <c r="F6656" s="27">
        <v>15</v>
      </c>
      <c r="G6656" s="18">
        <v>0</v>
      </c>
      <c r="H6656" s="27">
        <f t="shared" si="206"/>
        <v>0</v>
      </c>
      <c r="I6656" s="18">
        <v>0</v>
      </c>
      <c r="J6656" s="27">
        <v>85377.02</v>
      </c>
      <c r="K6656" s="18">
        <f t="shared" si="207"/>
        <v>0</v>
      </c>
      <c r="L6656" s="27">
        <v>1351.8</v>
      </c>
      <c r="M6656" s="36">
        <v>1351.8</v>
      </c>
      <c r="N6656" s="18" t="s">
        <v>123</v>
      </c>
      <c r="O6656" s="19">
        <v>85377.02</v>
      </c>
      <c r="T6656" s="41">
        <v>0</v>
      </c>
      <c r="U6656" s="41">
        <v>0</v>
      </c>
      <c r="V6656" s="42" t="s">
        <v>113</v>
      </c>
      <c r="W6656" s="42">
        <v>0</v>
      </c>
      <c r="X6656" s="42">
        <v>0</v>
      </c>
    </row>
    <row r="6657" spans="1:24">
      <c r="A6657" s="27" t="s">
        <v>12235</v>
      </c>
      <c r="B6657" s="28" t="s">
        <v>5102</v>
      </c>
      <c r="C6657" s="27" t="s">
        <v>12236</v>
      </c>
      <c r="D6657" s="27" t="s">
        <v>5104</v>
      </c>
      <c r="E6657" s="29">
        <v>43728</v>
      </c>
      <c r="F6657" s="27">
        <v>15</v>
      </c>
      <c r="G6657" s="18">
        <v>0</v>
      </c>
      <c r="H6657" s="27">
        <f t="shared" si="206"/>
        <v>0</v>
      </c>
      <c r="I6657" s="18">
        <v>0</v>
      </c>
      <c r="J6657" s="27">
        <v>655.48</v>
      </c>
      <c r="K6657" s="18">
        <f t="shared" si="207"/>
        <v>0</v>
      </c>
      <c r="L6657" s="27">
        <v>10.38</v>
      </c>
      <c r="M6657" s="36">
        <v>10.38</v>
      </c>
      <c r="N6657" s="18" t="s">
        <v>123</v>
      </c>
      <c r="O6657" s="19">
        <v>655.48</v>
      </c>
      <c r="T6657" s="41">
        <v>0</v>
      </c>
      <c r="U6657" s="41">
        <v>0</v>
      </c>
      <c r="V6657" s="42" t="s">
        <v>113</v>
      </c>
      <c r="W6657" s="42">
        <v>0</v>
      </c>
      <c r="X6657" s="42">
        <v>0</v>
      </c>
    </row>
    <row r="6658" spans="1:24">
      <c r="A6658" s="27" t="s">
        <v>12237</v>
      </c>
      <c r="B6658" s="28" t="s">
        <v>5102</v>
      </c>
      <c r="C6658" s="27" t="s">
        <v>12238</v>
      </c>
      <c r="D6658" s="27" t="s">
        <v>230</v>
      </c>
      <c r="E6658" s="29">
        <v>43809</v>
      </c>
      <c r="F6658" s="27">
        <v>15</v>
      </c>
      <c r="G6658" s="18">
        <v>0</v>
      </c>
      <c r="H6658" s="27">
        <f t="shared" si="206"/>
        <v>0</v>
      </c>
      <c r="I6658" s="18">
        <v>0</v>
      </c>
      <c r="J6658" s="27">
        <v>2075235.53</v>
      </c>
      <c r="K6658" s="18">
        <f t="shared" si="207"/>
        <v>0</v>
      </c>
      <c r="L6658" s="27">
        <v>0</v>
      </c>
      <c r="M6658" s="36">
        <v>0</v>
      </c>
      <c r="N6658" s="18" t="s">
        <v>123</v>
      </c>
      <c r="O6658" s="19">
        <v>2075235.53</v>
      </c>
      <c r="T6658" s="41">
        <v>0</v>
      </c>
      <c r="U6658" s="41">
        <v>0</v>
      </c>
      <c r="V6658" s="42" t="s">
        <v>113</v>
      </c>
      <c r="W6658" s="42">
        <v>0</v>
      </c>
      <c r="X6658" s="42">
        <v>0</v>
      </c>
    </row>
    <row r="6659" spans="1:24">
      <c r="A6659" s="27" t="s">
        <v>12239</v>
      </c>
      <c r="B6659" s="28" t="s">
        <v>12240</v>
      </c>
      <c r="C6659" s="27" t="s">
        <v>12241</v>
      </c>
      <c r="D6659" s="27" t="s">
        <v>5104</v>
      </c>
      <c r="E6659" s="29">
        <v>36556</v>
      </c>
      <c r="F6659" s="27">
        <v>15</v>
      </c>
      <c r="G6659" s="18">
        <v>239821.06</v>
      </c>
      <c r="H6659" s="27">
        <f t="shared" si="206"/>
        <v>239821.06</v>
      </c>
      <c r="I6659" s="18">
        <v>227830.01</v>
      </c>
      <c r="J6659" s="27">
        <v>239821.06</v>
      </c>
      <c r="K6659" s="18">
        <f t="shared" si="207"/>
        <v>239821.06</v>
      </c>
      <c r="L6659" s="27">
        <v>227830.01</v>
      </c>
      <c r="M6659" s="36">
        <v>0</v>
      </c>
      <c r="T6659" s="41">
        <v>0</v>
      </c>
      <c r="U6659" s="41">
        <v>0</v>
      </c>
      <c r="V6659" s="42" t="s">
        <v>113</v>
      </c>
      <c r="W6659" s="42">
        <v>239821.06</v>
      </c>
      <c r="X6659" s="42">
        <v>239821.06</v>
      </c>
    </row>
    <row r="6660" spans="1:24">
      <c r="A6660" s="27" t="s">
        <v>12242</v>
      </c>
      <c r="B6660" s="28" t="s">
        <v>12240</v>
      </c>
      <c r="C6660" s="27" t="s">
        <v>12243</v>
      </c>
      <c r="D6660" s="27" t="s">
        <v>5104</v>
      </c>
      <c r="E6660" s="29">
        <v>39854</v>
      </c>
      <c r="F6660" s="27">
        <v>15</v>
      </c>
      <c r="G6660" s="18">
        <v>59426.07</v>
      </c>
      <c r="H6660" s="27">
        <f t="shared" si="206"/>
        <v>0</v>
      </c>
      <c r="I6660" s="18">
        <v>45144.62</v>
      </c>
      <c r="J6660" s="27">
        <v>59426.07</v>
      </c>
      <c r="K6660" s="18">
        <f t="shared" si="207"/>
        <v>0</v>
      </c>
      <c r="L6660" s="27">
        <v>47333.68</v>
      </c>
      <c r="M6660" s="36">
        <v>2189.06</v>
      </c>
      <c r="T6660" s="41">
        <v>0</v>
      </c>
      <c r="U6660" s="41">
        <v>0</v>
      </c>
      <c r="V6660" s="42" t="s">
        <v>113</v>
      </c>
      <c r="W6660" s="42">
        <v>0</v>
      </c>
      <c r="X6660" s="42">
        <v>0</v>
      </c>
    </row>
    <row r="6661" spans="1:24">
      <c r="A6661" s="27" t="s">
        <v>12244</v>
      </c>
      <c r="B6661" s="28" t="s">
        <v>12240</v>
      </c>
      <c r="C6661" s="27" t="s">
        <v>12245</v>
      </c>
      <c r="D6661" s="27" t="s">
        <v>5104</v>
      </c>
      <c r="E6661" s="29">
        <v>35765</v>
      </c>
      <c r="F6661" s="27">
        <v>15</v>
      </c>
      <c r="G6661" s="18">
        <v>26000</v>
      </c>
      <c r="H6661" s="27">
        <f t="shared" si="206"/>
        <v>26000</v>
      </c>
      <c r="I6661" s="18">
        <v>24700</v>
      </c>
      <c r="J6661" s="27">
        <v>26000</v>
      </c>
      <c r="K6661" s="18">
        <f t="shared" si="207"/>
        <v>26000</v>
      </c>
      <c r="L6661" s="27">
        <v>24700</v>
      </c>
      <c r="M6661" s="36">
        <v>0</v>
      </c>
      <c r="T6661" s="41">
        <v>0</v>
      </c>
      <c r="U6661" s="41">
        <v>0</v>
      </c>
      <c r="V6661" s="42" t="s">
        <v>113</v>
      </c>
      <c r="W6661" s="42">
        <v>26000</v>
      </c>
      <c r="X6661" s="42">
        <v>26000</v>
      </c>
    </row>
    <row r="6662" spans="1:24">
      <c r="A6662" s="27" t="s">
        <v>12246</v>
      </c>
      <c r="B6662" s="28" t="s">
        <v>12240</v>
      </c>
      <c r="C6662" s="27" t="s">
        <v>12247</v>
      </c>
      <c r="D6662" s="27" t="s">
        <v>5104</v>
      </c>
      <c r="E6662" s="29">
        <v>35034</v>
      </c>
      <c r="F6662" s="27">
        <v>15</v>
      </c>
      <c r="G6662" s="18">
        <v>273045.76000000001</v>
      </c>
      <c r="H6662" s="27">
        <f t="shared" ref="H6662:H6725" si="208">IFERROR(IF(ROUND((G6662-I6662)/G6662,2)&lt;=0.05,G6662,0),0)</f>
        <v>273045.76000000001</v>
      </c>
      <c r="I6662" s="18">
        <v>259393.47</v>
      </c>
      <c r="J6662" s="27">
        <v>273045.76000000001</v>
      </c>
      <c r="K6662" s="18">
        <f t="shared" ref="K6662:K6725" si="209">IFERROR(IF(ROUND((J6662-L6662)/J6662,2)&lt;=0.05,J6662,0),0)</f>
        <v>273045.76000000001</v>
      </c>
      <c r="L6662" s="27">
        <v>259393.47</v>
      </c>
      <c r="M6662" s="36">
        <v>0</v>
      </c>
      <c r="T6662" s="41">
        <v>0</v>
      </c>
      <c r="U6662" s="41">
        <v>0</v>
      </c>
      <c r="V6662" s="42" t="s">
        <v>113</v>
      </c>
      <c r="W6662" s="42">
        <v>273045.76000000001</v>
      </c>
      <c r="X6662" s="42">
        <v>273045.76000000001</v>
      </c>
    </row>
    <row r="6663" spans="1:24">
      <c r="A6663" s="27" t="s">
        <v>12248</v>
      </c>
      <c r="B6663" s="28" t="s">
        <v>12240</v>
      </c>
      <c r="C6663" s="27" t="s">
        <v>12241</v>
      </c>
      <c r="D6663" s="27" t="s">
        <v>5104</v>
      </c>
      <c r="E6663" s="29">
        <v>34973</v>
      </c>
      <c r="F6663" s="27">
        <v>15</v>
      </c>
      <c r="G6663" s="18">
        <v>731995.17</v>
      </c>
      <c r="H6663" s="27">
        <f t="shared" si="208"/>
        <v>731995.17</v>
      </c>
      <c r="I6663" s="18">
        <v>695395.41</v>
      </c>
      <c r="J6663" s="27">
        <v>731995.17</v>
      </c>
      <c r="K6663" s="18">
        <f t="shared" si="209"/>
        <v>731995.17</v>
      </c>
      <c r="L6663" s="27">
        <v>695395.41</v>
      </c>
      <c r="M6663" s="36">
        <v>0</v>
      </c>
      <c r="T6663" s="41">
        <v>0</v>
      </c>
      <c r="U6663" s="41">
        <v>0</v>
      </c>
      <c r="V6663" s="42" t="s">
        <v>113</v>
      </c>
      <c r="W6663" s="42">
        <v>731995.17</v>
      </c>
      <c r="X6663" s="42">
        <v>731995.17</v>
      </c>
    </row>
    <row r="6664" spans="1:24">
      <c r="A6664" s="27" t="s">
        <v>12249</v>
      </c>
      <c r="B6664" s="28" t="s">
        <v>12240</v>
      </c>
      <c r="C6664" s="27" t="s">
        <v>12250</v>
      </c>
      <c r="D6664" s="27" t="s">
        <v>5104</v>
      </c>
      <c r="E6664" s="29">
        <v>34669</v>
      </c>
      <c r="F6664" s="27">
        <v>15</v>
      </c>
      <c r="G6664" s="18">
        <v>8800</v>
      </c>
      <c r="H6664" s="27">
        <f t="shared" si="208"/>
        <v>8800</v>
      </c>
      <c r="I6664" s="18">
        <v>8360</v>
      </c>
      <c r="J6664" s="27">
        <v>8800</v>
      </c>
      <c r="K6664" s="18">
        <f t="shared" si="209"/>
        <v>8800</v>
      </c>
      <c r="L6664" s="27">
        <v>8360</v>
      </c>
      <c r="M6664" s="36">
        <v>0</v>
      </c>
      <c r="T6664" s="41">
        <v>0</v>
      </c>
      <c r="U6664" s="41">
        <v>0</v>
      </c>
      <c r="V6664" s="42" t="s">
        <v>113</v>
      </c>
      <c r="W6664" s="42">
        <v>8800</v>
      </c>
      <c r="X6664" s="42">
        <v>8800</v>
      </c>
    </row>
    <row r="6665" spans="1:24">
      <c r="A6665" s="27" t="s">
        <v>12251</v>
      </c>
      <c r="B6665" s="28" t="s">
        <v>12240</v>
      </c>
      <c r="C6665" s="27" t="s">
        <v>12252</v>
      </c>
      <c r="D6665" s="27" t="s">
        <v>5104</v>
      </c>
      <c r="E6665" s="29">
        <v>32478</v>
      </c>
      <c r="F6665" s="27">
        <v>15</v>
      </c>
      <c r="G6665" s="18">
        <v>8569.5</v>
      </c>
      <c r="H6665" s="27">
        <f t="shared" si="208"/>
        <v>8569.5</v>
      </c>
      <c r="I6665" s="18">
        <v>8141.02</v>
      </c>
      <c r="J6665" s="27">
        <v>8569.5</v>
      </c>
      <c r="K6665" s="18">
        <f t="shared" si="209"/>
        <v>8569.5</v>
      </c>
      <c r="L6665" s="27">
        <v>8141.02</v>
      </c>
      <c r="M6665" s="36">
        <v>0</v>
      </c>
      <c r="T6665" s="41">
        <v>0</v>
      </c>
      <c r="U6665" s="41">
        <v>0</v>
      </c>
      <c r="V6665" s="42" t="s">
        <v>113</v>
      </c>
      <c r="W6665" s="42">
        <v>8569.5</v>
      </c>
      <c r="X6665" s="42">
        <v>8569.5</v>
      </c>
    </row>
    <row r="6666" spans="1:24">
      <c r="A6666" s="27" t="s">
        <v>12253</v>
      </c>
      <c r="B6666" s="28" t="s">
        <v>12240</v>
      </c>
      <c r="C6666" s="27" t="s">
        <v>12254</v>
      </c>
      <c r="D6666" s="27" t="s">
        <v>230</v>
      </c>
      <c r="E6666" s="29">
        <v>32112</v>
      </c>
      <c r="F6666" s="27">
        <v>15</v>
      </c>
      <c r="G6666" s="18">
        <v>235629.77</v>
      </c>
      <c r="H6666" s="27">
        <f t="shared" si="208"/>
        <v>235629.77</v>
      </c>
      <c r="I6666" s="18">
        <v>223848.28</v>
      </c>
      <c r="J6666" s="27">
        <v>235629.77</v>
      </c>
      <c r="K6666" s="18">
        <f t="shared" si="209"/>
        <v>235629.77</v>
      </c>
      <c r="L6666" s="27">
        <v>223848.28</v>
      </c>
      <c r="M6666" s="36">
        <v>0</v>
      </c>
      <c r="T6666" s="41">
        <v>0</v>
      </c>
      <c r="U6666" s="41">
        <v>0</v>
      </c>
      <c r="V6666" s="42" t="s">
        <v>113</v>
      </c>
      <c r="W6666" s="42">
        <v>235629.77</v>
      </c>
      <c r="X6666" s="42">
        <v>235629.77</v>
      </c>
    </row>
    <row r="6667" spans="1:24">
      <c r="A6667" s="27" t="s">
        <v>12255</v>
      </c>
      <c r="B6667" s="28" t="s">
        <v>12240</v>
      </c>
      <c r="C6667" s="27" t="s">
        <v>12256</v>
      </c>
      <c r="D6667" s="27" t="s">
        <v>5104</v>
      </c>
      <c r="E6667" s="29">
        <v>37712</v>
      </c>
      <c r="F6667" s="27">
        <v>15</v>
      </c>
      <c r="G6667" s="18">
        <v>17810.41</v>
      </c>
      <c r="H6667" s="27">
        <f t="shared" si="208"/>
        <v>17810.41</v>
      </c>
      <c r="I6667" s="18">
        <v>16919.89</v>
      </c>
      <c r="J6667" s="27">
        <v>17810.41</v>
      </c>
      <c r="K6667" s="18">
        <f t="shared" si="209"/>
        <v>17810.41</v>
      </c>
      <c r="L6667" s="27">
        <v>16919.89</v>
      </c>
      <c r="M6667" s="36">
        <v>0</v>
      </c>
      <c r="T6667" s="41">
        <v>0</v>
      </c>
      <c r="U6667" s="41">
        <v>0</v>
      </c>
      <c r="V6667" s="42" t="s">
        <v>113</v>
      </c>
      <c r="W6667" s="42">
        <v>17810.41</v>
      </c>
      <c r="X6667" s="42">
        <v>17810.41</v>
      </c>
    </row>
    <row r="6668" spans="1:24">
      <c r="A6668" s="27" t="s">
        <v>12257</v>
      </c>
      <c r="B6668" s="28" t="s">
        <v>12240</v>
      </c>
      <c r="C6668" s="27" t="s">
        <v>12256</v>
      </c>
      <c r="D6668" s="27" t="s">
        <v>5104</v>
      </c>
      <c r="E6668" s="29">
        <v>37712</v>
      </c>
      <c r="F6668" s="27">
        <v>15</v>
      </c>
      <c r="G6668" s="18">
        <v>9974.3700000000008</v>
      </c>
      <c r="H6668" s="27">
        <f t="shared" si="208"/>
        <v>9974.3700000000008</v>
      </c>
      <c r="I6668" s="18">
        <v>9475.65</v>
      </c>
      <c r="J6668" s="27">
        <v>9974.3700000000008</v>
      </c>
      <c r="K6668" s="18">
        <f t="shared" si="209"/>
        <v>9974.3700000000008</v>
      </c>
      <c r="L6668" s="27">
        <v>9475.65</v>
      </c>
      <c r="M6668" s="36">
        <v>0</v>
      </c>
      <c r="T6668" s="41">
        <v>0</v>
      </c>
      <c r="U6668" s="41">
        <v>0</v>
      </c>
      <c r="V6668" s="42" t="s">
        <v>113</v>
      </c>
      <c r="W6668" s="42">
        <v>9974.3700000000008</v>
      </c>
      <c r="X6668" s="42">
        <v>9974.3700000000008</v>
      </c>
    </row>
    <row r="6669" spans="1:24">
      <c r="A6669" s="27" t="s">
        <v>12258</v>
      </c>
      <c r="B6669" s="28" t="s">
        <v>12240</v>
      </c>
      <c r="C6669" s="27" t="s">
        <v>12243</v>
      </c>
      <c r="D6669" s="27" t="s">
        <v>5104</v>
      </c>
      <c r="E6669" s="29">
        <v>39417</v>
      </c>
      <c r="F6669" s="27">
        <v>15</v>
      </c>
      <c r="G6669" s="18">
        <v>25210.75</v>
      </c>
      <c r="H6669" s="27">
        <f t="shared" si="208"/>
        <v>0</v>
      </c>
      <c r="I6669" s="18">
        <v>21502.23</v>
      </c>
      <c r="J6669" s="27">
        <v>25210.75</v>
      </c>
      <c r="K6669" s="18">
        <f t="shared" si="209"/>
        <v>0</v>
      </c>
      <c r="L6669" s="27">
        <v>22114.23</v>
      </c>
      <c r="M6669" s="36">
        <v>612</v>
      </c>
      <c r="T6669" s="41">
        <v>0</v>
      </c>
      <c r="U6669" s="41">
        <v>0</v>
      </c>
      <c r="V6669" s="42" t="s">
        <v>113</v>
      </c>
      <c r="W6669" s="42">
        <v>0</v>
      </c>
      <c r="X6669" s="42">
        <v>0</v>
      </c>
    </row>
    <row r="6670" spans="1:24">
      <c r="A6670" s="27" t="s">
        <v>12259</v>
      </c>
      <c r="B6670" s="28" t="s">
        <v>12240</v>
      </c>
      <c r="C6670" s="27" t="s">
        <v>12243</v>
      </c>
      <c r="D6670" s="27" t="s">
        <v>230</v>
      </c>
      <c r="E6670" s="29">
        <v>37226</v>
      </c>
      <c r="F6670" s="27">
        <v>15</v>
      </c>
      <c r="G6670" s="18">
        <v>24080.240000000002</v>
      </c>
      <c r="H6670" s="27">
        <f t="shared" si="208"/>
        <v>24080.240000000002</v>
      </c>
      <c r="I6670" s="18">
        <v>22876.23</v>
      </c>
      <c r="J6670" s="27">
        <v>24080.240000000002</v>
      </c>
      <c r="K6670" s="18">
        <f t="shared" si="209"/>
        <v>24080.240000000002</v>
      </c>
      <c r="L6670" s="27">
        <v>22876.23</v>
      </c>
      <c r="M6670" s="36">
        <v>0</v>
      </c>
      <c r="T6670" s="41">
        <v>0</v>
      </c>
      <c r="U6670" s="41">
        <v>0</v>
      </c>
      <c r="V6670" s="42" t="s">
        <v>113</v>
      </c>
      <c r="W6670" s="42">
        <v>24080.240000000002</v>
      </c>
      <c r="X6670" s="42">
        <v>24080.240000000002</v>
      </c>
    </row>
    <row r="6671" spans="1:24">
      <c r="A6671" s="27" t="s">
        <v>12260</v>
      </c>
      <c r="B6671" s="28" t="s">
        <v>12240</v>
      </c>
      <c r="C6671" s="27" t="s">
        <v>12243</v>
      </c>
      <c r="D6671" s="27" t="s">
        <v>230</v>
      </c>
      <c r="E6671" s="29">
        <v>37226</v>
      </c>
      <c r="F6671" s="27">
        <v>15</v>
      </c>
      <c r="G6671" s="18">
        <v>24080.240000000002</v>
      </c>
      <c r="H6671" s="27">
        <f t="shared" si="208"/>
        <v>24080.240000000002</v>
      </c>
      <c r="I6671" s="18">
        <v>22876.23</v>
      </c>
      <c r="J6671" s="27">
        <v>24080.240000000002</v>
      </c>
      <c r="K6671" s="18">
        <f t="shared" si="209"/>
        <v>24080.240000000002</v>
      </c>
      <c r="L6671" s="27">
        <v>22876.23</v>
      </c>
      <c r="M6671" s="36">
        <v>0</v>
      </c>
      <c r="T6671" s="41">
        <v>0</v>
      </c>
      <c r="U6671" s="41">
        <v>0</v>
      </c>
      <c r="V6671" s="42" t="s">
        <v>113</v>
      </c>
      <c r="W6671" s="42">
        <v>24080.240000000002</v>
      </c>
      <c r="X6671" s="42">
        <v>24080.240000000002</v>
      </c>
    </row>
    <row r="6672" spans="1:24">
      <c r="A6672" s="27" t="s">
        <v>12261</v>
      </c>
      <c r="B6672" s="28" t="s">
        <v>12240</v>
      </c>
      <c r="C6672" s="27" t="s">
        <v>12243</v>
      </c>
      <c r="D6672" s="27" t="s">
        <v>230</v>
      </c>
      <c r="E6672" s="29">
        <v>37226</v>
      </c>
      <c r="F6672" s="27">
        <v>15</v>
      </c>
      <c r="G6672" s="18">
        <v>6513.07</v>
      </c>
      <c r="H6672" s="27">
        <f t="shared" si="208"/>
        <v>6513.07</v>
      </c>
      <c r="I6672" s="18">
        <v>6187.42</v>
      </c>
      <c r="J6672" s="27">
        <v>6513.07</v>
      </c>
      <c r="K6672" s="18">
        <f t="shared" si="209"/>
        <v>6513.07</v>
      </c>
      <c r="L6672" s="27">
        <v>6187.42</v>
      </c>
      <c r="M6672" s="36">
        <v>0</v>
      </c>
      <c r="T6672" s="41">
        <v>0</v>
      </c>
      <c r="U6672" s="41">
        <v>0</v>
      </c>
      <c r="V6672" s="42" t="s">
        <v>113</v>
      </c>
      <c r="W6672" s="42">
        <v>6513.07</v>
      </c>
      <c r="X6672" s="42">
        <v>6513.07</v>
      </c>
    </row>
    <row r="6673" spans="1:24">
      <c r="A6673" s="27" t="s">
        <v>12262</v>
      </c>
      <c r="B6673" s="28" t="s">
        <v>12240</v>
      </c>
      <c r="C6673" s="27" t="s">
        <v>12263</v>
      </c>
      <c r="D6673" s="27" t="s">
        <v>230</v>
      </c>
      <c r="E6673" s="29">
        <v>37226</v>
      </c>
      <c r="F6673" s="27">
        <v>15</v>
      </c>
      <c r="G6673" s="18">
        <v>5649.86</v>
      </c>
      <c r="H6673" s="27">
        <f t="shared" si="208"/>
        <v>5649.86</v>
      </c>
      <c r="I6673" s="18">
        <v>5367.37</v>
      </c>
      <c r="J6673" s="27">
        <v>5649.86</v>
      </c>
      <c r="K6673" s="18">
        <f t="shared" si="209"/>
        <v>5649.86</v>
      </c>
      <c r="L6673" s="27">
        <v>5367.37</v>
      </c>
      <c r="M6673" s="36">
        <v>0</v>
      </c>
      <c r="T6673" s="41">
        <v>0</v>
      </c>
      <c r="U6673" s="41">
        <v>0</v>
      </c>
      <c r="V6673" s="42" t="s">
        <v>113</v>
      </c>
      <c r="W6673" s="42">
        <v>5649.86</v>
      </c>
      <c r="X6673" s="42">
        <v>5649.86</v>
      </c>
    </row>
    <row r="6674" spans="1:24">
      <c r="A6674" s="27" t="s">
        <v>12264</v>
      </c>
      <c r="B6674" s="28" t="s">
        <v>12240</v>
      </c>
      <c r="C6674" s="27" t="s">
        <v>12265</v>
      </c>
      <c r="D6674" s="27" t="s">
        <v>230</v>
      </c>
      <c r="E6674" s="29">
        <v>37226</v>
      </c>
      <c r="F6674" s="27">
        <v>15</v>
      </c>
      <c r="G6674" s="18">
        <v>11270.07</v>
      </c>
      <c r="H6674" s="27">
        <f t="shared" si="208"/>
        <v>11270.07</v>
      </c>
      <c r="I6674" s="18">
        <v>10706.57</v>
      </c>
      <c r="J6674" s="27">
        <v>11270.07</v>
      </c>
      <c r="K6674" s="18">
        <f t="shared" si="209"/>
        <v>11270.07</v>
      </c>
      <c r="L6674" s="27">
        <v>10706.57</v>
      </c>
      <c r="M6674" s="36">
        <v>0</v>
      </c>
      <c r="T6674" s="41">
        <v>0</v>
      </c>
      <c r="U6674" s="41">
        <v>0</v>
      </c>
      <c r="V6674" s="42" t="s">
        <v>113</v>
      </c>
      <c r="W6674" s="42">
        <v>11270.07</v>
      </c>
      <c r="X6674" s="42">
        <v>11270.07</v>
      </c>
    </row>
    <row r="6675" spans="1:24">
      <c r="A6675" s="27" t="s">
        <v>12266</v>
      </c>
      <c r="B6675" s="28" t="s">
        <v>12240</v>
      </c>
      <c r="C6675" s="27" t="s">
        <v>12243</v>
      </c>
      <c r="D6675" s="27" t="s">
        <v>230</v>
      </c>
      <c r="E6675" s="29">
        <v>37226</v>
      </c>
      <c r="F6675" s="27">
        <v>15</v>
      </c>
      <c r="G6675" s="18">
        <v>24804.01</v>
      </c>
      <c r="H6675" s="27">
        <f t="shared" si="208"/>
        <v>24804.01</v>
      </c>
      <c r="I6675" s="18">
        <v>23563.81</v>
      </c>
      <c r="J6675" s="27">
        <v>24804.01</v>
      </c>
      <c r="K6675" s="18">
        <f t="shared" si="209"/>
        <v>24804.01</v>
      </c>
      <c r="L6675" s="27">
        <v>23563.81</v>
      </c>
      <c r="M6675" s="36">
        <v>0</v>
      </c>
      <c r="T6675" s="41">
        <v>0</v>
      </c>
      <c r="U6675" s="41">
        <v>0</v>
      </c>
      <c r="V6675" s="42" t="s">
        <v>113</v>
      </c>
      <c r="W6675" s="42">
        <v>24804.01</v>
      </c>
      <c r="X6675" s="42">
        <v>24804.01</v>
      </c>
    </row>
    <row r="6676" spans="1:24">
      <c r="A6676" s="27" t="s">
        <v>12267</v>
      </c>
      <c r="B6676" s="28" t="s">
        <v>12240</v>
      </c>
      <c r="C6676" s="27" t="s">
        <v>12268</v>
      </c>
      <c r="D6676" s="27" t="s">
        <v>230</v>
      </c>
      <c r="E6676" s="29">
        <v>37226</v>
      </c>
      <c r="F6676" s="27">
        <v>15</v>
      </c>
      <c r="G6676" s="18">
        <v>5394.29</v>
      </c>
      <c r="H6676" s="27">
        <f t="shared" si="208"/>
        <v>5394.29</v>
      </c>
      <c r="I6676" s="18">
        <v>5124.58</v>
      </c>
      <c r="J6676" s="27">
        <v>5394.29</v>
      </c>
      <c r="K6676" s="18">
        <f t="shared" si="209"/>
        <v>5394.29</v>
      </c>
      <c r="L6676" s="27">
        <v>5124.58</v>
      </c>
      <c r="M6676" s="36">
        <v>0</v>
      </c>
      <c r="T6676" s="41">
        <v>0</v>
      </c>
      <c r="U6676" s="41">
        <v>0</v>
      </c>
      <c r="V6676" s="42" t="s">
        <v>113</v>
      </c>
      <c r="W6676" s="42">
        <v>5394.29</v>
      </c>
      <c r="X6676" s="42">
        <v>5394.29</v>
      </c>
    </row>
    <row r="6677" spans="1:24">
      <c r="A6677" s="27" t="s">
        <v>12269</v>
      </c>
      <c r="B6677" s="28" t="s">
        <v>12240</v>
      </c>
      <c r="C6677" s="27" t="s">
        <v>12270</v>
      </c>
      <c r="D6677" s="27" t="s">
        <v>5104</v>
      </c>
      <c r="E6677" s="29">
        <v>39692</v>
      </c>
      <c r="F6677" s="27">
        <v>15</v>
      </c>
      <c r="G6677" s="18">
        <v>231328.5</v>
      </c>
      <c r="H6677" s="27">
        <f t="shared" si="208"/>
        <v>0</v>
      </c>
      <c r="I6677" s="18">
        <v>182459</v>
      </c>
      <c r="J6677" s="27">
        <v>231328.5</v>
      </c>
      <c r="K6677" s="18">
        <f t="shared" si="209"/>
        <v>0</v>
      </c>
      <c r="L6677" s="27">
        <v>190312.28</v>
      </c>
      <c r="M6677" s="36">
        <v>7853.28</v>
      </c>
      <c r="T6677" s="41">
        <v>0</v>
      </c>
      <c r="U6677" s="41">
        <v>0</v>
      </c>
      <c r="V6677" s="42" t="s">
        <v>113</v>
      </c>
      <c r="W6677" s="42">
        <v>0</v>
      </c>
      <c r="X6677" s="42">
        <v>0</v>
      </c>
    </row>
    <row r="6678" spans="1:24">
      <c r="A6678" s="27" t="s">
        <v>12271</v>
      </c>
      <c r="B6678" s="28" t="s">
        <v>12240</v>
      </c>
      <c r="C6678" s="27" t="s">
        <v>12272</v>
      </c>
      <c r="D6678" s="27" t="s">
        <v>5104</v>
      </c>
      <c r="E6678" s="29">
        <v>39692</v>
      </c>
      <c r="F6678" s="27">
        <v>15</v>
      </c>
      <c r="G6678" s="18">
        <v>13111.63</v>
      </c>
      <c r="H6678" s="27">
        <f t="shared" si="208"/>
        <v>0</v>
      </c>
      <c r="I6678" s="18">
        <v>10341.719999999999</v>
      </c>
      <c r="J6678" s="27">
        <v>13111.63</v>
      </c>
      <c r="K6678" s="18">
        <f t="shared" si="209"/>
        <v>0</v>
      </c>
      <c r="L6678" s="27">
        <v>10786.84</v>
      </c>
      <c r="M6678" s="36">
        <v>445.12</v>
      </c>
      <c r="T6678" s="41">
        <v>0</v>
      </c>
      <c r="U6678" s="41">
        <v>0</v>
      </c>
      <c r="V6678" s="42" t="s">
        <v>113</v>
      </c>
      <c r="W6678" s="42">
        <v>0</v>
      </c>
      <c r="X6678" s="42">
        <v>0</v>
      </c>
    </row>
    <row r="6679" spans="1:24">
      <c r="A6679" s="27" t="s">
        <v>12273</v>
      </c>
      <c r="B6679" s="28" t="s">
        <v>12240</v>
      </c>
      <c r="C6679" s="27" t="s">
        <v>12274</v>
      </c>
      <c r="D6679" s="27" t="s">
        <v>5104</v>
      </c>
      <c r="E6679" s="29">
        <v>39692</v>
      </c>
      <c r="F6679" s="27">
        <v>15</v>
      </c>
      <c r="G6679" s="18">
        <v>13793.44</v>
      </c>
      <c r="H6679" s="27">
        <f t="shared" si="208"/>
        <v>0</v>
      </c>
      <c r="I6679" s="18">
        <v>10879.5</v>
      </c>
      <c r="J6679" s="27">
        <v>13793.44</v>
      </c>
      <c r="K6679" s="18">
        <f t="shared" si="209"/>
        <v>0</v>
      </c>
      <c r="L6679" s="27">
        <v>11347.77</v>
      </c>
      <c r="M6679" s="36">
        <v>468.27</v>
      </c>
      <c r="T6679" s="41">
        <v>0</v>
      </c>
      <c r="U6679" s="41">
        <v>0</v>
      </c>
      <c r="V6679" s="42" t="s">
        <v>113</v>
      </c>
      <c r="W6679" s="42">
        <v>0</v>
      </c>
      <c r="X6679" s="42">
        <v>0</v>
      </c>
    </row>
    <row r="6680" spans="1:24">
      <c r="A6680" s="27" t="s">
        <v>12275</v>
      </c>
      <c r="B6680" s="28" t="s">
        <v>12240</v>
      </c>
      <c r="C6680" s="27" t="s">
        <v>12276</v>
      </c>
      <c r="D6680" s="27" t="s">
        <v>5104</v>
      </c>
      <c r="E6680" s="29">
        <v>39692</v>
      </c>
      <c r="F6680" s="27">
        <v>15</v>
      </c>
      <c r="G6680" s="18">
        <v>6713.15</v>
      </c>
      <c r="H6680" s="27">
        <f t="shared" si="208"/>
        <v>0</v>
      </c>
      <c r="I6680" s="18">
        <v>5294.96</v>
      </c>
      <c r="J6680" s="27">
        <v>6713.15</v>
      </c>
      <c r="K6680" s="18">
        <f t="shared" si="209"/>
        <v>0</v>
      </c>
      <c r="L6680" s="27">
        <v>5522.86</v>
      </c>
      <c r="M6680" s="36">
        <v>227.9</v>
      </c>
      <c r="T6680" s="41">
        <v>0</v>
      </c>
      <c r="U6680" s="41">
        <v>0</v>
      </c>
      <c r="V6680" s="42" t="s">
        <v>113</v>
      </c>
      <c r="W6680" s="42">
        <v>0</v>
      </c>
      <c r="X6680" s="42">
        <v>0</v>
      </c>
    </row>
    <row r="6681" spans="1:24">
      <c r="A6681" s="27" t="s">
        <v>12277</v>
      </c>
      <c r="B6681" s="28" t="s">
        <v>12240</v>
      </c>
      <c r="C6681" s="27" t="s">
        <v>12274</v>
      </c>
      <c r="D6681" s="27" t="s">
        <v>5104</v>
      </c>
      <c r="E6681" s="29">
        <v>39692</v>
      </c>
      <c r="F6681" s="27">
        <v>15</v>
      </c>
      <c r="G6681" s="18">
        <v>70252.12</v>
      </c>
      <c r="H6681" s="27">
        <f t="shared" si="208"/>
        <v>0</v>
      </c>
      <c r="I6681" s="18">
        <v>55410.95</v>
      </c>
      <c r="J6681" s="27">
        <v>70252.12</v>
      </c>
      <c r="K6681" s="18">
        <f t="shared" si="209"/>
        <v>0</v>
      </c>
      <c r="L6681" s="27">
        <v>57795.91</v>
      </c>
      <c r="M6681" s="36">
        <v>2384.96</v>
      </c>
      <c r="T6681" s="41">
        <v>0</v>
      </c>
      <c r="U6681" s="41">
        <v>0</v>
      </c>
      <c r="V6681" s="42" t="s">
        <v>113</v>
      </c>
      <c r="W6681" s="42">
        <v>0</v>
      </c>
      <c r="X6681" s="42">
        <v>0</v>
      </c>
    </row>
    <row r="6682" spans="1:24">
      <c r="A6682" s="27" t="s">
        <v>12278</v>
      </c>
      <c r="B6682" s="28" t="s">
        <v>12240</v>
      </c>
      <c r="C6682" s="27" t="s">
        <v>12279</v>
      </c>
      <c r="D6682" s="27" t="s">
        <v>5104</v>
      </c>
      <c r="E6682" s="29">
        <v>38534</v>
      </c>
      <c r="F6682" s="27">
        <v>15</v>
      </c>
      <c r="G6682" s="18">
        <v>158477.96</v>
      </c>
      <c r="H6682" s="27">
        <f t="shared" si="208"/>
        <v>158477.96</v>
      </c>
      <c r="I6682" s="18">
        <v>150554.06</v>
      </c>
      <c r="J6682" s="27">
        <v>158477.96</v>
      </c>
      <c r="K6682" s="18">
        <f t="shared" si="209"/>
        <v>158477.96</v>
      </c>
      <c r="L6682" s="27">
        <v>150554.06</v>
      </c>
      <c r="M6682" s="36">
        <v>0</v>
      </c>
      <c r="T6682" s="41">
        <v>0</v>
      </c>
      <c r="U6682" s="41">
        <v>0</v>
      </c>
      <c r="V6682" s="42" t="s">
        <v>113</v>
      </c>
      <c r="W6682" s="42">
        <v>158477.96</v>
      </c>
      <c r="X6682" s="42">
        <v>158477.96</v>
      </c>
    </row>
    <row r="6683" spans="1:24">
      <c r="A6683" s="27" t="s">
        <v>12280</v>
      </c>
      <c r="B6683" s="28" t="s">
        <v>12240</v>
      </c>
      <c r="C6683" s="27" t="s">
        <v>12279</v>
      </c>
      <c r="D6683" s="27" t="s">
        <v>5104</v>
      </c>
      <c r="E6683" s="29">
        <v>38534</v>
      </c>
      <c r="F6683" s="27">
        <v>15</v>
      </c>
      <c r="G6683" s="18">
        <v>53504.82</v>
      </c>
      <c r="H6683" s="27">
        <f t="shared" si="208"/>
        <v>53504.82</v>
      </c>
      <c r="I6683" s="18">
        <v>50829.58</v>
      </c>
      <c r="J6683" s="27">
        <v>53504.82</v>
      </c>
      <c r="K6683" s="18">
        <f t="shared" si="209"/>
        <v>53504.82</v>
      </c>
      <c r="L6683" s="27">
        <v>50829.58</v>
      </c>
      <c r="M6683" s="36">
        <v>0</v>
      </c>
      <c r="T6683" s="41">
        <v>0</v>
      </c>
      <c r="U6683" s="41">
        <v>0</v>
      </c>
      <c r="V6683" s="42" t="s">
        <v>113</v>
      </c>
      <c r="W6683" s="42">
        <v>53504.82</v>
      </c>
      <c r="X6683" s="42">
        <v>53504.82</v>
      </c>
    </row>
    <row r="6684" spans="1:24">
      <c r="A6684" s="27" t="s">
        <v>12281</v>
      </c>
      <c r="B6684" s="28" t="s">
        <v>12240</v>
      </c>
      <c r="C6684" s="27" t="s">
        <v>12279</v>
      </c>
      <c r="D6684" s="27" t="s">
        <v>5104</v>
      </c>
      <c r="E6684" s="29">
        <v>38534</v>
      </c>
      <c r="F6684" s="27">
        <v>15</v>
      </c>
      <c r="G6684" s="18">
        <v>132188.39000000001</v>
      </c>
      <c r="H6684" s="27">
        <f t="shared" si="208"/>
        <v>132188.39000000001</v>
      </c>
      <c r="I6684" s="18">
        <v>125578.97</v>
      </c>
      <c r="J6684" s="27">
        <v>132188.39000000001</v>
      </c>
      <c r="K6684" s="18">
        <f t="shared" si="209"/>
        <v>132188.39000000001</v>
      </c>
      <c r="L6684" s="27">
        <v>125578.97</v>
      </c>
      <c r="M6684" s="36">
        <v>0</v>
      </c>
      <c r="T6684" s="41">
        <v>0</v>
      </c>
      <c r="U6684" s="41">
        <v>0</v>
      </c>
      <c r="V6684" s="42" t="s">
        <v>113</v>
      </c>
      <c r="W6684" s="42">
        <v>132188.39000000001</v>
      </c>
      <c r="X6684" s="42">
        <v>132188.39000000001</v>
      </c>
    </row>
    <row r="6685" spans="1:24">
      <c r="A6685" s="27" t="s">
        <v>12282</v>
      </c>
      <c r="B6685" s="28" t="s">
        <v>12240</v>
      </c>
      <c r="C6685" s="27" t="s">
        <v>12283</v>
      </c>
      <c r="D6685" s="27" t="s">
        <v>5104</v>
      </c>
      <c r="E6685" s="29">
        <v>38534</v>
      </c>
      <c r="F6685" s="27">
        <v>15</v>
      </c>
      <c r="G6685" s="18">
        <v>49987.199999999997</v>
      </c>
      <c r="H6685" s="27">
        <f t="shared" si="208"/>
        <v>49987.199999999997</v>
      </c>
      <c r="I6685" s="18">
        <v>47487.839999999997</v>
      </c>
      <c r="J6685" s="27">
        <v>49987.199999999997</v>
      </c>
      <c r="K6685" s="18">
        <f t="shared" si="209"/>
        <v>49987.199999999997</v>
      </c>
      <c r="L6685" s="27">
        <v>47487.839999999997</v>
      </c>
      <c r="M6685" s="36">
        <v>0</v>
      </c>
      <c r="T6685" s="41">
        <v>0</v>
      </c>
      <c r="U6685" s="41">
        <v>0</v>
      </c>
      <c r="V6685" s="42" t="s">
        <v>113</v>
      </c>
      <c r="W6685" s="42">
        <v>49987.199999999997</v>
      </c>
      <c r="X6685" s="42">
        <v>49987.199999999997</v>
      </c>
    </row>
    <row r="6686" spans="1:24">
      <c r="A6686" s="27" t="s">
        <v>12284</v>
      </c>
      <c r="B6686" s="28" t="s">
        <v>12240</v>
      </c>
      <c r="C6686" s="27" t="s">
        <v>12283</v>
      </c>
      <c r="D6686" s="27" t="s">
        <v>5104</v>
      </c>
      <c r="E6686" s="29">
        <v>38534</v>
      </c>
      <c r="F6686" s="27">
        <v>15</v>
      </c>
      <c r="G6686" s="18">
        <v>15262.76</v>
      </c>
      <c r="H6686" s="27">
        <f t="shared" si="208"/>
        <v>15262.76</v>
      </c>
      <c r="I6686" s="18">
        <v>14499.62</v>
      </c>
      <c r="J6686" s="27">
        <v>15262.76</v>
      </c>
      <c r="K6686" s="18">
        <f t="shared" si="209"/>
        <v>15262.76</v>
      </c>
      <c r="L6686" s="27">
        <v>14499.62</v>
      </c>
      <c r="M6686" s="36">
        <v>0</v>
      </c>
      <c r="T6686" s="41">
        <v>0</v>
      </c>
      <c r="U6686" s="41">
        <v>0</v>
      </c>
      <c r="V6686" s="42" t="s">
        <v>113</v>
      </c>
      <c r="W6686" s="42">
        <v>15262.76</v>
      </c>
      <c r="X6686" s="42">
        <v>15262.76</v>
      </c>
    </row>
    <row r="6687" spans="1:24">
      <c r="A6687" s="27" t="s">
        <v>12285</v>
      </c>
      <c r="B6687" s="28" t="s">
        <v>12240</v>
      </c>
      <c r="C6687" s="27" t="s">
        <v>12286</v>
      </c>
      <c r="D6687" s="27" t="s">
        <v>5104</v>
      </c>
      <c r="E6687" s="29">
        <v>35765</v>
      </c>
      <c r="F6687" s="27">
        <v>15</v>
      </c>
      <c r="G6687" s="18">
        <v>9567</v>
      </c>
      <c r="H6687" s="27">
        <f t="shared" si="208"/>
        <v>9567</v>
      </c>
      <c r="I6687" s="18">
        <v>9088.65</v>
      </c>
      <c r="J6687" s="27">
        <v>9567</v>
      </c>
      <c r="K6687" s="18">
        <f t="shared" si="209"/>
        <v>9567</v>
      </c>
      <c r="L6687" s="27">
        <v>9088.65</v>
      </c>
      <c r="M6687" s="36">
        <v>0</v>
      </c>
      <c r="T6687" s="41">
        <v>0</v>
      </c>
      <c r="U6687" s="41">
        <v>0</v>
      </c>
      <c r="V6687" s="42" t="s">
        <v>113</v>
      </c>
      <c r="W6687" s="42">
        <v>9567</v>
      </c>
      <c r="X6687" s="42">
        <v>9567</v>
      </c>
    </row>
    <row r="6688" spans="1:24">
      <c r="A6688" s="27" t="s">
        <v>12287</v>
      </c>
      <c r="B6688" s="28" t="s">
        <v>12240</v>
      </c>
      <c r="C6688" s="27" t="s">
        <v>12283</v>
      </c>
      <c r="D6688" s="27" t="s">
        <v>5104</v>
      </c>
      <c r="E6688" s="29">
        <v>35765</v>
      </c>
      <c r="F6688" s="27">
        <v>15</v>
      </c>
      <c r="G6688" s="18">
        <v>35553</v>
      </c>
      <c r="H6688" s="27">
        <f t="shared" si="208"/>
        <v>35553</v>
      </c>
      <c r="I6688" s="18">
        <v>33775.35</v>
      </c>
      <c r="J6688" s="27">
        <v>35553</v>
      </c>
      <c r="K6688" s="18">
        <f t="shared" si="209"/>
        <v>35553</v>
      </c>
      <c r="L6688" s="27">
        <v>33775.35</v>
      </c>
      <c r="M6688" s="36">
        <v>0</v>
      </c>
      <c r="T6688" s="41">
        <v>0</v>
      </c>
      <c r="U6688" s="41">
        <v>0</v>
      </c>
      <c r="V6688" s="42" t="s">
        <v>113</v>
      </c>
      <c r="W6688" s="42">
        <v>35553</v>
      </c>
      <c r="X6688" s="42">
        <v>35553</v>
      </c>
    </row>
    <row r="6689" spans="1:24">
      <c r="A6689" s="27" t="s">
        <v>12288</v>
      </c>
      <c r="B6689" s="28" t="s">
        <v>12240</v>
      </c>
      <c r="C6689" s="27" t="s">
        <v>12289</v>
      </c>
      <c r="D6689" s="27" t="s">
        <v>5104</v>
      </c>
      <c r="E6689" s="29">
        <v>35765</v>
      </c>
      <c r="F6689" s="27">
        <v>15</v>
      </c>
      <c r="G6689" s="18">
        <v>7583</v>
      </c>
      <c r="H6689" s="27">
        <f t="shared" si="208"/>
        <v>7583</v>
      </c>
      <c r="I6689" s="18">
        <v>7203.85</v>
      </c>
      <c r="J6689" s="27">
        <v>7583</v>
      </c>
      <c r="K6689" s="18">
        <f t="shared" si="209"/>
        <v>7583</v>
      </c>
      <c r="L6689" s="27">
        <v>7203.85</v>
      </c>
      <c r="M6689" s="36">
        <v>0</v>
      </c>
      <c r="T6689" s="41">
        <v>0</v>
      </c>
      <c r="U6689" s="41">
        <v>0</v>
      </c>
      <c r="V6689" s="42" t="s">
        <v>113</v>
      </c>
      <c r="W6689" s="42">
        <v>7583</v>
      </c>
      <c r="X6689" s="42">
        <v>7583</v>
      </c>
    </row>
    <row r="6690" spans="1:24">
      <c r="A6690" s="27" t="s">
        <v>12290</v>
      </c>
      <c r="B6690" s="28" t="s">
        <v>12240</v>
      </c>
      <c r="C6690" s="27" t="s">
        <v>12289</v>
      </c>
      <c r="D6690" s="27" t="s">
        <v>5104</v>
      </c>
      <c r="E6690" s="29">
        <v>35765</v>
      </c>
      <c r="F6690" s="27">
        <v>15</v>
      </c>
      <c r="G6690" s="18">
        <v>7318</v>
      </c>
      <c r="H6690" s="27">
        <f t="shared" si="208"/>
        <v>7318</v>
      </c>
      <c r="I6690" s="18">
        <v>6952.1</v>
      </c>
      <c r="J6690" s="27">
        <v>7318</v>
      </c>
      <c r="K6690" s="18">
        <f t="shared" si="209"/>
        <v>7318</v>
      </c>
      <c r="L6690" s="27">
        <v>6952.1</v>
      </c>
      <c r="M6690" s="36">
        <v>0</v>
      </c>
      <c r="T6690" s="41">
        <v>0</v>
      </c>
      <c r="U6690" s="41">
        <v>0</v>
      </c>
      <c r="V6690" s="42" t="s">
        <v>113</v>
      </c>
      <c r="W6690" s="42">
        <v>7318</v>
      </c>
      <c r="X6690" s="42">
        <v>7318</v>
      </c>
    </row>
    <row r="6691" spans="1:24">
      <c r="A6691" s="27" t="s">
        <v>12291</v>
      </c>
      <c r="B6691" s="28" t="s">
        <v>12240</v>
      </c>
      <c r="C6691" s="27" t="s">
        <v>12243</v>
      </c>
      <c r="D6691" s="27" t="s">
        <v>5104</v>
      </c>
      <c r="E6691" s="29">
        <v>39417</v>
      </c>
      <c r="F6691" s="27">
        <v>15</v>
      </c>
      <c r="G6691" s="18">
        <v>31853.02</v>
      </c>
      <c r="H6691" s="27">
        <f t="shared" si="208"/>
        <v>0</v>
      </c>
      <c r="I6691" s="18">
        <v>27167.42</v>
      </c>
      <c r="J6691" s="27">
        <v>31853.02</v>
      </c>
      <c r="K6691" s="18">
        <f t="shared" si="209"/>
        <v>0</v>
      </c>
      <c r="L6691" s="27">
        <v>27940.66</v>
      </c>
      <c r="M6691" s="36">
        <v>773.24</v>
      </c>
      <c r="T6691" s="41">
        <v>0</v>
      </c>
      <c r="U6691" s="41">
        <v>0</v>
      </c>
      <c r="V6691" s="42" t="s">
        <v>113</v>
      </c>
      <c r="W6691" s="42">
        <v>0</v>
      </c>
      <c r="X6691" s="42">
        <v>0</v>
      </c>
    </row>
    <row r="6692" spans="1:24">
      <c r="A6692" s="27" t="s">
        <v>12292</v>
      </c>
      <c r="B6692" s="28" t="s">
        <v>12240</v>
      </c>
      <c r="C6692" s="27" t="s">
        <v>12243</v>
      </c>
      <c r="D6692" s="27" t="s">
        <v>5104</v>
      </c>
      <c r="E6692" s="29">
        <v>39417</v>
      </c>
      <c r="F6692" s="27">
        <v>15</v>
      </c>
      <c r="G6692" s="18">
        <v>31853.02</v>
      </c>
      <c r="H6692" s="27">
        <f t="shared" si="208"/>
        <v>0</v>
      </c>
      <c r="I6692" s="18">
        <v>27167.42</v>
      </c>
      <c r="J6692" s="27">
        <v>31853.02</v>
      </c>
      <c r="K6692" s="18">
        <f t="shared" si="209"/>
        <v>0</v>
      </c>
      <c r="L6692" s="27">
        <v>27940.66</v>
      </c>
      <c r="M6692" s="36">
        <v>773.24</v>
      </c>
      <c r="T6692" s="41">
        <v>0</v>
      </c>
      <c r="U6692" s="41">
        <v>0</v>
      </c>
      <c r="V6692" s="42" t="s">
        <v>113</v>
      </c>
      <c r="W6692" s="42">
        <v>0</v>
      </c>
      <c r="X6692" s="42">
        <v>0</v>
      </c>
    </row>
    <row r="6693" spans="1:24">
      <c r="A6693" s="27" t="s">
        <v>12293</v>
      </c>
      <c r="B6693" s="28" t="s">
        <v>12240</v>
      </c>
      <c r="C6693" s="27" t="s">
        <v>12243</v>
      </c>
      <c r="D6693" s="27" t="s">
        <v>5104</v>
      </c>
      <c r="E6693" s="29">
        <v>39417</v>
      </c>
      <c r="F6693" s="27">
        <v>15</v>
      </c>
      <c r="G6693" s="18">
        <v>31853.03</v>
      </c>
      <c r="H6693" s="27">
        <f t="shared" si="208"/>
        <v>0</v>
      </c>
      <c r="I6693" s="18">
        <v>27167.43</v>
      </c>
      <c r="J6693" s="27">
        <v>31853.03</v>
      </c>
      <c r="K6693" s="18">
        <f t="shared" si="209"/>
        <v>0</v>
      </c>
      <c r="L6693" s="27">
        <v>27940.67</v>
      </c>
      <c r="M6693" s="36">
        <v>773.24</v>
      </c>
      <c r="T6693" s="41">
        <v>0</v>
      </c>
      <c r="U6693" s="41">
        <v>0</v>
      </c>
      <c r="V6693" s="42" t="s">
        <v>113</v>
      </c>
      <c r="W6693" s="42">
        <v>0</v>
      </c>
      <c r="X6693" s="42">
        <v>0</v>
      </c>
    </row>
    <row r="6694" spans="1:24">
      <c r="A6694" s="27" t="s">
        <v>12294</v>
      </c>
      <c r="B6694" s="28" t="s">
        <v>12240</v>
      </c>
      <c r="C6694" s="27" t="s">
        <v>12243</v>
      </c>
      <c r="D6694" s="27" t="s">
        <v>230</v>
      </c>
      <c r="E6694" s="29">
        <v>37226</v>
      </c>
      <c r="F6694" s="27">
        <v>15</v>
      </c>
      <c r="G6694" s="18">
        <v>24804.01</v>
      </c>
      <c r="H6694" s="27">
        <f t="shared" si="208"/>
        <v>24804.01</v>
      </c>
      <c r="I6694" s="18">
        <v>23563.81</v>
      </c>
      <c r="J6694" s="27">
        <v>24804.01</v>
      </c>
      <c r="K6694" s="18">
        <f t="shared" si="209"/>
        <v>24804.01</v>
      </c>
      <c r="L6694" s="27">
        <v>23563.81</v>
      </c>
      <c r="M6694" s="36">
        <v>0</v>
      </c>
      <c r="T6694" s="41">
        <v>0</v>
      </c>
      <c r="U6694" s="41">
        <v>0</v>
      </c>
      <c r="V6694" s="42" t="s">
        <v>113</v>
      </c>
      <c r="W6694" s="42">
        <v>24804.01</v>
      </c>
      <c r="X6694" s="42">
        <v>24804.01</v>
      </c>
    </row>
    <row r="6695" spans="1:24">
      <c r="A6695" s="27" t="s">
        <v>12295</v>
      </c>
      <c r="B6695" s="28" t="s">
        <v>12240</v>
      </c>
      <c r="C6695" s="27" t="s">
        <v>12243</v>
      </c>
      <c r="D6695" s="27" t="s">
        <v>230</v>
      </c>
      <c r="E6695" s="29">
        <v>37226</v>
      </c>
      <c r="F6695" s="27">
        <v>15</v>
      </c>
      <c r="G6695" s="18">
        <v>24804</v>
      </c>
      <c r="H6695" s="27">
        <f t="shared" si="208"/>
        <v>24804</v>
      </c>
      <c r="I6695" s="18">
        <v>23563.8</v>
      </c>
      <c r="J6695" s="27">
        <v>24804</v>
      </c>
      <c r="K6695" s="18">
        <f t="shared" si="209"/>
        <v>24804</v>
      </c>
      <c r="L6695" s="27">
        <v>23563.8</v>
      </c>
      <c r="M6695" s="36">
        <v>0</v>
      </c>
      <c r="T6695" s="41">
        <v>0</v>
      </c>
      <c r="U6695" s="41">
        <v>0</v>
      </c>
      <c r="V6695" s="42" t="s">
        <v>113</v>
      </c>
      <c r="W6695" s="42">
        <v>24804</v>
      </c>
      <c r="X6695" s="42">
        <v>24804</v>
      </c>
    </row>
    <row r="6696" spans="1:24">
      <c r="A6696" s="27" t="s">
        <v>12296</v>
      </c>
      <c r="B6696" s="28" t="s">
        <v>12240</v>
      </c>
      <c r="C6696" s="27" t="s">
        <v>12245</v>
      </c>
      <c r="D6696" s="27" t="s">
        <v>5104</v>
      </c>
      <c r="E6696" s="29">
        <v>37712</v>
      </c>
      <c r="F6696" s="27">
        <v>15</v>
      </c>
      <c r="G6696" s="18">
        <v>110511.29</v>
      </c>
      <c r="H6696" s="27">
        <f t="shared" si="208"/>
        <v>110511.29</v>
      </c>
      <c r="I6696" s="18">
        <v>104985.73</v>
      </c>
      <c r="J6696" s="27">
        <v>110511.29</v>
      </c>
      <c r="K6696" s="18">
        <f t="shared" si="209"/>
        <v>110511.29</v>
      </c>
      <c r="L6696" s="27">
        <v>104985.73</v>
      </c>
      <c r="M6696" s="36">
        <v>0</v>
      </c>
      <c r="T6696" s="41">
        <v>0</v>
      </c>
      <c r="U6696" s="41">
        <v>0</v>
      </c>
      <c r="V6696" s="42" t="s">
        <v>113</v>
      </c>
      <c r="W6696" s="42">
        <v>110511.29</v>
      </c>
      <c r="X6696" s="42">
        <v>110511.29</v>
      </c>
    </row>
    <row r="6697" spans="1:24">
      <c r="A6697" s="27" t="s">
        <v>12297</v>
      </c>
      <c r="B6697" s="28" t="s">
        <v>12240</v>
      </c>
      <c r="C6697" s="27" t="s">
        <v>12245</v>
      </c>
      <c r="D6697" s="27" t="s">
        <v>5104</v>
      </c>
      <c r="E6697" s="29">
        <v>37712</v>
      </c>
      <c r="F6697" s="27">
        <v>15</v>
      </c>
      <c r="G6697" s="18">
        <v>30754.09</v>
      </c>
      <c r="H6697" s="27">
        <f t="shared" si="208"/>
        <v>30754.09</v>
      </c>
      <c r="I6697" s="18">
        <v>29216.39</v>
      </c>
      <c r="J6697" s="27">
        <v>30754.09</v>
      </c>
      <c r="K6697" s="18">
        <f t="shared" si="209"/>
        <v>30754.09</v>
      </c>
      <c r="L6697" s="27">
        <v>29216.39</v>
      </c>
      <c r="M6697" s="36">
        <v>0</v>
      </c>
      <c r="T6697" s="41">
        <v>0</v>
      </c>
      <c r="U6697" s="41">
        <v>0</v>
      </c>
      <c r="V6697" s="42" t="s">
        <v>113</v>
      </c>
      <c r="W6697" s="42">
        <v>30754.09</v>
      </c>
      <c r="X6697" s="42">
        <v>30754.09</v>
      </c>
    </row>
    <row r="6698" spans="1:24">
      <c r="A6698" s="27" t="s">
        <v>12298</v>
      </c>
      <c r="B6698" s="28" t="s">
        <v>12240</v>
      </c>
      <c r="C6698" s="27" t="s">
        <v>12245</v>
      </c>
      <c r="D6698" s="27" t="s">
        <v>5104</v>
      </c>
      <c r="E6698" s="29">
        <v>37712</v>
      </c>
      <c r="F6698" s="27">
        <v>15</v>
      </c>
      <c r="G6698" s="18">
        <v>13725.59</v>
      </c>
      <c r="H6698" s="27">
        <f t="shared" si="208"/>
        <v>13725.59</v>
      </c>
      <c r="I6698" s="18">
        <v>13039.31</v>
      </c>
      <c r="J6698" s="27">
        <v>13725.59</v>
      </c>
      <c r="K6698" s="18">
        <f t="shared" si="209"/>
        <v>13725.59</v>
      </c>
      <c r="L6698" s="27">
        <v>13039.31</v>
      </c>
      <c r="M6698" s="36">
        <v>0</v>
      </c>
      <c r="T6698" s="41">
        <v>0</v>
      </c>
      <c r="U6698" s="41">
        <v>0</v>
      </c>
      <c r="V6698" s="42" t="s">
        <v>113</v>
      </c>
      <c r="W6698" s="42">
        <v>13725.59</v>
      </c>
      <c r="X6698" s="42">
        <v>13725.59</v>
      </c>
    </row>
    <row r="6699" spans="1:24">
      <c r="A6699" s="27" t="s">
        <v>12299</v>
      </c>
      <c r="B6699" s="28" t="s">
        <v>12240</v>
      </c>
      <c r="C6699" s="27" t="s">
        <v>12245</v>
      </c>
      <c r="D6699" s="27" t="s">
        <v>5104</v>
      </c>
      <c r="E6699" s="29">
        <v>37712</v>
      </c>
      <c r="F6699" s="27">
        <v>15</v>
      </c>
      <c r="G6699" s="18">
        <v>23899.51</v>
      </c>
      <c r="H6699" s="27">
        <f t="shared" si="208"/>
        <v>23899.51</v>
      </c>
      <c r="I6699" s="18">
        <v>22704.53</v>
      </c>
      <c r="J6699" s="27">
        <v>23899.51</v>
      </c>
      <c r="K6699" s="18">
        <f t="shared" si="209"/>
        <v>23899.51</v>
      </c>
      <c r="L6699" s="27">
        <v>22704.53</v>
      </c>
      <c r="M6699" s="36">
        <v>0</v>
      </c>
      <c r="T6699" s="41">
        <v>0</v>
      </c>
      <c r="U6699" s="41">
        <v>0</v>
      </c>
      <c r="V6699" s="42" t="s">
        <v>113</v>
      </c>
      <c r="W6699" s="42">
        <v>23899.51</v>
      </c>
      <c r="X6699" s="42">
        <v>23899.51</v>
      </c>
    </row>
    <row r="6700" spans="1:24">
      <c r="A6700" s="27" t="s">
        <v>12300</v>
      </c>
      <c r="B6700" s="28" t="s">
        <v>12240</v>
      </c>
      <c r="C6700" s="27" t="s">
        <v>12245</v>
      </c>
      <c r="D6700" s="27" t="s">
        <v>5104</v>
      </c>
      <c r="E6700" s="29">
        <v>37712</v>
      </c>
      <c r="F6700" s="27">
        <v>15</v>
      </c>
      <c r="G6700" s="18">
        <v>27054.76</v>
      </c>
      <c r="H6700" s="27">
        <f t="shared" si="208"/>
        <v>27054.76</v>
      </c>
      <c r="I6700" s="18">
        <v>25702.02</v>
      </c>
      <c r="J6700" s="27">
        <v>27054.76</v>
      </c>
      <c r="K6700" s="18">
        <f t="shared" si="209"/>
        <v>27054.76</v>
      </c>
      <c r="L6700" s="27">
        <v>25702.02</v>
      </c>
      <c r="M6700" s="36">
        <v>0</v>
      </c>
      <c r="T6700" s="41">
        <v>0</v>
      </c>
      <c r="U6700" s="41">
        <v>0</v>
      </c>
      <c r="V6700" s="42" t="s">
        <v>113</v>
      </c>
      <c r="W6700" s="42">
        <v>27054.76</v>
      </c>
      <c r="X6700" s="42">
        <v>27054.76</v>
      </c>
    </row>
    <row r="6701" spans="1:24">
      <c r="A6701" s="27" t="s">
        <v>12301</v>
      </c>
      <c r="B6701" s="28" t="s">
        <v>12240</v>
      </c>
      <c r="C6701" s="27" t="s">
        <v>12245</v>
      </c>
      <c r="D6701" s="27" t="s">
        <v>5104</v>
      </c>
      <c r="E6701" s="29">
        <v>39417</v>
      </c>
      <c r="F6701" s="27">
        <v>15</v>
      </c>
      <c r="G6701" s="18">
        <v>36454.879999999997</v>
      </c>
      <c r="H6701" s="27">
        <f t="shared" si="208"/>
        <v>0</v>
      </c>
      <c r="I6701" s="18">
        <v>31092.34</v>
      </c>
      <c r="J6701" s="27">
        <v>36454.879999999997</v>
      </c>
      <c r="K6701" s="18">
        <f t="shared" si="209"/>
        <v>0</v>
      </c>
      <c r="L6701" s="27">
        <v>31977.29</v>
      </c>
      <c r="M6701" s="36">
        <v>884.95</v>
      </c>
      <c r="T6701" s="41">
        <v>0</v>
      </c>
      <c r="U6701" s="41">
        <v>0</v>
      </c>
      <c r="V6701" s="42" t="s">
        <v>113</v>
      </c>
      <c r="W6701" s="42">
        <v>0</v>
      </c>
      <c r="X6701" s="42">
        <v>0</v>
      </c>
    </row>
    <row r="6702" spans="1:24">
      <c r="A6702" s="27" t="s">
        <v>12302</v>
      </c>
      <c r="B6702" s="28" t="s">
        <v>12240</v>
      </c>
      <c r="C6702" s="27" t="s">
        <v>12245</v>
      </c>
      <c r="D6702" s="27" t="s">
        <v>5104</v>
      </c>
      <c r="E6702" s="29">
        <v>39417</v>
      </c>
      <c r="F6702" s="27">
        <v>15</v>
      </c>
      <c r="G6702" s="18">
        <v>36454.910000000003</v>
      </c>
      <c r="H6702" s="27">
        <f t="shared" si="208"/>
        <v>0</v>
      </c>
      <c r="I6702" s="18">
        <v>31092.36</v>
      </c>
      <c r="J6702" s="27">
        <v>36454.910000000003</v>
      </c>
      <c r="K6702" s="18">
        <f t="shared" si="209"/>
        <v>0</v>
      </c>
      <c r="L6702" s="27">
        <v>31977.31</v>
      </c>
      <c r="M6702" s="36">
        <v>884.95</v>
      </c>
      <c r="T6702" s="41">
        <v>0</v>
      </c>
      <c r="U6702" s="41">
        <v>0</v>
      </c>
      <c r="V6702" s="42" t="s">
        <v>113</v>
      </c>
      <c r="W6702" s="42">
        <v>0</v>
      </c>
      <c r="X6702" s="42">
        <v>0</v>
      </c>
    </row>
    <row r="6703" spans="1:24">
      <c r="A6703" s="27" t="s">
        <v>12303</v>
      </c>
      <c r="B6703" s="28" t="s">
        <v>12240</v>
      </c>
      <c r="C6703" s="27" t="s">
        <v>12245</v>
      </c>
      <c r="D6703" s="27" t="s">
        <v>5104</v>
      </c>
      <c r="E6703" s="29">
        <v>37712</v>
      </c>
      <c r="F6703" s="27">
        <v>15</v>
      </c>
      <c r="G6703" s="18">
        <v>14906.83</v>
      </c>
      <c r="H6703" s="27">
        <f t="shared" si="208"/>
        <v>14906.83</v>
      </c>
      <c r="I6703" s="18">
        <v>14161.49</v>
      </c>
      <c r="J6703" s="27">
        <v>14906.83</v>
      </c>
      <c r="K6703" s="18">
        <f t="shared" si="209"/>
        <v>14906.83</v>
      </c>
      <c r="L6703" s="27">
        <v>14161.49</v>
      </c>
      <c r="M6703" s="36">
        <v>0</v>
      </c>
      <c r="T6703" s="41">
        <v>0</v>
      </c>
      <c r="U6703" s="41">
        <v>0</v>
      </c>
      <c r="V6703" s="42" t="s">
        <v>113</v>
      </c>
      <c r="W6703" s="42">
        <v>14906.83</v>
      </c>
      <c r="X6703" s="42">
        <v>14906.83</v>
      </c>
    </row>
    <row r="6704" spans="1:24">
      <c r="A6704" s="27" t="s">
        <v>12304</v>
      </c>
      <c r="B6704" s="28" t="s">
        <v>12240</v>
      </c>
      <c r="C6704" s="27" t="s">
        <v>12245</v>
      </c>
      <c r="D6704" s="27" t="s">
        <v>5104</v>
      </c>
      <c r="E6704" s="29">
        <v>37712</v>
      </c>
      <c r="F6704" s="27">
        <v>15</v>
      </c>
      <c r="G6704" s="18">
        <v>22516.55</v>
      </c>
      <c r="H6704" s="27">
        <f t="shared" si="208"/>
        <v>22516.55</v>
      </c>
      <c r="I6704" s="18">
        <v>21390.720000000001</v>
      </c>
      <c r="J6704" s="27">
        <v>22516.55</v>
      </c>
      <c r="K6704" s="18">
        <f t="shared" si="209"/>
        <v>22516.55</v>
      </c>
      <c r="L6704" s="27">
        <v>21390.720000000001</v>
      </c>
      <c r="M6704" s="36">
        <v>0</v>
      </c>
      <c r="T6704" s="41">
        <v>0</v>
      </c>
      <c r="U6704" s="41">
        <v>0</v>
      </c>
      <c r="V6704" s="42" t="s">
        <v>113</v>
      </c>
      <c r="W6704" s="42">
        <v>22516.55</v>
      </c>
      <c r="X6704" s="42">
        <v>22516.55</v>
      </c>
    </row>
    <row r="6705" spans="1:24">
      <c r="A6705" s="27" t="s">
        <v>12305</v>
      </c>
      <c r="B6705" s="28" t="s">
        <v>12240</v>
      </c>
      <c r="C6705" s="27" t="s">
        <v>12245</v>
      </c>
      <c r="D6705" s="27" t="s">
        <v>5104</v>
      </c>
      <c r="E6705" s="29">
        <v>37712</v>
      </c>
      <c r="F6705" s="27">
        <v>15</v>
      </c>
      <c r="G6705" s="18">
        <v>15043.93</v>
      </c>
      <c r="H6705" s="27">
        <f t="shared" si="208"/>
        <v>15043.93</v>
      </c>
      <c r="I6705" s="18">
        <v>14291.73</v>
      </c>
      <c r="J6705" s="27">
        <v>15043.93</v>
      </c>
      <c r="K6705" s="18">
        <f t="shared" si="209"/>
        <v>15043.93</v>
      </c>
      <c r="L6705" s="27">
        <v>14291.73</v>
      </c>
      <c r="M6705" s="36">
        <v>0</v>
      </c>
      <c r="T6705" s="41">
        <v>0</v>
      </c>
      <c r="U6705" s="41">
        <v>0</v>
      </c>
      <c r="V6705" s="42" t="s">
        <v>113</v>
      </c>
      <c r="W6705" s="42">
        <v>15043.93</v>
      </c>
      <c r="X6705" s="42">
        <v>15043.93</v>
      </c>
    </row>
    <row r="6706" spans="1:24">
      <c r="A6706" s="27" t="s">
        <v>12306</v>
      </c>
      <c r="B6706" s="28" t="s">
        <v>12240</v>
      </c>
      <c r="C6706" s="27" t="s">
        <v>12245</v>
      </c>
      <c r="D6706" s="27" t="s">
        <v>5104</v>
      </c>
      <c r="E6706" s="29">
        <v>37226</v>
      </c>
      <c r="F6706" s="27">
        <v>15</v>
      </c>
      <c r="G6706" s="18">
        <v>28608.07</v>
      </c>
      <c r="H6706" s="27">
        <f t="shared" si="208"/>
        <v>28608.07</v>
      </c>
      <c r="I6706" s="18">
        <v>27177.67</v>
      </c>
      <c r="J6706" s="27">
        <v>28608.07</v>
      </c>
      <c r="K6706" s="18">
        <f t="shared" si="209"/>
        <v>28608.07</v>
      </c>
      <c r="L6706" s="27">
        <v>27177.67</v>
      </c>
      <c r="M6706" s="36">
        <v>0</v>
      </c>
      <c r="T6706" s="41">
        <v>0</v>
      </c>
      <c r="U6706" s="41">
        <v>0</v>
      </c>
      <c r="V6706" s="42" t="s">
        <v>113</v>
      </c>
      <c r="W6706" s="42">
        <v>28608.07</v>
      </c>
      <c r="X6706" s="42">
        <v>28608.07</v>
      </c>
    </row>
    <row r="6707" spans="1:24">
      <c r="A6707" s="27" t="s">
        <v>12307</v>
      </c>
      <c r="B6707" s="28" t="s">
        <v>12240</v>
      </c>
      <c r="C6707" s="27" t="s">
        <v>12245</v>
      </c>
      <c r="D6707" s="27" t="s">
        <v>5104</v>
      </c>
      <c r="E6707" s="29">
        <v>37226</v>
      </c>
      <c r="F6707" s="27">
        <v>15</v>
      </c>
      <c r="G6707" s="18">
        <v>28608.07</v>
      </c>
      <c r="H6707" s="27">
        <f t="shared" si="208"/>
        <v>28608.07</v>
      </c>
      <c r="I6707" s="18">
        <v>27177.67</v>
      </c>
      <c r="J6707" s="27">
        <v>28608.07</v>
      </c>
      <c r="K6707" s="18">
        <f t="shared" si="209"/>
        <v>28608.07</v>
      </c>
      <c r="L6707" s="27">
        <v>27177.67</v>
      </c>
      <c r="M6707" s="36">
        <v>0</v>
      </c>
      <c r="T6707" s="41">
        <v>0</v>
      </c>
      <c r="U6707" s="41">
        <v>0</v>
      </c>
      <c r="V6707" s="42" t="s">
        <v>113</v>
      </c>
      <c r="W6707" s="42">
        <v>28608.07</v>
      </c>
      <c r="X6707" s="42">
        <v>28608.07</v>
      </c>
    </row>
    <row r="6708" spans="1:24">
      <c r="A6708" s="27" t="s">
        <v>12308</v>
      </c>
      <c r="B6708" s="28" t="s">
        <v>12240</v>
      </c>
      <c r="C6708" s="27" t="s">
        <v>12243</v>
      </c>
      <c r="D6708" s="27" t="s">
        <v>230</v>
      </c>
      <c r="E6708" s="29">
        <v>37226</v>
      </c>
      <c r="F6708" s="27">
        <v>15</v>
      </c>
      <c r="G6708" s="18">
        <v>25405.66</v>
      </c>
      <c r="H6708" s="27">
        <f t="shared" si="208"/>
        <v>25405.66</v>
      </c>
      <c r="I6708" s="18">
        <v>24135.38</v>
      </c>
      <c r="J6708" s="27">
        <v>25405.66</v>
      </c>
      <c r="K6708" s="18">
        <f t="shared" si="209"/>
        <v>25405.66</v>
      </c>
      <c r="L6708" s="27">
        <v>24135.38</v>
      </c>
      <c r="M6708" s="36">
        <v>0</v>
      </c>
      <c r="T6708" s="41">
        <v>0</v>
      </c>
      <c r="U6708" s="41">
        <v>0</v>
      </c>
      <c r="V6708" s="42" t="s">
        <v>113</v>
      </c>
      <c r="W6708" s="42">
        <v>25405.66</v>
      </c>
      <c r="X6708" s="42">
        <v>25405.66</v>
      </c>
    </row>
    <row r="6709" spans="1:24">
      <c r="A6709" s="27" t="s">
        <v>12309</v>
      </c>
      <c r="B6709" s="28" t="s">
        <v>12240</v>
      </c>
      <c r="C6709" s="27" t="s">
        <v>12243</v>
      </c>
      <c r="D6709" s="27" t="s">
        <v>5104</v>
      </c>
      <c r="E6709" s="29">
        <v>39417</v>
      </c>
      <c r="F6709" s="27">
        <v>15</v>
      </c>
      <c r="G6709" s="18">
        <v>12940</v>
      </c>
      <c r="H6709" s="27">
        <f t="shared" si="208"/>
        <v>0</v>
      </c>
      <c r="I6709" s="18">
        <v>11161.99</v>
      </c>
      <c r="J6709" s="27">
        <v>12940</v>
      </c>
      <c r="K6709" s="18">
        <f t="shared" si="209"/>
        <v>0</v>
      </c>
      <c r="L6709" s="27">
        <v>11444.74</v>
      </c>
      <c r="M6709" s="36">
        <v>282.75</v>
      </c>
      <c r="T6709" s="41">
        <v>0</v>
      </c>
      <c r="U6709" s="41">
        <v>0</v>
      </c>
      <c r="V6709" s="42" t="s">
        <v>113</v>
      </c>
      <c r="W6709" s="42">
        <v>0</v>
      </c>
      <c r="X6709" s="42">
        <v>0</v>
      </c>
    </row>
    <row r="6710" spans="1:24">
      <c r="A6710" s="27" t="s">
        <v>12310</v>
      </c>
      <c r="B6710" s="28" t="s">
        <v>12240</v>
      </c>
      <c r="C6710" s="27" t="s">
        <v>12311</v>
      </c>
      <c r="D6710" s="27" t="s">
        <v>5104</v>
      </c>
      <c r="E6710" s="29">
        <v>39417</v>
      </c>
      <c r="F6710" s="27">
        <v>15</v>
      </c>
      <c r="G6710" s="18">
        <v>13210</v>
      </c>
      <c r="H6710" s="27">
        <f t="shared" si="208"/>
        <v>0</v>
      </c>
      <c r="I6710" s="18">
        <v>11394.9</v>
      </c>
      <c r="J6710" s="27">
        <v>13210</v>
      </c>
      <c r="K6710" s="18">
        <f t="shared" si="209"/>
        <v>0</v>
      </c>
      <c r="L6710" s="27">
        <v>11683.55</v>
      </c>
      <c r="M6710" s="36">
        <v>288.64999999999998</v>
      </c>
      <c r="T6710" s="41">
        <v>0</v>
      </c>
      <c r="U6710" s="41">
        <v>0</v>
      </c>
      <c r="V6710" s="42" t="s">
        <v>113</v>
      </c>
      <c r="W6710" s="42">
        <v>0</v>
      </c>
      <c r="X6710" s="42">
        <v>0</v>
      </c>
    </row>
    <row r="6711" spans="1:24">
      <c r="A6711" s="27" t="s">
        <v>12312</v>
      </c>
      <c r="B6711" s="28" t="s">
        <v>12240</v>
      </c>
      <c r="C6711" s="27" t="s">
        <v>12313</v>
      </c>
      <c r="D6711" s="27" t="s">
        <v>5104</v>
      </c>
      <c r="E6711" s="29">
        <v>39417</v>
      </c>
      <c r="F6711" s="27">
        <v>15</v>
      </c>
      <c r="G6711" s="18">
        <v>13930</v>
      </c>
      <c r="H6711" s="27">
        <f t="shared" si="208"/>
        <v>0</v>
      </c>
      <c r="I6711" s="18">
        <v>11909.48</v>
      </c>
      <c r="J6711" s="27">
        <v>13930</v>
      </c>
      <c r="K6711" s="18">
        <f t="shared" si="209"/>
        <v>0</v>
      </c>
      <c r="L6711" s="27">
        <v>12240.49</v>
      </c>
      <c r="M6711" s="36">
        <v>331.01</v>
      </c>
      <c r="T6711" s="41">
        <v>0</v>
      </c>
      <c r="U6711" s="41">
        <v>0</v>
      </c>
      <c r="V6711" s="42" t="s">
        <v>113</v>
      </c>
      <c r="W6711" s="42">
        <v>0</v>
      </c>
      <c r="X6711" s="42">
        <v>0</v>
      </c>
    </row>
    <row r="6712" spans="1:24">
      <c r="A6712" s="27" t="s">
        <v>12314</v>
      </c>
      <c r="B6712" s="28" t="s">
        <v>12240</v>
      </c>
      <c r="C6712" s="27" t="s">
        <v>12315</v>
      </c>
      <c r="D6712" s="27" t="s">
        <v>230</v>
      </c>
      <c r="E6712" s="29">
        <v>39417</v>
      </c>
      <c r="F6712" s="27">
        <v>15</v>
      </c>
      <c r="G6712" s="18">
        <v>12210</v>
      </c>
      <c r="H6712" s="27">
        <f t="shared" si="208"/>
        <v>0</v>
      </c>
      <c r="I6712" s="18">
        <v>10454.52</v>
      </c>
      <c r="J6712" s="27">
        <v>12210</v>
      </c>
      <c r="K6712" s="18">
        <f t="shared" si="209"/>
        <v>0</v>
      </c>
      <c r="L6712" s="27">
        <v>10740.77</v>
      </c>
      <c r="M6712" s="36">
        <v>286.25</v>
      </c>
      <c r="T6712" s="41">
        <v>0</v>
      </c>
      <c r="U6712" s="41">
        <v>0</v>
      </c>
      <c r="V6712" s="42" t="s">
        <v>113</v>
      </c>
      <c r="W6712" s="42">
        <v>0</v>
      </c>
      <c r="X6712" s="42">
        <v>0</v>
      </c>
    </row>
    <row r="6713" spans="1:24">
      <c r="A6713" s="27" t="s">
        <v>12316</v>
      </c>
      <c r="B6713" s="28" t="s">
        <v>12240</v>
      </c>
      <c r="C6713" s="27" t="s">
        <v>12311</v>
      </c>
      <c r="D6713" s="27" t="s">
        <v>5104</v>
      </c>
      <c r="E6713" s="29">
        <v>39417</v>
      </c>
      <c r="F6713" s="27">
        <v>15</v>
      </c>
      <c r="G6713" s="18">
        <v>13210</v>
      </c>
      <c r="H6713" s="27">
        <f t="shared" si="208"/>
        <v>0</v>
      </c>
      <c r="I6713" s="18">
        <v>11394.9</v>
      </c>
      <c r="J6713" s="27">
        <v>13210</v>
      </c>
      <c r="K6713" s="18">
        <f t="shared" si="209"/>
        <v>0</v>
      </c>
      <c r="L6713" s="27">
        <v>11683.55</v>
      </c>
      <c r="M6713" s="36">
        <v>288.64999999999998</v>
      </c>
      <c r="T6713" s="41">
        <v>0</v>
      </c>
      <c r="U6713" s="41">
        <v>0</v>
      </c>
      <c r="V6713" s="42" t="s">
        <v>113</v>
      </c>
      <c r="W6713" s="42">
        <v>0</v>
      </c>
      <c r="X6713" s="42">
        <v>0</v>
      </c>
    </row>
    <row r="6714" spans="1:24">
      <c r="A6714" s="27" t="s">
        <v>12317</v>
      </c>
      <c r="B6714" s="28" t="s">
        <v>12240</v>
      </c>
      <c r="C6714" s="27" t="s">
        <v>12313</v>
      </c>
      <c r="D6714" s="27" t="s">
        <v>5104</v>
      </c>
      <c r="E6714" s="29">
        <v>39417</v>
      </c>
      <c r="F6714" s="27">
        <v>15</v>
      </c>
      <c r="G6714" s="18">
        <v>5970</v>
      </c>
      <c r="H6714" s="27">
        <f t="shared" si="208"/>
        <v>0</v>
      </c>
      <c r="I6714" s="18">
        <v>5104.05</v>
      </c>
      <c r="J6714" s="27">
        <v>5970</v>
      </c>
      <c r="K6714" s="18">
        <f t="shared" si="209"/>
        <v>0</v>
      </c>
      <c r="L6714" s="27">
        <v>5245.91</v>
      </c>
      <c r="M6714" s="36">
        <v>141.86000000000001</v>
      </c>
      <c r="T6714" s="41">
        <v>0</v>
      </c>
      <c r="U6714" s="41">
        <v>0</v>
      </c>
      <c r="V6714" s="42" t="s">
        <v>113</v>
      </c>
      <c r="W6714" s="42">
        <v>0</v>
      </c>
      <c r="X6714" s="42">
        <v>0</v>
      </c>
    </row>
    <row r="6715" spans="1:24">
      <c r="A6715" s="27" t="s">
        <v>12318</v>
      </c>
      <c r="B6715" s="28" t="s">
        <v>12240</v>
      </c>
      <c r="C6715" s="27" t="s">
        <v>12245</v>
      </c>
      <c r="D6715" s="27" t="s">
        <v>230</v>
      </c>
      <c r="E6715" s="29">
        <v>39417</v>
      </c>
      <c r="F6715" s="27">
        <v>15</v>
      </c>
      <c r="G6715" s="18">
        <v>44460</v>
      </c>
      <c r="H6715" s="27">
        <f t="shared" si="208"/>
        <v>0</v>
      </c>
      <c r="I6715" s="18">
        <v>37369.69</v>
      </c>
      <c r="J6715" s="27">
        <v>44460</v>
      </c>
      <c r="K6715" s="18">
        <f t="shared" si="209"/>
        <v>0</v>
      </c>
      <c r="L6715" s="27">
        <v>38586.519999999997</v>
      </c>
      <c r="M6715" s="36">
        <v>1216.83</v>
      </c>
      <c r="T6715" s="41">
        <v>0</v>
      </c>
      <c r="U6715" s="41">
        <v>0</v>
      </c>
      <c r="V6715" s="42" t="s">
        <v>113</v>
      </c>
      <c r="W6715" s="42">
        <v>0</v>
      </c>
      <c r="X6715" s="42">
        <v>0</v>
      </c>
    </row>
    <row r="6716" spans="1:24">
      <c r="A6716" s="27" t="s">
        <v>12319</v>
      </c>
      <c r="B6716" s="28" t="s">
        <v>12240</v>
      </c>
      <c r="C6716" s="27" t="s">
        <v>12245</v>
      </c>
      <c r="D6716" s="27" t="s">
        <v>230</v>
      </c>
      <c r="E6716" s="29">
        <v>39264</v>
      </c>
      <c r="F6716" s="27">
        <v>15</v>
      </c>
      <c r="G6716" s="18">
        <v>43485</v>
      </c>
      <c r="H6716" s="27">
        <f t="shared" si="208"/>
        <v>0</v>
      </c>
      <c r="I6716" s="18">
        <v>37591.699999999997</v>
      </c>
      <c r="J6716" s="27">
        <v>43485</v>
      </c>
      <c r="K6716" s="18">
        <f t="shared" si="209"/>
        <v>0</v>
      </c>
      <c r="L6716" s="27">
        <v>38629.57</v>
      </c>
      <c r="M6716" s="36">
        <v>1037.8699999999999</v>
      </c>
      <c r="T6716" s="41">
        <v>0</v>
      </c>
      <c r="U6716" s="41">
        <v>0</v>
      </c>
      <c r="V6716" s="42" t="s">
        <v>113</v>
      </c>
      <c r="W6716" s="42">
        <v>0</v>
      </c>
      <c r="X6716" s="42">
        <v>0</v>
      </c>
    </row>
    <row r="6717" spans="1:24">
      <c r="A6717" s="27" t="s">
        <v>12320</v>
      </c>
      <c r="B6717" s="28" t="s">
        <v>12240</v>
      </c>
      <c r="C6717" s="27" t="s">
        <v>12321</v>
      </c>
      <c r="D6717" s="27" t="s">
        <v>230</v>
      </c>
      <c r="E6717" s="29">
        <v>39508</v>
      </c>
      <c r="F6717" s="27">
        <v>15</v>
      </c>
      <c r="G6717" s="18">
        <v>40147.800000000003</v>
      </c>
      <c r="H6717" s="27">
        <f t="shared" si="208"/>
        <v>0</v>
      </c>
      <c r="I6717" s="18">
        <v>33070.160000000003</v>
      </c>
      <c r="J6717" s="27">
        <v>40147.800000000003</v>
      </c>
      <c r="K6717" s="18">
        <f t="shared" si="209"/>
        <v>0</v>
      </c>
      <c r="L6717" s="27">
        <v>34263.160000000003</v>
      </c>
      <c r="M6717" s="36">
        <v>1193</v>
      </c>
      <c r="T6717" s="41">
        <v>0</v>
      </c>
      <c r="U6717" s="41">
        <v>0</v>
      </c>
      <c r="V6717" s="42" t="s">
        <v>113</v>
      </c>
      <c r="W6717" s="42">
        <v>0</v>
      </c>
      <c r="X6717" s="42">
        <v>0</v>
      </c>
    </row>
    <row r="6718" spans="1:24">
      <c r="A6718" s="27" t="s">
        <v>12322</v>
      </c>
      <c r="B6718" s="28" t="s">
        <v>12240</v>
      </c>
      <c r="C6718" s="27" t="s">
        <v>12245</v>
      </c>
      <c r="D6718" s="27" t="s">
        <v>5104</v>
      </c>
      <c r="E6718" s="29">
        <v>37226</v>
      </c>
      <c r="F6718" s="27">
        <v>15</v>
      </c>
      <c r="G6718" s="18">
        <v>17668.580000000002</v>
      </c>
      <c r="H6718" s="27">
        <f t="shared" si="208"/>
        <v>17668.580000000002</v>
      </c>
      <c r="I6718" s="18">
        <v>16785.150000000001</v>
      </c>
      <c r="J6718" s="27">
        <v>17668.580000000002</v>
      </c>
      <c r="K6718" s="18">
        <f t="shared" si="209"/>
        <v>17668.580000000002</v>
      </c>
      <c r="L6718" s="27">
        <v>16785.150000000001</v>
      </c>
      <c r="M6718" s="36">
        <v>0</v>
      </c>
      <c r="T6718" s="41">
        <v>0</v>
      </c>
      <c r="U6718" s="41">
        <v>0</v>
      </c>
      <c r="V6718" s="42" t="s">
        <v>113</v>
      </c>
      <c r="W6718" s="42">
        <v>17668.580000000002</v>
      </c>
      <c r="X6718" s="42">
        <v>17668.580000000002</v>
      </c>
    </row>
    <row r="6719" spans="1:24">
      <c r="A6719" s="27" t="s">
        <v>12323</v>
      </c>
      <c r="B6719" s="28" t="s">
        <v>12240</v>
      </c>
      <c r="C6719" s="27" t="s">
        <v>12245</v>
      </c>
      <c r="D6719" s="27" t="s">
        <v>5104</v>
      </c>
      <c r="E6719" s="29">
        <v>37226</v>
      </c>
      <c r="F6719" s="27">
        <v>15</v>
      </c>
      <c r="G6719" s="18">
        <v>14805.55</v>
      </c>
      <c r="H6719" s="27">
        <f t="shared" si="208"/>
        <v>14805.55</v>
      </c>
      <c r="I6719" s="18">
        <v>14065.27</v>
      </c>
      <c r="J6719" s="27">
        <v>14805.55</v>
      </c>
      <c r="K6719" s="18">
        <f t="shared" si="209"/>
        <v>14805.55</v>
      </c>
      <c r="L6719" s="27">
        <v>14065.27</v>
      </c>
      <c r="M6719" s="36">
        <v>0</v>
      </c>
      <c r="T6719" s="41">
        <v>0</v>
      </c>
      <c r="U6719" s="41">
        <v>0</v>
      </c>
      <c r="V6719" s="42" t="s">
        <v>113</v>
      </c>
      <c r="W6719" s="42">
        <v>14805.55</v>
      </c>
      <c r="X6719" s="42">
        <v>14805.55</v>
      </c>
    </row>
    <row r="6720" spans="1:24">
      <c r="A6720" s="27" t="s">
        <v>12324</v>
      </c>
      <c r="B6720" s="28" t="s">
        <v>12240</v>
      </c>
      <c r="C6720" s="27" t="s">
        <v>12245</v>
      </c>
      <c r="D6720" s="27" t="s">
        <v>5104</v>
      </c>
      <c r="E6720" s="29">
        <v>37226</v>
      </c>
      <c r="F6720" s="27">
        <v>15</v>
      </c>
      <c r="G6720" s="18">
        <v>33391.339999999997</v>
      </c>
      <c r="H6720" s="27">
        <f t="shared" si="208"/>
        <v>33391.339999999997</v>
      </c>
      <c r="I6720" s="18">
        <v>31721.77</v>
      </c>
      <c r="J6720" s="27">
        <v>33391.339999999997</v>
      </c>
      <c r="K6720" s="18">
        <f t="shared" si="209"/>
        <v>33391.339999999997</v>
      </c>
      <c r="L6720" s="27">
        <v>31721.77</v>
      </c>
      <c r="M6720" s="36">
        <v>0</v>
      </c>
      <c r="T6720" s="41">
        <v>0</v>
      </c>
      <c r="U6720" s="41">
        <v>0</v>
      </c>
      <c r="V6720" s="42" t="s">
        <v>113</v>
      </c>
      <c r="W6720" s="42">
        <v>33391.339999999997</v>
      </c>
      <c r="X6720" s="42">
        <v>33391.339999999997</v>
      </c>
    </row>
    <row r="6721" spans="1:24">
      <c r="A6721" s="27" t="s">
        <v>12325</v>
      </c>
      <c r="B6721" s="28" t="s">
        <v>12240</v>
      </c>
      <c r="C6721" s="27" t="s">
        <v>12326</v>
      </c>
      <c r="D6721" s="27" t="s">
        <v>230</v>
      </c>
      <c r="E6721" s="29">
        <v>37226</v>
      </c>
      <c r="F6721" s="27">
        <v>15</v>
      </c>
      <c r="G6721" s="18">
        <v>29912.71</v>
      </c>
      <c r="H6721" s="27">
        <f t="shared" si="208"/>
        <v>29912.71</v>
      </c>
      <c r="I6721" s="18">
        <v>28417.07</v>
      </c>
      <c r="J6721" s="27">
        <v>29912.71</v>
      </c>
      <c r="K6721" s="18">
        <f t="shared" si="209"/>
        <v>29912.71</v>
      </c>
      <c r="L6721" s="27">
        <v>28417.07</v>
      </c>
      <c r="M6721" s="36">
        <v>0</v>
      </c>
      <c r="T6721" s="41">
        <v>0</v>
      </c>
      <c r="U6721" s="41">
        <v>0</v>
      </c>
      <c r="V6721" s="42" t="s">
        <v>113</v>
      </c>
      <c r="W6721" s="42">
        <v>29912.71</v>
      </c>
      <c r="X6721" s="42">
        <v>29912.71</v>
      </c>
    </row>
    <row r="6722" spans="1:24">
      <c r="A6722" s="27" t="s">
        <v>12327</v>
      </c>
      <c r="B6722" s="28" t="s">
        <v>12240</v>
      </c>
      <c r="C6722" s="27" t="s">
        <v>12328</v>
      </c>
      <c r="D6722" s="27" t="s">
        <v>5104</v>
      </c>
      <c r="E6722" s="29">
        <v>37226</v>
      </c>
      <c r="F6722" s="27">
        <v>15</v>
      </c>
      <c r="G6722" s="18">
        <v>19782.75</v>
      </c>
      <c r="H6722" s="27">
        <f t="shared" si="208"/>
        <v>19782.75</v>
      </c>
      <c r="I6722" s="18">
        <v>18793.61</v>
      </c>
      <c r="J6722" s="27">
        <v>19782.75</v>
      </c>
      <c r="K6722" s="18">
        <f t="shared" si="209"/>
        <v>19782.75</v>
      </c>
      <c r="L6722" s="27">
        <v>18793.61</v>
      </c>
      <c r="M6722" s="36">
        <v>0</v>
      </c>
      <c r="T6722" s="41">
        <v>0</v>
      </c>
      <c r="U6722" s="41">
        <v>0</v>
      </c>
      <c r="V6722" s="42" t="s">
        <v>113</v>
      </c>
      <c r="W6722" s="42">
        <v>19782.75</v>
      </c>
      <c r="X6722" s="42">
        <v>19782.75</v>
      </c>
    </row>
    <row r="6723" spans="1:24">
      <c r="A6723" s="27" t="s">
        <v>12329</v>
      </c>
      <c r="B6723" s="28" t="s">
        <v>12240</v>
      </c>
      <c r="C6723" s="27" t="s">
        <v>12330</v>
      </c>
      <c r="D6723" s="27" t="s">
        <v>230</v>
      </c>
      <c r="E6723" s="29">
        <v>33086</v>
      </c>
      <c r="F6723" s="27">
        <v>15</v>
      </c>
      <c r="G6723" s="18">
        <v>10112.530000000001</v>
      </c>
      <c r="H6723" s="27">
        <f t="shared" si="208"/>
        <v>10112.530000000001</v>
      </c>
      <c r="I6723" s="18">
        <v>9606.9</v>
      </c>
      <c r="J6723" s="27">
        <v>10112.530000000001</v>
      </c>
      <c r="K6723" s="18">
        <f t="shared" si="209"/>
        <v>10112.530000000001</v>
      </c>
      <c r="L6723" s="27">
        <v>9606.9</v>
      </c>
      <c r="M6723" s="36">
        <v>0</v>
      </c>
      <c r="T6723" s="41">
        <v>0</v>
      </c>
      <c r="U6723" s="41">
        <v>0</v>
      </c>
      <c r="V6723" s="42" t="s">
        <v>113</v>
      </c>
      <c r="W6723" s="42">
        <v>10112.530000000001</v>
      </c>
      <c r="X6723" s="42">
        <v>10112.530000000001</v>
      </c>
    </row>
    <row r="6724" spans="1:24">
      <c r="A6724" s="27" t="s">
        <v>12331</v>
      </c>
      <c r="B6724" s="28" t="s">
        <v>12240</v>
      </c>
      <c r="C6724" s="27" t="s">
        <v>12332</v>
      </c>
      <c r="D6724" s="27" t="s">
        <v>5104</v>
      </c>
      <c r="E6724" s="29">
        <v>39417</v>
      </c>
      <c r="F6724" s="27">
        <v>15</v>
      </c>
      <c r="G6724" s="18">
        <v>13210</v>
      </c>
      <c r="H6724" s="27">
        <f t="shared" si="208"/>
        <v>0</v>
      </c>
      <c r="I6724" s="18">
        <v>11378.07</v>
      </c>
      <c r="J6724" s="27">
        <v>13210</v>
      </c>
      <c r="K6724" s="18">
        <f t="shared" si="209"/>
        <v>0</v>
      </c>
      <c r="L6724" s="27">
        <v>11670.93</v>
      </c>
      <c r="M6724" s="36">
        <v>292.86</v>
      </c>
      <c r="T6724" s="41">
        <v>0</v>
      </c>
      <c r="U6724" s="41">
        <v>0</v>
      </c>
      <c r="V6724" s="42" t="s">
        <v>113</v>
      </c>
      <c r="W6724" s="42">
        <v>0</v>
      </c>
      <c r="X6724" s="42">
        <v>0</v>
      </c>
    </row>
    <row r="6725" spans="1:24">
      <c r="A6725" s="27" t="s">
        <v>12333</v>
      </c>
      <c r="B6725" s="28" t="s">
        <v>12240</v>
      </c>
      <c r="C6725" s="27" t="s">
        <v>12332</v>
      </c>
      <c r="D6725" s="27" t="s">
        <v>5104</v>
      </c>
      <c r="E6725" s="29">
        <v>39417</v>
      </c>
      <c r="F6725" s="27">
        <v>15</v>
      </c>
      <c r="G6725" s="18">
        <v>13210</v>
      </c>
      <c r="H6725" s="27">
        <f t="shared" si="208"/>
        <v>0</v>
      </c>
      <c r="I6725" s="18">
        <v>11378.07</v>
      </c>
      <c r="J6725" s="27">
        <v>13210</v>
      </c>
      <c r="K6725" s="18">
        <f t="shared" si="209"/>
        <v>0</v>
      </c>
      <c r="L6725" s="27">
        <v>11670.93</v>
      </c>
      <c r="M6725" s="36">
        <v>292.86</v>
      </c>
      <c r="T6725" s="41">
        <v>0</v>
      </c>
      <c r="U6725" s="41">
        <v>0</v>
      </c>
      <c r="V6725" s="42" t="s">
        <v>113</v>
      </c>
      <c r="W6725" s="42">
        <v>0</v>
      </c>
      <c r="X6725" s="42">
        <v>0</v>
      </c>
    </row>
    <row r="6726" spans="1:24">
      <c r="A6726" s="27" t="s">
        <v>12334</v>
      </c>
      <c r="B6726" s="28" t="s">
        <v>12240</v>
      </c>
      <c r="C6726" s="27" t="s">
        <v>12332</v>
      </c>
      <c r="D6726" s="27" t="s">
        <v>5104</v>
      </c>
      <c r="E6726" s="29">
        <v>39417</v>
      </c>
      <c r="F6726" s="27">
        <v>15</v>
      </c>
      <c r="G6726" s="18">
        <v>13210</v>
      </c>
      <c r="H6726" s="27">
        <f t="shared" ref="H6726:H6789" si="210">IFERROR(IF(ROUND((G6726-I6726)/G6726,2)&lt;=0.05,G6726,0),0)</f>
        <v>0</v>
      </c>
      <c r="I6726" s="18">
        <v>11378.07</v>
      </c>
      <c r="J6726" s="27">
        <v>13210</v>
      </c>
      <c r="K6726" s="18">
        <f t="shared" ref="K6726:K6789" si="211">IFERROR(IF(ROUND((J6726-L6726)/J6726,2)&lt;=0.05,J6726,0),0)</f>
        <v>0</v>
      </c>
      <c r="L6726" s="27">
        <v>11670.93</v>
      </c>
      <c r="M6726" s="36">
        <v>292.86</v>
      </c>
      <c r="T6726" s="41">
        <v>0</v>
      </c>
      <c r="U6726" s="41">
        <v>0</v>
      </c>
      <c r="V6726" s="42" t="s">
        <v>113</v>
      </c>
      <c r="W6726" s="42">
        <v>0</v>
      </c>
      <c r="X6726" s="42">
        <v>0</v>
      </c>
    </row>
    <row r="6727" spans="1:24">
      <c r="A6727" s="27" t="s">
        <v>12335</v>
      </c>
      <c r="B6727" s="28" t="s">
        <v>12240</v>
      </c>
      <c r="C6727" s="27" t="s">
        <v>12252</v>
      </c>
      <c r="D6727" s="27" t="s">
        <v>230</v>
      </c>
      <c r="E6727" s="29">
        <v>35065</v>
      </c>
      <c r="F6727" s="27">
        <v>15</v>
      </c>
      <c r="G6727" s="18">
        <v>7108.82</v>
      </c>
      <c r="H6727" s="27">
        <f t="shared" si="210"/>
        <v>7108.82</v>
      </c>
      <c r="I6727" s="18">
        <v>6753.38</v>
      </c>
      <c r="J6727" s="27">
        <v>7108.82</v>
      </c>
      <c r="K6727" s="18">
        <f t="shared" si="211"/>
        <v>7108.82</v>
      </c>
      <c r="L6727" s="27">
        <v>6753.38</v>
      </c>
      <c r="M6727" s="36">
        <v>0</v>
      </c>
      <c r="T6727" s="41">
        <v>0</v>
      </c>
      <c r="U6727" s="41">
        <v>0</v>
      </c>
      <c r="V6727" s="42" t="s">
        <v>113</v>
      </c>
      <c r="W6727" s="42">
        <v>7108.82</v>
      </c>
      <c r="X6727" s="42">
        <v>7108.82</v>
      </c>
    </row>
    <row r="6728" spans="1:24">
      <c r="A6728" s="27" t="s">
        <v>12336</v>
      </c>
      <c r="B6728" s="28" t="s">
        <v>12240</v>
      </c>
      <c r="C6728" s="27" t="s">
        <v>12252</v>
      </c>
      <c r="D6728" s="27" t="s">
        <v>230</v>
      </c>
      <c r="E6728" s="29">
        <v>35065</v>
      </c>
      <c r="F6728" s="27">
        <v>15</v>
      </c>
      <c r="G6728" s="18">
        <v>8461.7800000000007</v>
      </c>
      <c r="H6728" s="27">
        <f t="shared" si="210"/>
        <v>8461.7800000000007</v>
      </c>
      <c r="I6728" s="18">
        <v>8038.69</v>
      </c>
      <c r="J6728" s="27">
        <v>8461.7800000000007</v>
      </c>
      <c r="K6728" s="18">
        <f t="shared" si="211"/>
        <v>8461.7800000000007</v>
      </c>
      <c r="L6728" s="27">
        <v>8038.69</v>
      </c>
      <c r="M6728" s="36">
        <v>0</v>
      </c>
      <c r="T6728" s="41">
        <v>0</v>
      </c>
      <c r="U6728" s="41">
        <v>0</v>
      </c>
      <c r="V6728" s="42" t="s">
        <v>113</v>
      </c>
      <c r="W6728" s="42">
        <v>8461.7800000000007</v>
      </c>
      <c r="X6728" s="42">
        <v>8461.7800000000007</v>
      </c>
    </row>
    <row r="6729" spans="1:24">
      <c r="A6729" s="27" t="s">
        <v>12337</v>
      </c>
      <c r="B6729" s="28" t="s">
        <v>12240</v>
      </c>
      <c r="C6729" s="27" t="s">
        <v>12338</v>
      </c>
      <c r="D6729" s="27" t="s">
        <v>230</v>
      </c>
      <c r="E6729" s="29">
        <v>35065</v>
      </c>
      <c r="F6729" s="27">
        <v>15</v>
      </c>
      <c r="G6729" s="18">
        <v>7051.49</v>
      </c>
      <c r="H6729" s="27">
        <f t="shared" si="210"/>
        <v>7051.49</v>
      </c>
      <c r="I6729" s="18">
        <v>6698.92</v>
      </c>
      <c r="J6729" s="27">
        <v>7051.49</v>
      </c>
      <c r="K6729" s="18">
        <f t="shared" si="211"/>
        <v>7051.49</v>
      </c>
      <c r="L6729" s="27">
        <v>6698.92</v>
      </c>
      <c r="M6729" s="36">
        <v>0</v>
      </c>
      <c r="T6729" s="41">
        <v>0</v>
      </c>
      <c r="U6729" s="41">
        <v>0</v>
      </c>
      <c r="V6729" s="42" t="s">
        <v>113</v>
      </c>
      <c r="W6729" s="42">
        <v>7051.49</v>
      </c>
      <c r="X6729" s="42">
        <v>7051.49</v>
      </c>
    </row>
    <row r="6730" spans="1:24">
      <c r="A6730" s="27" t="s">
        <v>12339</v>
      </c>
      <c r="B6730" s="28" t="s">
        <v>12240</v>
      </c>
      <c r="C6730" s="27" t="s">
        <v>12340</v>
      </c>
      <c r="D6730" s="27" t="s">
        <v>230</v>
      </c>
      <c r="E6730" s="29">
        <v>36526</v>
      </c>
      <c r="F6730" s="27">
        <v>15</v>
      </c>
      <c r="G6730" s="18">
        <v>7257.8</v>
      </c>
      <c r="H6730" s="27">
        <f t="shared" si="210"/>
        <v>7257.8</v>
      </c>
      <c r="I6730" s="18">
        <v>6894.91</v>
      </c>
      <c r="J6730" s="27">
        <v>7257.8</v>
      </c>
      <c r="K6730" s="18">
        <f t="shared" si="211"/>
        <v>7257.8</v>
      </c>
      <c r="L6730" s="27">
        <v>6894.91</v>
      </c>
      <c r="M6730" s="36">
        <v>0</v>
      </c>
      <c r="T6730" s="41">
        <v>0</v>
      </c>
      <c r="U6730" s="41">
        <v>0</v>
      </c>
      <c r="V6730" s="42" t="s">
        <v>113</v>
      </c>
      <c r="W6730" s="42">
        <v>7257.8</v>
      </c>
      <c r="X6730" s="42">
        <v>7257.8</v>
      </c>
    </row>
    <row r="6731" spans="1:24">
      <c r="A6731" s="27" t="s">
        <v>12341</v>
      </c>
      <c r="B6731" s="28" t="s">
        <v>12240</v>
      </c>
      <c r="C6731" s="27" t="s">
        <v>12342</v>
      </c>
      <c r="D6731" s="27" t="s">
        <v>230</v>
      </c>
      <c r="E6731" s="29">
        <v>37895</v>
      </c>
      <c r="F6731" s="27">
        <v>15</v>
      </c>
      <c r="G6731" s="18">
        <v>9117.35</v>
      </c>
      <c r="H6731" s="27">
        <f t="shared" si="210"/>
        <v>9117.35</v>
      </c>
      <c r="I6731" s="18">
        <v>8661.48</v>
      </c>
      <c r="J6731" s="27">
        <v>9117.35</v>
      </c>
      <c r="K6731" s="18">
        <f t="shared" si="211"/>
        <v>9117.35</v>
      </c>
      <c r="L6731" s="27">
        <v>8661.48</v>
      </c>
      <c r="M6731" s="36">
        <v>0</v>
      </c>
      <c r="T6731" s="41">
        <v>0</v>
      </c>
      <c r="U6731" s="41">
        <v>0</v>
      </c>
      <c r="V6731" s="42" t="s">
        <v>113</v>
      </c>
      <c r="W6731" s="42">
        <v>9117.35</v>
      </c>
      <c r="X6731" s="42">
        <v>9117.35</v>
      </c>
    </row>
    <row r="6732" spans="1:24">
      <c r="A6732" s="27" t="s">
        <v>12343</v>
      </c>
      <c r="B6732" s="28" t="s">
        <v>12240</v>
      </c>
      <c r="C6732" s="27" t="s">
        <v>12344</v>
      </c>
      <c r="D6732" s="27" t="s">
        <v>230</v>
      </c>
      <c r="E6732" s="29">
        <v>35065</v>
      </c>
      <c r="F6732" s="27">
        <v>15</v>
      </c>
      <c r="G6732" s="18">
        <v>10032.6</v>
      </c>
      <c r="H6732" s="27">
        <f t="shared" si="210"/>
        <v>10032.6</v>
      </c>
      <c r="I6732" s="18">
        <v>9530.9699999999993</v>
      </c>
      <c r="J6732" s="27">
        <v>10032.6</v>
      </c>
      <c r="K6732" s="18">
        <f t="shared" si="211"/>
        <v>10032.6</v>
      </c>
      <c r="L6732" s="27">
        <v>9530.9699999999993</v>
      </c>
      <c r="M6732" s="36">
        <v>0</v>
      </c>
      <c r="T6732" s="41">
        <v>0</v>
      </c>
      <c r="U6732" s="41">
        <v>0</v>
      </c>
      <c r="V6732" s="42" t="s">
        <v>113</v>
      </c>
      <c r="W6732" s="42">
        <v>10032.6</v>
      </c>
      <c r="X6732" s="42">
        <v>10032.6</v>
      </c>
    </row>
    <row r="6733" spans="1:24">
      <c r="A6733" s="27" t="s">
        <v>12345</v>
      </c>
      <c r="B6733" s="28" t="s">
        <v>12240</v>
      </c>
      <c r="C6733" s="27" t="s">
        <v>12346</v>
      </c>
      <c r="D6733" s="27" t="s">
        <v>230</v>
      </c>
      <c r="E6733" s="29">
        <v>35796</v>
      </c>
      <c r="F6733" s="27">
        <v>15</v>
      </c>
      <c r="G6733" s="18">
        <v>8445.5400000000009</v>
      </c>
      <c r="H6733" s="27">
        <f t="shared" si="210"/>
        <v>8445.5400000000009</v>
      </c>
      <c r="I6733" s="18">
        <v>8023.26</v>
      </c>
      <c r="J6733" s="27">
        <v>8445.5400000000009</v>
      </c>
      <c r="K6733" s="18">
        <f t="shared" si="211"/>
        <v>8445.5400000000009</v>
      </c>
      <c r="L6733" s="27">
        <v>8023.26</v>
      </c>
      <c r="M6733" s="36">
        <v>0</v>
      </c>
      <c r="T6733" s="41">
        <v>0</v>
      </c>
      <c r="U6733" s="41">
        <v>0</v>
      </c>
      <c r="V6733" s="42" t="s">
        <v>113</v>
      </c>
      <c r="W6733" s="42">
        <v>8445.5400000000009</v>
      </c>
      <c r="X6733" s="42">
        <v>8445.5400000000009</v>
      </c>
    </row>
    <row r="6734" spans="1:24">
      <c r="A6734" s="27" t="s">
        <v>12347</v>
      </c>
      <c r="B6734" s="28" t="s">
        <v>12240</v>
      </c>
      <c r="C6734" s="27" t="s">
        <v>12245</v>
      </c>
      <c r="D6734" s="27" t="s">
        <v>5104</v>
      </c>
      <c r="E6734" s="29">
        <v>37226</v>
      </c>
      <c r="F6734" s="27">
        <v>15</v>
      </c>
      <c r="G6734" s="18">
        <v>20462.080000000002</v>
      </c>
      <c r="H6734" s="27">
        <f t="shared" si="210"/>
        <v>20462.080000000002</v>
      </c>
      <c r="I6734" s="18">
        <v>19438.98</v>
      </c>
      <c r="J6734" s="27">
        <v>20462.080000000002</v>
      </c>
      <c r="K6734" s="18">
        <f t="shared" si="211"/>
        <v>20462.080000000002</v>
      </c>
      <c r="L6734" s="27">
        <v>19438.98</v>
      </c>
      <c r="M6734" s="36">
        <v>0</v>
      </c>
      <c r="T6734" s="41">
        <v>0</v>
      </c>
      <c r="U6734" s="41">
        <v>0</v>
      </c>
      <c r="V6734" s="42" t="s">
        <v>113</v>
      </c>
      <c r="W6734" s="42">
        <v>20462.080000000002</v>
      </c>
      <c r="X6734" s="42">
        <v>20462.080000000002</v>
      </c>
    </row>
    <row r="6735" spans="1:24">
      <c r="A6735" s="27" t="s">
        <v>12348</v>
      </c>
      <c r="B6735" s="28" t="s">
        <v>12240</v>
      </c>
      <c r="C6735" s="27" t="s">
        <v>12245</v>
      </c>
      <c r="D6735" s="27" t="s">
        <v>5104</v>
      </c>
      <c r="E6735" s="29">
        <v>37226</v>
      </c>
      <c r="F6735" s="27">
        <v>15</v>
      </c>
      <c r="G6735" s="18">
        <v>15255.21</v>
      </c>
      <c r="H6735" s="27">
        <f t="shared" si="210"/>
        <v>15255.21</v>
      </c>
      <c r="I6735" s="18">
        <v>14492.45</v>
      </c>
      <c r="J6735" s="27">
        <v>15255.21</v>
      </c>
      <c r="K6735" s="18">
        <f t="shared" si="211"/>
        <v>15255.21</v>
      </c>
      <c r="L6735" s="27">
        <v>14492.45</v>
      </c>
      <c r="M6735" s="36">
        <v>0</v>
      </c>
      <c r="T6735" s="41">
        <v>0</v>
      </c>
      <c r="U6735" s="41">
        <v>0</v>
      </c>
      <c r="V6735" s="42" t="s">
        <v>113</v>
      </c>
      <c r="W6735" s="42">
        <v>15255.21</v>
      </c>
      <c r="X6735" s="42">
        <v>15255.21</v>
      </c>
    </row>
    <row r="6736" spans="1:24">
      <c r="A6736" s="27" t="s">
        <v>12349</v>
      </c>
      <c r="B6736" s="28" t="s">
        <v>12240</v>
      </c>
      <c r="C6736" s="27" t="s">
        <v>12245</v>
      </c>
      <c r="D6736" s="27" t="s">
        <v>5104</v>
      </c>
      <c r="E6736" s="29">
        <v>37226</v>
      </c>
      <c r="F6736" s="27">
        <v>15</v>
      </c>
      <c r="G6736" s="18">
        <v>30829.08</v>
      </c>
      <c r="H6736" s="27">
        <f t="shared" si="210"/>
        <v>30829.08</v>
      </c>
      <c r="I6736" s="18">
        <v>29287.63</v>
      </c>
      <c r="J6736" s="27">
        <v>30829.08</v>
      </c>
      <c r="K6736" s="18">
        <f t="shared" si="211"/>
        <v>30829.08</v>
      </c>
      <c r="L6736" s="27">
        <v>29287.63</v>
      </c>
      <c r="M6736" s="36">
        <v>0</v>
      </c>
      <c r="T6736" s="41">
        <v>0</v>
      </c>
      <c r="U6736" s="41">
        <v>0</v>
      </c>
      <c r="V6736" s="42" t="s">
        <v>113</v>
      </c>
      <c r="W6736" s="42">
        <v>30829.08</v>
      </c>
      <c r="X6736" s="42">
        <v>30829.08</v>
      </c>
    </row>
    <row r="6737" spans="1:24">
      <c r="A6737" s="27" t="s">
        <v>12350</v>
      </c>
      <c r="B6737" s="28" t="s">
        <v>12240</v>
      </c>
      <c r="C6737" s="27" t="s">
        <v>12245</v>
      </c>
      <c r="D6737" s="27" t="s">
        <v>5104</v>
      </c>
      <c r="E6737" s="29">
        <v>36495</v>
      </c>
      <c r="F6737" s="27">
        <v>15</v>
      </c>
      <c r="G6737" s="18">
        <v>21792.51</v>
      </c>
      <c r="H6737" s="27">
        <f t="shared" si="210"/>
        <v>21792.51</v>
      </c>
      <c r="I6737" s="18">
        <v>20702.88</v>
      </c>
      <c r="J6737" s="27">
        <v>21792.51</v>
      </c>
      <c r="K6737" s="18">
        <f t="shared" si="211"/>
        <v>21792.51</v>
      </c>
      <c r="L6737" s="27">
        <v>20702.88</v>
      </c>
      <c r="M6737" s="36">
        <v>0</v>
      </c>
      <c r="T6737" s="41">
        <v>0</v>
      </c>
      <c r="U6737" s="41">
        <v>0</v>
      </c>
      <c r="V6737" s="42" t="s">
        <v>113</v>
      </c>
      <c r="W6737" s="42">
        <v>21792.51</v>
      </c>
      <c r="X6737" s="42">
        <v>21792.51</v>
      </c>
    </row>
    <row r="6738" spans="1:24">
      <c r="A6738" s="27" t="s">
        <v>12351</v>
      </c>
      <c r="B6738" s="28" t="s">
        <v>12240</v>
      </c>
      <c r="C6738" s="27" t="s">
        <v>12245</v>
      </c>
      <c r="D6738" s="27" t="s">
        <v>5104</v>
      </c>
      <c r="E6738" s="29">
        <v>36495</v>
      </c>
      <c r="F6738" s="27">
        <v>15</v>
      </c>
      <c r="G6738" s="18">
        <v>21792.51</v>
      </c>
      <c r="H6738" s="27">
        <f t="shared" si="210"/>
        <v>21792.51</v>
      </c>
      <c r="I6738" s="18">
        <v>20702.88</v>
      </c>
      <c r="J6738" s="27">
        <v>21792.51</v>
      </c>
      <c r="K6738" s="18">
        <f t="shared" si="211"/>
        <v>21792.51</v>
      </c>
      <c r="L6738" s="27">
        <v>20702.88</v>
      </c>
      <c r="M6738" s="36">
        <v>0</v>
      </c>
      <c r="T6738" s="41">
        <v>0</v>
      </c>
      <c r="U6738" s="41">
        <v>0</v>
      </c>
      <c r="V6738" s="42" t="s">
        <v>113</v>
      </c>
      <c r="W6738" s="42">
        <v>21792.51</v>
      </c>
      <c r="X6738" s="42">
        <v>21792.51</v>
      </c>
    </row>
    <row r="6739" spans="1:24">
      <c r="A6739" s="27" t="s">
        <v>12352</v>
      </c>
      <c r="B6739" s="28" t="s">
        <v>12240</v>
      </c>
      <c r="C6739" s="27" t="s">
        <v>12353</v>
      </c>
      <c r="D6739" s="27" t="s">
        <v>230</v>
      </c>
      <c r="E6739" s="29">
        <v>39417</v>
      </c>
      <c r="F6739" s="27">
        <v>15</v>
      </c>
      <c r="G6739" s="18">
        <v>34149.15</v>
      </c>
      <c r="H6739" s="27">
        <f t="shared" si="210"/>
        <v>0</v>
      </c>
      <c r="I6739" s="18">
        <v>29125.78</v>
      </c>
      <c r="J6739" s="27">
        <v>34149.15</v>
      </c>
      <c r="K6739" s="18">
        <f t="shared" si="211"/>
        <v>0</v>
      </c>
      <c r="L6739" s="27">
        <v>29954.76</v>
      </c>
      <c r="M6739" s="36">
        <v>828.98</v>
      </c>
      <c r="T6739" s="41">
        <v>0</v>
      </c>
      <c r="U6739" s="41">
        <v>0</v>
      </c>
      <c r="V6739" s="42" t="s">
        <v>113</v>
      </c>
      <c r="W6739" s="42">
        <v>0</v>
      </c>
      <c r="X6739" s="42">
        <v>0</v>
      </c>
    </row>
    <row r="6740" spans="1:24">
      <c r="A6740" s="27" t="s">
        <v>12354</v>
      </c>
      <c r="B6740" s="28" t="s">
        <v>12240</v>
      </c>
      <c r="C6740" s="27" t="s">
        <v>12245</v>
      </c>
      <c r="D6740" s="27" t="s">
        <v>5104</v>
      </c>
      <c r="E6740" s="29">
        <v>38078</v>
      </c>
      <c r="F6740" s="27">
        <v>15</v>
      </c>
      <c r="G6740" s="18">
        <v>15303.78</v>
      </c>
      <c r="H6740" s="27">
        <f t="shared" si="210"/>
        <v>15303.78</v>
      </c>
      <c r="I6740" s="18">
        <v>14538.59</v>
      </c>
      <c r="J6740" s="27">
        <v>15303.78</v>
      </c>
      <c r="K6740" s="18">
        <f t="shared" si="211"/>
        <v>15303.78</v>
      </c>
      <c r="L6740" s="27">
        <v>14538.59</v>
      </c>
      <c r="M6740" s="36">
        <v>0</v>
      </c>
      <c r="T6740" s="41">
        <v>0</v>
      </c>
      <c r="U6740" s="41">
        <v>0</v>
      </c>
      <c r="V6740" s="42" t="s">
        <v>113</v>
      </c>
      <c r="W6740" s="42">
        <v>15303.78</v>
      </c>
      <c r="X6740" s="42">
        <v>15303.78</v>
      </c>
    </row>
    <row r="6741" spans="1:24">
      <c r="A6741" s="27" t="s">
        <v>12355</v>
      </c>
      <c r="B6741" s="28" t="s">
        <v>12240</v>
      </c>
      <c r="C6741" s="27" t="s">
        <v>12245</v>
      </c>
      <c r="D6741" s="27" t="s">
        <v>5104</v>
      </c>
      <c r="E6741" s="29">
        <v>39417</v>
      </c>
      <c r="F6741" s="27">
        <v>15</v>
      </c>
      <c r="G6741" s="18">
        <v>31374.91</v>
      </c>
      <c r="H6741" s="27">
        <f t="shared" si="210"/>
        <v>0</v>
      </c>
      <c r="I6741" s="18">
        <v>26824.63</v>
      </c>
      <c r="J6741" s="27">
        <v>31374.91</v>
      </c>
      <c r="K6741" s="18">
        <f t="shared" si="211"/>
        <v>0</v>
      </c>
      <c r="L6741" s="27">
        <v>27570.01</v>
      </c>
      <c r="M6741" s="36">
        <v>745.38</v>
      </c>
      <c r="T6741" s="41">
        <v>0</v>
      </c>
      <c r="U6741" s="41">
        <v>0</v>
      </c>
      <c r="V6741" s="42" t="s">
        <v>113</v>
      </c>
      <c r="W6741" s="42">
        <v>0</v>
      </c>
      <c r="X6741" s="42">
        <v>0</v>
      </c>
    </row>
    <row r="6742" spans="1:24">
      <c r="A6742" s="27" t="s">
        <v>12356</v>
      </c>
      <c r="B6742" s="28" t="s">
        <v>12240</v>
      </c>
      <c r="C6742" s="27" t="s">
        <v>12245</v>
      </c>
      <c r="D6742" s="27" t="s">
        <v>5104</v>
      </c>
      <c r="E6742" s="29">
        <v>39417</v>
      </c>
      <c r="F6742" s="27">
        <v>15</v>
      </c>
      <c r="G6742" s="18">
        <v>38933.97</v>
      </c>
      <c r="H6742" s="27">
        <f t="shared" si="210"/>
        <v>0</v>
      </c>
      <c r="I6742" s="18">
        <v>32724.93</v>
      </c>
      <c r="J6742" s="27">
        <v>38933.97</v>
      </c>
      <c r="K6742" s="18">
        <f t="shared" si="211"/>
        <v>0</v>
      </c>
      <c r="L6742" s="27">
        <v>33790.519999999997</v>
      </c>
      <c r="M6742" s="36">
        <v>1065.5899999999999</v>
      </c>
      <c r="T6742" s="41">
        <v>0</v>
      </c>
      <c r="U6742" s="41">
        <v>0</v>
      </c>
      <c r="V6742" s="42" t="s">
        <v>113</v>
      </c>
      <c r="W6742" s="42">
        <v>0</v>
      </c>
      <c r="X6742" s="42">
        <v>0</v>
      </c>
    </row>
    <row r="6743" spans="1:24">
      <c r="A6743" s="27" t="s">
        <v>12357</v>
      </c>
      <c r="B6743" s="28" t="s">
        <v>12240</v>
      </c>
      <c r="C6743" s="27" t="s">
        <v>12245</v>
      </c>
      <c r="D6743" s="27" t="s">
        <v>5104</v>
      </c>
      <c r="E6743" s="29">
        <v>39417</v>
      </c>
      <c r="F6743" s="27">
        <v>15</v>
      </c>
      <c r="G6743" s="18">
        <v>38933.97</v>
      </c>
      <c r="H6743" s="27">
        <f t="shared" si="210"/>
        <v>0</v>
      </c>
      <c r="I6743" s="18">
        <v>32724.93</v>
      </c>
      <c r="J6743" s="27">
        <v>38933.97</v>
      </c>
      <c r="K6743" s="18">
        <f t="shared" si="211"/>
        <v>0</v>
      </c>
      <c r="L6743" s="27">
        <v>33790.519999999997</v>
      </c>
      <c r="M6743" s="36">
        <v>1065.5899999999999</v>
      </c>
      <c r="T6743" s="41">
        <v>0</v>
      </c>
      <c r="U6743" s="41">
        <v>0</v>
      </c>
      <c r="V6743" s="42" t="s">
        <v>113</v>
      </c>
      <c r="W6743" s="42">
        <v>0</v>
      </c>
      <c r="X6743" s="42">
        <v>0</v>
      </c>
    </row>
    <row r="6744" spans="1:24">
      <c r="A6744" s="27" t="s">
        <v>12358</v>
      </c>
      <c r="B6744" s="28" t="s">
        <v>12240</v>
      </c>
      <c r="C6744" s="27" t="s">
        <v>12245</v>
      </c>
      <c r="D6744" s="27" t="s">
        <v>5104</v>
      </c>
      <c r="E6744" s="29">
        <v>38078</v>
      </c>
      <c r="F6744" s="27">
        <v>15</v>
      </c>
      <c r="G6744" s="18">
        <v>15303.78</v>
      </c>
      <c r="H6744" s="27">
        <f t="shared" si="210"/>
        <v>15303.78</v>
      </c>
      <c r="I6744" s="18">
        <v>14538.59</v>
      </c>
      <c r="J6744" s="27">
        <v>15303.78</v>
      </c>
      <c r="K6744" s="18">
        <f t="shared" si="211"/>
        <v>15303.78</v>
      </c>
      <c r="L6744" s="27">
        <v>14538.59</v>
      </c>
      <c r="M6744" s="36">
        <v>0</v>
      </c>
      <c r="T6744" s="41">
        <v>0</v>
      </c>
      <c r="U6744" s="41">
        <v>0</v>
      </c>
      <c r="V6744" s="42" t="s">
        <v>113</v>
      </c>
      <c r="W6744" s="42">
        <v>15303.78</v>
      </c>
      <c r="X6744" s="42">
        <v>15303.78</v>
      </c>
    </row>
    <row r="6745" spans="1:24">
      <c r="A6745" s="27" t="s">
        <v>12359</v>
      </c>
      <c r="B6745" s="28" t="s">
        <v>12240</v>
      </c>
      <c r="C6745" s="27" t="s">
        <v>12360</v>
      </c>
      <c r="D6745" s="27" t="s">
        <v>230</v>
      </c>
      <c r="E6745" s="29">
        <v>38078</v>
      </c>
      <c r="F6745" s="27">
        <v>15</v>
      </c>
      <c r="G6745" s="18">
        <v>17248.8</v>
      </c>
      <c r="H6745" s="27">
        <f t="shared" si="210"/>
        <v>17248.8</v>
      </c>
      <c r="I6745" s="18">
        <v>16386.36</v>
      </c>
      <c r="J6745" s="27">
        <v>17248.8</v>
      </c>
      <c r="K6745" s="18">
        <f t="shared" si="211"/>
        <v>17248.8</v>
      </c>
      <c r="L6745" s="27">
        <v>16386.36</v>
      </c>
      <c r="M6745" s="36">
        <v>0</v>
      </c>
      <c r="T6745" s="41">
        <v>0</v>
      </c>
      <c r="U6745" s="41">
        <v>0</v>
      </c>
      <c r="V6745" s="42" t="s">
        <v>113</v>
      </c>
      <c r="W6745" s="42">
        <v>17248.8</v>
      </c>
      <c r="X6745" s="42">
        <v>17248.8</v>
      </c>
    </row>
    <row r="6746" spans="1:24">
      <c r="A6746" s="27" t="s">
        <v>12361</v>
      </c>
      <c r="B6746" s="28" t="s">
        <v>12240</v>
      </c>
      <c r="C6746" s="27" t="s">
        <v>12245</v>
      </c>
      <c r="D6746" s="27" t="s">
        <v>5104</v>
      </c>
      <c r="E6746" s="29">
        <v>38078</v>
      </c>
      <c r="F6746" s="27">
        <v>15</v>
      </c>
      <c r="G6746" s="18">
        <v>15303.75</v>
      </c>
      <c r="H6746" s="27">
        <f t="shared" si="210"/>
        <v>15303.75</v>
      </c>
      <c r="I6746" s="18">
        <v>14538.56</v>
      </c>
      <c r="J6746" s="27">
        <v>15303.75</v>
      </c>
      <c r="K6746" s="18">
        <f t="shared" si="211"/>
        <v>15303.75</v>
      </c>
      <c r="L6746" s="27">
        <v>14538.56</v>
      </c>
      <c r="M6746" s="36">
        <v>0</v>
      </c>
      <c r="T6746" s="41">
        <v>0</v>
      </c>
      <c r="U6746" s="41">
        <v>0</v>
      </c>
      <c r="V6746" s="42" t="s">
        <v>113</v>
      </c>
      <c r="W6746" s="42">
        <v>15303.75</v>
      </c>
      <c r="X6746" s="42">
        <v>15303.75</v>
      </c>
    </row>
    <row r="6747" spans="1:24">
      <c r="A6747" s="27" t="s">
        <v>12362</v>
      </c>
      <c r="B6747" s="28" t="s">
        <v>12240</v>
      </c>
      <c r="C6747" s="27" t="s">
        <v>12243</v>
      </c>
      <c r="D6747" s="27" t="s">
        <v>230</v>
      </c>
      <c r="E6747" s="29">
        <v>38078</v>
      </c>
      <c r="F6747" s="27">
        <v>15</v>
      </c>
      <c r="G6747" s="18">
        <v>23121.14</v>
      </c>
      <c r="H6747" s="27">
        <f t="shared" si="210"/>
        <v>23121.14</v>
      </c>
      <c r="I6747" s="18">
        <v>21965.08</v>
      </c>
      <c r="J6747" s="27">
        <v>23121.14</v>
      </c>
      <c r="K6747" s="18">
        <f t="shared" si="211"/>
        <v>23121.14</v>
      </c>
      <c r="L6747" s="27">
        <v>21965.08</v>
      </c>
      <c r="M6747" s="36">
        <v>0</v>
      </c>
      <c r="T6747" s="41">
        <v>0</v>
      </c>
      <c r="U6747" s="41">
        <v>0</v>
      </c>
      <c r="V6747" s="42" t="s">
        <v>113</v>
      </c>
      <c r="W6747" s="42">
        <v>23121.14</v>
      </c>
      <c r="X6747" s="42">
        <v>23121.14</v>
      </c>
    </row>
    <row r="6748" spans="1:24">
      <c r="A6748" s="27" t="s">
        <v>12363</v>
      </c>
      <c r="B6748" s="28" t="s">
        <v>12240</v>
      </c>
      <c r="C6748" s="27" t="s">
        <v>12364</v>
      </c>
      <c r="D6748" s="27" t="s">
        <v>230</v>
      </c>
      <c r="E6748" s="29">
        <v>38078</v>
      </c>
      <c r="F6748" s="27">
        <v>15</v>
      </c>
      <c r="G6748" s="18">
        <v>5063.12</v>
      </c>
      <c r="H6748" s="27">
        <f t="shared" si="210"/>
        <v>5063.12</v>
      </c>
      <c r="I6748" s="18">
        <v>4809.96</v>
      </c>
      <c r="J6748" s="27">
        <v>5063.12</v>
      </c>
      <c r="K6748" s="18">
        <f t="shared" si="211"/>
        <v>5063.12</v>
      </c>
      <c r="L6748" s="27">
        <v>4809.96</v>
      </c>
      <c r="M6748" s="36">
        <v>0</v>
      </c>
      <c r="T6748" s="41">
        <v>0</v>
      </c>
      <c r="U6748" s="41">
        <v>0</v>
      </c>
      <c r="V6748" s="42" t="s">
        <v>113</v>
      </c>
      <c r="W6748" s="42">
        <v>5063.12</v>
      </c>
      <c r="X6748" s="42">
        <v>5063.12</v>
      </c>
    </row>
    <row r="6749" spans="1:24">
      <c r="A6749" s="27" t="s">
        <v>12365</v>
      </c>
      <c r="B6749" s="28" t="s">
        <v>12240</v>
      </c>
      <c r="C6749" s="27" t="s">
        <v>12364</v>
      </c>
      <c r="D6749" s="27" t="s">
        <v>230</v>
      </c>
      <c r="E6749" s="29">
        <v>38078</v>
      </c>
      <c r="F6749" s="27">
        <v>15</v>
      </c>
      <c r="G6749" s="18">
        <v>5456.16</v>
      </c>
      <c r="H6749" s="27">
        <f t="shared" si="210"/>
        <v>5456.16</v>
      </c>
      <c r="I6749" s="18">
        <v>5183.3500000000004</v>
      </c>
      <c r="J6749" s="27">
        <v>5456.16</v>
      </c>
      <c r="K6749" s="18">
        <f t="shared" si="211"/>
        <v>5456.16</v>
      </c>
      <c r="L6749" s="27">
        <v>5183.3500000000004</v>
      </c>
      <c r="M6749" s="36">
        <v>0</v>
      </c>
      <c r="T6749" s="41">
        <v>0</v>
      </c>
      <c r="U6749" s="41">
        <v>0</v>
      </c>
      <c r="V6749" s="42" t="s">
        <v>113</v>
      </c>
      <c r="W6749" s="42">
        <v>5456.16</v>
      </c>
      <c r="X6749" s="42">
        <v>5456.16</v>
      </c>
    </row>
    <row r="6750" spans="1:24">
      <c r="A6750" s="27" t="s">
        <v>12366</v>
      </c>
      <c r="B6750" s="28" t="s">
        <v>12240</v>
      </c>
      <c r="C6750" s="27" t="s">
        <v>12364</v>
      </c>
      <c r="D6750" s="27" t="s">
        <v>230</v>
      </c>
      <c r="E6750" s="29">
        <v>38078</v>
      </c>
      <c r="F6750" s="27">
        <v>15</v>
      </c>
      <c r="G6750" s="18">
        <v>5456.15</v>
      </c>
      <c r="H6750" s="27">
        <f t="shared" si="210"/>
        <v>5456.15</v>
      </c>
      <c r="I6750" s="18">
        <v>5183.34</v>
      </c>
      <c r="J6750" s="27">
        <v>5456.15</v>
      </c>
      <c r="K6750" s="18">
        <f t="shared" si="211"/>
        <v>5456.15</v>
      </c>
      <c r="L6750" s="27">
        <v>5183.34</v>
      </c>
      <c r="M6750" s="36">
        <v>0</v>
      </c>
      <c r="T6750" s="41">
        <v>0</v>
      </c>
      <c r="U6750" s="41">
        <v>0</v>
      </c>
      <c r="V6750" s="42" t="s">
        <v>113</v>
      </c>
      <c r="W6750" s="42">
        <v>5456.15</v>
      </c>
      <c r="X6750" s="42">
        <v>5456.15</v>
      </c>
    </row>
    <row r="6751" spans="1:24">
      <c r="A6751" s="27" t="s">
        <v>12367</v>
      </c>
      <c r="B6751" s="28" t="s">
        <v>12240</v>
      </c>
      <c r="C6751" s="27" t="s">
        <v>12245</v>
      </c>
      <c r="D6751" s="27" t="s">
        <v>230</v>
      </c>
      <c r="E6751" s="29">
        <v>38078</v>
      </c>
      <c r="F6751" s="27">
        <v>15</v>
      </c>
      <c r="G6751" s="18">
        <v>13118.07</v>
      </c>
      <c r="H6751" s="27">
        <f t="shared" si="210"/>
        <v>13118.07</v>
      </c>
      <c r="I6751" s="18">
        <v>12462.17</v>
      </c>
      <c r="J6751" s="27">
        <v>13118.07</v>
      </c>
      <c r="K6751" s="18">
        <f t="shared" si="211"/>
        <v>13118.07</v>
      </c>
      <c r="L6751" s="27">
        <v>12462.17</v>
      </c>
      <c r="M6751" s="36">
        <v>0</v>
      </c>
      <c r="T6751" s="41">
        <v>0</v>
      </c>
      <c r="U6751" s="41">
        <v>0</v>
      </c>
      <c r="V6751" s="42" t="s">
        <v>113</v>
      </c>
      <c r="W6751" s="42">
        <v>13118.07</v>
      </c>
      <c r="X6751" s="42">
        <v>13118.07</v>
      </c>
    </row>
    <row r="6752" spans="1:24">
      <c r="A6752" s="27" t="s">
        <v>12368</v>
      </c>
      <c r="B6752" s="28" t="s">
        <v>12240</v>
      </c>
      <c r="C6752" s="27" t="s">
        <v>12245</v>
      </c>
      <c r="D6752" s="27" t="s">
        <v>5104</v>
      </c>
      <c r="E6752" s="29">
        <v>38078</v>
      </c>
      <c r="F6752" s="27">
        <v>15</v>
      </c>
      <c r="G6752" s="18">
        <v>11433.31</v>
      </c>
      <c r="H6752" s="27">
        <f t="shared" si="210"/>
        <v>11433.31</v>
      </c>
      <c r="I6752" s="18">
        <v>10861.64</v>
      </c>
      <c r="J6752" s="27">
        <v>11433.31</v>
      </c>
      <c r="K6752" s="18">
        <f t="shared" si="211"/>
        <v>11433.31</v>
      </c>
      <c r="L6752" s="27">
        <v>10861.64</v>
      </c>
      <c r="M6752" s="36">
        <v>0</v>
      </c>
      <c r="T6752" s="41">
        <v>0</v>
      </c>
      <c r="U6752" s="41">
        <v>0</v>
      </c>
      <c r="V6752" s="42" t="s">
        <v>113</v>
      </c>
      <c r="W6752" s="42">
        <v>11433.31</v>
      </c>
      <c r="X6752" s="42">
        <v>11433.31</v>
      </c>
    </row>
    <row r="6753" spans="1:24">
      <c r="A6753" s="27" t="s">
        <v>12369</v>
      </c>
      <c r="B6753" s="28" t="s">
        <v>12240</v>
      </c>
      <c r="C6753" s="27" t="s">
        <v>12245</v>
      </c>
      <c r="D6753" s="27" t="s">
        <v>230</v>
      </c>
      <c r="E6753" s="29">
        <v>38078</v>
      </c>
      <c r="F6753" s="27">
        <v>15</v>
      </c>
      <c r="G6753" s="18">
        <v>13118.07</v>
      </c>
      <c r="H6753" s="27">
        <f t="shared" si="210"/>
        <v>13118.07</v>
      </c>
      <c r="I6753" s="18">
        <v>12462.17</v>
      </c>
      <c r="J6753" s="27">
        <v>13118.07</v>
      </c>
      <c r="K6753" s="18">
        <f t="shared" si="211"/>
        <v>13118.07</v>
      </c>
      <c r="L6753" s="27">
        <v>12462.17</v>
      </c>
      <c r="M6753" s="36">
        <v>0</v>
      </c>
      <c r="T6753" s="41">
        <v>0</v>
      </c>
      <c r="U6753" s="41">
        <v>0</v>
      </c>
      <c r="V6753" s="42" t="s">
        <v>113</v>
      </c>
      <c r="W6753" s="42">
        <v>13118.07</v>
      </c>
      <c r="X6753" s="42">
        <v>13118.07</v>
      </c>
    </row>
    <row r="6754" spans="1:24">
      <c r="A6754" s="27" t="s">
        <v>12370</v>
      </c>
      <c r="B6754" s="28" t="s">
        <v>12240</v>
      </c>
      <c r="C6754" s="27" t="s">
        <v>12371</v>
      </c>
      <c r="D6754" s="27" t="s">
        <v>230</v>
      </c>
      <c r="E6754" s="29">
        <v>39417</v>
      </c>
      <c r="F6754" s="27">
        <v>15</v>
      </c>
      <c r="G6754" s="18">
        <v>9770</v>
      </c>
      <c r="H6754" s="27">
        <f t="shared" si="210"/>
        <v>0</v>
      </c>
      <c r="I6754" s="18">
        <v>8352.8799999999992</v>
      </c>
      <c r="J6754" s="27">
        <v>9770</v>
      </c>
      <c r="K6754" s="18">
        <f t="shared" si="211"/>
        <v>0</v>
      </c>
      <c r="L6754" s="27">
        <v>8585.0400000000009</v>
      </c>
      <c r="M6754" s="36">
        <v>232.16</v>
      </c>
      <c r="T6754" s="41">
        <v>0</v>
      </c>
      <c r="U6754" s="41">
        <v>0</v>
      </c>
      <c r="V6754" s="42" t="s">
        <v>113</v>
      </c>
      <c r="W6754" s="42">
        <v>0</v>
      </c>
      <c r="X6754" s="42">
        <v>0</v>
      </c>
    </row>
    <row r="6755" spans="1:24">
      <c r="A6755" s="27" t="s">
        <v>12372</v>
      </c>
      <c r="B6755" s="28" t="s">
        <v>12240</v>
      </c>
      <c r="C6755" s="27" t="s">
        <v>12245</v>
      </c>
      <c r="D6755" s="27" t="s">
        <v>5104</v>
      </c>
      <c r="E6755" s="29">
        <v>39417</v>
      </c>
      <c r="F6755" s="27">
        <v>15</v>
      </c>
      <c r="G6755" s="18">
        <v>23760</v>
      </c>
      <c r="H6755" s="27">
        <f t="shared" si="210"/>
        <v>0</v>
      </c>
      <c r="I6755" s="18">
        <v>20616.38</v>
      </c>
      <c r="J6755" s="27">
        <v>23760</v>
      </c>
      <c r="K6755" s="18">
        <f t="shared" si="211"/>
        <v>0</v>
      </c>
      <c r="L6755" s="27">
        <v>21105.29</v>
      </c>
      <c r="M6755" s="36">
        <v>488.91</v>
      </c>
      <c r="T6755" s="41">
        <v>0</v>
      </c>
      <c r="U6755" s="41">
        <v>0</v>
      </c>
      <c r="V6755" s="42" t="s">
        <v>113</v>
      </c>
      <c r="W6755" s="42">
        <v>0</v>
      </c>
      <c r="X6755" s="42">
        <v>0</v>
      </c>
    </row>
    <row r="6756" spans="1:24">
      <c r="A6756" s="27" t="s">
        <v>12373</v>
      </c>
      <c r="B6756" s="28" t="s">
        <v>12240</v>
      </c>
      <c r="C6756" s="27" t="s">
        <v>12245</v>
      </c>
      <c r="D6756" s="27" t="s">
        <v>5104</v>
      </c>
      <c r="E6756" s="29">
        <v>39417</v>
      </c>
      <c r="F6756" s="27">
        <v>15</v>
      </c>
      <c r="G6756" s="18">
        <v>17100</v>
      </c>
      <c r="H6756" s="27">
        <f t="shared" si="210"/>
        <v>0</v>
      </c>
      <c r="I6756" s="18">
        <v>14793.98</v>
      </c>
      <c r="J6756" s="27">
        <v>17100</v>
      </c>
      <c r="K6756" s="18">
        <f t="shared" si="211"/>
        <v>0</v>
      </c>
      <c r="L6756" s="27">
        <v>15156.74</v>
      </c>
      <c r="M6756" s="36">
        <v>362.76</v>
      </c>
      <c r="T6756" s="41">
        <v>0</v>
      </c>
      <c r="U6756" s="41">
        <v>0</v>
      </c>
      <c r="V6756" s="42" t="s">
        <v>113</v>
      </c>
      <c r="W6756" s="42">
        <v>0</v>
      </c>
      <c r="X6756" s="42">
        <v>0</v>
      </c>
    </row>
    <row r="6757" spans="1:24">
      <c r="A6757" s="27" t="s">
        <v>12374</v>
      </c>
      <c r="B6757" s="28" t="s">
        <v>12240</v>
      </c>
      <c r="C6757" s="27" t="s">
        <v>12311</v>
      </c>
      <c r="D6757" s="27" t="s">
        <v>5104</v>
      </c>
      <c r="E6757" s="29">
        <v>39417</v>
      </c>
      <c r="F6757" s="27">
        <v>15</v>
      </c>
      <c r="G6757" s="18">
        <v>13210</v>
      </c>
      <c r="H6757" s="27">
        <f t="shared" si="210"/>
        <v>0</v>
      </c>
      <c r="I6757" s="18">
        <v>11378.07</v>
      </c>
      <c r="J6757" s="27">
        <v>13210</v>
      </c>
      <c r="K6757" s="18">
        <f t="shared" si="211"/>
        <v>0</v>
      </c>
      <c r="L6757" s="27">
        <v>11670.93</v>
      </c>
      <c r="M6757" s="36">
        <v>292.86</v>
      </c>
      <c r="T6757" s="41">
        <v>0</v>
      </c>
      <c r="U6757" s="41">
        <v>0</v>
      </c>
      <c r="V6757" s="42" t="s">
        <v>113</v>
      </c>
      <c r="W6757" s="42">
        <v>0</v>
      </c>
      <c r="X6757" s="42">
        <v>0</v>
      </c>
    </row>
    <row r="6758" spans="1:24">
      <c r="A6758" s="27" t="s">
        <v>12375</v>
      </c>
      <c r="B6758" s="28" t="s">
        <v>12240</v>
      </c>
      <c r="C6758" s="27" t="s">
        <v>12279</v>
      </c>
      <c r="D6758" s="27" t="s">
        <v>5104</v>
      </c>
      <c r="E6758" s="29">
        <v>39417</v>
      </c>
      <c r="F6758" s="27">
        <v>15</v>
      </c>
      <c r="G6758" s="18">
        <v>18650</v>
      </c>
      <c r="H6758" s="27">
        <f t="shared" si="210"/>
        <v>0</v>
      </c>
      <c r="I6758" s="18">
        <v>16538.900000000001</v>
      </c>
      <c r="J6758" s="27">
        <v>18650</v>
      </c>
      <c r="K6758" s="18">
        <f t="shared" si="211"/>
        <v>0</v>
      </c>
      <c r="L6758" s="27">
        <v>16833.55</v>
      </c>
      <c r="M6758" s="36">
        <v>294.64999999999998</v>
      </c>
      <c r="T6758" s="41">
        <v>0</v>
      </c>
      <c r="U6758" s="41">
        <v>0</v>
      </c>
      <c r="V6758" s="42" t="s">
        <v>113</v>
      </c>
      <c r="W6758" s="42">
        <v>0</v>
      </c>
      <c r="X6758" s="42">
        <v>0</v>
      </c>
    </row>
    <row r="6759" spans="1:24">
      <c r="A6759" s="27" t="s">
        <v>12376</v>
      </c>
      <c r="B6759" s="28" t="s">
        <v>12240</v>
      </c>
      <c r="C6759" s="27" t="s">
        <v>12311</v>
      </c>
      <c r="D6759" s="27" t="s">
        <v>5104</v>
      </c>
      <c r="E6759" s="29">
        <v>39417</v>
      </c>
      <c r="F6759" s="27">
        <v>15</v>
      </c>
      <c r="G6759" s="18">
        <v>13210</v>
      </c>
      <c r="H6759" s="27">
        <f t="shared" si="210"/>
        <v>0</v>
      </c>
      <c r="I6759" s="18">
        <v>11714.68</v>
      </c>
      <c r="J6759" s="27">
        <v>13210</v>
      </c>
      <c r="K6759" s="18">
        <f t="shared" si="211"/>
        <v>0</v>
      </c>
      <c r="L6759" s="27">
        <v>11923.39</v>
      </c>
      <c r="M6759" s="36">
        <v>208.71</v>
      </c>
      <c r="T6759" s="41">
        <v>0</v>
      </c>
      <c r="U6759" s="41">
        <v>0</v>
      </c>
      <c r="V6759" s="42" t="s">
        <v>113</v>
      </c>
      <c r="W6759" s="42">
        <v>0</v>
      </c>
      <c r="X6759" s="42">
        <v>0</v>
      </c>
    </row>
    <row r="6760" spans="1:24">
      <c r="A6760" s="27" t="s">
        <v>12377</v>
      </c>
      <c r="B6760" s="28" t="s">
        <v>12240</v>
      </c>
      <c r="C6760" s="27" t="s">
        <v>12311</v>
      </c>
      <c r="D6760" s="27" t="s">
        <v>5104</v>
      </c>
      <c r="E6760" s="29">
        <v>39417</v>
      </c>
      <c r="F6760" s="27">
        <v>15</v>
      </c>
      <c r="G6760" s="18">
        <v>13210</v>
      </c>
      <c r="H6760" s="27">
        <f t="shared" si="210"/>
        <v>0</v>
      </c>
      <c r="I6760" s="18">
        <v>11378.07</v>
      </c>
      <c r="J6760" s="27">
        <v>13210</v>
      </c>
      <c r="K6760" s="18">
        <f t="shared" si="211"/>
        <v>0</v>
      </c>
      <c r="L6760" s="27">
        <v>11670.93</v>
      </c>
      <c r="M6760" s="36">
        <v>292.86</v>
      </c>
      <c r="T6760" s="41">
        <v>0</v>
      </c>
      <c r="U6760" s="41">
        <v>0</v>
      </c>
      <c r="V6760" s="42" t="s">
        <v>113</v>
      </c>
      <c r="W6760" s="42">
        <v>0</v>
      </c>
      <c r="X6760" s="42">
        <v>0</v>
      </c>
    </row>
    <row r="6761" spans="1:24">
      <c r="A6761" s="27" t="s">
        <v>12378</v>
      </c>
      <c r="B6761" s="28" t="s">
        <v>12240</v>
      </c>
      <c r="C6761" s="27" t="s">
        <v>12379</v>
      </c>
      <c r="D6761" s="27" t="s">
        <v>230</v>
      </c>
      <c r="E6761" s="29">
        <v>37226</v>
      </c>
      <c r="F6761" s="27">
        <v>15</v>
      </c>
      <c r="G6761" s="18">
        <v>20294.189999999999</v>
      </c>
      <c r="H6761" s="27">
        <f t="shared" si="210"/>
        <v>20294.189999999999</v>
      </c>
      <c r="I6761" s="18">
        <v>19279.48</v>
      </c>
      <c r="J6761" s="27">
        <v>20294.189999999999</v>
      </c>
      <c r="K6761" s="18">
        <f t="shared" si="211"/>
        <v>20294.189999999999</v>
      </c>
      <c r="L6761" s="27">
        <v>19279.48</v>
      </c>
      <c r="M6761" s="36">
        <v>0</v>
      </c>
      <c r="T6761" s="41">
        <v>0</v>
      </c>
      <c r="U6761" s="41">
        <v>0</v>
      </c>
      <c r="V6761" s="42" t="s">
        <v>113</v>
      </c>
      <c r="W6761" s="42">
        <v>20294.189999999999</v>
      </c>
      <c r="X6761" s="42">
        <v>20294.189999999999</v>
      </c>
    </row>
    <row r="6762" spans="1:24">
      <c r="A6762" s="27" t="s">
        <v>12380</v>
      </c>
      <c r="B6762" s="28" t="s">
        <v>12240</v>
      </c>
      <c r="C6762" s="27" t="s">
        <v>12364</v>
      </c>
      <c r="D6762" s="27" t="s">
        <v>230</v>
      </c>
      <c r="E6762" s="29">
        <v>38078</v>
      </c>
      <c r="F6762" s="27">
        <v>15</v>
      </c>
      <c r="G6762" s="18">
        <v>5701.53</v>
      </c>
      <c r="H6762" s="27">
        <f t="shared" si="210"/>
        <v>5701.53</v>
      </c>
      <c r="I6762" s="18">
        <v>5416.45</v>
      </c>
      <c r="J6762" s="27">
        <v>5701.53</v>
      </c>
      <c r="K6762" s="18">
        <f t="shared" si="211"/>
        <v>5701.53</v>
      </c>
      <c r="L6762" s="27">
        <v>5416.45</v>
      </c>
      <c r="M6762" s="36">
        <v>0</v>
      </c>
      <c r="T6762" s="41">
        <v>0</v>
      </c>
      <c r="U6762" s="41">
        <v>0</v>
      </c>
      <c r="V6762" s="42" t="s">
        <v>113</v>
      </c>
      <c r="W6762" s="42">
        <v>5701.53</v>
      </c>
      <c r="X6762" s="42">
        <v>5701.53</v>
      </c>
    </row>
    <row r="6763" spans="1:24">
      <c r="A6763" s="27" t="s">
        <v>12381</v>
      </c>
      <c r="B6763" s="28" t="s">
        <v>12240</v>
      </c>
      <c r="C6763" s="27" t="s">
        <v>12245</v>
      </c>
      <c r="D6763" s="27" t="s">
        <v>5104</v>
      </c>
      <c r="E6763" s="29">
        <v>39417</v>
      </c>
      <c r="F6763" s="27">
        <v>15</v>
      </c>
      <c r="G6763" s="18">
        <v>31068.82</v>
      </c>
      <c r="H6763" s="27">
        <f t="shared" si="210"/>
        <v>0</v>
      </c>
      <c r="I6763" s="18">
        <v>26498.57</v>
      </c>
      <c r="J6763" s="27">
        <v>31068.82</v>
      </c>
      <c r="K6763" s="18">
        <f t="shared" si="211"/>
        <v>0</v>
      </c>
      <c r="L6763" s="27">
        <v>27252.77</v>
      </c>
      <c r="M6763" s="36">
        <v>754.2</v>
      </c>
      <c r="T6763" s="41">
        <v>0</v>
      </c>
      <c r="U6763" s="41">
        <v>0</v>
      </c>
      <c r="V6763" s="42" t="s">
        <v>113</v>
      </c>
      <c r="W6763" s="42">
        <v>0</v>
      </c>
      <c r="X6763" s="42">
        <v>0</v>
      </c>
    </row>
    <row r="6764" spans="1:24">
      <c r="A6764" s="27" t="s">
        <v>12382</v>
      </c>
      <c r="B6764" s="28" t="s">
        <v>12240</v>
      </c>
      <c r="C6764" s="27" t="s">
        <v>12245</v>
      </c>
      <c r="D6764" s="27" t="s">
        <v>5104</v>
      </c>
      <c r="E6764" s="29">
        <v>39417</v>
      </c>
      <c r="F6764" s="27">
        <v>15</v>
      </c>
      <c r="G6764" s="18">
        <v>31068.81</v>
      </c>
      <c r="H6764" s="27">
        <f t="shared" si="210"/>
        <v>0</v>
      </c>
      <c r="I6764" s="18">
        <v>26498.560000000001</v>
      </c>
      <c r="J6764" s="27">
        <v>31068.81</v>
      </c>
      <c r="K6764" s="18">
        <f t="shared" si="211"/>
        <v>0</v>
      </c>
      <c r="L6764" s="27">
        <v>27252.76</v>
      </c>
      <c r="M6764" s="36">
        <v>754.2</v>
      </c>
      <c r="T6764" s="41">
        <v>0</v>
      </c>
      <c r="U6764" s="41">
        <v>0</v>
      </c>
      <c r="V6764" s="42" t="s">
        <v>113</v>
      </c>
      <c r="W6764" s="42">
        <v>0</v>
      </c>
      <c r="X6764" s="42">
        <v>0</v>
      </c>
    </row>
    <row r="6765" spans="1:24">
      <c r="A6765" s="27" t="s">
        <v>12383</v>
      </c>
      <c r="B6765" s="28" t="s">
        <v>12240</v>
      </c>
      <c r="C6765" s="27" t="s">
        <v>12245</v>
      </c>
      <c r="D6765" s="27" t="s">
        <v>5104</v>
      </c>
      <c r="E6765" s="29">
        <v>39417</v>
      </c>
      <c r="F6765" s="27">
        <v>15</v>
      </c>
      <c r="G6765" s="18">
        <v>36975.26</v>
      </c>
      <c r="H6765" s="27">
        <f t="shared" si="210"/>
        <v>0</v>
      </c>
      <c r="I6765" s="18">
        <v>31536.17</v>
      </c>
      <c r="J6765" s="27">
        <v>36975.26</v>
      </c>
      <c r="K6765" s="18">
        <f t="shared" si="211"/>
        <v>0</v>
      </c>
      <c r="L6765" s="27">
        <v>32433.75</v>
      </c>
      <c r="M6765" s="36">
        <v>897.58</v>
      </c>
      <c r="T6765" s="41">
        <v>0</v>
      </c>
      <c r="U6765" s="41">
        <v>0</v>
      </c>
      <c r="V6765" s="42" t="s">
        <v>113</v>
      </c>
      <c r="W6765" s="42">
        <v>0</v>
      </c>
      <c r="X6765" s="42">
        <v>0</v>
      </c>
    </row>
    <row r="6766" spans="1:24">
      <c r="A6766" s="27" t="s">
        <v>12384</v>
      </c>
      <c r="B6766" s="28" t="s">
        <v>12240</v>
      </c>
      <c r="C6766" s="27" t="s">
        <v>12245</v>
      </c>
      <c r="D6766" s="27" t="s">
        <v>5104</v>
      </c>
      <c r="E6766" s="29">
        <v>39417</v>
      </c>
      <c r="F6766" s="27">
        <v>15</v>
      </c>
      <c r="G6766" s="18">
        <v>31068.81</v>
      </c>
      <c r="H6766" s="27">
        <f t="shared" si="210"/>
        <v>0</v>
      </c>
      <c r="I6766" s="18">
        <v>26498.560000000001</v>
      </c>
      <c r="J6766" s="27">
        <v>31068.81</v>
      </c>
      <c r="K6766" s="18">
        <f t="shared" si="211"/>
        <v>0</v>
      </c>
      <c r="L6766" s="27">
        <v>27252.76</v>
      </c>
      <c r="M6766" s="36">
        <v>754.2</v>
      </c>
      <c r="T6766" s="41">
        <v>0</v>
      </c>
      <c r="U6766" s="41">
        <v>0</v>
      </c>
      <c r="V6766" s="42" t="s">
        <v>113</v>
      </c>
      <c r="W6766" s="42">
        <v>0</v>
      </c>
      <c r="X6766" s="42">
        <v>0</v>
      </c>
    </row>
    <row r="6767" spans="1:24">
      <c r="A6767" s="27" t="s">
        <v>12385</v>
      </c>
      <c r="B6767" s="28" t="s">
        <v>12240</v>
      </c>
      <c r="C6767" s="27" t="s">
        <v>12245</v>
      </c>
      <c r="D6767" s="27" t="s">
        <v>5104</v>
      </c>
      <c r="E6767" s="29">
        <v>38078</v>
      </c>
      <c r="F6767" s="27">
        <v>15</v>
      </c>
      <c r="G6767" s="18">
        <v>14249.68</v>
      </c>
      <c r="H6767" s="27">
        <f t="shared" si="210"/>
        <v>14249.68</v>
      </c>
      <c r="I6767" s="18">
        <v>13537.2</v>
      </c>
      <c r="J6767" s="27">
        <v>14249.68</v>
      </c>
      <c r="K6767" s="18">
        <f t="shared" si="211"/>
        <v>14249.68</v>
      </c>
      <c r="L6767" s="27">
        <v>13537.2</v>
      </c>
      <c r="M6767" s="36">
        <v>0</v>
      </c>
      <c r="T6767" s="41">
        <v>0</v>
      </c>
      <c r="U6767" s="41">
        <v>0</v>
      </c>
      <c r="V6767" s="42" t="s">
        <v>113</v>
      </c>
      <c r="W6767" s="42">
        <v>14249.68</v>
      </c>
      <c r="X6767" s="42">
        <v>14249.68</v>
      </c>
    </row>
    <row r="6768" spans="1:24">
      <c r="A6768" s="27" t="s">
        <v>12386</v>
      </c>
      <c r="B6768" s="28" t="s">
        <v>12240</v>
      </c>
      <c r="C6768" s="27" t="s">
        <v>12245</v>
      </c>
      <c r="D6768" s="27" t="s">
        <v>5104</v>
      </c>
      <c r="E6768" s="29">
        <v>38078</v>
      </c>
      <c r="F6768" s="27">
        <v>15</v>
      </c>
      <c r="G6768" s="18">
        <v>34076.43</v>
      </c>
      <c r="H6768" s="27">
        <f t="shared" si="210"/>
        <v>34076.43</v>
      </c>
      <c r="I6768" s="18">
        <v>32372.61</v>
      </c>
      <c r="J6768" s="27">
        <v>34076.43</v>
      </c>
      <c r="K6768" s="18">
        <f t="shared" si="211"/>
        <v>34076.43</v>
      </c>
      <c r="L6768" s="27">
        <v>32372.61</v>
      </c>
      <c r="M6768" s="36">
        <v>0</v>
      </c>
      <c r="T6768" s="41">
        <v>0</v>
      </c>
      <c r="U6768" s="41">
        <v>0</v>
      </c>
      <c r="V6768" s="42" t="s">
        <v>113</v>
      </c>
      <c r="W6768" s="42">
        <v>34076.43</v>
      </c>
      <c r="X6768" s="42">
        <v>34076.43</v>
      </c>
    </row>
    <row r="6769" spans="1:24">
      <c r="A6769" s="27" t="s">
        <v>12387</v>
      </c>
      <c r="B6769" s="28" t="s">
        <v>12240</v>
      </c>
      <c r="C6769" s="27" t="s">
        <v>12245</v>
      </c>
      <c r="D6769" s="27" t="s">
        <v>5104</v>
      </c>
      <c r="E6769" s="29">
        <v>36495</v>
      </c>
      <c r="F6769" s="27">
        <v>15</v>
      </c>
      <c r="G6769" s="18">
        <v>6031.97</v>
      </c>
      <c r="H6769" s="27">
        <f t="shared" si="210"/>
        <v>6031.97</v>
      </c>
      <c r="I6769" s="18">
        <v>5730.37</v>
      </c>
      <c r="J6769" s="27">
        <v>6031.97</v>
      </c>
      <c r="K6769" s="18">
        <f t="shared" si="211"/>
        <v>6031.97</v>
      </c>
      <c r="L6769" s="27">
        <v>5730.37</v>
      </c>
      <c r="M6769" s="36">
        <v>0</v>
      </c>
      <c r="T6769" s="41">
        <v>0</v>
      </c>
      <c r="U6769" s="41">
        <v>0</v>
      </c>
      <c r="V6769" s="42" t="s">
        <v>113</v>
      </c>
      <c r="W6769" s="42">
        <v>6031.97</v>
      </c>
      <c r="X6769" s="42">
        <v>6031.97</v>
      </c>
    </row>
    <row r="6770" spans="1:24">
      <c r="A6770" s="27" t="s">
        <v>12388</v>
      </c>
      <c r="B6770" s="28" t="s">
        <v>12240</v>
      </c>
      <c r="C6770" s="27" t="s">
        <v>12245</v>
      </c>
      <c r="D6770" s="27" t="s">
        <v>5104</v>
      </c>
      <c r="E6770" s="29">
        <v>38078</v>
      </c>
      <c r="F6770" s="27">
        <v>15</v>
      </c>
      <c r="G6770" s="18">
        <v>14309.22</v>
      </c>
      <c r="H6770" s="27">
        <f t="shared" si="210"/>
        <v>14309.22</v>
      </c>
      <c r="I6770" s="18">
        <v>13593.76</v>
      </c>
      <c r="J6770" s="27">
        <v>14309.22</v>
      </c>
      <c r="K6770" s="18">
        <f t="shared" si="211"/>
        <v>14309.22</v>
      </c>
      <c r="L6770" s="27">
        <v>13593.76</v>
      </c>
      <c r="M6770" s="36">
        <v>0</v>
      </c>
      <c r="T6770" s="41">
        <v>0</v>
      </c>
      <c r="U6770" s="41">
        <v>0</v>
      </c>
      <c r="V6770" s="42" t="s">
        <v>113</v>
      </c>
      <c r="W6770" s="42">
        <v>14309.22</v>
      </c>
      <c r="X6770" s="42">
        <v>14309.22</v>
      </c>
    </row>
    <row r="6771" spans="1:24">
      <c r="A6771" s="27" t="s">
        <v>12389</v>
      </c>
      <c r="B6771" s="28" t="s">
        <v>12240</v>
      </c>
      <c r="C6771" s="27" t="s">
        <v>12245</v>
      </c>
      <c r="D6771" s="27" t="s">
        <v>5104</v>
      </c>
      <c r="E6771" s="29">
        <v>38078</v>
      </c>
      <c r="F6771" s="27">
        <v>15</v>
      </c>
      <c r="G6771" s="18">
        <v>14249.68</v>
      </c>
      <c r="H6771" s="27">
        <f t="shared" si="210"/>
        <v>14249.68</v>
      </c>
      <c r="I6771" s="18">
        <v>13537.2</v>
      </c>
      <c r="J6771" s="27">
        <v>14249.68</v>
      </c>
      <c r="K6771" s="18">
        <f t="shared" si="211"/>
        <v>14249.68</v>
      </c>
      <c r="L6771" s="27">
        <v>13537.2</v>
      </c>
      <c r="M6771" s="36">
        <v>0</v>
      </c>
      <c r="T6771" s="41">
        <v>0</v>
      </c>
      <c r="U6771" s="41">
        <v>0</v>
      </c>
      <c r="V6771" s="42" t="s">
        <v>113</v>
      </c>
      <c r="W6771" s="42">
        <v>14249.68</v>
      </c>
      <c r="X6771" s="42">
        <v>14249.68</v>
      </c>
    </row>
    <row r="6772" spans="1:24">
      <c r="A6772" s="27" t="s">
        <v>12390</v>
      </c>
      <c r="B6772" s="28" t="s">
        <v>12240</v>
      </c>
      <c r="C6772" s="27" t="s">
        <v>12245</v>
      </c>
      <c r="D6772" s="27" t="s">
        <v>5104</v>
      </c>
      <c r="E6772" s="29">
        <v>36495</v>
      </c>
      <c r="F6772" s="27">
        <v>15</v>
      </c>
      <c r="G6772" s="18">
        <v>6031.97</v>
      </c>
      <c r="H6772" s="27">
        <f t="shared" si="210"/>
        <v>6031.97</v>
      </c>
      <c r="I6772" s="18">
        <v>5730.37</v>
      </c>
      <c r="J6772" s="27">
        <v>6031.97</v>
      </c>
      <c r="K6772" s="18">
        <f t="shared" si="211"/>
        <v>6031.97</v>
      </c>
      <c r="L6772" s="27">
        <v>5730.37</v>
      </c>
      <c r="M6772" s="36">
        <v>0</v>
      </c>
      <c r="T6772" s="41">
        <v>0</v>
      </c>
      <c r="U6772" s="41">
        <v>0</v>
      </c>
      <c r="V6772" s="42" t="s">
        <v>113</v>
      </c>
      <c r="W6772" s="42">
        <v>6031.97</v>
      </c>
      <c r="X6772" s="42">
        <v>6031.97</v>
      </c>
    </row>
    <row r="6773" spans="1:24">
      <c r="A6773" s="27" t="s">
        <v>12391</v>
      </c>
      <c r="B6773" s="28" t="s">
        <v>12240</v>
      </c>
      <c r="C6773" s="27" t="s">
        <v>12245</v>
      </c>
      <c r="D6773" s="27" t="s">
        <v>5104</v>
      </c>
      <c r="E6773" s="29">
        <v>38078</v>
      </c>
      <c r="F6773" s="27">
        <v>15</v>
      </c>
      <c r="G6773" s="18">
        <v>15153.35</v>
      </c>
      <c r="H6773" s="27">
        <f t="shared" si="210"/>
        <v>15153.35</v>
      </c>
      <c r="I6773" s="18">
        <v>14395.68</v>
      </c>
      <c r="J6773" s="27">
        <v>15153.35</v>
      </c>
      <c r="K6773" s="18">
        <f t="shared" si="211"/>
        <v>15153.35</v>
      </c>
      <c r="L6773" s="27">
        <v>14395.68</v>
      </c>
      <c r="M6773" s="36">
        <v>0</v>
      </c>
      <c r="T6773" s="41">
        <v>0</v>
      </c>
      <c r="U6773" s="41">
        <v>0</v>
      </c>
      <c r="V6773" s="42" t="s">
        <v>113</v>
      </c>
      <c r="W6773" s="42">
        <v>15153.35</v>
      </c>
      <c r="X6773" s="42">
        <v>15153.35</v>
      </c>
    </row>
    <row r="6774" spans="1:24">
      <c r="A6774" s="27" t="s">
        <v>12392</v>
      </c>
      <c r="B6774" s="28" t="s">
        <v>12240</v>
      </c>
      <c r="C6774" s="27" t="s">
        <v>12245</v>
      </c>
      <c r="D6774" s="27" t="s">
        <v>5104</v>
      </c>
      <c r="E6774" s="29">
        <v>38078</v>
      </c>
      <c r="F6774" s="27">
        <v>15</v>
      </c>
      <c r="G6774" s="18">
        <v>14223.86</v>
      </c>
      <c r="H6774" s="27">
        <f t="shared" si="210"/>
        <v>14223.86</v>
      </c>
      <c r="I6774" s="18">
        <v>13512.67</v>
      </c>
      <c r="J6774" s="27">
        <v>14223.86</v>
      </c>
      <c r="K6774" s="18">
        <f t="shared" si="211"/>
        <v>14223.86</v>
      </c>
      <c r="L6774" s="27">
        <v>13512.67</v>
      </c>
      <c r="M6774" s="36">
        <v>0</v>
      </c>
      <c r="T6774" s="41">
        <v>0</v>
      </c>
      <c r="U6774" s="41">
        <v>0</v>
      </c>
      <c r="V6774" s="42" t="s">
        <v>113</v>
      </c>
      <c r="W6774" s="42">
        <v>14223.86</v>
      </c>
      <c r="X6774" s="42">
        <v>14223.86</v>
      </c>
    </row>
    <row r="6775" spans="1:24">
      <c r="A6775" s="27" t="s">
        <v>12393</v>
      </c>
      <c r="B6775" s="28" t="s">
        <v>12240</v>
      </c>
      <c r="C6775" s="27" t="s">
        <v>12245</v>
      </c>
      <c r="D6775" s="27" t="s">
        <v>5104</v>
      </c>
      <c r="E6775" s="29">
        <v>36495</v>
      </c>
      <c r="F6775" s="27">
        <v>15</v>
      </c>
      <c r="G6775" s="18">
        <v>6031.97</v>
      </c>
      <c r="H6775" s="27">
        <f t="shared" si="210"/>
        <v>6031.97</v>
      </c>
      <c r="I6775" s="18">
        <v>5730.37</v>
      </c>
      <c r="J6775" s="27">
        <v>6031.97</v>
      </c>
      <c r="K6775" s="18">
        <f t="shared" si="211"/>
        <v>6031.97</v>
      </c>
      <c r="L6775" s="27">
        <v>5730.37</v>
      </c>
      <c r="M6775" s="36">
        <v>0</v>
      </c>
      <c r="T6775" s="41">
        <v>0</v>
      </c>
      <c r="U6775" s="41">
        <v>0</v>
      </c>
      <c r="V6775" s="42" t="s">
        <v>113</v>
      </c>
      <c r="W6775" s="42">
        <v>6031.97</v>
      </c>
      <c r="X6775" s="42">
        <v>6031.97</v>
      </c>
    </row>
    <row r="6776" spans="1:24">
      <c r="A6776" s="27" t="s">
        <v>12394</v>
      </c>
      <c r="B6776" s="28" t="s">
        <v>12240</v>
      </c>
      <c r="C6776" s="27" t="s">
        <v>12245</v>
      </c>
      <c r="D6776" s="27" t="s">
        <v>5104</v>
      </c>
      <c r="E6776" s="29">
        <v>36495</v>
      </c>
      <c r="F6776" s="27">
        <v>15</v>
      </c>
      <c r="G6776" s="18">
        <v>6031.97</v>
      </c>
      <c r="H6776" s="27">
        <f t="shared" si="210"/>
        <v>6031.97</v>
      </c>
      <c r="I6776" s="18">
        <v>5730.37</v>
      </c>
      <c r="J6776" s="27">
        <v>6031.97</v>
      </c>
      <c r="K6776" s="18">
        <f t="shared" si="211"/>
        <v>6031.97</v>
      </c>
      <c r="L6776" s="27">
        <v>5730.37</v>
      </c>
      <c r="M6776" s="36">
        <v>0</v>
      </c>
      <c r="T6776" s="41">
        <v>0</v>
      </c>
      <c r="U6776" s="41">
        <v>0</v>
      </c>
      <c r="V6776" s="42" t="s">
        <v>113</v>
      </c>
      <c r="W6776" s="42">
        <v>6031.97</v>
      </c>
      <c r="X6776" s="42">
        <v>6031.97</v>
      </c>
    </row>
    <row r="6777" spans="1:24">
      <c r="A6777" s="27" t="s">
        <v>12395</v>
      </c>
      <c r="B6777" s="28" t="s">
        <v>12240</v>
      </c>
      <c r="C6777" s="27" t="s">
        <v>12245</v>
      </c>
      <c r="D6777" s="27" t="s">
        <v>5104</v>
      </c>
      <c r="E6777" s="29">
        <v>38078</v>
      </c>
      <c r="F6777" s="27">
        <v>15</v>
      </c>
      <c r="G6777" s="18">
        <v>18441.72</v>
      </c>
      <c r="H6777" s="27">
        <f t="shared" si="210"/>
        <v>18441.72</v>
      </c>
      <c r="I6777" s="18">
        <v>17519.63</v>
      </c>
      <c r="J6777" s="27">
        <v>18441.72</v>
      </c>
      <c r="K6777" s="18">
        <f t="shared" si="211"/>
        <v>18441.72</v>
      </c>
      <c r="L6777" s="27">
        <v>17519.63</v>
      </c>
      <c r="M6777" s="36">
        <v>0</v>
      </c>
      <c r="T6777" s="41">
        <v>0</v>
      </c>
      <c r="U6777" s="41">
        <v>0</v>
      </c>
      <c r="V6777" s="42" t="s">
        <v>113</v>
      </c>
      <c r="W6777" s="42">
        <v>18441.72</v>
      </c>
      <c r="X6777" s="42">
        <v>18441.72</v>
      </c>
    </row>
    <row r="6778" spans="1:24">
      <c r="A6778" s="27" t="s">
        <v>12396</v>
      </c>
      <c r="B6778" s="28" t="s">
        <v>12240</v>
      </c>
      <c r="C6778" s="27" t="s">
        <v>12245</v>
      </c>
      <c r="D6778" s="27" t="s">
        <v>5104</v>
      </c>
      <c r="E6778" s="29">
        <v>36100</v>
      </c>
      <c r="F6778" s="27">
        <v>15</v>
      </c>
      <c r="G6778" s="18">
        <v>203108.72</v>
      </c>
      <c r="H6778" s="27">
        <f t="shared" si="210"/>
        <v>203108.72</v>
      </c>
      <c r="I6778" s="18">
        <v>192953.28</v>
      </c>
      <c r="J6778" s="27">
        <v>203108.72</v>
      </c>
      <c r="K6778" s="18">
        <f t="shared" si="211"/>
        <v>203108.72</v>
      </c>
      <c r="L6778" s="27">
        <v>192953.28</v>
      </c>
      <c r="M6778" s="36">
        <v>0</v>
      </c>
      <c r="T6778" s="41">
        <v>0</v>
      </c>
      <c r="U6778" s="41">
        <v>0</v>
      </c>
      <c r="V6778" s="42" t="s">
        <v>113</v>
      </c>
      <c r="W6778" s="42">
        <v>203108.72</v>
      </c>
      <c r="X6778" s="42">
        <v>203108.72</v>
      </c>
    </row>
    <row r="6779" spans="1:24">
      <c r="A6779" s="27" t="s">
        <v>12397</v>
      </c>
      <c r="B6779" s="28" t="s">
        <v>12240</v>
      </c>
      <c r="C6779" s="27" t="s">
        <v>12245</v>
      </c>
      <c r="D6779" s="27" t="s">
        <v>5104</v>
      </c>
      <c r="E6779" s="29">
        <v>36100</v>
      </c>
      <c r="F6779" s="27">
        <v>15</v>
      </c>
      <c r="G6779" s="18">
        <v>101554.36</v>
      </c>
      <c r="H6779" s="27">
        <f t="shared" si="210"/>
        <v>101554.36</v>
      </c>
      <c r="I6779" s="18">
        <v>96476.64</v>
      </c>
      <c r="J6779" s="27">
        <v>101554.36</v>
      </c>
      <c r="K6779" s="18">
        <f t="shared" si="211"/>
        <v>101554.36</v>
      </c>
      <c r="L6779" s="27">
        <v>96476.64</v>
      </c>
      <c r="M6779" s="36">
        <v>0</v>
      </c>
      <c r="T6779" s="41">
        <v>0</v>
      </c>
      <c r="U6779" s="41">
        <v>0</v>
      </c>
      <c r="V6779" s="42" t="s">
        <v>113</v>
      </c>
      <c r="W6779" s="42">
        <v>101554.36</v>
      </c>
      <c r="X6779" s="42">
        <v>101554.36</v>
      </c>
    </row>
    <row r="6780" spans="1:24">
      <c r="A6780" s="27" t="s">
        <v>12398</v>
      </c>
      <c r="B6780" s="28" t="s">
        <v>12240</v>
      </c>
      <c r="C6780" s="27" t="s">
        <v>12245</v>
      </c>
      <c r="D6780" s="27" t="s">
        <v>5104</v>
      </c>
      <c r="E6780" s="29">
        <v>37712</v>
      </c>
      <c r="F6780" s="27">
        <v>15</v>
      </c>
      <c r="G6780" s="18">
        <v>19370</v>
      </c>
      <c r="H6780" s="27">
        <f t="shared" si="210"/>
        <v>19370</v>
      </c>
      <c r="I6780" s="18">
        <v>18401.5</v>
      </c>
      <c r="J6780" s="27">
        <v>19370</v>
      </c>
      <c r="K6780" s="18">
        <f t="shared" si="211"/>
        <v>19370</v>
      </c>
      <c r="L6780" s="27">
        <v>18401.5</v>
      </c>
      <c r="M6780" s="36">
        <v>0</v>
      </c>
      <c r="T6780" s="41">
        <v>0</v>
      </c>
      <c r="U6780" s="41">
        <v>0</v>
      </c>
      <c r="V6780" s="42" t="s">
        <v>113</v>
      </c>
      <c r="W6780" s="42">
        <v>19370</v>
      </c>
      <c r="X6780" s="42">
        <v>19370</v>
      </c>
    </row>
    <row r="6781" spans="1:24">
      <c r="A6781" s="27" t="s">
        <v>12399</v>
      </c>
      <c r="B6781" s="28" t="s">
        <v>12240</v>
      </c>
      <c r="C6781" s="27" t="s">
        <v>12243</v>
      </c>
      <c r="D6781" s="27" t="s">
        <v>230</v>
      </c>
      <c r="E6781" s="29">
        <v>37226</v>
      </c>
      <c r="F6781" s="27">
        <v>15</v>
      </c>
      <c r="G6781" s="18">
        <v>25198.75</v>
      </c>
      <c r="H6781" s="27">
        <f t="shared" si="210"/>
        <v>25198.75</v>
      </c>
      <c r="I6781" s="18">
        <v>23938.81</v>
      </c>
      <c r="J6781" s="27">
        <v>25198.75</v>
      </c>
      <c r="K6781" s="18">
        <f t="shared" si="211"/>
        <v>25198.75</v>
      </c>
      <c r="L6781" s="27">
        <v>23938.81</v>
      </c>
      <c r="M6781" s="36">
        <v>0</v>
      </c>
      <c r="T6781" s="41">
        <v>0</v>
      </c>
      <c r="U6781" s="41">
        <v>0</v>
      </c>
      <c r="V6781" s="42" t="s">
        <v>113</v>
      </c>
      <c r="W6781" s="42">
        <v>25198.75</v>
      </c>
      <c r="X6781" s="42">
        <v>25198.75</v>
      </c>
    </row>
    <row r="6782" spans="1:24">
      <c r="A6782" s="27" t="s">
        <v>12400</v>
      </c>
      <c r="B6782" s="28" t="s">
        <v>12240</v>
      </c>
      <c r="C6782" s="27" t="s">
        <v>12243</v>
      </c>
      <c r="D6782" s="27" t="s">
        <v>230</v>
      </c>
      <c r="E6782" s="29">
        <v>37226</v>
      </c>
      <c r="F6782" s="27">
        <v>15</v>
      </c>
      <c r="G6782" s="18">
        <v>25198.75</v>
      </c>
      <c r="H6782" s="27">
        <f t="shared" si="210"/>
        <v>25198.75</v>
      </c>
      <c r="I6782" s="18">
        <v>23938.81</v>
      </c>
      <c r="J6782" s="27">
        <v>25198.75</v>
      </c>
      <c r="K6782" s="18">
        <f t="shared" si="211"/>
        <v>25198.75</v>
      </c>
      <c r="L6782" s="27">
        <v>23938.81</v>
      </c>
      <c r="M6782" s="36">
        <v>0</v>
      </c>
      <c r="T6782" s="41">
        <v>0</v>
      </c>
      <c r="U6782" s="41">
        <v>0</v>
      </c>
      <c r="V6782" s="42" t="s">
        <v>113</v>
      </c>
      <c r="W6782" s="42">
        <v>25198.75</v>
      </c>
      <c r="X6782" s="42">
        <v>25198.75</v>
      </c>
    </row>
    <row r="6783" spans="1:24">
      <c r="A6783" s="27" t="s">
        <v>12401</v>
      </c>
      <c r="B6783" s="28" t="s">
        <v>12240</v>
      </c>
      <c r="C6783" s="27" t="s">
        <v>12245</v>
      </c>
      <c r="D6783" s="27" t="s">
        <v>5104</v>
      </c>
      <c r="E6783" s="29">
        <v>37226</v>
      </c>
      <c r="F6783" s="27">
        <v>15</v>
      </c>
      <c r="G6783" s="18">
        <v>29082.42</v>
      </c>
      <c r="H6783" s="27">
        <f t="shared" si="210"/>
        <v>29082.42</v>
      </c>
      <c r="I6783" s="18">
        <v>27628.3</v>
      </c>
      <c r="J6783" s="27">
        <v>29082.42</v>
      </c>
      <c r="K6783" s="18">
        <f t="shared" si="211"/>
        <v>29082.42</v>
      </c>
      <c r="L6783" s="27">
        <v>27628.3</v>
      </c>
      <c r="M6783" s="36">
        <v>0</v>
      </c>
      <c r="T6783" s="41">
        <v>0</v>
      </c>
      <c r="U6783" s="41">
        <v>0</v>
      </c>
      <c r="V6783" s="42" t="s">
        <v>113</v>
      </c>
      <c r="W6783" s="42">
        <v>29082.42</v>
      </c>
      <c r="X6783" s="42">
        <v>29082.42</v>
      </c>
    </row>
    <row r="6784" spans="1:24">
      <c r="A6784" s="27" t="s">
        <v>12402</v>
      </c>
      <c r="B6784" s="28" t="s">
        <v>12240</v>
      </c>
      <c r="C6784" s="27" t="s">
        <v>12245</v>
      </c>
      <c r="D6784" s="27" t="s">
        <v>5104</v>
      </c>
      <c r="E6784" s="29">
        <v>37226</v>
      </c>
      <c r="F6784" s="27">
        <v>15</v>
      </c>
      <c r="G6784" s="18">
        <v>12496.35</v>
      </c>
      <c r="H6784" s="27">
        <f t="shared" si="210"/>
        <v>12496.35</v>
      </c>
      <c r="I6784" s="18">
        <v>11871.53</v>
      </c>
      <c r="J6784" s="27">
        <v>12496.35</v>
      </c>
      <c r="K6784" s="18">
        <f t="shared" si="211"/>
        <v>12496.35</v>
      </c>
      <c r="L6784" s="27">
        <v>11871.53</v>
      </c>
      <c r="M6784" s="36">
        <v>0</v>
      </c>
      <c r="T6784" s="41">
        <v>0</v>
      </c>
      <c r="U6784" s="41">
        <v>0</v>
      </c>
      <c r="V6784" s="42" t="s">
        <v>113</v>
      </c>
      <c r="W6784" s="42">
        <v>12496.35</v>
      </c>
      <c r="X6784" s="42">
        <v>12496.35</v>
      </c>
    </row>
    <row r="6785" spans="1:24">
      <c r="A6785" s="27" t="s">
        <v>12403</v>
      </c>
      <c r="B6785" s="28" t="s">
        <v>12240</v>
      </c>
      <c r="C6785" s="27" t="s">
        <v>12245</v>
      </c>
      <c r="D6785" s="27" t="s">
        <v>5104</v>
      </c>
      <c r="E6785" s="29">
        <v>37226</v>
      </c>
      <c r="F6785" s="27">
        <v>15</v>
      </c>
      <c r="G6785" s="18">
        <v>20412.43</v>
      </c>
      <c r="H6785" s="27">
        <f t="shared" si="210"/>
        <v>20412.43</v>
      </c>
      <c r="I6785" s="18">
        <v>19391.810000000001</v>
      </c>
      <c r="J6785" s="27">
        <v>20412.43</v>
      </c>
      <c r="K6785" s="18">
        <f t="shared" si="211"/>
        <v>20412.43</v>
      </c>
      <c r="L6785" s="27">
        <v>19391.810000000001</v>
      </c>
      <c r="M6785" s="36">
        <v>0</v>
      </c>
      <c r="T6785" s="41">
        <v>0</v>
      </c>
      <c r="U6785" s="41">
        <v>0</v>
      </c>
      <c r="V6785" s="42" t="s">
        <v>113</v>
      </c>
      <c r="W6785" s="42">
        <v>20412.43</v>
      </c>
      <c r="X6785" s="42">
        <v>20412.43</v>
      </c>
    </row>
    <row r="6786" spans="1:24">
      <c r="A6786" s="27" t="s">
        <v>12404</v>
      </c>
      <c r="B6786" s="28" t="s">
        <v>12240</v>
      </c>
      <c r="C6786" s="27" t="s">
        <v>12405</v>
      </c>
      <c r="D6786" s="27" t="s">
        <v>230</v>
      </c>
      <c r="E6786" s="29">
        <v>37226</v>
      </c>
      <c r="F6786" s="27">
        <v>15</v>
      </c>
      <c r="G6786" s="18">
        <v>18377.900000000001</v>
      </c>
      <c r="H6786" s="27">
        <f t="shared" si="210"/>
        <v>18377.900000000001</v>
      </c>
      <c r="I6786" s="18">
        <v>17459</v>
      </c>
      <c r="J6786" s="27">
        <v>18377.900000000001</v>
      </c>
      <c r="K6786" s="18">
        <f t="shared" si="211"/>
        <v>18377.900000000001</v>
      </c>
      <c r="L6786" s="27">
        <v>17459</v>
      </c>
      <c r="M6786" s="36">
        <v>0</v>
      </c>
      <c r="T6786" s="41">
        <v>0</v>
      </c>
      <c r="U6786" s="41">
        <v>0</v>
      </c>
      <c r="V6786" s="42" t="s">
        <v>113</v>
      </c>
      <c r="W6786" s="42">
        <v>18377.900000000001</v>
      </c>
      <c r="X6786" s="42">
        <v>18377.900000000001</v>
      </c>
    </row>
    <row r="6787" spans="1:24">
      <c r="A6787" s="27" t="s">
        <v>12406</v>
      </c>
      <c r="B6787" s="28" t="s">
        <v>12240</v>
      </c>
      <c r="C6787" s="27" t="s">
        <v>12245</v>
      </c>
      <c r="D6787" s="27" t="s">
        <v>5104</v>
      </c>
      <c r="E6787" s="29">
        <v>37226</v>
      </c>
      <c r="F6787" s="27">
        <v>15</v>
      </c>
      <c r="G6787" s="18">
        <v>97985.86</v>
      </c>
      <c r="H6787" s="27">
        <f t="shared" si="210"/>
        <v>97985.86</v>
      </c>
      <c r="I6787" s="18">
        <v>93086.57</v>
      </c>
      <c r="J6787" s="27">
        <v>97985.86</v>
      </c>
      <c r="K6787" s="18">
        <f t="shared" si="211"/>
        <v>97985.86</v>
      </c>
      <c r="L6787" s="27">
        <v>93086.57</v>
      </c>
      <c r="M6787" s="36">
        <v>0</v>
      </c>
      <c r="T6787" s="41">
        <v>0</v>
      </c>
      <c r="U6787" s="41">
        <v>0</v>
      </c>
      <c r="V6787" s="42" t="s">
        <v>113</v>
      </c>
      <c r="W6787" s="42">
        <v>97985.86</v>
      </c>
      <c r="X6787" s="42">
        <v>97985.86</v>
      </c>
    </row>
    <row r="6788" spans="1:24">
      <c r="A6788" s="27" t="s">
        <v>12407</v>
      </c>
      <c r="B6788" s="28" t="s">
        <v>12240</v>
      </c>
      <c r="C6788" s="27" t="s">
        <v>12245</v>
      </c>
      <c r="D6788" s="27" t="s">
        <v>5104</v>
      </c>
      <c r="E6788" s="29">
        <v>37226</v>
      </c>
      <c r="F6788" s="27">
        <v>15</v>
      </c>
      <c r="G6788" s="18">
        <v>22939.58</v>
      </c>
      <c r="H6788" s="27">
        <f t="shared" si="210"/>
        <v>22939.58</v>
      </c>
      <c r="I6788" s="18">
        <v>21792.6</v>
      </c>
      <c r="J6788" s="27">
        <v>22939.58</v>
      </c>
      <c r="K6788" s="18">
        <f t="shared" si="211"/>
        <v>22939.58</v>
      </c>
      <c r="L6788" s="27">
        <v>21792.6</v>
      </c>
      <c r="M6788" s="36">
        <v>0</v>
      </c>
      <c r="T6788" s="41">
        <v>0</v>
      </c>
      <c r="U6788" s="41">
        <v>0</v>
      </c>
      <c r="V6788" s="42" t="s">
        <v>113</v>
      </c>
      <c r="W6788" s="42">
        <v>22939.58</v>
      </c>
      <c r="X6788" s="42">
        <v>22939.58</v>
      </c>
    </row>
    <row r="6789" spans="1:24">
      <c r="A6789" s="27" t="s">
        <v>12408</v>
      </c>
      <c r="B6789" s="28" t="s">
        <v>12240</v>
      </c>
      <c r="C6789" s="27" t="s">
        <v>12245</v>
      </c>
      <c r="D6789" s="27" t="s">
        <v>5104</v>
      </c>
      <c r="E6789" s="29">
        <v>37226</v>
      </c>
      <c r="F6789" s="27">
        <v>15</v>
      </c>
      <c r="G6789" s="18">
        <v>221498.35</v>
      </c>
      <c r="H6789" s="27">
        <f t="shared" si="210"/>
        <v>221498.35</v>
      </c>
      <c r="I6789" s="18">
        <v>210423.43</v>
      </c>
      <c r="J6789" s="27">
        <v>221498.35</v>
      </c>
      <c r="K6789" s="18">
        <f t="shared" si="211"/>
        <v>221498.35</v>
      </c>
      <c r="L6789" s="27">
        <v>210423.43</v>
      </c>
      <c r="M6789" s="36">
        <v>0</v>
      </c>
      <c r="T6789" s="41">
        <v>0</v>
      </c>
      <c r="U6789" s="41">
        <v>0</v>
      </c>
      <c r="V6789" s="42" t="s">
        <v>113</v>
      </c>
      <c r="W6789" s="42">
        <v>221498.35</v>
      </c>
      <c r="X6789" s="42">
        <v>221498.35</v>
      </c>
    </row>
    <row r="6790" spans="1:24">
      <c r="A6790" s="27" t="s">
        <v>12409</v>
      </c>
      <c r="B6790" s="28" t="s">
        <v>12240</v>
      </c>
      <c r="C6790" s="27" t="s">
        <v>12245</v>
      </c>
      <c r="D6790" s="27" t="s">
        <v>5104</v>
      </c>
      <c r="E6790" s="29">
        <v>37226</v>
      </c>
      <c r="F6790" s="27">
        <v>15</v>
      </c>
      <c r="G6790" s="18">
        <v>172678.93</v>
      </c>
      <c r="H6790" s="27">
        <f t="shared" ref="H6790:H6853" si="212">IFERROR(IF(ROUND((G6790-I6790)/G6790,2)&lt;=0.05,G6790,0),0)</f>
        <v>172678.93</v>
      </c>
      <c r="I6790" s="18">
        <v>164044.98000000001</v>
      </c>
      <c r="J6790" s="27">
        <v>172678.93</v>
      </c>
      <c r="K6790" s="18">
        <f t="shared" ref="K6790:K6853" si="213">IFERROR(IF(ROUND((J6790-L6790)/J6790,2)&lt;=0.05,J6790,0),0)</f>
        <v>172678.93</v>
      </c>
      <c r="L6790" s="27">
        <v>164044.98000000001</v>
      </c>
      <c r="M6790" s="36">
        <v>0</v>
      </c>
      <c r="T6790" s="41">
        <v>0</v>
      </c>
      <c r="U6790" s="41">
        <v>0</v>
      </c>
      <c r="V6790" s="42" t="s">
        <v>113</v>
      </c>
      <c r="W6790" s="42">
        <v>172678.93</v>
      </c>
      <c r="X6790" s="42">
        <v>172678.93</v>
      </c>
    </row>
    <row r="6791" spans="1:24">
      <c r="A6791" s="27" t="s">
        <v>12410</v>
      </c>
      <c r="B6791" s="28" t="s">
        <v>12240</v>
      </c>
      <c r="C6791" s="27" t="s">
        <v>12245</v>
      </c>
      <c r="D6791" s="27" t="s">
        <v>5104</v>
      </c>
      <c r="E6791" s="29">
        <v>37226</v>
      </c>
      <c r="F6791" s="27">
        <v>15</v>
      </c>
      <c r="G6791" s="18">
        <v>16241.13</v>
      </c>
      <c r="H6791" s="27">
        <f t="shared" si="212"/>
        <v>16241.13</v>
      </c>
      <c r="I6791" s="18">
        <v>15429.07</v>
      </c>
      <c r="J6791" s="27">
        <v>16241.13</v>
      </c>
      <c r="K6791" s="18">
        <f t="shared" si="213"/>
        <v>16241.13</v>
      </c>
      <c r="L6791" s="27">
        <v>15429.07</v>
      </c>
      <c r="M6791" s="36">
        <v>0</v>
      </c>
      <c r="T6791" s="41">
        <v>0</v>
      </c>
      <c r="U6791" s="41">
        <v>0</v>
      </c>
      <c r="V6791" s="42" t="s">
        <v>113</v>
      </c>
      <c r="W6791" s="42">
        <v>16241.13</v>
      </c>
      <c r="X6791" s="42">
        <v>16241.13</v>
      </c>
    </row>
    <row r="6792" spans="1:24">
      <c r="A6792" s="27" t="s">
        <v>12411</v>
      </c>
      <c r="B6792" s="28" t="s">
        <v>12240</v>
      </c>
      <c r="C6792" s="27" t="s">
        <v>12245</v>
      </c>
      <c r="D6792" s="27" t="s">
        <v>5104</v>
      </c>
      <c r="E6792" s="29">
        <v>37226</v>
      </c>
      <c r="F6792" s="27">
        <v>15</v>
      </c>
      <c r="G6792" s="18">
        <v>786929.36</v>
      </c>
      <c r="H6792" s="27">
        <f t="shared" si="212"/>
        <v>786929.36</v>
      </c>
      <c r="I6792" s="18">
        <v>747582.89</v>
      </c>
      <c r="J6792" s="27">
        <v>786929.36</v>
      </c>
      <c r="K6792" s="18">
        <f t="shared" si="213"/>
        <v>786929.36</v>
      </c>
      <c r="L6792" s="27">
        <v>747582.89</v>
      </c>
      <c r="M6792" s="36">
        <v>0</v>
      </c>
      <c r="T6792" s="41">
        <v>0</v>
      </c>
      <c r="U6792" s="41">
        <v>0</v>
      </c>
      <c r="V6792" s="42" t="s">
        <v>113</v>
      </c>
      <c r="W6792" s="42">
        <v>786929.36</v>
      </c>
      <c r="X6792" s="42">
        <v>786929.36</v>
      </c>
    </row>
    <row r="6793" spans="1:24">
      <c r="A6793" s="27" t="s">
        <v>12412</v>
      </c>
      <c r="B6793" s="28" t="s">
        <v>12240</v>
      </c>
      <c r="C6793" s="27" t="s">
        <v>12245</v>
      </c>
      <c r="D6793" s="27" t="s">
        <v>5104</v>
      </c>
      <c r="E6793" s="29">
        <v>37226</v>
      </c>
      <c r="F6793" s="27">
        <v>15</v>
      </c>
      <c r="G6793" s="18">
        <v>350836.63</v>
      </c>
      <c r="H6793" s="27">
        <f t="shared" si="212"/>
        <v>350836.63</v>
      </c>
      <c r="I6793" s="18">
        <v>333294.8</v>
      </c>
      <c r="J6793" s="27">
        <v>350836.63</v>
      </c>
      <c r="K6793" s="18">
        <f t="shared" si="213"/>
        <v>350836.63</v>
      </c>
      <c r="L6793" s="27">
        <v>333294.8</v>
      </c>
      <c r="M6793" s="36">
        <v>0</v>
      </c>
      <c r="T6793" s="41">
        <v>0</v>
      </c>
      <c r="U6793" s="41">
        <v>0</v>
      </c>
      <c r="V6793" s="42" t="s">
        <v>113</v>
      </c>
      <c r="W6793" s="42">
        <v>350836.63</v>
      </c>
      <c r="X6793" s="42">
        <v>350836.63</v>
      </c>
    </row>
    <row r="6794" spans="1:24">
      <c r="A6794" s="27" t="s">
        <v>12413</v>
      </c>
      <c r="B6794" s="28" t="s">
        <v>12240</v>
      </c>
      <c r="C6794" s="27" t="s">
        <v>12245</v>
      </c>
      <c r="D6794" s="27" t="s">
        <v>5104</v>
      </c>
      <c r="E6794" s="29">
        <v>37226</v>
      </c>
      <c r="F6794" s="27">
        <v>15</v>
      </c>
      <c r="G6794" s="18">
        <v>30451.21</v>
      </c>
      <c r="H6794" s="27">
        <f t="shared" si="212"/>
        <v>30451.21</v>
      </c>
      <c r="I6794" s="18">
        <v>28928.65</v>
      </c>
      <c r="J6794" s="27">
        <v>30451.21</v>
      </c>
      <c r="K6794" s="18">
        <f t="shared" si="213"/>
        <v>30451.21</v>
      </c>
      <c r="L6794" s="27">
        <v>28928.65</v>
      </c>
      <c r="M6794" s="36">
        <v>0</v>
      </c>
      <c r="T6794" s="41">
        <v>0</v>
      </c>
      <c r="U6794" s="41">
        <v>0</v>
      </c>
      <c r="V6794" s="42" t="s">
        <v>113</v>
      </c>
      <c r="W6794" s="42">
        <v>30451.21</v>
      </c>
      <c r="X6794" s="42">
        <v>30451.21</v>
      </c>
    </row>
    <row r="6795" spans="1:24">
      <c r="A6795" s="27" t="s">
        <v>12414</v>
      </c>
      <c r="B6795" s="28" t="s">
        <v>12240</v>
      </c>
      <c r="C6795" s="27" t="s">
        <v>12243</v>
      </c>
      <c r="D6795" s="27" t="s">
        <v>230</v>
      </c>
      <c r="E6795" s="29">
        <v>38899</v>
      </c>
      <c r="F6795" s="27">
        <v>15</v>
      </c>
      <c r="G6795" s="18">
        <v>25140.560000000001</v>
      </c>
      <c r="H6795" s="27">
        <f t="shared" si="212"/>
        <v>25140.560000000001</v>
      </c>
      <c r="I6795" s="18">
        <v>23883.53</v>
      </c>
      <c r="J6795" s="27">
        <v>25140.560000000001</v>
      </c>
      <c r="K6795" s="18">
        <f t="shared" si="213"/>
        <v>25140.560000000001</v>
      </c>
      <c r="L6795" s="27">
        <v>23883.53</v>
      </c>
      <c r="M6795" s="36">
        <v>0</v>
      </c>
      <c r="T6795" s="41">
        <v>0</v>
      </c>
      <c r="U6795" s="41">
        <v>0</v>
      </c>
      <c r="V6795" s="42" t="s">
        <v>113</v>
      </c>
      <c r="W6795" s="42">
        <v>25140.560000000001</v>
      </c>
      <c r="X6795" s="42">
        <v>25140.560000000001</v>
      </c>
    </row>
    <row r="6796" spans="1:24">
      <c r="A6796" s="27" t="s">
        <v>12415</v>
      </c>
      <c r="B6796" s="28" t="s">
        <v>12240</v>
      </c>
      <c r="C6796" s="27" t="s">
        <v>12243</v>
      </c>
      <c r="D6796" s="27" t="s">
        <v>5104</v>
      </c>
      <c r="E6796" s="29">
        <v>38657</v>
      </c>
      <c r="F6796" s="27">
        <v>12</v>
      </c>
      <c r="G6796" s="18">
        <v>14800</v>
      </c>
      <c r="H6796" s="27">
        <f t="shared" si="212"/>
        <v>14800</v>
      </c>
      <c r="I6796" s="18">
        <v>14182.05</v>
      </c>
      <c r="J6796" s="27">
        <v>14800</v>
      </c>
      <c r="K6796" s="18">
        <f t="shared" si="213"/>
        <v>14800</v>
      </c>
      <c r="L6796" s="27">
        <v>14060</v>
      </c>
      <c r="M6796" s="36">
        <v>-122.05</v>
      </c>
      <c r="T6796" s="41">
        <v>0</v>
      </c>
      <c r="U6796" s="41">
        <v>0</v>
      </c>
      <c r="V6796" s="42" t="s">
        <v>113</v>
      </c>
      <c r="W6796" s="42">
        <v>14800</v>
      </c>
      <c r="X6796" s="42">
        <v>14800</v>
      </c>
    </row>
    <row r="6797" spans="1:24">
      <c r="A6797" s="27" t="s">
        <v>12416</v>
      </c>
      <c r="B6797" s="28" t="s">
        <v>12240</v>
      </c>
      <c r="C6797" s="27" t="s">
        <v>12417</v>
      </c>
      <c r="D6797" s="27" t="s">
        <v>230</v>
      </c>
      <c r="E6797" s="29">
        <v>34121</v>
      </c>
      <c r="F6797" s="27">
        <v>15</v>
      </c>
      <c r="G6797" s="18">
        <v>66515</v>
      </c>
      <c r="H6797" s="27">
        <f t="shared" si="212"/>
        <v>66515</v>
      </c>
      <c r="I6797" s="18">
        <v>63189.25</v>
      </c>
      <c r="J6797" s="27">
        <v>66515</v>
      </c>
      <c r="K6797" s="18">
        <f t="shared" si="213"/>
        <v>66515</v>
      </c>
      <c r="L6797" s="27">
        <v>63189.25</v>
      </c>
      <c r="M6797" s="36">
        <v>0</v>
      </c>
      <c r="T6797" s="41">
        <v>0</v>
      </c>
      <c r="U6797" s="41">
        <v>0</v>
      </c>
      <c r="V6797" s="42" t="s">
        <v>113</v>
      </c>
      <c r="W6797" s="42">
        <v>66515</v>
      </c>
      <c r="X6797" s="42">
        <v>66515</v>
      </c>
    </row>
    <row r="6798" spans="1:24">
      <c r="A6798" s="27" t="s">
        <v>12418</v>
      </c>
      <c r="B6798" s="28" t="s">
        <v>12240</v>
      </c>
      <c r="C6798" s="27" t="s">
        <v>12419</v>
      </c>
      <c r="D6798" s="27" t="s">
        <v>230</v>
      </c>
      <c r="E6798" s="29">
        <v>36130</v>
      </c>
      <c r="F6798" s="27">
        <v>15</v>
      </c>
      <c r="G6798" s="18">
        <v>46253.8</v>
      </c>
      <c r="H6798" s="27">
        <f t="shared" si="212"/>
        <v>46253.8</v>
      </c>
      <c r="I6798" s="18">
        <v>43941.11</v>
      </c>
      <c r="J6798" s="27">
        <v>46253.8</v>
      </c>
      <c r="K6798" s="18">
        <f t="shared" si="213"/>
        <v>46253.8</v>
      </c>
      <c r="L6798" s="27">
        <v>43941.11</v>
      </c>
      <c r="M6798" s="36">
        <v>0</v>
      </c>
      <c r="T6798" s="41">
        <v>0</v>
      </c>
      <c r="U6798" s="41">
        <v>0</v>
      </c>
      <c r="V6798" s="42" t="s">
        <v>113</v>
      </c>
      <c r="W6798" s="42">
        <v>46253.8</v>
      </c>
      <c r="X6798" s="42">
        <v>46253.8</v>
      </c>
    </row>
    <row r="6799" spans="1:24">
      <c r="A6799" s="27" t="s">
        <v>12420</v>
      </c>
      <c r="B6799" s="28" t="s">
        <v>12240</v>
      </c>
      <c r="C6799" s="27" t="s">
        <v>12421</v>
      </c>
      <c r="D6799" s="27" t="s">
        <v>5104</v>
      </c>
      <c r="E6799" s="29">
        <v>35462</v>
      </c>
      <c r="F6799" s="27">
        <v>15</v>
      </c>
      <c r="G6799" s="18">
        <v>7557.62</v>
      </c>
      <c r="H6799" s="27">
        <f t="shared" si="212"/>
        <v>7557.62</v>
      </c>
      <c r="I6799" s="18">
        <v>7179.74</v>
      </c>
      <c r="J6799" s="27">
        <v>7557.62</v>
      </c>
      <c r="K6799" s="18">
        <f t="shared" si="213"/>
        <v>7557.62</v>
      </c>
      <c r="L6799" s="27">
        <v>7179.74</v>
      </c>
      <c r="M6799" s="36">
        <v>0</v>
      </c>
      <c r="T6799" s="41">
        <v>0</v>
      </c>
      <c r="U6799" s="41">
        <v>0</v>
      </c>
      <c r="V6799" s="42" t="s">
        <v>113</v>
      </c>
      <c r="W6799" s="42">
        <v>7557.62</v>
      </c>
      <c r="X6799" s="42">
        <v>7557.62</v>
      </c>
    </row>
    <row r="6800" spans="1:24">
      <c r="A6800" s="27" t="s">
        <v>12422</v>
      </c>
      <c r="B6800" s="28" t="s">
        <v>12240</v>
      </c>
      <c r="C6800" s="27" t="s">
        <v>12423</v>
      </c>
      <c r="D6800" s="27" t="s">
        <v>5104</v>
      </c>
      <c r="E6800" s="29">
        <v>36039</v>
      </c>
      <c r="F6800" s="27">
        <v>12</v>
      </c>
      <c r="G6800" s="18">
        <v>92574.9</v>
      </c>
      <c r="H6800" s="27">
        <f t="shared" si="212"/>
        <v>92574.9</v>
      </c>
      <c r="I6800" s="18">
        <v>87946.15</v>
      </c>
      <c r="J6800" s="27">
        <v>92574.9</v>
      </c>
      <c r="K6800" s="18">
        <f t="shared" si="213"/>
        <v>92574.9</v>
      </c>
      <c r="L6800" s="27">
        <v>87946.15</v>
      </c>
      <c r="M6800" s="36">
        <v>0</v>
      </c>
      <c r="T6800" s="41">
        <v>0</v>
      </c>
      <c r="U6800" s="41">
        <v>0</v>
      </c>
      <c r="V6800" s="42" t="s">
        <v>113</v>
      </c>
      <c r="W6800" s="42">
        <v>92574.9</v>
      </c>
      <c r="X6800" s="42">
        <v>92574.9</v>
      </c>
    </row>
    <row r="6801" spans="1:24">
      <c r="A6801" s="27" t="s">
        <v>12424</v>
      </c>
      <c r="B6801" s="28" t="s">
        <v>12240</v>
      </c>
      <c r="C6801" s="27" t="s">
        <v>12425</v>
      </c>
      <c r="D6801" s="27" t="s">
        <v>230</v>
      </c>
      <c r="E6801" s="29">
        <v>35247</v>
      </c>
      <c r="F6801" s="27">
        <v>15</v>
      </c>
      <c r="G6801" s="18">
        <v>35154.379999999997</v>
      </c>
      <c r="H6801" s="27">
        <f t="shared" si="212"/>
        <v>35154.379999999997</v>
      </c>
      <c r="I6801" s="18">
        <v>33396.660000000003</v>
      </c>
      <c r="J6801" s="27">
        <v>35154.379999999997</v>
      </c>
      <c r="K6801" s="18">
        <f t="shared" si="213"/>
        <v>35154.379999999997</v>
      </c>
      <c r="L6801" s="27">
        <v>33396.660000000003</v>
      </c>
      <c r="M6801" s="36">
        <v>0</v>
      </c>
      <c r="T6801" s="41">
        <v>0</v>
      </c>
      <c r="U6801" s="41">
        <v>0</v>
      </c>
      <c r="V6801" s="42" t="s">
        <v>113</v>
      </c>
      <c r="W6801" s="42">
        <v>35154.379999999997</v>
      </c>
      <c r="X6801" s="42">
        <v>35154.379999999997</v>
      </c>
    </row>
    <row r="6802" spans="1:24">
      <c r="A6802" s="27" t="s">
        <v>12426</v>
      </c>
      <c r="B6802" s="28" t="s">
        <v>12240</v>
      </c>
      <c r="C6802" s="27" t="s">
        <v>12427</v>
      </c>
      <c r="D6802" s="27" t="s">
        <v>5104</v>
      </c>
      <c r="E6802" s="29">
        <v>35796</v>
      </c>
      <c r="F6802" s="27">
        <v>15</v>
      </c>
      <c r="G6802" s="18">
        <v>29338.99</v>
      </c>
      <c r="H6802" s="27">
        <f t="shared" si="212"/>
        <v>29338.99</v>
      </c>
      <c r="I6802" s="18">
        <v>27872.04</v>
      </c>
      <c r="J6802" s="27">
        <v>29338.99</v>
      </c>
      <c r="K6802" s="18">
        <f t="shared" si="213"/>
        <v>29338.99</v>
      </c>
      <c r="L6802" s="27">
        <v>27872.04</v>
      </c>
      <c r="M6802" s="36">
        <v>0</v>
      </c>
      <c r="T6802" s="41">
        <v>0</v>
      </c>
      <c r="U6802" s="41">
        <v>0</v>
      </c>
      <c r="V6802" s="42" t="s">
        <v>113</v>
      </c>
      <c r="W6802" s="42">
        <v>29338.99</v>
      </c>
      <c r="X6802" s="42">
        <v>29338.99</v>
      </c>
    </row>
    <row r="6803" spans="1:24">
      <c r="A6803" s="27" t="s">
        <v>12428</v>
      </c>
      <c r="B6803" s="28" t="s">
        <v>12240</v>
      </c>
      <c r="C6803" s="27" t="s">
        <v>12429</v>
      </c>
      <c r="D6803" s="27" t="s">
        <v>5104</v>
      </c>
      <c r="E6803" s="29">
        <v>35462</v>
      </c>
      <c r="F6803" s="27">
        <v>15</v>
      </c>
      <c r="G6803" s="18">
        <v>157276.18</v>
      </c>
      <c r="H6803" s="27">
        <f t="shared" si="212"/>
        <v>157276.18</v>
      </c>
      <c r="I6803" s="18">
        <v>149412.37</v>
      </c>
      <c r="J6803" s="27">
        <v>157276.18</v>
      </c>
      <c r="K6803" s="18">
        <f t="shared" si="213"/>
        <v>157276.18</v>
      </c>
      <c r="L6803" s="27">
        <v>149412.37</v>
      </c>
      <c r="M6803" s="36">
        <v>0</v>
      </c>
      <c r="T6803" s="41">
        <v>0</v>
      </c>
      <c r="U6803" s="41">
        <v>0</v>
      </c>
      <c r="V6803" s="42" t="s">
        <v>113</v>
      </c>
      <c r="W6803" s="42">
        <v>157276.18</v>
      </c>
      <c r="X6803" s="42">
        <v>157276.18</v>
      </c>
    </row>
    <row r="6804" spans="1:24">
      <c r="A6804" s="27" t="s">
        <v>12430</v>
      </c>
      <c r="B6804" s="28" t="s">
        <v>12240</v>
      </c>
      <c r="C6804" s="27" t="s">
        <v>12431</v>
      </c>
      <c r="D6804" s="27" t="s">
        <v>5104</v>
      </c>
      <c r="E6804" s="29">
        <v>35582</v>
      </c>
      <c r="F6804" s="27">
        <v>15</v>
      </c>
      <c r="G6804" s="18">
        <v>104365.98</v>
      </c>
      <c r="H6804" s="27">
        <f t="shared" si="212"/>
        <v>104365.98</v>
      </c>
      <c r="I6804" s="18">
        <v>99147.68</v>
      </c>
      <c r="J6804" s="27">
        <v>104365.98</v>
      </c>
      <c r="K6804" s="18">
        <f t="shared" si="213"/>
        <v>104365.98</v>
      </c>
      <c r="L6804" s="27">
        <v>99147.68</v>
      </c>
      <c r="M6804" s="36">
        <v>0</v>
      </c>
      <c r="T6804" s="41">
        <v>0</v>
      </c>
      <c r="U6804" s="41">
        <v>0</v>
      </c>
      <c r="V6804" s="42" t="s">
        <v>113</v>
      </c>
      <c r="W6804" s="42">
        <v>104365.98</v>
      </c>
      <c r="X6804" s="42">
        <v>104365.98</v>
      </c>
    </row>
    <row r="6805" spans="1:24">
      <c r="A6805" s="27" t="s">
        <v>12432</v>
      </c>
      <c r="B6805" s="28" t="s">
        <v>12240</v>
      </c>
      <c r="C6805" s="27" t="s">
        <v>12433</v>
      </c>
      <c r="D6805" s="27" t="s">
        <v>230</v>
      </c>
      <c r="E6805" s="29">
        <v>37347</v>
      </c>
      <c r="F6805" s="27">
        <v>15</v>
      </c>
      <c r="G6805" s="18">
        <v>170840.1</v>
      </c>
      <c r="H6805" s="27">
        <f t="shared" si="212"/>
        <v>170840.1</v>
      </c>
      <c r="I6805" s="18">
        <v>162298.09</v>
      </c>
      <c r="J6805" s="27">
        <v>170840.1</v>
      </c>
      <c r="K6805" s="18">
        <f t="shared" si="213"/>
        <v>170840.1</v>
      </c>
      <c r="L6805" s="27">
        <v>162298.09</v>
      </c>
      <c r="M6805" s="36">
        <v>0</v>
      </c>
      <c r="T6805" s="41">
        <v>0</v>
      </c>
      <c r="U6805" s="41">
        <v>0</v>
      </c>
      <c r="V6805" s="42" t="s">
        <v>113</v>
      </c>
      <c r="W6805" s="42">
        <v>170840.1</v>
      </c>
      <c r="X6805" s="42">
        <v>170840.1</v>
      </c>
    </row>
    <row r="6806" spans="1:24">
      <c r="A6806" s="27" t="s">
        <v>12434</v>
      </c>
      <c r="B6806" s="28" t="s">
        <v>12240</v>
      </c>
      <c r="C6806" s="27" t="s">
        <v>12435</v>
      </c>
      <c r="D6806" s="27" t="s">
        <v>230</v>
      </c>
      <c r="E6806" s="29">
        <v>36892</v>
      </c>
      <c r="F6806" s="27">
        <v>15</v>
      </c>
      <c r="G6806" s="18">
        <v>12277.98</v>
      </c>
      <c r="H6806" s="27">
        <f t="shared" si="212"/>
        <v>12277.98</v>
      </c>
      <c r="I6806" s="18">
        <v>11664.08</v>
      </c>
      <c r="J6806" s="27">
        <v>12277.98</v>
      </c>
      <c r="K6806" s="18">
        <f t="shared" si="213"/>
        <v>12277.98</v>
      </c>
      <c r="L6806" s="27">
        <v>11664.08</v>
      </c>
      <c r="M6806" s="36">
        <v>0</v>
      </c>
      <c r="T6806" s="41">
        <v>0</v>
      </c>
      <c r="U6806" s="41">
        <v>0</v>
      </c>
      <c r="V6806" s="42" t="s">
        <v>113</v>
      </c>
      <c r="W6806" s="42">
        <v>12277.98</v>
      </c>
      <c r="X6806" s="42">
        <v>12277.98</v>
      </c>
    </row>
    <row r="6807" spans="1:24">
      <c r="A6807" s="27" t="s">
        <v>12436</v>
      </c>
      <c r="B6807" s="28" t="s">
        <v>12240</v>
      </c>
      <c r="C6807" s="27" t="s">
        <v>12245</v>
      </c>
      <c r="D6807" s="27" t="s">
        <v>5104</v>
      </c>
      <c r="E6807" s="29">
        <v>38078</v>
      </c>
      <c r="F6807" s="27">
        <v>15</v>
      </c>
      <c r="G6807" s="18">
        <v>14354.79</v>
      </c>
      <c r="H6807" s="27">
        <f t="shared" si="212"/>
        <v>14354.79</v>
      </c>
      <c r="I6807" s="18">
        <v>13637.05</v>
      </c>
      <c r="J6807" s="27">
        <v>14354.79</v>
      </c>
      <c r="K6807" s="18">
        <f t="shared" si="213"/>
        <v>14354.79</v>
      </c>
      <c r="L6807" s="27">
        <v>13637.05</v>
      </c>
      <c r="M6807" s="36">
        <v>0</v>
      </c>
      <c r="T6807" s="41">
        <v>0</v>
      </c>
      <c r="U6807" s="41">
        <v>0</v>
      </c>
      <c r="V6807" s="42" t="s">
        <v>113</v>
      </c>
      <c r="W6807" s="42">
        <v>14354.79</v>
      </c>
      <c r="X6807" s="42">
        <v>14354.79</v>
      </c>
    </row>
    <row r="6808" spans="1:24">
      <c r="A6808" s="27" t="s">
        <v>12437</v>
      </c>
      <c r="B6808" s="28" t="s">
        <v>12240</v>
      </c>
      <c r="C6808" s="27" t="s">
        <v>12438</v>
      </c>
      <c r="D6808" s="27" t="s">
        <v>230</v>
      </c>
      <c r="E6808" s="29">
        <v>37347</v>
      </c>
      <c r="F6808" s="27">
        <v>15</v>
      </c>
      <c r="G6808" s="18">
        <v>39692.370000000003</v>
      </c>
      <c r="H6808" s="27">
        <f t="shared" si="212"/>
        <v>39692.370000000003</v>
      </c>
      <c r="I6808" s="18">
        <v>37707.75</v>
      </c>
      <c r="J6808" s="27">
        <v>39692.370000000003</v>
      </c>
      <c r="K6808" s="18">
        <f t="shared" si="213"/>
        <v>39692.370000000003</v>
      </c>
      <c r="L6808" s="27">
        <v>37707.75</v>
      </c>
      <c r="M6808" s="36">
        <v>0</v>
      </c>
      <c r="T6808" s="41">
        <v>0</v>
      </c>
      <c r="U6808" s="41">
        <v>0</v>
      </c>
      <c r="V6808" s="42" t="s">
        <v>113</v>
      </c>
      <c r="W6808" s="42">
        <v>39692.370000000003</v>
      </c>
      <c r="X6808" s="42">
        <v>39692.370000000003</v>
      </c>
    </row>
    <row r="6809" spans="1:24">
      <c r="A6809" s="27" t="s">
        <v>12439</v>
      </c>
      <c r="B6809" s="28" t="s">
        <v>12240</v>
      </c>
      <c r="C6809" s="27" t="s">
        <v>12440</v>
      </c>
      <c r="D6809" s="27" t="s">
        <v>230</v>
      </c>
      <c r="E6809" s="29">
        <v>37347</v>
      </c>
      <c r="F6809" s="27">
        <v>15</v>
      </c>
      <c r="G6809" s="18">
        <v>45531.09</v>
      </c>
      <c r="H6809" s="27">
        <f t="shared" si="212"/>
        <v>45531.09</v>
      </c>
      <c r="I6809" s="18">
        <v>43254.54</v>
      </c>
      <c r="J6809" s="27">
        <v>45531.09</v>
      </c>
      <c r="K6809" s="18">
        <f t="shared" si="213"/>
        <v>45531.09</v>
      </c>
      <c r="L6809" s="27">
        <v>43254.54</v>
      </c>
      <c r="M6809" s="36">
        <v>0</v>
      </c>
      <c r="T6809" s="41">
        <v>0</v>
      </c>
      <c r="U6809" s="41">
        <v>0</v>
      </c>
      <c r="V6809" s="42" t="s">
        <v>113</v>
      </c>
      <c r="W6809" s="42">
        <v>45531.09</v>
      </c>
      <c r="X6809" s="42">
        <v>45531.09</v>
      </c>
    </row>
    <row r="6810" spans="1:24">
      <c r="A6810" s="27" t="s">
        <v>12441</v>
      </c>
      <c r="B6810" s="28" t="s">
        <v>12240</v>
      </c>
      <c r="C6810" s="27" t="s">
        <v>12442</v>
      </c>
      <c r="D6810" s="27" t="s">
        <v>230</v>
      </c>
      <c r="E6810" s="29">
        <v>36923</v>
      </c>
      <c r="F6810" s="27">
        <v>15</v>
      </c>
      <c r="G6810" s="18">
        <v>40906.19</v>
      </c>
      <c r="H6810" s="27">
        <f t="shared" si="212"/>
        <v>40906.19</v>
      </c>
      <c r="I6810" s="18">
        <v>38860.879999999997</v>
      </c>
      <c r="J6810" s="27">
        <v>40906.19</v>
      </c>
      <c r="K6810" s="18">
        <f t="shared" si="213"/>
        <v>40906.19</v>
      </c>
      <c r="L6810" s="27">
        <v>38860.879999999997</v>
      </c>
      <c r="M6810" s="36">
        <v>0</v>
      </c>
      <c r="T6810" s="41">
        <v>0</v>
      </c>
      <c r="U6810" s="41">
        <v>0</v>
      </c>
      <c r="V6810" s="42" t="s">
        <v>113</v>
      </c>
      <c r="W6810" s="42">
        <v>40906.19</v>
      </c>
      <c r="X6810" s="42">
        <v>40906.19</v>
      </c>
    </row>
    <row r="6811" spans="1:24">
      <c r="A6811" s="27" t="s">
        <v>12443</v>
      </c>
      <c r="B6811" s="28" t="s">
        <v>12240</v>
      </c>
      <c r="C6811" s="27" t="s">
        <v>12245</v>
      </c>
      <c r="D6811" s="27" t="s">
        <v>5104</v>
      </c>
      <c r="E6811" s="29">
        <v>39417</v>
      </c>
      <c r="F6811" s="27">
        <v>15</v>
      </c>
      <c r="G6811" s="18">
        <v>9380</v>
      </c>
      <c r="H6811" s="27">
        <f t="shared" si="212"/>
        <v>0</v>
      </c>
      <c r="I6811" s="18">
        <v>8043.34</v>
      </c>
      <c r="J6811" s="27">
        <v>9380</v>
      </c>
      <c r="K6811" s="18">
        <f t="shared" si="213"/>
        <v>0</v>
      </c>
      <c r="L6811" s="27">
        <v>8260.26</v>
      </c>
      <c r="M6811" s="36">
        <v>216.92</v>
      </c>
      <c r="T6811" s="41">
        <v>0</v>
      </c>
      <c r="U6811" s="41">
        <v>0</v>
      </c>
      <c r="V6811" s="42" t="s">
        <v>113</v>
      </c>
      <c r="W6811" s="42">
        <v>0</v>
      </c>
      <c r="X6811" s="42">
        <v>0</v>
      </c>
    </row>
    <row r="6812" spans="1:24">
      <c r="A6812" s="27" t="s">
        <v>12444</v>
      </c>
      <c r="B6812" s="28" t="s">
        <v>12240</v>
      </c>
      <c r="C6812" s="27" t="s">
        <v>12245</v>
      </c>
      <c r="D6812" s="27" t="s">
        <v>5104</v>
      </c>
      <c r="E6812" s="29">
        <v>39417</v>
      </c>
      <c r="F6812" s="27">
        <v>15</v>
      </c>
      <c r="G6812" s="18">
        <v>33720</v>
      </c>
      <c r="H6812" s="27">
        <f t="shared" si="212"/>
        <v>0</v>
      </c>
      <c r="I6812" s="18">
        <v>30684.46</v>
      </c>
      <c r="J6812" s="27">
        <v>33720</v>
      </c>
      <c r="K6812" s="18">
        <f t="shared" si="213"/>
        <v>0</v>
      </c>
      <c r="L6812" s="27">
        <v>31021.85</v>
      </c>
      <c r="M6812" s="36">
        <v>337.39</v>
      </c>
      <c r="T6812" s="41">
        <v>0</v>
      </c>
      <c r="U6812" s="41">
        <v>0</v>
      </c>
      <c r="V6812" s="42" t="s">
        <v>113</v>
      </c>
      <c r="W6812" s="42">
        <v>0</v>
      </c>
      <c r="X6812" s="42">
        <v>0</v>
      </c>
    </row>
    <row r="6813" spans="1:24">
      <c r="A6813" s="27" t="s">
        <v>12445</v>
      </c>
      <c r="B6813" s="28" t="s">
        <v>12240</v>
      </c>
      <c r="C6813" s="27" t="s">
        <v>12245</v>
      </c>
      <c r="D6813" s="27" t="s">
        <v>5104</v>
      </c>
      <c r="E6813" s="29">
        <v>39417</v>
      </c>
      <c r="F6813" s="27">
        <v>15</v>
      </c>
      <c r="G6813" s="18">
        <v>85280</v>
      </c>
      <c r="H6813" s="27">
        <f t="shared" si="212"/>
        <v>0</v>
      </c>
      <c r="I6813" s="18">
        <v>76199.86</v>
      </c>
      <c r="J6813" s="27">
        <v>85280</v>
      </c>
      <c r="K6813" s="18">
        <f t="shared" si="213"/>
        <v>0</v>
      </c>
      <c r="L6813" s="27">
        <v>77403.899999999994</v>
      </c>
      <c r="M6813" s="36">
        <v>1204.04</v>
      </c>
      <c r="T6813" s="41">
        <v>0</v>
      </c>
      <c r="U6813" s="41">
        <v>0</v>
      </c>
      <c r="V6813" s="42" t="s">
        <v>113</v>
      </c>
      <c r="W6813" s="42">
        <v>0</v>
      </c>
      <c r="X6813" s="42">
        <v>0</v>
      </c>
    </row>
    <row r="6814" spans="1:24">
      <c r="A6814" s="27" t="s">
        <v>12446</v>
      </c>
      <c r="B6814" s="28" t="s">
        <v>12240</v>
      </c>
      <c r="C6814" s="27" t="s">
        <v>12245</v>
      </c>
      <c r="D6814" s="27" t="s">
        <v>5104</v>
      </c>
      <c r="E6814" s="29">
        <v>39417</v>
      </c>
      <c r="F6814" s="27">
        <v>15</v>
      </c>
      <c r="G6814" s="18">
        <v>9770</v>
      </c>
      <c r="H6814" s="27">
        <f t="shared" si="212"/>
        <v>0</v>
      </c>
      <c r="I6814" s="18">
        <v>8850.7999999999993</v>
      </c>
      <c r="J6814" s="27">
        <v>9770</v>
      </c>
      <c r="K6814" s="18">
        <f t="shared" si="213"/>
        <v>0</v>
      </c>
      <c r="L6814" s="27">
        <v>8958.48</v>
      </c>
      <c r="M6814" s="36">
        <v>107.68</v>
      </c>
      <c r="T6814" s="41">
        <v>0</v>
      </c>
      <c r="U6814" s="41">
        <v>0</v>
      </c>
      <c r="V6814" s="42" t="s">
        <v>113</v>
      </c>
      <c r="W6814" s="42">
        <v>0</v>
      </c>
      <c r="X6814" s="42">
        <v>0</v>
      </c>
    </row>
    <row r="6815" spans="1:24">
      <c r="A6815" s="27" t="s">
        <v>12447</v>
      </c>
      <c r="B6815" s="28" t="s">
        <v>12240</v>
      </c>
      <c r="C6815" s="27" t="s">
        <v>12245</v>
      </c>
      <c r="D6815" s="27" t="s">
        <v>5104</v>
      </c>
      <c r="E6815" s="29">
        <v>39417</v>
      </c>
      <c r="F6815" s="27">
        <v>15</v>
      </c>
      <c r="G6815" s="18">
        <v>33720</v>
      </c>
      <c r="H6815" s="27">
        <f t="shared" si="212"/>
        <v>0</v>
      </c>
      <c r="I6815" s="18">
        <v>30719.3</v>
      </c>
      <c r="J6815" s="27">
        <v>33720</v>
      </c>
      <c r="K6815" s="18">
        <f t="shared" si="213"/>
        <v>0</v>
      </c>
      <c r="L6815" s="27">
        <v>31047.98</v>
      </c>
      <c r="M6815" s="36">
        <v>328.68</v>
      </c>
      <c r="T6815" s="41">
        <v>0</v>
      </c>
      <c r="U6815" s="41">
        <v>0</v>
      </c>
      <c r="V6815" s="42" t="s">
        <v>113</v>
      </c>
      <c r="W6815" s="42">
        <v>0</v>
      </c>
      <c r="X6815" s="42">
        <v>0</v>
      </c>
    </row>
    <row r="6816" spans="1:24">
      <c r="A6816" s="27" t="s">
        <v>12448</v>
      </c>
      <c r="B6816" s="28" t="s">
        <v>12240</v>
      </c>
      <c r="C6816" s="27" t="s">
        <v>12245</v>
      </c>
      <c r="D6816" s="27" t="s">
        <v>5104</v>
      </c>
      <c r="E6816" s="29">
        <v>39417</v>
      </c>
      <c r="F6816" s="27">
        <v>15</v>
      </c>
      <c r="G6816" s="18">
        <v>18990</v>
      </c>
      <c r="H6816" s="27">
        <f t="shared" si="212"/>
        <v>0</v>
      </c>
      <c r="I6816" s="18">
        <v>17324.3</v>
      </c>
      <c r="J6816" s="27">
        <v>18990</v>
      </c>
      <c r="K6816" s="18">
        <f t="shared" si="213"/>
        <v>0</v>
      </c>
      <c r="L6816" s="27">
        <v>17503.349999999999</v>
      </c>
      <c r="M6816" s="36">
        <v>179.05</v>
      </c>
      <c r="T6816" s="41">
        <v>0</v>
      </c>
      <c r="U6816" s="41">
        <v>0</v>
      </c>
      <c r="V6816" s="42" t="s">
        <v>113</v>
      </c>
      <c r="W6816" s="42">
        <v>0</v>
      </c>
      <c r="X6816" s="42">
        <v>0</v>
      </c>
    </row>
    <row r="6817" spans="1:24">
      <c r="A6817" s="27" t="s">
        <v>12449</v>
      </c>
      <c r="B6817" s="28" t="s">
        <v>12240</v>
      </c>
      <c r="C6817" s="27" t="s">
        <v>12245</v>
      </c>
      <c r="D6817" s="27" t="s">
        <v>5104</v>
      </c>
      <c r="E6817" s="29">
        <v>39417</v>
      </c>
      <c r="F6817" s="27">
        <v>15</v>
      </c>
      <c r="G6817" s="18">
        <v>18990</v>
      </c>
      <c r="H6817" s="27">
        <f t="shared" si="212"/>
        <v>18990</v>
      </c>
      <c r="I6817" s="18">
        <v>18040.5</v>
      </c>
      <c r="J6817" s="27">
        <v>18990</v>
      </c>
      <c r="K6817" s="18">
        <f t="shared" si="213"/>
        <v>18990</v>
      </c>
      <c r="L6817" s="27">
        <v>18040.5</v>
      </c>
      <c r="M6817" s="36">
        <v>0</v>
      </c>
      <c r="T6817" s="41">
        <v>0</v>
      </c>
      <c r="U6817" s="41">
        <v>0</v>
      </c>
      <c r="V6817" s="42" t="s">
        <v>113</v>
      </c>
      <c r="W6817" s="42">
        <v>18990</v>
      </c>
      <c r="X6817" s="42">
        <v>18990</v>
      </c>
    </row>
    <row r="6818" spans="1:24">
      <c r="A6818" s="27" t="s">
        <v>12450</v>
      </c>
      <c r="B6818" s="28" t="s">
        <v>12240</v>
      </c>
      <c r="C6818" s="27" t="s">
        <v>12245</v>
      </c>
      <c r="D6818" s="27" t="s">
        <v>5104</v>
      </c>
      <c r="E6818" s="29">
        <v>39417</v>
      </c>
      <c r="F6818" s="27">
        <v>15</v>
      </c>
      <c r="G6818" s="18">
        <v>18990</v>
      </c>
      <c r="H6818" s="27">
        <f t="shared" si="212"/>
        <v>0</v>
      </c>
      <c r="I6818" s="18">
        <v>16840.41</v>
      </c>
      <c r="J6818" s="27">
        <v>18990</v>
      </c>
      <c r="K6818" s="18">
        <f t="shared" si="213"/>
        <v>0</v>
      </c>
      <c r="L6818" s="27">
        <v>17140.43</v>
      </c>
      <c r="M6818" s="36">
        <v>300.02</v>
      </c>
      <c r="T6818" s="41">
        <v>0</v>
      </c>
      <c r="U6818" s="41">
        <v>0</v>
      </c>
      <c r="V6818" s="42" t="s">
        <v>113</v>
      </c>
      <c r="W6818" s="42">
        <v>0</v>
      </c>
      <c r="X6818" s="42">
        <v>0</v>
      </c>
    </row>
    <row r="6819" spans="1:24">
      <c r="A6819" s="27" t="s">
        <v>12451</v>
      </c>
      <c r="B6819" s="28" t="s">
        <v>12240</v>
      </c>
      <c r="C6819" s="27" t="s">
        <v>12245</v>
      </c>
      <c r="D6819" s="27" t="s">
        <v>5104</v>
      </c>
      <c r="E6819" s="29">
        <v>39417</v>
      </c>
      <c r="F6819" s="27">
        <v>15</v>
      </c>
      <c r="G6819" s="18">
        <v>18990</v>
      </c>
      <c r="H6819" s="27">
        <f t="shared" si="212"/>
        <v>0</v>
      </c>
      <c r="I6819" s="18">
        <v>16816.2</v>
      </c>
      <c r="J6819" s="27">
        <v>18990</v>
      </c>
      <c r="K6819" s="18">
        <f t="shared" si="213"/>
        <v>0</v>
      </c>
      <c r="L6819" s="27">
        <v>17122.28</v>
      </c>
      <c r="M6819" s="36">
        <v>306.08</v>
      </c>
      <c r="T6819" s="41">
        <v>0</v>
      </c>
      <c r="U6819" s="41">
        <v>0</v>
      </c>
      <c r="V6819" s="42" t="s">
        <v>113</v>
      </c>
      <c r="W6819" s="42">
        <v>0</v>
      </c>
      <c r="X6819" s="42">
        <v>0</v>
      </c>
    </row>
    <row r="6820" spans="1:24">
      <c r="A6820" s="27" t="s">
        <v>12452</v>
      </c>
      <c r="B6820" s="28" t="s">
        <v>12240</v>
      </c>
      <c r="C6820" s="27" t="s">
        <v>12245</v>
      </c>
      <c r="D6820" s="27" t="s">
        <v>5104</v>
      </c>
      <c r="E6820" s="29">
        <v>39417</v>
      </c>
      <c r="F6820" s="27">
        <v>15</v>
      </c>
      <c r="G6820" s="18">
        <v>11640</v>
      </c>
      <c r="H6820" s="27">
        <f t="shared" si="212"/>
        <v>0</v>
      </c>
      <c r="I6820" s="18">
        <v>10218.58</v>
      </c>
      <c r="J6820" s="27">
        <v>11640</v>
      </c>
      <c r="K6820" s="18">
        <f t="shared" si="213"/>
        <v>0</v>
      </c>
      <c r="L6820" s="27">
        <v>10428.44</v>
      </c>
      <c r="M6820" s="36">
        <v>209.86</v>
      </c>
      <c r="T6820" s="41">
        <v>0</v>
      </c>
      <c r="U6820" s="41">
        <v>0</v>
      </c>
      <c r="V6820" s="42" t="s">
        <v>113</v>
      </c>
      <c r="W6820" s="42">
        <v>0</v>
      </c>
      <c r="X6820" s="42">
        <v>0</v>
      </c>
    </row>
    <row r="6821" spans="1:24">
      <c r="A6821" s="27" t="s">
        <v>12453</v>
      </c>
      <c r="B6821" s="28" t="s">
        <v>12240</v>
      </c>
      <c r="C6821" s="27" t="s">
        <v>12245</v>
      </c>
      <c r="D6821" s="27" t="s">
        <v>5104</v>
      </c>
      <c r="E6821" s="29">
        <v>39417</v>
      </c>
      <c r="F6821" s="27">
        <v>15</v>
      </c>
      <c r="G6821" s="18">
        <v>7510</v>
      </c>
      <c r="H6821" s="27">
        <f t="shared" si="212"/>
        <v>0</v>
      </c>
      <c r="I6821" s="18">
        <v>6937.37</v>
      </c>
      <c r="J6821" s="27">
        <v>7510</v>
      </c>
      <c r="K6821" s="18">
        <f t="shared" si="213"/>
        <v>0</v>
      </c>
      <c r="L6821" s="27">
        <v>6986.65</v>
      </c>
      <c r="M6821" s="36">
        <v>49.28</v>
      </c>
      <c r="T6821" s="41">
        <v>0</v>
      </c>
      <c r="U6821" s="41">
        <v>0</v>
      </c>
      <c r="V6821" s="42" t="s">
        <v>113</v>
      </c>
      <c r="W6821" s="42">
        <v>0</v>
      </c>
      <c r="X6821" s="42">
        <v>0</v>
      </c>
    </row>
    <row r="6822" spans="1:24">
      <c r="A6822" s="27" t="s">
        <v>12454</v>
      </c>
      <c r="B6822" s="28" t="s">
        <v>12240</v>
      </c>
      <c r="C6822" s="27" t="s">
        <v>12245</v>
      </c>
      <c r="D6822" s="27" t="s">
        <v>5104</v>
      </c>
      <c r="E6822" s="29">
        <v>39417</v>
      </c>
      <c r="F6822" s="27">
        <v>15</v>
      </c>
      <c r="G6822" s="18">
        <v>25400</v>
      </c>
      <c r="H6822" s="27">
        <f t="shared" si="212"/>
        <v>0</v>
      </c>
      <c r="I6822" s="18">
        <v>22945.51</v>
      </c>
      <c r="J6822" s="27">
        <v>25400</v>
      </c>
      <c r="K6822" s="18">
        <f t="shared" si="213"/>
        <v>0</v>
      </c>
      <c r="L6822" s="27">
        <v>23241.63</v>
      </c>
      <c r="M6822" s="36">
        <v>296.12</v>
      </c>
      <c r="T6822" s="41">
        <v>0</v>
      </c>
      <c r="U6822" s="41">
        <v>0</v>
      </c>
      <c r="V6822" s="42" t="s">
        <v>113</v>
      </c>
      <c r="W6822" s="42">
        <v>0</v>
      </c>
      <c r="X6822" s="42">
        <v>0</v>
      </c>
    </row>
    <row r="6823" spans="1:24">
      <c r="A6823" s="27" t="s">
        <v>12455</v>
      </c>
      <c r="B6823" s="28" t="s">
        <v>12240</v>
      </c>
      <c r="C6823" s="27" t="s">
        <v>12245</v>
      </c>
      <c r="D6823" s="27" t="s">
        <v>5104</v>
      </c>
      <c r="E6823" s="29">
        <v>39417</v>
      </c>
      <c r="F6823" s="27">
        <v>15</v>
      </c>
      <c r="G6823" s="18">
        <v>23760</v>
      </c>
      <c r="H6823" s="27">
        <f t="shared" si="212"/>
        <v>0</v>
      </c>
      <c r="I6823" s="18">
        <v>20979.64</v>
      </c>
      <c r="J6823" s="27">
        <v>23760</v>
      </c>
      <c r="K6823" s="18">
        <f t="shared" si="213"/>
        <v>0</v>
      </c>
      <c r="L6823" s="27">
        <v>21377.73</v>
      </c>
      <c r="M6823" s="36">
        <v>398.09</v>
      </c>
      <c r="T6823" s="41">
        <v>0</v>
      </c>
      <c r="U6823" s="41">
        <v>0</v>
      </c>
      <c r="V6823" s="42" t="s">
        <v>113</v>
      </c>
      <c r="W6823" s="42">
        <v>0</v>
      </c>
      <c r="X6823" s="42">
        <v>0</v>
      </c>
    </row>
    <row r="6824" spans="1:24">
      <c r="A6824" s="27" t="s">
        <v>12456</v>
      </c>
      <c r="B6824" s="28" t="s">
        <v>12240</v>
      </c>
      <c r="C6824" s="27" t="s">
        <v>12245</v>
      </c>
      <c r="D6824" s="27" t="s">
        <v>5104</v>
      </c>
      <c r="E6824" s="29">
        <v>39417</v>
      </c>
      <c r="F6824" s="27">
        <v>15</v>
      </c>
      <c r="G6824" s="18">
        <v>17050</v>
      </c>
      <c r="H6824" s="27">
        <f t="shared" si="212"/>
        <v>0</v>
      </c>
      <c r="I6824" s="18">
        <v>15185.17</v>
      </c>
      <c r="J6824" s="27">
        <v>17050</v>
      </c>
      <c r="K6824" s="18">
        <f t="shared" si="213"/>
        <v>0</v>
      </c>
      <c r="L6824" s="27">
        <v>15438.25</v>
      </c>
      <c r="M6824" s="36">
        <v>253.08</v>
      </c>
      <c r="T6824" s="41">
        <v>0</v>
      </c>
      <c r="U6824" s="41">
        <v>0</v>
      </c>
      <c r="V6824" s="42" t="s">
        <v>113</v>
      </c>
      <c r="W6824" s="42">
        <v>0</v>
      </c>
      <c r="X6824" s="42">
        <v>0</v>
      </c>
    </row>
    <row r="6825" spans="1:24">
      <c r="A6825" s="27" t="s">
        <v>12457</v>
      </c>
      <c r="B6825" s="28" t="s">
        <v>12240</v>
      </c>
      <c r="C6825" s="27" t="s">
        <v>12245</v>
      </c>
      <c r="D6825" s="27" t="s">
        <v>5104</v>
      </c>
      <c r="E6825" s="29">
        <v>39417</v>
      </c>
      <c r="F6825" s="27">
        <v>15</v>
      </c>
      <c r="G6825" s="18">
        <v>18990</v>
      </c>
      <c r="H6825" s="27">
        <f t="shared" si="212"/>
        <v>0</v>
      </c>
      <c r="I6825" s="18">
        <v>17203.32</v>
      </c>
      <c r="J6825" s="27">
        <v>18990</v>
      </c>
      <c r="K6825" s="18">
        <f t="shared" si="213"/>
        <v>0</v>
      </c>
      <c r="L6825" s="27">
        <v>17412.61</v>
      </c>
      <c r="M6825" s="36">
        <v>209.29</v>
      </c>
      <c r="T6825" s="41">
        <v>0</v>
      </c>
      <c r="U6825" s="41">
        <v>0</v>
      </c>
      <c r="V6825" s="42" t="s">
        <v>113</v>
      </c>
      <c r="W6825" s="42">
        <v>0</v>
      </c>
      <c r="X6825" s="42">
        <v>0</v>
      </c>
    </row>
    <row r="6826" spans="1:24">
      <c r="A6826" s="27" t="s">
        <v>12458</v>
      </c>
      <c r="B6826" s="28" t="s">
        <v>12240</v>
      </c>
      <c r="C6826" s="27" t="s">
        <v>12245</v>
      </c>
      <c r="D6826" s="27" t="s">
        <v>5104</v>
      </c>
      <c r="E6826" s="29">
        <v>39417</v>
      </c>
      <c r="F6826" s="27">
        <v>15</v>
      </c>
      <c r="G6826" s="18">
        <v>73280</v>
      </c>
      <c r="H6826" s="27">
        <f t="shared" si="212"/>
        <v>0</v>
      </c>
      <c r="I6826" s="18">
        <v>64424.79</v>
      </c>
      <c r="J6826" s="27">
        <v>73280</v>
      </c>
      <c r="K6826" s="18">
        <f t="shared" si="213"/>
        <v>0</v>
      </c>
      <c r="L6826" s="27">
        <v>65722.59</v>
      </c>
      <c r="M6826" s="36">
        <v>1297.8</v>
      </c>
      <c r="T6826" s="41">
        <v>0</v>
      </c>
      <c r="U6826" s="41">
        <v>0</v>
      </c>
      <c r="V6826" s="42" t="s">
        <v>113</v>
      </c>
      <c r="W6826" s="42">
        <v>0</v>
      </c>
      <c r="X6826" s="42">
        <v>0</v>
      </c>
    </row>
    <row r="6827" spans="1:24">
      <c r="A6827" s="27" t="s">
        <v>12459</v>
      </c>
      <c r="B6827" s="28" t="s">
        <v>12240</v>
      </c>
      <c r="C6827" s="27" t="s">
        <v>12245</v>
      </c>
      <c r="D6827" s="27" t="s">
        <v>5104</v>
      </c>
      <c r="E6827" s="29">
        <v>39417</v>
      </c>
      <c r="F6827" s="27">
        <v>15</v>
      </c>
      <c r="G6827" s="18">
        <v>13680</v>
      </c>
      <c r="H6827" s="27">
        <f t="shared" si="212"/>
        <v>0</v>
      </c>
      <c r="I6827" s="18">
        <v>12288.34</v>
      </c>
      <c r="J6827" s="27">
        <v>13680</v>
      </c>
      <c r="K6827" s="18">
        <f t="shared" si="213"/>
        <v>0</v>
      </c>
      <c r="L6827" s="27">
        <v>12465.26</v>
      </c>
      <c r="M6827" s="36">
        <v>176.92</v>
      </c>
      <c r="T6827" s="41">
        <v>0</v>
      </c>
      <c r="U6827" s="41">
        <v>0</v>
      </c>
      <c r="V6827" s="42" t="s">
        <v>113</v>
      </c>
      <c r="W6827" s="42">
        <v>0</v>
      </c>
      <c r="X6827" s="42">
        <v>0</v>
      </c>
    </row>
    <row r="6828" spans="1:24">
      <c r="A6828" s="27" t="s">
        <v>12460</v>
      </c>
      <c r="B6828" s="28" t="s">
        <v>12240</v>
      </c>
      <c r="C6828" s="27" t="s">
        <v>12245</v>
      </c>
      <c r="D6828" s="27" t="s">
        <v>5104</v>
      </c>
      <c r="E6828" s="29">
        <v>39417</v>
      </c>
      <c r="F6828" s="27">
        <v>15</v>
      </c>
      <c r="G6828" s="18">
        <v>18990</v>
      </c>
      <c r="H6828" s="27">
        <f t="shared" si="212"/>
        <v>0</v>
      </c>
      <c r="I6828" s="18">
        <v>17687.23</v>
      </c>
      <c r="J6828" s="27">
        <v>18990</v>
      </c>
      <c r="K6828" s="18">
        <f t="shared" si="213"/>
        <v>0</v>
      </c>
      <c r="L6828" s="27">
        <v>17775.55</v>
      </c>
      <c r="M6828" s="36">
        <v>88.32</v>
      </c>
      <c r="T6828" s="41">
        <v>0</v>
      </c>
      <c r="U6828" s="41">
        <v>0</v>
      </c>
      <c r="V6828" s="42" t="s">
        <v>113</v>
      </c>
      <c r="W6828" s="42">
        <v>0</v>
      </c>
      <c r="X6828" s="42">
        <v>0</v>
      </c>
    </row>
    <row r="6829" spans="1:24">
      <c r="A6829" s="27" t="s">
        <v>12461</v>
      </c>
      <c r="B6829" s="28" t="s">
        <v>12240</v>
      </c>
      <c r="C6829" s="27" t="s">
        <v>12245</v>
      </c>
      <c r="D6829" s="27" t="s">
        <v>5104</v>
      </c>
      <c r="E6829" s="29">
        <v>39417</v>
      </c>
      <c r="F6829" s="27">
        <v>15</v>
      </c>
      <c r="G6829" s="18">
        <v>18990</v>
      </c>
      <c r="H6829" s="27">
        <f t="shared" si="212"/>
        <v>0</v>
      </c>
      <c r="I6829" s="18">
        <v>17058.16</v>
      </c>
      <c r="J6829" s="27">
        <v>18990</v>
      </c>
      <c r="K6829" s="18">
        <f t="shared" si="213"/>
        <v>0</v>
      </c>
      <c r="L6829" s="27">
        <v>17303.75</v>
      </c>
      <c r="M6829" s="36">
        <v>245.59</v>
      </c>
      <c r="T6829" s="41">
        <v>0</v>
      </c>
      <c r="U6829" s="41">
        <v>0</v>
      </c>
      <c r="V6829" s="42" t="s">
        <v>113</v>
      </c>
      <c r="W6829" s="42">
        <v>0</v>
      </c>
      <c r="X6829" s="42">
        <v>0</v>
      </c>
    </row>
    <row r="6830" spans="1:24">
      <c r="A6830" s="27" t="s">
        <v>12462</v>
      </c>
      <c r="B6830" s="28" t="s">
        <v>12240</v>
      </c>
      <c r="C6830" s="27" t="s">
        <v>12463</v>
      </c>
      <c r="D6830" s="27" t="s">
        <v>230</v>
      </c>
      <c r="E6830" s="29">
        <v>39417</v>
      </c>
      <c r="F6830" s="27">
        <v>15</v>
      </c>
      <c r="G6830" s="18">
        <v>34030</v>
      </c>
      <c r="H6830" s="27">
        <f t="shared" si="212"/>
        <v>0</v>
      </c>
      <c r="I6830" s="18">
        <v>29961.15</v>
      </c>
      <c r="J6830" s="27">
        <v>34030</v>
      </c>
      <c r="K6830" s="18">
        <f t="shared" si="213"/>
        <v>0</v>
      </c>
      <c r="L6830" s="27">
        <v>30552.99</v>
      </c>
      <c r="M6830" s="36">
        <v>591.84</v>
      </c>
      <c r="T6830" s="41">
        <v>0</v>
      </c>
      <c r="U6830" s="41">
        <v>0</v>
      </c>
      <c r="V6830" s="42" t="s">
        <v>113</v>
      </c>
      <c r="W6830" s="42">
        <v>0</v>
      </c>
      <c r="X6830" s="42">
        <v>0</v>
      </c>
    </row>
    <row r="6831" spans="1:24">
      <c r="A6831" s="27" t="s">
        <v>12464</v>
      </c>
      <c r="B6831" s="28" t="s">
        <v>12240</v>
      </c>
      <c r="C6831" s="27" t="s">
        <v>12243</v>
      </c>
      <c r="D6831" s="27" t="s">
        <v>5104</v>
      </c>
      <c r="E6831" s="29">
        <v>39114</v>
      </c>
      <c r="F6831" s="27">
        <v>15</v>
      </c>
      <c r="G6831" s="18">
        <v>12250</v>
      </c>
      <c r="H6831" s="27">
        <f t="shared" si="212"/>
        <v>0</v>
      </c>
      <c r="I6831" s="18">
        <v>10888.82</v>
      </c>
      <c r="J6831" s="27">
        <v>12250</v>
      </c>
      <c r="K6831" s="18">
        <f t="shared" si="213"/>
        <v>0</v>
      </c>
      <c r="L6831" s="27">
        <v>11125.25</v>
      </c>
      <c r="M6831" s="36">
        <v>236.43</v>
      </c>
      <c r="T6831" s="41">
        <v>0</v>
      </c>
      <c r="U6831" s="41">
        <v>0</v>
      </c>
      <c r="V6831" s="42" t="s">
        <v>113</v>
      </c>
      <c r="W6831" s="42">
        <v>0</v>
      </c>
      <c r="X6831" s="42">
        <v>0</v>
      </c>
    </row>
    <row r="6832" spans="1:24">
      <c r="A6832" s="27" t="s">
        <v>12465</v>
      </c>
      <c r="B6832" s="28" t="s">
        <v>12240</v>
      </c>
      <c r="C6832" s="27" t="s">
        <v>12466</v>
      </c>
      <c r="D6832" s="27" t="s">
        <v>230</v>
      </c>
      <c r="E6832" s="29">
        <v>39114</v>
      </c>
      <c r="F6832" s="27">
        <v>15</v>
      </c>
      <c r="G6832" s="18">
        <v>95375</v>
      </c>
      <c r="H6832" s="27">
        <f t="shared" si="212"/>
        <v>0</v>
      </c>
      <c r="I6832" s="18">
        <v>84777.31</v>
      </c>
      <c r="J6832" s="27">
        <v>95375</v>
      </c>
      <c r="K6832" s="18">
        <f t="shared" si="213"/>
        <v>0</v>
      </c>
      <c r="L6832" s="27">
        <v>86618.03</v>
      </c>
      <c r="M6832" s="36">
        <v>1840.72</v>
      </c>
      <c r="T6832" s="41">
        <v>0</v>
      </c>
      <c r="U6832" s="41">
        <v>0</v>
      </c>
      <c r="V6832" s="42" t="s">
        <v>113</v>
      </c>
      <c r="W6832" s="42">
        <v>0</v>
      </c>
      <c r="X6832" s="42">
        <v>0</v>
      </c>
    </row>
    <row r="6833" spans="1:24">
      <c r="A6833" s="27" t="s">
        <v>12467</v>
      </c>
      <c r="B6833" s="28" t="s">
        <v>12240</v>
      </c>
      <c r="C6833" s="27" t="s">
        <v>12243</v>
      </c>
      <c r="D6833" s="27" t="s">
        <v>5104</v>
      </c>
      <c r="E6833" s="29">
        <v>39114</v>
      </c>
      <c r="F6833" s="27">
        <v>15</v>
      </c>
      <c r="G6833" s="18">
        <v>12250</v>
      </c>
      <c r="H6833" s="27">
        <f t="shared" si="212"/>
        <v>0</v>
      </c>
      <c r="I6833" s="18">
        <v>10888.82</v>
      </c>
      <c r="J6833" s="27">
        <v>12250</v>
      </c>
      <c r="K6833" s="18">
        <f t="shared" si="213"/>
        <v>0</v>
      </c>
      <c r="L6833" s="27">
        <v>11125.25</v>
      </c>
      <c r="M6833" s="36">
        <v>236.43</v>
      </c>
      <c r="T6833" s="41">
        <v>0</v>
      </c>
      <c r="U6833" s="41">
        <v>0</v>
      </c>
      <c r="V6833" s="42" t="s">
        <v>113</v>
      </c>
      <c r="W6833" s="42">
        <v>0</v>
      </c>
      <c r="X6833" s="42">
        <v>0</v>
      </c>
    </row>
    <row r="6834" spans="1:24">
      <c r="A6834" s="27" t="s">
        <v>12468</v>
      </c>
      <c r="B6834" s="28" t="s">
        <v>12240</v>
      </c>
      <c r="C6834" s="27" t="s">
        <v>12469</v>
      </c>
      <c r="D6834" s="27" t="s">
        <v>230</v>
      </c>
      <c r="E6834" s="29">
        <v>39114</v>
      </c>
      <c r="F6834" s="27">
        <v>15</v>
      </c>
      <c r="G6834" s="18">
        <v>90797</v>
      </c>
      <c r="H6834" s="27">
        <f t="shared" si="212"/>
        <v>0</v>
      </c>
      <c r="I6834" s="18">
        <v>80707.990000000005</v>
      </c>
      <c r="J6834" s="27">
        <v>90797</v>
      </c>
      <c r="K6834" s="18">
        <f t="shared" si="213"/>
        <v>0</v>
      </c>
      <c r="L6834" s="27">
        <v>82460.36</v>
      </c>
      <c r="M6834" s="36">
        <v>1752.37</v>
      </c>
      <c r="T6834" s="41">
        <v>0</v>
      </c>
      <c r="U6834" s="41">
        <v>0</v>
      </c>
      <c r="V6834" s="42" t="s">
        <v>113</v>
      </c>
      <c r="W6834" s="42">
        <v>0</v>
      </c>
      <c r="X6834" s="42">
        <v>0</v>
      </c>
    </row>
    <row r="6835" spans="1:24">
      <c r="A6835" s="27" t="s">
        <v>12470</v>
      </c>
      <c r="B6835" s="28" t="s">
        <v>12240</v>
      </c>
      <c r="C6835" s="27" t="s">
        <v>12471</v>
      </c>
      <c r="D6835" s="27" t="s">
        <v>230</v>
      </c>
      <c r="E6835" s="29">
        <v>37347</v>
      </c>
      <c r="F6835" s="27">
        <v>15</v>
      </c>
      <c r="G6835" s="18">
        <v>19047.060000000001</v>
      </c>
      <c r="H6835" s="27">
        <f t="shared" si="212"/>
        <v>19047.060000000001</v>
      </c>
      <c r="I6835" s="18">
        <v>18094.71</v>
      </c>
      <c r="J6835" s="27">
        <v>19047.060000000001</v>
      </c>
      <c r="K6835" s="18">
        <f t="shared" si="213"/>
        <v>19047.060000000001</v>
      </c>
      <c r="L6835" s="27">
        <v>18094.71</v>
      </c>
      <c r="M6835" s="36">
        <v>0</v>
      </c>
      <c r="T6835" s="41">
        <v>0</v>
      </c>
      <c r="U6835" s="41">
        <v>0</v>
      </c>
      <c r="V6835" s="42" t="s">
        <v>113</v>
      </c>
      <c r="W6835" s="42">
        <v>19047.060000000001</v>
      </c>
      <c r="X6835" s="42">
        <v>19047.060000000001</v>
      </c>
    </row>
    <row r="6836" spans="1:24">
      <c r="A6836" s="27" t="s">
        <v>12472</v>
      </c>
      <c r="B6836" s="28" t="s">
        <v>12240</v>
      </c>
      <c r="C6836" s="27" t="s">
        <v>12473</v>
      </c>
      <c r="D6836" s="27" t="s">
        <v>230</v>
      </c>
      <c r="E6836" s="29">
        <v>37347</v>
      </c>
      <c r="F6836" s="27">
        <v>15</v>
      </c>
      <c r="G6836" s="18">
        <v>450046.82</v>
      </c>
      <c r="H6836" s="27">
        <f t="shared" si="212"/>
        <v>450046.82</v>
      </c>
      <c r="I6836" s="18">
        <v>427544.48</v>
      </c>
      <c r="J6836" s="27">
        <v>450046.82</v>
      </c>
      <c r="K6836" s="18">
        <f t="shared" si="213"/>
        <v>450046.82</v>
      </c>
      <c r="L6836" s="27">
        <v>427544.48</v>
      </c>
      <c r="M6836" s="36">
        <v>0</v>
      </c>
      <c r="T6836" s="41">
        <v>0</v>
      </c>
      <c r="U6836" s="41">
        <v>0</v>
      </c>
      <c r="V6836" s="42" t="s">
        <v>113</v>
      </c>
      <c r="W6836" s="42">
        <v>450046.82</v>
      </c>
      <c r="X6836" s="42">
        <v>450046.82</v>
      </c>
    </row>
    <row r="6837" spans="1:24">
      <c r="A6837" s="27" t="s">
        <v>12474</v>
      </c>
      <c r="B6837" s="28" t="s">
        <v>12240</v>
      </c>
      <c r="C6837" s="27" t="s">
        <v>12245</v>
      </c>
      <c r="D6837" s="27" t="s">
        <v>5104</v>
      </c>
      <c r="E6837" s="29">
        <v>36495</v>
      </c>
      <c r="F6837" s="27">
        <v>15</v>
      </c>
      <c r="G6837" s="18">
        <v>33340.42</v>
      </c>
      <c r="H6837" s="27">
        <f t="shared" si="212"/>
        <v>33340.42</v>
      </c>
      <c r="I6837" s="18">
        <v>31673.4</v>
      </c>
      <c r="J6837" s="27">
        <v>33340.42</v>
      </c>
      <c r="K6837" s="18">
        <f t="shared" si="213"/>
        <v>33340.42</v>
      </c>
      <c r="L6837" s="27">
        <v>31673.4</v>
      </c>
      <c r="M6837" s="36">
        <v>0</v>
      </c>
      <c r="T6837" s="41">
        <v>0</v>
      </c>
      <c r="U6837" s="41">
        <v>0</v>
      </c>
      <c r="V6837" s="42" t="s">
        <v>113</v>
      </c>
      <c r="W6837" s="42">
        <v>33340.42</v>
      </c>
      <c r="X6837" s="42">
        <v>33340.42</v>
      </c>
    </row>
    <row r="6838" spans="1:24">
      <c r="A6838" s="27" t="s">
        <v>12475</v>
      </c>
      <c r="B6838" s="28" t="s">
        <v>12240</v>
      </c>
      <c r="C6838" s="27" t="s">
        <v>12245</v>
      </c>
      <c r="D6838" s="27" t="s">
        <v>5104</v>
      </c>
      <c r="E6838" s="29">
        <v>39417</v>
      </c>
      <c r="F6838" s="27">
        <v>15</v>
      </c>
      <c r="G6838" s="18">
        <v>33899.360000000001</v>
      </c>
      <c r="H6838" s="27">
        <f t="shared" si="212"/>
        <v>0</v>
      </c>
      <c r="I6838" s="18">
        <v>28912.73</v>
      </c>
      <c r="J6838" s="27">
        <v>33899.360000000001</v>
      </c>
      <c r="K6838" s="18">
        <f t="shared" si="213"/>
        <v>0</v>
      </c>
      <c r="L6838" s="27">
        <v>29735.65</v>
      </c>
      <c r="M6838" s="36">
        <v>822.92</v>
      </c>
      <c r="T6838" s="41">
        <v>0</v>
      </c>
      <c r="U6838" s="41">
        <v>0</v>
      </c>
      <c r="V6838" s="42" t="s">
        <v>113</v>
      </c>
      <c r="W6838" s="42">
        <v>0</v>
      </c>
      <c r="X6838" s="42">
        <v>0</v>
      </c>
    </row>
    <row r="6839" spans="1:24">
      <c r="A6839" s="27" t="s">
        <v>12476</v>
      </c>
      <c r="B6839" s="28" t="s">
        <v>12240</v>
      </c>
      <c r="C6839" s="27" t="s">
        <v>12245</v>
      </c>
      <c r="D6839" s="27" t="s">
        <v>230</v>
      </c>
      <c r="E6839" s="29">
        <v>36495</v>
      </c>
      <c r="F6839" s="27">
        <v>15</v>
      </c>
      <c r="G6839" s="18">
        <v>44263.21</v>
      </c>
      <c r="H6839" s="27">
        <f t="shared" si="212"/>
        <v>44263.21</v>
      </c>
      <c r="I6839" s="18">
        <v>42050.05</v>
      </c>
      <c r="J6839" s="27">
        <v>44263.21</v>
      </c>
      <c r="K6839" s="18">
        <f t="shared" si="213"/>
        <v>44263.21</v>
      </c>
      <c r="L6839" s="27">
        <v>42050.05</v>
      </c>
      <c r="M6839" s="36">
        <v>0</v>
      </c>
      <c r="T6839" s="41">
        <v>0</v>
      </c>
      <c r="U6839" s="41">
        <v>0</v>
      </c>
      <c r="V6839" s="42" t="s">
        <v>113</v>
      </c>
      <c r="W6839" s="42">
        <v>44263.21</v>
      </c>
      <c r="X6839" s="42">
        <v>44263.21</v>
      </c>
    </row>
    <row r="6840" spans="1:24">
      <c r="A6840" s="27" t="s">
        <v>12477</v>
      </c>
      <c r="B6840" s="28" t="s">
        <v>12240</v>
      </c>
      <c r="C6840" s="27" t="s">
        <v>12245</v>
      </c>
      <c r="D6840" s="27" t="s">
        <v>5104</v>
      </c>
      <c r="E6840" s="29">
        <v>36495</v>
      </c>
      <c r="F6840" s="27">
        <v>15</v>
      </c>
      <c r="G6840" s="18">
        <v>15031.1</v>
      </c>
      <c r="H6840" s="27">
        <f t="shared" si="212"/>
        <v>15031.1</v>
      </c>
      <c r="I6840" s="18">
        <v>14279.54</v>
      </c>
      <c r="J6840" s="27">
        <v>15031.1</v>
      </c>
      <c r="K6840" s="18">
        <f t="shared" si="213"/>
        <v>15031.1</v>
      </c>
      <c r="L6840" s="27">
        <v>14279.54</v>
      </c>
      <c r="M6840" s="36">
        <v>0</v>
      </c>
      <c r="T6840" s="41">
        <v>0</v>
      </c>
      <c r="U6840" s="41">
        <v>0</v>
      </c>
      <c r="V6840" s="42" t="s">
        <v>113</v>
      </c>
      <c r="W6840" s="42">
        <v>15031.1</v>
      </c>
      <c r="X6840" s="42">
        <v>15031.1</v>
      </c>
    </row>
    <row r="6841" spans="1:24">
      <c r="A6841" s="27" t="s">
        <v>12478</v>
      </c>
      <c r="B6841" s="28" t="s">
        <v>12240</v>
      </c>
      <c r="C6841" s="27" t="s">
        <v>12479</v>
      </c>
      <c r="D6841" s="27" t="s">
        <v>230</v>
      </c>
      <c r="E6841" s="29">
        <v>36495</v>
      </c>
      <c r="F6841" s="27">
        <v>15</v>
      </c>
      <c r="G6841" s="18">
        <v>11972.07</v>
      </c>
      <c r="H6841" s="27">
        <f t="shared" si="212"/>
        <v>11972.07</v>
      </c>
      <c r="I6841" s="18">
        <v>11373.47</v>
      </c>
      <c r="J6841" s="27">
        <v>11972.07</v>
      </c>
      <c r="K6841" s="18">
        <f t="shared" si="213"/>
        <v>11972.07</v>
      </c>
      <c r="L6841" s="27">
        <v>11373.47</v>
      </c>
      <c r="M6841" s="36">
        <v>0</v>
      </c>
      <c r="T6841" s="41">
        <v>0</v>
      </c>
      <c r="U6841" s="41">
        <v>0</v>
      </c>
      <c r="V6841" s="42" t="s">
        <v>113</v>
      </c>
      <c r="W6841" s="42">
        <v>11972.07</v>
      </c>
      <c r="X6841" s="42">
        <v>11972.07</v>
      </c>
    </row>
    <row r="6842" spans="1:24">
      <c r="A6842" s="27" t="s">
        <v>12480</v>
      </c>
      <c r="B6842" s="28" t="s">
        <v>12240</v>
      </c>
      <c r="C6842" s="27" t="s">
        <v>12481</v>
      </c>
      <c r="D6842" s="27" t="s">
        <v>230</v>
      </c>
      <c r="E6842" s="29">
        <v>36495</v>
      </c>
      <c r="F6842" s="27">
        <v>15</v>
      </c>
      <c r="G6842" s="18">
        <v>15031.1</v>
      </c>
      <c r="H6842" s="27">
        <f t="shared" si="212"/>
        <v>15031.1</v>
      </c>
      <c r="I6842" s="18">
        <v>14279.54</v>
      </c>
      <c r="J6842" s="27">
        <v>15031.1</v>
      </c>
      <c r="K6842" s="18">
        <f t="shared" si="213"/>
        <v>15031.1</v>
      </c>
      <c r="L6842" s="27">
        <v>14279.54</v>
      </c>
      <c r="M6842" s="36">
        <v>0</v>
      </c>
      <c r="T6842" s="41">
        <v>0</v>
      </c>
      <c r="U6842" s="41">
        <v>0</v>
      </c>
      <c r="V6842" s="42" t="s">
        <v>113</v>
      </c>
      <c r="W6842" s="42">
        <v>15031.1</v>
      </c>
      <c r="X6842" s="42">
        <v>15031.1</v>
      </c>
    </row>
    <row r="6843" spans="1:24">
      <c r="A6843" s="27" t="s">
        <v>12482</v>
      </c>
      <c r="B6843" s="28" t="s">
        <v>12240</v>
      </c>
      <c r="C6843" s="27" t="s">
        <v>12252</v>
      </c>
      <c r="D6843" s="27" t="s">
        <v>5104</v>
      </c>
      <c r="E6843" s="29">
        <v>33939</v>
      </c>
      <c r="F6843" s="27">
        <v>15</v>
      </c>
      <c r="G6843" s="18">
        <v>19600</v>
      </c>
      <c r="H6843" s="27">
        <f t="shared" si="212"/>
        <v>19600</v>
      </c>
      <c r="I6843" s="18">
        <v>18620</v>
      </c>
      <c r="J6843" s="27">
        <v>19600</v>
      </c>
      <c r="K6843" s="18">
        <f t="shared" si="213"/>
        <v>19600</v>
      </c>
      <c r="L6843" s="27">
        <v>18620</v>
      </c>
      <c r="M6843" s="36">
        <v>0</v>
      </c>
      <c r="T6843" s="41">
        <v>0</v>
      </c>
      <c r="U6843" s="41">
        <v>0</v>
      </c>
      <c r="V6843" s="42" t="s">
        <v>113</v>
      </c>
      <c r="W6843" s="42">
        <v>19600</v>
      </c>
      <c r="X6843" s="42">
        <v>19600</v>
      </c>
    </row>
    <row r="6844" spans="1:24">
      <c r="A6844" s="27" t="s">
        <v>12483</v>
      </c>
      <c r="B6844" s="28" t="s">
        <v>12240</v>
      </c>
      <c r="C6844" s="27" t="s">
        <v>12484</v>
      </c>
      <c r="D6844" s="27" t="s">
        <v>230</v>
      </c>
      <c r="E6844" s="29">
        <v>33939</v>
      </c>
      <c r="F6844" s="27">
        <v>15</v>
      </c>
      <c r="G6844" s="18">
        <v>19600</v>
      </c>
      <c r="H6844" s="27">
        <f t="shared" si="212"/>
        <v>19600</v>
      </c>
      <c r="I6844" s="18">
        <v>18620</v>
      </c>
      <c r="J6844" s="27">
        <v>19600</v>
      </c>
      <c r="K6844" s="18">
        <f t="shared" si="213"/>
        <v>19600</v>
      </c>
      <c r="L6844" s="27">
        <v>18620</v>
      </c>
      <c r="M6844" s="36">
        <v>0</v>
      </c>
      <c r="T6844" s="41">
        <v>0</v>
      </c>
      <c r="U6844" s="41">
        <v>0</v>
      </c>
      <c r="V6844" s="42" t="s">
        <v>113</v>
      </c>
      <c r="W6844" s="42">
        <v>19600</v>
      </c>
      <c r="X6844" s="42">
        <v>19600</v>
      </c>
    </row>
    <row r="6845" spans="1:24">
      <c r="A6845" s="27" t="s">
        <v>12485</v>
      </c>
      <c r="B6845" s="28" t="s">
        <v>12240</v>
      </c>
      <c r="C6845" s="27" t="s">
        <v>12486</v>
      </c>
      <c r="D6845" s="27" t="s">
        <v>230</v>
      </c>
      <c r="E6845" s="29">
        <v>35796</v>
      </c>
      <c r="F6845" s="27">
        <v>15</v>
      </c>
      <c r="G6845" s="18">
        <v>6266.04</v>
      </c>
      <c r="H6845" s="27">
        <f t="shared" si="212"/>
        <v>6266.04</v>
      </c>
      <c r="I6845" s="18">
        <v>5952.74</v>
      </c>
      <c r="J6845" s="27">
        <v>6266.04</v>
      </c>
      <c r="K6845" s="18">
        <f t="shared" si="213"/>
        <v>6266.04</v>
      </c>
      <c r="L6845" s="27">
        <v>5952.74</v>
      </c>
      <c r="M6845" s="36">
        <v>0</v>
      </c>
      <c r="T6845" s="41">
        <v>0</v>
      </c>
      <c r="U6845" s="41">
        <v>0</v>
      </c>
      <c r="V6845" s="42" t="s">
        <v>113</v>
      </c>
      <c r="W6845" s="42">
        <v>6266.04</v>
      </c>
      <c r="X6845" s="42">
        <v>6266.04</v>
      </c>
    </row>
    <row r="6846" spans="1:24">
      <c r="A6846" s="27" t="s">
        <v>12487</v>
      </c>
      <c r="B6846" s="28" t="s">
        <v>12240</v>
      </c>
      <c r="C6846" s="27" t="s">
        <v>12488</v>
      </c>
      <c r="D6846" s="27" t="s">
        <v>230</v>
      </c>
      <c r="E6846" s="29">
        <v>35796</v>
      </c>
      <c r="F6846" s="27">
        <v>15</v>
      </c>
      <c r="G6846" s="18">
        <v>14302.92</v>
      </c>
      <c r="H6846" s="27">
        <f t="shared" si="212"/>
        <v>14302.92</v>
      </c>
      <c r="I6846" s="18">
        <v>13587.77</v>
      </c>
      <c r="J6846" s="27">
        <v>14302.92</v>
      </c>
      <c r="K6846" s="18">
        <f t="shared" si="213"/>
        <v>14302.92</v>
      </c>
      <c r="L6846" s="27">
        <v>13587.77</v>
      </c>
      <c r="M6846" s="36">
        <v>0</v>
      </c>
      <c r="T6846" s="41">
        <v>0</v>
      </c>
      <c r="U6846" s="41">
        <v>0</v>
      </c>
      <c r="V6846" s="42" t="s">
        <v>113</v>
      </c>
      <c r="W6846" s="42">
        <v>14302.92</v>
      </c>
      <c r="X6846" s="42">
        <v>14302.92</v>
      </c>
    </row>
    <row r="6847" spans="1:24">
      <c r="A6847" s="27" t="s">
        <v>12489</v>
      </c>
      <c r="B6847" s="28" t="s">
        <v>12240</v>
      </c>
      <c r="C6847" s="27" t="s">
        <v>12490</v>
      </c>
      <c r="D6847" s="27" t="s">
        <v>230</v>
      </c>
      <c r="E6847" s="29">
        <v>39417</v>
      </c>
      <c r="F6847" s="27">
        <v>15</v>
      </c>
      <c r="G6847" s="18">
        <v>10480</v>
      </c>
      <c r="H6847" s="27">
        <f t="shared" si="212"/>
        <v>0</v>
      </c>
      <c r="I6847" s="18">
        <v>9547.4</v>
      </c>
      <c r="J6847" s="27">
        <v>10480</v>
      </c>
      <c r="K6847" s="18">
        <f t="shared" si="213"/>
        <v>0</v>
      </c>
      <c r="L6847" s="27">
        <v>9649.5499999999993</v>
      </c>
      <c r="M6847" s="36">
        <v>102.15</v>
      </c>
      <c r="T6847" s="41">
        <v>0</v>
      </c>
      <c r="U6847" s="41">
        <v>0</v>
      </c>
      <c r="V6847" s="42" t="s">
        <v>113</v>
      </c>
      <c r="W6847" s="42">
        <v>0</v>
      </c>
      <c r="X6847" s="42">
        <v>0</v>
      </c>
    </row>
    <row r="6848" spans="1:24">
      <c r="A6848" s="27" t="s">
        <v>12491</v>
      </c>
      <c r="B6848" s="28" t="s">
        <v>12240</v>
      </c>
      <c r="C6848" s="27" t="s">
        <v>12492</v>
      </c>
      <c r="D6848" s="27" t="s">
        <v>230</v>
      </c>
      <c r="E6848" s="29">
        <v>39417</v>
      </c>
      <c r="F6848" s="27">
        <v>15</v>
      </c>
      <c r="G6848" s="18">
        <v>25129.5</v>
      </c>
      <c r="H6848" s="27">
        <f t="shared" si="212"/>
        <v>0</v>
      </c>
      <c r="I6848" s="18">
        <v>21121.94</v>
      </c>
      <c r="J6848" s="27">
        <v>25129.5</v>
      </c>
      <c r="K6848" s="18">
        <f t="shared" si="213"/>
        <v>0</v>
      </c>
      <c r="L6848" s="27">
        <v>21809.71</v>
      </c>
      <c r="M6848" s="36">
        <v>687.77</v>
      </c>
      <c r="T6848" s="41">
        <v>0</v>
      </c>
      <c r="U6848" s="41">
        <v>0</v>
      </c>
      <c r="V6848" s="42" t="s">
        <v>113</v>
      </c>
      <c r="W6848" s="42">
        <v>0</v>
      </c>
      <c r="X6848" s="42">
        <v>0</v>
      </c>
    </row>
    <row r="6849" spans="1:24">
      <c r="A6849" s="27" t="s">
        <v>12493</v>
      </c>
      <c r="B6849" s="28" t="s">
        <v>12240</v>
      </c>
      <c r="C6849" s="27" t="s">
        <v>12494</v>
      </c>
      <c r="D6849" s="27" t="s">
        <v>230</v>
      </c>
      <c r="E6849" s="29">
        <v>39417</v>
      </c>
      <c r="F6849" s="27">
        <v>15</v>
      </c>
      <c r="G6849" s="18">
        <v>18554.16</v>
      </c>
      <c r="H6849" s="27">
        <f t="shared" si="212"/>
        <v>0</v>
      </c>
      <c r="I6849" s="18">
        <v>15595.21</v>
      </c>
      <c r="J6849" s="27">
        <v>18554.16</v>
      </c>
      <c r="K6849" s="18">
        <f t="shared" si="213"/>
        <v>0</v>
      </c>
      <c r="L6849" s="27">
        <v>16103.02</v>
      </c>
      <c r="M6849" s="36">
        <v>507.81</v>
      </c>
      <c r="T6849" s="41">
        <v>0</v>
      </c>
      <c r="U6849" s="41">
        <v>0</v>
      </c>
      <c r="V6849" s="42" t="s">
        <v>113</v>
      </c>
      <c r="W6849" s="42">
        <v>0</v>
      </c>
      <c r="X6849" s="42">
        <v>0</v>
      </c>
    </row>
    <row r="6850" spans="1:24">
      <c r="A6850" s="27" t="s">
        <v>12495</v>
      </c>
      <c r="B6850" s="28" t="s">
        <v>12240</v>
      </c>
      <c r="C6850" s="27" t="s">
        <v>12496</v>
      </c>
      <c r="D6850" s="27" t="s">
        <v>230</v>
      </c>
      <c r="E6850" s="29">
        <v>39417</v>
      </c>
      <c r="F6850" s="27">
        <v>15</v>
      </c>
      <c r="G6850" s="18">
        <v>28486.5</v>
      </c>
      <c r="H6850" s="27">
        <f t="shared" si="212"/>
        <v>0</v>
      </c>
      <c r="I6850" s="18">
        <v>23943.58</v>
      </c>
      <c r="J6850" s="27">
        <v>28486.5</v>
      </c>
      <c r="K6850" s="18">
        <f t="shared" si="213"/>
        <v>0</v>
      </c>
      <c r="L6850" s="27">
        <v>24723.23</v>
      </c>
      <c r="M6850" s="36">
        <v>779.65</v>
      </c>
      <c r="T6850" s="41">
        <v>0</v>
      </c>
      <c r="U6850" s="41">
        <v>0</v>
      </c>
      <c r="V6850" s="42" t="s">
        <v>113</v>
      </c>
      <c r="W6850" s="42">
        <v>0</v>
      </c>
      <c r="X6850" s="42">
        <v>0</v>
      </c>
    </row>
    <row r="6851" spans="1:24">
      <c r="A6851" s="27" t="s">
        <v>12497</v>
      </c>
      <c r="B6851" s="28" t="s">
        <v>12240</v>
      </c>
      <c r="C6851" s="27" t="s">
        <v>12498</v>
      </c>
      <c r="D6851" s="27" t="s">
        <v>230</v>
      </c>
      <c r="E6851" s="29">
        <v>35796</v>
      </c>
      <c r="F6851" s="27">
        <v>15</v>
      </c>
      <c r="G6851" s="18">
        <v>8445.5400000000009</v>
      </c>
      <c r="H6851" s="27">
        <f t="shared" si="212"/>
        <v>8445.5400000000009</v>
      </c>
      <c r="I6851" s="18">
        <v>8023.26</v>
      </c>
      <c r="J6851" s="27">
        <v>8445.5400000000009</v>
      </c>
      <c r="K6851" s="18">
        <f t="shared" si="213"/>
        <v>8445.5400000000009</v>
      </c>
      <c r="L6851" s="27">
        <v>8023.26</v>
      </c>
      <c r="M6851" s="36">
        <v>0</v>
      </c>
      <c r="T6851" s="41">
        <v>0</v>
      </c>
      <c r="U6851" s="41">
        <v>0</v>
      </c>
      <c r="V6851" s="42" t="s">
        <v>113</v>
      </c>
      <c r="W6851" s="42">
        <v>8445.5400000000009</v>
      </c>
      <c r="X6851" s="42">
        <v>8445.5400000000009</v>
      </c>
    </row>
    <row r="6852" spans="1:24">
      <c r="A6852" s="27" t="s">
        <v>12499</v>
      </c>
      <c r="B6852" s="28" t="s">
        <v>12240</v>
      </c>
      <c r="C6852" s="27" t="s">
        <v>12500</v>
      </c>
      <c r="D6852" s="27" t="s">
        <v>230</v>
      </c>
      <c r="E6852" s="29">
        <v>35796</v>
      </c>
      <c r="F6852" s="27">
        <v>15</v>
      </c>
      <c r="G6852" s="18">
        <v>11919.1</v>
      </c>
      <c r="H6852" s="27">
        <f t="shared" si="212"/>
        <v>11919.1</v>
      </c>
      <c r="I6852" s="18">
        <v>11323.14</v>
      </c>
      <c r="J6852" s="27">
        <v>11919.1</v>
      </c>
      <c r="K6852" s="18">
        <f t="shared" si="213"/>
        <v>11919.1</v>
      </c>
      <c r="L6852" s="27">
        <v>11323.14</v>
      </c>
      <c r="M6852" s="36">
        <v>0</v>
      </c>
      <c r="T6852" s="41">
        <v>0</v>
      </c>
      <c r="U6852" s="41">
        <v>0</v>
      </c>
      <c r="V6852" s="42" t="s">
        <v>113</v>
      </c>
      <c r="W6852" s="42">
        <v>11919.1</v>
      </c>
      <c r="X6852" s="42">
        <v>11919.1</v>
      </c>
    </row>
    <row r="6853" spans="1:24">
      <c r="A6853" s="27" t="s">
        <v>12501</v>
      </c>
      <c r="B6853" s="28" t="s">
        <v>12240</v>
      </c>
      <c r="C6853" s="27" t="s">
        <v>12502</v>
      </c>
      <c r="D6853" s="27" t="s">
        <v>230</v>
      </c>
      <c r="E6853" s="29">
        <v>35796</v>
      </c>
      <c r="F6853" s="27">
        <v>15</v>
      </c>
      <c r="G6853" s="18">
        <v>14643.47</v>
      </c>
      <c r="H6853" s="27">
        <f t="shared" si="212"/>
        <v>14643.47</v>
      </c>
      <c r="I6853" s="18">
        <v>13911.3</v>
      </c>
      <c r="J6853" s="27">
        <v>14643.47</v>
      </c>
      <c r="K6853" s="18">
        <f t="shared" si="213"/>
        <v>14643.47</v>
      </c>
      <c r="L6853" s="27">
        <v>13911.3</v>
      </c>
      <c r="M6853" s="36">
        <v>0</v>
      </c>
      <c r="T6853" s="41">
        <v>0</v>
      </c>
      <c r="U6853" s="41">
        <v>0</v>
      </c>
      <c r="V6853" s="42" t="s">
        <v>113</v>
      </c>
      <c r="W6853" s="42">
        <v>14643.47</v>
      </c>
      <c r="X6853" s="42">
        <v>14643.47</v>
      </c>
    </row>
    <row r="6854" spans="1:24">
      <c r="A6854" s="27" t="s">
        <v>12503</v>
      </c>
      <c r="B6854" s="28" t="s">
        <v>12240</v>
      </c>
      <c r="C6854" s="27" t="s">
        <v>12504</v>
      </c>
      <c r="D6854" s="27" t="s">
        <v>230</v>
      </c>
      <c r="E6854" s="29">
        <v>35796</v>
      </c>
      <c r="F6854" s="27">
        <v>15</v>
      </c>
      <c r="G6854" s="18">
        <v>10897.47</v>
      </c>
      <c r="H6854" s="27">
        <f t="shared" ref="H6854:H6917" si="214">IFERROR(IF(ROUND((G6854-I6854)/G6854,2)&lt;=0.05,G6854,0),0)</f>
        <v>10897.47</v>
      </c>
      <c r="I6854" s="18">
        <v>10352.6</v>
      </c>
      <c r="J6854" s="27">
        <v>10897.47</v>
      </c>
      <c r="K6854" s="18">
        <f t="shared" ref="K6854:K6917" si="215">IFERROR(IF(ROUND((J6854-L6854)/J6854,2)&lt;=0.05,J6854,0),0)</f>
        <v>10897.47</v>
      </c>
      <c r="L6854" s="27">
        <v>10352.6</v>
      </c>
      <c r="M6854" s="36">
        <v>0</v>
      </c>
      <c r="T6854" s="41">
        <v>0</v>
      </c>
      <c r="U6854" s="41">
        <v>0</v>
      </c>
      <c r="V6854" s="42" t="s">
        <v>113</v>
      </c>
      <c r="W6854" s="42">
        <v>10897.47</v>
      </c>
      <c r="X6854" s="42">
        <v>10897.47</v>
      </c>
    </row>
    <row r="6855" spans="1:24">
      <c r="A6855" s="27" t="s">
        <v>12505</v>
      </c>
      <c r="B6855" s="28" t="s">
        <v>12240</v>
      </c>
      <c r="C6855" s="27" t="s">
        <v>12506</v>
      </c>
      <c r="D6855" s="27" t="s">
        <v>230</v>
      </c>
      <c r="E6855" s="29">
        <v>35796</v>
      </c>
      <c r="F6855" s="27">
        <v>15</v>
      </c>
      <c r="G6855" s="18">
        <v>8445.5400000000009</v>
      </c>
      <c r="H6855" s="27">
        <f t="shared" si="214"/>
        <v>8445.5400000000009</v>
      </c>
      <c r="I6855" s="18">
        <v>8023.26</v>
      </c>
      <c r="J6855" s="27">
        <v>8445.5400000000009</v>
      </c>
      <c r="K6855" s="18">
        <f t="shared" si="215"/>
        <v>8445.5400000000009</v>
      </c>
      <c r="L6855" s="27">
        <v>8023.26</v>
      </c>
      <c r="M6855" s="36">
        <v>0</v>
      </c>
      <c r="T6855" s="41">
        <v>0</v>
      </c>
      <c r="U6855" s="41">
        <v>0</v>
      </c>
      <c r="V6855" s="42" t="s">
        <v>113</v>
      </c>
      <c r="W6855" s="42">
        <v>8445.5400000000009</v>
      </c>
      <c r="X6855" s="42">
        <v>8445.5400000000009</v>
      </c>
    </row>
    <row r="6856" spans="1:24">
      <c r="A6856" s="27" t="s">
        <v>12507</v>
      </c>
      <c r="B6856" s="28" t="s">
        <v>12240</v>
      </c>
      <c r="C6856" s="27" t="s">
        <v>12508</v>
      </c>
      <c r="D6856" s="27" t="s">
        <v>230</v>
      </c>
      <c r="E6856" s="29">
        <v>35796</v>
      </c>
      <c r="F6856" s="27">
        <v>15</v>
      </c>
      <c r="G6856" s="18">
        <v>6266.04</v>
      </c>
      <c r="H6856" s="27">
        <f t="shared" si="214"/>
        <v>6266.04</v>
      </c>
      <c r="I6856" s="18">
        <v>5952.74</v>
      </c>
      <c r="J6856" s="27">
        <v>6266.04</v>
      </c>
      <c r="K6856" s="18">
        <f t="shared" si="215"/>
        <v>6266.04</v>
      </c>
      <c r="L6856" s="27">
        <v>5952.74</v>
      </c>
      <c r="M6856" s="36">
        <v>0</v>
      </c>
      <c r="T6856" s="41">
        <v>0</v>
      </c>
      <c r="U6856" s="41">
        <v>0</v>
      </c>
      <c r="V6856" s="42" t="s">
        <v>113</v>
      </c>
      <c r="W6856" s="42">
        <v>6266.04</v>
      </c>
      <c r="X6856" s="42">
        <v>6266.04</v>
      </c>
    </row>
    <row r="6857" spans="1:24">
      <c r="A6857" s="27" t="s">
        <v>12509</v>
      </c>
      <c r="B6857" s="28" t="s">
        <v>12240</v>
      </c>
      <c r="C6857" s="27" t="s">
        <v>12510</v>
      </c>
      <c r="D6857" s="27" t="s">
        <v>230</v>
      </c>
      <c r="E6857" s="29">
        <v>35796</v>
      </c>
      <c r="F6857" s="27">
        <v>15</v>
      </c>
      <c r="G6857" s="18">
        <v>8445.5400000000009</v>
      </c>
      <c r="H6857" s="27">
        <f t="shared" si="214"/>
        <v>8445.5400000000009</v>
      </c>
      <c r="I6857" s="18">
        <v>8023.26</v>
      </c>
      <c r="J6857" s="27">
        <v>8445.5400000000009</v>
      </c>
      <c r="K6857" s="18">
        <f t="shared" si="215"/>
        <v>8445.5400000000009</v>
      </c>
      <c r="L6857" s="27">
        <v>8023.26</v>
      </c>
      <c r="M6857" s="36">
        <v>0</v>
      </c>
      <c r="T6857" s="41">
        <v>0</v>
      </c>
      <c r="U6857" s="41">
        <v>0</v>
      </c>
      <c r="V6857" s="42" t="s">
        <v>113</v>
      </c>
      <c r="W6857" s="42">
        <v>8445.5400000000009</v>
      </c>
      <c r="X6857" s="42">
        <v>8445.5400000000009</v>
      </c>
    </row>
    <row r="6858" spans="1:24">
      <c r="A6858" s="27" t="s">
        <v>12511</v>
      </c>
      <c r="B6858" s="28" t="s">
        <v>12240</v>
      </c>
      <c r="C6858" s="27" t="s">
        <v>12512</v>
      </c>
      <c r="D6858" s="27" t="s">
        <v>230</v>
      </c>
      <c r="E6858" s="29">
        <v>35796</v>
      </c>
      <c r="F6858" s="27">
        <v>15</v>
      </c>
      <c r="G6858" s="18">
        <v>10897.47</v>
      </c>
      <c r="H6858" s="27">
        <f t="shared" si="214"/>
        <v>10897.47</v>
      </c>
      <c r="I6858" s="18">
        <v>10352.6</v>
      </c>
      <c r="J6858" s="27">
        <v>10897.47</v>
      </c>
      <c r="K6858" s="18">
        <f t="shared" si="215"/>
        <v>10897.47</v>
      </c>
      <c r="L6858" s="27">
        <v>10352.6</v>
      </c>
      <c r="M6858" s="36">
        <v>0</v>
      </c>
      <c r="T6858" s="41">
        <v>0</v>
      </c>
      <c r="U6858" s="41">
        <v>0</v>
      </c>
      <c r="V6858" s="42" t="s">
        <v>113</v>
      </c>
      <c r="W6858" s="42">
        <v>10897.47</v>
      </c>
      <c r="X6858" s="42">
        <v>10897.47</v>
      </c>
    </row>
    <row r="6859" spans="1:24">
      <c r="A6859" s="27" t="s">
        <v>12513</v>
      </c>
      <c r="B6859" s="28" t="s">
        <v>12240</v>
      </c>
      <c r="C6859" s="27" t="s">
        <v>12514</v>
      </c>
      <c r="D6859" s="27" t="s">
        <v>230</v>
      </c>
      <c r="E6859" s="29">
        <v>35796</v>
      </c>
      <c r="F6859" s="27">
        <v>15</v>
      </c>
      <c r="G6859" s="18">
        <v>6266.04</v>
      </c>
      <c r="H6859" s="27">
        <f t="shared" si="214"/>
        <v>6266.04</v>
      </c>
      <c r="I6859" s="18">
        <v>5952.74</v>
      </c>
      <c r="J6859" s="27">
        <v>6266.04</v>
      </c>
      <c r="K6859" s="18">
        <f t="shared" si="215"/>
        <v>6266.04</v>
      </c>
      <c r="L6859" s="27">
        <v>5952.74</v>
      </c>
      <c r="M6859" s="36">
        <v>0</v>
      </c>
      <c r="T6859" s="41">
        <v>0</v>
      </c>
      <c r="U6859" s="41">
        <v>0</v>
      </c>
      <c r="V6859" s="42" t="s">
        <v>113</v>
      </c>
      <c r="W6859" s="42">
        <v>6266.04</v>
      </c>
      <c r="X6859" s="42">
        <v>6266.04</v>
      </c>
    </row>
    <row r="6860" spans="1:24">
      <c r="A6860" s="27" t="s">
        <v>12515</v>
      </c>
      <c r="B6860" s="28" t="s">
        <v>12240</v>
      </c>
      <c r="C6860" s="27" t="s">
        <v>12516</v>
      </c>
      <c r="D6860" s="27" t="s">
        <v>230</v>
      </c>
      <c r="E6860" s="29">
        <v>35796</v>
      </c>
      <c r="F6860" s="27">
        <v>15</v>
      </c>
      <c r="G6860" s="18">
        <v>10053.59</v>
      </c>
      <c r="H6860" s="27">
        <f t="shared" si="214"/>
        <v>10053.59</v>
      </c>
      <c r="I6860" s="18">
        <v>9550.91</v>
      </c>
      <c r="J6860" s="27">
        <v>10053.59</v>
      </c>
      <c r="K6860" s="18">
        <f t="shared" si="215"/>
        <v>10053.59</v>
      </c>
      <c r="L6860" s="27">
        <v>9550.91</v>
      </c>
      <c r="M6860" s="36">
        <v>0</v>
      </c>
      <c r="T6860" s="41">
        <v>0</v>
      </c>
      <c r="U6860" s="41">
        <v>0</v>
      </c>
      <c r="V6860" s="42" t="s">
        <v>113</v>
      </c>
      <c r="W6860" s="42">
        <v>10053.59</v>
      </c>
      <c r="X6860" s="42">
        <v>10053.59</v>
      </c>
    </row>
    <row r="6861" spans="1:24">
      <c r="A6861" s="27" t="s">
        <v>12517</v>
      </c>
      <c r="B6861" s="28" t="s">
        <v>12240</v>
      </c>
      <c r="C6861" s="27" t="s">
        <v>12518</v>
      </c>
      <c r="D6861" s="27" t="s">
        <v>230</v>
      </c>
      <c r="E6861" s="29">
        <v>35796</v>
      </c>
      <c r="F6861" s="27">
        <v>15</v>
      </c>
      <c r="G6861" s="18">
        <v>6266.72</v>
      </c>
      <c r="H6861" s="27">
        <f t="shared" si="214"/>
        <v>6266.72</v>
      </c>
      <c r="I6861" s="18">
        <v>5953.38</v>
      </c>
      <c r="J6861" s="27">
        <v>6266.72</v>
      </c>
      <c r="K6861" s="18">
        <f t="shared" si="215"/>
        <v>6266.72</v>
      </c>
      <c r="L6861" s="27">
        <v>5953.38</v>
      </c>
      <c r="M6861" s="36">
        <v>0</v>
      </c>
      <c r="T6861" s="41">
        <v>0</v>
      </c>
      <c r="U6861" s="41">
        <v>0</v>
      </c>
      <c r="V6861" s="42" t="s">
        <v>113</v>
      </c>
      <c r="W6861" s="42">
        <v>6266.72</v>
      </c>
      <c r="X6861" s="42">
        <v>6266.72</v>
      </c>
    </row>
    <row r="6862" spans="1:24">
      <c r="A6862" s="27" t="s">
        <v>12519</v>
      </c>
      <c r="B6862" s="28" t="s">
        <v>12240</v>
      </c>
      <c r="C6862" s="27" t="s">
        <v>12520</v>
      </c>
      <c r="D6862" s="27" t="s">
        <v>5104</v>
      </c>
      <c r="E6862" s="29">
        <v>35796</v>
      </c>
      <c r="F6862" s="27">
        <v>15</v>
      </c>
      <c r="G6862" s="18">
        <v>6266.72</v>
      </c>
      <c r="H6862" s="27">
        <f t="shared" si="214"/>
        <v>6266.72</v>
      </c>
      <c r="I6862" s="18">
        <v>5953.38</v>
      </c>
      <c r="J6862" s="27">
        <v>6266.72</v>
      </c>
      <c r="K6862" s="18">
        <f t="shared" si="215"/>
        <v>6266.72</v>
      </c>
      <c r="L6862" s="27">
        <v>5953.38</v>
      </c>
      <c r="M6862" s="36">
        <v>0</v>
      </c>
      <c r="T6862" s="41">
        <v>0</v>
      </c>
      <c r="U6862" s="41">
        <v>0</v>
      </c>
      <c r="V6862" s="42" t="s">
        <v>113</v>
      </c>
      <c r="W6862" s="42">
        <v>6266.72</v>
      </c>
      <c r="X6862" s="42">
        <v>6266.72</v>
      </c>
    </row>
    <row r="6863" spans="1:24">
      <c r="A6863" s="27" t="s">
        <v>12521</v>
      </c>
      <c r="B6863" s="28" t="s">
        <v>12240</v>
      </c>
      <c r="C6863" s="27" t="s">
        <v>12522</v>
      </c>
      <c r="D6863" s="27" t="s">
        <v>230</v>
      </c>
      <c r="E6863" s="29">
        <v>35796</v>
      </c>
      <c r="F6863" s="27">
        <v>15</v>
      </c>
      <c r="G6863" s="18">
        <v>12259.65</v>
      </c>
      <c r="H6863" s="27">
        <f t="shared" si="214"/>
        <v>12259.65</v>
      </c>
      <c r="I6863" s="18">
        <v>11646.67</v>
      </c>
      <c r="J6863" s="27">
        <v>12259.65</v>
      </c>
      <c r="K6863" s="18">
        <f t="shared" si="215"/>
        <v>12259.65</v>
      </c>
      <c r="L6863" s="27">
        <v>11646.67</v>
      </c>
      <c r="M6863" s="36">
        <v>0</v>
      </c>
      <c r="T6863" s="41">
        <v>0</v>
      </c>
      <c r="U6863" s="41">
        <v>0</v>
      </c>
      <c r="V6863" s="42" t="s">
        <v>113</v>
      </c>
      <c r="W6863" s="42">
        <v>12259.65</v>
      </c>
      <c r="X6863" s="42">
        <v>12259.65</v>
      </c>
    </row>
    <row r="6864" spans="1:24">
      <c r="A6864" s="27" t="s">
        <v>12523</v>
      </c>
      <c r="B6864" s="28" t="s">
        <v>12240</v>
      </c>
      <c r="C6864" s="27" t="s">
        <v>12524</v>
      </c>
      <c r="D6864" s="27" t="s">
        <v>230</v>
      </c>
      <c r="E6864" s="29">
        <v>38078</v>
      </c>
      <c r="F6864" s="27">
        <v>15</v>
      </c>
      <c r="G6864" s="18">
        <v>15440.26</v>
      </c>
      <c r="H6864" s="27">
        <f t="shared" si="214"/>
        <v>15440.26</v>
      </c>
      <c r="I6864" s="18">
        <v>14668.25</v>
      </c>
      <c r="J6864" s="27">
        <v>15440.26</v>
      </c>
      <c r="K6864" s="18">
        <f t="shared" si="215"/>
        <v>15440.26</v>
      </c>
      <c r="L6864" s="27">
        <v>14668.25</v>
      </c>
      <c r="M6864" s="36">
        <v>0</v>
      </c>
      <c r="T6864" s="41">
        <v>0</v>
      </c>
      <c r="U6864" s="41">
        <v>0</v>
      </c>
      <c r="V6864" s="42" t="s">
        <v>113</v>
      </c>
      <c r="W6864" s="42">
        <v>15440.26</v>
      </c>
      <c r="X6864" s="42">
        <v>15440.26</v>
      </c>
    </row>
    <row r="6865" spans="1:24">
      <c r="A6865" s="27" t="s">
        <v>12525</v>
      </c>
      <c r="B6865" s="28" t="s">
        <v>12240</v>
      </c>
      <c r="C6865" s="27" t="s">
        <v>12245</v>
      </c>
      <c r="D6865" s="27" t="s">
        <v>5104</v>
      </c>
      <c r="E6865" s="29">
        <v>39417</v>
      </c>
      <c r="F6865" s="27">
        <v>15</v>
      </c>
      <c r="G6865" s="18">
        <v>32200.86</v>
      </c>
      <c r="H6865" s="27">
        <f t="shared" si="214"/>
        <v>0</v>
      </c>
      <c r="I6865" s="18">
        <v>27464.080000000002</v>
      </c>
      <c r="J6865" s="27">
        <v>32200.86</v>
      </c>
      <c r="K6865" s="18">
        <f t="shared" si="215"/>
        <v>0</v>
      </c>
      <c r="L6865" s="27">
        <v>28245.77</v>
      </c>
      <c r="M6865" s="36">
        <v>781.69</v>
      </c>
      <c r="T6865" s="41">
        <v>0</v>
      </c>
      <c r="U6865" s="41">
        <v>0</v>
      </c>
      <c r="V6865" s="42" t="s">
        <v>113</v>
      </c>
      <c r="W6865" s="42">
        <v>0</v>
      </c>
      <c r="X6865" s="42">
        <v>0</v>
      </c>
    </row>
    <row r="6866" spans="1:24">
      <c r="A6866" s="27" t="s">
        <v>12526</v>
      </c>
      <c r="B6866" s="28" t="s">
        <v>12240</v>
      </c>
      <c r="C6866" s="27" t="s">
        <v>12245</v>
      </c>
      <c r="D6866" s="27" t="s">
        <v>5104</v>
      </c>
      <c r="E6866" s="29">
        <v>39417</v>
      </c>
      <c r="F6866" s="27">
        <v>15</v>
      </c>
      <c r="G6866" s="18">
        <v>32200.85</v>
      </c>
      <c r="H6866" s="27">
        <f t="shared" si="214"/>
        <v>0</v>
      </c>
      <c r="I6866" s="18">
        <v>27464.07</v>
      </c>
      <c r="J6866" s="27">
        <v>32200.85</v>
      </c>
      <c r="K6866" s="18">
        <f t="shared" si="215"/>
        <v>0</v>
      </c>
      <c r="L6866" s="27">
        <v>28245.759999999998</v>
      </c>
      <c r="M6866" s="36">
        <v>781.69</v>
      </c>
      <c r="T6866" s="41">
        <v>0</v>
      </c>
      <c r="U6866" s="41">
        <v>0</v>
      </c>
      <c r="V6866" s="42" t="s">
        <v>113</v>
      </c>
      <c r="W6866" s="42">
        <v>0</v>
      </c>
      <c r="X6866" s="42">
        <v>0</v>
      </c>
    </row>
    <row r="6867" spans="1:24">
      <c r="A6867" s="27" t="s">
        <v>12527</v>
      </c>
      <c r="B6867" s="28" t="s">
        <v>12240</v>
      </c>
      <c r="C6867" s="27" t="s">
        <v>12245</v>
      </c>
      <c r="D6867" s="27" t="s">
        <v>230</v>
      </c>
      <c r="E6867" s="29">
        <v>39417</v>
      </c>
      <c r="F6867" s="27">
        <v>15</v>
      </c>
      <c r="G6867" s="18">
        <v>32200.86</v>
      </c>
      <c r="H6867" s="27">
        <f t="shared" si="214"/>
        <v>0</v>
      </c>
      <c r="I6867" s="18">
        <v>27464.080000000002</v>
      </c>
      <c r="J6867" s="27">
        <v>32200.86</v>
      </c>
      <c r="K6867" s="18">
        <f t="shared" si="215"/>
        <v>0</v>
      </c>
      <c r="L6867" s="27">
        <v>28245.77</v>
      </c>
      <c r="M6867" s="36">
        <v>781.69</v>
      </c>
      <c r="T6867" s="41">
        <v>0</v>
      </c>
      <c r="U6867" s="41">
        <v>0</v>
      </c>
      <c r="V6867" s="42" t="s">
        <v>113</v>
      </c>
      <c r="W6867" s="42">
        <v>0</v>
      </c>
      <c r="X6867" s="42">
        <v>0</v>
      </c>
    </row>
    <row r="6868" spans="1:24">
      <c r="A6868" s="27" t="s">
        <v>12528</v>
      </c>
      <c r="B6868" s="28" t="s">
        <v>12240</v>
      </c>
      <c r="C6868" s="27" t="s">
        <v>12529</v>
      </c>
      <c r="D6868" s="27" t="s">
        <v>230</v>
      </c>
      <c r="E6868" s="29">
        <v>39417</v>
      </c>
      <c r="F6868" s="27">
        <v>15</v>
      </c>
      <c r="G6868" s="18">
        <v>32200.86</v>
      </c>
      <c r="H6868" s="27">
        <f t="shared" si="214"/>
        <v>0</v>
      </c>
      <c r="I6868" s="18">
        <v>27464.080000000002</v>
      </c>
      <c r="J6868" s="27">
        <v>32200.86</v>
      </c>
      <c r="K6868" s="18">
        <f t="shared" si="215"/>
        <v>0</v>
      </c>
      <c r="L6868" s="27">
        <v>28245.77</v>
      </c>
      <c r="M6868" s="36">
        <v>781.69</v>
      </c>
      <c r="T6868" s="41">
        <v>0</v>
      </c>
      <c r="U6868" s="41">
        <v>0</v>
      </c>
      <c r="V6868" s="42" t="s">
        <v>113</v>
      </c>
      <c r="W6868" s="42">
        <v>0</v>
      </c>
      <c r="X6868" s="42">
        <v>0</v>
      </c>
    </row>
    <row r="6869" spans="1:24">
      <c r="A6869" s="27" t="s">
        <v>12530</v>
      </c>
      <c r="B6869" s="28" t="s">
        <v>12240</v>
      </c>
      <c r="C6869" s="27" t="s">
        <v>12245</v>
      </c>
      <c r="D6869" s="27" t="s">
        <v>230</v>
      </c>
      <c r="E6869" s="29">
        <v>38078</v>
      </c>
      <c r="F6869" s="27">
        <v>15</v>
      </c>
      <c r="G6869" s="18">
        <v>15440.26</v>
      </c>
      <c r="H6869" s="27">
        <f t="shared" si="214"/>
        <v>15440.26</v>
      </c>
      <c r="I6869" s="18">
        <v>14668.25</v>
      </c>
      <c r="J6869" s="27">
        <v>15440.26</v>
      </c>
      <c r="K6869" s="18">
        <f t="shared" si="215"/>
        <v>15440.26</v>
      </c>
      <c r="L6869" s="27">
        <v>14668.25</v>
      </c>
      <c r="M6869" s="36">
        <v>0</v>
      </c>
      <c r="T6869" s="41">
        <v>0</v>
      </c>
      <c r="U6869" s="41">
        <v>0</v>
      </c>
      <c r="V6869" s="42" t="s">
        <v>113</v>
      </c>
      <c r="W6869" s="42">
        <v>15440.26</v>
      </c>
      <c r="X6869" s="42">
        <v>15440.26</v>
      </c>
    </row>
    <row r="6870" spans="1:24">
      <c r="A6870" s="27" t="s">
        <v>12531</v>
      </c>
      <c r="B6870" s="28" t="s">
        <v>12240</v>
      </c>
      <c r="C6870" s="27" t="s">
        <v>12245</v>
      </c>
      <c r="D6870" s="27" t="s">
        <v>230</v>
      </c>
      <c r="E6870" s="29">
        <v>38078</v>
      </c>
      <c r="F6870" s="27">
        <v>15</v>
      </c>
      <c r="G6870" s="18">
        <v>44131.71</v>
      </c>
      <c r="H6870" s="27">
        <f t="shared" si="214"/>
        <v>44131.71</v>
      </c>
      <c r="I6870" s="18">
        <v>41925.120000000003</v>
      </c>
      <c r="J6870" s="27">
        <v>44131.71</v>
      </c>
      <c r="K6870" s="18">
        <f t="shared" si="215"/>
        <v>44131.71</v>
      </c>
      <c r="L6870" s="27">
        <v>41925.120000000003</v>
      </c>
      <c r="M6870" s="36">
        <v>0</v>
      </c>
      <c r="T6870" s="41">
        <v>0</v>
      </c>
      <c r="U6870" s="41">
        <v>0</v>
      </c>
      <c r="V6870" s="42" t="s">
        <v>113</v>
      </c>
      <c r="W6870" s="42">
        <v>44131.71</v>
      </c>
      <c r="X6870" s="42">
        <v>44131.71</v>
      </c>
    </row>
    <row r="6871" spans="1:24">
      <c r="A6871" s="27" t="s">
        <v>12532</v>
      </c>
      <c r="B6871" s="28" t="s">
        <v>12240</v>
      </c>
      <c r="C6871" s="27" t="s">
        <v>12533</v>
      </c>
      <c r="D6871" s="27" t="s">
        <v>230</v>
      </c>
      <c r="E6871" s="29">
        <v>39417</v>
      </c>
      <c r="F6871" s="27">
        <v>15</v>
      </c>
      <c r="G6871" s="18">
        <v>32200.86</v>
      </c>
      <c r="H6871" s="27">
        <f t="shared" si="214"/>
        <v>0</v>
      </c>
      <c r="I6871" s="18">
        <v>27464.080000000002</v>
      </c>
      <c r="J6871" s="27">
        <v>32200.86</v>
      </c>
      <c r="K6871" s="18">
        <f t="shared" si="215"/>
        <v>0</v>
      </c>
      <c r="L6871" s="27">
        <v>28245.77</v>
      </c>
      <c r="M6871" s="36">
        <v>781.69</v>
      </c>
      <c r="T6871" s="41">
        <v>0</v>
      </c>
      <c r="U6871" s="41">
        <v>0</v>
      </c>
      <c r="V6871" s="42" t="s">
        <v>113</v>
      </c>
      <c r="W6871" s="42">
        <v>0</v>
      </c>
      <c r="X6871" s="42">
        <v>0</v>
      </c>
    </row>
    <row r="6872" spans="1:24">
      <c r="A6872" s="27" t="s">
        <v>12534</v>
      </c>
      <c r="B6872" s="28" t="s">
        <v>12240</v>
      </c>
      <c r="C6872" s="27" t="s">
        <v>12535</v>
      </c>
      <c r="D6872" s="27" t="s">
        <v>230</v>
      </c>
      <c r="E6872" s="29">
        <v>37226</v>
      </c>
      <c r="F6872" s="27">
        <v>15</v>
      </c>
      <c r="G6872" s="18">
        <v>39578.26</v>
      </c>
      <c r="H6872" s="27">
        <f t="shared" si="214"/>
        <v>39578.26</v>
      </c>
      <c r="I6872" s="18">
        <v>37599.35</v>
      </c>
      <c r="J6872" s="27">
        <v>39578.26</v>
      </c>
      <c r="K6872" s="18">
        <f t="shared" si="215"/>
        <v>39578.26</v>
      </c>
      <c r="L6872" s="27">
        <v>37599.35</v>
      </c>
      <c r="M6872" s="36">
        <v>0</v>
      </c>
      <c r="T6872" s="41">
        <v>0</v>
      </c>
      <c r="U6872" s="41">
        <v>0</v>
      </c>
      <c r="V6872" s="42" t="s">
        <v>113</v>
      </c>
      <c r="W6872" s="42">
        <v>39578.26</v>
      </c>
      <c r="X6872" s="42">
        <v>39578.26</v>
      </c>
    </row>
    <row r="6873" spans="1:24">
      <c r="A6873" s="27" t="s">
        <v>12536</v>
      </c>
      <c r="B6873" s="28" t="s">
        <v>12240</v>
      </c>
      <c r="C6873" s="27" t="s">
        <v>12537</v>
      </c>
      <c r="D6873" s="27" t="s">
        <v>230</v>
      </c>
      <c r="E6873" s="29">
        <v>37226</v>
      </c>
      <c r="F6873" s="27">
        <v>15</v>
      </c>
      <c r="G6873" s="18">
        <v>39578.26</v>
      </c>
      <c r="H6873" s="27">
        <f t="shared" si="214"/>
        <v>39578.26</v>
      </c>
      <c r="I6873" s="18">
        <v>37599.35</v>
      </c>
      <c r="J6873" s="27">
        <v>39578.26</v>
      </c>
      <c r="K6873" s="18">
        <f t="shared" si="215"/>
        <v>39578.26</v>
      </c>
      <c r="L6873" s="27">
        <v>37599.35</v>
      </c>
      <c r="M6873" s="36">
        <v>0</v>
      </c>
      <c r="T6873" s="41">
        <v>0</v>
      </c>
      <c r="U6873" s="41">
        <v>0</v>
      </c>
      <c r="V6873" s="42" t="s">
        <v>113</v>
      </c>
      <c r="W6873" s="42">
        <v>39578.26</v>
      </c>
      <c r="X6873" s="42">
        <v>39578.26</v>
      </c>
    </row>
    <row r="6874" spans="1:24">
      <c r="A6874" s="27" t="s">
        <v>12538</v>
      </c>
      <c r="B6874" s="28" t="s">
        <v>12240</v>
      </c>
      <c r="C6874" s="27" t="s">
        <v>12539</v>
      </c>
      <c r="D6874" s="27" t="s">
        <v>230</v>
      </c>
      <c r="E6874" s="29">
        <v>37226</v>
      </c>
      <c r="F6874" s="27">
        <v>15</v>
      </c>
      <c r="G6874" s="18">
        <v>39419.53</v>
      </c>
      <c r="H6874" s="27">
        <f t="shared" si="214"/>
        <v>39419.53</v>
      </c>
      <c r="I6874" s="18">
        <v>37448.550000000003</v>
      </c>
      <c r="J6874" s="27">
        <v>39419.53</v>
      </c>
      <c r="K6874" s="18">
        <f t="shared" si="215"/>
        <v>39419.53</v>
      </c>
      <c r="L6874" s="27">
        <v>37448.550000000003</v>
      </c>
      <c r="M6874" s="36">
        <v>0</v>
      </c>
      <c r="T6874" s="41">
        <v>0</v>
      </c>
      <c r="U6874" s="41">
        <v>0</v>
      </c>
      <c r="V6874" s="42" t="s">
        <v>113</v>
      </c>
      <c r="W6874" s="42">
        <v>39419.53</v>
      </c>
      <c r="X6874" s="42">
        <v>39419.53</v>
      </c>
    </row>
    <row r="6875" spans="1:24">
      <c r="A6875" s="27" t="s">
        <v>12540</v>
      </c>
      <c r="B6875" s="28" t="s">
        <v>12240</v>
      </c>
      <c r="C6875" s="27" t="s">
        <v>12541</v>
      </c>
      <c r="D6875" s="27" t="s">
        <v>230</v>
      </c>
      <c r="E6875" s="29">
        <v>37226</v>
      </c>
      <c r="F6875" s="27">
        <v>15</v>
      </c>
      <c r="G6875" s="18">
        <v>39419.519999999997</v>
      </c>
      <c r="H6875" s="27">
        <f t="shared" si="214"/>
        <v>39419.519999999997</v>
      </c>
      <c r="I6875" s="18">
        <v>37448.54</v>
      </c>
      <c r="J6875" s="27">
        <v>39419.519999999997</v>
      </c>
      <c r="K6875" s="18">
        <f t="shared" si="215"/>
        <v>39419.519999999997</v>
      </c>
      <c r="L6875" s="27">
        <v>37448.54</v>
      </c>
      <c r="M6875" s="36">
        <v>0</v>
      </c>
      <c r="T6875" s="41">
        <v>0</v>
      </c>
      <c r="U6875" s="41">
        <v>0</v>
      </c>
      <c r="V6875" s="42" t="s">
        <v>113</v>
      </c>
      <c r="W6875" s="42">
        <v>39419.519999999997</v>
      </c>
      <c r="X6875" s="42">
        <v>39419.519999999997</v>
      </c>
    </row>
    <row r="6876" spans="1:24">
      <c r="A6876" s="27" t="s">
        <v>12542</v>
      </c>
      <c r="B6876" s="28" t="s">
        <v>12240</v>
      </c>
      <c r="C6876" s="27" t="s">
        <v>12543</v>
      </c>
      <c r="D6876" s="27" t="s">
        <v>230</v>
      </c>
      <c r="E6876" s="29">
        <v>37226</v>
      </c>
      <c r="F6876" s="27">
        <v>15</v>
      </c>
      <c r="G6876" s="18">
        <v>18885.89</v>
      </c>
      <c r="H6876" s="27">
        <f t="shared" si="214"/>
        <v>18885.89</v>
      </c>
      <c r="I6876" s="18">
        <v>17941.599999999999</v>
      </c>
      <c r="J6876" s="27">
        <v>18885.89</v>
      </c>
      <c r="K6876" s="18">
        <f t="shared" si="215"/>
        <v>18885.89</v>
      </c>
      <c r="L6876" s="27">
        <v>17941.599999999999</v>
      </c>
      <c r="M6876" s="36">
        <v>0</v>
      </c>
      <c r="T6876" s="41">
        <v>0</v>
      </c>
      <c r="U6876" s="41">
        <v>0</v>
      </c>
      <c r="V6876" s="42" t="s">
        <v>113</v>
      </c>
      <c r="W6876" s="42">
        <v>18885.89</v>
      </c>
      <c r="X6876" s="42">
        <v>18885.89</v>
      </c>
    </row>
    <row r="6877" spans="1:24">
      <c r="A6877" s="27" t="s">
        <v>12544</v>
      </c>
      <c r="B6877" s="28" t="s">
        <v>12240</v>
      </c>
      <c r="C6877" s="27" t="s">
        <v>12545</v>
      </c>
      <c r="D6877" s="27" t="s">
        <v>230</v>
      </c>
      <c r="E6877" s="29">
        <v>37226</v>
      </c>
      <c r="F6877" s="27">
        <v>15</v>
      </c>
      <c r="G6877" s="18">
        <v>30451.200000000001</v>
      </c>
      <c r="H6877" s="27">
        <f t="shared" si="214"/>
        <v>30451.200000000001</v>
      </c>
      <c r="I6877" s="18">
        <v>28928.639999999999</v>
      </c>
      <c r="J6877" s="27">
        <v>30451.200000000001</v>
      </c>
      <c r="K6877" s="18">
        <f t="shared" si="215"/>
        <v>30451.200000000001</v>
      </c>
      <c r="L6877" s="27">
        <v>28928.639999999999</v>
      </c>
      <c r="M6877" s="36">
        <v>0</v>
      </c>
      <c r="T6877" s="41">
        <v>0</v>
      </c>
      <c r="U6877" s="41">
        <v>0</v>
      </c>
      <c r="V6877" s="42" t="s">
        <v>113</v>
      </c>
      <c r="W6877" s="42">
        <v>30451.200000000001</v>
      </c>
      <c r="X6877" s="42">
        <v>30451.200000000001</v>
      </c>
    </row>
    <row r="6878" spans="1:24">
      <c r="A6878" s="27" t="s">
        <v>12546</v>
      </c>
      <c r="B6878" s="28" t="s">
        <v>12240</v>
      </c>
      <c r="C6878" s="27" t="s">
        <v>12243</v>
      </c>
      <c r="D6878" s="27" t="s">
        <v>230</v>
      </c>
      <c r="E6878" s="29">
        <v>37226</v>
      </c>
      <c r="F6878" s="27">
        <v>15</v>
      </c>
      <c r="G6878" s="18">
        <v>25115.37</v>
      </c>
      <c r="H6878" s="27">
        <f t="shared" si="214"/>
        <v>25115.37</v>
      </c>
      <c r="I6878" s="18">
        <v>23859.599999999999</v>
      </c>
      <c r="J6878" s="27">
        <v>25115.37</v>
      </c>
      <c r="K6878" s="18">
        <f t="shared" si="215"/>
        <v>25115.37</v>
      </c>
      <c r="L6878" s="27">
        <v>23859.599999999999</v>
      </c>
      <c r="M6878" s="36">
        <v>0</v>
      </c>
      <c r="T6878" s="41">
        <v>0</v>
      </c>
      <c r="U6878" s="41">
        <v>0</v>
      </c>
      <c r="V6878" s="42" t="s">
        <v>113</v>
      </c>
      <c r="W6878" s="42">
        <v>25115.37</v>
      </c>
      <c r="X6878" s="42">
        <v>25115.37</v>
      </c>
    </row>
    <row r="6879" spans="1:24">
      <c r="A6879" s="27" t="s">
        <v>12547</v>
      </c>
      <c r="B6879" s="28" t="s">
        <v>12240</v>
      </c>
      <c r="C6879" s="27" t="s">
        <v>12243</v>
      </c>
      <c r="D6879" s="27" t="s">
        <v>230</v>
      </c>
      <c r="E6879" s="29">
        <v>37226</v>
      </c>
      <c r="F6879" s="27">
        <v>15</v>
      </c>
      <c r="G6879" s="18">
        <v>25115.37</v>
      </c>
      <c r="H6879" s="27">
        <f t="shared" si="214"/>
        <v>25115.37</v>
      </c>
      <c r="I6879" s="18">
        <v>23859.599999999999</v>
      </c>
      <c r="J6879" s="27">
        <v>25115.37</v>
      </c>
      <c r="K6879" s="18">
        <f t="shared" si="215"/>
        <v>25115.37</v>
      </c>
      <c r="L6879" s="27">
        <v>23859.599999999999</v>
      </c>
      <c r="M6879" s="36">
        <v>0</v>
      </c>
      <c r="T6879" s="41">
        <v>0</v>
      </c>
      <c r="U6879" s="41">
        <v>0</v>
      </c>
      <c r="V6879" s="42" t="s">
        <v>113</v>
      </c>
      <c r="W6879" s="42">
        <v>25115.37</v>
      </c>
      <c r="X6879" s="42">
        <v>25115.37</v>
      </c>
    </row>
    <row r="6880" spans="1:24">
      <c r="A6880" s="27" t="s">
        <v>12548</v>
      </c>
      <c r="B6880" s="28" t="s">
        <v>12240</v>
      </c>
      <c r="C6880" s="27" t="s">
        <v>12243</v>
      </c>
      <c r="D6880" s="27" t="s">
        <v>230</v>
      </c>
      <c r="E6880" s="29">
        <v>38078</v>
      </c>
      <c r="F6880" s="27">
        <v>15</v>
      </c>
      <c r="G6880" s="18">
        <v>24297.68</v>
      </c>
      <c r="H6880" s="27">
        <f t="shared" si="214"/>
        <v>24297.68</v>
      </c>
      <c r="I6880" s="18">
        <v>23082.799999999999</v>
      </c>
      <c r="J6880" s="27">
        <v>24297.68</v>
      </c>
      <c r="K6880" s="18">
        <f t="shared" si="215"/>
        <v>24297.68</v>
      </c>
      <c r="L6880" s="27">
        <v>23082.799999999999</v>
      </c>
      <c r="M6880" s="36">
        <v>0</v>
      </c>
      <c r="T6880" s="41">
        <v>0</v>
      </c>
      <c r="U6880" s="41">
        <v>0</v>
      </c>
      <c r="V6880" s="42" t="s">
        <v>113</v>
      </c>
      <c r="W6880" s="42">
        <v>24297.68</v>
      </c>
      <c r="X6880" s="42">
        <v>24297.68</v>
      </c>
    </row>
    <row r="6881" spans="1:24">
      <c r="A6881" s="27" t="s">
        <v>12549</v>
      </c>
      <c r="B6881" s="28" t="s">
        <v>12240</v>
      </c>
      <c r="C6881" s="27" t="s">
        <v>12550</v>
      </c>
      <c r="D6881" s="27" t="s">
        <v>230</v>
      </c>
      <c r="E6881" s="29">
        <v>38078</v>
      </c>
      <c r="F6881" s="27">
        <v>15</v>
      </c>
      <c r="G6881" s="18">
        <v>22649.56</v>
      </c>
      <c r="H6881" s="27">
        <f t="shared" si="214"/>
        <v>22649.56</v>
      </c>
      <c r="I6881" s="18">
        <v>21517.08</v>
      </c>
      <c r="J6881" s="27">
        <v>22649.56</v>
      </c>
      <c r="K6881" s="18">
        <f t="shared" si="215"/>
        <v>22649.56</v>
      </c>
      <c r="L6881" s="27">
        <v>21517.08</v>
      </c>
      <c r="M6881" s="36">
        <v>0</v>
      </c>
      <c r="T6881" s="41">
        <v>0</v>
      </c>
      <c r="U6881" s="41">
        <v>0</v>
      </c>
      <c r="V6881" s="42" t="s">
        <v>113</v>
      </c>
      <c r="W6881" s="42">
        <v>22649.56</v>
      </c>
      <c r="X6881" s="42">
        <v>22649.56</v>
      </c>
    </row>
    <row r="6882" spans="1:24">
      <c r="A6882" s="27" t="s">
        <v>12551</v>
      </c>
      <c r="B6882" s="28" t="s">
        <v>12240</v>
      </c>
      <c r="C6882" s="27" t="s">
        <v>12552</v>
      </c>
      <c r="D6882" s="27" t="s">
        <v>230</v>
      </c>
      <c r="E6882" s="29">
        <v>38078</v>
      </c>
      <c r="F6882" s="27">
        <v>15</v>
      </c>
      <c r="G6882" s="18">
        <v>64736.44</v>
      </c>
      <c r="H6882" s="27">
        <f t="shared" si="214"/>
        <v>0</v>
      </c>
      <c r="I6882" s="18">
        <v>51503.99</v>
      </c>
      <c r="J6882" s="27">
        <v>64736.44</v>
      </c>
      <c r="K6882" s="18">
        <f t="shared" si="215"/>
        <v>64736.44</v>
      </c>
      <c r="L6882" s="27">
        <v>61499.62</v>
      </c>
      <c r="M6882" s="36">
        <v>9995.6299999999992</v>
      </c>
      <c r="T6882" s="41">
        <v>0</v>
      </c>
      <c r="U6882" s="41">
        <v>0</v>
      </c>
      <c r="V6882" s="42" t="s">
        <v>113</v>
      </c>
      <c r="W6882" s="42">
        <v>64736.44</v>
      </c>
      <c r="X6882" s="42">
        <v>64736.44</v>
      </c>
    </row>
    <row r="6883" spans="1:24">
      <c r="A6883" s="27" t="s">
        <v>12553</v>
      </c>
      <c r="B6883" s="28" t="s">
        <v>12240</v>
      </c>
      <c r="C6883" s="27" t="s">
        <v>12554</v>
      </c>
      <c r="D6883" s="27" t="s">
        <v>230</v>
      </c>
      <c r="E6883" s="29">
        <v>38078</v>
      </c>
      <c r="F6883" s="27">
        <v>15</v>
      </c>
      <c r="G6883" s="18">
        <v>81596.490000000005</v>
      </c>
      <c r="H6883" s="27">
        <f t="shared" si="214"/>
        <v>81596.490000000005</v>
      </c>
      <c r="I6883" s="18">
        <v>77516.67</v>
      </c>
      <c r="J6883" s="27">
        <v>81596.490000000005</v>
      </c>
      <c r="K6883" s="18">
        <f t="shared" si="215"/>
        <v>81596.490000000005</v>
      </c>
      <c r="L6883" s="27">
        <v>77516.67</v>
      </c>
      <c r="M6883" s="36">
        <v>0</v>
      </c>
      <c r="T6883" s="41">
        <v>0</v>
      </c>
      <c r="U6883" s="41">
        <v>0</v>
      </c>
      <c r="V6883" s="42" t="s">
        <v>113</v>
      </c>
      <c r="W6883" s="42">
        <v>81596.490000000005</v>
      </c>
      <c r="X6883" s="42">
        <v>81596.490000000005</v>
      </c>
    </row>
    <row r="6884" spans="1:24">
      <c r="A6884" s="27" t="s">
        <v>12555</v>
      </c>
      <c r="B6884" s="28" t="s">
        <v>12240</v>
      </c>
      <c r="C6884" s="27" t="s">
        <v>12556</v>
      </c>
      <c r="D6884" s="27" t="s">
        <v>230</v>
      </c>
      <c r="E6884" s="29">
        <v>37226</v>
      </c>
      <c r="F6884" s="27">
        <v>15</v>
      </c>
      <c r="G6884" s="18">
        <v>21162.01</v>
      </c>
      <c r="H6884" s="27">
        <f t="shared" si="214"/>
        <v>21162.01</v>
      </c>
      <c r="I6884" s="18">
        <v>20103.91</v>
      </c>
      <c r="J6884" s="27">
        <v>21162.01</v>
      </c>
      <c r="K6884" s="18">
        <f t="shared" si="215"/>
        <v>21162.01</v>
      </c>
      <c r="L6884" s="27">
        <v>20103.91</v>
      </c>
      <c r="M6884" s="36">
        <v>0</v>
      </c>
      <c r="T6884" s="41">
        <v>0</v>
      </c>
      <c r="U6884" s="41">
        <v>0</v>
      </c>
      <c r="V6884" s="42" t="s">
        <v>113</v>
      </c>
      <c r="W6884" s="42">
        <v>21162.01</v>
      </c>
      <c r="X6884" s="42">
        <v>21162.01</v>
      </c>
    </row>
    <row r="6885" spans="1:24">
      <c r="A6885" s="27" t="s">
        <v>12557</v>
      </c>
      <c r="B6885" s="28" t="s">
        <v>12240</v>
      </c>
      <c r="C6885" s="27" t="s">
        <v>12558</v>
      </c>
      <c r="D6885" s="27" t="s">
        <v>230</v>
      </c>
      <c r="E6885" s="29">
        <v>38078</v>
      </c>
      <c r="F6885" s="27">
        <v>15</v>
      </c>
      <c r="G6885" s="18">
        <v>19222.490000000002</v>
      </c>
      <c r="H6885" s="27">
        <f t="shared" si="214"/>
        <v>19222.490000000002</v>
      </c>
      <c r="I6885" s="18">
        <v>18261.37</v>
      </c>
      <c r="J6885" s="27">
        <v>19222.490000000002</v>
      </c>
      <c r="K6885" s="18">
        <f t="shared" si="215"/>
        <v>19222.490000000002</v>
      </c>
      <c r="L6885" s="27">
        <v>18261.37</v>
      </c>
      <c r="M6885" s="36">
        <v>0</v>
      </c>
      <c r="T6885" s="41">
        <v>0</v>
      </c>
      <c r="U6885" s="41">
        <v>0</v>
      </c>
      <c r="V6885" s="42" t="s">
        <v>113</v>
      </c>
      <c r="W6885" s="42">
        <v>19222.490000000002</v>
      </c>
      <c r="X6885" s="42">
        <v>19222.490000000002</v>
      </c>
    </row>
    <row r="6886" spans="1:24">
      <c r="A6886" s="27" t="s">
        <v>12559</v>
      </c>
      <c r="B6886" s="28" t="s">
        <v>12240</v>
      </c>
      <c r="C6886" s="27" t="s">
        <v>12560</v>
      </c>
      <c r="D6886" s="27" t="s">
        <v>230</v>
      </c>
      <c r="E6886" s="29">
        <v>37226</v>
      </c>
      <c r="F6886" s="27">
        <v>15</v>
      </c>
      <c r="G6886" s="18">
        <v>21514.21</v>
      </c>
      <c r="H6886" s="27">
        <f t="shared" si="214"/>
        <v>21514.21</v>
      </c>
      <c r="I6886" s="18">
        <v>20438.5</v>
      </c>
      <c r="J6886" s="27">
        <v>21514.21</v>
      </c>
      <c r="K6886" s="18">
        <f t="shared" si="215"/>
        <v>21514.21</v>
      </c>
      <c r="L6886" s="27">
        <v>20438.5</v>
      </c>
      <c r="M6886" s="36">
        <v>0</v>
      </c>
      <c r="T6886" s="41">
        <v>0</v>
      </c>
      <c r="U6886" s="41">
        <v>0</v>
      </c>
      <c r="V6886" s="42" t="s">
        <v>113</v>
      </c>
      <c r="W6886" s="42">
        <v>21514.21</v>
      </c>
      <c r="X6886" s="42">
        <v>21514.21</v>
      </c>
    </row>
    <row r="6887" spans="1:24">
      <c r="A6887" s="27" t="s">
        <v>12561</v>
      </c>
      <c r="B6887" s="28" t="s">
        <v>12240</v>
      </c>
      <c r="C6887" s="27" t="s">
        <v>12245</v>
      </c>
      <c r="D6887" s="27" t="s">
        <v>230</v>
      </c>
      <c r="E6887" s="29">
        <v>38078</v>
      </c>
      <c r="F6887" s="27">
        <v>15</v>
      </c>
      <c r="G6887" s="18">
        <v>19102.18</v>
      </c>
      <c r="H6887" s="27">
        <f t="shared" si="214"/>
        <v>19102.18</v>
      </c>
      <c r="I6887" s="18">
        <v>18147.07</v>
      </c>
      <c r="J6887" s="27">
        <v>19102.18</v>
      </c>
      <c r="K6887" s="18">
        <f t="shared" si="215"/>
        <v>19102.18</v>
      </c>
      <c r="L6887" s="27">
        <v>18147.07</v>
      </c>
      <c r="M6887" s="36">
        <v>0</v>
      </c>
      <c r="T6887" s="41">
        <v>0</v>
      </c>
      <c r="U6887" s="41">
        <v>0</v>
      </c>
      <c r="V6887" s="42" t="s">
        <v>113</v>
      </c>
      <c r="W6887" s="42">
        <v>19102.18</v>
      </c>
      <c r="X6887" s="42">
        <v>19102.18</v>
      </c>
    </row>
    <row r="6888" spans="1:24">
      <c r="A6888" s="27" t="s">
        <v>12562</v>
      </c>
      <c r="B6888" s="28" t="s">
        <v>12240</v>
      </c>
      <c r="C6888" s="27" t="s">
        <v>12563</v>
      </c>
      <c r="D6888" s="27" t="s">
        <v>230</v>
      </c>
      <c r="E6888" s="29">
        <v>37226</v>
      </c>
      <c r="F6888" s="27">
        <v>15</v>
      </c>
      <c r="G6888" s="18">
        <v>16879.11</v>
      </c>
      <c r="H6888" s="27">
        <f t="shared" si="214"/>
        <v>16879.11</v>
      </c>
      <c r="I6888" s="18">
        <v>16035.15</v>
      </c>
      <c r="J6888" s="27">
        <v>16879.11</v>
      </c>
      <c r="K6888" s="18">
        <f t="shared" si="215"/>
        <v>16879.11</v>
      </c>
      <c r="L6888" s="27">
        <v>16035.15</v>
      </c>
      <c r="M6888" s="36">
        <v>0</v>
      </c>
      <c r="T6888" s="41">
        <v>0</v>
      </c>
      <c r="U6888" s="41">
        <v>0</v>
      </c>
      <c r="V6888" s="42" t="s">
        <v>113</v>
      </c>
      <c r="W6888" s="42">
        <v>16879.11</v>
      </c>
      <c r="X6888" s="42">
        <v>16879.11</v>
      </c>
    </row>
    <row r="6889" spans="1:24">
      <c r="A6889" s="27" t="s">
        <v>12564</v>
      </c>
      <c r="B6889" s="28" t="s">
        <v>12240</v>
      </c>
      <c r="C6889" s="27" t="s">
        <v>12565</v>
      </c>
      <c r="D6889" s="27" t="s">
        <v>230</v>
      </c>
      <c r="E6889" s="29">
        <v>37226</v>
      </c>
      <c r="F6889" s="27">
        <v>15</v>
      </c>
      <c r="G6889" s="18">
        <v>21514.21</v>
      </c>
      <c r="H6889" s="27">
        <f t="shared" si="214"/>
        <v>21514.21</v>
      </c>
      <c r="I6889" s="18">
        <v>20438.5</v>
      </c>
      <c r="J6889" s="27">
        <v>21514.21</v>
      </c>
      <c r="K6889" s="18">
        <f t="shared" si="215"/>
        <v>21514.21</v>
      </c>
      <c r="L6889" s="27">
        <v>20438.5</v>
      </c>
      <c r="M6889" s="36">
        <v>0</v>
      </c>
      <c r="T6889" s="41">
        <v>0</v>
      </c>
      <c r="U6889" s="41">
        <v>0</v>
      </c>
      <c r="V6889" s="42" t="s">
        <v>113</v>
      </c>
      <c r="W6889" s="42">
        <v>21514.21</v>
      </c>
      <c r="X6889" s="42">
        <v>21514.21</v>
      </c>
    </row>
    <row r="6890" spans="1:24">
      <c r="A6890" s="27" t="s">
        <v>12566</v>
      </c>
      <c r="B6890" s="28" t="s">
        <v>12240</v>
      </c>
      <c r="C6890" s="27" t="s">
        <v>12364</v>
      </c>
      <c r="D6890" s="27" t="s">
        <v>5104</v>
      </c>
      <c r="E6890" s="29">
        <v>37530</v>
      </c>
      <c r="F6890" s="27">
        <v>15</v>
      </c>
      <c r="G6890" s="18">
        <v>83246.55</v>
      </c>
      <c r="H6890" s="27">
        <f t="shared" si="214"/>
        <v>83246.55</v>
      </c>
      <c r="I6890" s="18">
        <v>79084.22</v>
      </c>
      <c r="J6890" s="27">
        <v>83246.55</v>
      </c>
      <c r="K6890" s="18">
        <f t="shared" si="215"/>
        <v>83246.55</v>
      </c>
      <c r="L6890" s="27">
        <v>79084.22</v>
      </c>
      <c r="M6890" s="36">
        <v>0</v>
      </c>
      <c r="T6890" s="41">
        <v>0</v>
      </c>
      <c r="U6890" s="41">
        <v>0</v>
      </c>
      <c r="V6890" s="42" t="s">
        <v>113</v>
      </c>
      <c r="W6890" s="42">
        <v>83246.55</v>
      </c>
      <c r="X6890" s="42">
        <v>83246.55</v>
      </c>
    </row>
    <row r="6891" spans="1:24">
      <c r="A6891" s="27" t="s">
        <v>12567</v>
      </c>
      <c r="B6891" s="28" t="s">
        <v>12240</v>
      </c>
      <c r="C6891" s="27" t="s">
        <v>12568</v>
      </c>
      <c r="D6891" s="27" t="s">
        <v>230</v>
      </c>
      <c r="E6891" s="29">
        <v>37530</v>
      </c>
      <c r="F6891" s="27">
        <v>15</v>
      </c>
      <c r="G6891" s="18">
        <v>175000.17</v>
      </c>
      <c r="H6891" s="27">
        <f t="shared" si="214"/>
        <v>175000.17</v>
      </c>
      <c r="I6891" s="18">
        <v>166250.16</v>
      </c>
      <c r="J6891" s="27">
        <v>175000.17</v>
      </c>
      <c r="K6891" s="18">
        <f t="shared" si="215"/>
        <v>175000.17</v>
      </c>
      <c r="L6891" s="27">
        <v>166250.16</v>
      </c>
      <c r="M6891" s="36">
        <v>0</v>
      </c>
      <c r="T6891" s="41">
        <v>0</v>
      </c>
      <c r="U6891" s="41">
        <v>0</v>
      </c>
      <c r="V6891" s="42" t="s">
        <v>113</v>
      </c>
      <c r="W6891" s="42">
        <v>175000.17</v>
      </c>
      <c r="X6891" s="42">
        <v>175000.17</v>
      </c>
    </row>
    <row r="6892" spans="1:24">
      <c r="A6892" s="27" t="s">
        <v>12569</v>
      </c>
      <c r="B6892" s="28" t="s">
        <v>12240</v>
      </c>
      <c r="C6892" s="27" t="s">
        <v>12243</v>
      </c>
      <c r="D6892" s="27" t="s">
        <v>230</v>
      </c>
      <c r="E6892" s="29">
        <v>37226</v>
      </c>
      <c r="F6892" s="27">
        <v>15</v>
      </c>
      <c r="G6892" s="18">
        <v>25062.22</v>
      </c>
      <c r="H6892" s="27">
        <f t="shared" si="214"/>
        <v>25062.22</v>
      </c>
      <c r="I6892" s="18">
        <v>23809.11</v>
      </c>
      <c r="J6892" s="27">
        <v>25062.22</v>
      </c>
      <c r="K6892" s="18">
        <f t="shared" si="215"/>
        <v>25062.22</v>
      </c>
      <c r="L6892" s="27">
        <v>23809.11</v>
      </c>
      <c r="M6892" s="36">
        <v>0</v>
      </c>
      <c r="T6892" s="41">
        <v>0</v>
      </c>
      <c r="U6892" s="41">
        <v>0</v>
      </c>
      <c r="V6892" s="42" t="s">
        <v>113</v>
      </c>
      <c r="W6892" s="42">
        <v>25062.22</v>
      </c>
      <c r="X6892" s="42">
        <v>25062.22</v>
      </c>
    </row>
    <row r="6893" spans="1:24">
      <c r="A6893" s="27" t="s">
        <v>12570</v>
      </c>
      <c r="B6893" s="28" t="s">
        <v>12240</v>
      </c>
      <c r="C6893" s="27" t="s">
        <v>12571</v>
      </c>
      <c r="D6893" s="27" t="s">
        <v>230</v>
      </c>
      <c r="E6893" s="29">
        <v>37226</v>
      </c>
      <c r="F6893" s="27">
        <v>12</v>
      </c>
      <c r="G6893" s="18">
        <v>103600.56</v>
      </c>
      <c r="H6893" s="27">
        <f t="shared" si="214"/>
        <v>103600.56</v>
      </c>
      <c r="I6893" s="18">
        <v>102874.38</v>
      </c>
      <c r="J6893" s="27">
        <v>103600.56</v>
      </c>
      <c r="K6893" s="18">
        <f t="shared" si="215"/>
        <v>103600.56</v>
      </c>
      <c r="L6893" s="27">
        <v>98420.53</v>
      </c>
      <c r="M6893" s="36">
        <v>-4453.8500000000004</v>
      </c>
      <c r="T6893" s="41">
        <v>0</v>
      </c>
      <c r="U6893" s="41">
        <v>0</v>
      </c>
      <c r="V6893" s="42" t="s">
        <v>113</v>
      </c>
      <c r="W6893" s="42">
        <v>103600.56</v>
      </c>
      <c r="X6893" s="42">
        <v>103600.56</v>
      </c>
    </row>
    <row r="6894" spans="1:24">
      <c r="A6894" s="27" t="s">
        <v>12572</v>
      </c>
      <c r="B6894" s="28" t="s">
        <v>12240</v>
      </c>
      <c r="C6894" s="27" t="s">
        <v>12243</v>
      </c>
      <c r="D6894" s="27" t="s">
        <v>230</v>
      </c>
      <c r="E6894" s="29">
        <v>37226</v>
      </c>
      <c r="F6894" s="27">
        <v>15</v>
      </c>
      <c r="G6894" s="18">
        <v>25115.37</v>
      </c>
      <c r="H6894" s="27">
        <f t="shared" si="214"/>
        <v>25115.37</v>
      </c>
      <c r="I6894" s="18">
        <v>23859.599999999999</v>
      </c>
      <c r="J6894" s="27">
        <v>25115.37</v>
      </c>
      <c r="K6894" s="18">
        <f t="shared" si="215"/>
        <v>25115.37</v>
      </c>
      <c r="L6894" s="27">
        <v>23859.599999999999</v>
      </c>
      <c r="M6894" s="36">
        <v>0</v>
      </c>
      <c r="T6894" s="41">
        <v>0</v>
      </c>
      <c r="U6894" s="41">
        <v>0</v>
      </c>
      <c r="V6894" s="42" t="s">
        <v>113</v>
      </c>
      <c r="W6894" s="42">
        <v>25115.37</v>
      </c>
      <c r="X6894" s="42">
        <v>25115.37</v>
      </c>
    </row>
    <row r="6895" spans="1:24">
      <c r="A6895" s="27" t="s">
        <v>12573</v>
      </c>
      <c r="B6895" s="28" t="s">
        <v>12240</v>
      </c>
      <c r="C6895" s="27" t="s">
        <v>12245</v>
      </c>
      <c r="D6895" s="27" t="s">
        <v>5104</v>
      </c>
      <c r="E6895" s="29">
        <v>37226</v>
      </c>
      <c r="F6895" s="27">
        <v>15</v>
      </c>
      <c r="G6895" s="18">
        <v>27663.8</v>
      </c>
      <c r="H6895" s="27">
        <f t="shared" si="214"/>
        <v>27663.8</v>
      </c>
      <c r="I6895" s="18">
        <v>26280.61</v>
      </c>
      <c r="J6895" s="27">
        <v>27663.8</v>
      </c>
      <c r="K6895" s="18">
        <f t="shared" si="215"/>
        <v>27663.8</v>
      </c>
      <c r="L6895" s="27">
        <v>26280.61</v>
      </c>
      <c r="M6895" s="36">
        <v>0</v>
      </c>
      <c r="T6895" s="41">
        <v>0</v>
      </c>
      <c r="U6895" s="41">
        <v>0</v>
      </c>
      <c r="V6895" s="42" t="s">
        <v>113</v>
      </c>
      <c r="W6895" s="42">
        <v>27663.8</v>
      </c>
      <c r="X6895" s="42">
        <v>27663.8</v>
      </c>
    </row>
    <row r="6896" spans="1:24">
      <c r="A6896" s="27" t="s">
        <v>12574</v>
      </c>
      <c r="B6896" s="28" t="s">
        <v>12240</v>
      </c>
      <c r="C6896" s="27" t="s">
        <v>12575</v>
      </c>
      <c r="D6896" s="27" t="s">
        <v>230</v>
      </c>
      <c r="E6896" s="29">
        <v>35612</v>
      </c>
      <c r="F6896" s="27">
        <v>15</v>
      </c>
      <c r="G6896" s="18">
        <v>13082.83</v>
      </c>
      <c r="H6896" s="27">
        <f t="shared" si="214"/>
        <v>13082.83</v>
      </c>
      <c r="I6896" s="18">
        <v>12428.69</v>
      </c>
      <c r="J6896" s="27">
        <v>13082.83</v>
      </c>
      <c r="K6896" s="18">
        <f t="shared" si="215"/>
        <v>13082.83</v>
      </c>
      <c r="L6896" s="27">
        <v>12428.69</v>
      </c>
      <c r="M6896" s="36">
        <v>0</v>
      </c>
      <c r="T6896" s="41">
        <v>0</v>
      </c>
      <c r="U6896" s="41">
        <v>0</v>
      </c>
      <c r="V6896" s="42" t="s">
        <v>113</v>
      </c>
      <c r="W6896" s="42">
        <v>13082.83</v>
      </c>
      <c r="X6896" s="42">
        <v>13082.83</v>
      </c>
    </row>
    <row r="6897" spans="1:24">
      <c r="A6897" s="27" t="s">
        <v>12576</v>
      </c>
      <c r="B6897" s="28" t="s">
        <v>12240</v>
      </c>
      <c r="C6897" s="27" t="s">
        <v>12577</v>
      </c>
      <c r="D6897" s="27" t="s">
        <v>5104</v>
      </c>
      <c r="E6897" s="29">
        <v>35612</v>
      </c>
      <c r="F6897" s="27">
        <v>15</v>
      </c>
      <c r="G6897" s="18">
        <v>10466.27</v>
      </c>
      <c r="H6897" s="27">
        <f t="shared" si="214"/>
        <v>10466.27</v>
      </c>
      <c r="I6897" s="18">
        <v>9942.9599999999991</v>
      </c>
      <c r="J6897" s="27">
        <v>10466.27</v>
      </c>
      <c r="K6897" s="18">
        <f t="shared" si="215"/>
        <v>10466.27</v>
      </c>
      <c r="L6897" s="27">
        <v>9942.9599999999991</v>
      </c>
      <c r="M6897" s="36">
        <v>0</v>
      </c>
      <c r="T6897" s="41">
        <v>0</v>
      </c>
      <c r="U6897" s="41">
        <v>0</v>
      </c>
      <c r="V6897" s="42" t="s">
        <v>113</v>
      </c>
      <c r="W6897" s="42">
        <v>10466.27</v>
      </c>
      <c r="X6897" s="42">
        <v>10466.27</v>
      </c>
    </row>
    <row r="6898" spans="1:24">
      <c r="A6898" s="27" t="s">
        <v>12578</v>
      </c>
      <c r="B6898" s="28" t="s">
        <v>12240</v>
      </c>
      <c r="C6898" s="27" t="s">
        <v>12579</v>
      </c>
      <c r="D6898" s="27" t="s">
        <v>230</v>
      </c>
      <c r="E6898" s="29">
        <v>33086</v>
      </c>
      <c r="F6898" s="27">
        <v>15</v>
      </c>
      <c r="G6898" s="18">
        <v>6048.67</v>
      </c>
      <c r="H6898" s="27">
        <f t="shared" si="214"/>
        <v>6048.67</v>
      </c>
      <c r="I6898" s="18">
        <v>5746.24</v>
      </c>
      <c r="J6898" s="27">
        <v>6048.67</v>
      </c>
      <c r="K6898" s="18">
        <f t="shared" si="215"/>
        <v>6048.67</v>
      </c>
      <c r="L6898" s="27">
        <v>5746.24</v>
      </c>
      <c r="M6898" s="36">
        <v>0</v>
      </c>
      <c r="T6898" s="41">
        <v>0</v>
      </c>
      <c r="U6898" s="41">
        <v>0</v>
      </c>
      <c r="V6898" s="42" t="s">
        <v>113</v>
      </c>
      <c r="W6898" s="42">
        <v>6048.67</v>
      </c>
      <c r="X6898" s="42">
        <v>6048.67</v>
      </c>
    </row>
    <row r="6899" spans="1:24">
      <c r="A6899" s="27" t="s">
        <v>12580</v>
      </c>
      <c r="B6899" s="28" t="s">
        <v>12240</v>
      </c>
      <c r="C6899" s="27" t="s">
        <v>12581</v>
      </c>
      <c r="D6899" s="27" t="s">
        <v>5104</v>
      </c>
      <c r="E6899" s="29">
        <v>33086</v>
      </c>
      <c r="F6899" s="27">
        <v>15</v>
      </c>
      <c r="G6899" s="18">
        <v>8777.6</v>
      </c>
      <c r="H6899" s="27">
        <f t="shared" si="214"/>
        <v>8777.6</v>
      </c>
      <c r="I6899" s="18">
        <v>8338.7199999999993</v>
      </c>
      <c r="J6899" s="27">
        <v>8777.6</v>
      </c>
      <c r="K6899" s="18">
        <f t="shared" si="215"/>
        <v>8777.6</v>
      </c>
      <c r="L6899" s="27">
        <v>8338.7199999999993</v>
      </c>
      <c r="M6899" s="36">
        <v>0</v>
      </c>
      <c r="T6899" s="41">
        <v>0</v>
      </c>
      <c r="U6899" s="41">
        <v>0</v>
      </c>
      <c r="V6899" s="42" t="s">
        <v>113</v>
      </c>
      <c r="W6899" s="42">
        <v>8777.6</v>
      </c>
      <c r="X6899" s="42">
        <v>8777.6</v>
      </c>
    </row>
    <row r="6900" spans="1:24">
      <c r="A6900" s="27" t="s">
        <v>12582</v>
      </c>
      <c r="B6900" s="28" t="s">
        <v>12240</v>
      </c>
      <c r="C6900" s="27" t="s">
        <v>12583</v>
      </c>
      <c r="D6900" s="27" t="s">
        <v>230</v>
      </c>
      <c r="E6900" s="29">
        <v>35977</v>
      </c>
      <c r="F6900" s="27">
        <v>15</v>
      </c>
      <c r="G6900" s="18">
        <v>7080.42</v>
      </c>
      <c r="H6900" s="27">
        <f t="shared" si="214"/>
        <v>7080.42</v>
      </c>
      <c r="I6900" s="18">
        <v>6726.4</v>
      </c>
      <c r="J6900" s="27">
        <v>7080.42</v>
      </c>
      <c r="K6900" s="18">
        <f t="shared" si="215"/>
        <v>7080.42</v>
      </c>
      <c r="L6900" s="27">
        <v>6726.4</v>
      </c>
      <c r="M6900" s="36">
        <v>0</v>
      </c>
      <c r="T6900" s="41">
        <v>0</v>
      </c>
      <c r="U6900" s="41">
        <v>0</v>
      </c>
      <c r="V6900" s="42" t="s">
        <v>113</v>
      </c>
      <c r="W6900" s="42">
        <v>7080.42</v>
      </c>
      <c r="X6900" s="42">
        <v>7080.42</v>
      </c>
    </row>
    <row r="6901" spans="1:24">
      <c r="A6901" s="27" t="s">
        <v>12584</v>
      </c>
      <c r="B6901" s="28" t="s">
        <v>12240</v>
      </c>
      <c r="C6901" s="27" t="s">
        <v>12585</v>
      </c>
      <c r="D6901" s="27" t="s">
        <v>230</v>
      </c>
      <c r="E6901" s="29">
        <v>36495</v>
      </c>
      <c r="F6901" s="27">
        <v>15</v>
      </c>
      <c r="G6901" s="18">
        <v>21801.87</v>
      </c>
      <c r="H6901" s="27">
        <f t="shared" si="214"/>
        <v>21801.87</v>
      </c>
      <c r="I6901" s="18">
        <v>20711.78</v>
      </c>
      <c r="J6901" s="27">
        <v>21801.87</v>
      </c>
      <c r="K6901" s="18">
        <f t="shared" si="215"/>
        <v>21801.87</v>
      </c>
      <c r="L6901" s="27">
        <v>20711.78</v>
      </c>
      <c r="M6901" s="36">
        <v>0</v>
      </c>
      <c r="T6901" s="41">
        <v>0</v>
      </c>
      <c r="U6901" s="41">
        <v>0</v>
      </c>
      <c r="V6901" s="42" t="s">
        <v>113</v>
      </c>
      <c r="W6901" s="42">
        <v>21801.87</v>
      </c>
      <c r="X6901" s="42">
        <v>21801.87</v>
      </c>
    </row>
    <row r="6902" spans="1:24">
      <c r="A6902" s="27" t="s">
        <v>12586</v>
      </c>
      <c r="B6902" s="28" t="s">
        <v>12240</v>
      </c>
      <c r="C6902" s="27" t="s">
        <v>12587</v>
      </c>
      <c r="D6902" s="27" t="s">
        <v>230</v>
      </c>
      <c r="E6902" s="29">
        <v>36495</v>
      </c>
      <c r="F6902" s="27">
        <v>15</v>
      </c>
      <c r="G6902" s="18">
        <v>21801.87</v>
      </c>
      <c r="H6902" s="27">
        <f t="shared" si="214"/>
        <v>21801.87</v>
      </c>
      <c r="I6902" s="18">
        <v>20711.78</v>
      </c>
      <c r="J6902" s="27">
        <v>21801.87</v>
      </c>
      <c r="K6902" s="18">
        <f t="shared" si="215"/>
        <v>21801.87</v>
      </c>
      <c r="L6902" s="27">
        <v>20711.78</v>
      </c>
      <c r="M6902" s="36">
        <v>0</v>
      </c>
      <c r="T6902" s="41">
        <v>0</v>
      </c>
      <c r="U6902" s="41">
        <v>0</v>
      </c>
      <c r="V6902" s="42" t="s">
        <v>113</v>
      </c>
      <c r="W6902" s="42">
        <v>21801.87</v>
      </c>
      <c r="X6902" s="42">
        <v>21801.87</v>
      </c>
    </row>
    <row r="6903" spans="1:24">
      <c r="A6903" s="27" t="s">
        <v>12588</v>
      </c>
      <c r="B6903" s="28" t="s">
        <v>12240</v>
      </c>
      <c r="C6903" s="27" t="s">
        <v>12589</v>
      </c>
      <c r="D6903" s="27" t="s">
        <v>230</v>
      </c>
      <c r="E6903" s="29">
        <v>37226</v>
      </c>
      <c r="F6903" s="27">
        <v>15</v>
      </c>
      <c r="G6903" s="18">
        <v>28351.13</v>
      </c>
      <c r="H6903" s="27">
        <f t="shared" si="214"/>
        <v>28351.13</v>
      </c>
      <c r="I6903" s="18">
        <v>26933.57</v>
      </c>
      <c r="J6903" s="27">
        <v>28351.13</v>
      </c>
      <c r="K6903" s="18">
        <f t="shared" si="215"/>
        <v>28351.13</v>
      </c>
      <c r="L6903" s="27">
        <v>26933.57</v>
      </c>
      <c r="M6903" s="36">
        <v>0</v>
      </c>
      <c r="T6903" s="41">
        <v>0</v>
      </c>
      <c r="U6903" s="41">
        <v>0</v>
      </c>
      <c r="V6903" s="42" t="s">
        <v>113</v>
      </c>
      <c r="W6903" s="42">
        <v>28351.13</v>
      </c>
      <c r="X6903" s="42">
        <v>28351.13</v>
      </c>
    </row>
    <row r="6904" spans="1:24">
      <c r="A6904" s="27" t="s">
        <v>12590</v>
      </c>
      <c r="B6904" s="28" t="s">
        <v>12240</v>
      </c>
      <c r="C6904" s="27" t="s">
        <v>12591</v>
      </c>
      <c r="D6904" s="27" t="s">
        <v>230</v>
      </c>
      <c r="E6904" s="29">
        <v>34121</v>
      </c>
      <c r="F6904" s="27">
        <v>15</v>
      </c>
      <c r="G6904" s="18">
        <v>20822.48</v>
      </c>
      <c r="H6904" s="27">
        <f t="shared" si="214"/>
        <v>20822.48</v>
      </c>
      <c r="I6904" s="18">
        <v>19781.36</v>
      </c>
      <c r="J6904" s="27">
        <v>20822.48</v>
      </c>
      <c r="K6904" s="18">
        <f t="shared" si="215"/>
        <v>20822.48</v>
      </c>
      <c r="L6904" s="27">
        <v>19781.36</v>
      </c>
      <c r="M6904" s="36">
        <v>0</v>
      </c>
      <c r="T6904" s="41">
        <v>0</v>
      </c>
      <c r="U6904" s="41">
        <v>0</v>
      </c>
      <c r="V6904" s="42" t="s">
        <v>113</v>
      </c>
      <c r="W6904" s="42">
        <v>20822.48</v>
      </c>
      <c r="X6904" s="42">
        <v>20822.48</v>
      </c>
    </row>
    <row r="6905" spans="1:24">
      <c r="A6905" s="27" t="s">
        <v>12592</v>
      </c>
      <c r="B6905" s="28" t="s">
        <v>12240</v>
      </c>
      <c r="C6905" s="27" t="s">
        <v>12593</v>
      </c>
      <c r="D6905" s="27" t="s">
        <v>5104</v>
      </c>
      <c r="E6905" s="29">
        <v>34943</v>
      </c>
      <c r="F6905" s="27">
        <v>15</v>
      </c>
      <c r="G6905" s="18">
        <v>8196.6</v>
      </c>
      <c r="H6905" s="27">
        <f t="shared" si="214"/>
        <v>8196.6</v>
      </c>
      <c r="I6905" s="18">
        <v>7786.77</v>
      </c>
      <c r="J6905" s="27">
        <v>8196.6</v>
      </c>
      <c r="K6905" s="18">
        <f t="shared" si="215"/>
        <v>8196.6</v>
      </c>
      <c r="L6905" s="27">
        <v>7786.77</v>
      </c>
      <c r="M6905" s="36">
        <v>0</v>
      </c>
      <c r="T6905" s="41">
        <v>0</v>
      </c>
      <c r="U6905" s="41">
        <v>0</v>
      </c>
      <c r="V6905" s="42" t="s">
        <v>113</v>
      </c>
      <c r="W6905" s="42">
        <v>8196.6</v>
      </c>
      <c r="X6905" s="42">
        <v>8196.6</v>
      </c>
    </row>
    <row r="6906" spans="1:24">
      <c r="A6906" s="27" t="s">
        <v>12594</v>
      </c>
      <c r="B6906" s="28" t="s">
        <v>12240</v>
      </c>
      <c r="C6906" s="27" t="s">
        <v>12595</v>
      </c>
      <c r="D6906" s="27" t="s">
        <v>230</v>
      </c>
      <c r="E6906" s="29">
        <v>35796</v>
      </c>
      <c r="F6906" s="27">
        <v>15</v>
      </c>
      <c r="G6906" s="18">
        <v>9262.85</v>
      </c>
      <c r="H6906" s="27">
        <f t="shared" si="214"/>
        <v>9262.85</v>
      </c>
      <c r="I6906" s="18">
        <v>8799.7099999999991</v>
      </c>
      <c r="J6906" s="27">
        <v>9262.85</v>
      </c>
      <c r="K6906" s="18">
        <f t="shared" si="215"/>
        <v>9262.85</v>
      </c>
      <c r="L6906" s="27">
        <v>8799.7099999999991</v>
      </c>
      <c r="M6906" s="36">
        <v>0</v>
      </c>
      <c r="T6906" s="41">
        <v>0</v>
      </c>
      <c r="U6906" s="41">
        <v>0</v>
      </c>
      <c r="V6906" s="42" t="s">
        <v>113</v>
      </c>
      <c r="W6906" s="42">
        <v>9262.85</v>
      </c>
      <c r="X6906" s="42">
        <v>9262.85</v>
      </c>
    </row>
    <row r="6907" spans="1:24">
      <c r="A6907" s="27" t="s">
        <v>12596</v>
      </c>
      <c r="B6907" s="28" t="s">
        <v>12240</v>
      </c>
      <c r="C6907" s="27" t="s">
        <v>12597</v>
      </c>
      <c r="D6907" s="27" t="s">
        <v>5104</v>
      </c>
      <c r="E6907" s="29">
        <v>35156</v>
      </c>
      <c r="F6907" s="27">
        <v>15</v>
      </c>
      <c r="G6907" s="18">
        <v>79213.5</v>
      </c>
      <c r="H6907" s="27">
        <f t="shared" si="214"/>
        <v>79213.5</v>
      </c>
      <c r="I6907" s="18">
        <v>75252.820000000007</v>
      </c>
      <c r="J6907" s="27">
        <v>79213.5</v>
      </c>
      <c r="K6907" s="18">
        <f t="shared" si="215"/>
        <v>79213.5</v>
      </c>
      <c r="L6907" s="27">
        <v>75252.820000000007</v>
      </c>
      <c r="M6907" s="36">
        <v>0</v>
      </c>
      <c r="T6907" s="41">
        <v>0</v>
      </c>
      <c r="U6907" s="41">
        <v>0</v>
      </c>
      <c r="V6907" s="42" t="s">
        <v>113</v>
      </c>
      <c r="W6907" s="42">
        <v>79213.5</v>
      </c>
      <c r="X6907" s="42">
        <v>79213.5</v>
      </c>
    </row>
    <row r="6908" spans="1:24">
      <c r="A6908" s="27" t="s">
        <v>12598</v>
      </c>
      <c r="B6908" s="28" t="s">
        <v>12240</v>
      </c>
      <c r="C6908" s="27" t="s">
        <v>12270</v>
      </c>
      <c r="D6908" s="27" t="s">
        <v>5104</v>
      </c>
      <c r="E6908" s="29">
        <v>35156</v>
      </c>
      <c r="F6908" s="27">
        <v>15</v>
      </c>
      <c r="G6908" s="18">
        <v>12322.1</v>
      </c>
      <c r="H6908" s="27">
        <f t="shared" si="214"/>
        <v>12322.1</v>
      </c>
      <c r="I6908" s="18">
        <v>11705.99</v>
      </c>
      <c r="J6908" s="27">
        <v>12322.1</v>
      </c>
      <c r="K6908" s="18">
        <f t="shared" si="215"/>
        <v>12322.1</v>
      </c>
      <c r="L6908" s="27">
        <v>11705.99</v>
      </c>
      <c r="M6908" s="36">
        <v>0</v>
      </c>
      <c r="T6908" s="41">
        <v>0</v>
      </c>
      <c r="U6908" s="41">
        <v>0</v>
      </c>
      <c r="V6908" s="42" t="s">
        <v>113</v>
      </c>
      <c r="W6908" s="42">
        <v>12322.1</v>
      </c>
      <c r="X6908" s="42">
        <v>12322.1</v>
      </c>
    </row>
    <row r="6909" spans="1:24">
      <c r="A6909" s="27" t="s">
        <v>12599</v>
      </c>
      <c r="B6909" s="28" t="s">
        <v>12240</v>
      </c>
      <c r="C6909" s="27" t="s">
        <v>12600</v>
      </c>
      <c r="D6909" s="27" t="s">
        <v>230</v>
      </c>
      <c r="E6909" s="29">
        <v>35156</v>
      </c>
      <c r="F6909" s="27">
        <v>15</v>
      </c>
      <c r="G6909" s="18">
        <v>5632.96</v>
      </c>
      <c r="H6909" s="27">
        <f t="shared" si="214"/>
        <v>5632.96</v>
      </c>
      <c r="I6909" s="18">
        <v>5351.31</v>
      </c>
      <c r="J6909" s="27">
        <v>5632.96</v>
      </c>
      <c r="K6909" s="18">
        <f t="shared" si="215"/>
        <v>5632.96</v>
      </c>
      <c r="L6909" s="27">
        <v>5351.31</v>
      </c>
      <c r="M6909" s="36">
        <v>0</v>
      </c>
      <c r="T6909" s="41">
        <v>0</v>
      </c>
      <c r="U6909" s="41">
        <v>0</v>
      </c>
      <c r="V6909" s="42" t="s">
        <v>113</v>
      </c>
      <c r="W6909" s="42">
        <v>5632.96</v>
      </c>
      <c r="X6909" s="42">
        <v>5632.96</v>
      </c>
    </row>
    <row r="6910" spans="1:24">
      <c r="A6910" s="27" t="s">
        <v>12601</v>
      </c>
      <c r="B6910" s="28" t="s">
        <v>12240</v>
      </c>
      <c r="C6910" s="27" t="s">
        <v>12602</v>
      </c>
      <c r="D6910" s="27" t="s">
        <v>230</v>
      </c>
      <c r="E6910" s="29">
        <v>30437</v>
      </c>
      <c r="F6910" s="27">
        <v>15</v>
      </c>
      <c r="G6910" s="18">
        <v>76429.789999999994</v>
      </c>
      <c r="H6910" s="27">
        <f t="shared" si="214"/>
        <v>0</v>
      </c>
      <c r="I6910" s="18">
        <v>47437.7</v>
      </c>
      <c r="J6910" s="27">
        <v>76429.789999999994</v>
      </c>
      <c r="K6910" s="18">
        <f t="shared" si="215"/>
        <v>0</v>
      </c>
      <c r="L6910" s="27">
        <v>51360.39</v>
      </c>
      <c r="M6910" s="36">
        <v>3922.69</v>
      </c>
      <c r="T6910" s="41">
        <v>0</v>
      </c>
      <c r="U6910" s="41">
        <v>0</v>
      </c>
      <c r="V6910" s="42" t="s">
        <v>124</v>
      </c>
      <c r="W6910" s="42">
        <v>76429.789999999994</v>
      </c>
      <c r="X6910" s="42">
        <v>76429.789999999994</v>
      </c>
    </row>
    <row r="6911" spans="1:24">
      <c r="A6911" s="27" t="s">
        <v>12603</v>
      </c>
      <c r="B6911" s="28" t="s">
        <v>12240</v>
      </c>
      <c r="C6911" s="27" t="s">
        <v>12604</v>
      </c>
      <c r="D6911" s="27" t="s">
        <v>230</v>
      </c>
      <c r="E6911" s="29">
        <v>34820</v>
      </c>
      <c r="F6911" s="27">
        <v>15</v>
      </c>
      <c r="G6911" s="18">
        <v>13487.69</v>
      </c>
      <c r="H6911" s="27">
        <f t="shared" si="214"/>
        <v>13487.69</v>
      </c>
      <c r="I6911" s="18">
        <v>12813.31</v>
      </c>
      <c r="J6911" s="27">
        <v>13487.69</v>
      </c>
      <c r="K6911" s="18">
        <f t="shared" si="215"/>
        <v>13487.69</v>
      </c>
      <c r="L6911" s="27">
        <v>12813.31</v>
      </c>
      <c r="M6911" s="36">
        <v>0</v>
      </c>
      <c r="T6911" s="41">
        <v>0</v>
      </c>
      <c r="U6911" s="41">
        <v>0</v>
      </c>
      <c r="V6911" s="42" t="s">
        <v>113</v>
      </c>
      <c r="W6911" s="42">
        <v>13487.69</v>
      </c>
      <c r="X6911" s="42">
        <v>13487.69</v>
      </c>
    </row>
    <row r="6912" spans="1:24">
      <c r="A6912" s="27" t="s">
        <v>12605</v>
      </c>
      <c r="B6912" s="28" t="s">
        <v>12240</v>
      </c>
      <c r="C6912" s="27" t="s">
        <v>12270</v>
      </c>
      <c r="D6912" s="27" t="s">
        <v>5104</v>
      </c>
      <c r="E6912" s="29">
        <v>34486</v>
      </c>
      <c r="F6912" s="27">
        <v>15</v>
      </c>
      <c r="G6912" s="18">
        <v>13174.65</v>
      </c>
      <c r="H6912" s="27">
        <f t="shared" si="214"/>
        <v>13174.65</v>
      </c>
      <c r="I6912" s="18">
        <v>12515.92</v>
      </c>
      <c r="J6912" s="27">
        <v>13174.65</v>
      </c>
      <c r="K6912" s="18">
        <f t="shared" si="215"/>
        <v>13174.65</v>
      </c>
      <c r="L6912" s="27">
        <v>12515.92</v>
      </c>
      <c r="M6912" s="36">
        <v>0</v>
      </c>
      <c r="T6912" s="41">
        <v>0</v>
      </c>
      <c r="U6912" s="41">
        <v>0</v>
      </c>
      <c r="V6912" s="42" t="s">
        <v>113</v>
      </c>
      <c r="W6912" s="42">
        <v>13174.65</v>
      </c>
      <c r="X6912" s="42">
        <v>13174.65</v>
      </c>
    </row>
    <row r="6913" spans="1:24">
      <c r="A6913" s="27" t="s">
        <v>12606</v>
      </c>
      <c r="B6913" s="28" t="s">
        <v>12240</v>
      </c>
      <c r="C6913" s="27" t="s">
        <v>12607</v>
      </c>
      <c r="D6913" s="27" t="s">
        <v>230</v>
      </c>
      <c r="E6913" s="29">
        <v>34486</v>
      </c>
      <c r="F6913" s="27">
        <v>15</v>
      </c>
      <c r="G6913" s="18">
        <v>19030.05</v>
      </c>
      <c r="H6913" s="27">
        <f t="shared" si="214"/>
        <v>19030.05</v>
      </c>
      <c r="I6913" s="18">
        <v>18078.55</v>
      </c>
      <c r="J6913" s="27">
        <v>19030.05</v>
      </c>
      <c r="K6913" s="18">
        <f t="shared" si="215"/>
        <v>19030.05</v>
      </c>
      <c r="L6913" s="27">
        <v>18078.55</v>
      </c>
      <c r="M6913" s="36">
        <v>0</v>
      </c>
      <c r="T6913" s="41">
        <v>0</v>
      </c>
      <c r="U6913" s="41">
        <v>0</v>
      </c>
      <c r="V6913" s="42" t="s">
        <v>113</v>
      </c>
      <c r="W6913" s="42">
        <v>19030.05</v>
      </c>
      <c r="X6913" s="42">
        <v>19030.05</v>
      </c>
    </row>
    <row r="6914" spans="1:24">
      <c r="A6914" s="27" t="s">
        <v>12608</v>
      </c>
      <c r="B6914" s="28" t="s">
        <v>12240</v>
      </c>
      <c r="C6914" s="27" t="s">
        <v>12245</v>
      </c>
      <c r="D6914" s="27" t="s">
        <v>5104</v>
      </c>
      <c r="E6914" s="29">
        <v>36495</v>
      </c>
      <c r="F6914" s="27">
        <v>15</v>
      </c>
      <c r="G6914" s="18">
        <v>21677.759999999998</v>
      </c>
      <c r="H6914" s="27">
        <f t="shared" si="214"/>
        <v>21677.759999999998</v>
      </c>
      <c r="I6914" s="18">
        <v>20593.87</v>
      </c>
      <c r="J6914" s="27">
        <v>21677.759999999998</v>
      </c>
      <c r="K6914" s="18">
        <f t="shared" si="215"/>
        <v>21677.759999999998</v>
      </c>
      <c r="L6914" s="27">
        <v>20593.87</v>
      </c>
      <c r="M6914" s="36">
        <v>0</v>
      </c>
      <c r="T6914" s="41">
        <v>0</v>
      </c>
      <c r="U6914" s="41">
        <v>0</v>
      </c>
      <c r="V6914" s="42" t="s">
        <v>113</v>
      </c>
      <c r="W6914" s="42">
        <v>21677.759999999998</v>
      </c>
      <c r="X6914" s="42">
        <v>21677.759999999998</v>
      </c>
    </row>
    <row r="6915" spans="1:24">
      <c r="A6915" s="27" t="s">
        <v>12609</v>
      </c>
      <c r="B6915" s="28" t="s">
        <v>12240</v>
      </c>
      <c r="C6915" s="27" t="s">
        <v>12610</v>
      </c>
      <c r="D6915" s="27" t="s">
        <v>5104</v>
      </c>
      <c r="E6915" s="29">
        <v>36647</v>
      </c>
      <c r="F6915" s="27">
        <v>15</v>
      </c>
      <c r="G6915" s="18">
        <v>46636.41</v>
      </c>
      <c r="H6915" s="27">
        <f t="shared" si="214"/>
        <v>46636.41</v>
      </c>
      <c r="I6915" s="18">
        <v>44304.59</v>
      </c>
      <c r="J6915" s="27">
        <v>46636.41</v>
      </c>
      <c r="K6915" s="18">
        <f t="shared" si="215"/>
        <v>46636.41</v>
      </c>
      <c r="L6915" s="27">
        <v>44304.59</v>
      </c>
      <c r="M6915" s="36">
        <v>0</v>
      </c>
      <c r="T6915" s="41">
        <v>0</v>
      </c>
      <c r="U6915" s="41">
        <v>0</v>
      </c>
      <c r="V6915" s="42" t="s">
        <v>113</v>
      </c>
      <c r="W6915" s="42">
        <v>46636.41</v>
      </c>
      <c r="X6915" s="42">
        <v>46636.41</v>
      </c>
    </row>
    <row r="6916" spans="1:24">
      <c r="A6916" s="27" t="s">
        <v>12611</v>
      </c>
      <c r="B6916" s="28" t="s">
        <v>12240</v>
      </c>
      <c r="C6916" s="27" t="s">
        <v>12612</v>
      </c>
      <c r="D6916" s="27" t="s">
        <v>230</v>
      </c>
      <c r="E6916" s="29">
        <v>33512</v>
      </c>
      <c r="F6916" s="27">
        <v>15</v>
      </c>
      <c r="G6916" s="18">
        <v>92767.13</v>
      </c>
      <c r="H6916" s="27">
        <f t="shared" si="214"/>
        <v>0</v>
      </c>
      <c r="I6916" s="18">
        <v>54624.76</v>
      </c>
      <c r="J6916" s="27">
        <v>92767.13</v>
      </c>
      <c r="K6916" s="18">
        <f t="shared" si="215"/>
        <v>0</v>
      </c>
      <c r="L6916" s="27">
        <v>59527.79</v>
      </c>
      <c r="M6916" s="36">
        <v>4903.03</v>
      </c>
      <c r="T6916" s="41">
        <v>0</v>
      </c>
      <c r="U6916" s="41">
        <v>0</v>
      </c>
      <c r="V6916" s="42" t="s">
        <v>124</v>
      </c>
      <c r="W6916" s="42">
        <v>92767.13</v>
      </c>
      <c r="X6916" s="42">
        <v>92767.13</v>
      </c>
    </row>
    <row r="6917" spans="1:24">
      <c r="A6917" s="27" t="s">
        <v>12613</v>
      </c>
      <c r="B6917" s="28" t="s">
        <v>12240</v>
      </c>
      <c r="C6917" s="27" t="s">
        <v>12614</v>
      </c>
      <c r="D6917" s="27" t="s">
        <v>230</v>
      </c>
      <c r="E6917" s="29">
        <v>29068</v>
      </c>
      <c r="F6917" s="27">
        <v>15</v>
      </c>
      <c r="G6917" s="18">
        <v>7198.38</v>
      </c>
      <c r="H6917" s="27">
        <f t="shared" si="214"/>
        <v>7198.38</v>
      </c>
      <c r="I6917" s="18">
        <v>6838.46</v>
      </c>
      <c r="J6917" s="27">
        <v>7198.38</v>
      </c>
      <c r="K6917" s="18">
        <f t="shared" si="215"/>
        <v>7198.38</v>
      </c>
      <c r="L6917" s="27">
        <v>6838.46</v>
      </c>
      <c r="M6917" s="36">
        <v>0</v>
      </c>
      <c r="T6917" s="41">
        <v>0</v>
      </c>
      <c r="U6917" s="41">
        <v>0</v>
      </c>
      <c r="V6917" s="42" t="s">
        <v>113</v>
      </c>
      <c r="W6917" s="42">
        <v>7198.38</v>
      </c>
      <c r="X6917" s="42">
        <v>7198.38</v>
      </c>
    </row>
    <row r="6918" spans="1:24">
      <c r="A6918" s="27" t="s">
        <v>12615</v>
      </c>
      <c r="B6918" s="28" t="s">
        <v>12240</v>
      </c>
      <c r="C6918" s="27" t="s">
        <v>12245</v>
      </c>
      <c r="D6918" s="27" t="s">
        <v>5104</v>
      </c>
      <c r="E6918" s="29">
        <v>37226</v>
      </c>
      <c r="F6918" s="27">
        <v>15</v>
      </c>
      <c r="G6918" s="18">
        <v>14781.68</v>
      </c>
      <c r="H6918" s="27">
        <f t="shared" ref="H6918:H6981" si="216">IFERROR(IF(ROUND((G6918-I6918)/G6918,2)&lt;=0.05,G6918,0),0)</f>
        <v>14781.68</v>
      </c>
      <c r="I6918" s="18">
        <v>14042.6</v>
      </c>
      <c r="J6918" s="27">
        <v>14781.68</v>
      </c>
      <c r="K6918" s="18">
        <f t="shared" ref="K6918:K6981" si="217">IFERROR(IF(ROUND((J6918-L6918)/J6918,2)&lt;=0.05,J6918,0),0)</f>
        <v>14781.68</v>
      </c>
      <c r="L6918" s="27">
        <v>14042.6</v>
      </c>
      <c r="M6918" s="36">
        <v>0</v>
      </c>
      <c r="T6918" s="41">
        <v>0</v>
      </c>
      <c r="U6918" s="41">
        <v>0</v>
      </c>
      <c r="V6918" s="42" t="s">
        <v>113</v>
      </c>
      <c r="W6918" s="42">
        <v>14781.68</v>
      </c>
      <c r="X6918" s="42">
        <v>14781.68</v>
      </c>
    </row>
    <row r="6919" spans="1:24">
      <c r="A6919" s="27" t="s">
        <v>12616</v>
      </c>
      <c r="B6919" s="28" t="s">
        <v>12240</v>
      </c>
      <c r="C6919" s="27" t="s">
        <v>12617</v>
      </c>
      <c r="D6919" s="27" t="s">
        <v>5104</v>
      </c>
      <c r="E6919" s="29">
        <v>39417</v>
      </c>
      <c r="F6919" s="27">
        <v>15</v>
      </c>
      <c r="G6919" s="18">
        <v>12940</v>
      </c>
      <c r="H6919" s="27">
        <f t="shared" si="216"/>
        <v>0</v>
      </c>
      <c r="I6919" s="18">
        <v>11392.8</v>
      </c>
      <c r="J6919" s="27">
        <v>12940</v>
      </c>
      <c r="K6919" s="18">
        <f t="shared" si="217"/>
        <v>0</v>
      </c>
      <c r="L6919" s="27">
        <v>11617.85</v>
      </c>
      <c r="M6919" s="36">
        <v>225.05</v>
      </c>
      <c r="T6919" s="41">
        <v>0</v>
      </c>
      <c r="U6919" s="41">
        <v>0</v>
      </c>
      <c r="V6919" s="42" t="s">
        <v>113</v>
      </c>
      <c r="W6919" s="42">
        <v>0</v>
      </c>
      <c r="X6919" s="42">
        <v>0</v>
      </c>
    </row>
    <row r="6920" spans="1:24">
      <c r="A6920" s="27" t="s">
        <v>12618</v>
      </c>
      <c r="B6920" s="28" t="s">
        <v>12240</v>
      </c>
      <c r="C6920" s="27" t="s">
        <v>12332</v>
      </c>
      <c r="D6920" s="27" t="s">
        <v>5104</v>
      </c>
      <c r="E6920" s="29">
        <v>39417</v>
      </c>
      <c r="F6920" s="27">
        <v>15</v>
      </c>
      <c r="G6920" s="18">
        <v>13210</v>
      </c>
      <c r="H6920" s="27">
        <f t="shared" si="216"/>
        <v>0</v>
      </c>
      <c r="I6920" s="18">
        <v>11630.52</v>
      </c>
      <c r="J6920" s="27">
        <v>13210</v>
      </c>
      <c r="K6920" s="18">
        <f t="shared" si="217"/>
        <v>0</v>
      </c>
      <c r="L6920" s="27">
        <v>11860.27</v>
      </c>
      <c r="M6920" s="36">
        <v>229.75</v>
      </c>
      <c r="T6920" s="41">
        <v>0</v>
      </c>
      <c r="U6920" s="41">
        <v>0</v>
      </c>
      <c r="V6920" s="42" t="s">
        <v>113</v>
      </c>
      <c r="W6920" s="42">
        <v>0</v>
      </c>
      <c r="X6920" s="42">
        <v>0</v>
      </c>
    </row>
    <row r="6921" spans="1:24">
      <c r="A6921" s="27" t="s">
        <v>12619</v>
      </c>
      <c r="B6921" s="28" t="s">
        <v>12240</v>
      </c>
      <c r="C6921" s="27" t="s">
        <v>12620</v>
      </c>
      <c r="D6921" s="27" t="s">
        <v>5104</v>
      </c>
      <c r="E6921" s="29">
        <v>39417</v>
      </c>
      <c r="F6921" s="27">
        <v>15</v>
      </c>
      <c r="G6921" s="18">
        <v>8810</v>
      </c>
      <c r="H6921" s="27">
        <f t="shared" si="216"/>
        <v>0</v>
      </c>
      <c r="I6921" s="18">
        <v>7756.63</v>
      </c>
      <c r="J6921" s="27">
        <v>8810</v>
      </c>
      <c r="K6921" s="18">
        <f t="shared" si="217"/>
        <v>0</v>
      </c>
      <c r="L6921" s="27">
        <v>7909.85</v>
      </c>
      <c r="M6921" s="36">
        <v>153.22</v>
      </c>
      <c r="T6921" s="41">
        <v>0</v>
      </c>
      <c r="U6921" s="41">
        <v>0</v>
      </c>
      <c r="V6921" s="42" t="s">
        <v>113</v>
      </c>
      <c r="W6921" s="42">
        <v>0</v>
      </c>
      <c r="X6921" s="42">
        <v>0</v>
      </c>
    </row>
    <row r="6922" spans="1:24">
      <c r="A6922" s="27" t="s">
        <v>12621</v>
      </c>
      <c r="B6922" s="28" t="s">
        <v>12240</v>
      </c>
      <c r="C6922" s="27" t="s">
        <v>12622</v>
      </c>
      <c r="D6922" s="27" t="s">
        <v>230</v>
      </c>
      <c r="E6922" s="29">
        <v>35247</v>
      </c>
      <c r="F6922" s="27">
        <v>15</v>
      </c>
      <c r="G6922" s="18">
        <v>50000.45</v>
      </c>
      <c r="H6922" s="27">
        <f t="shared" si="216"/>
        <v>0</v>
      </c>
      <c r="I6922" s="18">
        <v>9130.2999999999993</v>
      </c>
      <c r="J6922" s="27">
        <v>50000.45</v>
      </c>
      <c r="K6922" s="18">
        <f t="shared" si="217"/>
        <v>0</v>
      </c>
      <c r="L6922" s="27">
        <v>11955.09</v>
      </c>
      <c r="M6922" s="36">
        <v>2824.79</v>
      </c>
      <c r="T6922" s="41">
        <v>0</v>
      </c>
      <c r="U6922" s="41">
        <v>0</v>
      </c>
      <c r="V6922" s="42" t="s">
        <v>124</v>
      </c>
      <c r="W6922" s="42">
        <v>50000.45</v>
      </c>
      <c r="X6922" s="42">
        <v>50000.45</v>
      </c>
    </row>
    <row r="6923" spans="1:24">
      <c r="A6923" s="27" t="s">
        <v>12623</v>
      </c>
      <c r="B6923" s="28" t="s">
        <v>12240</v>
      </c>
      <c r="C6923" s="27" t="s">
        <v>12624</v>
      </c>
      <c r="D6923" s="27" t="s">
        <v>230</v>
      </c>
      <c r="E6923" s="29">
        <v>37165</v>
      </c>
      <c r="F6923" s="27">
        <v>15</v>
      </c>
      <c r="G6923" s="18">
        <v>8125.59</v>
      </c>
      <c r="H6923" s="27">
        <f t="shared" si="216"/>
        <v>8125.59</v>
      </c>
      <c r="I6923" s="18">
        <v>7719.31</v>
      </c>
      <c r="J6923" s="27">
        <v>8125.59</v>
      </c>
      <c r="K6923" s="18">
        <f t="shared" si="217"/>
        <v>8125.59</v>
      </c>
      <c r="L6923" s="27">
        <v>7719.31</v>
      </c>
      <c r="M6923" s="36">
        <v>0</v>
      </c>
      <c r="T6923" s="41">
        <v>0</v>
      </c>
      <c r="U6923" s="41">
        <v>0</v>
      </c>
      <c r="V6923" s="42" t="s">
        <v>113</v>
      </c>
      <c r="W6923" s="42">
        <v>8125.59</v>
      </c>
      <c r="X6923" s="42">
        <v>8125.59</v>
      </c>
    </row>
    <row r="6924" spans="1:24">
      <c r="A6924" s="27" t="s">
        <v>12625</v>
      </c>
      <c r="B6924" s="28" t="s">
        <v>12240</v>
      </c>
      <c r="C6924" s="27" t="s">
        <v>12626</v>
      </c>
      <c r="D6924" s="27" t="s">
        <v>230</v>
      </c>
      <c r="E6924" s="29">
        <v>36069</v>
      </c>
      <c r="F6924" s="27">
        <v>15</v>
      </c>
      <c r="G6924" s="18">
        <v>28860.67</v>
      </c>
      <c r="H6924" s="27">
        <f t="shared" si="216"/>
        <v>28860.67</v>
      </c>
      <c r="I6924" s="18">
        <v>27417.64</v>
      </c>
      <c r="J6924" s="27">
        <v>28860.67</v>
      </c>
      <c r="K6924" s="18">
        <f t="shared" si="217"/>
        <v>28860.67</v>
      </c>
      <c r="L6924" s="27">
        <v>27417.64</v>
      </c>
      <c r="M6924" s="36">
        <v>0</v>
      </c>
      <c r="T6924" s="41">
        <v>0</v>
      </c>
      <c r="U6924" s="41">
        <v>0</v>
      </c>
      <c r="V6924" s="42" t="s">
        <v>113</v>
      </c>
      <c r="W6924" s="42">
        <v>28860.67</v>
      </c>
      <c r="X6924" s="42">
        <v>28860.67</v>
      </c>
    </row>
    <row r="6925" spans="1:24">
      <c r="A6925" s="27" t="s">
        <v>12627</v>
      </c>
      <c r="B6925" s="28" t="s">
        <v>12240</v>
      </c>
      <c r="C6925" s="27" t="s">
        <v>12245</v>
      </c>
      <c r="D6925" s="27" t="s">
        <v>5104</v>
      </c>
      <c r="E6925" s="29">
        <v>36495</v>
      </c>
      <c r="F6925" s="27">
        <v>15</v>
      </c>
      <c r="G6925" s="18">
        <v>6031.97</v>
      </c>
      <c r="H6925" s="27">
        <f t="shared" si="216"/>
        <v>6031.97</v>
      </c>
      <c r="I6925" s="18">
        <v>5730.37</v>
      </c>
      <c r="J6925" s="27">
        <v>6031.97</v>
      </c>
      <c r="K6925" s="18">
        <f t="shared" si="217"/>
        <v>6031.97</v>
      </c>
      <c r="L6925" s="27">
        <v>5730.37</v>
      </c>
      <c r="M6925" s="36">
        <v>0</v>
      </c>
      <c r="T6925" s="41">
        <v>0</v>
      </c>
      <c r="U6925" s="41">
        <v>0</v>
      </c>
      <c r="V6925" s="42" t="s">
        <v>113</v>
      </c>
      <c r="W6925" s="42">
        <v>6031.97</v>
      </c>
      <c r="X6925" s="42">
        <v>6031.97</v>
      </c>
    </row>
    <row r="6926" spans="1:24">
      <c r="A6926" s="27" t="s">
        <v>12628</v>
      </c>
      <c r="B6926" s="28" t="s">
        <v>12240</v>
      </c>
      <c r="C6926" s="27" t="s">
        <v>12629</v>
      </c>
      <c r="D6926" s="27" t="s">
        <v>230</v>
      </c>
      <c r="E6926" s="29">
        <v>37226</v>
      </c>
      <c r="F6926" s="27">
        <v>15</v>
      </c>
      <c r="G6926" s="18">
        <v>6552.28</v>
      </c>
      <c r="H6926" s="27">
        <f t="shared" si="216"/>
        <v>6552.28</v>
      </c>
      <c r="I6926" s="18">
        <v>6224.67</v>
      </c>
      <c r="J6926" s="27">
        <v>6552.28</v>
      </c>
      <c r="K6926" s="18">
        <f t="shared" si="217"/>
        <v>6552.28</v>
      </c>
      <c r="L6926" s="27">
        <v>6224.67</v>
      </c>
      <c r="M6926" s="36">
        <v>0</v>
      </c>
      <c r="T6926" s="41">
        <v>0</v>
      </c>
      <c r="U6926" s="41">
        <v>0</v>
      </c>
      <c r="V6926" s="42" t="s">
        <v>113</v>
      </c>
      <c r="W6926" s="42">
        <v>6552.28</v>
      </c>
      <c r="X6926" s="42">
        <v>6552.28</v>
      </c>
    </row>
    <row r="6927" spans="1:24">
      <c r="A6927" s="27" t="s">
        <v>12630</v>
      </c>
      <c r="B6927" s="28" t="s">
        <v>12240</v>
      </c>
      <c r="C6927" s="27" t="s">
        <v>12245</v>
      </c>
      <c r="D6927" s="27" t="s">
        <v>5104</v>
      </c>
      <c r="E6927" s="29">
        <v>37226</v>
      </c>
      <c r="F6927" s="27">
        <v>15</v>
      </c>
      <c r="G6927" s="18">
        <v>6860.55</v>
      </c>
      <c r="H6927" s="27">
        <f t="shared" si="216"/>
        <v>6860.55</v>
      </c>
      <c r="I6927" s="18">
        <v>6517.52</v>
      </c>
      <c r="J6927" s="27">
        <v>6860.55</v>
      </c>
      <c r="K6927" s="18">
        <f t="shared" si="217"/>
        <v>6860.55</v>
      </c>
      <c r="L6927" s="27">
        <v>6517.52</v>
      </c>
      <c r="M6927" s="36">
        <v>0</v>
      </c>
      <c r="T6927" s="41">
        <v>0</v>
      </c>
      <c r="U6927" s="41">
        <v>0</v>
      </c>
      <c r="V6927" s="42" t="s">
        <v>113</v>
      </c>
      <c r="W6927" s="42">
        <v>6860.55</v>
      </c>
      <c r="X6927" s="42">
        <v>6860.55</v>
      </c>
    </row>
    <row r="6928" spans="1:24">
      <c r="A6928" s="27" t="s">
        <v>12631</v>
      </c>
      <c r="B6928" s="28" t="s">
        <v>12240</v>
      </c>
      <c r="C6928" s="27" t="s">
        <v>12245</v>
      </c>
      <c r="D6928" s="27" t="s">
        <v>5104</v>
      </c>
      <c r="E6928" s="29">
        <v>37226</v>
      </c>
      <c r="F6928" s="27">
        <v>15</v>
      </c>
      <c r="G6928" s="18">
        <v>6860.55</v>
      </c>
      <c r="H6928" s="27">
        <f t="shared" si="216"/>
        <v>6860.55</v>
      </c>
      <c r="I6928" s="18">
        <v>6517.52</v>
      </c>
      <c r="J6928" s="27">
        <v>6860.55</v>
      </c>
      <c r="K6928" s="18">
        <f t="shared" si="217"/>
        <v>6860.55</v>
      </c>
      <c r="L6928" s="27">
        <v>6517.52</v>
      </c>
      <c r="M6928" s="36">
        <v>0</v>
      </c>
      <c r="T6928" s="41">
        <v>0</v>
      </c>
      <c r="U6928" s="41">
        <v>0</v>
      </c>
      <c r="V6928" s="42" t="s">
        <v>113</v>
      </c>
      <c r="W6928" s="42">
        <v>6860.55</v>
      </c>
      <c r="X6928" s="42">
        <v>6860.55</v>
      </c>
    </row>
    <row r="6929" spans="1:24">
      <c r="A6929" s="27" t="s">
        <v>12632</v>
      </c>
      <c r="B6929" s="28" t="s">
        <v>12240</v>
      </c>
      <c r="C6929" s="27" t="s">
        <v>12245</v>
      </c>
      <c r="D6929" s="27" t="s">
        <v>5104</v>
      </c>
      <c r="E6929" s="29">
        <v>37226</v>
      </c>
      <c r="F6929" s="27">
        <v>15</v>
      </c>
      <c r="G6929" s="18">
        <v>6065.85</v>
      </c>
      <c r="H6929" s="27">
        <f t="shared" si="216"/>
        <v>6065.85</v>
      </c>
      <c r="I6929" s="18">
        <v>5762.56</v>
      </c>
      <c r="J6929" s="27">
        <v>6065.85</v>
      </c>
      <c r="K6929" s="18">
        <f t="shared" si="217"/>
        <v>6065.85</v>
      </c>
      <c r="L6929" s="27">
        <v>5762.56</v>
      </c>
      <c r="M6929" s="36">
        <v>0</v>
      </c>
      <c r="T6929" s="41">
        <v>0</v>
      </c>
      <c r="U6929" s="41">
        <v>0</v>
      </c>
      <c r="V6929" s="42" t="s">
        <v>113</v>
      </c>
      <c r="W6929" s="42">
        <v>6065.85</v>
      </c>
      <c r="X6929" s="42">
        <v>6065.85</v>
      </c>
    </row>
    <row r="6930" spans="1:24">
      <c r="A6930" s="27" t="s">
        <v>12633</v>
      </c>
      <c r="B6930" s="28" t="s">
        <v>12240</v>
      </c>
      <c r="C6930" s="27" t="s">
        <v>12245</v>
      </c>
      <c r="D6930" s="27" t="s">
        <v>5104</v>
      </c>
      <c r="E6930" s="29">
        <v>37226</v>
      </c>
      <c r="F6930" s="27">
        <v>15</v>
      </c>
      <c r="G6930" s="18">
        <v>6860.55</v>
      </c>
      <c r="H6930" s="27">
        <f t="shared" si="216"/>
        <v>6860.55</v>
      </c>
      <c r="I6930" s="18">
        <v>6517.52</v>
      </c>
      <c r="J6930" s="27">
        <v>6860.55</v>
      </c>
      <c r="K6930" s="18">
        <f t="shared" si="217"/>
        <v>6860.55</v>
      </c>
      <c r="L6930" s="27">
        <v>6517.52</v>
      </c>
      <c r="M6930" s="36">
        <v>0</v>
      </c>
      <c r="T6930" s="41">
        <v>0</v>
      </c>
      <c r="U6930" s="41">
        <v>0</v>
      </c>
      <c r="V6930" s="42" t="s">
        <v>113</v>
      </c>
      <c r="W6930" s="42">
        <v>6860.55</v>
      </c>
      <c r="X6930" s="42">
        <v>6860.55</v>
      </c>
    </row>
    <row r="6931" spans="1:24">
      <c r="A6931" s="27" t="s">
        <v>12634</v>
      </c>
      <c r="B6931" s="28" t="s">
        <v>12240</v>
      </c>
      <c r="C6931" s="27" t="s">
        <v>12245</v>
      </c>
      <c r="D6931" s="27" t="s">
        <v>5104</v>
      </c>
      <c r="E6931" s="29">
        <v>37226</v>
      </c>
      <c r="F6931" s="27">
        <v>15</v>
      </c>
      <c r="G6931" s="18">
        <v>9089.2099999999991</v>
      </c>
      <c r="H6931" s="27">
        <f t="shared" si="216"/>
        <v>9089.2099999999991</v>
      </c>
      <c r="I6931" s="18">
        <v>8634.75</v>
      </c>
      <c r="J6931" s="27">
        <v>9089.2099999999991</v>
      </c>
      <c r="K6931" s="18">
        <f t="shared" si="217"/>
        <v>9089.2099999999991</v>
      </c>
      <c r="L6931" s="27">
        <v>8634.75</v>
      </c>
      <c r="M6931" s="36">
        <v>0</v>
      </c>
      <c r="T6931" s="41">
        <v>0</v>
      </c>
      <c r="U6931" s="41">
        <v>0</v>
      </c>
      <c r="V6931" s="42" t="s">
        <v>113</v>
      </c>
      <c r="W6931" s="42">
        <v>9089.2099999999991</v>
      </c>
      <c r="X6931" s="42">
        <v>9089.2099999999991</v>
      </c>
    </row>
    <row r="6932" spans="1:24">
      <c r="A6932" s="27" t="s">
        <v>12635</v>
      </c>
      <c r="B6932" s="28" t="s">
        <v>12240</v>
      </c>
      <c r="C6932" s="27" t="s">
        <v>12245</v>
      </c>
      <c r="D6932" s="27" t="s">
        <v>5104</v>
      </c>
      <c r="E6932" s="29">
        <v>37226</v>
      </c>
      <c r="F6932" s="27">
        <v>15</v>
      </c>
      <c r="G6932" s="18">
        <v>6552.28</v>
      </c>
      <c r="H6932" s="27">
        <f t="shared" si="216"/>
        <v>6552.28</v>
      </c>
      <c r="I6932" s="18">
        <v>6224.67</v>
      </c>
      <c r="J6932" s="27">
        <v>6552.28</v>
      </c>
      <c r="K6932" s="18">
        <f t="shared" si="217"/>
        <v>6552.28</v>
      </c>
      <c r="L6932" s="27">
        <v>6224.67</v>
      </c>
      <c r="M6932" s="36">
        <v>0</v>
      </c>
      <c r="T6932" s="41">
        <v>0</v>
      </c>
      <c r="U6932" s="41">
        <v>0</v>
      </c>
      <c r="V6932" s="42" t="s">
        <v>113</v>
      </c>
      <c r="W6932" s="42">
        <v>6552.28</v>
      </c>
      <c r="X6932" s="42">
        <v>6552.28</v>
      </c>
    </row>
    <row r="6933" spans="1:24">
      <c r="A6933" s="27" t="s">
        <v>12636</v>
      </c>
      <c r="B6933" s="28" t="s">
        <v>12240</v>
      </c>
      <c r="C6933" s="27" t="s">
        <v>12245</v>
      </c>
      <c r="D6933" s="27" t="s">
        <v>5104</v>
      </c>
      <c r="E6933" s="29">
        <v>37226</v>
      </c>
      <c r="F6933" s="27">
        <v>15</v>
      </c>
      <c r="G6933" s="18">
        <v>6860.53</v>
      </c>
      <c r="H6933" s="27">
        <f t="shared" si="216"/>
        <v>6860.53</v>
      </c>
      <c r="I6933" s="18">
        <v>6517.5</v>
      </c>
      <c r="J6933" s="27">
        <v>6860.53</v>
      </c>
      <c r="K6933" s="18">
        <f t="shared" si="217"/>
        <v>6860.53</v>
      </c>
      <c r="L6933" s="27">
        <v>6517.5</v>
      </c>
      <c r="M6933" s="36">
        <v>0</v>
      </c>
      <c r="T6933" s="41">
        <v>0</v>
      </c>
      <c r="U6933" s="41">
        <v>0</v>
      </c>
      <c r="V6933" s="42" t="s">
        <v>113</v>
      </c>
      <c r="W6933" s="42">
        <v>6860.53</v>
      </c>
      <c r="X6933" s="42">
        <v>6860.53</v>
      </c>
    </row>
    <row r="6934" spans="1:24">
      <c r="A6934" s="27" t="s">
        <v>12637</v>
      </c>
      <c r="B6934" s="28" t="s">
        <v>12240</v>
      </c>
      <c r="C6934" s="27" t="s">
        <v>12638</v>
      </c>
      <c r="D6934" s="27" t="s">
        <v>230</v>
      </c>
      <c r="E6934" s="29">
        <v>39417</v>
      </c>
      <c r="F6934" s="27">
        <v>15</v>
      </c>
      <c r="G6934" s="18">
        <v>67282.899999999994</v>
      </c>
      <c r="H6934" s="27">
        <f t="shared" si="216"/>
        <v>0</v>
      </c>
      <c r="I6934" s="18">
        <v>57385.53</v>
      </c>
      <c r="J6934" s="27">
        <v>67282.899999999994</v>
      </c>
      <c r="K6934" s="18">
        <f t="shared" si="217"/>
        <v>0</v>
      </c>
      <c r="L6934" s="27">
        <v>59018.84</v>
      </c>
      <c r="M6934" s="36">
        <v>1633.31</v>
      </c>
      <c r="T6934" s="41">
        <v>0</v>
      </c>
      <c r="U6934" s="41">
        <v>0</v>
      </c>
      <c r="V6934" s="42" t="s">
        <v>113</v>
      </c>
      <c r="W6934" s="42">
        <v>0</v>
      </c>
      <c r="X6934" s="42">
        <v>0</v>
      </c>
    </row>
    <row r="6935" spans="1:24">
      <c r="A6935" s="27" t="s">
        <v>12639</v>
      </c>
      <c r="B6935" s="28" t="s">
        <v>12240</v>
      </c>
      <c r="C6935" s="27" t="s">
        <v>12640</v>
      </c>
      <c r="D6935" s="27" t="s">
        <v>230</v>
      </c>
      <c r="E6935" s="29">
        <v>39417</v>
      </c>
      <c r="F6935" s="27">
        <v>15</v>
      </c>
      <c r="G6935" s="18">
        <v>67282.89</v>
      </c>
      <c r="H6935" s="27">
        <f t="shared" si="216"/>
        <v>0</v>
      </c>
      <c r="I6935" s="18">
        <v>57385.53</v>
      </c>
      <c r="J6935" s="27">
        <v>67282.89</v>
      </c>
      <c r="K6935" s="18">
        <f t="shared" si="217"/>
        <v>0</v>
      </c>
      <c r="L6935" s="27">
        <v>59018.84</v>
      </c>
      <c r="M6935" s="36">
        <v>1633.31</v>
      </c>
      <c r="T6935" s="41">
        <v>0</v>
      </c>
      <c r="U6935" s="41">
        <v>0</v>
      </c>
      <c r="V6935" s="42" t="s">
        <v>113</v>
      </c>
      <c r="W6935" s="42">
        <v>0</v>
      </c>
      <c r="X6935" s="42">
        <v>0</v>
      </c>
    </row>
    <row r="6936" spans="1:24">
      <c r="A6936" s="27" t="s">
        <v>12641</v>
      </c>
      <c r="B6936" s="28" t="s">
        <v>12240</v>
      </c>
      <c r="C6936" s="27" t="s">
        <v>12245</v>
      </c>
      <c r="D6936" s="27" t="s">
        <v>230</v>
      </c>
      <c r="E6936" s="29">
        <v>37226</v>
      </c>
      <c r="F6936" s="27">
        <v>15</v>
      </c>
      <c r="G6936" s="18">
        <v>27663.8</v>
      </c>
      <c r="H6936" s="27">
        <f t="shared" si="216"/>
        <v>27663.8</v>
      </c>
      <c r="I6936" s="18">
        <v>26280.61</v>
      </c>
      <c r="J6936" s="27">
        <v>27663.8</v>
      </c>
      <c r="K6936" s="18">
        <f t="shared" si="217"/>
        <v>27663.8</v>
      </c>
      <c r="L6936" s="27">
        <v>26280.61</v>
      </c>
      <c r="M6936" s="36">
        <v>0</v>
      </c>
      <c r="T6936" s="41">
        <v>0</v>
      </c>
      <c r="U6936" s="41">
        <v>0</v>
      </c>
      <c r="V6936" s="42" t="s">
        <v>113</v>
      </c>
      <c r="W6936" s="42">
        <v>27663.8</v>
      </c>
      <c r="X6936" s="42">
        <v>27663.8</v>
      </c>
    </row>
    <row r="6937" spans="1:24">
      <c r="A6937" s="27" t="s">
        <v>12642</v>
      </c>
      <c r="B6937" s="28" t="s">
        <v>12240</v>
      </c>
      <c r="C6937" s="27" t="s">
        <v>6149</v>
      </c>
      <c r="D6937" s="27" t="s">
        <v>5104</v>
      </c>
      <c r="E6937" s="29">
        <v>37347</v>
      </c>
      <c r="F6937" s="27">
        <v>15</v>
      </c>
      <c r="G6937" s="18">
        <v>39819.79</v>
      </c>
      <c r="H6937" s="27">
        <f t="shared" si="216"/>
        <v>39819.79</v>
      </c>
      <c r="I6937" s="18">
        <v>37828.800000000003</v>
      </c>
      <c r="J6937" s="27">
        <v>39819.79</v>
      </c>
      <c r="K6937" s="18">
        <f t="shared" si="217"/>
        <v>39819.79</v>
      </c>
      <c r="L6937" s="27">
        <v>37828.800000000003</v>
      </c>
      <c r="M6937" s="36">
        <v>0</v>
      </c>
      <c r="T6937" s="41">
        <v>0</v>
      </c>
      <c r="U6937" s="41">
        <v>0</v>
      </c>
      <c r="V6937" s="42" t="s">
        <v>113</v>
      </c>
      <c r="W6937" s="42">
        <v>39819.79</v>
      </c>
      <c r="X6937" s="42">
        <v>39819.79</v>
      </c>
    </row>
    <row r="6938" spans="1:24">
      <c r="A6938" s="27" t="s">
        <v>12643</v>
      </c>
      <c r="B6938" s="28" t="s">
        <v>12240</v>
      </c>
      <c r="C6938" s="27" t="s">
        <v>12245</v>
      </c>
      <c r="D6938" s="27" t="s">
        <v>230</v>
      </c>
      <c r="E6938" s="29">
        <v>37226</v>
      </c>
      <c r="F6938" s="27">
        <v>15</v>
      </c>
      <c r="G6938" s="18">
        <v>17920.849999999999</v>
      </c>
      <c r="H6938" s="27">
        <f t="shared" si="216"/>
        <v>17920.849999999999</v>
      </c>
      <c r="I6938" s="18">
        <v>17024.810000000001</v>
      </c>
      <c r="J6938" s="27">
        <v>17920.849999999999</v>
      </c>
      <c r="K6938" s="18">
        <f t="shared" si="217"/>
        <v>17920.849999999999</v>
      </c>
      <c r="L6938" s="27">
        <v>17024.810000000001</v>
      </c>
      <c r="M6938" s="36">
        <v>0</v>
      </c>
      <c r="T6938" s="41">
        <v>0</v>
      </c>
      <c r="U6938" s="41">
        <v>0</v>
      </c>
      <c r="V6938" s="42" t="s">
        <v>113</v>
      </c>
      <c r="W6938" s="42">
        <v>17920.849999999999</v>
      </c>
      <c r="X6938" s="42">
        <v>17920.849999999999</v>
      </c>
    </row>
    <row r="6939" spans="1:24">
      <c r="A6939" s="27" t="s">
        <v>12644</v>
      </c>
      <c r="B6939" s="28" t="s">
        <v>12240</v>
      </c>
      <c r="C6939" s="27" t="s">
        <v>12645</v>
      </c>
      <c r="D6939" s="27" t="s">
        <v>230</v>
      </c>
      <c r="E6939" s="29">
        <v>37742</v>
      </c>
      <c r="F6939" s="27">
        <v>15</v>
      </c>
      <c r="G6939" s="18">
        <v>150785.41</v>
      </c>
      <c r="H6939" s="27">
        <f t="shared" si="216"/>
        <v>150785.41</v>
      </c>
      <c r="I6939" s="18">
        <v>143246.14000000001</v>
      </c>
      <c r="J6939" s="27">
        <v>150785.41</v>
      </c>
      <c r="K6939" s="18">
        <f t="shared" si="217"/>
        <v>150785.41</v>
      </c>
      <c r="L6939" s="27">
        <v>143246.14000000001</v>
      </c>
      <c r="M6939" s="36">
        <v>0</v>
      </c>
      <c r="T6939" s="41">
        <v>0</v>
      </c>
      <c r="U6939" s="41">
        <v>0</v>
      </c>
      <c r="V6939" s="42" t="s">
        <v>113</v>
      </c>
      <c r="W6939" s="42">
        <v>150785.41</v>
      </c>
      <c r="X6939" s="42">
        <v>150785.41</v>
      </c>
    </row>
    <row r="6940" spans="1:24">
      <c r="A6940" s="27" t="s">
        <v>12646</v>
      </c>
      <c r="B6940" s="28" t="s">
        <v>12240</v>
      </c>
      <c r="C6940" s="27" t="s">
        <v>12245</v>
      </c>
      <c r="D6940" s="27" t="s">
        <v>5104</v>
      </c>
      <c r="E6940" s="29">
        <v>37742</v>
      </c>
      <c r="F6940" s="27">
        <v>15</v>
      </c>
      <c r="G6940" s="18">
        <v>135218.57999999999</v>
      </c>
      <c r="H6940" s="27">
        <f t="shared" si="216"/>
        <v>135218.57999999999</v>
      </c>
      <c r="I6940" s="18">
        <v>128457.65</v>
      </c>
      <c r="J6940" s="27">
        <v>135218.57999999999</v>
      </c>
      <c r="K6940" s="18">
        <f t="shared" si="217"/>
        <v>135218.57999999999</v>
      </c>
      <c r="L6940" s="27">
        <v>128457.65</v>
      </c>
      <c r="M6940" s="36">
        <v>0</v>
      </c>
      <c r="T6940" s="41">
        <v>0</v>
      </c>
      <c r="U6940" s="41">
        <v>0</v>
      </c>
      <c r="V6940" s="42" t="s">
        <v>113</v>
      </c>
      <c r="W6940" s="42">
        <v>135218.57999999999</v>
      </c>
      <c r="X6940" s="42">
        <v>135218.57999999999</v>
      </c>
    </row>
    <row r="6941" spans="1:24">
      <c r="A6941" s="27" t="s">
        <v>12647</v>
      </c>
      <c r="B6941" s="28" t="s">
        <v>12240</v>
      </c>
      <c r="C6941" s="27" t="s">
        <v>12648</v>
      </c>
      <c r="D6941" s="27" t="s">
        <v>230</v>
      </c>
      <c r="E6941" s="29">
        <v>38078</v>
      </c>
      <c r="F6941" s="27">
        <v>15</v>
      </c>
      <c r="G6941" s="18">
        <v>18910.21</v>
      </c>
      <c r="H6941" s="27">
        <f t="shared" si="216"/>
        <v>18910.21</v>
      </c>
      <c r="I6941" s="18">
        <v>17964.7</v>
      </c>
      <c r="J6941" s="27">
        <v>18910.21</v>
      </c>
      <c r="K6941" s="18">
        <f t="shared" si="217"/>
        <v>18910.21</v>
      </c>
      <c r="L6941" s="27">
        <v>17964.7</v>
      </c>
      <c r="M6941" s="36">
        <v>0</v>
      </c>
      <c r="T6941" s="41">
        <v>0</v>
      </c>
      <c r="U6941" s="41">
        <v>0</v>
      </c>
      <c r="V6941" s="42" t="s">
        <v>113</v>
      </c>
      <c r="W6941" s="42">
        <v>18910.21</v>
      </c>
      <c r="X6941" s="42">
        <v>18910.21</v>
      </c>
    </row>
    <row r="6942" spans="1:24">
      <c r="A6942" s="27" t="s">
        <v>12649</v>
      </c>
      <c r="B6942" s="28" t="s">
        <v>12240</v>
      </c>
      <c r="C6942" s="27" t="s">
        <v>12650</v>
      </c>
      <c r="D6942" s="27" t="s">
        <v>230</v>
      </c>
      <c r="E6942" s="29">
        <v>37742</v>
      </c>
      <c r="F6942" s="27">
        <v>15</v>
      </c>
      <c r="G6942" s="18">
        <v>21994.16</v>
      </c>
      <c r="H6942" s="27">
        <f t="shared" si="216"/>
        <v>21994.16</v>
      </c>
      <c r="I6942" s="18">
        <v>20894.45</v>
      </c>
      <c r="J6942" s="27">
        <v>21994.16</v>
      </c>
      <c r="K6942" s="18">
        <f t="shared" si="217"/>
        <v>21994.16</v>
      </c>
      <c r="L6942" s="27">
        <v>20894.45</v>
      </c>
      <c r="M6942" s="36">
        <v>0</v>
      </c>
      <c r="T6942" s="41">
        <v>0</v>
      </c>
      <c r="U6942" s="41">
        <v>0</v>
      </c>
      <c r="V6942" s="42" t="s">
        <v>113</v>
      </c>
      <c r="W6942" s="42">
        <v>21994.16</v>
      </c>
      <c r="X6942" s="42">
        <v>21994.16</v>
      </c>
    </row>
    <row r="6943" spans="1:24">
      <c r="A6943" s="27" t="s">
        <v>12651</v>
      </c>
      <c r="B6943" s="28" t="s">
        <v>12240</v>
      </c>
      <c r="C6943" s="27" t="s">
        <v>12245</v>
      </c>
      <c r="D6943" s="27" t="s">
        <v>5104</v>
      </c>
      <c r="E6943" s="29">
        <v>38078</v>
      </c>
      <c r="F6943" s="27">
        <v>15</v>
      </c>
      <c r="G6943" s="18">
        <v>18910.23</v>
      </c>
      <c r="H6943" s="27">
        <f t="shared" si="216"/>
        <v>18910.23</v>
      </c>
      <c r="I6943" s="18">
        <v>17964.72</v>
      </c>
      <c r="J6943" s="27">
        <v>18910.23</v>
      </c>
      <c r="K6943" s="18">
        <f t="shared" si="217"/>
        <v>18910.23</v>
      </c>
      <c r="L6943" s="27">
        <v>17964.72</v>
      </c>
      <c r="M6943" s="36">
        <v>0</v>
      </c>
      <c r="T6943" s="41">
        <v>0</v>
      </c>
      <c r="U6943" s="41">
        <v>0</v>
      </c>
      <c r="V6943" s="42" t="s">
        <v>113</v>
      </c>
      <c r="W6943" s="42">
        <v>18910.23</v>
      </c>
      <c r="X6943" s="42">
        <v>18910.23</v>
      </c>
    </row>
    <row r="6944" spans="1:24">
      <c r="A6944" s="27" t="s">
        <v>12652</v>
      </c>
      <c r="B6944" s="28" t="s">
        <v>12240</v>
      </c>
      <c r="C6944" s="27" t="s">
        <v>12245</v>
      </c>
      <c r="D6944" s="27" t="s">
        <v>5104</v>
      </c>
      <c r="E6944" s="29">
        <v>39417</v>
      </c>
      <c r="F6944" s="27">
        <v>15</v>
      </c>
      <c r="G6944" s="18">
        <v>38331.46</v>
      </c>
      <c r="H6944" s="27">
        <f t="shared" si="216"/>
        <v>0</v>
      </c>
      <c r="I6944" s="18">
        <v>32390.639999999999</v>
      </c>
      <c r="J6944" s="27">
        <v>38331.46</v>
      </c>
      <c r="K6944" s="18">
        <f t="shared" si="217"/>
        <v>0</v>
      </c>
      <c r="L6944" s="27">
        <v>33396.699999999997</v>
      </c>
      <c r="M6944" s="36">
        <v>1006.06</v>
      </c>
      <c r="T6944" s="41">
        <v>0</v>
      </c>
      <c r="U6944" s="41">
        <v>0</v>
      </c>
      <c r="V6944" s="42" t="s">
        <v>113</v>
      </c>
      <c r="W6944" s="42">
        <v>0</v>
      </c>
      <c r="X6944" s="42">
        <v>0</v>
      </c>
    </row>
    <row r="6945" spans="1:24">
      <c r="A6945" s="27" t="s">
        <v>12653</v>
      </c>
      <c r="B6945" s="28" t="s">
        <v>12240</v>
      </c>
      <c r="C6945" s="27" t="s">
        <v>12245</v>
      </c>
      <c r="D6945" s="27" t="s">
        <v>5104</v>
      </c>
      <c r="E6945" s="29">
        <v>37226</v>
      </c>
      <c r="F6945" s="27">
        <v>15</v>
      </c>
      <c r="G6945" s="18">
        <v>19603.580000000002</v>
      </c>
      <c r="H6945" s="27">
        <f t="shared" si="216"/>
        <v>19603.580000000002</v>
      </c>
      <c r="I6945" s="18">
        <v>18623.400000000001</v>
      </c>
      <c r="J6945" s="27">
        <v>19603.580000000002</v>
      </c>
      <c r="K6945" s="18">
        <f t="shared" si="217"/>
        <v>19603.580000000002</v>
      </c>
      <c r="L6945" s="27">
        <v>18623.400000000001</v>
      </c>
      <c r="M6945" s="36">
        <v>0</v>
      </c>
      <c r="T6945" s="41">
        <v>0</v>
      </c>
      <c r="U6945" s="41">
        <v>0</v>
      </c>
      <c r="V6945" s="42" t="s">
        <v>113</v>
      </c>
      <c r="W6945" s="42">
        <v>19603.580000000002</v>
      </c>
      <c r="X6945" s="42">
        <v>19603.580000000002</v>
      </c>
    </row>
    <row r="6946" spans="1:24">
      <c r="A6946" s="27" t="s">
        <v>12654</v>
      </c>
      <c r="B6946" s="28" t="s">
        <v>12240</v>
      </c>
      <c r="C6946" s="27" t="s">
        <v>12655</v>
      </c>
      <c r="D6946" s="27" t="s">
        <v>230</v>
      </c>
      <c r="E6946" s="29">
        <v>35370</v>
      </c>
      <c r="F6946" s="27">
        <v>15</v>
      </c>
      <c r="G6946" s="18">
        <v>50319.77</v>
      </c>
      <c r="H6946" s="27">
        <f t="shared" si="216"/>
        <v>50319.77</v>
      </c>
      <c r="I6946" s="18">
        <v>47803.78</v>
      </c>
      <c r="J6946" s="27">
        <v>50319.77</v>
      </c>
      <c r="K6946" s="18">
        <f t="shared" si="217"/>
        <v>50319.77</v>
      </c>
      <c r="L6946" s="27">
        <v>47803.78</v>
      </c>
      <c r="M6946" s="36">
        <v>0</v>
      </c>
      <c r="T6946" s="41">
        <v>0</v>
      </c>
      <c r="U6946" s="41">
        <v>0</v>
      </c>
      <c r="V6946" s="42" t="s">
        <v>113</v>
      </c>
      <c r="W6946" s="42">
        <v>50319.77</v>
      </c>
      <c r="X6946" s="42">
        <v>50319.77</v>
      </c>
    </row>
    <row r="6947" spans="1:24">
      <c r="A6947" s="27" t="s">
        <v>12656</v>
      </c>
      <c r="B6947" s="28" t="s">
        <v>12240</v>
      </c>
      <c r="C6947" s="27" t="s">
        <v>12245</v>
      </c>
      <c r="D6947" s="27" t="s">
        <v>5104</v>
      </c>
      <c r="E6947" s="29">
        <v>39203</v>
      </c>
      <c r="F6947" s="27">
        <v>15</v>
      </c>
      <c r="G6947" s="18">
        <v>21866.85</v>
      </c>
      <c r="H6947" s="27">
        <f t="shared" si="216"/>
        <v>0</v>
      </c>
      <c r="I6947" s="18">
        <v>19116.03</v>
      </c>
      <c r="J6947" s="27">
        <v>21866.85</v>
      </c>
      <c r="K6947" s="18">
        <f t="shared" si="217"/>
        <v>0</v>
      </c>
      <c r="L6947" s="27">
        <v>19601.150000000001</v>
      </c>
      <c r="M6947" s="36">
        <v>485.12</v>
      </c>
      <c r="T6947" s="41">
        <v>0</v>
      </c>
      <c r="U6947" s="41">
        <v>0</v>
      </c>
      <c r="V6947" s="42" t="s">
        <v>113</v>
      </c>
      <c r="W6947" s="42">
        <v>0</v>
      </c>
      <c r="X6947" s="42">
        <v>0</v>
      </c>
    </row>
    <row r="6948" spans="1:24">
      <c r="A6948" s="27" t="s">
        <v>12657</v>
      </c>
      <c r="B6948" s="28" t="s">
        <v>12240</v>
      </c>
      <c r="C6948" s="27" t="s">
        <v>12245</v>
      </c>
      <c r="D6948" s="27" t="s">
        <v>5104</v>
      </c>
      <c r="E6948" s="29">
        <v>39295</v>
      </c>
      <c r="F6948" s="27">
        <v>15</v>
      </c>
      <c r="G6948" s="18">
        <v>34157.760000000002</v>
      </c>
      <c r="H6948" s="27">
        <f t="shared" si="216"/>
        <v>0</v>
      </c>
      <c r="I6948" s="18">
        <v>29363.33</v>
      </c>
      <c r="J6948" s="27">
        <v>34157.760000000002</v>
      </c>
      <c r="K6948" s="18">
        <f t="shared" si="217"/>
        <v>0</v>
      </c>
      <c r="L6948" s="27">
        <v>30205.11</v>
      </c>
      <c r="M6948" s="36">
        <v>841.78</v>
      </c>
      <c r="T6948" s="41">
        <v>0</v>
      </c>
      <c r="U6948" s="41">
        <v>0</v>
      </c>
      <c r="V6948" s="42" t="s">
        <v>113</v>
      </c>
      <c r="W6948" s="42">
        <v>0</v>
      </c>
      <c r="X6948" s="42">
        <v>0</v>
      </c>
    </row>
    <row r="6949" spans="1:24">
      <c r="A6949" s="27" t="s">
        <v>12658</v>
      </c>
      <c r="B6949" s="28" t="s">
        <v>12240</v>
      </c>
      <c r="C6949" s="27" t="s">
        <v>12245</v>
      </c>
      <c r="D6949" s="27" t="s">
        <v>5104</v>
      </c>
      <c r="E6949" s="29">
        <v>39417</v>
      </c>
      <c r="F6949" s="27">
        <v>15</v>
      </c>
      <c r="G6949" s="18">
        <v>34767.72</v>
      </c>
      <c r="H6949" s="27">
        <f t="shared" si="216"/>
        <v>0</v>
      </c>
      <c r="I6949" s="18">
        <v>29223.1</v>
      </c>
      <c r="J6949" s="27">
        <v>34767.72</v>
      </c>
      <c r="K6949" s="18">
        <f t="shared" si="217"/>
        <v>0</v>
      </c>
      <c r="L6949" s="27">
        <v>30174.66</v>
      </c>
      <c r="M6949" s="36">
        <v>951.56</v>
      </c>
      <c r="T6949" s="41">
        <v>0</v>
      </c>
      <c r="U6949" s="41">
        <v>0</v>
      </c>
      <c r="V6949" s="42" t="s">
        <v>113</v>
      </c>
      <c r="W6949" s="42">
        <v>0</v>
      </c>
      <c r="X6949" s="42">
        <v>0</v>
      </c>
    </row>
    <row r="6950" spans="1:24">
      <c r="A6950" s="27" t="s">
        <v>12659</v>
      </c>
      <c r="B6950" s="28" t="s">
        <v>12240</v>
      </c>
      <c r="C6950" s="27" t="s">
        <v>12660</v>
      </c>
      <c r="D6950" s="27" t="s">
        <v>230</v>
      </c>
      <c r="E6950" s="29">
        <v>39234</v>
      </c>
      <c r="F6950" s="27">
        <v>15</v>
      </c>
      <c r="G6950" s="18">
        <v>20202</v>
      </c>
      <c r="H6950" s="27">
        <f t="shared" si="216"/>
        <v>0</v>
      </c>
      <c r="I6950" s="18">
        <v>17562.21</v>
      </c>
      <c r="J6950" s="27">
        <v>20202</v>
      </c>
      <c r="K6950" s="18">
        <f t="shared" si="217"/>
        <v>0</v>
      </c>
      <c r="L6950" s="27">
        <v>18027.84</v>
      </c>
      <c r="M6950" s="36">
        <v>465.63</v>
      </c>
      <c r="T6950" s="41">
        <v>0</v>
      </c>
      <c r="U6950" s="41">
        <v>0</v>
      </c>
      <c r="V6950" s="42" t="s">
        <v>113</v>
      </c>
      <c r="W6950" s="42">
        <v>0</v>
      </c>
      <c r="X6950" s="42">
        <v>0</v>
      </c>
    </row>
    <row r="6951" spans="1:24">
      <c r="A6951" s="27" t="s">
        <v>12661</v>
      </c>
      <c r="B6951" s="28" t="s">
        <v>12240</v>
      </c>
      <c r="C6951" s="27" t="s">
        <v>12245</v>
      </c>
      <c r="D6951" s="27" t="s">
        <v>5104</v>
      </c>
      <c r="E6951" s="29">
        <v>39234</v>
      </c>
      <c r="F6951" s="27">
        <v>15</v>
      </c>
      <c r="G6951" s="18">
        <v>38583.599999999999</v>
      </c>
      <c r="H6951" s="27">
        <f t="shared" si="216"/>
        <v>0</v>
      </c>
      <c r="I6951" s="18">
        <v>33541.89</v>
      </c>
      <c r="J6951" s="27">
        <v>38583.599999999999</v>
      </c>
      <c r="K6951" s="18">
        <f t="shared" si="217"/>
        <v>0</v>
      </c>
      <c r="L6951" s="27">
        <v>34431.18</v>
      </c>
      <c r="M6951" s="36">
        <v>889.29</v>
      </c>
      <c r="T6951" s="41">
        <v>0</v>
      </c>
      <c r="U6951" s="41">
        <v>0</v>
      </c>
      <c r="V6951" s="42" t="s">
        <v>113</v>
      </c>
      <c r="W6951" s="42">
        <v>0</v>
      </c>
      <c r="X6951" s="42">
        <v>0</v>
      </c>
    </row>
    <row r="6952" spans="1:24">
      <c r="A6952" s="27" t="s">
        <v>12662</v>
      </c>
      <c r="B6952" s="28" t="s">
        <v>12240</v>
      </c>
      <c r="C6952" s="27" t="s">
        <v>12245</v>
      </c>
      <c r="D6952" s="27" t="s">
        <v>5104</v>
      </c>
      <c r="E6952" s="29">
        <v>39234</v>
      </c>
      <c r="F6952" s="27">
        <v>15</v>
      </c>
      <c r="G6952" s="18">
        <v>38583.599999999999</v>
      </c>
      <c r="H6952" s="27">
        <f t="shared" si="216"/>
        <v>0</v>
      </c>
      <c r="I6952" s="18">
        <v>33541.89</v>
      </c>
      <c r="J6952" s="27">
        <v>38583.599999999999</v>
      </c>
      <c r="K6952" s="18">
        <f t="shared" si="217"/>
        <v>0</v>
      </c>
      <c r="L6952" s="27">
        <v>34431.18</v>
      </c>
      <c r="M6952" s="36">
        <v>889.29</v>
      </c>
      <c r="T6952" s="41">
        <v>0</v>
      </c>
      <c r="U6952" s="41">
        <v>0</v>
      </c>
      <c r="V6952" s="42" t="s">
        <v>113</v>
      </c>
      <c r="W6952" s="42">
        <v>0</v>
      </c>
      <c r="X6952" s="42">
        <v>0</v>
      </c>
    </row>
    <row r="6953" spans="1:24">
      <c r="A6953" s="27" t="s">
        <v>12663</v>
      </c>
      <c r="B6953" s="28" t="s">
        <v>12240</v>
      </c>
      <c r="C6953" s="27" t="s">
        <v>12664</v>
      </c>
      <c r="D6953" s="27" t="s">
        <v>230</v>
      </c>
      <c r="E6953" s="29">
        <v>39234</v>
      </c>
      <c r="F6953" s="27">
        <v>15</v>
      </c>
      <c r="G6953" s="18">
        <v>13986</v>
      </c>
      <c r="H6953" s="27">
        <f t="shared" si="216"/>
        <v>0</v>
      </c>
      <c r="I6953" s="18">
        <v>12158.45</v>
      </c>
      <c r="J6953" s="27">
        <v>13986</v>
      </c>
      <c r="K6953" s="18">
        <f t="shared" si="217"/>
        <v>0</v>
      </c>
      <c r="L6953" s="27">
        <v>12480.81</v>
      </c>
      <c r="M6953" s="36">
        <v>322.36</v>
      </c>
      <c r="T6953" s="41">
        <v>0</v>
      </c>
      <c r="U6953" s="41">
        <v>0</v>
      </c>
      <c r="V6953" s="42" t="s">
        <v>113</v>
      </c>
      <c r="W6953" s="42">
        <v>0</v>
      </c>
      <c r="X6953" s="42">
        <v>0</v>
      </c>
    </row>
    <row r="6954" spans="1:24">
      <c r="A6954" s="27" t="s">
        <v>12665</v>
      </c>
      <c r="B6954" s="28" t="s">
        <v>12240</v>
      </c>
      <c r="C6954" s="27" t="s">
        <v>12245</v>
      </c>
      <c r="D6954" s="27" t="s">
        <v>5104</v>
      </c>
      <c r="E6954" s="29">
        <v>39417</v>
      </c>
      <c r="F6954" s="27">
        <v>15</v>
      </c>
      <c r="G6954" s="18">
        <v>22559.46</v>
      </c>
      <c r="H6954" s="27">
        <f t="shared" si="216"/>
        <v>0</v>
      </c>
      <c r="I6954" s="18">
        <v>18961.77</v>
      </c>
      <c r="J6954" s="27">
        <v>22559.46</v>
      </c>
      <c r="K6954" s="18">
        <f t="shared" si="217"/>
        <v>0</v>
      </c>
      <c r="L6954" s="27">
        <v>19579.2</v>
      </c>
      <c r="M6954" s="36">
        <v>617.42999999999995</v>
      </c>
      <c r="T6954" s="41">
        <v>0</v>
      </c>
      <c r="U6954" s="41">
        <v>0</v>
      </c>
      <c r="V6954" s="42" t="s">
        <v>113</v>
      </c>
      <c r="W6954" s="42">
        <v>0</v>
      </c>
      <c r="X6954" s="42">
        <v>0</v>
      </c>
    </row>
    <row r="6955" spans="1:24">
      <c r="A6955" s="27" t="s">
        <v>12666</v>
      </c>
      <c r="B6955" s="28" t="s">
        <v>12240</v>
      </c>
      <c r="C6955" s="27" t="s">
        <v>12245</v>
      </c>
      <c r="D6955" s="27" t="s">
        <v>5104</v>
      </c>
      <c r="E6955" s="29">
        <v>39692</v>
      </c>
      <c r="F6955" s="27">
        <v>15</v>
      </c>
      <c r="G6955" s="18">
        <v>38747.129999999997</v>
      </c>
      <c r="H6955" s="27">
        <f t="shared" si="216"/>
        <v>0</v>
      </c>
      <c r="I6955" s="18">
        <v>30561.57</v>
      </c>
      <c r="J6955" s="27">
        <v>38747.129999999997</v>
      </c>
      <c r="K6955" s="18">
        <f t="shared" si="217"/>
        <v>0</v>
      </c>
      <c r="L6955" s="27">
        <v>31876.98</v>
      </c>
      <c r="M6955" s="36">
        <v>1315.41</v>
      </c>
      <c r="T6955" s="41">
        <v>0</v>
      </c>
      <c r="U6955" s="41">
        <v>0</v>
      </c>
      <c r="V6955" s="42" t="s">
        <v>113</v>
      </c>
      <c r="W6955" s="42">
        <v>0</v>
      </c>
      <c r="X6955" s="42">
        <v>0</v>
      </c>
    </row>
    <row r="6956" spans="1:24">
      <c r="A6956" s="27" t="s">
        <v>12667</v>
      </c>
      <c r="B6956" s="28" t="s">
        <v>12240</v>
      </c>
      <c r="C6956" s="27" t="s">
        <v>12245</v>
      </c>
      <c r="D6956" s="27" t="s">
        <v>5104</v>
      </c>
      <c r="E6956" s="29">
        <v>39569</v>
      </c>
      <c r="F6956" s="27">
        <v>15</v>
      </c>
      <c r="G6956" s="18">
        <v>20824.38</v>
      </c>
      <c r="H6956" s="27">
        <f t="shared" si="216"/>
        <v>0</v>
      </c>
      <c r="I6956" s="18">
        <v>16914.439999999999</v>
      </c>
      <c r="J6956" s="27">
        <v>20824.38</v>
      </c>
      <c r="K6956" s="18">
        <f t="shared" si="217"/>
        <v>0</v>
      </c>
      <c r="L6956" s="27">
        <v>17563.96</v>
      </c>
      <c r="M6956" s="36">
        <v>649.52</v>
      </c>
      <c r="T6956" s="41">
        <v>0</v>
      </c>
      <c r="U6956" s="41">
        <v>0</v>
      </c>
      <c r="V6956" s="42" t="s">
        <v>113</v>
      </c>
      <c r="W6956" s="42">
        <v>0</v>
      </c>
      <c r="X6956" s="42">
        <v>0</v>
      </c>
    </row>
    <row r="6957" spans="1:24">
      <c r="A6957" s="27" t="s">
        <v>12668</v>
      </c>
      <c r="B6957" s="28" t="s">
        <v>12240</v>
      </c>
      <c r="C6957" s="27" t="s">
        <v>12669</v>
      </c>
      <c r="D6957" s="27" t="s">
        <v>230</v>
      </c>
      <c r="E6957" s="29">
        <v>39234</v>
      </c>
      <c r="F6957" s="27">
        <v>15</v>
      </c>
      <c r="G6957" s="18">
        <v>40989.69</v>
      </c>
      <c r="H6957" s="27">
        <f t="shared" si="216"/>
        <v>0</v>
      </c>
      <c r="I6957" s="18">
        <v>37836.26</v>
      </c>
      <c r="J6957" s="27">
        <v>40989.69</v>
      </c>
      <c r="K6957" s="18">
        <f t="shared" si="217"/>
        <v>0</v>
      </c>
      <c r="L6957" s="27">
        <v>38151.67</v>
      </c>
      <c r="M6957" s="36">
        <v>315.41000000000003</v>
      </c>
      <c r="T6957" s="41">
        <v>0</v>
      </c>
      <c r="U6957" s="41">
        <v>0</v>
      </c>
      <c r="V6957" s="42" t="s">
        <v>113</v>
      </c>
      <c r="W6957" s="42">
        <v>0</v>
      </c>
      <c r="X6957" s="42">
        <v>0</v>
      </c>
    </row>
    <row r="6958" spans="1:24">
      <c r="A6958" s="27" t="s">
        <v>12670</v>
      </c>
      <c r="B6958" s="28" t="s">
        <v>12240</v>
      </c>
      <c r="C6958" s="27" t="s">
        <v>12671</v>
      </c>
      <c r="D6958" s="27" t="s">
        <v>230</v>
      </c>
      <c r="E6958" s="29">
        <v>38078</v>
      </c>
      <c r="F6958" s="27">
        <v>15</v>
      </c>
      <c r="G6958" s="18">
        <v>91983.039999999994</v>
      </c>
      <c r="H6958" s="27">
        <f t="shared" si="216"/>
        <v>91983.039999999994</v>
      </c>
      <c r="I6958" s="18">
        <v>87383.89</v>
      </c>
      <c r="J6958" s="27">
        <v>91983.039999999994</v>
      </c>
      <c r="K6958" s="18">
        <f t="shared" si="217"/>
        <v>91983.039999999994</v>
      </c>
      <c r="L6958" s="27">
        <v>87383.89</v>
      </c>
      <c r="M6958" s="36">
        <v>0</v>
      </c>
      <c r="T6958" s="41">
        <v>0</v>
      </c>
      <c r="U6958" s="41">
        <v>0</v>
      </c>
      <c r="V6958" s="42" t="s">
        <v>113</v>
      </c>
      <c r="W6958" s="42">
        <v>91983.039999999994</v>
      </c>
      <c r="X6958" s="42">
        <v>91983.039999999994</v>
      </c>
    </row>
    <row r="6959" spans="1:24">
      <c r="A6959" s="27" t="s">
        <v>12672</v>
      </c>
      <c r="B6959" s="28" t="s">
        <v>12240</v>
      </c>
      <c r="C6959" s="27" t="s">
        <v>12673</v>
      </c>
      <c r="D6959" s="27" t="s">
        <v>230</v>
      </c>
      <c r="E6959" s="29">
        <v>38078</v>
      </c>
      <c r="F6959" s="27">
        <v>15</v>
      </c>
      <c r="G6959" s="18">
        <v>23633.73</v>
      </c>
      <c r="H6959" s="27">
        <f t="shared" si="216"/>
        <v>23633.73</v>
      </c>
      <c r="I6959" s="18">
        <v>22452.04</v>
      </c>
      <c r="J6959" s="27">
        <v>23633.73</v>
      </c>
      <c r="K6959" s="18">
        <f t="shared" si="217"/>
        <v>23633.73</v>
      </c>
      <c r="L6959" s="27">
        <v>22452.04</v>
      </c>
      <c r="M6959" s="36">
        <v>0</v>
      </c>
      <c r="T6959" s="41">
        <v>0</v>
      </c>
      <c r="U6959" s="41">
        <v>0</v>
      </c>
      <c r="V6959" s="42" t="s">
        <v>113</v>
      </c>
      <c r="W6959" s="42">
        <v>23633.73</v>
      </c>
      <c r="X6959" s="42">
        <v>23633.73</v>
      </c>
    </row>
    <row r="6960" spans="1:24">
      <c r="A6960" s="27" t="s">
        <v>12674</v>
      </c>
      <c r="B6960" s="28" t="s">
        <v>12240</v>
      </c>
      <c r="C6960" s="27" t="s">
        <v>12675</v>
      </c>
      <c r="D6960" s="27" t="s">
        <v>230</v>
      </c>
      <c r="E6960" s="29">
        <v>37226</v>
      </c>
      <c r="F6960" s="27">
        <v>15</v>
      </c>
      <c r="G6960" s="18">
        <v>16870.04</v>
      </c>
      <c r="H6960" s="27">
        <f t="shared" si="216"/>
        <v>16870.04</v>
      </c>
      <c r="I6960" s="18">
        <v>16026.54</v>
      </c>
      <c r="J6960" s="27">
        <v>16870.04</v>
      </c>
      <c r="K6960" s="18">
        <f t="shared" si="217"/>
        <v>16870.04</v>
      </c>
      <c r="L6960" s="27">
        <v>16026.54</v>
      </c>
      <c r="M6960" s="36">
        <v>0</v>
      </c>
      <c r="T6960" s="41">
        <v>0</v>
      </c>
      <c r="U6960" s="41">
        <v>0</v>
      </c>
      <c r="V6960" s="42" t="s">
        <v>113</v>
      </c>
      <c r="W6960" s="42">
        <v>16870.04</v>
      </c>
      <c r="X6960" s="42">
        <v>16870.04</v>
      </c>
    </row>
    <row r="6961" spans="1:24">
      <c r="A6961" s="27" t="s">
        <v>12676</v>
      </c>
      <c r="B6961" s="28" t="s">
        <v>12240</v>
      </c>
      <c r="C6961" s="27" t="s">
        <v>12364</v>
      </c>
      <c r="D6961" s="27" t="s">
        <v>230</v>
      </c>
      <c r="E6961" s="29">
        <v>37226</v>
      </c>
      <c r="F6961" s="27">
        <v>15</v>
      </c>
      <c r="G6961" s="18">
        <v>7246.43</v>
      </c>
      <c r="H6961" s="27">
        <f t="shared" si="216"/>
        <v>7246.43</v>
      </c>
      <c r="I6961" s="18">
        <v>6884.11</v>
      </c>
      <c r="J6961" s="27">
        <v>7246.43</v>
      </c>
      <c r="K6961" s="18">
        <f t="shared" si="217"/>
        <v>7246.43</v>
      </c>
      <c r="L6961" s="27">
        <v>6884.11</v>
      </c>
      <c r="M6961" s="36">
        <v>0</v>
      </c>
      <c r="T6961" s="41">
        <v>0</v>
      </c>
      <c r="U6961" s="41">
        <v>0</v>
      </c>
      <c r="V6961" s="42" t="s">
        <v>113</v>
      </c>
      <c r="W6961" s="42">
        <v>7246.43</v>
      </c>
      <c r="X6961" s="42">
        <v>7246.43</v>
      </c>
    </row>
    <row r="6962" spans="1:24">
      <c r="A6962" s="27" t="s">
        <v>12677</v>
      </c>
      <c r="B6962" s="28" t="s">
        <v>12240</v>
      </c>
      <c r="C6962" s="27" t="s">
        <v>12245</v>
      </c>
      <c r="D6962" s="27" t="s">
        <v>5104</v>
      </c>
      <c r="E6962" s="29">
        <v>37226</v>
      </c>
      <c r="F6962" s="27">
        <v>15</v>
      </c>
      <c r="G6962" s="18">
        <v>18457.2</v>
      </c>
      <c r="H6962" s="27">
        <f t="shared" si="216"/>
        <v>18457.2</v>
      </c>
      <c r="I6962" s="18">
        <v>17534.34</v>
      </c>
      <c r="J6962" s="27">
        <v>18457.2</v>
      </c>
      <c r="K6962" s="18">
        <f t="shared" si="217"/>
        <v>18457.2</v>
      </c>
      <c r="L6962" s="27">
        <v>17534.34</v>
      </c>
      <c r="M6962" s="36">
        <v>0</v>
      </c>
      <c r="T6962" s="41">
        <v>0</v>
      </c>
      <c r="U6962" s="41">
        <v>0</v>
      </c>
      <c r="V6962" s="42" t="s">
        <v>113</v>
      </c>
      <c r="W6962" s="42">
        <v>18457.2</v>
      </c>
      <c r="X6962" s="42">
        <v>18457.2</v>
      </c>
    </row>
    <row r="6963" spans="1:24">
      <c r="A6963" s="27" t="s">
        <v>12678</v>
      </c>
      <c r="B6963" s="28" t="s">
        <v>12240</v>
      </c>
      <c r="C6963" s="27" t="s">
        <v>12364</v>
      </c>
      <c r="D6963" s="27" t="s">
        <v>230</v>
      </c>
      <c r="E6963" s="29">
        <v>37226</v>
      </c>
      <c r="F6963" s="27">
        <v>15</v>
      </c>
      <c r="G6963" s="18">
        <v>6235.41</v>
      </c>
      <c r="H6963" s="27">
        <f t="shared" si="216"/>
        <v>6235.41</v>
      </c>
      <c r="I6963" s="18">
        <v>5923.64</v>
      </c>
      <c r="J6963" s="27">
        <v>6235.41</v>
      </c>
      <c r="K6963" s="18">
        <f t="shared" si="217"/>
        <v>6235.41</v>
      </c>
      <c r="L6963" s="27">
        <v>5923.64</v>
      </c>
      <c r="M6963" s="36">
        <v>0</v>
      </c>
      <c r="T6963" s="41">
        <v>0</v>
      </c>
      <c r="U6963" s="41">
        <v>0</v>
      </c>
      <c r="V6963" s="42" t="s">
        <v>113</v>
      </c>
      <c r="W6963" s="42">
        <v>6235.41</v>
      </c>
      <c r="X6963" s="42">
        <v>6235.41</v>
      </c>
    </row>
    <row r="6964" spans="1:24">
      <c r="A6964" s="27" t="s">
        <v>12679</v>
      </c>
      <c r="B6964" s="28" t="s">
        <v>12240</v>
      </c>
      <c r="C6964" s="27" t="s">
        <v>12364</v>
      </c>
      <c r="D6964" s="27" t="s">
        <v>230</v>
      </c>
      <c r="E6964" s="29">
        <v>37226</v>
      </c>
      <c r="F6964" s="27">
        <v>15</v>
      </c>
      <c r="G6964" s="18">
        <v>7246.43</v>
      </c>
      <c r="H6964" s="27">
        <f t="shared" si="216"/>
        <v>7246.43</v>
      </c>
      <c r="I6964" s="18">
        <v>6884.11</v>
      </c>
      <c r="J6964" s="27">
        <v>7246.43</v>
      </c>
      <c r="K6964" s="18">
        <f t="shared" si="217"/>
        <v>7246.43</v>
      </c>
      <c r="L6964" s="27">
        <v>6884.11</v>
      </c>
      <c r="M6964" s="36">
        <v>0</v>
      </c>
      <c r="T6964" s="41">
        <v>0</v>
      </c>
      <c r="U6964" s="41">
        <v>0</v>
      </c>
      <c r="V6964" s="42" t="s">
        <v>113</v>
      </c>
      <c r="W6964" s="42">
        <v>7246.43</v>
      </c>
      <c r="X6964" s="42">
        <v>7246.43</v>
      </c>
    </row>
    <row r="6965" spans="1:24">
      <c r="A6965" s="27" t="s">
        <v>12680</v>
      </c>
      <c r="B6965" s="28" t="s">
        <v>12240</v>
      </c>
      <c r="C6965" s="27" t="s">
        <v>12245</v>
      </c>
      <c r="D6965" s="27" t="s">
        <v>5104</v>
      </c>
      <c r="E6965" s="29">
        <v>37226</v>
      </c>
      <c r="F6965" s="27">
        <v>15</v>
      </c>
      <c r="G6965" s="18">
        <v>14554.49</v>
      </c>
      <c r="H6965" s="27">
        <f t="shared" si="216"/>
        <v>14554.49</v>
      </c>
      <c r="I6965" s="18">
        <v>13826.77</v>
      </c>
      <c r="J6965" s="27">
        <v>14554.49</v>
      </c>
      <c r="K6965" s="18">
        <f t="shared" si="217"/>
        <v>14554.49</v>
      </c>
      <c r="L6965" s="27">
        <v>13826.77</v>
      </c>
      <c r="M6965" s="36">
        <v>0</v>
      </c>
      <c r="T6965" s="41">
        <v>0</v>
      </c>
      <c r="U6965" s="41">
        <v>0</v>
      </c>
      <c r="V6965" s="42" t="s">
        <v>113</v>
      </c>
      <c r="W6965" s="42">
        <v>14554.49</v>
      </c>
      <c r="X6965" s="42">
        <v>14554.49</v>
      </c>
    </row>
    <row r="6966" spans="1:24">
      <c r="A6966" s="27" t="s">
        <v>12681</v>
      </c>
      <c r="B6966" s="28" t="s">
        <v>12240</v>
      </c>
      <c r="C6966" s="27" t="s">
        <v>12364</v>
      </c>
      <c r="D6966" s="27" t="s">
        <v>230</v>
      </c>
      <c r="E6966" s="29">
        <v>37226</v>
      </c>
      <c r="F6966" s="27">
        <v>15</v>
      </c>
      <c r="G6966" s="18">
        <v>6361.91</v>
      </c>
      <c r="H6966" s="27">
        <f t="shared" si="216"/>
        <v>6361.91</v>
      </c>
      <c r="I6966" s="18">
        <v>6043.81</v>
      </c>
      <c r="J6966" s="27">
        <v>6361.91</v>
      </c>
      <c r="K6966" s="18">
        <f t="shared" si="217"/>
        <v>6361.91</v>
      </c>
      <c r="L6966" s="27">
        <v>6043.81</v>
      </c>
      <c r="M6966" s="36">
        <v>0</v>
      </c>
      <c r="T6966" s="41">
        <v>0</v>
      </c>
      <c r="U6966" s="41">
        <v>0</v>
      </c>
      <c r="V6966" s="42" t="s">
        <v>113</v>
      </c>
      <c r="W6966" s="42">
        <v>6361.91</v>
      </c>
      <c r="X6966" s="42">
        <v>6361.91</v>
      </c>
    </row>
    <row r="6967" spans="1:24">
      <c r="A6967" s="27" t="s">
        <v>12682</v>
      </c>
      <c r="B6967" s="28" t="s">
        <v>12240</v>
      </c>
      <c r="C6967" s="27" t="s">
        <v>12243</v>
      </c>
      <c r="D6967" s="27" t="s">
        <v>230</v>
      </c>
      <c r="E6967" s="29">
        <v>37226</v>
      </c>
      <c r="F6967" s="27">
        <v>15</v>
      </c>
      <c r="G6967" s="18">
        <v>25198.75</v>
      </c>
      <c r="H6967" s="27">
        <f t="shared" si="216"/>
        <v>25198.75</v>
      </c>
      <c r="I6967" s="18">
        <v>23938.81</v>
      </c>
      <c r="J6967" s="27">
        <v>25198.75</v>
      </c>
      <c r="K6967" s="18">
        <f t="shared" si="217"/>
        <v>25198.75</v>
      </c>
      <c r="L6967" s="27">
        <v>23938.81</v>
      </c>
      <c r="M6967" s="36">
        <v>0</v>
      </c>
      <c r="T6967" s="41">
        <v>0</v>
      </c>
      <c r="U6967" s="41">
        <v>0</v>
      </c>
      <c r="V6967" s="42" t="s">
        <v>113</v>
      </c>
      <c r="W6967" s="42">
        <v>25198.75</v>
      </c>
      <c r="X6967" s="42">
        <v>25198.75</v>
      </c>
    </row>
    <row r="6968" spans="1:24">
      <c r="A6968" s="27" t="s">
        <v>12683</v>
      </c>
      <c r="B6968" s="28" t="s">
        <v>12240</v>
      </c>
      <c r="C6968" s="27" t="s">
        <v>12243</v>
      </c>
      <c r="D6968" s="27" t="s">
        <v>230</v>
      </c>
      <c r="E6968" s="29">
        <v>37226</v>
      </c>
      <c r="F6968" s="27">
        <v>15</v>
      </c>
      <c r="G6968" s="18">
        <v>25115.37</v>
      </c>
      <c r="H6968" s="27">
        <f t="shared" si="216"/>
        <v>25115.37</v>
      </c>
      <c r="I6968" s="18">
        <v>23859.599999999999</v>
      </c>
      <c r="J6968" s="27">
        <v>25115.37</v>
      </c>
      <c r="K6968" s="18">
        <f t="shared" si="217"/>
        <v>25115.37</v>
      </c>
      <c r="L6968" s="27">
        <v>23859.599999999999</v>
      </c>
      <c r="M6968" s="36">
        <v>0</v>
      </c>
      <c r="T6968" s="41">
        <v>0</v>
      </c>
      <c r="U6968" s="41">
        <v>0</v>
      </c>
      <c r="V6968" s="42" t="s">
        <v>113</v>
      </c>
      <c r="W6968" s="42">
        <v>25115.37</v>
      </c>
      <c r="X6968" s="42">
        <v>25115.37</v>
      </c>
    </row>
    <row r="6969" spans="1:24">
      <c r="A6969" s="27" t="s">
        <v>12684</v>
      </c>
      <c r="B6969" s="28" t="s">
        <v>12240</v>
      </c>
      <c r="C6969" s="27" t="s">
        <v>12243</v>
      </c>
      <c r="D6969" s="27" t="s">
        <v>230</v>
      </c>
      <c r="E6969" s="29">
        <v>37226</v>
      </c>
      <c r="F6969" s="27">
        <v>15</v>
      </c>
      <c r="G6969" s="18">
        <v>25062.22</v>
      </c>
      <c r="H6969" s="27">
        <f t="shared" si="216"/>
        <v>25062.22</v>
      </c>
      <c r="I6969" s="18">
        <v>23809.11</v>
      </c>
      <c r="J6969" s="27">
        <v>25062.22</v>
      </c>
      <c r="K6969" s="18">
        <f t="shared" si="217"/>
        <v>25062.22</v>
      </c>
      <c r="L6969" s="27">
        <v>23809.11</v>
      </c>
      <c r="M6969" s="36">
        <v>0</v>
      </c>
      <c r="T6969" s="41">
        <v>0</v>
      </c>
      <c r="U6969" s="41">
        <v>0</v>
      </c>
      <c r="V6969" s="42" t="s">
        <v>113</v>
      </c>
      <c r="W6969" s="42">
        <v>25062.22</v>
      </c>
      <c r="X6969" s="42">
        <v>25062.22</v>
      </c>
    </row>
    <row r="6970" spans="1:24">
      <c r="A6970" s="27" t="s">
        <v>12685</v>
      </c>
      <c r="B6970" s="28" t="s">
        <v>12240</v>
      </c>
      <c r="C6970" s="27" t="s">
        <v>12243</v>
      </c>
      <c r="D6970" s="27" t="s">
        <v>230</v>
      </c>
      <c r="E6970" s="29">
        <v>37226</v>
      </c>
      <c r="F6970" s="27">
        <v>15</v>
      </c>
      <c r="G6970" s="18">
        <v>25062.22</v>
      </c>
      <c r="H6970" s="27">
        <f t="shared" si="216"/>
        <v>25062.22</v>
      </c>
      <c r="I6970" s="18">
        <v>23809.11</v>
      </c>
      <c r="J6970" s="27">
        <v>25062.22</v>
      </c>
      <c r="K6970" s="18">
        <f t="shared" si="217"/>
        <v>25062.22</v>
      </c>
      <c r="L6970" s="27">
        <v>23809.11</v>
      </c>
      <c r="M6970" s="36">
        <v>0</v>
      </c>
      <c r="T6970" s="41">
        <v>0</v>
      </c>
      <c r="U6970" s="41">
        <v>0</v>
      </c>
      <c r="V6970" s="42" t="s">
        <v>113</v>
      </c>
      <c r="W6970" s="42">
        <v>25062.22</v>
      </c>
      <c r="X6970" s="42">
        <v>25062.22</v>
      </c>
    </row>
    <row r="6971" spans="1:24">
      <c r="A6971" s="27" t="s">
        <v>12686</v>
      </c>
      <c r="B6971" s="28" t="s">
        <v>12240</v>
      </c>
      <c r="C6971" s="27" t="s">
        <v>12687</v>
      </c>
      <c r="D6971" s="27" t="s">
        <v>5104</v>
      </c>
      <c r="E6971" s="29">
        <v>37408</v>
      </c>
      <c r="F6971" s="27">
        <v>15</v>
      </c>
      <c r="G6971" s="18">
        <v>17371.93</v>
      </c>
      <c r="H6971" s="27">
        <f t="shared" si="216"/>
        <v>17371.93</v>
      </c>
      <c r="I6971" s="18">
        <v>16503.330000000002</v>
      </c>
      <c r="J6971" s="27">
        <v>17371.93</v>
      </c>
      <c r="K6971" s="18">
        <f t="shared" si="217"/>
        <v>17371.93</v>
      </c>
      <c r="L6971" s="27">
        <v>16503.330000000002</v>
      </c>
      <c r="M6971" s="36">
        <v>0</v>
      </c>
      <c r="T6971" s="41">
        <v>0</v>
      </c>
      <c r="U6971" s="41">
        <v>0</v>
      </c>
      <c r="V6971" s="42" t="s">
        <v>113</v>
      </c>
      <c r="W6971" s="42">
        <v>17371.93</v>
      </c>
      <c r="X6971" s="42">
        <v>17371.93</v>
      </c>
    </row>
    <row r="6972" spans="1:24">
      <c r="A6972" s="27" t="s">
        <v>12688</v>
      </c>
      <c r="B6972" s="28" t="s">
        <v>12240</v>
      </c>
      <c r="C6972" s="27" t="s">
        <v>12689</v>
      </c>
      <c r="D6972" s="27" t="s">
        <v>230</v>
      </c>
      <c r="E6972" s="29">
        <v>37226</v>
      </c>
      <c r="F6972" s="27">
        <v>15</v>
      </c>
      <c r="G6972" s="18">
        <v>30451.21</v>
      </c>
      <c r="H6972" s="27">
        <f t="shared" si="216"/>
        <v>30451.21</v>
      </c>
      <c r="I6972" s="18">
        <v>28928.65</v>
      </c>
      <c r="J6972" s="27">
        <v>30451.21</v>
      </c>
      <c r="K6972" s="18">
        <f t="shared" si="217"/>
        <v>30451.21</v>
      </c>
      <c r="L6972" s="27">
        <v>28928.65</v>
      </c>
      <c r="M6972" s="36">
        <v>0</v>
      </c>
      <c r="T6972" s="41">
        <v>0</v>
      </c>
      <c r="U6972" s="41">
        <v>0</v>
      </c>
      <c r="V6972" s="42" t="s">
        <v>113</v>
      </c>
      <c r="W6972" s="42">
        <v>30451.21</v>
      </c>
      <c r="X6972" s="42">
        <v>30451.21</v>
      </c>
    </row>
    <row r="6973" spans="1:24">
      <c r="A6973" s="27" t="s">
        <v>12690</v>
      </c>
      <c r="B6973" s="28" t="s">
        <v>12240</v>
      </c>
      <c r="C6973" s="27" t="s">
        <v>12691</v>
      </c>
      <c r="D6973" s="27" t="s">
        <v>230</v>
      </c>
      <c r="E6973" s="29">
        <v>33239</v>
      </c>
      <c r="F6973" s="27">
        <v>15</v>
      </c>
      <c r="G6973" s="18">
        <v>16015.9</v>
      </c>
      <c r="H6973" s="27">
        <f t="shared" si="216"/>
        <v>16015.9</v>
      </c>
      <c r="I6973" s="18">
        <v>15215.1</v>
      </c>
      <c r="J6973" s="27">
        <v>16015.9</v>
      </c>
      <c r="K6973" s="18">
        <f t="shared" si="217"/>
        <v>16015.9</v>
      </c>
      <c r="L6973" s="27">
        <v>15215.1</v>
      </c>
      <c r="M6973" s="36">
        <v>0</v>
      </c>
      <c r="T6973" s="41">
        <v>0</v>
      </c>
      <c r="U6973" s="41">
        <v>0</v>
      </c>
      <c r="V6973" s="42" t="s">
        <v>113</v>
      </c>
      <c r="W6973" s="42">
        <v>16015.9</v>
      </c>
      <c r="X6973" s="42">
        <v>16015.9</v>
      </c>
    </row>
    <row r="6974" spans="1:24">
      <c r="A6974" s="27" t="s">
        <v>12692</v>
      </c>
      <c r="B6974" s="28" t="s">
        <v>12240</v>
      </c>
      <c r="C6974" s="27" t="s">
        <v>12693</v>
      </c>
      <c r="D6974" s="27" t="s">
        <v>230</v>
      </c>
      <c r="E6974" s="29">
        <v>34731</v>
      </c>
      <c r="F6974" s="27">
        <v>15</v>
      </c>
      <c r="G6974" s="18">
        <v>11719.27</v>
      </c>
      <c r="H6974" s="27">
        <f t="shared" si="216"/>
        <v>11719.27</v>
      </c>
      <c r="I6974" s="18">
        <v>11133.31</v>
      </c>
      <c r="J6974" s="27">
        <v>11719.27</v>
      </c>
      <c r="K6974" s="18">
        <f t="shared" si="217"/>
        <v>11719.27</v>
      </c>
      <c r="L6974" s="27">
        <v>11133.31</v>
      </c>
      <c r="M6974" s="36">
        <v>0</v>
      </c>
      <c r="T6974" s="41">
        <v>0</v>
      </c>
      <c r="U6974" s="41">
        <v>0</v>
      </c>
      <c r="V6974" s="42" t="s">
        <v>113</v>
      </c>
      <c r="W6974" s="42">
        <v>11719.27</v>
      </c>
      <c r="X6974" s="42">
        <v>11719.27</v>
      </c>
    </row>
    <row r="6975" spans="1:24">
      <c r="A6975" s="27" t="s">
        <v>12694</v>
      </c>
      <c r="B6975" s="28" t="s">
        <v>12240</v>
      </c>
      <c r="C6975" s="27" t="s">
        <v>12695</v>
      </c>
      <c r="D6975" s="27" t="s">
        <v>230</v>
      </c>
      <c r="E6975" s="29">
        <v>33970</v>
      </c>
      <c r="F6975" s="27">
        <v>15</v>
      </c>
      <c r="G6975" s="18">
        <v>39649.120000000003</v>
      </c>
      <c r="H6975" s="27">
        <f t="shared" si="216"/>
        <v>0</v>
      </c>
      <c r="I6975" s="18">
        <v>7401.83</v>
      </c>
      <c r="J6975" s="27">
        <v>39649.120000000003</v>
      </c>
      <c r="K6975" s="18">
        <f t="shared" si="217"/>
        <v>0</v>
      </c>
      <c r="L6975" s="27">
        <v>9629.92</v>
      </c>
      <c r="M6975" s="36">
        <v>2228.09</v>
      </c>
      <c r="T6975" s="41">
        <v>0</v>
      </c>
      <c r="U6975" s="41">
        <v>0</v>
      </c>
      <c r="V6975" s="42" t="s">
        <v>124</v>
      </c>
      <c r="W6975" s="42">
        <v>39649.120000000003</v>
      </c>
      <c r="X6975" s="42">
        <v>39649.120000000003</v>
      </c>
    </row>
    <row r="6976" spans="1:24">
      <c r="A6976" s="27" t="s">
        <v>12696</v>
      </c>
      <c r="B6976" s="28" t="s">
        <v>12240</v>
      </c>
      <c r="C6976" s="27" t="s">
        <v>12617</v>
      </c>
      <c r="D6976" s="27" t="s">
        <v>5104</v>
      </c>
      <c r="E6976" s="29">
        <v>39417</v>
      </c>
      <c r="F6976" s="27">
        <v>15</v>
      </c>
      <c r="G6976" s="18">
        <v>12940</v>
      </c>
      <c r="H6976" s="27">
        <f t="shared" si="216"/>
        <v>0</v>
      </c>
      <c r="I6976" s="18">
        <v>11145.5</v>
      </c>
      <c r="J6976" s="27">
        <v>12940</v>
      </c>
      <c r="K6976" s="18">
        <f t="shared" si="217"/>
        <v>0</v>
      </c>
      <c r="L6976" s="27">
        <v>11432.38</v>
      </c>
      <c r="M6976" s="36">
        <v>286.88</v>
      </c>
      <c r="T6976" s="41">
        <v>0</v>
      </c>
      <c r="U6976" s="41">
        <v>0</v>
      </c>
      <c r="V6976" s="42" t="s">
        <v>113</v>
      </c>
      <c r="W6976" s="42">
        <v>0</v>
      </c>
      <c r="X6976" s="42">
        <v>0</v>
      </c>
    </row>
    <row r="6977" spans="1:24">
      <c r="A6977" s="27" t="s">
        <v>12697</v>
      </c>
      <c r="B6977" s="28" t="s">
        <v>12240</v>
      </c>
      <c r="C6977" s="27" t="s">
        <v>12332</v>
      </c>
      <c r="D6977" s="27" t="s">
        <v>5104</v>
      </c>
      <c r="E6977" s="29">
        <v>39417</v>
      </c>
      <c r="F6977" s="27">
        <v>15</v>
      </c>
      <c r="G6977" s="18">
        <v>13210</v>
      </c>
      <c r="H6977" s="27">
        <f t="shared" si="216"/>
        <v>0</v>
      </c>
      <c r="I6977" s="18">
        <v>11378.07</v>
      </c>
      <c r="J6977" s="27">
        <v>13210</v>
      </c>
      <c r="K6977" s="18">
        <f t="shared" si="217"/>
        <v>0</v>
      </c>
      <c r="L6977" s="27">
        <v>11670.93</v>
      </c>
      <c r="M6977" s="36">
        <v>292.86</v>
      </c>
      <c r="T6977" s="41">
        <v>0</v>
      </c>
      <c r="U6977" s="41">
        <v>0</v>
      </c>
      <c r="V6977" s="42" t="s">
        <v>113</v>
      </c>
      <c r="W6977" s="42">
        <v>0</v>
      </c>
      <c r="X6977" s="42">
        <v>0</v>
      </c>
    </row>
    <row r="6978" spans="1:24">
      <c r="A6978" s="27" t="s">
        <v>12698</v>
      </c>
      <c r="B6978" s="28" t="s">
        <v>12240</v>
      </c>
      <c r="C6978" s="27" t="s">
        <v>12699</v>
      </c>
      <c r="D6978" s="27" t="s">
        <v>5104</v>
      </c>
      <c r="E6978" s="29">
        <v>39417</v>
      </c>
      <c r="F6978" s="27">
        <v>15</v>
      </c>
      <c r="G6978" s="18">
        <v>6990</v>
      </c>
      <c r="H6978" s="27">
        <f t="shared" si="216"/>
        <v>6990</v>
      </c>
      <c r="I6978" s="18">
        <v>6626.24</v>
      </c>
      <c r="J6978" s="27">
        <v>6990</v>
      </c>
      <c r="K6978" s="18">
        <f t="shared" si="217"/>
        <v>6990</v>
      </c>
      <c r="L6978" s="27">
        <v>6629.8</v>
      </c>
      <c r="M6978" s="36">
        <v>3.56</v>
      </c>
      <c r="T6978" s="41">
        <v>0</v>
      </c>
      <c r="U6978" s="41">
        <v>0</v>
      </c>
      <c r="V6978" s="42" t="s">
        <v>113</v>
      </c>
      <c r="W6978" s="42">
        <v>6990</v>
      </c>
      <c r="X6978" s="42">
        <v>6990</v>
      </c>
    </row>
    <row r="6979" spans="1:24">
      <c r="A6979" s="27" t="s">
        <v>12700</v>
      </c>
      <c r="B6979" s="28" t="s">
        <v>12240</v>
      </c>
      <c r="C6979" s="27" t="s">
        <v>12701</v>
      </c>
      <c r="D6979" s="27" t="s">
        <v>230</v>
      </c>
      <c r="E6979" s="29">
        <v>33970</v>
      </c>
      <c r="F6979" s="27">
        <v>15</v>
      </c>
      <c r="G6979" s="18">
        <v>7573.29</v>
      </c>
      <c r="H6979" s="27">
        <f t="shared" si="216"/>
        <v>7573.29</v>
      </c>
      <c r="I6979" s="18">
        <v>7194.63</v>
      </c>
      <c r="J6979" s="27">
        <v>7573.29</v>
      </c>
      <c r="K6979" s="18">
        <f t="shared" si="217"/>
        <v>7573.29</v>
      </c>
      <c r="L6979" s="27">
        <v>7194.63</v>
      </c>
      <c r="M6979" s="36">
        <v>0</v>
      </c>
      <c r="T6979" s="41">
        <v>0</v>
      </c>
      <c r="U6979" s="41">
        <v>0</v>
      </c>
      <c r="V6979" s="42" t="s">
        <v>113</v>
      </c>
      <c r="W6979" s="42">
        <v>7573.29</v>
      </c>
      <c r="X6979" s="42">
        <v>7573.29</v>
      </c>
    </row>
    <row r="6980" spans="1:24">
      <c r="A6980" s="27" t="s">
        <v>12702</v>
      </c>
      <c r="B6980" s="28" t="s">
        <v>12240</v>
      </c>
      <c r="C6980" s="27" t="s">
        <v>12703</v>
      </c>
      <c r="D6980" s="27" t="s">
        <v>230</v>
      </c>
      <c r="E6980" s="29">
        <v>35431</v>
      </c>
      <c r="F6980" s="27">
        <v>15</v>
      </c>
      <c r="G6980" s="18">
        <v>26969.24</v>
      </c>
      <c r="H6980" s="27">
        <f t="shared" si="216"/>
        <v>26969.24</v>
      </c>
      <c r="I6980" s="18">
        <v>25620.78</v>
      </c>
      <c r="J6980" s="27">
        <v>26969.24</v>
      </c>
      <c r="K6980" s="18">
        <f t="shared" si="217"/>
        <v>26969.24</v>
      </c>
      <c r="L6980" s="27">
        <v>25620.78</v>
      </c>
      <c r="M6980" s="36">
        <v>0</v>
      </c>
      <c r="T6980" s="41">
        <v>0</v>
      </c>
      <c r="U6980" s="41">
        <v>0</v>
      </c>
      <c r="V6980" s="42" t="s">
        <v>113</v>
      </c>
      <c r="W6980" s="42">
        <v>26969.24</v>
      </c>
      <c r="X6980" s="42">
        <v>26969.24</v>
      </c>
    </row>
    <row r="6981" spans="1:24">
      <c r="A6981" s="27" t="s">
        <v>12704</v>
      </c>
      <c r="B6981" s="28" t="s">
        <v>12240</v>
      </c>
      <c r="C6981" s="27" t="s">
        <v>12705</v>
      </c>
      <c r="D6981" s="27" t="s">
        <v>5104</v>
      </c>
      <c r="E6981" s="29">
        <v>32143</v>
      </c>
      <c r="F6981" s="27">
        <v>15</v>
      </c>
      <c r="G6981" s="18">
        <v>6166.78</v>
      </c>
      <c r="H6981" s="27">
        <f t="shared" si="216"/>
        <v>6166.78</v>
      </c>
      <c r="I6981" s="18">
        <v>5858.44</v>
      </c>
      <c r="J6981" s="27">
        <v>6166.78</v>
      </c>
      <c r="K6981" s="18">
        <f t="shared" si="217"/>
        <v>6166.78</v>
      </c>
      <c r="L6981" s="27">
        <v>5858.44</v>
      </c>
      <c r="M6981" s="36">
        <v>0</v>
      </c>
      <c r="T6981" s="41">
        <v>0</v>
      </c>
      <c r="U6981" s="41">
        <v>0</v>
      </c>
      <c r="V6981" s="42" t="s">
        <v>113</v>
      </c>
      <c r="W6981" s="42">
        <v>6166.78</v>
      </c>
      <c r="X6981" s="42">
        <v>6166.78</v>
      </c>
    </row>
    <row r="6982" spans="1:24">
      <c r="A6982" s="27" t="s">
        <v>12706</v>
      </c>
      <c r="B6982" s="28" t="s">
        <v>12240</v>
      </c>
      <c r="C6982" s="27" t="s">
        <v>12707</v>
      </c>
      <c r="D6982" s="27" t="s">
        <v>230</v>
      </c>
      <c r="E6982" s="29">
        <v>34700</v>
      </c>
      <c r="F6982" s="27">
        <v>15</v>
      </c>
      <c r="G6982" s="18">
        <v>7666.22</v>
      </c>
      <c r="H6982" s="27">
        <f t="shared" ref="H6982:H7045" si="218">IFERROR(IF(ROUND((G6982-I6982)/G6982,2)&lt;=0.05,G6982,0),0)</f>
        <v>7666.22</v>
      </c>
      <c r="I6982" s="18">
        <v>7282.91</v>
      </c>
      <c r="J6982" s="27">
        <v>7666.22</v>
      </c>
      <c r="K6982" s="18">
        <f t="shared" ref="K6982:K7045" si="219">IFERROR(IF(ROUND((J6982-L6982)/J6982,2)&lt;=0.05,J6982,0),0)</f>
        <v>7666.22</v>
      </c>
      <c r="L6982" s="27">
        <v>7282.91</v>
      </c>
      <c r="M6982" s="36">
        <v>0</v>
      </c>
      <c r="T6982" s="41">
        <v>0</v>
      </c>
      <c r="U6982" s="41">
        <v>0</v>
      </c>
      <c r="V6982" s="42" t="s">
        <v>113</v>
      </c>
      <c r="W6982" s="42">
        <v>7666.22</v>
      </c>
      <c r="X6982" s="42">
        <v>7666.22</v>
      </c>
    </row>
    <row r="6983" spans="1:24">
      <c r="A6983" s="27" t="s">
        <v>12708</v>
      </c>
      <c r="B6983" s="28" t="s">
        <v>12240</v>
      </c>
      <c r="C6983" s="27" t="s">
        <v>12709</v>
      </c>
      <c r="D6983" s="27" t="s">
        <v>230</v>
      </c>
      <c r="E6983" s="29">
        <v>33970</v>
      </c>
      <c r="F6983" s="27">
        <v>15</v>
      </c>
      <c r="G6983" s="18">
        <v>5062.58</v>
      </c>
      <c r="H6983" s="27">
        <f t="shared" si="218"/>
        <v>5062.58</v>
      </c>
      <c r="I6983" s="18">
        <v>4809.45</v>
      </c>
      <c r="J6983" s="27">
        <v>5062.58</v>
      </c>
      <c r="K6983" s="18">
        <f t="shared" si="219"/>
        <v>5062.58</v>
      </c>
      <c r="L6983" s="27">
        <v>4809.45</v>
      </c>
      <c r="M6983" s="36">
        <v>0</v>
      </c>
      <c r="T6983" s="41">
        <v>0</v>
      </c>
      <c r="U6983" s="41">
        <v>0</v>
      </c>
      <c r="V6983" s="42" t="s">
        <v>113</v>
      </c>
      <c r="W6983" s="42">
        <v>5062.58</v>
      </c>
      <c r="X6983" s="42">
        <v>5062.58</v>
      </c>
    </row>
    <row r="6984" spans="1:24">
      <c r="A6984" s="27" t="s">
        <v>12710</v>
      </c>
      <c r="B6984" s="28" t="s">
        <v>12240</v>
      </c>
      <c r="C6984" s="27" t="s">
        <v>12711</v>
      </c>
      <c r="D6984" s="27" t="s">
        <v>230</v>
      </c>
      <c r="E6984" s="29">
        <v>34700</v>
      </c>
      <c r="F6984" s="27">
        <v>15</v>
      </c>
      <c r="G6984" s="18">
        <v>6440.46</v>
      </c>
      <c r="H6984" s="27">
        <f t="shared" si="218"/>
        <v>6440.46</v>
      </c>
      <c r="I6984" s="18">
        <v>6118.44</v>
      </c>
      <c r="J6984" s="27">
        <v>6440.46</v>
      </c>
      <c r="K6984" s="18">
        <f t="shared" si="219"/>
        <v>6440.46</v>
      </c>
      <c r="L6984" s="27">
        <v>6118.44</v>
      </c>
      <c r="M6984" s="36">
        <v>0</v>
      </c>
      <c r="T6984" s="41">
        <v>0</v>
      </c>
      <c r="U6984" s="41">
        <v>0</v>
      </c>
      <c r="V6984" s="42" t="s">
        <v>113</v>
      </c>
      <c r="W6984" s="42">
        <v>6440.46</v>
      </c>
      <c r="X6984" s="42">
        <v>6440.46</v>
      </c>
    </row>
    <row r="6985" spans="1:24">
      <c r="A6985" s="27" t="s">
        <v>12712</v>
      </c>
      <c r="B6985" s="28" t="s">
        <v>12240</v>
      </c>
      <c r="C6985" s="27" t="s">
        <v>12713</v>
      </c>
      <c r="D6985" s="27" t="s">
        <v>230</v>
      </c>
      <c r="E6985" s="29">
        <v>34700</v>
      </c>
      <c r="F6985" s="27">
        <v>15</v>
      </c>
      <c r="G6985" s="18">
        <v>6388.52</v>
      </c>
      <c r="H6985" s="27">
        <f t="shared" si="218"/>
        <v>6388.52</v>
      </c>
      <c r="I6985" s="18">
        <v>6069.09</v>
      </c>
      <c r="J6985" s="27">
        <v>6388.52</v>
      </c>
      <c r="K6985" s="18">
        <f t="shared" si="219"/>
        <v>6388.52</v>
      </c>
      <c r="L6985" s="27">
        <v>6069.09</v>
      </c>
      <c r="M6985" s="36">
        <v>0</v>
      </c>
      <c r="T6985" s="41">
        <v>0</v>
      </c>
      <c r="U6985" s="41">
        <v>0</v>
      </c>
      <c r="V6985" s="42" t="s">
        <v>113</v>
      </c>
      <c r="W6985" s="42">
        <v>6388.52</v>
      </c>
      <c r="X6985" s="42">
        <v>6388.52</v>
      </c>
    </row>
    <row r="6986" spans="1:24">
      <c r="A6986" s="27" t="s">
        <v>12714</v>
      </c>
      <c r="B6986" s="28" t="s">
        <v>12240</v>
      </c>
      <c r="C6986" s="27" t="s">
        <v>12715</v>
      </c>
      <c r="D6986" s="27" t="s">
        <v>230</v>
      </c>
      <c r="E6986" s="29">
        <v>35796</v>
      </c>
      <c r="F6986" s="27">
        <v>15</v>
      </c>
      <c r="G6986" s="18">
        <v>8377.43</v>
      </c>
      <c r="H6986" s="27">
        <f t="shared" si="218"/>
        <v>8377.43</v>
      </c>
      <c r="I6986" s="18">
        <v>7958.56</v>
      </c>
      <c r="J6986" s="27">
        <v>8377.43</v>
      </c>
      <c r="K6986" s="18">
        <f t="shared" si="219"/>
        <v>8377.43</v>
      </c>
      <c r="L6986" s="27">
        <v>7958.56</v>
      </c>
      <c r="M6986" s="36">
        <v>0</v>
      </c>
      <c r="T6986" s="41">
        <v>0</v>
      </c>
      <c r="U6986" s="41">
        <v>0</v>
      </c>
      <c r="V6986" s="42" t="s">
        <v>113</v>
      </c>
      <c r="W6986" s="42">
        <v>8377.43</v>
      </c>
      <c r="X6986" s="42">
        <v>8377.43</v>
      </c>
    </row>
    <row r="6987" spans="1:24">
      <c r="A6987" s="27" t="s">
        <v>12716</v>
      </c>
      <c r="B6987" s="28" t="s">
        <v>12240</v>
      </c>
      <c r="C6987" s="27" t="s">
        <v>12245</v>
      </c>
      <c r="D6987" s="27" t="s">
        <v>5104</v>
      </c>
      <c r="E6987" s="29">
        <v>37226</v>
      </c>
      <c r="F6987" s="27">
        <v>15</v>
      </c>
      <c r="G6987" s="18">
        <v>30498.2</v>
      </c>
      <c r="H6987" s="27">
        <f t="shared" si="218"/>
        <v>30498.2</v>
      </c>
      <c r="I6987" s="18">
        <v>28973.29</v>
      </c>
      <c r="J6987" s="27">
        <v>30498.2</v>
      </c>
      <c r="K6987" s="18">
        <f t="shared" si="219"/>
        <v>30498.2</v>
      </c>
      <c r="L6987" s="27">
        <v>28973.29</v>
      </c>
      <c r="M6987" s="36">
        <v>0</v>
      </c>
      <c r="T6987" s="41">
        <v>0</v>
      </c>
      <c r="U6987" s="41">
        <v>0</v>
      </c>
      <c r="V6987" s="42" t="s">
        <v>113</v>
      </c>
      <c r="W6987" s="42">
        <v>30498.2</v>
      </c>
      <c r="X6987" s="42">
        <v>30498.2</v>
      </c>
    </row>
    <row r="6988" spans="1:24">
      <c r="A6988" s="27" t="s">
        <v>12717</v>
      </c>
      <c r="B6988" s="28" t="s">
        <v>12240</v>
      </c>
      <c r="C6988" s="27" t="s">
        <v>12245</v>
      </c>
      <c r="D6988" s="27" t="s">
        <v>5104</v>
      </c>
      <c r="E6988" s="29">
        <v>37226</v>
      </c>
      <c r="F6988" s="27">
        <v>15</v>
      </c>
      <c r="G6988" s="18">
        <v>45261.87</v>
      </c>
      <c r="H6988" s="27">
        <f t="shared" si="218"/>
        <v>45261.87</v>
      </c>
      <c r="I6988" s="18">
        <v>42998.78</v>
      </c>
      <c r="J6988" s="27">
        <v>45261.87</v>
      </c>
      <c r="K6988" s="18">
        <f t="shared" si="219"/>
        <v>45261.87</v>
      </c>
      <c r="L6988" s="27">
        <v>42998.78</v>
      </c>
      <c r="M6988" s="36">
        <v>0</v>
      </c>
      <c r="T6988" s="41">
        <v>0</v>
      </c>
      <c r="U6988" s="41">
        <v>0</v>
      </c>
      <c r="V6988" s="42" t="s">
        <v>113</v>
      </c>
      <c r="W6988" s="42">
        <v>45261.87</v>
      </c>
      <c r="X6988" s="42">
        <v>45261.87</v>
      </c>
    </row>
    <row r="6989" spans="1:24">
      <c r="A6989" s="27" t="s">
        <v>12718</v>
      </c>
      <c r="B6989" s="28" t="s">
        <v>12240</v>
      </c>
      <c r="C6989" s="27" t="s">
        <v>12245</v>
      </c>
      <c r="D6989" s="27" t="s">
        <v>5104</v>
      </c>
      <c r="E6989" s="29">
        <v>37226</v>
      </c>
      <c r="F6989" s="27">
        <v>15</v>
      </c>
      <c r="G6989" s="18">
        <v>76151.5</v>
      </c>
      <c r="H6989" s="27">
        <f t="shared" si="218"/>
        <v>76151.5</v>
      </c>
      <c r="I6989" s="18">
        <v>72343.92</v>
      </c>
      <c r="J6989" s="27">
        <v>76151.5</v>
      </c>
      <c r="K6989" s="18">
        <f t="shared" si="219"/>
        <v>76151.5</v>
      </c>
      <c r="L6989" s="27">
        <v>72343.92</v>
      </c>
      <c r="M6989" s="36">
        <v>0</v>
      </c>
      <c r="T6989" s="41">
        <v>0</v>
      </c>
      <c r="U6989" s="41">
        <v>0</v>
      </c>
      <c r="V6989" s="42" t="s">
        <v>113</v>
      </c>
      <c r="W6989" s="42">
        <v>76151.5</v>
      </c>
      <c r="X6989" s="42">
        <v>76151.5</v>
      </c>
    </row>
    <row r="6990" spans="1:24">
      <c r="A6990" s="27" t="s">
        <v>12719</v>
      </c>
      <c r="B6990" s="28" t="s">
        <v>12240</v>
      </c>
      <c r="C6990" s="27" t="s">
        <v>12245</v>
      </c>
      <c r="D6990" s="27" t="s">
        <v>5104</v>
      </c>
      <c r="E6990" s="29">
        <v>37226</v>
      </c>
      <c r="F6990" s="27">
        <v>15</v>
      </c>
      <c r="G6990" s="18">
        <v>17957.68</v>
      </c>
      <c r="H6990" s="27">
        <f t="shared" si="218"/>
        <v>17957.68</v>
      </c>
      <c r="I6990" s="18">
        <v>17059.8</v>
      </c>
      <c r="J6990" s="27">
        <v>17957.68</v>
      </c>
      <c r="K6990" s="18">
        <f t="shared" si="219"/>
        <v>17957.68</v>
      </c>
      <c r="L6990" s="27">
        <v>17059.8</v>
      </c>
      <c r="M6990" s="36">
        <v>0</v>
      </c>
      <c r="T6990" s="41">
        <v>0</v>
      </c>
      <c r="U6990" s="41">
        <v>0</v>
      </c>
      <c r="V6990" s="42" t="s">
        <v>113</v>
      </c>
      <c r="W6990" s="42">
        <v>17957.68</v>
      </c>
      <c r="X6990" s="42">
        <v>17957.68</v>
      </c>
    </row>
    <row r="6991" spans="1:24">
      <c r="A6991" s="27" t="s">
        <v>12720</v>
      </c>
      <c r="B6991" s="28" t="s">
        <v>12240</v>
      </c>
      <c r="C6991" s="27" t="s">
        <v>12245</v>
      </c>
      <c r="D6991" s="27" t="s">
        <v>5104</v>
      </c>
      <c r="E6991" s="29">
        <v>37226</v>
      </c>
      <c r="F6991" s="27">
        <v>15</v>
      </c>
      <c r="G6991" s="18">
        <v>27086.99</v>
      </c>
      <c r="H6991" s="27">
        <f t="shared" si="218"/>
        <v>27086.99</v>
      </c>
      <c r="I6991" s="18">
        <v>25732.639999999999</v>
      </c>
      <c r="J6991" s="27">
        <v>27086.99</v>
      </c>
      <c r="K6991" s="18">
        <f t="shared" si="219"/>
        <v>27086.99</v>
      </c>
      <c r="L6991" s="27">
        <v>25732.639999999999</v>
      </c>
      <c r="M6991" s="36">
        <v>0</v>
      </c>
      <c r="T6991" s="41">
        <v>0</v>
      </c>
      <c r="U6991" s="41">
        <v>0</v>
      </c>
      <c r="V6991" s="42" t="s">
        <v>113</v>
      </c>
      <c r="W6991" s="42">
        <v>27086.99</v>
      </c>
      <c r="X6991" s="42">
        <v>27086.99</v>
      </c>
    </row>
    <row r="6992" spans="1:24">
      <c r="A6992" s="27" t="s">
        <v>12721</v>
      </c>
      <c r="B6992" s="28" t="s">
        <v>12240</v>
      </c>
      <c r="C6992" s="27" t="s">
        <v>12245</v>
      </c>
      <c r="D6992" s="27" t="s">
        <v>5104</v>
      </c>
      <c r="E6992" s="29">
        <v>39417</v>
      </c>
      <c r="F6992" s="27">
        <v>15</v>
      </c>
      <c r="G6992" s="18">
        <v>32160.45</v>
      </c>
      <c r="H6992" s="27">
        <f t="shared" si="218"/>
        <v>0</v>
      </c>
      <c r="I6992" s="18">
        <v>27429.62</v>
      </c>
      <c r="J6992" s="27">
        <v>32160.45</v>
      </c>
      <c r="K6992" s="18">
        <f t="shared" si="219"/>
        <v>0</v>
      </c>
      <c r="L6992" s="27">
        <v>28210.32</v>
      </c>
      <c r="M6992" s="36">
        <v>780.7</v>
      </c>
      <c r="T6992" s="41">
        <v>0</v>
      </c>
      <c r="U6992" s="41">
        <v>0</v>
      </c>
      <c r="V6992" s="42" t="s">
        <v>113</v>
      </c>
      <c r="W6992" s="42">
        <v>0</v>
      </c>
      <c r="X6992" s="42">
        <v>0</v>
      </c>
    </row>
    <row r="6993" spans="1:24">
      <c r="A6993" s="27" t="s">
        <v>12722</v>
      </c>
      <c r="B6993" s="28" t="s">
        <v>12240</v>
      </c>
      <c r="C6993" s="27" t="s">
        <v>12245</v>
      </c>
      <c r="D6993" s="27" t="s">
        <v>5104</v>
      </c>
      <c r="E6993" s="29">
        <v>39417</v>
      </c>
      <c r="F6993" s="27">
        <v>15</v>
      </c>
      <c r="G6993" s="18">
        <v>32160.46</v>
      </c>
      <c r="H6993" s="27">
        <f t="shared" si="218"/>
        <v>0</v>
      </c>
      <c r="I6993" s="18">
        <v>27429.63</v>
      </c>
      <c r="J6993" s="27">
        <v>32160.46</v>
      </c>
      <c r="K6993" s="18">
        <f t="shared" si="219"/>
        <v>0</v>
      </c>
      <c r="L6993" s="27">
        <v>28210.33</v>
      </c>
      <c r="M6993" s="36">
        <v>780.7</v>
      </c>
      <c r="T6993" s="41">
        <v>0</v>
      </c>
      <c r="U6993" s="41">
        <v>0</v>
      </c>
      <c r="V6993" s="42" t="s">
        <v>113</v>
      </c>
      <c r="W6993" s="42">
        <v>0</v>
      </c>
      <c r="X6993" s="42">
        <v>0</v>
      </c>
    </row>
    <row r="6994" spans="1:24">
      <c r="A6994" s="27" t="s">
        <v>12723</v>
      </c>
      <c r="B6994" s="28" t="s">
        <v>12240</v>
      </c>
      <c r="C6994" s="27" t="s">
        <v>12245</v>
      </c>
      <c r="D6994" s="27" t="s">
        <v>5104</v>
      </c>
      <c r="E6994" s="29">
        <v>37226</v>
      </c>
      <c r="F6994" s="27">
        <v>15</v>
      </c>
      <c r="G6994" s="18">
        <v>14563.2</v>
      </c>
      <c r="H6994" s="27">
        <f t="shared" si="218"/>
        <v>14563.2</v>
      </c>
      <c r="I6994" s="18">
        <v>13835.04</v>
      </c>
      <c r="J6994" s="27">
        <v>14563.2</v>
      </c>
      <c r="K6994" s="18">
        <f t="shared" si="219"/>
        <v>14563.2</v>
      </c>
      <c r="L6994" s="27">
        <v>13835.04</v>
      </c>
      <c r="M6994" s="36">
        <v>0</v>
      </c>
      <c r="T6994" s="41">
        <v>0</v>
      </c>
      <c r="U6994" s="41">
        <v>0</v>
      </c>
      <c r="V6994" s="42" t="s">
        <v>113</v>
      </c>
      <c r="W6994" s="42">
        <v>14563.2</v>
      </c>
      <c r="X6994" s="42">
        <v>14563.2</v>
      </c>
    </row>
    <row r="6995" spans="1:24">
      <c r="A6995" s="27" t="s">
        <v>12724</v>
      </c>
      <c r="B6995" s="28" t="s">
        <v>12240</v>
      </c>
      <c r="C6995" s="27" t="s">
        <v>12245</v>
      </c>
      <c r="D6995" s="27" t="s">
        <v>5104</v>
      </c>
      <c r="E6995" s="29">
        <v>37226</v>
      </c>
      <c r="F6995" s="27">
        <v>15</v>
      </c>
      <c r="G6995" s="18">
        <v>20182.59</v>
      </c>
      <c r="H6995" s="27">
        <f t="shared" si="218"/>
        <v>20182.59</v>
      </c>
      <c r="I6995" s="18">
        <v>19173.46</v>
      </c>
      <c r="J6995" s="27">
        <v>20182.59</v>
      </c>
      <c r="K6995" s="18">
        <f t="shared" si="219"/>
        <v>20182.59</v>
      </c>
      <c r="L6995" s="27">
        <v>19173.46</v>
      </c>
      <c r="M6995" s="36">
        <v>0</v>
      </c>
      <c r="T6995" s="41">
        <v>0</v>
      </c>
      <c r="U6995" s="41">
        <v>0</v>
      </c>
      <c r="V6995" s="42" t="s">
        <v>113</v>
      </c>
      <c r="W6995" s="42">
        <v>20182.59</v>
      </c>
      <c r="X6995" s="42">
        <v>20182.59</v>
      </c>
    </row>
    <row r="6996" spans="1:24">
      <c r="A6996" s="27" t="s">
        <v>12725</v>
      </c>
      <c r="B6996" s="28" t="s">
        <v>12240</v>
      </c>
      <c r="C6996" s="27" t="s">
        <v>12245</v>
      </c>
      <c r="D6996" s="27" t="s">
        <v>5104</v>
      </c>
      <c r="E6996" s="29">
        <v>37226</v>
      </c>
      <c r="F6996" s="27">
        <v>15</v>
      </c>
      <c r="G6996" s="18">
        <v>83347.759999999995</v>
      </c>
      <c r="H6996" s="27">
        <f t="shared" si="218"/>
        <v>83347.759999999995</v>
      </c>
      <c r="I6996" s="18">
        <v>79180.37</v>
      </c>
      <c r="J6996" s="27">
        <v>83347.759999999995</v>
      </c>
      <c r="K6996" s="18">
        <f t="shared" si="219"/>
        <v>83347.759999999995</v>
      </c>
      <c r="L6996" s="27">
        <v>79180.37</v>
      </c>
      <c r="M6996" s="36">
        <v>0</v>
      </c>
      <c r="T6996" s="41">
        <v>0</v>
      </c>
      <c r="U6996" s="41">
        <v>0</v>
      </c>
      <c r="V6996" s="42" t="s">
        <v>113</v>
      </c>
      <c r="W6996" s="42">
        <v>83347.759999999995</v>
      </c>
      <c r="X6996" s="42">
        <v>83347.759999999995</v>
      </c>
    </row>
    <row r="6997" spans="1:24">
      <c r="A6997" s="27" t="s">
        <v>12726</v>
      </c>
      <c r="B6997" s="28" t="s">
        <v>12240</v>
      </c>
      <c r="C6997" s="27" t="s">
        <v>12245</v>
      </c>
      <c r="D6997" s="27" t="s">
        <v>5104</v>
      </c>
      <c r="E6997" s="29">
        <v>37226</v>
      </c>
      <c r="F6997" s="27">
        <v>15</v>
      </c>
      <c r="G6997" s="18">
        <v>41312.78</v>
      </c>
      <c r="H6997" s="27">
        <f t="shared" si="218"/>
        <v>41312.78</v>
      </c>
      <c r="I6997" s="18">
        <v>39247.14</v>
      </c>
      <c r="J6997" s="27">
        <v>41312.78</v>
      </c>
      <c r="K6997" s="18">
        <f t="shared" si="219"/>
        <v>41312.78</v>
      </c>
      <c r="L6997" s="27">
        <v>39247.14</v>
      </c>
      <c r="M6997" s="36">
        <v>0</v>
      </c>
      <c r="T6997" s="41">
        <v>0</v>
      </c>
      <c r="U6997" s="41">
        <v>0</v>
      </c>
      <c r="V6997" s="42" t="s">
        <v>113</v>
      </c>
      <c r="W6997" s="42">
        <v>41312.78</v>
      </c>
      <c r="X6997" s="42">
        <v>41312.78</v>
      </c>
    </row>
    <row r="6998" spans="1:24">
      <c r="A6998" s="27" t="s">
        <v>12727</v>
      </c>
      <c r="B6998" s="28" t="s">
        <v>12240</v>
      </c>
      <c r="C6998" s="27" t="s">
        <v>12245</v>
      </c>
      <c r="D6998" s="27" t="s">
        <v>5104</v>
      </c>
      <c r="E6998" s="29">
        <v>37226</v>
      </c>
      <c r="F6998" s="27">
        <v>15</v>
      </c>
      <c r="G6998" s="18">
        <v>164795.17000000001</v>
      </c>
      <c r="H6998" s="27">
        <f t="shared" si="218"/>
        <v>164795.17000000001</v>
      </c>
      <c r="I6998" s="18">
        <v>156555.41</v>
      </c>
      <c r="J6998" s="27">
        <v>164795.17000000001</v>
      </c>
      <c r="K6998" s="18">
        <f t="shared" si="219"/>
        <v>164795.17000000001</v>
      </c>
      <c r="L6998" s="27">
        <v>156555.41</v>
      </c>
      <c r="M6998" s="36">
        <v>0</v>
      </c>
      <c r="T6998" s="41">
        <v>0</v>
      </c>
      <c r="U6998" s="41">
        <v>0</v>
      </c>
      <c r="V6998" s="42" t="s">
        <v>113</v>
      </c>
      <c r="W6998" s="42">
        <v>164795.17000000001</v>
      </c>
      <c r="X6998" s="42">
        <v>164795.17000000001</v>
      </c>
    </row>
    <row r="6999" spans="1:24">
      <c r="A6999" s="27" t="s">
        <v>12728</v>
      </c>
      <c r="B6999" s="28" t="s">
        <v>12240</v>
      </c>
      <c r="C6999" s="27" t="s">
        <v>12245</v>
      </c>
      <c r="D6999" s="27" t="s">
        <v>5104</v>
      </c>
      <c r="E6999" s="29">
        <v>37226</v>
      </c>
      <c r="F6999" s="27">
        <v>15</v>
      </c>
      <c r="G6999" s="18">
        <v>42341.91</v>
      </c>
      <c r="H6999" s="27">
        <f t="shared" si="218"/>
        <v>42341.91</v>
      </c>
      <c r="I6999" s="18">
        <v>40224.81</v>
      </c>
      <c r="J6999" s="27">
        <v>42341.91</v>
      </c>
      <c r="K6999" s="18">
        <f t="shared" si="219"/>
        <v>42341.91</v>
      </c>
      <c r="L6999" s="27">
        <v>40224.81</v>
      </c>
      <c r="M6999" s="36">
        <v>0</v>
      </c>
      <c r="T6999" s="41">
        <v>0</v>
      </c>
      <c r="U6999" s="41">
        <v>0</v>
      </c>
      <c r="V6999" s="42" t="s">
        <v>113</v>
      </c>
      <c r="W6999" s="42">
        <v>42341.91</v>
      </c>
      <c r="X6999" s="42">
        <v>42341.91</v>
      </c>
    </row>
    <row r="7000" spans="1:24">
      <c r="A7000" s="27" t="s">
        <v>12729</v>
      </c>
      <c r="B7000" s="28" t="s">
        <v>12240</v>
      </c>
      <c r="C7000" s="27" t="s">
        <v>12245</v>
      </c>
      <c r="D7000" s="27" t="s">
        <v>5104</v>
      </c>
      <c r="E7000" s="29">
        <v>37226</v>
      </c>
      <c r="F7000" s="27">
        <v>15</v>
      </c>
      <c r="G7000" s="18">
        <v>28495.05</v>
      </c>
      <c r="H7000" s="27">
        <f t="shared" si="218"/>
        <v>28495.05</v>
      </c>
      <c r="I7000" s="18">
        <v>27070.3</v>
      </c>
      <c r="J7000" s="27">
        <v>28495.05</v>
      </c>
      <c r="K7000" s="18">
        <f t="shared" si="219"/>
        <v>28495.05</v>
      </c>
      <c r="L7000" s="27">
        <v>27070.3</v>
      </c>
      <c r="M7000" s="36">
        <v>0</v>
      </c>
      <c r="T7000" s="41">
        <v>0</v>
      </c>
      <c r="U7000" s="41">
        <v>0</v>
      </c>
      <c r="V7000" s="42" t="s">
        <v>113</v>
      </c>
      <c r="W7000" s="42">
        <v>28495.05</v>
      </c>
      <c r="X7000" s="42">
        <v>28495.05</v>
      </c>
    </row>
    <row r="7001" spans="1:24">
      <c r="A7001" s="27" t="s">
        <v>12730</v>
      </c>
      <c r="B7001" s="28" t="s">
        <v>12240</v>
      </c>
      <c r="C7001" s="27" t="s">
        <v>12245</v>
      </c>
      <c r="D7001" s="27" t="s">
        <v>5104</v>
      </c>
      <c r="E7001" s="29">
        <v>37226</v>
      </c>
      <c r="F7001" s="27">
        <v>15</v>
      </c>
      <c r="G7001" s="18">
        <v>33286.75</v>
      </c>
      <c r="H7001" s="27">
        <f t="shared" si="218"/>
        <v>33286.75</v>
      </c>
      <c r="I7001" s="18">
        <v>31622.41</v>
      </c>
      <c r="J7001" s="27">
        <v>33286.75</v>
      </c>
      <c r="K7001" s="18">
        <f t="shared" si="219"/>
        <v>33286.75</v>
      </c>
      <c r="L7001" s="27">
        <v>31622.41</v>
      </c>
      <c r="M7001" s="36">
        <v>0</v>
      </c>
      <c r="T7001" s="41">
        <v>0</v>
      </c>
      <c r="U7001" s="41">
        <v>0</v>
      </c>
      <c r="V7001" s="42" t="s">
        <v>113</v>
      </c>
      <c r="W7001" s="42">
        <v>33286.75</v>
      </c>
      <c r="X7001" s="42">
        <v>33286.75</v>
      </c>
    </row>
    <row r="7002" spans="1:24">
      <c r="A7002" s="27" t="s">
        <v>12731</v>
      </c>
      <c r="B7002" s="28" t="s">
        <v>12240</v>
      </c>
      <c r="C7002" s="27" t="s">
        <v>12245</v>
      </c>
      <c r="D7002" s="27" t="s">
        <v>5104</v>
      </c>
      <c r="E7002" s="29">
        <v>39417</v>
      </c>
      <c r="F7002" s="27">
        <v>15</v>
      </c>
      <c r="G7002" s="18">
        <v>32811.86</v>
      </c>
      <c r="H7002" s="27">
        <f t="shared" si="218"/>
        <v>0</v>
      </c>
      <c r="I7002" s="18">
        <v>28317.27</v>
      </c>
      <c r="J7002" s="27">
        <v>32811.86</v>
      </c>
      <c r="K7002" s="18">
        <f t="shared" si="219"/>
        <v>0</v>
      </c>
      <c r="L7002" s="27">
        <v>29030.77</v>
      </c>
      <c r="M7002" s="36">
        <v>713.5</v>
      </c>
      <c r="T7002" s="41">
        <v>0</v>
      </c>
      <c r="U7002" s="41">
        <v>0</v>
      </c>
      <c r="V7002" s="42" t="s">
        <v>113</v>
      </c>
      <c r="W7002" s="42">
        <v>0</v>
      </c>
      <c r="X7002" s="42">
        <v>0</v>
      </c>
    </row>
    <row r="7003" spans="1:24">
      <c r="A7003" s="27" t="s">
        <v>12732</v>
      </c>
      <c r="B7003" s="28" t="s">
        <v>12240</v>
      </c>
      <c r="C7003" s="27" t="s">
        <v>12245</v>
      </c>
      <c r="D7003" s="27" t="s">
        <v>5104</v>
      </c>
      <c r="E7003" s="29">
        <v>37226</v>
      </c>
      <c r="F7003" s="27">
        <v>15</v>
      </c>
      <c r="G7003" s="18">
        <v>14691.23</v>
      </c>
      <c r="H7003" s="27">
        <f t="shared" si="218"/>
        <v>14691.23</v>
      </c>
      <c r="I7003" s="18">
        <v>13956.67</v>
      </c>
      <c r="J7003" s="27">
        <v>14691.23</v>
      </c>
      <c r="K7003" s="18">
        <f t="shared" si="219"/>
        <v>14691.23</v>
      </c>
      <c r="L7003" s="27">
        <v>13956.67</v>
      </c>
      <c r="M7003" s="36">
        <v>0</v>
      </c>
      <c r="T7003" s="41">
        <v>0</v>
      </c>
      <c r="U7003" s="41">
        <v>0</v>
      </c>
      <c r="V7003" s="42" t="s">
        <v>113</v>
      </c>
      <c r="W7003" s="42">
        <v>14691.23</v>
      </c>
      <c r="X7003" s="42">
        <v>14691.23</v>
      </c>
    </row>
    <row r="7004" spans="1:24">
      <c r="A7004" s="27" t="s">
        <v>12733</v>
      </c>
      <c r="B7004" s="28" t="s">
        <v>12240</v>
      </c>
      <c r="C7004" s="27" t="s">
        <v>12245</v>
      </c>
      <c r="D7004" s="27" t="s">
        <v>5104</v>
      </c>
      <c r="E7004" s="29">
        <v>38078</v>
      </c>
      <c r="F7004" s="27">
        <v>15</v>
      </c>
      <c r="G7004" s="18">
        <v>15023.46</v>
      </c>
      <c r="H7004" s="27">
        <f t="shared" si="218"/>
        <v>15023.46</v>
      </c>
      <c r="I7004" s="18">
        <v>14272.29</v>
      </c>
      <c r="J7004" s="27">
        <v>15023.46</v>
      </c>
      <c r="K7004" s="18">
        <f t="shared" si="219"/>
        <v>15023.46</v>
      </c>
      <c r="L7004" s="27">
        <v>14272.29</v>
      </c>
      <c r="M7004" s="36">
        <v>0</v>
      </c>
      <c r="T7004" s="41">
        <v>0</v>
      </c>
      <c r="U7004" s="41">
        <v>0</v>
      </c>
      <c r="V7004" s="42" t="s">
        <v>113</v>
      </c>
      <c r="W7004" s="42">
        <v>15023.46</v>
      </c>
      <c r="X7004" s="42">
        <v>15023.46</v>
      </c>
    </row>
    <row r="7005" spans="1:24">
      <c r="A7005" s="27" t="s">
        <v>12734</v>
      </c>
      <c r="B7005" s="28" t="s">
        <v>12240</v>
      </c>
      <c r="C7005" s="27" t="s">
        <v>12245</v>
      </c>
      <c r="D7005" s="27" t="s">
        <v>5104</v>
      </c>
      <c r="E7005" s="29">
        <v>38078</v>
      </c>
      <c r="F7005" s="27">
        <v>15</v>
      </c>
      <c r="G7005" s="18">
        <v>23344.51</v>
      </c>
      <c r="H7005" s="27">
        <f t="shared" si="218"/>
        <v>23344.51</v>
      </c>
      <c r="I7005" s="18">
        <v>22177.279999999999</v>
      </c>
      <c r="J7005" s="27">
        <v>23344.51</v>
      </c>
      <c r="K7005" s="18">
        <f t="shared" si="219"/>
        <v>23344.51</v>
      </c>
      <c r="L7005" s="27">
        <v>22177.279999999999</v>
      </c>
      <c r="M7005" s="36">
        <v>0</v>
      </c>
      <c r="T7005" s="41">
        <v>0</v>
      </c>
      <c r="U7005" s="41">
        <v>0</v>
      </c>
      <c r="V7005" s="42" t="s">
        <v>113</v>
      </c>
      <c r="W7005" s="42">
        <v>23344.51</v>
      </c>
      <c r="X7005" s="42">
        <v>23344.51</v>
      </c>
    </row>
    <row r="7006" spans="1:24">
      <c r="A7006" s="27" t="s">
        <v>12735</v>
      </c>
      <c r="B7006" s="28" t="s">
        <v>12240</v>
      </c>
      <c r="C7006" s="27" t="s">
        <v>12245</v>
      </c>
      <c r="D7006" s="27" t="s">
        <v>5104</v>
      </c>
      <c r="E7006" s="29">
        <v>37226</v>
      </c>
      <c r="F7006" s="27">
        <v>15</v>
      </c>
      <c r="G7006" s="18">
        <v>27663.78</v>
      </c>
      <c r="H7006" s="27">
        <f t="shared" si="218"/>
        <v>27663.78</v>
      </c>
      <c r="I7006" s="18">
        <v>26280.59</v>
      </c>
      <c r="J7006" s="27">
        <v>27663.78</v>
      </c>
      <c r="K7006" s="18">
        <f t="shared" si="219"/>
        <v>27663.78</v>
      </c>
      <c r="L7006" s="27">
        <v>26280.59</v>
      </c>
      <c r="M7006" s="36">
        <v>0</v>
      </c>
      <c r="T7006" s="41">
        <v>0</v>
      </c>
      <c r="U7006" s="41">
        <v>0</v>
      </c>
      <c r="V7006" s="42" t="s">
        <v>113</v>
      </c>
      <c r="W7006" s="42">
        <v>27663.78</v>
      </c>
      <c r="X7006" s="42">
        <v>27663.78</v>
      </c>
    </row>
    <row r="7007" spans="1:24">
      <c r="A7007" s="27" t="s">
        <v>12736</v>
      </c>
      <c r="B7007" s="28" t="s">
        <v>12240</v>
      </c>
      <c r="C7007" s="27" t="s">
        <v>12243</v>
      </c>
      <c r="D7007" s="27" t="s">
        <v>230</v>
      </c>
      <c r="E7007" s="29">
        <v>37226</v>
      </c>
      <c r="F7007" s="27">
        <v>15</v>
      </c>
      <c r="G7007" s="18">
        <v>25405.66</v>
      </c>
      <c r="H7007" s="27">
        <f t="shared" si="218"/>
        <v>25405.66</v>
      </c>
      <c r="I7007" s="18">
        <v>24135.38</v>
      </c>
      <c r="J7007" s="27">
        <v>25405.66</v>
      </c>
      <c r="K7007" s="18">
        <f t="shared" si="219"/>
        <v>25405.66</v>
      </c>
      <c r="L7007" s="27">
        <v>24135.38</v>
      </c>
      <c r="M7007" s="36">
        <v>0</v>
      </c>
      <c r="T7007" s="41">
        <v>0</v>
      </c>
      <c r="U7007" s="41">
        <v>0</v>
      </c>
      <c r="V7007" s="42" t="s">
        <v>113</v>
      </c>
      <c r="W7007" s="42">
        <v>25405.66</v>
      </c>
      <c r="X7007" s="42">
        <v>25405.66</v>
      </c>
    </row>
    <row r="7008" spans="1:24">
      <c r="A7008" s="27" t="s">
        <v>12737</v>
      </c>
      <c r="B7008" s="28" t="s">
        <v>12240</v>
      </c>
      <c r="C7008" s="27" t="s">
        <v>12738</v>
      </c>
      <c r="D7008" s="27" t="s">
        <v>230</v>
      </c>
      <c r="E7008" s="29">
        <v>36495</v>
      </c>
      <c r="F7008" s="27">
        <v>15</v>
      </c>
      <c r="G7008" s="18">
        <v>6031.97</v>
      </c>
      <c r="H7008" s="27">
        <f t="shared" si="218"/>
        <v>6031.97</v>
      </c>
      <c r="I7008" s="18">
        <v>5730.37</v>
      </c>
      <c r="J7008" s="27">
        <v>6031.97</v>
      </c>
      <c r="K7008" s="18">
        <f t="shared" si="219"/>
        <v>6031.97</v>
      </c>
      <c r="L7008" s="27">
        <v>5730.37</v>
      </c>
      <c r="M7008" s="36">
        <v>0</v>
      </c>
      <c r="T7008" s="41">
        <v>0</v>
      </c>
      <c r="U7008" s="41">
        <v>0</v>
      </c>
      <c r="V7008" s="42" t="s">
        <v>113</v>
      </c>
      <c r="W7008" s="42">
        <v>6031.97</v>
      </c>
      <c r="X7008" s="42">
        <v>6031.97</v>
      </c>
    </row>
    <row r="7009" spans="1:24">
      <c r="A7009" s="27" t="s">
        <v>12739</v>
      </c>
      <c r="B7009" s="28" t="s">
        <v>12240</v>
      </c>
      <c r="C7009" s="27" t="s">
        <v>12740</v>
      </c>
      <c r="D7009" s="27" t="s">
        <v>5104</v>
      </c>
      <c r="E7009" s="29">
        <v>38443</v>
      </c>
      <c r="F7009" s="27">
        <v>15</v>
      </c>
      <c r="G7009" s="18">
        <v>14609.81</v>
      </c>
      <c r="H7009" s="27">
        <f t="shared" si="218"/>
        <v>14609.81</v>
      </c>
      <c r="I7009" s="18">
        <v>13879.32</v>
      </c>
      <c r="J7009" s="27">
        <v>14609.81</v>
      </c>
      <c r="K7009" s="18">
        <f t="shared" si="219"/>
        <v>14609.81</v>
      </c>
      <c r="L7009" s="27">
        <v>13879.32</v>
      </c>
      <c r="M7009" s="36">
        <v>0</v>
      </c>
      <c r="T7009" s="41">
        <v>0</v>
      </c>
      <c r="U7009" s="41">
        <v>0</v>
      </c>
      <c r="V7009" s="42" t="s">
        <v>113</v>
      </c>
      <c r="W7009" s="42">
        <v>14609.81</v>
      </c>
      <c r="X7009" s="42">
        <v>14609.81</v>
      </c>
    </row>
    <row r="7010" spans="1:24">
      <c r="A7010" s="27" t="s">
        <v>12741</v>
      </c>
      <c r="B7010" s="28" t="s">
        <v>12240</v>
      </c>
      <c r="C7010" s="27" t="s">
        <v>12245</v>
      </c>
      <c r="D7010" s="27" t="s">
        <v>5104</v>
      </c>
      <c r="E7010" s="29">
        <v>36495</v>
      </c>
      <c r="F7010" s="27">
        <v>15</v>
      </c>
      <c r="G7010" s="18">
        <v>6031.97</v>
      </c>
      <c r="H7010" s="27">
        <f t="shared" si="218"/>
        <v>6031.97</v>
      </c>
      <c r="I7010" s="18">
        <v>5730.37</v>
      </c>
      <c r="J7010" s="27">
        <v>6031.97</v>
      </c>
      <c r="K7010" s="18">
        <f t="shared" si="219"/>
        <v>6031.97</v>
      </c>
      <c r="L7010" s="27">
        <v>5730.37</v>
      </c>
      <c r="M7010" s="36">
        <v>0</v>
      </c>
      <c r="T7010" s="41">
        <v>0</v>
      </c>
      <c r="U7010" s="41">
        <v>0</v>
      </c>
      <c r="V7010" s="42" t="s">
        <v>113</v>
      </c>
      <c r="W7010" s="42">
        <v>6031.97</v>
      </c>
      <c r="X7010" s="42">
        <v>6031.97</v>
      </c>
    </row>
    <row r="7011" spans="1:24">
      <c r="A7011" s="27" t="s">
        <v>12742</v>
      </c>
      <c r="B7011" s="28" t="s">
        <v>12240</v>
      </c>
      <c r="C7011" s="27" t="s">
        <v>12245</v>
      </c>
      <c r="D7011" s="27" t="s">
        <v>5104</v>
      </c>
      <c r="E7011" s="29">
        <v>38078</v>
      </c>
      <c r="F7011" s="27">
        <v>15</v>
      </c>
      <c r="G7011" s="18">
        <v>18741.13</v>
      </c>
      <c r="H7011" s="27">
        <f t="shared" si="218"/>
        <v>18741.13</v>
      </c>
      <c r="I7011" s="18">
        <v>17804.07</v>
      </c>
      <c r="J7011" s="27">
        <v>18741.13</v>
      </c>
      <c r="K7011" s="18">
        <f t="shared" si="219"/>
        <v>18741.13</v>
      </c>
      <c r="L7011" s="27">
        <v>17804.07</v>
      </c>
      <c r="M7011" s="36">
        <v>0</v>
      </c>
      <c r="T7011" s="41">
        <v>0</v>
      </c>
      <c r="U7011" s="41">
        <v>0</v>
      </c>
      <c r="V7011" s="42" t="s">
        <v>113</v>
      </c>
      <c r="W7011" s="42">
        <v>18741.13</v>
      </c>
      <c r="X7011" s="42">
        <v>18741.13</v>
      </c>
    </row>
    <row r="7012" spans="1:24">
      <c r="A7012" s="27" t="s">
        <v>12743</v>
      </c>
      <c r="B7012" s="28" t="s">
        <v>12240</v>
      </c>
      <c r="C7012" s="27" t="s">
        <v>12744</v>
      </c>
      <c r="D7012" s="27" t="s">
        <v>230</v>
      </c>
      <c r="E7012" s="29">
        <v>39417</v>
      </c>
      <c r="F7012" s="27">
        <v>15</v>
      </c>
      <c r="G7012" s="18">
        <v>36118.25</v>
      </c>
      <c r="H7012" s="27">
        <f t="shared" si="218"/>
        <v>0</v>
      </c>
      <c r="I7012" s="18">
        <v>30805.23</v>
      </c>
      <c r="J7012" s="27">
        <v>36118.25</v>
      </c>
      <c r="K7012" s="18">
        <f t="shared" si="219"/>
        <v>0</v>
      </c>
      <c r="L7012" s="27">
        <v>31682.01</v>
      </c>
      <c r="M7012" s="36">
        <v>876.78</v>
      </c>
      <c r="T7012" s="41">
        <v>0</v>
      </c>
      <c r="U7012" s="41">
        <v>0</v>
      </c>
      <c r="V7012" s="42" t="s">
        <v>113</v>
      </c>
      <c r="W7012" s="42">
        <v>0</v>
      </c>
      <c r="X7012" s="42">
        <v>0</v>
      </c>
    </row>
    <row r="7013" spans="1:24">
      <c r="A7013" s="27" t="s">
        <v>12745</v>
      </c>
      <c r="B7013" s="28" t="s">
        <v>12240</v>
      </c>
      <c r="C7013" s="27" t="s">
        <v>12746</v>
      </c>
      <c r="D7013" s="27" t="s">
        <v>230</v>
      </c>
      <c r="E7013" s="29">
        <v>38078</v>
      </c>
      <c r="F7013" s="27">
        <v>15</v>
      </c>
      <c r="G7013" s="18">
        <v>22595.22</v>
      </c>
      <c r="H7013" s="27">
        <f t="shared" si="218"/>
        <v>22595.22</v>
      </c>
      <c r="I7013" s="18">
        <v>21465.46</v>
      </c>
      <c r="J7013" s="27">
        <v>22595.22</v>
      </c>
      <c r="K7013" s="18">
        <f t="shared" si="219"/>
        <v>22595.22</v>
      </c>
      <c r="L7013" s="27">
        <v>21465.46</v>
      </c>
      <c r="M7013" s="36">
        <v>0</v>
      </c>
      <c r="T7013" s="41">
        <v>0</v>
      </c>
      <c r="U7013" s="41">
        <v>0</v>
      </c>
      <c r="V7013" s="42" t="s">
        <v>113</v>
      </c>
      <c r="W7013" s="42">
        <v>22595.22</v>
      </c>
      <c r="X7013" s="42">
        <v>22595.22</v>
      </c>
    </row>
    <row r="7014" spans="1:24">
      <c r="A7014" s="27" t="s">
        <v>12747</v>
      </c>
      <c r="B7014" s="28" t="s">
        <v>12240</v>
      </c>
      <c r="C7014" s="27" t="s">
        <v>12245</v>
      </c>
      <c r="D7014" s="27" t="s">
        <v>5104</v>
      </c>
      <c r="E7014" s="29">
        <v>38078</v>
      </c>
      <c r="F7014" s="27">
        <v>15</v>
      </c>
      <c r="G7014" s="18">
        <v>16591.849999999999</v>
      </c>
      <c r="H7014" s="27">
        <f t="shared" si="218"/>
        <v>16591.849999999999</v>
      </c>
      <c r="I7014" s="18">
        <v>15762.26</v>
      </c>
      <c r="J7014" s="27">
        <v>16591.849999999999</v>
      </c>
      <c r="K7014" s="18">
        <f t="shared" si="219"/>
        <v>16591.849999999999</v>
      </c>
      <c r="L7014" s="27">
        <v>15762.26</v>
      </c>
      <c r="M7014" s="36">
        <v>0</v>
      </c>
      <c r="T7014" s="41">
        <v>0</v>
      </c>
      <c r="U7014" s="41">
        <v>0</v>
      </c>
      <c r="V7014" s="42" t="s">
        <v>113</v>
      </c>
      <c r="W7014" s="42">
        <v>16591.849999999999</v>
      </c>
      <c r="X7014" s="42">
        <v>16591.849999999999</v>
      </c>
    </row>
    <row r="7015" spans="1:24">
      <c r="A7015" s="27" t="s">
        <v>12748</v>
      </c>
      <c r="B7015" s="28" t="s">
        <v>12240</v>
      </c>
      <c r="C7015" s="27" t="s">
        <v>12245</v>
      </c>
      <c r="D7015" s="27" t="s">
        <v>5104</v>
      </c>
      <c r="E7015" s="29">
        <v>38078</v>
      </c>
      <c r="F7015" s="27">
        <v>15</v>
      </c>
      <c r="G7015" s="18">
        <v>15932.84</v>
      </c>
      <c r="H7015" s="27">
        <f t="shared" si="218"/>
        <v>15932.84</v>
      </c>
      <c r="I7015" s="18">
        <v>15136.2</v>
      </c>
      <c r="J7015" s="27">
        <v>15932.84</v>
      </c>
      <c r="K7015" s="18">
        <f t="shared" si="219"/>
        <v>15932.84</v>
      </c>
      <c r="L7015" s="27">
        <v>15136.2</v>
      </c>
      <c r="M7015" s="36">
        <v>0</v>
      </c>
      <c r="T7015" s="41">
        <v>0</v>
      </c>
      <c r="U7015" s="41">
        <v>0</v>
      </c>
      <c r="V7015" s="42" t="s">
        <v>113</v>
      </c>
      <c r="W7015" s="42">
        <v>15932.84</v>
      </c>
      <c r="X7015" s="42">
        <v>15932.84</v>
      </c>
    </row>
    <row r="7016" spans="1:24">
      <c r="A7016" s="27" t="s">
        <v>12749</v>
      </c>
      <c r="B7016" s="28" t="s">
        <v>12240</v>
      </c>
      <c r="C7016" s="27" t="s">
        <v>12245</v>
      </c>
      <c r="D7016" s="27" t="s">
        <v>5104</v>
      </c>
      <c r="E7016" s="29">
        <v>38078</v>
      </c>
      <c r="F7016" s="27">
        <v>15</v>
      </c>
      <c r="G7016" s="18">
        <v>14284.38</v>
      </c>
      <c r="H7016" s="27">
        <f t="shared" si="218"/>
        <v>14284.38</v>
      </c>
      <c r="I7016" s="18">
        <v>13570.16</v>
      </c>
      <c r="J7016" s="27">
        <v>14284.38</v>
      </c>
      <c r="K7016" s="18">
        <f t="shared" si="219"/>
        <v>14284.38</v>
      </c>
      <c r="L7016" s="27">
        <v>13570.16</v>
      </c>
      <c r="M7016" s="36">
        <v>0</v>
      </c>
      <c r="T7016" s="41">
        <v>0</v>
      </c>
      <c r="U7016" s="41">
        <v>0</v>
      </c>
      <c r="V7016" s="42" t="s">
        <v>113</v>
      </c>
      <c r="W7016" s="42">
        <v>14284.38</v>
      </c>
      <c r="X7016" s="42">
        <v>14284.38</v>
      </c>
    </row>
    <row r="7017" spans="1:24">
      <c r="A7017" s="27" t="s">
        <v>12750</v>
      </c>
      <c r="B7017" s="28" t="s">
        <v>12240</v>
      </c>
      <c r="C7017" s="27" t="s">
        <v>12245</v>
      </c>
      <c r="D7017" s="27" t="s">
        <v>5104</v>
      </c>
      <c r="E7017" s="29">
        <v>38078</v>
      </c>
      <c r="F7017" s="27">
        <v>15</v>
      </c>
      <c r="G7017" s="18">
        <v>15916.41</v>
      </c>
      <c r="H7017" s="27">
        <f t="shared" si="218"/>
        <v>15916.41</v>
      </c>
      <c r="I7017" s="18">
        <v>15120.59</v>
      </c>
      <c r="J7017" s="27">
        <v>15916.41</v>
      </c>
      <c r="K7017" s="18">
        <f t="shared" si="219"/>
        <v>15916.41</v>
      </c>
      <c r="L7017" s="27">
        <v>15120.59</v>
      </c>
      <c r="M7017" s="36">
        <v>0</v>
      </c>
      <c r="T7017" s="41">
        <v>0</v>
      </c>
      <c r="U7017" s="41">
        <v>0</v>
      </c>
      <c r="V7017" s="42" t="s">
        <v>113</v>
      </c>
      <c r="W7017" s="42">
        <v>15916.41</v>
      </c>
      <c r="X7017" s="42">
        <v>15916.41</v>
      </c>
    </row>
    <row r="7018" spans="1:24">
      <c r="A7018" s="27" t="s">
        <v>12751</v>
      </c>
      <c r="B7018" s="28" t="s">
        <v>12240</v>
      </c>
      <c r="C7018" s="27" t="s">
        <v>12245</v>
      </c>
      <c r="D7018" s="27" t="s">
        <v>5104</v>
      </c>
      <c r="E7018" s="29">
        <v>38078</v>
      </c>
      <c r="F7018" s="27">
        <v>15</v>
      </c>
      <c r="G7018" s="18">
        <v>15871.92</v>
      </c>
      <c r="H7018" s="27">
        <f t="shared" si="218"/>
        <v>15871.92</v>
      </c>
      <c r="I7018" s="18">
        <v>15078.32</v>
      </c>
      <c r="J7018" s="27">
        <v>15871.92</v>
      </c>
      <c r="K7018" s="18">
        <f t="shared" si="219"/>
        <v>15871.92</v>
      </c>
      <c r="L7018" s="27">
        <v>15078.32</v>
      </c>
      <c r="M7018" s="36">
        <v>0</v>
      </c>
      <c r="T7018" s="41">
        <v>0</v>
      </c>
      <c r="U7018" s="41">
        <v>0</v>
      </c>
      <c r="V7018" s="42" t="s">
        <v>113</v>
      </c>
      <c r="W7018" s="42">
        <v>15871.92</v>
      </c>
      <c r="X7018" s="42">
        <v>15871.92</v>
      </c>
    </row>
    <row r="7019" spans="1:24">
      <c r="A7019" s="27" t="s">
        <v>12752</v>
      </c>
      <c r="B7019" s="28" t="s">
        <v>12240</v>
      </c>
      <c r="C7019" s="27" t="s">
        <v>12245</v>
      </c>
      <c r="D7019" s="27" t="s">
        <v>5104</v>
      </c>
      <c r="E7019" s="29">
        <v>38078</v>
      </c>
      <c r="F7019" s="27">
        <v>15</v>
      </c>
      <c r="G7019" s="18">
        <v>15932.84</v>
      </c>
      <c r="H7019" s="27">
        <f t="shared" si="218"/>
        <v>15932.84</v>
      </c>
      <c r="I7019" s="18">
        <v>15136.2</v>
      </c>
      <c r="J7019" s="27">
        <v>15932.84</v>
      </c>
      <c r="K7019" s="18">
        <f t="shared" si="219"/>
        <v>15932.84</v>
      </c>
      <c r="L7019" s="27">
        <v>15136.2</v>
      </c>
      <c r="M7019" s="36">
        <v>0</v>
      </c>
      <c r="T7019" s="41">
        <v>0</v>
      </c>
      <c r="U7019" s="41">
        <v>0</v>
      </c>
      <c r="V7019" s="42" t="s">
        <v>113</v>
      </c>
      <c r="W7019" s="42">
        <v>15932.84</v>
      </c>
      <c r="X7019" s="42">
        <v>15932.84</v>
      </c>
    </row>
    <row r="7020" spans="1:24">
      <c r="A7020" s="27" t="s">
        <v>12753</v>
      </c>
      <c r="B7020" s="28" t="s">
        <v>12240</v>
      </c>
      <c r="C7020" s="27" t="s">
        <v>12245</v>
      </c>
      <c r="D7020" s="27" t="s">
        <v>5104</v>
      </c>
      <c r="E7020" s="29">
        <v>38078</v>
      </c>
      <c r="F7020" s="27">
        <v>15</v>
      </c>
      <c r="G7020" s="18">
        <v>15932.84</v>
      </c>
      <c r="H7020" s="27">
        <f t="shared" si="218"/>
        <v>15932.84</v>
      </c>
      <c r="I7020" s="18">
        <v>15136.2</v>
      </c>
      <c r="J7020" s="27">
        <v>15932.84</v>
      </c>
      <c r="K7020" s="18">
        <f t="shared" si="219"/>
        <v>15932.84</v>
      </c>
      <c r="L7020" s="27">
        <v>15136.2</v>
      </c>
      <c r="M7020" s="36">
        <v>0</v>
      </c>
      <c r="T7020" s="41">
        <v>0</v>
      </c>
      <c r="U7020" s="41">
        <v>0</v>
      </c>
      <c r="V7020" s="42" t="s">
        <v>113</v>
      </c>
      <c r="W7020" s="42">
        <v>15932.84</v>
      </c>
      <c r="X7020" s="42">
        <v>15932.84</v>
      </c>
    </row>
    <row r="7021" spans="1:24">
      <c r="A7021" s="27" t="s">
        <v>12754</v>
      </c>
      <c r="B7021" s="28" t="s">
        <v>12240</v>
      </c>
      <c r="C7021" s="27" t="s">
        <v>12245</v>
      </c>
      <c r="D7021" s="27" t="s">
        <v>5104</v>
      </c>
      <c r="E7021" s="29">
        <v>38078</v>
      </c>
      <c r="F7021" s="27">
        <v>15</v>
      </c>
      <c r="G7021" s="18">
        <v>15932.84</v>
      </c>
      <c r="H7021" s="27">
        <f t="shared" si="218"/>
        <v>15932.84</v>
      </c>
      <c r="I7021" s="18">
        <v>15136.2</v>
      </c>
      <c r="J7021" s="27">
        <v>15932.84</v>
      </c>
      <c r="K7021" s="18">
        <f t="shared" si="219"/>
        <v>15932.84</v>
      </c>
      <c r="L7021" s="27">
        <v>15136.2</v>
      </c>
      <c r="M7021" s="36">
        <v>0</v>
      </c>
      <c r="T7021" s="41">
        <v>0</v>
      </c>
      <c r="U7021" s="41">
        <v>0</v>
      </c>
      <c r="V7021" s="42" t="s">
        <v>113</v>
      </c>
      <c r="W7021" s="42">
        <v>15932.84</v>
      </c>
      <c r="X7021" s="42">
        <v>15932.84</v>
      </c>
    </row>
    <row r="7022" spans="1:24">
      <c r="A7022" s="27" t="s">
        <v>12755</v>
      </c>
      <c r="B7022" s="28" t="s">
        <v>12240</v>
      </c>
      <c r="C7022" s="27" t="s">
        <v>12243</v>
      </c>
      <c r="D7022" s="27" t="s">
        <v>5104</v>
      </c>
      <c r="E7022" s="29">
        <v>38169</v>
      </c>
      <c r="F7022" s="27">
        <v>15</v>
      </c>
      <c r="G7022" s="18">
        <v>27354.52</v>
      </c>
      <c r="H7022" s="27">
        <f t="shared" si="218"/>
        <v>27354.52</v>
      </c>
      <c r="I7022" s="18">
        <v>25986.79</v>
      </c>
      <c r="J7022" s="27">
        <v>27354.52</v>
      </c>
      <c r="K7022" s="18">
        <f t="shared" si="219"/>
        <v>27354.52</v>
      </c>
      <c r="L7022" s="27">
        <v>25986.79</v>
      </c>
      <c r="M7022" s="36">
        <v>0</v>
      </c>
      <c r="T7022" s="41">
        <v>0</v>
      </c>
      <c r="U7022" s="41">
        <v>0</v>
      </c>
      <c r="V7022" s="42" t="s">
        <v>113</v>
      </c>
      <c r="W7022" s="42">
        <v>27354.52</v>
      </c>
      <c r="X7022" s="42">
        <v>27354.52</v>
      </c>
    </row>
    <row r="7023" spans="1:24">
      <c r="A7023" s="27" t="s">
        <v>12756</v>
      </c>
      <c r="B7023" s="28" t="s">
        <v>12240</v>
      </c>
      <c r="C7023" s="27" t="s">
        <v>12245</v>
      </c>
      <c r="D7023" s="27" t="s">
        <v>5104</v>
      </c>
      <c r="E7023" s="29">
        <v>37226</v>
      </c>
      <c r="F7023" s="27">
        <v>15</v>
      </c>
      <c r="G7023" s="18">
        <v>208688.8</v>
      </c>
      <c r="H7023" s="27">
        <f t="shared" si="218"/>
        <v>208688.8</v>
      </c>
      <c r="I7023" s="18">
        <v>198254.36</v>
      </c>
      <c r="J7023" s="27">
        <v>208688.8</v>
      </c>
      <c r="K7023" s="18">
        <f t="shared" si="219"/>
        <v>208688.8</v>
      </c>
      <c r="L7023" s="27">
        <v>198254.36</v>
      </c>
      <c r="M7023" s="36">
        <v>0</v>
      </c>
      <c r="T7023" s="41">
        <v>0</v>
      </c>
      <c r="U7023" s="41">
        <v>0</v>
      </c>
      <c r="V7023" s="42" t="s">
        <v>113</v>
      </c>
      <c r="W7023" s="42">
        <v>208688.8</v>
      </c>
      <c r="X7023" s="42">
        <v>208688.8</v>
      </c>
    </row>
    <row r="7024" spans="1:24">
      <c r="A7024" s="27" t="s">
        <v>12757</v>
      </c>
      <c r="B7024" s="28" t="s">
        <v>12240</v>
      </c>
      <c r="C7024" s="27" t="s">
        <v>12245</v>
      </c>
      <c r="D7024" s="27" t="s">
        <v>5104</v>
      </c>
      <c r="E7024" s="29">
        <v>37226</v>
      </c>
      <c r="F7024" s="27">
        <v>15</v>
      </c>
      <c r="G7024" s="18">
        <v>52172.18</v>
      </c>
      <c r="H7024" s="27">
        <f t="shared" si="218"/>
        <v>52172.18</v>
      </c>
      <c r="I7024" s="18">
        <v>49563.57</v>
      </c>
      <c r="J7024" s="27">
        <v>52172.18</v>
      </c>
      <c r="K7024" s="18">
        <f t="shared" si="219"/>
        <v>52172.18</v>
      </c>
      <c r="L7024" s="27">
        <v>49563.57</v>
      </c>
      <c r="M7024" s="36">
        <v>0</v>
      </c>
      <c r="T7024" s="41">
        <v>0</v>
      </c>
      <c r="U7024" s="41">
        <v>0</v>
      </c>
      <c r="V7024" s="42" t="s">
        <v>113</v>
      </c>
      <c r="W7024" s="42">
        <v>52172.18</v>
      </c>
      <c r="X7024" s="42">
        <v>52172.18</v>
      </c>
    </row>
    <row r="7025" spans="1:24">
      <c r="A7025" s="27" t="s">
        <v>12758</v>
      </c>
      <c r="B7025" s="28" t="s">
        <v>12240</v>
      </c>
      <c r="C7025" s="27" t="s">
        <v>12245</v>
      </c>
      <c r="D7025" s="27" t="s">
        <v>5104</v>
      </c>
      <c r="E7025" s="29">
        <v>37226</v>
      </c>
      <c r="F7025" s="27">
        <v>15</v>
      </c>
      <c r="G7025" s="18">
        <v>52458.2</v>
      </c>
      <c r="H7025" s="27">
        <f t="shared" si="218"/>
        <v>52458.2</v>
      </c>
      <c r="I7025" s="18">
        <v>49835.29</v>
      </c>
      <c r="J7025" s="27">
        <v>52458.2</v>
      </c>
      <c r="K7025" s="18">
        <f t="shared" si="219"/>
        <v>52458.2</v>
      </c>
      <c r="L7025" s="27">
        <v>49835.29</v>
      </c>
      <c r="M7025" s="36">
        <v>0</v>
      </c>
      <c r="T7025" s="41">
        <v>0</v>
      </c>
      <c r="U7025" s="41">
        <v>0</v>
      </c>
      <c r="V7025" s="42" t="s">
        <v>113</v>
      </c>
      <c r="W7025" s="42">
        <v>52458.2</v>
      </c>
      <c r="X7025" s="42">
        <v>52458.2</v>
      </c>
    </row>
    <row r="7026" spans="1:24">
      <c r="A7026" s="27" t="s">
        <v>12759</v>
      </c>
      <c r="B7026" s="28" t="s">
        <v>12240</v>
      </c>
      <c r="C7026" s="27" t="s">
        <v>12245</v>
      </c>
      <c r="D7026" s="27" t="s">
        <v>5104</v>
      </c>
      <c r="E7026" s="29">
        <v>37226</v>
      </c>
      <c r="F7026" s="27">
        <v>15</v>
      </c>
      <c r="G7026" s="18">
        <v>44447.44</v>
      </c>
      <c r="H7026" s="27">
        <f t="shared" si="218"/>
        <v>44447.44</v>
      </c>
      <c r="I7026" s="18">
        <v>42225.07</v>
      </c>
      <c r="J7026" s="27">
        <v>44447.44</v>
      </c>
      <c r="K7026" s="18">
        <f t="shared" si="219"/>
        <v>44447.44</v>
      </c>
      <c r="L7026" s="27">
        <v>42225.07</v>
      </c>
      <c r="M7026" s="36">
        <v>0</v>
      </c>
      <c r="T7026" s="41">
        <v>0</v>
      </c>
      <c r="U7026" s="41">
        <v>0</v>
      </c>
      <c r="V7026" s="42" t="s">
        <v>113</v>
      </c>
      <c r="W7026" s="42">
        <v>44447.44</v>
      </c>
      <c r="X7026" s="42">
        <v>44447.44</v>
      </c>
    </row>
    <row r="7027" spans="1:24">
      <c r="A7027" s="27" t="s">
        <v>12760</v>
      </c>
      <c r="B7027" s="28" t="s">
        <v>12240</v>
      </c>
      <c r="C7027" s="27" t="s">
        <v>12245</v>
      </c>
      <c r="D7027" s="27" t="s">
        <v>5104</v>
      </c>
      <c r="E7027" s="29">
        <v>37226</v>
      </c>
      <c r="F7027" s="27">
        <v>15</v>
      </c>
      <c r="G7027" s="18">
        <v>19289.82</v>
      </c>
      <c r="H7027" s="27">
        <f t="shared" si="218"/>
        <v>19289.82</v>
      </c>
      <c r="I7027" s="18">
        <v>18325.330000000002</v>
      </c>
      <c r="J7027" s="27">
        <v>19289.82</v>
      </c>
      <c r="K7027" s="18">
        <f t="shared" si="219"/>
        <v>19289.82</v>
      </c>
      <c r="L7027" s="27">
        <v>18325.330000000002</v>
      </c>
      <c r="M7027" s="36">
        <v>0</v>
      </c>
      <c r="T7027" s="41">
        <v>0</v>
      </c>
      <c r="U7027" s="41">
        <v>0</v>
      </c>
      <c r="V7027" s="42" t="s">
        <v>113</v>
      </c>
      <c r="W7027" s="42">
        <v>19289.82</v>
      </c>
      <c r="X7027" s="42">
        <v>19289.82</v>
      </c>
    </row>
    <row r="7028" spans="1:24">
      <c r="A7028" s="27" t="s">
        <v>12761</v>
      </c>
      <c r="B7028" s="28" t="s">
        <v>12240</v>
      </c>
      <c r="C7028" s="27" t="s">
        <v>12245</v>
      </c>
      <c r="D7028" s="27" t="s">
        <v>5104</v>
      </c>
      <c r="E7028" s="29">
        <v>38078</v>
      </c>
      <c r="F7028" s="27">
        <v>15</v>
      </c>
      <c r="G7028" s="18">
        <v>17276.91</v>
      </c>
      <c r="H7028" s="27">
        <f t="shared" si="218"/>
        <v>17276.91</v>
      </c>
      <c r="I7028" s="18">
        <v>16413.060000000001</v>
      </c>
      <c r="J7028" s="27">
        <v>17276.91</v>
      </c>
      <c r="K7028" s="18">
        <f t="shared" si="219"/>
        <v>17276.91</v>
      </c>
      <c r="L7028" s="27">
        <v>16413.060000000001</v>
      </c>
      <c r="M7028" s="36">
        <v>0</v>
      </c>
      <c r="T7028" s="41">
        <v>0</v>
      </c>
      <c r="U7028" s="41">
        <v>0</v>
      </c>
      <c r="V7028" s="42" t="s">
        <v>113</v>
      </c>
      <c r="W7028" s="42">
        <v>17276.91</v>
      </c>
      <c r="X7028" s="42">
        <v>17276.91</v>
      </c>
    </row>
    <row r="7029" spans="1:24">
      <c r="A7029" s="27" t="s">
        <v>12762</v>
      </c>
      <c r="B7029" s="28" t="s">
        <v>12240</v>
      </c>
      <c r="C7029" s="27" t="s">
        <v>12763</v>
      </c>
      <c r="D7029" s="27" t="s">
        <v>230</v>
      </c>
      <c r="E7029" s="29">
        <v>39417</v>
      </c>
      <c r="F7029" s="27">
        <v>15</v>
      </c>
      <c r="G7029" s="18">
        <v>36056.29</v>
      </c>
      <c r="H7029" s="27">
        <f t="shared" si="218"/>
        <v>0</v>
      </c>
      <c r="I7029" s="18">
        <v>30752.38</v>
      </c>
      <c r="J7029" s="27">
        <v>36056.29</v>
      </c>
      <c r="K7029" s="18">
        <f t="shared" si="219"/>
        <v>0</v>
      </c>
      <c r="L7029" s="27">
        <v>31627.66</v>
      </c>
      <c r="M7029" s="36">
        <v>875.28</v>
      </c>
      <c r="T7029" s="41">
        <v>0</v>
      </c>
      <c r="U7029" s="41">
        <v>0</v>
      </c>
      <c r="V7029" s="42" t="s">
        <v>113</v>
      </c>
      <c r="W7029" s="42">
        <v>0</v>
      </c>
      <c r="X7029" s="42">
        <v>0</v>
      </c>
    </row>
    <row r="7030" spans="1:24">
      <c r="A7030" s="27" t="s">
        <v>12764</v>
      </c>
      <c r="B7030" s="28" t="s">
        <v>12240</v>
      </c>
      <c r="C7030" s="27" t="s">
        <v>12765</v>
      </c>
      <c r="D7030" s="27" t="s">
        <v>230</v>
      </c>
      <c r="E7030" s="29">
        <v>36008</v>
      </c>
      <c r="F7030" s="27">
        <v>15</v>
      </c>
      <c r="G7030" s="18">
        <v>12825.6</v>
      </c>
      <c r="H7030" s="27">
        <f t="shared" si="218"/>
        <v>12825.6</v>
      </c>
      <c r="I7030" s="18">
        <v>12184.32</v>
      </c>
      <c r="J7030" s="27">
        <v>12825.6</v>
      </c>
      <c r="K7030" s="18">
        <f t="shared" si="219"/>
        <v>12825.6</v>
      </c>
      <c r="L7030" s="27">
        <v>12184.32</v>
      </c>
      <c r="M7030" s="36">
        <v>0</v>
      </c>
      <c r="T7030" s="41">
        <v>0</v>
      </c>
      <c r="U7030" s="41">
        <v>0</v>
      </c>
      <c r="V7030" s="42" t="s">
        <v>113</v>
      </c>
      <c r="W7030" s="42">
        <v>12825.6</v>
      </c>
      <c r="X7030" s="42">
        <v>12825.6</v>
      </c>
    </row>
    <row r="7031" spans="1:24">
      <c r="A7031" s="27" t="s">
        <v>12766</v>
      </c>
      <c r="B7031" s="28" t="s">
        <v>12240</v>
      </c>
      <c r="C7031" s="27" t="s">
        <v>12767</v>
      </c>
      <c r="D7031" s="27" t="s">
        <v>230</v>
      </c>
      <c r="E7031" s="29">
        <v>36069</v>
      </c>
      <c r="F7031" s="27">
        <v>15</v>
      </c>
      <c r="G7031" s="18">
        <v>6493.65</v>
      </c>
      <c r="H7031" s="27">
        <f t="shared" si="218"/>
        <v>6493.65</v>
      </c>
      <c r="I7031" s="18">
        <v>6168.97</v>
      </c>
      <c r="J7031" s="27">
        <v>6493.65</v>
      </c>
      <c r="K7031" s="18">
        <f t="shared" si="219"/>
        <v>6493.65</v>
      </c>
      <c r="L7031" s="27">
        <v>6168.97</v>
      </c>
      <c r="M7031" s="36">
        <v>0</v>
      </c>
      <c r="T7031" s="41">
        <v>0</v>
      </c>
      <c r="U7031" s="41">
        <v>0</v>
      </c>
      <c r="V7031" s="42" t="s">
        <v>113</v>
      </c>
      <c r="W7031" s="42">
        <v>6493.65</v>
      </c>
      <c r="X7031" s="42">
        <v>6493.65</v>
      </c>
    </row>
    <row r="7032" spans="1:24">
      <c r="A7032" s="27" t="s">
        <v>12768</v>
      </c>
      <c r="B7032" s="28" t="s">
        <v>12240</v>
      </c>
      <c r="C7032" s="27" t="s">
        <v>12617</v>
      </c>
      <c r="D7032" s="27" t="s">
        <v>5104</v>
      </c>
      <c r="E7032" s="29">
        <v>39417</v>
      </c>
      <c r="F7032" s="27">
        <v>15</v>
      </c>
      <c r="G7032" s="18">
        <v>51740</v>
      </c>
      <c r="H7032" s="27">
        <f t="shared" si="218"/>
        <v>0</v>
      </c>
      <c r="I7032" s="18">
        <v>44367.06</v>
      </c>
      <c r="J7032" s="27">
        <v>51740</v>
      </c>
      <c r="K7032" s="18">
        <f t="shared" si="219"/>
        <v>0</v>
      </c>
      <c r="L7032" s="27">
        <v>45563.55</v>
      </c>
      <c r="M7032" s="36">
        <v>1196.49</v>
      </c>
      <c r="T7032" s="41">
        <v>0</v>
      </c>
      <c r="U7032" s="41">
        <v>0</v>
      </c>
      <c r="V7032" s="42" t="s">
        <v>113</v>
      </c>
      <c r="W7032" s="42">
        <v>0</v>
      </c>
      <c r="X7032" s="42">
        <v>0</v>
      </c>
    </row>
    <row r="7033" spans="1:24">
      <c r="A7033" s="27" t="s">
        <v>12769</v>
      </c>
      <c r="B7033" s="28" t="s">
        <v>12240</v>
      </c>
      <c r="C7033" s="27" t="s">
        <v>12311</v>
      </c>
      <c r="D7033" s="27" t="s">
        <v>5104</v>
      </c>
      <c r="E7033" s="29">
        <v>39417</v>
      </c>
      <c r="F7033" s="27">
        <v>15</v>
      </c>
      <c r="G7033" s="18">
        <v>26430</v>
      </c>
      <c r="H7033" s="27">
        <f t="shared" si="218"/>
        <v>0</v>
      </c>
      <c r="I7033" s="18">
        <v>22663.72</v>
      </c>
      <c r="J7033" s="27">
        <v>26430</v>
      </c>
      <c r="K7033" s="18">
        <f t="shared" si="219"/>
        <v>0</v>
      </c>
      <c r="L7033" s="27">
        <v>23274.92</v>
      </c>
      <c r="M7033" s="36">
        <v>611.20000000000005</v>
      </c>
      <c r="T7033" s="41">
        <v>0</v>
      </c>
      <c r="U7033" s="41">
        <v>0</v>
      </c>
      <c r="V7033" s="42" t="s">
        <v>113</v>
      </c>
      <c r="W7033" s="42">
        <v>0</v>
      </c>
      <c r="X7033" s="42">
        <v>0</v>
      </c>
    </row>
    <row r="7034" spans="1:24">
      <c r="A7034" s="27" t="s">
        <v>12770</v>
      </c>
      <c r="B7034" s="28" t="s">
        <v>12240</v>
      </c>
      <c r="C7034" s="27" t="s">
        <v>12771</v>
      </c>
      <c r="D7034" s="27" t="s">
        <v>5104</v>
      </c>
      <c r="E7034" s="29">
        <v>39417</v>
      </c>
      <c r="F7034" s="27">
        <v>15</v>
      </c>
      <c r="G7034" s="18">
        <v>35230</v>
      </c>
      <c r="H7034" s="27">
        <f t="shared" si="218"/>
        <v>0</v>
      </c>
      <c r="I7034" s="18">
        <v>31107.439999999999</v>
      </c>
      <c r="J7034" s="27">
        <v>35230</v>
      </c>
      <c r="K7034" s="18">
        <f t="shared" si="219"/>
        <v>0</v>
      </c>
      <c r="L7034" s="27">
        <v>31697.71</v>
      </c>
      <c r="M7034" s="36">
        <v>590.27</v>
      </c>
      <c r="T7034" s="41">
        <v>0</v>
      </c>
      <c r="U7034" s="41">
        <v>0</v>
      </c>
      <c r="V7034" s="42" t="s">
        <v>113</v>
      </c>
      <c r="W7034" s="42">
        <v>0</v>
      </c>
      <c r="X7034" s="42">
        <v>0</v>
      </c>
    </row>
    <row r="7035" spans="1:24">
      <c r="A7035" s="27" t="s">
        <v>12772</v>
      </c>
      <c r="B7035" s="28" t="s">
        <v>12240</v>
      </c>
      <c r="C7035" s="27" t="s">
        <v>12771</v>
      </c>
      <c r="D7035" s="27" t="s">
        <v>5104</v>
      </c>
      <c r="E7035" s="29">
        <v>39417</v>
      </c>
      <c r="F7035" s="27">
        <v>15</v>
      </c>
      <c r="G7035" s="18">
        <v>18170</v>
      </c>
      <c r="H7035" s="27">
        <f t="shared" si="218"/>
        <v>0</v>
      </c>
      <c r="I7035" s="18">
        <v>16043.78</v>
      </c>
      <c r="J7035" s="27">
        <v>18170</v>
      </c>
      <c r="K7035" s="18">
        <f t="shared" si="219"/>
        <v>0</v>
      </c>
      <c r="L7035" s="27">
        <v>16348.21</v>
      </c>
      <c r="M7035" s="36">
        <v>304.43</v>
      </c>
      <c r="T7035" s="41">
        <v>0</v>
      </c>
      <c r="U7035" s="41">
        <v>0</v>
      </c>
      <c r="V7035" s="42" t="s">
        <v>113</v>
      </c>
      <c r="W7035" s="42">
        <v>0</v>
      </c>
      <c r="X7035" s="42">
        <v>0</v>
      </c>
    </row>
    <row r="7036" spans="1:24">
      <c r="A7036" s="27" t="s">
        <v>12773</v>
      </c>
      <c r="B7036" s="28" t="s">
        <v>12240</v>
      </c>
      <c r="C7036" s="27" t="s">
        <v>12263</v>
      </c>
      <c r="D7036" s="27" t="s">
        <v>5104</v>
      </c>
      <c r="E7036" s="29">
        <v>39417</v>
      </c>
      <c r="F7036" s="27">
        <v>15</v>
      </c>
      <c r="G7036" s="18">
        <v>52840</v>
      </c>
      <c r="H7036" s="27">
        <f t="shared" si="218"/>
        <v>0</v>
      </c>
      <c r="I7036" s="18">
        <v>45175.66</v>
      </c>
      <c r="J7036" s="27">
        <v>52840</v>
      </c>
      <c r="K7036" s="18">
        <f t="shared" si="219"/>
        <v>0</v>
      </c>
      <c r="L7036" s="27">
        <v>46431.25</v>
      </c>
      <c r="M7036" s="36">
        <v>1255.5899999999999</v>
      </c>
      <c r="T7036" s="41">
        <v>0</v>
      </c>
      <c r="U7036" s="41">
        <v>0</v>
      </c>
      <c r="V7036" s="42" t="s">
        <v>113</v>
      </c>
      <c r="W7036" s="42">
        <v>0</v>
      </c>
      <c r="X7036" s="42">
        <v>0</v>
      </c>
    </row>
    <row r="7037" spans="1:24">
      <c r="A7037" s="27" t="s">
        <v>12774</v>
      </c>
      <c r="B7037" s="28" t="s">
        <v>12240</v>
      </c>
      <c r="C7037" s="27" t="s">
        <v>12771</v>
      </c>
      <c r="D7037" s="27" t="s">
        <v>5104</v>
      </c>
      <c r="E7037" s="29">
        <v>39417</v>
      </c>
      <c r="F7037" s="27">
        <v>15</v>
      </c>
      <c r="G7037" s="18">
        <v>35230</v>
      </c>
      <c r="H7037" s="27">
        <f t="shared" si="218"/>
        <v>0</v>
      </c>
      <c r="I7037" s="18">
        <v>31107.439999999999</v>
      </c>
      <c r="J7037" s="27">
        <v>35230</v>
      </c>
      <c r="K7037" s="18">
        <f t="shared" si="219"/>
        <v>0</v>
      </c>
      <c r="L7037" s="27">
        <v>31697.71</v>
      </c>
      <c r="M7037" s="36">
        <v>590.27</v>
      </c>
      <c r="T7037" s="41">
        <v>0</v>
      </c>
      <c r="U7037" s="41">
        <v>0</v>
      </c>
      <c r="V7037" s="42" t="s">
        <v>113</v>
      </c>
      <c r="W7037" s="42">
        <v>0</v>
      </c>
      <c r="X7037" s="42">
        <v>0</v>
      </c>
    </row>
    <row r="7038" spans="1:24">
      <c r="A7038" s="27" t="s">
        <v>12775</v>
      </c>
      <c r="B7038" s="28" t="s">
        <v>12240</v>
      </c>
      <c r="C7038" s="27" t="s">
        <v>12771</v>
      </c>
      <c r="D7038" s="27" t="s">
        <v>5104</v>
      </c>
      <c r="E7038" s="29">
        <v>39417</v>
      </c>
      <c r="F7038" s="27">
        <v>15</v>
      </c>
      <c r="G7038" s="18">
        <v>18170</v>
      </c>
      <c r="H7038" s="27">
        <f t="shared" si="218"/>
        <v>0</v>
      </c>
      <c r="I7038" s="18">
        <v>16043.78</v>
      </c>
      <c r="J7038" s="27">
        <v>18170</v>
      </c>
      <c r="K7038" s="18">
        <f t="shared" si="219"/>
        <v>0</v>
      </c>
      <c r="L7038" s="27">
        <v>16348.21</v>
      </c>
      <c r="M7038" s="36">
        <v>304.43</v>
      </c>
      <c r="T7038" s="41">
        <v>0</v>
      </c>
      <c r="U7038" s="41">
        <v>0</v>
      </c>
      <c r="V7038" s="42" t="s">
        <v>113</v>
      </c>
      <c r="W7038" s="42">
        <v>0</v>
      </c>
      <c r="X7038" s="42">
        <v>0</v>
      </c>
    </row>
    <row r="7039" spans="1:24">
      <c r="A7039" s="27" t="s">
        <v>12776</v>
      </c>
      <c r="B7039" s="28" t="s">
        <v>12240</v>
      </c>
      <c r="C7039" s="27" t="s">
        <v>12771</v>
      </c>
      <c r="D7039" s="27" t="s">
        <v>5104</v>
      </c>
      <c r="E7039" s="29">
        <v>39417</v>
      </c>
      <c r="F7039" s="27">
        <v>15</v>
      </c>
      <c r="G7039" s="18">
        <v>9360</v>
      </c>
      <c r="H7039" s="27">
        <f t="shared" si="218"/>
        <v>0</v>
      </c>
      <c r="I7039" s="18">
        <v>8002.34</v>
      </c>
      <c r="J7039" s="27">
        <v>9360</v>
      </c>
      <c r="K7039" s="18">
        <f t="shared" si="219"/>
        <v>0</v>
      </c>
      <c r="L7039" s="27">
        <v>8224.76</v>
      </c>
      <c r="M7039" s="36">
        <v>222.42</v>
      </c>
      <c r="T7039" s="41">
        <v>0</v>
      </c>
      <c r="U7039" s="41">
        <v>0</v>
      </c>
      <c r="V7039" s="42" t="s">
        <v>113</v>
      </c>
      <c r="W7039" s="42">
        <v>0</v>
      </c>
      <c r="X7039" s="42">
        <v>0</v>
      </c>
    </row>
    <row r="7040" spans="1:24">
      <c r="A7040" s="27" t="s">
        <v>12777</v>
      </c>
      <c r="B7040" s="28" t="s">
        <v>12240</v>
      </c>
      <c r="C7040" s="27" t="s">
        <v>12771</v>
      </c>
      <c r="D7040" s="27" t="s">
        <v>5104</v>
      </c>
      <c r="E7040" s="29">
        <v>39417</v>
      </c>
      <c r="F7040" s="27">
        <v>15</v>
      </c>
      <c r="G7040" s="18">
        <v>9090</v>
      </c>
      <c r="H7040" s="27">
        <f t="shared" si="218"/>
        <v>0</v>
      </c>
      <c r="I7040" s="18">
        <v>8026.29</v>
      </c>
      <c r="J7040" s="27">
        <v>9090</v>
      </c>
      <c r="K7040" s="18">
        <f t="shared" si="219"/>
        <v>0</v>
      </c>
      <c r="L7040" s="27">
        <v>8178.59</v>
      </c>
      <c r="M7040" s="36">
        <v>152.30000000000001</v>
      </c>
      <c r="T7040" s="41">
        <v>0</v>
      </c>
      <c r="U7040" s="41">
        <v>0</v>
      </c>
      <c r="V7040" s="42" t="s">
        <v>113</v>
      </c>
      <c r="W7040" s="42">
        <v>0</v>
      </c>
      <c r="X7040" s="42">
        <v>0</v>
      </c>
    </row>
    <row r="7041" spans="1:24">
      <c r="A7041" s="27" t="s">
        <v>12778</v>
      </c>
      <c r="B7041" s="28" t="s">
        <v>12240</v>
      </c>
      <c r="C7041" s="27" t="s">
        <v>12779</v>
      </c>
      <c r="D7041" s="27" t="s">
        <v>230</v>
      </c>
      <c r="E7041" s="29">
        <v>39417</v>
      </c>
      <c r="F7041" s="27">
        <v>15</v>
      </c>
      <c r="G7041" s="18">
        <v>7290</v>
      </c>
      <c r="H7041" s="27">
        <f t="shared" si="218"/>
        <v>0</v>
      </c>
      <c r="I7041" s="18">
        <v>6436.93</v>
      </c>
      <c r="J7041" s="27">
        <v>7290</v>
      </c>
      <c r="K7041" s="18">
        <f t="shared" si="219"/>
        <v>0</v>
      </c>
      <c r="L7041" s="27">
        <v>6559.07</v>
      </c>
      <c r="M7041" s="36">
        <v>122.14</v>
      </c>
      <c r="T7041" s="41">
        <v>0</v>
      </c>
      <c r="U7041" s="41">
        <v>0</v>
      </c>
      <c r="V7041" s="42" t="s">
        <v>113</v>
      </c>
      <c r="W7041" s="42">
        <v>0</v>
      </c>
      <c r="X7041" s="42">
        <v>0</v>
      </c>
    </row>
    <row r="7042" spans="1:24">
      <c r="A7042" s="27" t="s">
        <v>12780</v>
      </c>
      <c r="B7042" s="28" t="s">
        <v>12240</v>
      </c>
      <c r="C7042" s="27" t="s">
        <v>12771</v>
      </c>
      <c r="D7042" s="27" t="s">
        <v>5104</v>
      </c>
      <c r="E7042" s="29">
        <v>39417</v>
      </c>
      <c r="F7042" s="27">
        <v>15</v>
      </c>
      <c r="G7042" s="18">
        <v>8810</v>
      </c>
      <c r="H7042" s="27">
        <f t="shared" si="218"/>
        <v>0</v>
      </c>
      <c r="I7042" s="18">
        <v>7779.08</v>
      </c>
      <c r="J7042" s="27">
        <v>8810</v>
      </c>
      <c r="K7042" s="18">
        <f t="shared" si="219"/>
        <v>0</v>
      </c>
      <c r="L7042" s="27">
        <v>7926.69</v>
      </c>
      <c r="M7042" s="36">
        <v>147.61000000000001</v>
      </c>
      <c r="T7042" s="41">
        <v>0</v>
      </c>
      <c r="U7042" s="41">
        <v>0</v>
      </c>
      <c r="V7042" s="42" t="s">
        <v>113</v>
      </c>
      <c r="W7042" s="42">
        <v>0</v>
      </c>
      <c r="X7042" s="42">
        <v>0</v>
      </c>
    </row>
    <row r="7043" spans="1:24">
      <c r="A7043" s="27" t="s">
        <v>12781</v>
      </c>
      <c r="B7043" s="28" t="s">
        <v>12240</v>
      </c>
      <c r="C7043" s="27" t="s">
        <v>12771</v>
      </c>
      <c r="D7043" s="27" t="s">
        <v>5104</v>
      </c>
      <c r="E7043" s="29">
        <v>39417</v>
      </c>
      <c r="F7043" s="27">
        <v>15</v>
      </c>
      <c r="G7043" s="18">
        <v>27260</v>
      </c>
      <c r="H7043" s="27">
        <f t="shared" si="218"/>
        <v>0</v>
      </c>
      <c r="I7043" s="18">
        <v>23514.38</v>
      </c>
      <c r="J7043" s="27">
        <v>27260</v>
      </c>
      <c r="K7043" s="18">
        <f t="shared" si="219"/>
        <v>0</v>
      </c>
      <c r="L7043" s="27">
        <v>24110.04</v>
      </c>
      <c r="M7043" s="36">
        <v>595.66</v>
      </c>
      <c r="T7043" s="41">
        <v>0</v>
      </c>
      <c r="U7043" s="41">
        <v>0</v>
      </c>
      <c r="V7043" s="42" t="s">
        <v>113</v>
      </c>
      <c r="W7043" s="42">
        <v>0</v>
      </c>
      <c r="X7043" s="42">
        <v>0</v>
      </c>
    </row>
    <row r="7044" spans="1:24">
      <c r="A7044" s="27" t="s">
        <v>12782</v>
      </c>
      <c r="B7044" s="28" t="s">
        <v>12240</v>
      </c>
      <c r="C7044" s="27" t="s">
        <v>12771</v>
      </c>
      <c r="D7044" s="27" t="s">
        <v>5104</v>
      </c>
      <c r="E7044" s="29">
        <v>39417</v>
      </c>
      <c r="F7044" s="27">
        <v>15</v>
      </c>
      <c r="G7044" s="18">
        <v>9360</v>
      </c>
      <c r="H7044" s="27">
        <f t="shared" si="218"/>
        <v>0</v>
      </c>
      <c r="I7044" s="18">
        <v>8002.34</v>
      </c>
      <c r="J7044" s="27">
        <v>9360</v>
      </c>
      <c r="K7044" s="18">
        <f t="shared" si="219"/>
        <v>0</v>
      </c>
      <c r="L7044" s="27">
        <v>8224.76</v>
      </c>
      <c r="M7044" s="36">
        <v>222.42</v>
      </c>
      <c r="T7044" s="41">
        <v>0</v>
      </c>
      <c r="U7044" s="41">
        <v>0</v>
      </c>
      <c r="V7044" s="42" t="s">
        <v>113</v>
      </c>
      <c r="W7044" s="42">
        <v>0</v>
      </c>
      <c r="X7044" s="42">
        <v>0</v>
      </c>
    </row>
    <row r="7045" spans="1:24">
      <c r="A7045" s="27" t="s">
        <v>12783</v>
      </c>
      <c r="B7045" s="28" t="s">
        <v>12240</v>
      </c>
      <c r="C7045" s="27" t="s">
        <v>12243</v>
      </c>
      <c r="D7045" s="27" t="s">
        <v>5104</v>
      </c>
      <c r="E7045" s="29">
        <v>39417</v>
      </c>
      <c r="F7045" s="27">
        <v>15</v>
      </c>
      <c r="G7045" s="18">
        <v>25870</v>
      </c>
      <c r="H7045" s="27">
        <f t="shared" si="218"/>
        <v>0</v>
      </c>
      <c r="I7045" s="18">
        <v>22150.560000000001</v>
      </c>
      <c r="J7045" s="27">
        <v>25870</v>
      </c>
      <c r="K7045" s="18">
        <f t="shared" si="219"/>
        <v>0</v>
      </c>
      <c r="L7045" s="27">
        <v>22757.05</v>
      </c>
      <c r="M7045" s="36">
        <v>606.49</v>
      </c>
      <c r="T7045" s="41">
        <v>0</v>
      </c>
      <c r="U7045" s="41">
        <v>0</v>
      </c>
      <c r="V7045" s="42" t="s">
        <v>113</v>
      </c>
      <c r="W7045" s="42">
        <v>0</v>
      </c>
      <c r="X7045" s="42">
        <v>0</v>
      </c>
    </row>
    <row r="7046" spans="1:24">
      <c r="A7046" s="27" t="s">
        <v>12784</v>
      </c>
      <c r="B7046" s="28" t="s">
        <v>12240</v>
      </c>
      <c r="C7046" s="27" t="s">
        <v>12243</v>
      </c>
      <c r="D7046" s="27" t="s">
        <v>5104</v>
      </c>
      <c r="E7046" s="29">
        <v>39417</v>
      </c>
      <c r="F7046" s="27">
        <v>15</v>
      </c>
      <c r="G7046" s="18">
        <v>25870</v>
      </c>
      <c r="H7046" s="27">
        <f t="shared" ref="H7046:H7109" si="220">IFERROR(IF(ROUND((G7046-I7046)/G7046,2)&lt;=0.05,G7046,0),0)</f>
        <v>0</v>
      </c>
      <c r="I7046" s="18">
        <v>22150.560000000001</v>
      </c>
      <c r="J7046" s="27">
        <v>25870</v>
      </c>
      <c r="K7046" s="18">
        <f t="shared" ref="K7046:K7109" si="221">IFERROR(IF(ROUND((J7046-L7046)/J7046,2)&lt;=0.05,J7046,0),0)</f>
        <v>0</v>
      </c>
      <c r="L7046" s="27">
        <v>22757.05</v>
      </c>
      <c r="M7046" s="36">
        <v>606.49</v>
      </c>
      <c r="T7046" s="41">
        <v>0</v>
      </c>
      <c r="U7046" s="41">
        <v>0</v>
      </c>
      <c r="V7046" s="42" t="s">
        <v>113</v>
      </c>
      <c r="W7046" s="42">
        <v>0</v>
      </c>
      <c r="X7046" s="42">
        <v>0</v>
      </c>
    </row>
    <row r="7047" spans="1:24">
      <c r="A7047" s="27" t="s">
        <v>12785</v>
      </c>
      <c r="B7047" s="28" t="s">
        <v>12240</v>
      </c>
      <c r="C7047" s="27" t="s">
        <v>12771</v>
      </c>
      <c r="D7047" s="27" t="s">
        <v>5104</v>
      </c>
      <c r="E7047" s="29">
        <v>39417</v>
      </c>
      <c r="F7047" s="27">
        <v>15</v>
      </c>
      <c r="G7047" s="18">
        <v>8810</v>
      </c>
      <c r="H7047" s="27">
        <f t="shared" si="220"/>
        <v>0</v>
      </c>
      <c r="I7047" s="18">
        <v>7532.13</v>
      </c>
      <c r="J7047" s="27">
        <v>8810</v>
      </c>
      <c r="K7047" s="18">
        <f t="shared" si="221"/>
        <v>0</v>
      </c>
      <c r="L7047" s="27">
        <v>7741.47</v>
      </c>
      <c r="M7047" s="36">
        <v>209.34</v>
      </c>
      <c r="T7047" s="41">
        <v>0</v>
      </c>
      <c r="U7047" s="41">
        <v>0</v>
      </c>
      <c r="V7047" s="42" t="s">
        <v>113</v>
      </c>
      <c r="W7047" s="42">
        <v>0</v>
      </c>
      <c r="X7047" s="42">
        <v>0</v>
      </c>
    </row>
    <row r="7048" spans="1:24">
      <c r="A7048" s="27" t="s">
        <v>12786</v>
      </c>
      <c r="B7048" s="28" t="s">
        <v>12240</v>
      </c>
      <c r="C7048" s="27" t="s">
        <v>12243</v>
      </c>
      <c r="D7048" s="27" t="s">
        <v>5104</v>
      </c>
      <c r="E7048" s="29">
        <v>39417</v>
      </c>
      <c r="F7048" s="27">
        <v>15</v>
      </c>
      <c r="G7048" s="18">
        <v>25870</v>
      </c>
      <c r="H7048" s="27">
        <f t="shared" si="220"/>
        <v>0</v>
      </c>
      <c r="I7048" s="18">
        <v>22150.560000000001</v>
      </c>
      <c r="J7048" s="27">
        <v>25870</v>
      </c>
      <c r="K7048" s="18">
        <f t="shared" si="221"/>
        <v>0</v>
      </c>
      <c r="L7048" s="27">
        <v>22757.05</v>
      </c>
      <c r="M7048" s="36">
        <v>606.49</v>
      </c>
      <c r="T7048" s="41">
        <v>0</v>
      </c>
      <c r="U7048" s="41">
        <v>0</v>
      </c>
      <c r="V7048" s="42" t="s">
        <v>113</v>
      </c>
      <c r="W7048" s="42">
        <v>0</v>
      </c>
      <c r="X7048" s="42">
        <v>0</v>
      </c>
    </row>
    <row r="7049" spans="1:24">
      <c r="A7049" s="27" t="s">
        <v>12787</v>
      </c>
      <c r="B7049" s="28" t="s">
        <v>12240</v>
      </c>
      <c r="C7049" s="27" t="s">
        <v>12771</v>
      </c>
      <c r="D7049" s="27" t="s">
        <v>5104</v>
      </c>
      <c r="E7049" s="29">
        <v>39417</v>
      </c>
      <c r="F7049" s="27">
        <v>15</v>
      </c>
      <c r="G7049" s="18">
        <v>35230</v>
      </c>
      <c r="H7049" s="27">
        <f t="shared" si="220"/>
        <v>0</v>
      </c>
      <c r="I7049" s="18">
        <v>30119.95</v>
      </c>
      <c r="J7049" s="27">
        <v>35230</v>
      </c>
      <c r="K7049" s="18">
        <f t="shared" si="221"/>
        <v>0</v>
      </c>
      <c r="L7049" s="27">
        <v>30957.09</v>
      </c>
      <c r="M7049" s="36">
        <v>837.14</v>
      </c>
      <c r="T7049" s="41">
        <v>0</v>
      </c>
      <c r="U7049" s="41">
        <v>0</v>
      </c>
      <c r="V7049" s="42" t="s">
        <v>113</v>
      </c>
      <c r="W7049" s="42">
        <v>0</v>
      </c>
      <c r="X7049" s="42">
        <v>0</v>
      </c>
    </row>
    <row r="7050" spans="1:24">
      <c r="A7050" s="27" t="s">
        <v>12788</v>
      </c>
      <c r="B7050" s="28" t="s">
        <v>12240</v>
      </c>
      <c r="C7050" s="27" t="s">
        <v>12705</v>
      </c>
      <c r="D7050" s="27" t="s">
        <v>5104</v>
      </c>
      <c r="E7050" s="29">
        <v>39417</v>
      </c>
      <c r="F7050" s="27">
        <v>15</v>
      </c>
      <c r="G7050" s="18">
        <v>44410</v>
      </c>
      <c r="H7050" s="27">
        <f t="shared" si="220"/>
        <v>0</v>
      </c>
      <c r="I7050" s="18">
        <v>40910.68</v>
      </c>
      <c r="J7050" s="27">
        <v>44410</v>
      </c>
      <c r="K7050" s="18">
        <f t="shared" si="221"/>
        <v>0</v>
      </c>
      <c r="L7050" s="27">
        <v>41230.39</v>
      </c>
      <c r="M7050" s="36">
        <v>319.70999999999998</v>
      </c>
      <c r="T7050" s="41">
        <v>0</v>
      </c>
      <c r="U7050" s="41">
        <v>0</v>
      </c>
      <c r="V7050" s="42" t="s">
        <v>113</v>
      </c>
      <c r="W7050" s="42">
        <v>0</v>
      </c>
      <c r="X7050" s="42">
        <v>0</v>
      </c>
    </row>
    <row r="7051" spans="1:24">
      <c r="A7051" s="27" t="s">
        <v>12789</v>
      </c>
      <c r="B7051" s="28" t="s">
        <v>12240</v>
      </c>
      <c r="C7051" s="27" t="s">
        <v>12790</v>
      </c>
      <c r="D7051" s="27" t="s">
        <v>230</v>
      </c>
      <c r="E7051" s="29">
        <v>39417</v>
      </c>
      <c r="F7051" s="27">
        <v>15</v>
      </c>
      <c r="G7051" s="18">
        <v>9770</v>
      </c>
      <c r="H7051" s="27">
        <f t="shared" si="220"/>
        <v>0</v>
      </c>
      <c r="I7051" s="18">
        <v>8626.74</v>
      </c>
      <c r="J7051" s="27">
        <v>9770</v>
      </c>
      <c r="K7051" s="18">
        <f t="shared" si="221"/>
        <v>0</v>
      </c>
      <c r="L7051" s="27">
        <v>8790.43</v>
      </c>
      <c r="M7051" s="36">
        <v>163.69</v>
      </c>
      <c r="T7051" s="41">
        <v>0</v>
      </c>
      <c r="U7051" s="41">
        <v>0</v>
      </c>
      <c r="V7051" s="42" t="s">
        <v>113</v>
      </c>
      <c r="W7051" s="42">
        <v>0</v>
      </c>
      <c r="X7051" s="42">
        <v>0</v>
      </c>
    </row>
    <row r="7052" spans="1:24">
      <c r="A7052" s="27" t="s">
        <v>12791</v>
      </c>
      <c r="B7052" s="28" t="s">
        <v>12240</v>
      </c>
      <c r="C7052" s="27" t="s">
        <v>12245</v>
      </c>
      <c r="D7052" s="27" t="s">
        <v>5104</v>
      </c>
      <c r="E7052" s="29">
        <v>39600</v>
      </c>
      <c r="F7052" s="27">
        <v>15</v>
      </c>
      <c r="G7052" s="18">
        <v>25933.05</v>
      </c>
      <c r="H7052" s="27">
        <f t="shared" si="220"/>
        <v>0</v>
      </c>
      <c r="I7052" s="18">
        <v>20913.34</v>
      </c>
      <c r="J7052" s="27">
        <v>25933.05</v>
      </c>
      <c r="K7052" s="18">
        <f t="shared" si="221"/>
        <v>0</v>
      </c>
      <c r="L7052" s="27">
        <v>21740.69</v>
      </c>
      <c r="M7052" s="36">
        <v>827.35</v>
      </c>
      <c r="T7052" s="41">
        <v>0</v>
      </c>
      <c r="U7052" s="41">
        <v>0</v>
      </c>
      <c r="V7052" s="42" t="s">
        <v>113</v>
      </c>
      <c r="W7052" s="42">
        <v>0</v>
      </c>
      <c r="X7052" s="42">
        <v>0</v>
      </c>
    </row>
    <row r="7053" spans="1:24">
      <c r="A7053" s="27" t="s">
        <v>12792</v>
      </c>
      <c r="B7053" s="28" t="s">
        <v>12240</v>
      </c>
      <c r="C7053" s="27" t="s">
        <v>12793</v>
      </c>
      <c r="D7053" s="27" t="s">
        <v>230</v>
      </c>
      <c r="E7053" s="29">
        <v>34182</v>
      </c>
      <c r="F7053" s="27">
        <v>15</v>
      </c>
      <c r="G7053" s="18">
        <v>7974.6</v>
      </c>
      <c r="H7053" s="27">
        <f t="shared" si="220"/>
        <v>7974.6</v>
      </c>
      <c r="I7053" s="18">
        <v>7575.87</v>
      </c>
      <c r="J7053" s="27">
        <v>7974.6</v>
      </c>
      <c r="K7053" s="18">
        <f t="shared" si="221"/>
        <v>7974.6</v>
      </c>
      <c r="L7053" s="27">
        <v>7575.87</v>
      </c>
      <c r="M7053" s="36">
        <v>0</v>
      </c>
      <c r="T7053" s="41">
        <v>0</v>
      </c>
      <c r="U7053" s="41">
        <v>0</v>
      </c>
      <c r="V7053" s="42" t="s">
        <v>113</v>
      </c>
      <c r="W7053" s="42">
        <v>7974.6</v>
      </c>
      <c r="X7053" s="42">
        <v>7974.6</v>
      </c>
    </row>
    <row r="7054" spans="1:24">
      <c r="A7054" s="27" t="s">
        <v>12794</v>
      </c>
      <c r="B7054" s="28" t="s">
        <v>12240</v>
      </c>
      <c r="C7054" s="27" t="s">
        <v>12795</v>
      </c>
      <c r="D7054" s="27" t="s">
        <v>5104</v>
      </c>
      <c r="E7054" s="29">
        <v>35765</v>
      </c>
      <c r="F7054" s="27">
        <v>15</v>
      </c>
      <c r="G7054" s="18">
        <v>5074.5</v>
      </c>
      <c r="H7054" s="27">
        <f t="shared" si="220"/>
        <v>5074.5</v>
      </c>
      <c r="I7054" s="18">
        <v>4820.7700000000004</v>
      </c>
      <c r="J7054" s="27">
        <v>5074.5</v>
      </c>
      <c r="K7054" s="18">
        <f t="shared" si="221"/>
        <v>5074.5</v>
      </c>
      <c r="L7054" s="27">
        <v>4820.7700000000004</v>
      </c>
      <c r="M7054" s="36">
        <v>0</v>
      </c>
      <c r="T7054" s="41">
        <v>0</v>
      </c>
      <c r="U7054" s="41">
        <v>0</v>
      </c>
      <c r="V7054" s="42" t="s">
        <v>113</v>
      </c>
      <c r="W7054" s="42">
        <v>5074.5</v>
      </c>
      <c r="X7054" s="42">
        <v>5074.5</v>
      </c>
    </row>
    <row r="7055" spans="1:24">
      <c r="A7055" s="27" t="s">
        <v>12796</v>
      </c>
      <c r="B7055" s="28" t="s">
        <v>12240</v>
      </c>
      <c r="C7055" s="27" t="s">
        <v>12797</v>
      </c>
      <c r="D7055" s="27" t="s">
        <v>230</v>
      </c>
      <c r="E7055" s="29">
        <v>32964</v>
      </c>
      <c r="F7055" s="27">
        <v>15</v>
      </c>
      <c r="G7055" s="18">
        <v>5794.07</v>
      </c>
      <c r="H7055" s="27">
        <f t="shared" si="220"/>
        <v>5794.07</v>
      </c>
      <c r="I7055" s="18">
        <v>5504.37</v>
      </c>
      <c r="J7055" s="27">
        <v>5794.07</v>
      </c>
      <c r="K7055" s="18">
        <f t="shared" si="221"/>
        <v>5794.07</v>
      </c>
      <c r="L7055" s="27">
        <v>5504.37</v>
      </c>
      <c r="M7055" s="36">
        <v>0</v>
      </c>
      <c r="T7055" s="41">
        <v>0</v>
      </c>
      <c r="U7055" s="41">
        <v>0</v>
      </c>
      <c r="V7055" s="42" t="s">
        <v>113</v>
      </c>
      <c r="W7055" s="42">
        <v>5794.07</v>
      </c>
      <c r="X7055" s="42">
        <v>5794.07</v>
      </c>
    </row>
    <row r="7056" spans="1:24">
      <c r="A7056" s="27" t="s">
        <v>12798</v>
      </c>
      <c r="B7056" s="28" t="s">
        <v>12240</v>
      </c>
      <c r="C7056" s="27" t="s">
        <v>12795</v>
      </c>
      <c r="D7056" s="27" t="s">
        <v>5104</v>
      </c>
      <c r="E7056" s="29">
        <v>34881</v>
      </c>
      <c r="F7056" s="27">
        <v>15</v>
      </c>
      <c r="G7056" s="18">
        <v>8195.1200000000008</v>
      </c>
      <c r="H7056" s="27">
        <f t="shared" si="220"/>
        <v>8195.1200000000008</v>
      </c>
      <c r="I7056" s="18">
        <v>7785.36</v>
      </c>
      <c r="J7056" s="27">
        <v>8195.1200000000008</v>
      </c>
      <c r="K7056" s="18">
        <f t="shared" si="221"/>
        <v>8195.1200000000008</v>
      </c>
      <c r="L7056" s="27">
        <v>7785.36</v>
      </c>
      <c r="M7056" s="36">
        <v>0</v>
      </c>
      <c r="T7056" s="41">
        <v>0</v>
      </c>
      <c r="U7056" s="41">
        <v>0</v>
      </c>
      <c r="V7056" s="42" t="s">
        <v>113</v>
      </c>
      <c r="W7056" s="42">
        <v>8195.1200000000008</v>
      </c>
      <c r="X7056" s="42">
        <v>8195.1200000000008</v>
      </c>
    </row>
    <row r="7057" spans="1:24">
      <c r="A7057" s="27" t="s">
        <v>12799</v>
      </c>
      <c r="B7057" s="28" t="s">
        <v>12240</v>
      </c>
      <c r="C7057" s="27" t="s">
        <v>12800</v>
      </c>
      <c r="D7057" s="27" t="s">
        <v>230</v>
      </c>
      <c r="E7057" s="29">
        <v>36220</v>
      </c>
      <c r="F7057" s="27">
        <v>15</v>
      </c>
      <c r="G7057" s="18">
        <v>6695.77</v>
      </c>
      <c r="H7057" s="27">
        <f t="shared" si="220"/>
        <v>6695.77</v>
      </c>
      <c r="I7057" s="18">
        <v>6360.98</v>
      </c>
      <c r="J7057" s="27">
        <v>6695.77</v>
      </c>
      <c r="K7057" s="18">
        <f t="shared" si="221"/>
        <v>6695.77</v>
      </c>
      <c r="L7057" s="27">
        <v>6360.98</v>
      </c>
      <c r="M7057" s="36">
        <v>0</v>
      </c>
      <c r="T7057" s="41">
        <v>0</v>
      </c>
      <c r="U7057" s="41">
        <v>0</v>
      </c>
      <c r="V7057" s="42" t="s">
        <v>113</v>
      </c>
      <c r="W7057" s="42">
        <v>6695.77</v>
      </c>
      <c r="X7057" s="42">
        <v>6695.77</v>
      </c>
    </row>
    <row r="7058" spans="1:24">
      <c r="A7058" s="27" t="s">
        <v>12801</v>
      </c>
      <c r="B7058" s="28" t="s">
        <v>12240</v>
      </c>
      <c r="C7058" s="27" t="s">
        <v>12802</v>
      </c>
      <c r="D7058" s="27" t="s">
        <v>230</v>
      </c>
      <c r="E7058" s="29">
        <v>36130</v>
      </c>
      <c r="F7058" s="27">
        <v>15</v>
      </c>
      <c r="G7058" s="18">
        <v>6574.5</v>
      </c>
      <c r="H7058" s="27">
        <f t="shared" si="220"/>
        <v>6574.5</v>
      </c>
      <c r="I7058" s="18">
        <v>6245.77</v>
      </c>
      <c r="J7058" s="27">
        <v>6574.5</v>
      </c>
      <c r="K7058" s="18">
        <f t="shared" si="221"/>
        <v>6574.5</v>
      </c>
      <c r="L7058" s="27">
        <v>6245.77</v>
      </c>
      <c r="M7058" s="36">
        <v>0</v>
      </c>
      <c r="T7058" s="41">
        <v>0</v>
      </c>
      <c r="U7058" s="41">
        <v>0</v>
      </c>
      <c r="V7058" s="42" t="s">
        <v>113</v>
      </c>
      <c r="W7058" s="42">
        <v>6574.5</v>
      </c>
      <c r="X7058" s="42">
        <v>6574.5</v>
      </c>
    </row>
    <row r="7059" spans="1:24">
      <c r="A7059" s="27" t="s">
        <v>12803</v>
      </c>
      <c r="B7059" s="28" t="s">
        <v>12240</v>
      </c>
      <c r="C7059" s="27" t="s">
        <v>12245</v>
      </c>
      <c r="D7059" s="27" t="s">
        <v>5104</v>
      </c>
      <c r="E7059" s="29">
        <v>37226</v>
      </c>
      <c r="F7059" s="27">
        <v>15</v>
      </c>
      <c r="G7059" s="18">
        <v>14163.09</v>
      </c>
      <c r="H7059" s="27">
        <f t="shared" si="220"/>
        <v>14163.09</v>
      </c>
      <c r="I7059" s="18">
        <v>13454.94</v>
      </c>
      <c r="J7059" s="27">
        <v>14163.09</v>
      </c>
      <c r="K7059" s="18">
        <f t="shared" si="221"/>
        <v>14163.09</v>
      </c>
      <c r="L7059" s="27">
        <v>13454.94</v>
      </c>
      <c r="M7059" s="36">
        <v>0</v>
      </c>
      <c r="T7059" s="41">
        <v>0</v>
      </c>
      <c r="U7059" s="41">
        <v>0</v>
      </c>
      <c r="V7059" s="42" t="s">
        <v>113</v>
      </c>
      <c r="W7059" s="42">
        <v>14163.09</v>
      </c>
      <c r="X7059" s="42">
        <v>14163.09</v>
      </c>
    </row>
    <row r="7060" spans="1:24">
      <c r="A7060" s="27" t="s">
        <v>12804</v>
      </c>
      <c r="B7060" s="28" t="s">
        <v>12240</v>
      </c>
      <c r="C7060" s="27" t="s">
        <v>12805</v>
      </c>
      <c r="D7060" s="27" t="s">
        <v>230</v>
      </c>
      <c r="E7060" s="29">
        <v>39417</v>
      </c>
      <c r="F7060" s="27">
        <v>15</v>
      </c>
      <c r="G7060" s="18">
        <v>40971.21</v>
      </c>
      <c r="H7060" s="27">
        <f t="shared" si="220"/>
        <v>0</v>
      </c>
      <c r="I7060" s="18">
        <v>34944.32</v>
      </c>
      <c r="J7060" s="27">
        <v>40971.21</v>
      </c>
      <c r="K7060" s="18">
        <f t="shared" si="221"/>
        <v>0</v>
      </c>
      <c r="L7060" s="27">
        <v>35938.9</v>
      </c>
      <c r="M7060" s="36">
        <v>994.58</v>
      </c>
      <c r="T7060" s="41">
        <v>0</v>
      </c>
      <c r="U7060" s="41">
        <v>0</v>
      </c>
      <c r="V7060" s="42" t="s">
        <v>113</v>
      </c>
      <c r="W7060" s="42">
        <v>0</v>
      </c>
      <c r="X7060" s="42">
        <v>0</v>
      </c>
    </row>
    <row r="7061" spans="1:24">
      <c r="A7061" s="27" t="s">
        <v>12806</v>
      </c>
      <c r="B7061" s="28" t="s">
        <v>12240</v>
      </c>
      <c r="C7061" s="27" t="s">
        <v>12245</v>
      </c>
      <c r="D7061" s="27" t="s">
        <v>5104</v>
      </c>
      <c r="E7061" s="29">
        <v>39417</v>
      </c>
      <c r="F7061" s="27">
        <v>15</v>
      </c>
      <c r="G7061" s="18">
        <v>40971.21</v>
      </c>
      <c r="H7061" s="27">
        <f t="shared" si="220"/>
        <v>0</v>
      </c>
      <c r="I7061" s="18">
        <v>34944.32</v>
      </c>
      <c r="J7061" s="27">
        <v>40971.21</v>
      </c>
      <c r="K7061" s="18">
        <f t="shared" si="221"/>
        <v>0</v>
      </c>
      <c r="L7061" s="27">
        <v>35938.9</v>
      </c>
      <c r="M7061" s="36">
        <v>994.58</v>
      </c>
      <c r="T7061" s="41">
        <v>0</v>
      </c>
      <c r="U7061" s="41">
        <v>0</v>
      </c>
      <c r="V7061" s="42" t="s">
        <v>113</v>
      </c>
      <c r="W7061" s="42">
        <v>0</v>
      </c>
      <c r="X7061" s="42">
        <v>0</v>
      </c>
    </row>
    <row r="7062" spans="1:24">
      <c r="A7062" s="27" t="s">
        <v>12807</v>
      </c>
      <c r="B7062" s="28" t="s">
        <v>12240</v>
      </c>
      <c r="C7062" s="27" t="s">
        <v>12245</v>
      </c>
      <c r="D7062" s="27" t="s">
        <v>230</v>
      </c>
      <c r="E7062" s="29">
        <v>37226</v>
      </c>
      <c r="F7062" s="27">
        <v>15</v>
      </c>
      <c r="G7062" s="18">
        <v>7911.52</v>
      </c>
      <c r="H7062" s="27">
        <f t="shared" si="220"/>
        <v>7911.52</v>
      </c>
      <c r="I7062" s="18">
        <v>7515.94</v>
      </c>
      <c r="J7062" s="27">
        <v>7911.52</v>
      </c>
      <c r="K7062" s="18">
        <f t="shared" si="221"/>
        <v>7911.52</v>
      </c>
      <c r="L7062" s="27">
        <v>7515.94</v>
      </c>
      <c r="M7062" s="36">
        <v>0</v>
      </c>
      <c r="T7062" s="41">
        <v>0</v>
      </c>
      <c r="U7062" s="41">
        <v>0</v>
      </c>
      <c r="V7062" s="42" t="s">
        <v>113</v>
      </c>
      <c r="W7062" s="42">
        <v>7911.52</v>
      </c>
      <c r="X7062" s="42">
        <v>7911.52</v>
      </c>
    </row>
    <row r="7063" spans="1:24">
      <c r="A7063" s="27" t="s">
        <v>12808</v>
      </c>
      <c r="B7063" s="28" t="s">
        <v>12240</v>
      </c>
      <c r="C7063" s="27" t="s">
        <v>12245</v>
      </c>
      <c r="D7063" s="27" t="s">
        <v>5104</v>
      </c>
      <c r="E7063" s="29">
        <v>38078</v>
      </c>
      <c r="F7063" s="27">
        <v>15</v>
      </c>
      <c r="G7063" s="18">
        <v>15866.51</v>
      </c>
      <c r="H7063" s="27">
        <f t="shared" si="220"/>
        <v>15866.51</v>
      </c>
      <c r="I7063" s="18">
        <v>15073.18</v>
      </c>
      <c r="J7063" s="27">
        <v>15866.51</v>
      </c>
      <c r="K7063" s="18">
        <f t="shared" si="221"/>
        <v>15866.51</v>
      </c>
      <c r="L7063" s="27">
        <v>15073.18</v>
      </c>
      <c r="M7063" s="36">
        <v>0</v>
      </c>
      <c r="T7063" s="41">
        <v>0</v>
      </c>
      <c r="U7063" s="41">
        <v>0</v>
      </c>
      <c r="V7063" s="42" t="s">
        <v>113</v>
      </c>
      <c r="W7063" s="42">
        <v>15866.51</v>
      </c>
      <c r="X7063" s="42">
        <v>15866.51</v>
      </c>
    </row>
    <row r="7064" spans="1:24">
      <c r="A7064" s="27" t="s">
        <v>12809</v>
      </c>
      <c r="B7064" s="28" t="s">
        <v>12240</v>
      </c>
      <c r="C7064" s="27" t="s">
        <v>12810</v>
      </c>
      <c r="D7064" s="27" t="s">
        <v>230</v>
      </c>
      <c r="E7064" s="29">
        <v>37226</v>
      </c>
      <c r="F7064" s="27">
        <v>15</v>
      </c>
      <c r="G7064" s="18">
        <v>7788.75</v>
      </c>
      <c r="H7064" s="27">
        <f t="shared" si="220"/>
        <v>7788.75</v>
      </c>
      <c r="I7064" s="18">
        <v>7399.31</v>
      </c>
      <c r="J7064" s="27">
        <v>7788.75</v>
      </c>
      <c r="K7064" s="18">
        <f t="shared" si="221"/>
        <v>7788.75</v>
      </c>
      <c r="L7064" s="27">
        <v>7399.31</v>
      </c>
      <c r="M7064" s="36">
        <v>0</v>
      </c>
      <c r="T7064" s="41">
        <v>0</v>
      </c>
      <c r="U7064" s="41">
        <v>0</v>
      </c>
      <c r="V7064" s="42" t="s">
        <v>113</v>
      </c>
      <c r="W7064" s="42">
        <v>7788.75</v>
      </c>
      <c r="X7064" s="42">
        <v>7788.75</v>
      </c>
    </row>
    <row r="7065" spans="1:24">
      <c r="A7065" s="27" t="s">
        <v>12811</v>
      </c>
      <c r="B7065" s="28" t="s">
        <v>12240</v>
      </c>
      <c r="C7065" s="27" t="s">
        <v>12245</v>
      </c>
      <c r="D7065" s="27" t="s">
        <v>5104</v>
      </c>
      <c r="E7065" s="29">
        <v>39417</v>
      </c>
      <c r="F7065" s="27">
        <v>15</v>
      </c>
      <c r="G7065" s="18">
        <v>40971.21</v>
      </c>
      <c r="H7065" s="27">
        <f t="shared" si="220"/>
        <v>0</v>
      </c>
      <c r="I7065" s="18">
        <v>34944.32</v>
      </c>
      <c r="J7065" s="27">
        <v>40971.21</v>
      </c>
      <c r="K7065" s="18">
        <f t="shared" si="221"/>
        <v>0</v>
      </c>
      <c r="L7065" s="27">
        <v>35938.9</v>
      </c>
      <c r="M7065" s="36">
        <v>994.58</v>
      </c>
      <c r="T7065" s="41">
        <v>0</v>
      </c>
      <c r="U7065" s="41">
        <v>0</v>
      </c>
      <c r="V7065" s="42" t="s">
        <v>113</v>
      </c>
      <c r="W7065" s="42">
        <v>0</v>
      </c>
      <c r="X7065" s="42">
        <v>0</v>
      </c>
    </row>
    <row r="7066" spans="1:24">
      <c r="A7066" s="27" t="s">
        <v>12812</v>
      </c>
      <c r="B7066" s="28" t="s">
        <v>12240</v>
      </c>
      <c r="C7066" s="27" t="s">
        <v>12245</v>
      </c>
      <c r="D7066" s="27" t="s">
        <v>5104</v>
      </c>
      <c r="E7066" s="29">
        <v>39417</v>
      </c>
      <c r="F7066" s="27">
        <v>15</v>
      </c>
      <c r="G7066" s="18">
        <v>40971.230000000003</v>
      </c>
      <c r="H7066" s="27">
        <f t="shared" si="220"/>
        <v>0</v>
      </c>
      <c r="I7066" s="18">
        <v>34944.33</v>
      </c>
      <c r="J7066" s="27">
        <v>40971.230000000003</v>
      </c>
      <c r="K7066" s="18">
        <f t="shared" si="221"/>
        <v>0</v>
      </c>
      <c r="L7066" s="27">
        <v>35938.92</v>
      </c>
      <c r="M7066" s="36">
        <v>994.59</v>
      </c>
      <c r="T7066" s="41">
        <v>0</v>
      </c>
      <c r="U7066" s="41">
        <v>0</v>
      </c>
      <c r="V7066" s="42" t="s">
        <v>113</v>
      </c>
      <c r="W7066" s="42">
        <v>0</v>
      </c>
      <c r="X7066" s="42">
        <v>0</v>
      </c>
    </row>
    <row r="7067" spans="1:24">
      <c r="A7067" s="27" t="s">
        <v>12813</v>
      </c>
      <c r="B7067" s="28" t="s">
        <v>12240</v>
      </c>
      <c r="C7067" s="27" t="s">
        <v>12245</v>
      </c>
      <c r="D7067" s="27" t="s">
        <v>5104</v>
      </c>
      <c r="E7067" s="29">
        <v>39417</v>
      </c>
      <c r="F7067" s="27">
        <v>15</v>
      </c>
      <c r="G7067" s="18">
        <v>40971.21</v>
      </c>
      <c r="H7067" s="27">
        <f t="shared" si="220"/>
        <v>0</v>
      </c>
      <c r="I7067" s="18">
        <v>34944.32</v>
      </c>
      <c r="J7067" s="27">
        <v>40971.21</v>
      </c>
      <c r="K7067" s="18">
        <f t="shared" si="221"/>
        <v>0</v>
      </c>
      <c r="L7067" s="27">
        <v>35938.9</v>
      </c>
      <c r="M7067" s="36">
        <v>994.58</v>
      </c>
      <c r="T7067" s="41">
        <v>0</v>
      </c>
      <c r="U7067" s="41">
        <v>0</v>
      </c>
      <c r="V7067" s="42" t="s">
        <v>113</v>
      </c>
      <c r="W7067" s="42">
        <v>0</v>
      </c>
      <c r="X7067" s="42">
        <v>0</v>
      </c>
    </row>
    <row r="7068" spans="1:24">
      <c r="A7068" s="27" t="s">
        <v>12814</v>
      </c>
      <c r="B7068" s="28" t="s">
        <v>12240</v>
      </c>
      <c r="C7068" s="27" t="s">
        <v>12815</v>
      </c>
      <c r="D7068" s="27" t="s">
        <v>230</v>
      </c>
      <c r="E7068" s="29">
        <v>39417</v>
      </c>
      <c r="F7068" s="27">
        <v>15</v>
      </c>
      <c r="G7068" s="18">
        <v>40971.21</v>
      </c>
      <c r="H7068" s="27">
        <f t="shared" si="220"/>
        <v>0</v>
      </c>
      <c r="I7068" s="18">
        <v>34944.32</v>
      </c>
      <c r="J7068" s="27">
        <v>40971.21</v>
      </c>
      <c r="K7068" s="18">
        <f t="shared" si="221"/>
        <v>0</v>
      </c>
      <c r="L7068" s="27">
        <v>35938.9</v>
      </c>
      <c r="M7068" s="36">
        <v>994.58</v>
      </c>
      <c r="T7068" s="41">
        <v>0</v>
      </c>
      <c r="U7068" s="41">
        <v>0</v>
      </c>
      <c r="V7068" s="42" t="s">
        <v>113</v>
      </c>
      <c r="W7068" s="42">
        <v>0</v>
      </c>
      <c r="X7068" s="42">
        <v>0</v>
      </c>
    </row>
    <row r="7069" spans="1:24">
      <c r="A7069" s="27" t="s">
        <v>12816</v>
      </c>
      <c r="B7069" s="28" t="s">
        <v>12240</v>
      </c>
      <c r="C7069" s="27" t="s">
        <v>12245</v>
      </c>
      <c r="D7069" s="27" t="s">
        <v>5104</v>
      </c>
      <c r="E7069" s="29">
        <v>38078</v>
      </c>
      <c r="F7069" s="27">
        <v>15</v>
      </c>
      <c r="G7069" s="18">
        <v>15866.51</v>
      </c>
      <c r="H7069" s="27">
        <f t="shared" si="220"/>
        <v>15866.51</v>
      </c>
      <c r="I7069" s="18">
        <v>15073.18</v>
      </c>
      <c r="J7069" s="27">
        <v>15866.51</v>
      </c>
      <c r="K7069" s="18">
        <f t="shared" si="221"/>
        <v>15866.51</v>
      </c>
      <c r="L7069" s="27">
        <v>15073.18</v>
      </c>
      <c r="M7069" s="36">
        <v>0</v>
      </c>
      <c r="T7069" s="41">
        <v>0</v>
      </c>
      <c r="U7069" s="41">
        <v>0</v>
      </c>
      <c r="V7069" s="42" t="s">
        <v>113</v>
      </c>
      <c r="W7069" s="42">
        <v>15866.51</v>
      </c>
      <c r="X7069" s="42">
        <v>15866.51</v>
      </c>
    </row>
    <row r="7070" spans="1:24">
      <c r="A7070" s="27" t="s">
        <v>12817</v>
      </c>
      <c r="B7070" s="28" t="s">
        <v>12240</v>
      </c>
      <c r="C7070" s="27" t="s">
        <v>12245</v>
      </c>
      <c r="D7070" s="27" t="s">
        <v>5104</v>
      </c>
      <c r="E7070" s="29">
        <v>37226</v>
      </c>
      <c r="F7070" s="27">
        <v>15</v>
      </c>
      <c r="G7070" s="18">
        <v>7911.52</v>
      </c>
      <c r="H7070" s="27">
        <f t="shared" si="220"/>
        <v>7911.52</v>
      </c>
      <c r="I7070" s="18">
        <v>7515.94</v>
      </c>
      <c r="J7070" s="27">
        <v>7911.52</v>
      </c>
      <c r="K7070" s="18">
        <f t="shared" si="221"/>
        <v>7911.52</v>
      </c>
      <c r="L7070" s="27">
        <v>7515.94</v>
      </c>
      <c r="M7070" s="36">
        <v>0</v>
      </c>
      <c r="T7070" s="41">
        <v>0</v>
      </c>
      <c r="U7070" s="41">
        <v>0</v>
      </c>
      <c r="V7070" s="42" t="s">
        <v>113</v>
      </c>
      <c r="W7070" s="42">
        <v>7911.52</v>
      </c>
      <c r="X7070" s="42">
        <v>7911.52</v>
      </c>
    </row>
    <row r="7071" spans="1:24">
      <c r="A7071" s="27" t="s">
        <v>12818</v>
      </c>
      <c r="B7071" s="28" t="s">
        <v>12240</v>
      </c>
      <c r="C7071" s="27" t="s">
        <v>12245</v>
      </c>
      <c r="D7071" s="27" t="s">
        <v>5104</v>
      </c>
      <c r="E7071" s="29">
        <v>38078</v>
      </c>
      <c r="F7071" s="27">
        <v>15</v>
      </c>
      <c r="G7071" s="18">
        <v>15866.51</v>
      </c>
      <c r="H7071" s="27">
        <f t="shared" si="220"/>
        <v>15866.51</v>
      </c>
      <c r="I7071" s="18">
        <v>15073.18</v>
      </c>
      <c r="J7071" s="27">
        <v>15866.51</v>
      </c>
      <c r="K7071" s="18">
        <f t="shared" si="221"/>
        <v>15866.51</v>
      </c>
      <c r="L7071" s="27">
        <v>15073.18</v>
      </c>
      <c r="M7071" s="36">
        <v>0</v>
      </c>
      <c r="T7071" s="41">
        <v>0</v>
      </c>
      <c r="U7071" s="41">
        <v>0</v>
      </c>
      <c r="V7071" s="42" t="s">
        <v>113</v>
      </c>
      <c r="W7071" s="42">
        <v>15866.51</v>
      </c>
      <c r="X7071" s="42">
        <v>15866.51</v>
      </c>
    </row>
    <row r="7072" spans="1:24">
      <c r="A7072" s="27" t="s">
        <v>12819</v>
      </c>
      <c r="B7072" s="28" t="s">
        <v>12240</v>
      </c>
      <c r="C7072" s="27" t="s">
        <v>12245</v>
      </c>
      <c r="D7072" s="27" t="s">
        <v>5104</v>
      </c>
      <c r="E7072" s="29">
        <v>39417</v>
      </c>
      <c r="F7072" s="27">
        <v>15</v>
      </c>
      <c r="G7072" s="18">
        <v>40971.230000000003</v>
      </c>
      <c r="H7072" s="27">
        <f t="shared" si="220"/>
        <v>0</v>
      </c>
      <c r="I7072" s="18">
        <v>34944.33</v>
      </c>
      <c r="J7072" s="27">
        <v>40971.230000000003</v>
      </c>
      <c r="K7072" s="18">
        <f t="shared" si="221"/>
        <v>0</v>
      </c>
      <c r="L7072" s="27">
        <v>35938.92</v>
      </c>
      <c r="M7072" s="36">
        <v>994.59</v>
      </c>
      <c r="T7072" s="41">
        <v>0</v>
      </c>
      <c r="U7072" s="41">
        <v>0</v>
      </c>
      <c r="V7072" s="42" t="s">
        <v>113</v>
      </c>
      <c r="W7072" s="42">
        <v>0</v>
      </c>
      <c r="X7072" s="42">
        <v>0</v>
      </c>
    </row>
    <row r="7073" spans="1:24">
      <c r="A7073" s="27" t="s">
        <v>12820</v>
      </c>
      <c r="B7073" s="28" t="s">
        <v>12240</v>
      </c>
      <c r="C7073" s="27" t="s">
        <v>12245</v>
      </c>
      <c r="D7073" s="27" t="s">
        <v>5104</v>
      </c>
      <c r="E7073" s="29">
        <v>37226</v>
      </c>
      <c r="F7073" s="27">
        <v>15</v>
      </c>
      <c r="G7073" s="18">
        <v>7681.68</v>
      </c>
      <c r="H7073" s="27">
        <f t="shared" si="220"/>
        <v>7681.68</v>
      </c>
      <c r="I7073" s="18">
        <v>7297.6</v>
      </c>
      <c r="J7073" s="27">
        <v>7681.68</v>
      </c>
      <c r="K7073" s="18">
        <f t="shared" si="221"/>
        <v>7681.68</v>
      </c>
      <c r="L7073" s="27">
        <v>7297.6</v>
      </c>
      <c r="M7073" s="36">
        <v>0</v>
      </c>
      <c r="T7073" s="41">
        <v>0</v>
      </c>
      <c r="U7073" s="41">
        <v>0</v>
      </c>
      <c r="V7073" s="42" t="s">
        <v>113</v>
      </c>
      <c r="W7073" s="42">
        <v>7681.68</v>
      </c>
      <c r="X7073" s="42">
        <v>7681.68</v>
      </c>
    </row>
    <row r="7074" spans="1:24">
      <c r="A7074" s="27" t="s">
        <v>12821</v>
      </c>
      <c r="B7074" s="28" t="s">
        <v>12240</v>
      </c>
      <c r="C7074" s="27" t="s">
        <v>12245</v>
      </c>
      <c r="D7074" s="27" t="s">
        <v>5104</v>
      </c>
      <c r="E7074" s="29">
        <v>38078</v>
      </c>
      <c r="F7074" s="27">
        <v>15</v>
      </c>
      <c r="G7074" s="18">
        <v>15866.5</v>
      </c>
      <c r="H7074" s="27">
        <f t="shared" si="220"/>
        <v>15866.5</v>
      </c>
      <c r="I7074" s="18">
        <v>15073.17</v>
      </c>
      <c r="J7074" s="27">
        <v>15866.5</v>
      </c>
      <c r="K7074" s="18">
        <f t="shared" si="221"/>
        <v>15866.5</v>
      </c>
      <c r="L7074" s="27">
        <v>15073.17</v>
      </c>
      <c r="M7074" s="36">
        <v>0</v>
      </c>
      <c r="T7074" s="41">
        <v>0</v>
      </c>
      <c r="U7074" s="41">
        <v>0</v>
      </c>
      <c r="V7074" s="42" t="s">
        <v>113</v>
      </c>
      <c r="W7074" s="42">
        <v>15866.5</v>
      </c>
      <c r="X7074" s="42">
        <v>15866.5</v>
      </c>
    </row>
    <row r="7075" spans="1:24">
      <c r="A7075" s="27" t="s">
        <v>12822</v>
      </c>
      <c r="B7075" s="28" t="s">
        <v>12240</v>
      </c>
      <c r="C7075" s="27" t="s">
        <v>12245</v>
      </c>
      <c r="D7075" s="27" t="s">
        <v>5104</v>
      </c>
      <c r="E7075" s="29">
        <v>37226</v>
      </c>
      <c r="F7075" s="27">
        <v>15</v>
      </c>
      <c r="G7075" s="18">
        <v>14511.79</v>
      </c>
      <c r="H7075" s="27">
        <f t="shared" si="220"/>
        <v>14511.79</v>
      </c>
      <c r="I7075" s="18">
        <v>13786.2</v>
      </c>
      <c r="J7075" s="27">
        <v>14511.79</v>
      </c>
      <c r="K7075" s="18">
        <f t="shared" si="221"/>
        <v>14511.79</v>
      </c>
      <c r="L7075" s="27">
        <v>13786.2</v>
      </c>
      <c r="M7075" s="36">
        <v>0</v>
      </c>
      <c r="T7075" s="41">
        <v>0</v>
      </c>
      <c r="U7075" s="41">
        <v>0</v>
      </c>
      <c r="V7075" s="42" t="s">
        <v>113</v>
      </c>
      <c r="W7075" s="42">
        <v>14511.79</v>
      </c>
      <c r="X7075" s="42">
        <v>14511.79</v>
      </c>
    </row>
    <row r="7076" spans="1:24">
      <c r="A7076" s="27" t="s">
        <v>12823</v>
      </c>
      <c r="B7076" s="28" t="s">
        <v>12240</v>
      </c>
      <c r="C7076" s="27" t="s">
        <v>12245</v>
      </c>
      <c r="D7076" s="27" t="s">
        <v>5104</v>
      </c>
      <c r="E7076" s="29">
        <v>38078</v>
      </c>
      <c r="F7076" s="27">
        <v>15</v>
      </c>
      <c r="G7076" s="18">
        <v>19707.91</v>
      </c>
      <c r="H7076" s="27">
        <f t="shared" si="220"/>
        <v>19707.91</v>
      </c>
      <c r="I7076" s="18">
        <v>18722.509999999998</v>
      </c>
      <c r="J7076" s="27">
        <v>19707.91</v>
      </c>
      <c r="K7076" s="18">
        <f t="shared" si="221"/>
        <v>19707.91</v>
      </c>
      <c r="L7076" s="27">
        <v>18722.509999999998</v>
      </c>
      <c r="M7076" s="36">
        <v>0</v>
      </c>
      <c r="T7076" s="41">
        <v>0</v>
      </c>
      <c r="U7076" s="41">
        <v>0</v>
      </c>
      <c r="V7076" s="42" t="s">
        <v>113</v>
      </c>
      <c r="W7076" s="42">
        <v>19707.91</v>
      </c>
      <c r="X7076" s="42">
        <v>19707.91</v>
      </c>
    </row>
    <row r="7077" spans="1:24">
      <c r="A7077" s="27" t="s">
        <v>12824</v>
      </c>
      <c r="B7077" s="28" t="s">
        <v>12240</v>
      </c>
      <c r="C7077" s="27" t="s">
        <v>12245</v>
      </c>
      <c r="D7077" s="27" t="s">
        <v>5104</v>
      </c>
      <c r="E7077" s="29">
        <v>37226</v>
      </c>
      <c r="F7077" s="27">
        <v>15</v>
      </c>
      <c r="G7077" s="18">
        <v>19293.28</v>
      </c>
      <c r="H7077" s="27">
        <f t="shared" si="220"/>
        <v>19293.28</v>
      </c>
      <c r="I7077" s="18">
        <v>18328.62</v>
      </c>
      <c r="J7077" s="27">
        <v>19293.28</v>
      </c>
      <c r="K7077" s="18">
        <f t="shared" si="221"/>
        <v>19293.28</v>
      </c>
      <c r="L7077" s="27">
        <v>18328.62</v>
      </c>
      <c r="M7077" s="36">
        <v>0</v>
      </c>
      <c r="T7077" s="41">
        <v>0</v>
      </c>
      <c r="U7077" s="41">
        <v>0</v>
      </c>
      <c r="V7077" s="42" t="s">
        <v>113</v>
      </c>
      <c r="W7077" s="42">
        <v>19293.28</v>
      </c>
      <c r="X7077" s="42">
        <v>19293.28</v>
      </c>
    </row>
    <row r="7078" spans="1:24">
      <c r="A7078" s="27" t="s">
        <v>12825</v>
      </c>
      <c r="B7078" s="28" t="s">
        <v>12240</v>
      </c>
      <c r="C7078" s="27" t="s">
        <v>12245</v>
      </c>
      <c r="D7078" s="27" t="s">
        <v>5104</v>
      </c>
      <c r="E7078" s="29">
        <v>37226</v>
      </c>
      <c r="F7078" s="27">
        <v>15</v>
      </c>
      <c r="G7078" s="18">
        <v>14824.85</v>
      </c>
      <c r="H7078" s="27">
        <f t="shared" si="220"/>
        <v>14824.85</v>
      </c>
      <c r="I7078" s="18">
        <v>14083.61</v>
      </c>
      <c r="J7078" s="27">
        <v>14824.85</v>
      </c>
      <c r="K7078" s="18">
        <f t="shared" si="221"/>
        <v>14824.85</v>
      </c>
      <c r="L7078" s="27">
        <v>14083.61</v>
      </c>
      <c r="M7078" s="36">
        <v>0</v>
      </c>
      <c r="T7078" s="41">
        <v>0</v>
      </c>
      <c r="U7078" s="41">
        <v>0</v>
      </c>
      <c r="V7078" s="42" t="s">
        <v>113</v>
      </c>
      <c r="W7078" s="42">
        <v>14824.85</v>
      </c>
      <c r="X7078" s="42">
        <v>14824.85</v>
      </c>
    </row>
    <row r="7079" spans="1:24">
      <c r="A7079" s="27" t="s">
        <v>12826</v>
      </c>
      <c r="B7079" s="28" t="s">
        <v>12240</v>
      </c>
      <c r="C7079" s="27" t="s">
        <v>12245</v>
      </c>
      <c r="D7079" s="27" t="s">
        <v>5104</v>
      </c>
      <c r="E7079" s="29">
        <v>37226</v>
      </c>
      <c r="F7079" s="27">
        <v>15</v>
      </c>
      <c r="G7079" s="18">
        <v>14075.34</v>
      </c>
      <c r="H7079" s="27">
        <f t="shared" si="220"/>
        <v>14075.34</v>
      </c>
      <c r="I7079" s="18">
        <v>13371.57</v>
      </c>
      <c r="J7079" s="27">
        <v>14075.34</v>
      </c>
      <c r="K7079" s="18">
        <f t="shared" si="221"/>
        <v>14075.34</v>
      </c>
      <c r="L7079" s="27">
        <v>13371.57</v>
      </c>
      <c r="M7079" s="36">
        <v>0</v>
      </c>
      <c r="T7079" s="41">
        <v>0</v>
      </c>
      <c r="U7079" s="41">
        <v>0</v>
      </c>
      <c r="V7079" s="42" t="s">
        <v>113</v>
      </c>
      <c r="W7079" s="42">
        <v>14075.34</v>
      </c>
      <c r="X7079" s="42">
        <v>14075.34</v>
      </c>
    </row>
    <row r="7080" spans="1:24">
      <c r="A7080" s="27" t="s">
        <v>12827</v>
      </c>
      <c r="B7080" s="28" t="s">
        <v>12240</v>
      </c>
      <c r="C7080" s="27" t="s">
        <v>12245</v>
      </c>
      <c r="D7080" s="27" t="s">
        <v>5104</v>
      </c>
      <c r="E7080" s="29">
        <v>37226</v>
      </c>
      <c r="F7080" s="27">
        <v>15</v>
      </c>
      <c r="G7080" s="18">
        <v>14570.05</v>
      </c>
      <c r="H7080" s="27">
        <f t="shared" si="220"/>
        <v>14570.05</v>
      </c>
      <c r="I7080" s="18">
        <v>13841.55</v>
      </c>
      <c r="J7080" s="27">
        <v>14570.05</v>
      </c>
      <c r="K7080" s="18">
        <f t="shared" si="221"/>
        <v>14570.05</v>
      </c>
      <c r="L7080" s="27">
        <v>13841.55</v>
      </c>
      <c r="M7080" s="36">
        <v>0</v>
      </c>
      <c r="T7080" s="41">
        <v>0</v>
      </c>
      <c r="U7080" s="41">
        <v>0</v>
      </c>
      <c r="V7080" s="42" t="s">
        <v>113</v>
      </c>
      <c r="W7080" s="42">
        <v>14570.05</v>
      </c>
      <c r="X7080" s="42">
        <v>14570.05</v>
      </c>
    </row>
    <row r="7081" spans="1:24">
      <c r="A7081" s="27" t="s">
        <v>12828</v>
      </c>
      <c r="B7081" s="28" t="s">
        <v>12240</v>
      </c>
      <c r="C7081" s="27" t="s">
        <v>12245</v>
      </c>
      <c r="D7081" s="27" t="s">
        <v>5104</v>
      </c>
      <c r="E7081" s="29">
        <v>37226</v>
      </c>
      <c r="F7081" s="27">
        <v>15</v>
      </c>
      <c r="G7081" s="18">
        <v>14570.05</v>
      </c>
      <c r="H7081" s="27">
        <f t="shared" si="220"/>
        <v>14570.05</v>
      </c>
      <c r="I7081" s="18">
        <v>13841.55</v>
      </c>
      <c r="J7081" s="27">
        <v>14570.05</v>
      </c>
      <c r="K7081" s="18">
        <f t="shared" si="221"/>
        <v>14570.05</v>
      </c>
      <c r="L7081" s="27">
        <v>13841.55</v>
      </c>
      <c r="M7081" s="36">
        <v>0</v>
      </c>
      <c r="T7081" s="41">
        <v>0</v>
      </c>
      <c r="U7081" s="41">
        <v>0</v>
      </c>
      <c r="V7081" s="42" t="s">
        <v>113</v>
      </c>
      <c r="W7081" s="42">
        <v>14570.05</v>
      </c>
      <c r="X7081" s="42">
        <v>14570.05</v>
      </c>
    </row>
    <row r="7082" spans="1:24">
      <c r="A7082" s="27" t="s">
        <v>12829</v>
      </c>
      <c r="B7082" s="28" t="s">
        <v>12240</v>
      </c>
      <c r="C7082" s="27" t="s">
        <v>12245</v>
      </c>
      <c r="D7082" s="27" t="s">
        <v>5104</v>
      </c>
      <c r="E7082" s="29">
        <v>37226</v>
      </c>
      <c r="F7082" s="27">
        <v>15</v>
      </c>
      <c r="G7082" s="18">
        <v>14570.05</v>
      </c>
      <c r="H7082" s="27">
        <f t="shared" si="220"/>
        <v>14570.05</v>
      </c>
      <c r="I7082" s="18">
        <v>13841.55</v>
      </c>
      <c r="J7082" s="27">
        <v>14570.05</v>
      </c>
      <c r="K7082" s="18">
        <f t="shared" si="221"/>
        <v>14570.05</v>
      </c>
      <c r="L7082" s="27">
        <v>13841.55</v>
      </c>
      <c r="M7082" s="36">
        <v>0</v>
      </c>
      <c r="T7082" s="41">
        <v>0</v>
      </c>
      <c r="U7082" s="41">
        <v>0</v>
      </c>
      <c r="V7082" s="42" t="s">
        <v>113</v>
      </c>
      <c r="W7082" s="42">
        <v>14570.05</v>
      </c>
      <c r="X7082" s="42">
        <v>14570.05</v>
      </c>
    </row>
    <row r="7083" spans="1:24">
      <c r="A7083" s="27" t="s">
        <v>12830</v>
      </c>
      <c r="B7083" s="28" t="s">
        <v>12240</v>
      </c>
      <c r="C7083" s="27" t="s">
        <v>12245</v>
      </c>
      <c r="D7083" s="27" t="s">
        <v>5104</v>
      </c>
      <c r="E7083" s="29">
        <v>37226</v>
      </c>
      <c r="F7083" s="27">
        <v>15</v>
      </c>
      <c r="G7083" s="18">
        <v>29140.1</v>
      </c>
      <c r="H7083" s="27">
        <f t="shared" si="220"/>
        <v>29140.1</v>
      </c>
      <c r="I7083" s="18">
        <v>27683.09</v>
      </c>
      <c r="J7083" s="27">
        <v>29140.1</v>
      </c>
      <c r="K7083" s="18">
        <f t="shared" si="221"/>
        <v>29140.1</v>
      </c>
      <c r="L7083" s="27">
        <v>27683.09</v>
      </c>
      <c r="M7083" s="36">
        <v>0</v>
      </c>
      <c r="T7083" s="41">
        <v>0</v>
      </c>
      <c r="U7083" s="41">
        <v>0</v>
      </c>
      <c r="V7083" s="42" t="s">
        <v>113</v>
      </c>
      <c r="W7083" s="42">
        <v>29140.1</v>
      </c>
      <c r="X7083" s="42">
        <v>29140.1</v>
      </c>
    </row>
    <row r="7084" spans="1:24">
      <c r="A7084" s="27" t="s">
        <v>12831</v>
      </c>
      <c r="B7084" s="28" t="s">
        <v>12240</v>
      </c>
      <c r="C7084" s="27" t="s">
        <v>12245</v>
      </c>
      <c r="D7084" s="27" t="s">
        <v>5104</v>
      </c>
      <c r="E7084" s="29">
        <v>37226</v>
      </c>
      <c r="F7084" s="27">
        <v>15</v>
      </c>
      <c r="G7084" s="18">
        <v>14570.05</v>
      </c>
      <c r="H7084" s="27">
        <f t="shared" si="220"/>
        <v>14570.05</v>
      </c>
      <c r="I7084" s="18">
        <v>13841.55</v>
      </c>
      <c r="J7084" s="27">
        <v>14570.05</v>
      </c>
      <c r="K7084" s="18">
        <f t="shared" si="221"/>
        <v>14570.05</v>
      </c>
      <c r="L7084" s="27">
        <v>13841.55</v>
      </c>
      <c r="M7084" s="36">
        <v>0</v>
      </c>
      <c r="T7084" s="41">
        <v>0</v>
      </c>
      <c r="U7084" s="41">
        <v>0</v>
      </c>
      <c r="V7084" s="42" t="s">
        <v>113</v>
      </c>
      <c r="W7084" s="42">
        <v>14570.05</v>
      </c>
      <c r="X7084" s="42">
        <v>14570.05</v>
      </c>
    </row>
    <row r="7085" spans="1:24">
      <c r="A7085" s="27" t="s">
        <v>12832</v>
      </c>
      <c r="B7085" s="28" t="s">
        <v>12240</v>
      </c>
      <c r="C7085" s="27" t="s">
        <v>12245</v>
      </c>
      <c r="D7085" s="27" t="s">
        <v>5104</v>
      </c>
      <c r="E7085" s="29">
        <v>37226</v>
      </c>
      <c r="F7085" s="27">
        <v>15</v>
      </c>
      <c r="G7085" s="18">
        <v>20115.37</v>
      </c>
      <c r="H7085" s="27">
        <f t="shared" si="220"/>
        <v>20115.37</v>
      </c>
      <c r="I7085" s="18">
        <v>19109.599999999999</v>
      </c>
      <c r="J7085" s="27">
        <v>20115.37</v>
      </c>
      <c r="K7085" s="18">
        <f t="shared" si="221"/>
        <v>20115.37</v>
      </c>
      <c r="L7085" s="27">
        <v>19109.599999999999</v>
      </c>
      <c r="M7085" s="36">
        <v>0</v>
      </c>
      <c r="T7085" s="41">
        <v>0</v>
      </c>
      <c r="U7085" s="41">
        <v>0</v>
      </c>
      <c r="V7085" s="42" t="s">
        <v>113</v>
      </c>
      <c r="W7085" s="42">
        <v>20115.37</v>
      </c>
      <c r="X7085" s="42">
        <v>20115.37</v>
      </c>
    </row>
    <row r="7086" spans="1:24">
      <c r="A7086" s="27" t="s">
        <v>12833</v>
      </c>
      <c r="B7086" s="28" t="s">
        <v>12240</v>
      </c>
      <c r="C7086" s="27" t="s">
        <v>12245</v>
      </c>
      <c r="D7086" s="27" t="s">
        <v>5104</v>
      </c>
      <c r="E7086" s="29">
        <v>37226</v>
      </c>
      <c r="F7086" s="27">
        <v>15</v>
      </c>
      <c r="G7086" s="18">
        <v>14570.05</v>
      </c>
      <c r="H7086" s="27">
        <f t="shared" si="220"/>
        <v>14570.05</v>
      </c>
      <c r="I7086" s="18">
        <v>13841.55</v>
      </c>
      <c r="J7086" s="27">
        <v>14570.05</v>
      </c>
      <c r="K7086" s="18">
        <f t="shared" si="221"/>
        <v>14570.05</v>
      </c>
      <c r="L7086" s="27">
        <v>13841.55</v>
      </c>
      <c r="M7086" s="36">
        <v>0</v>
      </c>
      <c r="T7086" s="41">
        <v>0</v>
      </c>
      <c r="U7086" s="41">
        <v>0</v>
      </c>
      <c r="V7086" s="42" t="s">
        <v>113</v>
      </c>
      <c r="W7086" s="42">
        <v>14570.05</v>
      </c>
      <c r="X7086" s="42">
        <v>14570.05</v>
      </c>
    </row>
    <row r="7087" spans="1:24">
      <c r="A7087" s="27" t="s">
        <v>12834</v>
      </c>
      <c r="B7087" s="28" t="s">
        <v>12240</v>
      </c>
      <c r="C7087" s="27" t="s">
        <v>12245</v>
      </c>
      <c r="D7087" s="27" t="s">
        <v>5104</v>
      </c>
      <c r="E7087" s="29">
        <v>37226</v>
      </c>
      <c r="F7087" s="27">
        <v>15</v>
      </c>
      <c r="G7087" s="18">
        <v>14570.05</v>
      </c>
      <c r="H7087" s="27">
        <f t="shared" si="220"/>
        <v>14570.05</v>
      </c>
      <c r="I7087" s="18">
        <v>13841.55</v>
      </c>
      <c r="J7087" s="27">
        <v>14570.05</v>
      </c>
      <c r="K7087" s="18">
        <f t="shared" si="221"/>
        <v>14570.05</v>
      </c>
      <c r="L7087" s="27">
        <v>13841.55</v>
      </c>
      <c r="M7087" s="36">
        <v>0</v>
      </c>
      <c r="T7087" s="41">
        <v>0</v>
      </c>
      <c r="U7087" s="41">
        <v>0</v>
      </c>
      <c r="V7087" s="42" t="s">
        <v>113</v>
      </c>
      <c r="W7087" s="42">
        <v>14570.05</v>
      </c>
      <c r="X7087" s="42">
        <v>14570.05</v>
      </c>
    </row>
    <row r="7088" spans="1:24">
      <c r="A7088" s="27" t="s">
        <v>12835</v>
      </c>
      <c r="B7088" s="28" t="s">
        <v>12240</v>
      </c>
      <c r="C7088" s="27" t="s">
        <v>12836</v>
      </c>
      <c r="D7088" s="27" t="s">
        <v>230</v>
      </c>
      <c r="E7088" s="29">
        <v>36373</v>
      </c>
      <c r="F7088" s="27">
        <v>15</v>
      </c>
      <c r="G7088" s="18">
        <v>22993</v>
      </c>
      <c r="H7088" s="27">
        <f t="shared" si="220"/>
        <v>22993</v>
      </c>
      <c r="I7088" s="18">
        <v>21843.35</v>
      </c>
      <c r="J7088" s="27">
        <v>22993</v>
      </c>
      <c r="K7088" s="18">
        <f t="shared" si="221"/>
        <v>22993</v>
      </c>
      <c r="L7088" s="27">
        <v>21843.35</v>
      </c>
      <c r="M7088" s="36">
        <v>0</v>
      </c>
      <c r="T7088" s="41">
        <v>0</v>
      </c>
      <c r="U7088" s="41">
        <v>0</v>
      </c>
      <c r="V7088" s="42" t="s">
        <v>113</v>
      </c>
      <c r="W7088" s="42">
        <v>22993</v>
      </c>
      <c r="X7088" s="42">
        <v>22993</v>
      </c>
    </row>
    <row r="7089" spans="1:24">
      <c r="A7089" s="27" t="s">
        <v>12837</v>
      </c>
      <c r="B7089" s="28" t="s">
        <v>12240</v>
      </c>
      <c r="C7089" s="27" t="s">
        <v>12771</v>
      </c>
      <c r="D7089" s="27" t="s">
        <v>5104</v>
      </c>
      <c r="E7089" s="29">
        <v>37742</v>
      </c>
      <c r="F7089" s="27">
        <v>15</v>
      </c>
      <c r="G7089" s="18">
        <v>7420</v>
      </c>
      <c r="H7089" s="27">
        <f t="shared" si="220"/>
        <v>7420</v>
      </c>
      <c r="I7089" s="18">
        <v>7049</v>
      </c>
      <c r="J7089" s="27">
        <v>7420</v>
      </c>
      <c r="K7089" s="18">
        <f t="shared" si="221"/>
        <v>7420</v>
      </c>
      <c r="L7089" s="27">
        <v>7049</v>
      </c>
      <c r="M7089" s="36">
        <v>0</v>
      </c>
      <c r="T7089" s="41">
        <v>0</v>
      </c>
      <c r="U7089" s="41">
        <v>0</v>
      </c>
      <c r="V7089" s="42" t="s">
        <v>113</v>
      </c>
      <c r="W7089" s="42">
        <v>7420</v>
      </c>
      <c r="X7089" s="42">
        <v>7420</v>
      </c>
    </row>
    <row r="7090" spans="1:24">
      <c r="A7090" s="27" t="s">
        <v>12838</v>
      </c>
      <c r="B7090" s="28" t="s">
        <v>12240</v>
      </c>
      <c r="C7090" s="27" t="s">
        <v>12795</v>
      </c>
      <c r="D7090" s="27" t="s">
        <v>5104</v>
      </c>
      <c r="E7090" s="29">
        <v>39022</v>
      </c>
      <c r="F7090" s="27">
        <v>15</v>
      </c>
      <c r="G7090" s="18">
        <v>8075</v>
      </c>
      <c r="H7090" s="27">
        <f t="shared" si="220"/>
        <v>0</v>
      </c>
      <c r="I7090" s="18">
        <v>7296.53</v>
      </c>
      <c r="J7090" s="27">
        <v>8075</v>
      </c>
      <c r="K7090" s="18">
        <f t="shared" si="221"/>
        <v>0</v>
      </c>
      <c r="L7090" s="27">
        <v>7425.01</v>
      </c>
      <c r="M7090" s="36">
        <v>128.47999999999999</v>
      </c>
      <c r="T7090" s="41">
        <v>0</v>
      </c>
      <c r="U7090" s="41">
        <v>0</v>
      </c>
      <c r="V7090" s="42" t="s">
        <v>113</v>
      </c>
      <c r="W7090" s="42">
        <v>0</v>
      </c>
      <c r="X7090" s="42">
        <v>8075</v>
      </c>
    </row>
    <row r="7091" spans="1:24">
      <c r="A7091" s="27" t="s">
        <v>12839</v>
      </c>
      <c r="B7091" s="28" t="s">
        <v>12240</v>
      </c>
      <c r="C7091" s="27" t="s">
        <v>12795</v>
      </c>
      <c r="D7091" s="27" t="s">
        <v>5104</v>
      </c>
      <c r="E7091" s="29">
        <v>35947</v>
      </c>
      <c r="F7091" s="27">
        <v>15</v>
      </c>
      <c r="G7091" s="18">
        <v>9180</v>
      </c>
      <c r="H7091" s="27">
        <f t="shared" si="220"/>
        <v>9180</v>
      </c>
      <c r="I7091" s="18">
        <v>8721</v>
      </c>
      <c r="J7091" s="27">
        <v>9180</v>
      </c>
      <c r="K7091" s="18">
        <f t="shared" si="221"/>
        <v>9180</v>
      </c>
      <c r="L7091" s="27">
        <v>8721</v>
      </c>
      <c r="M7091" s="36">
        <v>0</v>
      </c>
      <c r="T7091" s="41">
        <v>0</v>
      </c>
      <c r="U7091" s="41">
        <v>0</v>
      </c>
      <c r="V7091" s="42" t="s">
        <v>113</v>
      </c>
      <c r="W7091" s="42">
        <v>9180</v>
      </c>
      <c r="X7091" s="42">
        <v>9180</v>
      </c>
    </row>
    <row r="7092" spans="1:24">
      <c r="A7092" s="27" t="s">
        <v>12840</v>
      </c>
      <c r="B7092" s="28" t="s">
        <v>12240</v>
      </c>
      <c r="C7092" s="27" t="s">
        <v>12243</v>
      </c>
      <c r="D7092" s="27" t="s">
        <v>5104</v>
      </c>
      <c r="E7092" s="29">
        <v>35947</v>
      </c>
      <c r="F7092" s="27">
        <v>15</v>
      </c>
      <c r="G7092" s="18">
        <v>9216</v>
      </c>
      <c r="H7092" s="27">
        <f t="shared" si="220"/>
        <v>9216</v>
      </c>
      <c r="I7092" s="18">
        <v>8755.2000000000007</v>
      </c>
      <c r="J7092" s="27">
        <v>9216</v>
      </c>
      <c r="K7092" s="18">
        <f t="shared" si="221"/>
        <v>9216</v>
      </c>
      <c r="L7092" s="27">
        <v>8755.2000000000007</v>
      </c>
      <c r="M7092" s="36">
        <v>0</v>
      </c>
      <c r="T7092" s="41">
        <v>0</v>
      </c>
      <c r="U7092" s="41">
        <v>0</v>
      </c>
      <c r="V7092" s="42" t="s">
        <v>113</v>
      </c>
      <c r="W7092" s="42">
        <v>9216</v>
      </c>
      <c r="X7092" s="42">
        <v>9216</v>
      </c>
    </row>
    <row r="7093" spans="1:24">
      <c r="A7093" s="27" t="s">
        <v>12841</v>
      </c>
      <c r="B7093" s="28" t="s">
        <v>12240</v>
      </c>
      <c r="C7093" s="27" t="s">
        <v>12243</v>
      </c>
      <c r="D7093" s="27" t="s">
        <v>5104</v>
      </c>
      <c r="E7093" s="29">
        <v>38869</v>
      </c>
      <c r="F7093" s="27">
        <v>15</v>
      </c>
      <c r="G7093" s="18">
        <v>11520</v>
      </c>
      <c r="H7093" s="27">
        <f t="shared" si="220"/>
        <v>0</v>
      </c>
      <c r="I7093" s="18">
        <v>10688.5</v>
      </c>
      <c r="J7093" s="27">
        <v>11520</v>
      </c>
      <c r="K7093" s="18">
        <f t="shared" si="221"/>
        <v>0</v>
      </c>
      <c r="L7093" s="27">
        <v>10790.7</v>
      </c>
      <c r="M7093" s="36">
        <v>102.2</v>
      </c>
      <c r="T7093" s="41">
        <v>0</v>
      </c>
      <c r="U7093" s="41">
        <v>0</v>
      </c>
      <c r="V7093" s="42" t="s">
        <v>113</v>
      </c>
      <c r="W7093" s="42">
        <v>0</v>
      </c>
      <c r="X7093" s="42">
        <v>11520</v>
      </c>
    </row>
    <row r="7094" spans="1:24">
      <c r="A7094" s="27" t="s">
        <v>12842</v>
      </c>
      <c r="B7094" s="28" t="s">
        <v>12240</v>
      </c>
      <c r="C7094" s="27" t="s">
        <v>12245</v>
      </c>
      <c r="D7094" s="27" t="s">
        <v>5104</v>
      </c>
      <c r="E7094" s="29">
        <v>36434</v>
      </c>
      <c r="F7094" s="27">
        <v>15</v>
      </c>
      <c r="G7094" s="18">
        <v>11618.75</v>
      </c>
      <c r="H7094" s="27">
        <f t="shared" si="220"/>
        <v>11618.75</v>
      </c>
      <c r="I7094" s="18">
        <v>11037.81</v>
      </c>
      <c r="J7094" s="27">
        <v>11618.75</v>
      </c>
      <c r="K7094" s="18">
        <f t="shared" si="221"/>
        <v>11618.75</v>
      </c>
      <c r="L7094" s="27">
        <v>11037.81</v>
      </c>
      <c r="M7094" s="36">
        <v>0</v>
      </c>
      <c r="T7094" s="41">
        <v>0</v>
      </c>
      <c r="U7094" s="41">
        <v>0</v>
      </c>
      <c r="V7094" s="42" t="s">
        <v>113</v>
      </c>
      <c r="W7094" s="42">
        <v>11618.75</v>
      </c>
      <c r="X7094" s="42">
        <v>11618.75</v>
      </c>
    </row>
    <row r="7095" spans="1:24">
      <c r="A7095" s="27" t="s">
        <v>12843</v>
      </c>
      <c r="B7095" s="28" t="s">
        <v>12240</v>
      </c>
      <c r="C7095" s="27" t="s">
        <v>12844</v>
      </c>
      <c r="D7095" s="27" t="s">
        <v>230</v>
      </c>
      <c r="E7095" s="29">
        <v>34851</v>
      </c>
      <c r="F7095" s="27">
        <v>15</v>
      </c>
      <c r="G7095" s="18">
        <v>57684.24</v>
      </c>
      <c r="H7095" s="27">
        <f t="shared" si="220"/>
        <v>57684.24</v>
      </c>
      <c r="I7095" s="18">
        <v>54800.03</v>
      </c>
      <c r="J7095" s="27">
        <v>57684.24</v>
      </c>
      <c r="K7095" s="18">
        <f t="shared" si="221"/>
        <v>57684.24</v>
      </c>
      <c r="L7095" s="27">
        <v>54800.03</v>
      </c>
      <c r="M7095" s="36">
        <v>0</v>
      </c>
      <c r="T7095" s="41">
        <v>0</v>
      </c>
      <c r="U7095" s="41">
        <v>0</v>
      </c>
      <c r="V7095" s="42" t="s">
        <v>113</v>
      </c>
      <c r="W7095" s="42">
        <v>57684.24</v>
      </c>
      <c r="X7095" s="42">
        <v>57684.24</v>
      </c>
    </row>
    <row r="7096" spans="1:24">
      <c r="A7096" s="27" t="s">
        <v>12845</v>
      </c>
      <c r="B7096" s="28" t="s">
        <v>12240</v>
      </c>
      <c r="C7096" s="27" t="s">
        <v>12245</v>
      </c>
      <c r="D7096" s="27" t="s">
        <v>5104</v>
      </c>
      <c r="E7096" s="29">
        <v>37226</v>
      </c>
      <c r="F7096" s="27">
        <v>15</v>
      </c>
      <c r="G7096" s="18">
        <v>15554.34</v>
      </c>
      <c r="H7096" s="27">
        <f t="shared" si="220"/>
        <v>15554.34</v>
      </c>
      <c r="I7096" s="18">
        <v>14776.62</v>
      </c>
      <c r="J7096" s="27">
        <v>15554.34</v>
      </c>
      <c r="K7096" s="18">
        <f t="shared" si="221"/>
        <v>15554.34</v>
      </c>
      <c r="L7096" s="27">
        <v>14776.62</v>
      </c>
      <c r="M7096" s="36">
        <v>0</v>
      </c>
      <c r="T7096" s="41">
        <v>0</v>
      </c>
      <c r="U7096" s="41">
        <v>0</v>
      </c>
      <c r="V7096" s="42" t="s">
        <v>113</v>
      </c>
      <c r="W7096" s="42">
        <v>15554.34</v>
      </c>
      <c r="X7096" s="42">
        <v>15554.34</v>
      </c>
    </row>
    <row r="7097" spans="1:24">
      <c r="A7097" s="27" t="s">
        <v>12846</v>
      </c>
      <c r="B7097" s="28" t="s">
        <v>12240</v>
      </c>
      <c r="C7097" s="27" t="s">
        <v>12245</v>
      </c>
      <c r="D7097" s="27" t="s">
        <v>5104</v>
      </c>
      <c r="E7097" s="29">
        <v>36495</v>
      </c>
      <c r="F7097" s="27">
        <v>15</v>
      </c>
      <c r="G7097" s="18">
        <v>52334.33</v>
      </c>
      <c r="H7097" s="27">
        <f t="shared" si="220"/>
        <v>52334.33</v>
      </c>
      <c r="I7097" s="18">
        <v>49717.61</v>
      </c>
      <c r="J7097" s="27">
        <v>52334.33</v>
      </c>
      <c r="K7097" s="18">
        <f t="shared" si="221"/>
        <v>52334.33</v>
      </c>
      <c r="L7097" s="27">
        <v>49717.61</v>
      </c>
      <c r="M7097" s="36">
        <v>0</v>
      </c>
      <c r="T7097" s="41">
        <v>0</v>
      </c>
      <c r="U7097" s="41">
        <v>0</v>
      </c>
      <c r="V7097" s="42" t="s">
        <v>113</v>
      </c>
      <c r="W7097" s="42">
        <v>52334.33</v>
      </c>
      <c r="X7097" s="42">
        <v>52334.33</v>
      </c>
    </row>
    <row r="7098" spans="1:24">
      <c r="A7098" s="27" t="s">
        <v>12847</v>
      </c>
      <c r="B7098" s="28" t="s">
        <v>12240</v>
      </c>
      <c r="C7098" s="27" t="s">
        <v>12245</v>
      </c>
      <c r="D7098" s="27" t="s">
        <v>230</v>
      </c>
      <c r="E7098" s="29">
        <v>36495</v>
      </c>
      <c r="F7098" s="27">
        <v>15</v>
      </c>
      <c r="G7098" s="18">
        <v>40269.339999999997</v>
      </c>
      <c r="H7098" s="27">
        <f t="shared" si="220"/>
        <v>40269.339999999997</v>
      </c>
      <c r="I7098" s="18">
        <v>38255.870000000003</v>
      </c>
      <c r="J7098" s="27">
        <v>40269.339999999997</v>
      </c>
      <c r="K7098" s="18">
        <f t="shared" si="221"/>
        <v>40269.339999999997</v>
      </c>
      <c r="L7098" s="27">
        <v>38255.870000000003</v>
      </c>
      <c r="M7098" s="36">
        <v>0</v>
      </c>
      <c r="T7098" s="41">
        <v>0</v>
      </c>
      <c r="U7098" s="41">
        <v>0</v>
      </c>
      <c r="V7098" s="42" t="s">
        <v>113</v>
      </c>
      <c r="W7098" s="42">
        <v>40269.339999999997</v>
      </c>
      <c r="X7098" s="42">
        <v>40269.339999999997</v>
      </c>
    </row>
    <row r="7099" spans="1:24">
      <c r="A7099" s="27" t="s">
        <v>12848</v>
      </c>
      <c r="B7099" s="28" t="s">
        <v>12240</v>
      </c>
      <c r="C7099" s="27" t="s">
        <v>12849</v>
      </c>
      <c r="D7099" s="27" t="s">
        <v>230</v>
      </c>
      <c r="E7099" s="29">
        <v>38078</v>
      </c>
      <c r="F7099" s="27">
        <v>15</v>
      </c>
      <c r="G7099" s="18">
        <v>17381.62</v>
      </c>
      <c r="H7099" s="27">
        <f t="shared" si="220"/>
        <v>17381.62</v>
      </c>
      <c r="I7099" s="18">
        <v>16512.54</v>
      </c>
      <c r="J7099" s="27">
        <v>17381.62</v>
      </c>
      <c r="K7099" s="18">
        <f t="shared" si="221"/>
        <v>17381.62</v>
      </c>
      <c r="L7099" s="27">
        <v>16512.54</v>
      </c>
      <c r="M7099" s="36">
        <v>0</v>
      </c>
      <c r="T7099" s="41">
        <v>0</v>
      </c>
      <c r="U7099" s="41">
        <v>0</v>
      </c>
      <c r="V7099" s="42" t="s">
        <v>113</v>
      </c>
      <c r="W7099" s="42">
        <v>17381.62</v>
      </c>
      <c r="X7099" s="42">
        <v>17381.62</v>
      </c>
    </row>
    <row r="7100" spans="1:24">
      <c r="A7100" s="27" t="s">
        <v>12850</v>
      </c>
      <c r="B7100" s="28" t="s">
        <v>12240</v>
      </c>
      <c r="C7100" s="27" t="s">
        <v>12851</v>
      </c>
      <c r="D7100" s="27" t="s">
        <v>230</v>
      </c>
      <c r="E7100" s="29">
        <v>38078</v>
      </c>
      <c r="F7100" s="27">
        <v>15</v>
      </c>
      <c r="G7100" s="18">
        <v>37711.49</v>
      </c>
      <c r="H7100" s="27">
        <f t="shared" si="220"/>
        <v>37711.49</v>
      </c>
      <c r="I7100" s="18">
        <v>35825.919999999998</v>
      </c>
      <c r="J7100" s="27">
        <v>37711.49</v>
      </c>
      <c r="K7100" s="18">
        <f t="shared" si="221"/>
        <v>37711.49</v>
      </c>
      <c r="L7100" s="27">
        <v>35825.919999999998</v>
      </c>
      <c r="M7100" s="36">
        <v>0</v>
      </c>
      <c r="T7100" s="41">
        <v>0</v>
      </c>
      <c r="U7100" s="41">
        <v>0</v>
      </c>
      <c r="V7100" s="42" t="s">
        <v>113</v>
      </c>
      <c r="W7100" s="42">
        <v>37711.49</v>
      </c>
      <c r="X7100" s="42">
        <v>37711.49</v>
      </c>
    </row>
    <row r="7101" spans="1:24">
      <c r="A7101" s="27" t="s">
        <v>12852</v>
      </c>
      <c r="B7101" s="28" t="s">
        <v>12240</v>
      </c>
      <c r="C7101" s="27" t="s">
        <v>12245</v>
      </c>
      <c r="D7101" s="27" t="s">
        <v>230</v>
      </c>
      <c r="E7101" s="29">
        <v>39417</v>
      </c>
      <c r="F7101" s="27">
        <v>15</v>
      </c>
      <c r="G7101" s="18">
        <v>39824.269999999997</v>
      </c>
      <c r="H7101" s="27">
        <f t="shared" si="220"/>
        <v>0</v>
      </c>
      <c r="I7101" s="18">
        <v>33966.1</v>
      </c>
      <c r="J7101" s="27">
        <v>39824.269999999997</v>
      </c>
      <c r="K7101" s="18">
        <f t="shared" si="221"/>
        <v>0</v>
      </c>
      <c r="L7101" s="27">
        <v>34932.839999999997</v>
      </c>
      <c r="M7101" s="36">
        <v>966.74</v>
      </c>
      <c r="T7101" s="41">
        <v>0</v>
      </c>
      <c r="U7101" s="41">
        <v>0</v>
      </c>
      <c r="V7101" s="42" t="s">
        <v>113</v>
      </c>
      <c r="W7101" s="42">
        <v>0</v>
      </c>
      <c r="X7101" s="42">
        <v>0</v>
      </c>
    </row>
    <row r="7102" spans="1:24">
      <c r="A7102" s="27" t="s">
        <v>12853</v>
      </c>
      <c r="B7102" s="28" t="s">
        <v>12240</v>
      </c>
      <c r="C7102" s="27" t="s">
        <v>12245</v>
      </c>
      <c r="D7102" s="27" t="s">
        <v>5104</v>
      </c>
      <c r="E7102" s="29">
        <v>36495</v>
      </c>
      <c r="F7102" s="27">
        <v>15</v>
      </c>
      <c r="G7102" s="18">
        <v>40269.339999999997</v>
      </c>
      <c r="H7102" s="27">
        <f t="shared" si="220"/>
        <v>40269.339999999997</v>
      </c>
      <c r="I7102" s="18">
        <v>38255.870000000003</v>
      </c>
      <c r="J7102" s="27">
        <v>40269.339999999997</v>
      </c>
      <c r="K7102" s="18">
        <f t="shared" si="221"/>
        <v>40269.339999999997</v>
      </c>
      <c r="L7102" s="27">
        <v>38255.870000000003</v>
      </c>
      <c r="M7102" s="36">
        <v>0</v>
      </c>
      <c r="T7102" s="41">
        <v>0</v>
      </c>
      <c r="U7102" s="41">
        <v>0</v>
      </c>
      <c r="V7102" s="42" t="s">
        <v>113</v>
      </c>
      <c r="W7102" s="42">
        <v>40269.339999999997</v>
      </c>
      <c r="X7102" s="42">
        <v>40269.339999999997</v>
      </c>
    </row>
    <row r="7103" spans="1:24">
      <c r="A7103" s="27" t="s">
        <v>12854</v>
      </c>
      <c r="B7103" s="28" t="s">
        <v>12240</v>
      </c>
      <c r="C7103" s="27" t="s">
        <v>12245</v>
      </c>
      <c r="D7103" s="27" t="s">
        <v>5104</v>
      </c>
      <c r="E7103" s="29">
        <v>36495</v>
      </c>
      <c r="F7103" s="27">
        <v>15</v>
      </c>
      <c r="G7103" s="18">
        <v>40269.339999999997</v>
      </c>
      <c r="H7103" s="27">
        <f t="shared" si="220"/>
        <v>40269.339999999997</v>
      </c>
      <c r="I7103" s="18">
        <v>38255.870000000003</v>
      </c>
      <c r="J7103" s="27">
        <v>40269.339999999997</v>
      </c>
      <c r="K7103" s="18">
        <f t="shared" si="221"/>
        <v>40269.339999999997</v>
      </c>
      <c r="L7103" s="27">
        <v>38255.870000000003</v>
      </c>
      <c r="M7103" s="36">
        <v>0</v>
      </c>
      <c r="T7103" s="41">
        <v>0</v>
      </c>
      <c r="U7103" s="41">
        <v>0</v>
      </c>
      <c r="V7103" s="42" t="s">
        <v>113</v>
      </c>
      <c r="W7103" s="42">
        <v>40269.339999999997</v>
      </c>
      <c r="X7103" s="42">
        <v>40269.339999999997</v>
      </c>
    </row>
    <row r="7104" spans="1:24">
      <c r="A7104" s="27" t="s">
        <v>12855</v>
      </c>
      <c r="B7104" s="28" t="s">
        <v>12240</v>
      </c>
      <c r="C7104" s="27" t="s">
        <v>12856</v>
      </c>
      <c r="D7104" s="27" t="s">
        <v>5104</v>
      </c>
      <c r="E7104" s="29">
        <v>39417</v>
      </c>
      <c r="F7104" s="27">
        <v>15</v>
      </c>
      <c r="G7104" s="18">
        <v>6800</v>
      </c>
      <c r="H7104" s="27">
        <f t="shared" si="220"/>
        <v>0</v>
      </c>
      <c r="I7104" s="18">
        <v>5874.31</v>
      </c>
      <c r="J7104" s="27">
        <v>6800</v>
      </c>
      <c r="K7104" s="18">
        <f t="shared" si="221"/>
        <v>0</v>
      </c>
      <c r="L7104" s="27">
        <v>6020.73</v>
      </c>
      <c r="M7104" s="36">
        <v>146.41999999999999</v>
      </c>
      <c r="T7104" s="41">
        <v>0</v>
      </c>
      <c r="U7104" s="41">
        <v>0</v>
      </c>
      <c r="V7104" s="42" t="s">
        <v>113</v>
      </c>
      <c r="W7104" s="42">
        <v>0</v>
      </c>
      <c r="X7104" s="42">
        <v>0</v>
      </c>
    </row>
    <row r="7105" spans="1:24">
      <c r="A7105" s="27" t="s">
        <v>12857</v>
      </c>
      <c r="B7105" s="28" t="s">
        <v>12240</v>
      </c>
      <c r="C7105" s="27" t="s">
        <v>12771</v>
      </c>
      <c r="D7105" s="27" t="s">
        <v>5104</v>
      </c>
      <c r="E7105" s="29">
        <v>39417</v>
      </c>
      <c r="F7105" s="27">
        <v>15</v>
      </c>
      <c r="G7105" s="18">
        <v>18200</v>
      </c>
      <c r="H7105" s="27">
        <f t="shared" si="220"/>
        <v>0</v>
      </c>
      <c r="I7105" s="18">
        <v>15722.44</v>
      </c>
      <c r="J7105" s="27">
        <v>18200</v>
      </c>
      <c r="K7105" s="18">
        <f t="shared" si="221"/>
        <v>0</v>
      </c>
      <c r="L7105" s="27">
        <v>16114.33</v>
      </c>
      <c r="M7105" s="36">
        <v>391.89</v>
      </c>
      <c r="T7105" s="41">
        <v>0</v>
      </c>
      <c r="U7105" s="41">
        <v>0</v>
      </c>
      <c r="V7105" s="42" t="s">
        <v>113</v>
      </c>
      <c r="W7105" s="42">
        <v>0</v>
      </c>
      <c r="X7105" s="42">
        <v>0</v>
      </c>
    </row>
    <row r="7106" spans="1:24">
      <c r="A7106" s="27" t="s">
        <v>12858</v>
      </c>
      <c r="B7106" s="28" t="s">
        <v>12240</v>
      </c>
      <c r="C7106" s="27" t="s">
        <v>12771</v>
      </c>
      <c r="D7106" s="27" t="s">
        <v>5104</v>
      </c>
      <c r="E7106" s="29">
        <v>39417</v>
      </c>
      <c r="F7106" s="27">
        <v>15</v>
      </c>
      <c r="G7106" s="18">
        <v>17600</v>
      </c>
      <c r="H7106" s="27">
        <f t="shared" si="220"/>
        <v>0</v>
      </c>
      <c r="I7106" s="18">
        <v>15204.12</v>
      </c>
      <c r="J7106" s="27">
        <v>17600</v>
      </c>
      <c r="K7106" s="18">
        <f t="shared" si="221"/>
        <v>0</v>
      </c>
      <c r="L7106" s="27">
        <v>15583.09</v>
      </c>
      <c r="M7106" s="36">
        <v>378.97</v>
      </c>
      <c r="T7106" s="41">
        <v>0</v>
      </c>
      <c r="U7106" s="41">
        <v>0</v>
      </c>
      <c r="V7106" s="42" t="s">
        <v>113</v>
      </c>
      <c r="W7106" s="42">
        <v>0</v>
      </c>
      <c r="X7106" s="42">
        <v>0</v>
      </c>
    </row>
    <row r="7107" spans="1:24">
      <c r="A7107" s="27" t="s">
        <v>12859</v>
      </c>
      <c r="B7107" s="28" t="s">
        <v>12240</v>
      </c>
      <c r="C7107" s="27" t="s">
        <v>12771</v>
      </c>
      <c r="D7107" s="27" t="s">
        <v>5104</v>
      </c>
      <c r="E7107" s="29">
        <v>39417</v>
      </c>
      <c r="F7107" s="27">
        <v>15</v>
      </c>
      <c r="G7107" s="18">
        <v>8800</v>
      </c>
      <c r="H7107" s="27">
        <f t="shared" si="220"/>
        <v>0</v>
      </c>
      <c r="I7107" s="18">
        <v>7602.06</v>
      </c>
      <c r="J7107" s="27">
        <v>8800</v>
      </c>
      <c r="K7107" s="18">
        <f t="shared" si="221"/>
        <v>0</v>
      </c>
      <c r="L7107" s="27">
        <v>7791.55</v>
      </c>
      <c r="M7107" s="36">
        <v>189.49</v>
      </c>
      <c r="T7107" s="41">
        <v>0</v>
      </c>
      <c r="U7107" s="41">
        <v>0</v>
      </c>
      <c r="V7107" s="42" t="s">
        <v>113</v>
      </c>
      <c r="W7107" s="42">
        <v>0</v>
      </c>
      <c r="X7107" s="42">
        <v>0</v>
      </c>
    </row>
    <row r="7108" spans="1:24">
      <c r="A7108" s="27" t="s">
        <v>12860</v>
      </c>
      <c r="B7108" s="28" t="s">
        <v>12240</v>
      </c>
      <c r="C7108" s="27" t="s">
        <v>12771</v>
      </c>
      <c r="D7108" s="27" t="s">
        <v>5104</v>
      </c>
      <c r="E7108" s="29">
        <v>39417</v>
      </c>
      <c r="F7108" s="27">
        <v>15</v>
      </c>
      <c r="G7108" s="18">
        <v>9100</v>
      </c>
      <c r="H7108" s="27">
        <f t="shared" si="220"/>
        <v>0</v>
      </c>
      <c r="I7108" s="18">
        <v>7861.22</v>
      </c>
      <c r="J7108" s="27">
        <v>9100</v>
      </c>
      <c r="K7108" s="18">
        <f t="shared" si="221"/>
        <v>0</v>
      </c>
      <c r="L7108" s="27">
        <v>8057.17</v>
      </c>
      <c r="M7108" s="36">
        <v>195.95</v>
      </c>
      <c r="T7108" s="41">
        <v>0</v>
      </c>
      <c r="U7108" s="41">
        <v>0</v>
      </c>
      <c r="V7108" s="42" t="s">
        <v>113</v>
      </c>
      <c r="W7108" s="42">
        <v>0</v>
      </c>
      <c r="X7108" s="42">
        <v>0</v>
      </c>
    </row>
    <row r="7109" spans="1:24">
      <c r="A7109" s="27" t="s">
        <v>12861</v>
      </c>
      <c r="B7109" s="28" t="s">
        <v>12240</v>
      </c>
      <c r="C7109" s="27" t="s">
        <v>12862</v>
      </c>
      <c r="D7109" s="27" t="s">
        <v>230</v>
      </c>
      <c r="E7109" s="29">
        <v>39417</v>
      </c>
      <c r="F7109" s="27">
        <v>15</v>
      </c>
      <c r="G7109" s="18">
        <v>9400</v>
      </c>
      <c r="H7109" s="27">
        <f t="shared" si="220"/>
        <v>0</v>
      </c>
      <c r="I7109" s="18">
        <v>8120.39</v>
      </c>
      <c r="J7109" s="27">
        <v>9400</v>
      </c>
      <c r="K7109" s="18">
        <f t="shared" si="221"/>
        <v>0</v>
      </c>
      <c r="L7109" s="27">
        <v>8322.7900000000009</v>
      </c>
      <c r="M7109" s="36">
        <v>202.4</v>
      </c>
      <c r="T7109" s="41">
        <v>0</v>
      </c>
      <c r="U7109" s="41">
        <v>0</v>
      </c>
      <c r="V7109" s="42" t="s">
        <v>113</v>
      </c>
      <c r="W7109" s="42">
        <v>0</v>
      </c>
      <c r="X7109" s="42">
        <v>0</v>
      </c>
    </row>
    <row r="7110" spans="1:24">
      <c r="A7110" s="27" t="s">
        <v>12863</v>
      </c>
      <c r="B7110" s="28" t="s">
        <v>12240</v>
      </c>
      <c r="C7110" s="27" t="s">
        <v>12252</v>
      </c>
      <c r="D7110" s="27" t="s">
        <v>5104</v>
      </c>
      <c r="E7110" s="29">
        <v>39417</v>
      </c>
      <c r="F7110" s="27">
        <v>15</v>
      </c>
      <c r="G7110" s="18">
        <v>9800</v>
      </c>
      <c r="H7110" s="27">
        <f t="shared" ref="H7110:H7173" si="222">IFERROR(IF(ROUND((G7110-I7110)/G7110,2)&lt;=0.05,G7110,0),0)</f>
        <v>0</v>
      </c>
      <c r="I7110" s="18">
        <v>8940.39</v>
      </c>
      <c r="J7110" s="27">
        <v>9800</v>
      </c>
      <c r="K7110" s="18">
        <f t="shared" ref="K7110:K7173" si="223">IFERROR(IF(ROUND((J7110-L7110)/J7110,2)&lt;=0.05,J7110,0),0)</f>
        <v>0</v>
      </c>
      <c r="L7110" s="27">
        <v>9032.7900000000009</v>
      </c>
      <c r="M7110" s="36">
        <v>92.4</v>
      </c>
      <c r="T7110" s="41">
        <v>0</v>
      </c>
      <c r="U7110" s="41">
        <v>0</v>
      </c>
      <c r="V7110" s="42" t="s">
        <v>113</v>
      </c>
      <c r="W7110" s="42">
        <v>0</v>
      </c>
      <c r="X7110" s="42">
        <v>0</v>
      </c>
    </row>
    <row r="7111" spans="1:24">
      <c r="A7111" s="27" t="s">
        <v>12864</v>
      </c>
      <c r="B7111" s="28" t="s">
        <v>12240</v>
      </c>
      <c r="C7111" s="27" t="s">
        <v>12865</v>
      </c>
      <c r="D7111" s="27" t="s">
        <v>230</v>
      </c>
      <c r="E7111" s="29">
        <v>39417</v>
      </c>
      <c r="F7111" s="27">
        <v>15</v>
      </c>
      <c r="G7111" s="18">
        <v>15000</v>
      </c>
      <c r="H7111" s="27">
        <f t="shared" si="222"/>
        <v>15000</v>
      </c>
      <c r="I7111" s="18">
        <v>14250</v>
      </c>
      <c r="J7111" s="27">
        <v>15000</v>
      </c>
      <c r="K7111" s="18">
        <f t="shared" si="223"/>
        <v>15000</v>
      </c>
      <c r="L7111" s="27">
        <v>14250</v>
      </c>
      <c r="M7111" s="36">
        <v>0</v>
      </c>
      <c r="T7111" s="41">
        <v>0</v>
      </c>
      <c r="U7111" s="41">
        <v>0</v>
      </c>
      <c r="V7111" s="42" t="s">
        <v>113</v>
      </c>
      <c r="W7111" s="42">
        <v>15000</v>
      </c>
      <c r="X7111" s="42">
        <v>15000</v>
      </c>
    </row>
    <row r="7112" spans="1:24">
      <c r="A7112" s="27" t="s">
        <v>12866</v>
      </c>
      <c r="B7112" s="28" t="s">
        <v>12240</v>
      </c>
      <c r="C7112" s="27" t="s">
        <v>12867</v>
      </c>
      <c r="D7112" s="27" t="s">
        <v>5104</v>
      </c>
      <c r="E7112" s="29">
        <v>39417</v>
      </c>
      <c r="F7112" s="27">
        <v>15</v>
      </c>
      <c r="G7112" s="18">
        <v>6200</v>
      </c>
      <c r="H7112" s="27">
        <f t="shared" si="222"/>
        <v>0</v>
      </c>
      <c r="I7112" s="18">
        <v>5490.28</v>
      </c>
      <c r="J7112" s="27">
        <v>6200</v>
      </c>
      <c r="K7112" s="18">
        <f t="shared" si="223"/>
        <v>0</v>
      </c>
      <c r="L7112" s="27">
        <v>5590.21</v>
      </c>
      <c r="M7112" s="36">
        <v>99.93</v>
      </c>
      <c r="T7112" s="41">
        <v>0</v>
      </c>
      <c r="U7112" s="41">
        <v>0</v>
      </c>
      <c r="V7112" s="42" t="s">
        <v>113</v>
      </c>
      <c r="W7112" s="42">
        <v>0</v>
      </c>
      <c r="X7112" s="42">
        <v>0</v>
      </c>
    </row>
    <row r="7113" spans="1:24">
      <c r="A7113" s="27" t="s">
        <v>12868</v>
      </c>
      <c r="B7113" s="28" t="s">
        <v>12240</v>
      </c>
      <c r="C7113" s="27" t="s">
        <v>12245</v>
      </c>
      <c r="D7113" s="27" t="s">
        <v>5104</v>
      </c>
      <c r="E7113" s="29">
        <v>33420</v>
      </c>
      <c r="F7113" s="27">
        <v>15</v>
      </c>
      <c r="G7113" s="18">
        <v>28744.5</v>
      </c>
      <c r="H7113" s="27">
        <f t="shared" si="222"/>
        <v>28744.5</v>
      </c>
      <c r="I7113" s="18">
        <v>27307.27</v>
      </c>
      <c r="J7113" s="27">
        <v>28744.5</v>
      </c>
      <c r="K7113" s="18">
        <f t="shared" si="223"/>
        <v>28744.5</v>
      </c>
      <c r="L7113" s="27">
        <v>27307.27</v>
      </c>
      <c r="M7113" s="36">
        <v>0</v>
      </c>
      <c r="T7113" s="41">
        <v>0</v>
      </c>
      <c r="U7113" s="41">
        <v>0</v>
      </c>
      <c r="V7113" s="42" t="s">
        <v>113</v>
      </c>
      <c r="W7113" s="42">
        <v>28744.5</v>
      </c>
      <c r="X7113" s="42">
        <v>28744.5</v>
      </c>
    </row>
    <row r="7114" spans="1:24">
      <c r="A7114" s="27" t="s">
        <v>12869</v>
      </c>
      <c r="B7114" s="28" t="s">
        <v>12240</v>
      </c>
      <c r="C7114" s="27" t="s">
        <v>12243</v>
      </c>
      <c r="D7114" s="27" t="s">
        <v>230</v>
      </c>
      <c r="E7114" s="29">
        <v>37226</v>
      </c>
      <c r="F7114" s="27">
        <v>15</v>
      </c>
      <c r="G7114" s="18">
        <v>24804.11</v>
      </c>
      <c r="H7114" s="27">
        <f t="shared" si="222"/>
        <v>24804.11</v>
      </c>
      <c r="I7114" s="18">
        <v>23563.9</v>
      </c>
      <c r="J7114" s="27">
        <v>24804.11</v>
      </c>
      <c r="K7114" s="18">
        <f t="shared" si="223"/>
        <v>24804.11</v>
      </c>
      <c r="L7114" s="27">
        <v>23563.9</v>
      </c>
      <c r="M7114" s="36">
        <v>0</v>
      </c>
      <c r="T7114" s="41">
        <v>0</v>
      </c>
      <c r="U7114" s="41">
        <v>0</v>
      </c>
      <c r="V7114" s="42" t="s">
        <v>113</v>
      </c>
      <c r="W7114" s="42">
        <v>24804.11</v>
      </c>
      <c r="X7114" s="42">
        <v>24804.11</v>
      </c>
    </row>
    <row r="7115" spans="1:24">
      <c r="A7115" s="27" t="s">
        <v>12870</v>
      </c>
      <c r="B7115" s="28" t="s">
        <v>12240</v>
      </c>
      <c r="C7115" s="27" t="s">
        <v>12871</v>
      </c>
      <c r="D7115" s="27" t="s">
        <v>5104</v>
      </c>
      <c r="E7115" s="29">
        <v>36434</v>
      </c>
      <c r="F7115" s="27">
        <v>15</v>
      </c>
      <c r="G7115" s="18">
        <v>676722.25</v>
      </c>
      <c r="H7115" s="27">
        <f t="shared" si="222"/>
        <v>676722.25</v>
      </c>
      <c r="I7115" s="18">
        <v>642886.14</v>
      </c>
      <c r="J7115" s="27">
        <v>676722.25</v>
      </c>
      <c r="K7115" s="18">
        <f t="shared" si="223"/>
        <v>676722.25</v>
      </c>
      <c r="L7115" s="27">
        <v>642886.14</v>
      </c>
      <c r="M7115" s="36">
        <v>0</v>
      </c>
      <c r="T7115" s="41">
        <v>0</v>
      </c>
      <c r="U7115" s="41">
        <v>0</v>
      </c>
      <c r="V7115" s="42" t="s">
        <v>113</v>
      </c>
      <c r="W7115" s="42">
        <v>676722.25</v>
      </c>
      <c r="X7115" s="42">
        <v>676722.25</v>
      </c>
    </row>
    <row r="7116" spans="1:24">
      <c r="A7116" s="27" t="s">
        <v>12872</v>
      </c>
      <c r="B7116" s="28" t="s">
        <v>12240</v>
      </c>
      <c r="C7116" s="27" t="s">
        <v>12617</v>
      </c>
      <c r="D7116" s="27" t="s">
        <v>5104</v>
      </c>
      <c r="E7116" s="29">
        <v>39417</v>
      </c>
      <c r="F7116" s="27">
        <v>15</v>
      </c>
      <c r="G7116" s="18">
        <v>12940</v>
      </c>
      <c r="H7116" s="27">
        <f t="shared" si="222"/>
        <v>0</v>
      </c>
      <c r="I7116" s="18">
        <v>11145.5</v>
      </c>
      <c r="J7116" s="27">
        <v>12940</v>
      </c>
      <c r="K7116" s="18">
        <f t="shared" si="223"/>
        <v>0</v>
      </c>
      <c r="L7116" s="27">
        <v>11432.38</v>
      </c>
      <c r="M7116" s="36">
        <v>286.88</v>
      </c>
      <c r="T7116" s="41">
        <v>0</v>
      </c>
      <c r="U7116" s="41">
        <v>0</v>
      </c>
      <c r="V7116" s="42" t="s">
        <v>113</v>
      </c>
      <c r="W7116" s="42">
        <v>0</v>
      </c>
      <c r="X7116" s="42">
        <v>0</v>
      </c>
    </row>
    <row r="7117" spans="1:24">
      <c r="A7117" s="27" t="s">
        <v>12873</v>
      </c>
      <c r="B7117" s="28" t="s">
        <v>12240</v>
      </c>
      <c r="C7117" s="27" t="s">
        <v>12874</v>
      </c>
      <c r="D7117" s="27" t="s">
        <v>230</v>
      </c>
      <c r="E7117" s="29">
        <v>36526</v>
      </c>
      <c r="F7117" s="27">
        <v>15</v>
      </c>
      <c r="G7117" s="18">
        <v>9703.3700000000008</v>
      </c>
      <c r="H7117" s="27">
        <f t="shared" si="222"/>
        <v>9703.3700000000008</v>
      </c>
      <c r="I7117" s="18">
        <v>9218.2000000000007</v>
      </c>
      <c r="J7117" s="27">
        <v>9703.3700000000008</v>
      </c>
      <c r="K7117" s="18">
        <f t="shared" si="223"/>
        <v>9703.3700000000008</v>
      </c>
      <c r="L7117" s="27">
        <v>9218.2000000000007</v>
      </c>
      <c r="M7117" s="36">
        <v>0</v>
      </c>
      <c r="T7117" s="41">
        <v>0</v>
      </c>
      <c r="U7117" s="41">
        <v>0</v>
      </c>
      <c r="V7117" s="42" t="s">
        <v>113</v>
      </c>
      <c r="W7117" s="42">
        <v>9703.3700000000008</v>
      </c>
      <c r="X7117" s="42">
        <v>9703.3700000000008</v>
      </c>
    </row>
    <row r="7118" spans="1:24">
      <c r="A7118" s="27" t="s">
        <v>12875</v>
      </c>
      <c r="B7118" s="28" t="s">
        <v>12240</v>
      </c>
      <c r="C7118" s="27" t="s">
        <v>12876</v>
      </c>
      <c r="D7118" s="27" t="s">
        <v>230</v>
      </c>
      <c r="E7118" s="29">
        <v>36161</v>
      </c>
      <c r="F7118" s="27">
        <v>15</v>
      </c>
      <c r="G7118" s="18">
        <v>6761.92</v>
      </c>
      <c r="H7118" s="27">
        <f t="shared" si="222"/>
        <v>6761.92</v>
      </c>
      <c r="I7118" s="18">
        <v>6423.82</v>
      </c>
      <c r="J7118" s="27">
        <v>6761.92</v>
      </c>
      <c r="K7118" s="18">
        <f t="shared" si="223"/>
        <v>6761.92</v>
      </c>
      <c r="L7118" s="27">
        <v>6423.82</v>
      </c>
      <c r="M7118" s="36">
        <v>0</v>
      </c>
      <c r="T7118" s="41">
        <v>0</v>
      </c>
      <c r="U7118" s="41">
        <v>0</v>
      </c>
      <c r="V7118" s="42" t="s">
        <v>113</v>
      </c>
      <c r="W7118" s="42">
        <v>6761.92</v>
      </c>
      <c r="X7118" s="42">
        <v>6761.92</v>
      </c>
    </row>
    <row r="7119" spans="1:24">
      <c r="A7119" s="27" t="s">
        <v>12877</v>
      </c>
      <c r="B7119" s="28" t="s">
        <v>12240</v>
      </c>
      <c r="C7119" s="27" t="s">
        <v>12878</v>
      </c>
      <c r="D7119" s="27" t="s">
        <v>230</v>
      </c>
      <c r="E7119" s="29">
        <v>33604</v>
      </c>
      <c r="F7119" s="27">
        <v>15</v>
      </c>
      <c r="G7119" s="18">
        <v>6259.6</v>
      </c>
      <c r="H7119" s="27">
        <f t="shared" si="222"/>
        <v>6259.6</v>
      </c>
      <c r="I7119" s="18">
        <v>5946.62</v>
      </c>
      <c r="J7119" s="27">
        <v>6259.6</v>
      </c>
      <c r="K7119" s="18">
        <f t="shared" si="223"/>
        <v>6259.6</v>
      </c>
      <c r="L7119" s="27">
        <v>5946.62</v>
      </c>
      <c r="M7119" s="36">
        <v>0</v>
      </c>
      <c r="T7119" s="41">
        <v>0</v>
      </c>
      <c r="U7119" s="41">
        <v>0</v>
      </c>
      <c r="V7119" s="42" t="s">
        <v>113</v>
      </c>
      <c r="W7119" s="42">
        <v>6259.6</v>
      </c>
      <c r="X7119" s="42">
        <v>6259.6</v>
      </c>
    </row>
    <row r="7120" spans="1:24">
      <c r="A7120" s="27" t="s">
        <v>12879</v>
      </c>
      <c r="B7120" s="28" t="s">
        <v>12240</v>
      </c>
      <c r="C7120" s="27" t="s">
        <v>12245</v>
      </c>
      <c r="D7120" s="27" t="s">
        <v>5104</v>
      </c>
      <c r="E7120" s="29">
        <v>38078</v>
      </c>
      <c r="F7120" s="27">
        <v>15</v>
      </c>
      <c r="G7120" s="18">
        <v>15501.98</v>
      </c>
      <c r="H7120" s="27">
        <f t="shared" si="222"/>
        <v>15501.98</v>
      </c>
      <c r="I7120" s="18">
        <v>14726.88</v>
      </c>
      <c r="J7120" s="27">
        <v>15501.98</v>
      </c>
      <c r="K7120" s="18">
        <f t="shared" si="223"/>
        <v>15501.98</v>
      </c>
      <c r="L7120" s="27">
        <v>14726.88</v>
      </c>
      <c r="M7120" s="36">
        <v>0</v>
      </c>
      <c r="T7120" s="41">
        <v>0</v>
      </c>
      <c r="U7120" s="41">
        <v>0</v>
      </c>
      <c r="V7120" s="42" t="s">
        <v>113</v>
      </c>
      <c r="W7120" s="42">
        <v>15501.98</v>
      </c>
      <c r="X7120" s="42">
        <v>15501.98</v>
      </c>
    </row>
    <row r="7121" spans="1:24">
      <c r="A7121" s="27" t="s">
        <v>12880</v>
      </c>
      <c r="B7121" s="28" t="s">
        <v>12240</v>
      </c>
      <c r="C7121" s="27" t="s">
        <v>12245</v>
      </c>
      <c r="D7121" s="27" t="s">
        <v>5104</v>
      </c>
      <c r="E7121" s="29">
        <v>38078</v>
      </c>
      <c r="F7121" s="27">
        <v>15</v>
      </c>
      <c r="G7121" s="18">
        <v>20217.8</v>
      </c>
      <c r="H7121" s="27">
        <f t="shared" si="222"/>
        <v>20217.8</v>
      </c>
      <c r="I7121" s="18">
        <v>19206.91</v>
      </c>
      <c r="J7121" s="27">
        <v>20217.8</v>
      </c>
      <c r="K7121" s="18">
        <f t="shared" si="223"/>
        <v>20217.8</v>
      </c>
      <c r="L7121" s="27">
        <v>19206.91</v>
      </c>
      <c r="M7121" s="36">
        <v>0</v>
      </c>
      <c r="T7121" s="41">
        <v>0</v>
      </c>
      <c r="U7121" s="41">
        <v>0</v>
      </c>
      <c r="V7121" s="42" t="s">
        <v>113</v>
      </c>
      <c r="W7121" s="42">
        <v>20217.8</v>
      </c>
      <c r="X7121" s="42">
        <v>20217.8</v>
      </c>
    </row>
    <row r="7122" spans="1:24">
      <c r="A7122" s="27" t="s">
        <v>12881</v>
      </c>
      <c r="B7122" s="28" t="s">
        <v>12240</v>
      </c>
      <c r="C7122" s="27" t="s">
        <v>12245</v>
      </c>
      <c r="D7122" s="27" t="s">
        <v>5104</v>
      </c>
      <c r="E7122" s="29">
        <v>37226</v>
      </c>
      <c r="F7122" s="27">
        <v>15</v>
      </c>
      <c r="G7122" s="18">
        <v>78833.7</v>
      </c>
      <c r="H7122" s="27">
        <f t="shared" si="222"/>
        <v>78833.7</v>
      </c>
      <c r="I7122" s="18">
        <v>74892.009999999995</v>
      </c>
      <c r="J7122" s="27">
        <v>78833.7</v>
      </c>
      <c r="K7122" s="18">
        <f t="shared" si="223"/>
        <v>78833.7</v>
      </c>
      <c r="L7122" s="27">
        <v>74892.009999999995</v>
      </c>
      <c r="M7122" s="36">
        <v>0</v>
      </c>
      <c r="T7122" s="41">
        <v>0</v>
      </c>
      <c r="U7122" s="41">
        <v>0</v>
      </c>
      <c r="V7122" s="42" t="s">
        <v>113</v>
      </c>
      <c r="W7122" s="42">
        <v>78833.7</v>
      </c>
      <c r="X7122" s="42">
        <v>78833.7</v>
      </c>
    </row>
    <row r="7123" spans="1:24">
      <c r="A7123" s="27" t="s">
        <v>12882</v>
      </c>
      <c r="B7123" s="28" t="s">
        <v>12240</v>
      </c>
      <c r="C7123" s="27" t="s">
        <v>12245</v>
      </c>
      <c r="D7123" s="27" t="s">
        <v>5104</v>
      </c>
      <c r="E7123" s="29">
        <v>38078</v>
      </c>
      <c r="F7123" s="27">
        <v>15</v>
      </c>
      <c r="G7123" s="18">
        <v>20217.8</v>
      </c>
      <c r="H7123" s="27">
        <f t="shared" si="222"/>
        <v>20217.8</v>
      </c>
      <c r="I7123" s="18">
        <v>19206.91</v>
      </c>
      <c r="J7123" s="27">
        <v>20217.8</v>
      </c>
      <c r="K7123" s="18">
        <f t="shared" si="223"/>
        <v>20217.8</v>
      </c>
      <c r="L7123" s="27">
        <v>19206.91</v>
      </c>
      <c r="M7123" s="36">
        <v>0</v>
      </c>
      <c r="T7123" s="41">
        <v>0</v>
      </c>
      <c r="U7123" s="41">
        <v>0</v>
      </c>
      <c r="V7123" s="42" t="s">
        <v>113</v>
      </c>
      <c r="W7123" s="42">
        <v>20217.8</v>
      </c>
      <c r="X7123" s="42">
        <v>20217.8</v>
      </c>
    </row>
    <row r="7124" spans="1:24">
      <c r="A7124" s="27" t="s">
        <v>12883</v>
      </c>
      <c r="B7124" s="28" t="s">
        <v>12240</v>
      </c>
      <c r="C7124" s="27" t="s">
        <v>12245</v>
      </c>
      <c r="D7124" s="27" t="s">
        <v>5104</v>
      </c>
      <c r="E7124" s="29">
        <v>39417</v>
      </c>
      <c r="F7124" s="27">
        <v>15</v>
      </c>
      <c r="G7124" s="18">
        <v>34090.11</v>
      </c>
      <c r="H7124" s="27">
        <f t="shared" si="222"/>
        <v>0</v>
      </c>
      <c r="I7124" s="18">
        <v>29075.42</v>
      </c>
      <c r="J7124" s="27">
        <v>34090.11</v>
      </c>
      <c r="K7124" s="18">
        <f t="shared" si="223"/>
        <v>0</v>
      </c>
      <c r="L7124" s="27">
        <v>29902.97</v>
      </c>
      <c r="M7124" s="36">
        <v>827.55</v>
      </c>
      <c r="T7124" s="41">
        <v>0</v>
      </c>
      <c r="U7124" s="41">
        <v>0</v>
      </c>
      <c r="V7124" s="42" t="s">
        <v>113</v>
      </c>
      <c r="W7124" s="42">
        <v>0</v>
      </c>
      <c r="X7124" s="42">
        <v>0</v>
      </c>
    </row>
    <row r="7125" spans="1:24">
      <c r="A7125" s="27" t="s">
        <v>12884</v>
      </c>
      <c r="B7125" s="28" t="s">
        <v>12240</v>
      </c>
      <c r="C7125" s="27" t="s">
        <v>12245</v>
      </c>
      <c r="D7125" s="27" t="s">
        <v>230</v>
      </c>
      <c r="E7125" s="29">
        <v>37226</v>
      </c>
      <c r="F7125" s="27">
        <v>15</v>
      </c>
      <c r="G7125" s="18">
        <v>18101.5</v>
      </c>
      <c r="H7125" s="27">
        <f t="shared" si="222"/>
        <v>18101.5</v>
      </c>
      <c r="I7125" s="18">
        <v>17196.419999999998</v>
      </c>
      <c r="J7125" s="27">
        <v>18101.5</v>
      </c>
      <c r="K7125" s="18">
        <f t="shared" si="223"/>
        <v>18101.5</v>
      </c>
      <c r="L7125" s="27">
        <v>17196.419999999998</v>
      </c>
      <c r="M7125" s="36">
        <v>0</v>
      </c>
      <c r="T7125" s="41">
        <v>0</v>
      </c>
      <c r="U7125" s="41">
        <v>0</v>
      </c>
      <c r="V7125" s="42" t="s">
        <v>113</v>
      </c>
      <c r="W7125" s="42">
        <v>18101.5</v>
      </c>
      <c r="X7125" s="42">
        <v>18101.5</v>
      </c>
    </row>
    <row r="7126" spans="1:24">
      <c r="A7126" s="27" t="s">
        <v>12885</v>
      </c>
      <c r="B7126" s="28" t="s">
        <v>12240</v>
      </c>
      <c r="C7126" s="27" t="s">
        <v>12245</v>
      </c>
      <c r="D7126" s="27" t="s">
        <v>5104</v>
      </c>
      <c r="E7126" s="29">
        <v>39417</v>
      </c>
      <c r="F7126" s="27">
        <v>15</v>
      </c>
      <c r="G7126" s="18">
        <v>34090.1</v>
      </c>
      <c r="H7126" s="27">
        <f t="shared" si="222"/>
        <v>0</v>
      </c>
      <c r="I7126" s="18">
        <v>29075.41</v>
      </c>
      <c r="J7126" s="27">
        <v>34090.1</v>
      </c>
      <c r="K7126" s="18">
        <f t="shared" si="223"/>
        <v>0</v>
      </c>
      <c r="L7126" s="27">
        <v>29902.95</v>
      </c>
      <c r="M7126" s="36">
        <v>827.54</v>
      </c>
      <c r="T7126" s="41">
        <v>0</v>
      </c>
      <c r="U7126" s="41">
        <v>0</v>
      </c>
      <c r="V7126" s="42" t="s">
        <v>113</v>
      </c>
      <c r="W7126" s="42">
        <v>0</v>
      </c>
      <c r="X7126" s="42">
        <v>0</v>
      </c>
    </row>
    <row r="7127" spans="1:24">
      <c r="A7127" s="27" t="s">
        <v>12886</v>
      </c>
      <c r="B7127" s="28" t="s">
        <v>12240</v>
      </c>
      <c r="C7127" s="27" t="s">
        <v>12245</v>
      </c>
      <c r="D7127" s="27" t="s">
        <v>5104</v>
      </c>
      <c r="E7127" s="29">
        <v>38078</v>
      </c>
      <c r="F7127" s="27">
        <v>15</v>
      </c>
      <c r="G7127" s="18">
        <v>15662.5</v>
      </c>
      <c r="H7127" s="27">
        <f t="shared" si="222"/>
        <v>15662.5</v>
      </c>
      <c r="I7127" s="18">
        <v>14879.37</v>
      </c>
      <c r="J7127" s="27">
        <v>15662.5</v>
      </c>
      <c r="K7127" s="18">
        <f t="shared" si="223"/>
        <v>15662.5</v>
      </c>
      <c r="L7127" s="27">
        <v>14879.37</v>
      </c>
      <c r="M7127" s="36">
        <v>0</v>
      </c>
      <c r="T7127" s="41">
        <v>0</v>
      </c>
      <c r="U7127" s="41">
        <v>0</v>
      </c>
      <c r="V7127" s="42" t="s">
        <v>113</v>
      </c>
      <c r="W7127" s="42">
        <v>15662.5</v>
      </c>
      <c r="X7127" s="42">
        <v>15662.5</v>
      </c>
    </row>
    <row r="7128" spans="1:24">
      <c r="A7128" s="27" t="s">
        <v>12887</v>
      </c>
      <c r="B7128" s="28" t="s">
        <v>12240</v>
      </c>
      <c r="C7128" s="27" t="s">
        <v>12888</v>
      </c>
      <c r="D7128" s="27" t="s">
        <v>5104</v>
      </c>
      <c r="E7128" s="29">
        <v>38078</v>
      </c>
      <c r="F7128" s="27">
        <v>15</v>
      </c>
      <c r="G7128" s="18">
        <v>15662.5</v>
      </c>
      <c r="H7128" s="27">
        <f t="shared" si="222"/>
        <v>15662.5</v>
      </c>
      <c r="I7128" s="18">
        <v>14879.37</v>
      </c>
      <c r="J7128" s="27">
        <v>15662.5</v>
      </c>
      <c r="K7128" s="18">
        <f t="shared" si="223"/>
        <v>15662.5</v>
      </c>
      <c r="L7128" s="27">
        <v>14879.37</v>
      </c>
      <c r="M7128" s="36">
        <v>0</v>
      </c>
      <c r="T7128" s="41">
        <v>0</v>
      </c>
      <c r="U7128" s="41">
        <v>0</v>
      </c>
      <c r="V7128" s="42" t="s">
        <v>113</v>
      </c>
      <c r="W7128" s="42">
        <v>15662.5</v>
      </c>
      <c r="X7128" s="42">
        <v>15662.5</v>
      </c>
    </row>
    <row r="7129" spans="1:24">
      <c r="A7129" s="27" t="s">
        <v>12889</v>
      </c>
      <c r="B7129" s="28" t="s">
        <v>12240</v>
      </c>
      <c r="C7129" s="27" t="s">
        <v>12890</v>
      </c>
      <c r="D7129" s="27" t="s">
        <v>5104</v>
      </c>
      <c r="E7129" s="29">
        <v>37226</v>
      </c>
      <c r="F7129" s="27">
        <v>15</v>
      </c>
      <c r="G7129" s="18">
        <v>15809.16</v>
      </c>
      <c r="H7129" s="27">
        <f t="shared" si="222"/>
        <v>15809.16</v>
      </c>
      <c r="I7129" s="18">
        <v>15018.7</v>
      </c>
      <c r="J7129" s="27">
        <v>15809.16</v>
      </c>
      <c r="K7129" s="18">
        <f t="shared" si="223"/>
        <v>15809.16</v>
      </c>
      <c r="L7129" s="27">
        <v>15018.7</v>
      </c>
      <c r="M7129" s="36">
        <v>0</v>
      </c>
      <c r="T7129" s="41">
        <v>0</v>
      </c>
      <c r="U7129" s="41">
        <v>0</v>
      </c>
      <c r="V7129" s="42" t="s">
        <v>113</v>
      </c>
      <c r="W7129" s="42">
        <v>15809.16</v>
      </c>
      <c r="X7129" s="42">
        <v>15809.16</v>
      </c>
    </row>
    <row r="7130" spans="1:24">
      <c r="A7130" s="27" t="s">
        <v>12891</v>
      </c>
      <c r="B7130" s="28" t="s">
        <v>12240</v>
      </c>
      <c r="C7130" s="27" t="s">
        <v>12268</v>
      </c>
      <c r="D7130" s="27" t="s">
        <v>230</v>
      </c>
      <c r="E7130" s="29">
        <v>37226</v>
      </c>
      <c r="F7130" s="27">
        <v>15</v>
      </c>
      <c r="G7130" s="18">
        <v>5434.73</v>
      </c>
      <c r="H7130" s="27">
        <f t="shared" si="222"/>
        <v>5434.73</v>
      </c>
      <c r="I7130" s="18">
        <v>5162.99</v>
      </c>
      <c r="J7130" s="27">
        <v>5434.73</v>
      </c>
      <c r="K7130" s="18">
        <f t="shared" si="223"/>
        <v>5434.73</v>
      </c>
      <c r="L7130" s="27">
        <v>5162.99</v>
      </c>
      <c r="M7130" s="36">
        <v>0</v>
      </c>
      <c r="T7130" s="41">
        <v>0</v>
      </c>
      <c r="U7130" s="41">
        <v>0</v>
      </c>
      <c r="V7130" s="42" t="s">
        <v>113</v>
      </c>
      <c r="W7130" s="42">
        <v>5434.73</v>
      </c>
      <c r="X7130" s="42">
        <v>5434.73</v>
      </c>
    </row>
    <row r="7131" spans="1:24">
      <c r="A7131" s="27" t="s">
        <v>12892</v>
      </c>
      <c r="B7131" s="28" t="s">
        <v>12240</v>
      </c>
      <c r="C7131" s="27" t="s">
        <v>12890</v>
      </c>
      <c r="D7131" s="27" t="s">
        <v>5104</v>
      </c>
      <c r="E7131" s="29">
        <v>37226</v>
      </c>
      <c r="F7131" s="27">
        <v>15</v>
      </c>
      <c r="G7131" s="18">
        <v>8965.83</v>
      </c>
      <c r="H7131" s="27">
        <f t="shared" si="222"/>
        <v>8965.83</v>
      </c>
      <c r="I7131" s="18">
        <v>8517.5400000000009</v>
      </c>
      <c r="J7131" s="27">
        <v>8965.83</v>
      </c>
      <c r="K7131" s="18">
        <f t="shared" si="223"/>
        <v>8965.83</v>
      </c>
      <c r="L7131" s="27">
        <v>8517.5400000000009</v>
      </c>
      <c r="M7131" s="36">
        <v>0</v>
      </c>
      <c r="T7131" s="41">
        <v>0</v>
      </c>
      <c r="U7131" s="41">
        <v>0</v>
      </c>
      <c r="V7131" s="42" t="s">
        <v>113</v>
      </c>
      <c r="W7131" s="42">
        <v>8965.83</v>
      </c>
      <c r="X7131" s="42">
        <v>8965.83</v>
      </c>
    </row>
    <row r="7132" spans="1:24">
      <c r="A7132" s="27" t="s">
        <v>12893</v>
      </c>
      <c r="B7132" s="28" t="s">
        <v>12240</v>
      </c>
      <c r="C7132" s="27" t="s">
        <v>12894</v>
      </c>
      <c r="D7132" s="27" t="s">
        <v>5104</v>
      </c>
      <c r="E7132" s="29">
        <v>33939</v>
      </c>
      <c r="F7132" s="27">
        <v>15</v>
      </c>
      <c r="G7132" s="18">
        <v>24955.23</v>
      </c>
      <c r="H7132" s="27">
        <f t="shared" si="222"/>
        <v>24955.23</v>
      </c>
      <c r="I7132" s="18">
        <v>23707.47</v>
      </c>
      <c r="J7132" s="27">
        <v>24955.23</v>
      </c>
      <c r="K7132" s="18">
        <f t="shared" si="223"/>
        <v>24955.23</v>
      </c>
      <c r="L7132" s="27">
        <v>23707.47</v>
      </c>
      <c r="M7132" s="36">
        <v>0</v>
      </c>
      <c r="T7132" s="41">
        <v>0</v>
      </c>
      <c r="U7132" s="41">
        <v>0</v>
      </c>
      <c r="V7132" s="42" t="s">
        <v>113</v>
      </c>
      <c r="W7132" s="42">
        <v>24955.23</v>
      </c>
      <c r="X7132" s="42">
        <v>24955.23</v>
      </c>
    </row>
    <row r="7133" spans="1:24">
      <c r="A7133" s="27" t="s">
        <v>12895</v>
      </c>
      <c r="B7133" s="28" t="s">
        <v>12240</v>
      </c>
      <c r="C7133" s="27" t="s">
        <v>12896</v>
      </c>
      <c r="D7133" s="27" t="s">
        <v>5104</v>
      </c>
      <c r="E7133" s="29">
        <v>34060</v>
      </c>
      <c r="F7133" s="27">
        <v>15</v>
      </c>
      <c r="G7133" s="18">
        <v>14664.8</v>
      </c>
      <c r="H7133" s="27">
        <f t="shared" si="222"/>
        <v>14664.8</v>
      </c>
      <c r="I7133" s="18">
        <v>13931.56</v>
      </c>
      <c r="J7133" s="27">
        <v>14664.8</v>
      </c>
      <c r="K7133" s="18">
        <f t="shared" si="223"/>
        <v>14664.8</v>
      </c>
      <c r="L7133" s="27">
        <v>13931.56</v>
      </c>
      <c r="M7133" s="36">
        <v>0</v>
      </c>
      <c r="T7133" s="41">
        <v>0</v>
      </c>
      <c r="U7133" s="41">
        <v>0</v>
      </c>
      <c r="V7133" s="42" t="s">
        <v>113</v>
      </c>
      <c r="W7133" s="42">
        <v>14664.8</v>
      </c>
      <c r="X7133" s="42">
        <v>14664.8</v>
      </c>
    </row>
    <row r="7134" spans="1:24">
      <c r="A7134" s="27" t="s">
        <v>12897</v>
      </c>
      <c r="B7134" s="28" t="s">
        <v>12240</v>
      </c>
      <c r="C7134" s="27" t="s">
        <v>12898</v>
      </c>
      <c r="D7134" s="27" t="s">
        <v>5104</v>
      </c>
      <c r="E7134" s="29">
        <v>33970</v>
      </c>
      <c r="F7134" s="27">
        <v>15</v>
      </c>
      <c r="G7134" s="18">
        <v>8849.2199999999993</v>
      </c>
      <c r="H7134" s="27">
        <f t="shared" si="222"/>
        <v>8849.2199999999993</v>
      </c>
      <c r="I7134" s="18">
        <v>8406.76</v>
      </c>
      <c r="J7134" s="27">
        <v>8849.2199999999993</v>
      </c>
      <c r="K7134" s="18">
        <f t="shared" si="223"/>
        <v>8849.2199999999993</v>
      </c>
      <c r="L7134" s="27">
        <v>8406.76</v>
      </c>
      <c r="M7134" s="36">
        <v>0</v>
      </c>
      <c r="T7134" s="41">
        <v>0</v>
      </c>
      <c r="U7134" s="41">
        <v>0</v>
      </c>
      <c r="V7134" s="42" t="s">
        <v>113</v>
      </c>
      <c r="W7134" s="42">
        <v>8849.2199999999993</v>
      </c>
      <c r="X7134" s="42">
        <v>8849.2199999999993</v>
      </c>
    </row>
    <row r="7135" spans="1:24">
      <c r="A7135" s="27" t="s">
        <v>12899</v>
      </c>
      <c r="B7135" s="28" t="s">
        <v>12240</v>
      </c>
      <c r="C7135" s="27" t="s">
        <v>12617</v>
      </c>
      <c r="D7135" s="27" t="s">
        <v>5104</v>
      </c>
      <c r="E7135" s="29">
        <v>39417</v>
      </c>
      <c r="F7135" s="27">
        <v>15</v>
      </c>
      <c r="G7135" s="18">
        <v>25880</v>
      </c>
      <c r="H7135" s="27">
        <f t="shared" si="222"/>
        <v>0</v>
      </c>
      <c r="I7135" s="18">
        <v>22159.119999999999</v>
      </c>
      <c r="J7135" s="27">
        <v>25880</v>
      </c>
      <c r="K7135" s="18">
        <f t="shared" si="223"/>
        <v>0</v>
      </c>
      <c r="L7135" s="27">
        <v>22765.84</v>
      </c>
      <c r="M7135" s="36">
        <v>606.72</v>
      </c>
      <c r="T7135" s="41">
        <v>0</v>
      </c>
      <c r="U7135" s="41">
        <v>0</v>
      </c>
      <c r="V7135" s="42" t="s">
        <v>113</v>
      </c>
      <c r="W7135" s="42">
        <v>0</v>
      </c>
      <c r="X7135" s="42">
        <v>0</v>
      </c>
    </row>
    <row r="7136" spans="1:24">
      <c r="A7136" s="27" t="s">
        <v>12900</v>
      </c>
      <c r="B7136" s="28" t="s">
        <v>12240</v>
      </c>
      <c r="C7136" s="27" t="s">
        <v>12617</v>
      </c>
      <c r="D7136" s="27" t="s">
        <v>5104</v>
      </c>
      <c r="E7136" s="29">
        <v>39417</v>
      </c>
      <c r="F7136" s="27">
        <v>15</v>
      </c>
      <c r="G7136" s="18">
        <v>25880</v>
      </c>
      <c r="H7136" s="27">
        <f t="shared" si="222"/>
        <v>0</v>
      </c>
      <c r="I7136" s="18">
        <v>22159.119999999999</v>
      </c>
      <c r="J7136" s="27">
        <v>25880</v>
      </c>
      <c r="K7136" s="18">
        <f t="shared" si="223"/>
        <v>0</v>
      </c>
      <c r="L7136" s="27">
        <v>22765.84</v>
      </c>
      <c r="M7136" s="36">
        <v>606.72</v>
      </c>
      <c r="T7136" s="41">
        <v>0</v>
      </c>
      <c r="U7136" s="41">
        <v>0</v>
      </c>
      <c r="V7136" s="42" t="s">
        <v>113</v>
      </c>
      <c r="W7136" s="42">
        <v>0</v>
      </c>
      <c r="X7136" s="42">
        <v>0</v>
      </c>
    </row>
    <row r="7137" spans="1:24">
      <c r="A7137" s="27" t="s">
        <v>12901</v>
      </c>
      <c r="B7137" s="28" t="s">
        <v>12240</v>
      </c>
      <c r="C7137" s="27" t="s">
        <v>12902</v>
      </c>
      <c r="D7137" s="27" t="s">
        <v>5104</v>
      </c>
      <c r="E7137" s="29">
        <v>32234</v>
      </c>
      <c r="F7137" s="27">
        <v>15</v>
      </c>
      <c r="G7137" s="18">
        <v>5242.13</v>
      </c>
      <c r="H7137" s="27">
        <f t="shared" si="222"/>
        <v>5242.13</v>
      </c>
      <c r="I7137" s="18">
        <v>4980.0200000000004</v>
      </c>
      <c r="J7137" s="27">
        <v>5242.13</v>
      </c>
      <c r="K7137" s="18">
        <f t="shared" si="223"/>
        <v>5242.13</v>
      </c>
      <c r="L7137" s="27">
        <v>4980.0200000000004</v>
      </c>
      <c r="M7137" s="36">
        <v>0</v>
      </c>
      <c r="T7137" s="41">
        <v>0</v>
      </c>
      <c r="U7137" s="41">
        <v>0</v>
      </c>
      <c r="V7137" s="42" t="s">
        <v>113</v>
      </c>
      <c r="W7137" s="42">
        <v>5242.13</v>
      </c>
      <c r="X7137" s="42">
        <v>5242.13</v>
      </c>
    </row>
    <row r="7138" spans="1:24">
      <c r="A7138" s="27" t="s">
        <v>12903</v>
      </c>
      <c r="B7138" s="28" t="s">
        <v>12240</v>
      </c>
      <c r="C7138" s="27" t="s">
        <v>12904</v>
      </c>
      <c r="D7138" s="27" t="s">
        <v>5104</v>
      </c>
      <c r="E7138" s="29">
        <v>35247</v>
      </c>
      <c r="F7138" s="27">
        <v>15</v>
      </c>
      <c r="G7138" s="18">
        <v>72029</v>
      </c>
      <c r="H7138" s="27">
        <f t="shared" si="222"/>
        <v>72029</v>
      </c>
      <c r="I7138" s="18">
        <v>68427.55</v>
      </c>
      <c r="J7138" s="27">
        <v>72029</v>
      </c>
      <c r="K7138" s="18">
        <f t="shared" si="223"/>
        <v>72029</v>
      </c>
      <c r="L7138" s="27">
        <v>68427.55</v>
      </c>
      <c r="M7138" s="36">
        <v>0</v>
      </c>
      <c r="T7138" s="41">
        <v>0</v>
      </c>
      <c r="U7138" s="41">
        <v>0</v>
      </c>
      <c r="V7138" s="42" t="s">
        <v>113</v>
      </c>
      <c r="W7138" s="42">
        <v>72029</v>
      </c>
      <c r="X7138" s="42">
        <v>72029</v>
      </c>
    </row>
    <row r="7139" spans="1:24">
      <c r="A7139" s="27" t="s">
        <v>12905</v>
      </c>
      <c r="B7139" s="28" t="s">
        <v>12240</v>
      </c>
      <c r="C7139" s="27" t="s">
        <v>12906</v>
      </c>
      <c r="D7139" s="27" t="s">
        <v>5104</v>
      </c>
      <c r="E7139" s="29">
        <v>34973</v>
      </c>
      <c r="F7139" s="27">
        <v>15</v>
      </c>
      <c r="G7139" s="18">
        <v>19761.53</v>
      </c>
      <c r="H7139" s="27">
        <f t="shared" si="222"/>
        <v>19761.53</v>
      </c>
      <c r="I7139" s="18">
        <v>18773.45</v>
      </c>
      <c r="J7139" s="27">
        <v>19761.53</v>
      </c>
      <c r="K7139" s="18">
        <f t="shared" si="223"/>
        <v>19761.53</v>
      </c>
      <c r="L7139" s="27">
        <v>18773.45</v>
      </c>
      <c r="M7139" s="36">
        <v>0</v>
      </c>
      <c r="T7139" s="41">
        <v>0</v>
      </c>
      <c r="U7139" s="41">
        <v>0</v>
      </c>
      <c r="V7139" s="42" t="s">
        <v>113</v>
      </c>
      <c r="W7139" s="42">
        <v>19761.53</v>
      </c>
      <c r="X7139" s="42">
        <v>19761.53</v>
      </c>
    </row>
    <row r="7140" spans="1:24">
      <c r="A7140" s="27" t="s">
        <v>12907</v>
      </c>
      <c r="B7140" s="28" t="s">
        <v>12240</v>
      </c>
      <c r="C7140" s="27" t="s">
        <v>12908</v>
      </c>
      <c r="D7140" s="27" t="s">
        <v>5104</v>
      </c>
      <c r="E7140" s="29">
        <v>33786</v>
      </c>
      <c r="F7140" s="27">
        <v>15</v>
      </c>
      <c r="G7140" s="18">
        <v>37694.879999999997</v>
      </c>
      <c r="H7140" s="27">
        <f t="shared" si="222"/>
        <v>37694.879999999997</v>
      </c>
      <c r="I7140" s="18">
        <v>35810.14</v>
      </c>
      <c r="J7140" s="27">
        <v>37694.879999999997</v>
      </c>
      <c r="K7140" s="18">
        <f t="shared" si="223"/>
        <v>37694.879999999997</v>
      </c>
      <c r="L7140" s="27">
        <v>35810.14</v>
      </c>
      <c r="M7140" s="36">
        <v>0</v>
      </c>
      <c r="T7140" s="41">
        <v>0</v>
      </c>
      <c r="U7140" s="41">
        <v>0</v>
      </c>
      <c r="V7140" s="42" t="s">
        <v>113</v>
      </c>
      <c r="W7140" s="42">
        <v>37694.879999999997</v>
      </c>
      <c r="X7140" s="42">
        <v>37694.879999999997</v>
      </c>
    </row>
    <row r="7141" spans="1:24">
      <c r="A7141" s="27" t="s">
        <v>12909</v>
      </c>
      <c r="B7141" s="28" t="s">
        <v>12240</v>
      </c>
      <c r="C7141" s="27" t="s">
        <v>12910</v>
      </c>
      <c r="D7141" s="27" t="s">
        <v>5104</v>
      </c>
      <c r="E7141" s="29">
        <v>34060</v>
      </c>
      <c r="F7141" s="27">
        <v>15</v>
      </c>
      <c r="G7141" s="18">
        <v>5228.32</v>
      </c>
      <c r="H7141" s="27">
        <f t="shared" si="222"/>
        <v>5228.32</v>
      </c>
      <c r="I7141" s="18">
        <v>4966.8999999999996</v>
      </c>
      <c r="J7141" s="27">
        <v>5228.32</v>
      </c>
      <c r="K7141" s="18">
        <f t="shared" si="223"/>
        <v>5228.32</v>
      </c>
      <c r="L7141" s="27">
        <v>4966.8999999999996</v>
      </c>
      <c r="M7141" s="36">
        <v>0</v>
      </c>
      <c r="T7141" s="41">
        <v>0</v>
      </c>
      <c r="U7141" s="41">
        <v>0</v>
      </c>
      <c r="V7141" s="42" t="s">
        <v>113</v>
      </c>
      <c r="W7141" s="42">
        <v>5228.32</v>
      </c>
      <c r="X7141" s="42">
        <v>5228.32</v>
      </c>
    </row>
    <row r="7142" spans="1:24">
      <c r="A7142" s="27" t="s">
        <v>12911</v>
      </c>
      <c r="B7142" s="28" t="s">
        <v>12240</v>
      </c>
      <c r="C7142" s="27" t="s">
        <v>12912</v>
      </c>
      <c r="D7142" s="27" t="s">
        <v>5104</v>
      </c>
      <c r="E7142" s="29">
        <v>34029</v>
      </c>
      <c r="F7142" s="27">
        <v>15</v>
      </c>
      <c r="G7142" s="18">
        <v>5173.07</v>
      </c>
      <c r="H7142" s="27">
        <f t="shared" si="222"/>
        <v>5173.07</v>
      </c>
      <c r="I7142" s="18">
        <v>4914.42</v>
      </c>
      <c r="J7142" s="27">
        <v>5173.07</v>
      </c>
      <c r="K7142" s="18">
        <f t="shared" si="223"/>
        <v>5173.07</v>
      </c>
      <c r="L7142" s="27">
        <v>4914.42</v>
      </c>
      <c r="M7142" s="36">
        <v>0</v>
      </c>
      <c r="T7142" s="41">
        <v>0</v>
      </c>
      <c r="U7142" s="41">
        <v>0</v>
      </c>
      <c r="V7142" s="42" t="s">
        <v>113</v>
      </c>
      <c r="W7142" s="42">
        <v>5173.07</v>
      </c>
      <c r="X7142" s="42">
        <v>5173.07</v>
      </c>
    </row>
    <row r="7143" spans="1:24">
      <c r="A7143" s="27" t="s">
        <v>12913</v>
      </c>
      <c r="B7143" s="28" t="s">
        <v>12240</v>
      </c>
      <c r="C7143" s="27" t="s">
        <v>12914</v>
      </c>
      <c r="D7143" s="27" t="s">
        <v>5104</v>
      </c>
      <c r="E7143" s="29">
        <v>34060</v>
      </c>
      <c r="F7143" s="27">
        <v>15</v>
      </c>
      <c r="G7143" s="18">
        <v>12003.88</v>
      </c>
      <c r="H7143" s="27">
        <f t="shared" si="222"/>
        <v>12003.88</v>
      </c>
      <c r="I7143" s="18">
        <v>11403.69</v>
      </c>
      <c r="J7143" s="27">
        <v>12003.88</v>
      </c>
      <c r="K7143" s="18">
        <f t="shared" si="223"/>
        <v>12003.88</v>
      </c>
      <c r="L7143" s="27">
        <v>11403.69</v>
      </c>
      <c r="M7143" s="36">
        <v>0</v>
      </c>
      <c r="T7143" s="41">
        <v>0</v>
      </c>
      <c r="U7143" s="41">
        <v>0</v>
      </c>
      <c r="V7143" s="42" t="s">
        <v>113</v>
      </c>
      <c r="W7143" s="42">
        <v>12003.88</v>
      </c>
      <c r="X7143" s="42">
        <v>12003.88</v>
      </c>
    </row>
    <row r="7144" spans="1:24">
      <c r="A7144" s="27" t="s">
        <v>12915</v>
      </c>
      <c r="B7144" s="28" t="s">
        <v>12240</v>
      </c>
      <c r="C7144" s="27" t="s">
        <v>12916</v>
      </c>
      <c r="D7144" s="27" t="s">
        <v>5104</v>
      </c>
      <c r="E7144" s="29">
        <v>33848</v>
      </c>
      <c r="F7144" s="27">
        <v>15</v>
      </c>
      <c r="G7144" s="18">
        <v>5809.9</v>
      </c>
      <c r="H7144" s="27">
        <f t="shared" si="222"/>
        <v>5809.9</v>
      </c>
      <c r="I7144" s="18">
        <v>5519.4</v>
      </c>
      <c r="J7144" s="27">
        <v>5809.9</v>
      </c>
      <c r="K7144" s="18">
        <f t="shared" si="223"/>
        <v>5809.9</v>
      </c>
      <c r="L7144" s="27">
        <v>5519.4</v>
      </c>
      <c r="M7144" s="36">
        <v>0</v>
      </c>
      <c r="T7144" s="41">
        <v>0</v>
      </c>
      <c r="U7144" s="41">
        <v>0</v>
      </c>
      <c r="V7144" s="42" t="s">
        <v>113</v>
      </c>
      <c r="W7144" s="42">
        <v>5809.9</v>
      </c>
      <c r="X7144" s="42">
        <v>5809.9</v>
      </c>
    </row>
    <row r="7145" spans="1:24">
      <c r="A7145" s="27" t="s">
        <v>12917</v>
      </c>
      <c r="B7145" s="28" t="s">
        <v>12240</v>
      </c>
      <c r="C7145" s="27" t="s">
        <v>12918</v>
      </c>
      <c r="D7145" s="27" t="s">
        <v>5104</v>
      </c>
      <c r="E7145" s="29">
        <v>34060</v>
      </c>
      <c r="F7145" s="27">
        <v>15</v>
      </c>
      <c r="G7145" s="18">
        <v>5270.83</v>
      </c>
      <c r="H7145" s="27">
        <f t="shared" si="222"/>
        <v>5270.83</v>
      </c>
      <c r="I7145" s="18">
        <v>5007.29</v>
      </c>
      <c r="J7145" s="27">
        <v>5270.83</v>
      </c>
      <c r="K7145" s="18">
        <f t="shared" si="223"/>
        <v>5270.83</v>
      </c>
      <c r="L7145" s="27">
        <v>5007.29</v>
      </c>
      <c r="M7145" s="36">
        <v>0</v>
      </c>
      <c r="T7145" s="41">
        <v>0</v>
      </c>
      <c r="U7145" s="41">
        <v>0</v>
      </c>
      <c r="V7145" s="42" t="s">
        <v>113</v>
      </c>
      <c r="W7145" s="42">
        <v>5270.83</v>
      </c>
      <c r="X7145" s="42">
        <v>5270.83</v>
      </c>
    </row>
    <row r="7146" spans="1:24">
      <c r="A7146" s="27" t="s">
        <v>12919</v>
      </c>
      <c r="B7146" s="28" t="s">
        <v>12240</v>
      </c>
      <c r="C7146" s="27" t="s">
        <v>12920</v>
      </c>
      <c r="D7146" s="27" t="s">
        <v>5104</v>
      </c>
      <c r="E7146" s="29">
        <v>36617</v>
      </c>
      <c r="F7146" s="27">
        <v>15</v>
      </c>
      <c r="G7146" s="18">
        <v>14298.17</v>
      </c>
      <c r="H7146" s="27">
        <f t="shared" si="222"/>
        <v>14298.17</v>
      </c>
      <c r="I7146" s="18">
        <v>13583.26</v>
      </c>
      <c r="J7146" s="27">
        <v>14298.17</v>
      </c>
      <c r="K7146" s="18">
        <f t="shared" si="223"/>
        <v>14298.17</v>
      </c>
      <c r="L7146" s="27">
        <v>13583.26</v>
      </c>
      <c r="M7146" s="36">
        <v>0</v>
      </c>
      <c r="T7146" s="41">
        <v>0</v>
      </c>
      <c r="U7146" s="41">
        <v>0</v>
      </c>
      <c r="V7146" s="42" t="s">
        <v>113</v>
      </c>
      <c r="W7146" s="42">
        <v>14298.17</v>
      </c>
      <c r="X7146" s="42">
        <v>14298.17</v>
      </c>
    </row>
    <row r="7147" spans="1:24">
      <c r="A7147" s="27" t="s">
        <v>12921</v>
      </c>
      <c r="B7147" s="28" t="s">
        <v>12240</v>
      </c>
      <c r="C7147" s="27" t="s">
        <v>12922</v>
      </c>
      <c r="D7147" s="27" t="s">
        <v>5104</v>
      </c>
      <c r="E7147" s="29">
        <v>37653</v>
      </c>
      <c r="F7147" s="27">
        <v>15</v>
      </c>
      <c r="G7147" s="18">
        <v>22282.09</v>
      </c>
      <c r="H7147" s="27">
        <f t="shared" si="222"/>
        <v>22282.09</v>
      </c>
      <c r="I7147" s="18">
        <v>21167.99</v>
      </c>
      <c r="J7147" s="27">
        <v>22282.09</v>
      </c>
      <c r="K7147" s="18">
        <f t="shared" si="223"/>
        <v>22282.09</v>
      </c>
      <c r="L7147" s="27">
        <v>21167.99</v>
      </c>
      <c r="M7147" s="36">
        <v>0</v>
      </c>
      <c r="T7147" s="41">
        <v>0</v>
      </c>
      <c r="U7147" s="41">
        <v>0</v>
      </c>
      <c r="V7147" s="42" t="s">
        <v>113</v>
      </c>
      <c r="W7147" s="42">
        <v>22282.09</v>
      </c>
      <c r="X7147" s="42">
        <v>22282.09</v>
      </c>
    </row>
    <row r="7148" spans="1:24">
      <c r="A7148" s="27" t="s">
        <v>12923</v>
      </c>
      <c r="B7148" s="28" t="s">
        <v>12240</v>
      </c>
      <c r="C7148" s="27" t="s">
        <v>12245</v>
      </c>
      <c r="D7148" s="27" t="s">
        <v>230</v>
      </c>
      <c r="E7148" s="29">
        <v>37712</v>
      </c>
      <c r="F7148" s="27">
        <v>15</v>
      </c>
      <c r="G7148" s="18">
        <v>16496.79</v>
      </c>
      <c r="H7148" s="27">
        <f t="shared" si="222"/>
        <v>16496.79</v>
      </c>
      <c r="I7148" s="18">
        <v>15671.95</v>
      </c>
      <c r="J7148" s="27">
        <v>16496.79</v>
      </c>
      <c r="K7148" s="18">
        <f t="shared" si="223"/>
        <v>16496.79</v>
      </c>
      <c r="L7148" s="27">
        <v>15671.95</v>
      </c>
      <c r="M7148" s="36">
        <v>0</v>
      </c>
      <c r="T7148" s="41">
        <v>0</v>
      </c>
      <c r="U7148" s="41">
        <v>0</v>
      </c>
      <c r="V7148" s="42" t="s">
        <v>113</v>
      </c>
      <c r="W7148" s="42">
        <v>16496.79</v>
      </c>
      <c r="X7148" s="42">
        <v>16496.79</v>
      </c>
    </row>
    <row r="7149" spans="1:24">
      <c r="A7149" s="27" t="s">
        <v>12924</v>
      </c>
      <c r="B7149" s="28" t="s">
        <v>12240</v>
      </c>
      <c r="C7149" s="27" t="s">
        <v>12925</v>
      </c>
      <c r="D7149" s="27" t="s">
        <v>230</v>
      </c>
      <c r="E7149" s="29">
        <v>38078</v>
      </c>
      <c r="F7149" s="27">
        <v>15</v>
      </c>
      <c r="G7149" s="18">
        <v>21148.44</v>
      </c>
      <c r="H7149" s="27">
        <f t="shared" si="222"/>
        <v>21148.44</v>
      </c>
      <c r="I7149" s="18">
        <v>20091.02</v>
      </c>
      <c r="J7149" s="27">
        <v>21148.44</v>
      </c>
      <c r="K7149" s="18">
        <f t="shared" si="223"/>
        <v>21148.44</v>
      </c>
      <c r="L7149" s="27">
        <v>20091.02</v>
      </c>
      <c r="M7149" s="36">
        <v>0</v>
      </c>
      <c r="T7149" s="41">
        <v>0</v>
      </c>
      <c r="U7149" s="41">
        <v>0</v>
      </c>
      <c r="V7149" s="42" t="s">
        <v>113</v>
      </c>
      <c r="W7149" s="42">
        <v>21148.44</v>
      </c>
      <c r="X7149" s="42">
        <v>21148.44</v>
      </c>
    </row>
    <row r="7150" spans="1:24">
      <c r="A7150" s="27" t="s">
        <v>12926</v>
      </c>
      <c r="B7150" s="28" t="s">
        <v>12240</v>
      </c>
      <c r="C7150" s="27" t="s">
        <v>12927</v>
      </c>
      <c r="D7150" s="27" t="s">
        <v>230</v>
      </c>
      <c r="E7150" s="29">
        <v>37712</v>
      </c>
      <c r="F7150" s="27">
        <v>15</v>
      </c>
      <c r="G7150" s="18">
        <v>19823.34</v>
      </c>
      <c r="H7150" s="27">
        <f t="shared" si="222"/>
        <v>19823.34</v>
      </c>
      <c r="I7150" s="18">
        <v>18832.169999999998</v>
      </c>
      <c r="J7150" s="27">
        <v>19823.34</v>
      </c>
      <c r="K7150" s="18">
        <f t="shared" si="223"/>
        <v>19823.34</v>
      </c>
      <c r="L7150" s="27">
        <v>18832.169999999998</v>
      </c>
      <c r="M7150" s="36">
        <v>0</v>
      </c>
      <c r="T7150" s="41">
        <v>0</v>
      </c>
      <c r="U7150" s="41">
        <v>0</v>
      </c>
      <c r="V7150" s="42" t="s">
        <v>113</v>
      </c>
      <c r="W7150" s="42">
        <v>19823.34</v>
      </c>
      <c r="X7150" s="42">
        <v>19823.34</v>
      </c>
    </row>
    <row r="7151" spans="1:24">
      <c r="A7151" s="27" t="s">
        <v>12928</v>
      </c>
      <c r="B7151" s="28" t="s">
        <v>12240</v>
      </c>
      <c r="C7151" s="27" t="s">
        <v>12929</v>
      </c>
      <c r="D7151" s="27" t="s">
        <v>230</v>
      </c>
      <c r="E7151" s="29">
        <v>37712</v>
      </c>
      <c r="F7151" s="27">
        <v>15</v>
      </c>
      <c r="G7151" s="18">
        <v>19920.12</v>
      </c>
      <c r="H7151" s="27">
        <f t="shared" si="222"/>
        <v>19920.12</v>
      </c>
      <c r="I7151" s="18">
        <v>18924.11</v>
      </c>
      <c r="J7151" s="27">
        <v>19920.12</v>
      </c>
      <c r="K7151" s="18">
        <f t="shared" si="223"/>
        <v>19920.12</v>
      </c>
      <c r="L7151" s="27">
        <v>18924.11</v>
      </c>
      <c r="M7151" s="36">
        <v>0</v>
      </c>
      <c r="T7151" s="41">
        <v>0</v>
      </c>
      <c r="U7151" s="41">
        <v>0</v>
      </c>
      <c r="V7151" s="42" t="s">
        <v>113</v>
      </c>
      <c r="W7151" s="42">
        <v>19920.12</v>
      </c>
      <c r="X7151" s="42">
        <v>19920.12</v>
      </c>
    </row>
    <row r="7152" spans="1:24">
      <c r="A7152" s="27" t="s">
        <v>12930</v>
      </c>
      <c r="B7152" s="28" t="s">
        <v>12240</v>
      </c>
      <c r="C7152" s="27" t="s">
        <v>12268</v>
      </c>
      <c r="D7152" s="27" t="s">
        <v>230</v>
      </c>
      <c r="E7152" s="29">
        <v>37226</v>
      </c>
      <c r="F7152" s="27">
        <v>15</v>
      </c>
      <c r="G7152" s="18">
        <v>6773.48</v>
      </c>
      <c r="H7152" s="27">
        <f t="shared" si="222"/>
        <v>6773.48</v>
      </c>
      <c r="I7152" s="18">
        <v>6434.81</v>
      </c>
      <c r="J7152" s="27">
        <v>6773.48</v>
      </c>
      <c r="K7152" s="18">
        <f t="shared" si="223"/>
        <v>6773.48</v>
      </c>
      <c r="L7152" s="27">
        <v>6434.81</v>
      </c>
      <c r="M7152" s="36">
        <v>0</v>
      </c>
      <c r="T7152" s="41">
        <v>0</v>
      </c>
      <c r="U7152" s="41">
        <v>0</v>
      </c>
      <c r="V7152" s="42" t="s">
        <v>113</v>
      </c>
      <c r="W7152" s="42">
        <v>6773.48</v>
      </c>
      <c r="X7152" s="42">
        <v>6773.48</v>
      </c>
    </row>
    <row r="7153" spans="1:24">
      <c r="A7153" s="27" t="s">
        <v>12931</v>
      </c>
      <c r="B7153" s="28" t="s">
        <v>12240</v>
      </c>
      <c r="C7153" s="27" t="s">
        <v>12932</v>
      </c>
      <c r="D7153" s="27" t="s">
        <v>5104</v>
      </c>
      <c r="E7153" s="29">
        <v>37226</v>
      </c>
      <c r="F7153" s="27">
        <v>15</v>
      </c>
      <c r="G7153" s="18">
        <v>13411.23</v>
      </c>
      <c r="H7153" s="27">
        <f t="shared" si="222"/>
        <v>13411.23</v>
      </c>
      <c r="I7153" s="18">
        <v>12740.67</v>
      </c>
      <c r="J7153" s="27">
        <v>13411.23</v>
      </c>
      <c r="K7153" s="18">
        <f t="shared" si="223"/>
        <v>13411.23</v>
      </c>
      <c r="L7153" s="27">
        <v>12740.67</v>
      </c>
      <c r="M7153" s="36">
        <v>0</v>
      </c>
      <c r="T7153" s="41">
        <v>0</v>
      </c>
      <c r="U7153" s="41">
        <v>0</v>
      </c>
      <c r="V7153" s="42" t="s">
        <v>113</v>
      </c>
      <c r="W7153" s="42">
        <v>13411.23</v>
      </c>
      <c r="X7153" s="42">
        <v>13411.23</v>
      </c>
    </row>
    <row r="7154" spans="1:24">
      <c r="A7154" s="27" t="s">
        <v>12933</v>
      </c>
      <c r="B7154" s="28" t="s">
        <v>12240</v>
      </c>
      <c r="C7154" s="27" t="s">
        <v>12243</v>
      </c>
      <c r="D7154" s="27" t="s">
        <v>230</v>
      </c>
      <c r="E7154" s="29">
        <v>37226</v>
      </c>
      <c r="F7154" s="27">
        <v>15</v>
      </c>
      <c r="G7154" s="18">
        <v>25447.16</v>
      </c>
      <c r="H7154" s="27">
        <f t="shared" si="222"/>
        <v>25447.16</v>
      </c>
      <c r="I7154" s="18">
        <v>24174.799999999999</v>
      </c>
      <c r="J7154" s="27">
        <v>25447.16</v>
      </c>
      <c r="K7154" s="18">
        <f t="shared" si="223"/>
        <v>25447.16</v>
      </c>
      <c r="L7154" s="27">
        <v>24174.799999999999</v>
      </c>
      <c r="M7154" s="36">
        <v>0</v>
      </c>
      <c r="T7154" s="41">
        <v>0</v>
      </c>
      <c r="U7154" s="41">
        <v>0</v>
      </c>
      <c r="V7154" s="42" t="s">
        <v>113</v>
      </c>
      <c r="W7154" s="42">
        <v>25447.16</v>
      </c>
      <c r="X7154" s="42">
        <v>25447.16</v>
      </c>
    </row>
    <row r="7155" spans="1:24">
      <c r="A7155" s="27" t="s">
        <v>12934</v>
      </c>
      <c r="B7155" s="28" t="s">
        <v>12240</v>
      </c>
      <c r="C7155" s="27" t="s">
        <v>12243</v>
      </c>
      <c r="D7155" s="27" t="s">
        <v>230</v>
      </c>
      <c r="E7155" s="29">
        <v>37226</v>
      </c>
      <c r="F7155" s="27">
        <v>15</v>
      </c>
      <c r="G7155" s="18">
        <v>25447.16</v>
      </c>
      <c r="H7155" s="27">
        <f t="shared" si="222"/>
        <v>25447.16</v>
      </c>
      <c r="I7155" s="18">
        <v>24174.799999999999</v>
      </c>
      <c r="J7155" s="27">
        <v>25447.16</v>
      </c>
      <c r="K7155" s="18">
        <f t="shared" si="223"/>
        <v>25447.16</v>
      </c>
      <c r="L7155" s="27">
        <v>24174.799999999999</v>
      </c>
      <c r="M7155" s="36">
        <v>0</v>
      </c>
      <c r="T7155" s="41">
        <v>0</v>
      </c>
      <c r="U7155" s="41">
        <v>0</v>
      </c>
      <c r="V7155" s="42" t="s">
        <v>113</v>
      </c>
      <c r="W7155" s="42">
        <v>25447.16</v>
      </c>
      <c r="X7155" s="42">
        <v>25447.16</v>
      </c>
    </row>
    <row r="7156" spans="1:24">
      <c r="A7156" s="27" t="s">
        <v>12935</v>
      </c>
      <c r="B7156" s="28" t="s">
        <v>12240</v>
      </c>
      <c r="C7156" s="27" t="s">
        <v>12243</v>
      </c>
      <c r="D7156" s="27" t="s">
        <v>230</v>
      </c>
      <c r="E7156" s="29">
        <v>37226</v>
      </c>
      <c r="F7156" s="27">
        <v>15</v>
      </c>
      <c r="G7156" s="18">
        <v>25447.17</v>
      </c>
      <c r="H7156" s="27">
        <f t="shared" si="222"/>
        <v>25447.17</v>
      </c>
      <c r="I7156" s="18">
        <v>24174.81</v>
      </c>
      <c r="J7156" s="27">
        <v>25447.17</v>
      </c>
      <c r="K7156" s="18">
        <f t="shared" si="223"/>
        <v>25447.17</v>
      </c>
      <c r="L7156" s="27">
        <v>24174.81</v>
      </c>
      <c r="M7156" s="36">
        <v>0</v>
      </c>
      <c r="T7156" s="41">
        <v>0</v>
      </c>
      <c r="U7156" s="41">
        <v>0</v>
      </c>
      <c r="V7156" s="42" t="s">
        <v>113</v>
      </c>
      <c r="W7156" s="42">
        <v>25447.17</v>
      </c>
      <c r="X7156" s="42">
        <v>25447.17</v>
      </c>
    </row>
    <row r="7157" spans="1:24">
      <c r="A7157" s="27" t="s">
        <v>12936</v>
      </c>
      <c r="B7157" s="28" t="s">
        <v>12240</v>
      </c>
      <c r="C7157" s="27" t="s">
        <v>12243</v>
      </c>
      <c r="D7157" s="27" t="s">
        <v>5104</v>
      </c>
      <c r="E7157" s="29">
        <v>39417</v>
      </c>
      <c r="F7157" s="27">
        <v>15</v>
      </c>
      <c r="G7157" s="18">
        <v>22072.5</v>
      </c>
      <c r="H7157" s="27">
        <f t="shared" si="222"/>
        <v>0</v>
      </c>
      <c r="I7157" s="18">
        <v>18825.61</v>
      </c>
      <c r="J7157" s="27">
        <v>22072.5</v>
      </c>
      <c r="K7157" s="18">
        <f t="shared" si="223"/>
        <v>0</v>
      </c>
      <c r="L7157" s="27">
        <v>19361.43</v>
      </c>
      <c r="M7157" s="36">
        <v>535.82000000000005</v>
      </c>
      <c r="T7157" s="41">
        <v>0</v>
      </c>
      <c r="U7157" s="41">
        <v>0</v>
      </c>
      <c r="V7157" s="42" t="s">
        <v>113</v>
      </c>
      <c r="W7157" s="42">
        <v>0</v>
      </c>
      <c r="X7157" s="42">
        <v>0</v>
      </c>
    </row>
    <row r="7158" spans="1:24">
      <c r="A7158" s="27" t="s">
        <v>12937</v>
      </c>
      <c r="B7158" s="28" t="s">
        <v>12240</v>
      </c>
      <c r="C7158" s="27" t="s">
        <v>12243</v>
      </c>
      <c r="D7158" s="27" t="s">
        <v>5104</v>
      </c>
      <c r="E7158" s="29">
        <v>39417</v>
      </c>
      <c r="F7158" s="27">
        <v>15</v>
      </c>
      <c r="G7158" s="18">
        <v>22072.5</v>
      </c>
      <c r="H7158" s="27">
        <f t="shared" si="222"/>
        <v>0</v>
      </c>
      <c r="I7158" s="18">
        <v>18825.61</v>
      </c>
      <c r="J7158" s="27">
        <v>22072.5</v>
      </c>
      <c r="K7158" s="18">
        <f t="shared" si="223"/>
        <v>0</v>
      </c>
      <c r="L7158" s="27">
        <v>19361.43</v>
      </c>
      <c r="M7158" s="36">
        <v>535.82000000000005</v>
      </c>
      <c r="T7158" s="41">
        <v>0</v>
      </c>
      <c r="U7158" s="41">
        <v>0</v>
      </c>
      <c r="V7158" s="42" t="s">
        <v>113</v>
      </c>
      <c r="W7158" s="42">
        <v>0</v>
      </c>
      <c r="X7158" s="42">
        <v>0</v>
      </c>
    </row>
    <row r="7159" spans="1:24">
      <c r="A7159" s="27" t="s">
        <v>12938</v>
      </c>
      <c r="B7159" s="28" t="s">
        <v>12240</v>
      </c>
      <c r="C7159" s="27" t="s">
        <v>12243</v>
      </c>
      <c r="D7159" s="27" t="s">
        <v>5104</v>
      </c>
      <c r="E7159" s="29">
        <v>39417</v>
      </c>
      <c r="F7159" s="27">
        <v>15</v>
      </c>
      <c r="G7159" s="18">
        <v>25485.79</v>
      </c>
      <c r="H7159" s="27">
        <f t="shared" si="222"/>
        <v>0</v>
      </c>
      <c r="I7159" s="18">
        <v>21736.799999999999</v>
      </c>
      <c r="J7159" s="27">
        <v>25485.79</v>
      </c>
      <c r="K7159" s="18">
        <f t="shared" si="223"/>
        <v>0</v>
      </c>
      <c r="L7159" s="27">
        <v>22355.48</v>
      </c>
      <c r="M7159" s="36">
        <v>618.67999999999995</v>
      </c>
      <c r="T7159" s="41">
        <v>0</v>
      </c>
      <c r="U7159" s="41">
        <v>0</v>
      </c>
      <c r="V7159" s="42" t="s">
        <v>113</v>
      </c>
      <c r="W7159" s="42">
        <v>0</v>
      </c>
      <c r="X7159" s="42">
        <v>0</v>
      </c>
    </row>
    <row r="7160" spans="1:24">
      <c r="A7160" s="27" t="s">
        <v>12939</v>
      </c>
      <c r="B7160" s="28" t="s">
        <v>12240</v>
      </c>
      <c r="C7160" s="27" t="s">
        <v>12243</v>
      </c>
      <c r="D7160" s="27" t="s">
        <v>5104</v>
      </c>
      <c r="E7160" s="29">
        <v>39417</v>
      </c>
      <c r="F7160" s="27">
        <v>15</v>
      </c>
      <c r="G7160" s="18">
        <v>25485.8</v>
      </c>
      <c r="H7160" s="27">
        <f t="shared" si="222"/>
        <v>0</v>
      </c>
      <c r="I7160" s="18">
        <v>21736.81</v>
      </c>
      <c r="J7160" s="27">
        <v>25485.8</v>
      </c>
      <c r="K7160" s="18">
        <f t="shared" si="223"/>
        <v>0</v>
      </c>
      <c r="L7160" s="27">
        <v>22355.49</v>
      </c>
      <c r="M7160" s="36">
        <v>618.67999999999995</v>
      </c>
      <c r="T7160" s="41">
        <v>0</v>
      </c>
      <c r="U7160" s="41">
        <v>0</v>
      </c>
      <c r="V7160" s="42" t="s">
        <v>113</v>
      </c>
      <c r="W7160" s="42">
        <v>0</v>
      </c>
      <c r="X7160" s="42">
        <v>0</v>
      </c>
    </row>
    <row r="7161" spans="1:24">
      <c r="A7161" s="27" t="s">
        <v>12940</v>
      </c>
      <c r="B7161" s="28" t="s">
        <v>12240</v>
      </c>
      <c r="C7161" s="27" t="s">
        <v>12941</v>
      </c>
      <c r="D7161" s="27" t="s">
        <v>230</v>
      </c>
      <c r="E7161" s="29">
        <v>35551</v>
      </c>
      <c r="F7161" s="27">
        <v>15</v>
      </c>
      <c r="G7161" s="18">
        <v>88263.14</v>
      </c>
      <c r="H7161" s="27">
        <f t="shared" si="222"/>
        <v>88263.14</v>
      </c>
      <c r="I7161" s="18">
        <v>83849.98</v>
      </c>
      <c r="J7161" s="27">
        <v>88263.14</v>
      </c>
      <c r="K7161" s="18">
        <f t="shared" si="223"/>
        <v>88263.14</v>
      </c>
      <c r="L7161" s="27">
        <v>83849.98</v>
      </c>
      <c r="M7161" s="36">
        <v>0</v>
      </c>
      <c r="T7161" s="41">
        <v>0</v>
      </c>
      <c r="U7161" s="41">
        <v>0</v>
      </c>
      <c r="V7161" s="42" t="s">
        <v>113</v>
      </c>
      <c r="W7161" s="42">
        <v>88263.14</v>
      </c>
      <c r="X7161" s="42">
        <v>88263.14</v>
      </c>
    </row>
    <row r="7162" spans="1:24">
      <c r="A7162" s="27" t="s">
        <v>12942</v>
      </c>
      <c r="B7162" s="28" t="s">
        <v>12240</v>
      </c>
      <c r="C7162" s="27" t="s">
        <v>12943</v>
      </c>
      <c r="D7162" s="27" t="s">
        <v>230</v>
      </c>
      <c r="E7162" s="29">
        <v>32782</v>
      </c>
      <c r="F7162" s="27">
        <v>15</v>
      </c>
      <c r="G7162" s="18">
        <v>19535.669999999998</v>
      </c>
      <c r="H7162" s="27">
        <f t="shared" si="222"/>
        <v>19535.669999999998</v>
      </c>
      <c r="I7162" s="18">
        <v>18558.89</v>
      </c>
      <c r="J7162" s="27">
        <v>19535.669999999998</v>
      </c>
      <c r="K7162" s="18">
        <f t="shared" si="223"/>
        <v>19535.669999999998</v>
      </c>
      <c r="L7162" s="27">
        <v>18558.89</v>
      </c>
      <c r="M7162" s="36">
        <v>0</v>
      </c>
      <c r="T7162" s="41">
        <v>0</v>
      </c>
      <c r="U7162" s="41">
        <v>0</v>
      </c>
      <c r="V7162" s="42" t="s">
        <v>113</v>
      </c>
      <c r="W7162" s="42">
        <v>19535.669999999998</v>
      </c>
      <c r="X7162" s="42">
        <v>19535.669999999998</v>
      </c>
    </row>
    <row r="7163" spans="1:24">
      <c r="A7163" s="27" t="s">
        <v>12944</v>
      </c>
      <c r="B7163" s="28" t="s">
        <v>12240</v>
      </c>
      <c r="C7163" s="27" t="s">
        <v>12945</v>
      </c>
      <c r="D7163" s="27" t="s">
        <v>230</v>
      </c>
      <c r="E7163" s="29">
        <v>39417</v>
      </c>
      <c r="F7163" s="27">
        <v>15</v>
      </c>
      <c r="G7163" s="18">
        <v>7290</v>
      </c>
      <c r="H7163" s="27">
        <f t="shared" si="222"/>
        <v>0</v>
      </c>
      <c r="I7163" s="18">
        <v>6511.24</v>
      </c>
      <c r="J7163" s="27">
        <v>7290</v>
      </c>
      <c r="K7163" s="18">
        <f t="shared" si="223"/>
        <v>0</v>
      </c>
      <c r="L7163" s="27">
        <v>6614.81</v>
      </c>
      <c r="M7163" s="36">
        <v>103.57</v>
      </c>
      <c r="T7163" s="41">
        <v>0</v>
      </c>
      <c r="U7163" s="41">
        <v>0</v>
      </c>
      <c r="V7163" s="42" t="s">
        <v>113</v>
      </c>
      <c r="W7163" s="42">
        <v>0</v>
      </c>
      <c r="X7163" s="42">
        <v>0</v>
      </c>
    </row>
    <row r="7164" spans="1:24">
      <c r="A7164" s="27" t="s">
        <v>12946</v>
      </c>
      <c r="B7164" s="28" t="s">
        <v>12240</v>
      </c>
      <c r="C7164" s="27" t="s">
        <v>12245</v>
      </c>
      <c r="D7164" s="27" t="s">
        <v>5104</v>
      </c>
      <c r="E7164" s="29">
        <v>39417</v>
      </c>
      <c r="F7164" s="27">
        <v>15</v>
      </c>
      <c r="G7164" s="18">
        <v>23760</v>
      </c>
      <c r="H7164" s="27">
        <f t="shared" si="222"/>
        <v>0</v>
      </c>
      <c r="I7164" s="18">
        <v>21221.82</v>
      </c>
      <c r="J7164" s="27">
        <v>23760</v>
      </c>
      <c r="K7164" s="18">
        <f t="shared" si="223"/>
        <v>0</v>
      </c>
      <c r="L7164" s="27">
        <v>21559.37</v>
      </c>
      <c r="M7164" s="36">
        <v>337.55</v>
      </c>
      <c r="T7164" s="41">
        <v>0</v>
      </c>
      <c r="U7164" s="41">
        <v>0</v>
      </c>
      <c r="V7164" s="42" t="s">
        <v>113</v>
      </c>
      <c r="W7164" s="42">
        <v>0</v>
      </c>
      <c r="X7164" s="42">
        <v>0</v>
      </c>
    </row>
    <row r="7165" spans="1:24">
      <c r="A7165" s="27" t="s">
        <v>12947</v>
      </c>
      <c r="B7165" s="28" t="s">
        <v>12240</v>
      </c>
      <c r="C7165" s="27" t="s">
        <v>12245</v>
      </c>
      <c r="D7165" s="27" t="s">
        <v>5104</v>
      </c>
      <c r="E7165" s="29">
        <v>39417</v>
      </c>
      <c r="F7165" s="27">
        <v>15</v>
      </c>
      <c r="G7165" s="18">
        <v>24420</v>
      </c>
      <c r="H7165" s="27">
        <f t="shared" si="222"/>
        <v>0</v>
      </c>
      <c r="I7165" s="18">
        <v>21811.33</v>
      </c>
      <c r="J7165" s="27">
        <v>24420</v>
      </c>
      <c r="K7165" s="18">
        <f t="shared" si="223"/>
        <v>0</v>
      </c>
      <c r="L7165" s="27">
        <v>22158.25</v>
      </c>
      <c r="M7165" s="36">
        <v>346.92</v>
      </c>
      <c r="T7165" s="41">
        <v>0</v>
      </c>
      <c r="U7165" s="41">
        <v>0</v>
      </c>
      <c r="V7165" s="42" t="s">
        <v>113</v>
      </c>
      <c r="W7165" s="42">
        <v>0</v>
      </c>
      <c r="X7165" s="42">
        <v>0</v>
      </c>
    </row>
    <row r="7166" spans="1:24">
      <c r="A7166" s="27" t="s">
        <v>12948</v>
      </c>
      <c r="B7166" s="28" t="s">
        <v>12240</v>
      </c>
      <c r="C7166" s="27" t="s">
        <v>12617</v>
      </c>
      <c r="D7166" s="27" t="s">
        <v>5104</v>
      </c>
      <c r="E7166" s="29">
        <v>39417</v>
      </c>
      <c r="F7166" s="27">
        <v>15</v>
      </c>
      <c r="G7166" s="18">
        <v>38820</v>
      </c>
      <c r="H7166" s="27">
        <f t="shared" si="222"/>
        <v>0</v>
      </c>
      <c r="I7166" s="18">
        <v>34128.980000000003</v>
      </c>
      <c r="J7166" s="27">
        <v>38820</v>
      </c>
      <c r="K7166" s="18">
        <f t="shared" si="223"/>
        <v>0</v>
      </c>
      <c r="L7166" s="27">
        <v>34816.49</v>
      </c>
      <c r="M7166" s="36">
        <v>687.51</v>
      </c>
      <c r="T7166" s="41">
        <v>0</v>
      </c>
      <c r="U7166" s="41">
        <v>0</v>
      </c>
      <c r="V7166" s="42" t="s">
        <v>113</v>
      </c>
      <c r="W7166" s="42">
        <v>0</v>
      </c>
      <c r="X7166" s="42">
        <v>0</v>
      </c>
    </row>
    <row r="7167" spans="1:24">
      <c r="A7167" s="27" t="s">
        <v>12949</v>
      </c>
      <c r="B7167" s="28" t="s">
        <v>12240</v>
      </c>
      <c r="C7167" s="27" t="s">
        <v>12950</v>
      </c>
      <c r="D7167" s="27" t="s">
        <v>5104</v>
      </c>
      <c r="E7167" s="29">
        <v>39417</v>
      </c>
      <c r="F7167" s="27">
        <v>15</v>
      </c>
      <c r="G7167" s="18">
        <v>9120</v>
      </c>
      <c r="H7167" s="27">
        <f t="shared" si="222"/>
        <v>9120</v>
      </c>
      <c r="I7167" s="18">
        <v>8664</v>
      </c>
      <c r="J7167" s="27">
        <v>9120</v>
      </c>
      <c r="K7167" s="18">
        <f t="shared" si="223"/>
        <v>9120</v>
      </c>
      <c r="L7167" s="27">
        <v>8664</v>
      </c>
      <c r="M7167" s="36">
        <v>0</v>
      </c>
      <c r="T7167" s="41">
        <v>0</v>
      </c>
      <c r="U7167" s="41">
        <v>0</v>
      </c>
      <c r="V7167" s="42" t="s">
        <v>113</v>
      </c>
      <c r="W7167" s="42">
        <v>9120</v>
      </c>
      <c r="X7167" s="42">
        <v>9120</v>
      </c>
    </row>
    <row r="7168" spans="1:24">
      <c r="A7168" s="27" t="s">
        <v>12951</v>
      </c>
      <c r="B7168" s="28" t="s">
        <v>12240</v>
      </c>
      <c r="C7168" s="27" t="s">
        <v>12245</v>
      </c>
      <c r="D7168" s="27" t="s">
        <v>5104</v>
      </c>
      <c r="E7168" s="29">
        <v>39417</v>
      </c>
      <c r="F7168" s="27">
        <v>15</v>
      </c>
      <c r="G7168" s="18">
        <v>10660</v>
      </c>
      <c r="H7168" s="27">
        <f t="shared" si="222"/>
        <v>0</v>
      </c>
      <c r="I7168" s="18">
        <v>9453.33</v>
      </c>
      <c r="J7168" s="27">
        <v>10660</v>
      </c>
      <c r="K7168" s="18">
        <f t="shared" si="223"/>
        <v>0</v>
      </c>
      <c r="L7168" s="27">
        <v>9621.75</v>
      </c>
      <c r="M7168" s="36">
        <v>168.42</v>
      </c>
      <c r="T7168" s="41">
        <v>0</v>
      </c>
      <c r="U7168" s="41">
        <v>0</v>
      </c>
      <c r="V7168" s="42" t="s">
        <v>113</v>
      </c>
      <c r="W7168" s="42">
        <v>0</v>
      </c>
      <c r="X7168" s="42">
        <v>0</v>
      </c>
    </row>
    <row r="7169" spans="1:24">
      <c r="A7169" s="27" t="s">
        <v>12952</v>
      </c>
      <c r="B7169" s="28" t="s">
        <v>12240</v>
      </c>
      <c r="C7169" s="27" t="s">
        <v>12245</v>
      </c>
      <c r="D7169" s="27" t="s">
        <v>5104</v>
      </c>
      <c r="E7169" s="29">
        <v>39417</v>
      </c>
      <c r="F7169" s="27">
        <v>15</v>
      </c>
      <c r="G7169" s="18">
        <v>65660</v>
      </c>
      <c r="H7169" s="27">
        <f t="shared" si="222"/>
        <v>0</v>
      </c>
      <c r="I7169" s="18">
        <v>58227.54</v>
      </c>
      <c r="J7169" s="27">
        <v>65660</v>
      </c>
      <c r="K7169" s="18">
        <f t="shared" si="223"/>
        <v>0</v>
      </c>
      <c r="L7169" s="27">
        <v>59264.91</v>
      </c>
      <c r="M7169" s="36">
        <v>1037.3699999999999</v>
      </c>
      <c r="T7169" s="41">
        <v>0</v>
      </c>
      <c r="U7169" s="41">
        <v>0</v>
      </c>
      <c r="V7169" s="42" t="s">
        <v>113</v>
      </c>
      <c r="W7169" s="42">
        <v>0</v>
      </c>
      <c r="X7169" s="42">
        <v>0</v>
      </c>
    </row>
    <row r="7170" spans="1:24">
      <c r="A7170" s="27" t="s">
        <v>12953</v>
      </c>
      <c r="B7170" s="28" t="s">
        <v>12240</v>
      </c>
      <c r="C7170" s="27" t="s">
        <v>12771</v>
      </c>
      <c r="D7170" s="27" t="s">
        <v>5104</v>
      </c>
      <c r="E7170" s="29">
        <v>39417</v>
      </c>
      <c r="F7170" s="27">
        <v>15</v>
      </c>
      <c r="G7170" s="18">
        <v>9090</v>
      </c>
      <c r="H7170" s="27">
        <f t="shared" si="222"/>
        <v>0</v>
      </c>
      <c r="I7170" s="18">
        <v>8211.6</v>
      </c>
      <c r="J7170" s="27">
        <v>9090</v>
      </c>
      <c r="K7170" s="18">
        <f t="shared" si="223"/>
        <v>0</v>
      </c>
      <c r="L7170" s="27">
        <v>8317.58</v>
      </c>
      <c r="M7170" s="36">
        <v>105.98</v>
      </c>
      <c r="T7170" s="41">
        <v>0</v>
      </c>
      <c r="U7170" s="41">
        <v>0</v>
      </c>
      <c r="V7170" s="42" t="s">
        <v>113</v>
      </c>
      <c r="W7170" s="42">
        <v>0</v>
      </c>
      <c r="X7170" s="42">
        <v>0</v>
      </c>
    </row>
    <row r="7171" spans="1:24">
      <c r="A7171" s="27" t="s">
        <v>12954</v>
      </c>
      <c r="B7171" s="28" t="s">
        <v>12240</v>
      </c>
      <c r="C7171" s="27" t="s">
        <v>12279</v>
      </c>
      <c r="D7171" s="27" t="s">
        <v>5104</v>
      </c>
      <c r="E7171" s="29">
        <v>39417</v>
      </c>
      <c r="F7171" s="27">
        <v>15</v>
      </c>
      <c r="G7171" s="18">
        <v>12440</v>
      </c>
      <c r="H7171" s="27">
        <f t="shared" si="222"/>
        <v>0</v>
      </c>
      <c r="I7171" s="18">
        <v>11142.78</v>
      </c>
      <c r="J7171" s="27">
        <v>12440</v>
      </c>
      <c r="K7171" s="18">
        <f t="shared" si="223"/>
        <v>0</v>
      </c>
      <c r="L7171" s="27">
        <v>11311.59</v>
      </c>
      <c r="M7171" s="36">
        <v>168.81</v>
      </c>
      <c r="T7171" s="41">
        <v>0</v>
      </c>
      <c r="U7171" s="41">
        <v>0</v>
      </c>
      <c r="V7171" s="42" t="s">
        <v>113</v>
      </c>
      <c r="W7171" s="42">
        <v>0</v>
      </c>
      <c r="X7171" s="42">
        <v>0</v>
      </c>
    </row>
    <row r="7172" spans="1:24">
      <c r="A7172" s="27" t="s">
        <v>12955</v>
      </c>
      <c r="B7172" s="28" t="s">
        <v>12240</v>
      </c>
      <c r="C7172" s="27" t="s">
        <v>12279</v>
      </c>
      <c r="D7172" s="27" t="s">
        <v>5104</v>
      </c>
      <c r="E7172" s="29">
        <v>39417</v>
      </c>
      <c r="F7172" s="27">
        <v>15</v>
      </c>
      <c r="G7172" s="18">
        <v>15000</v>
      </c>
      <c r="H7172" s="27">
        <f t="shared" si="222"/>
        <v>0</v>
      </c>
      <c r="I7172" s="18">
        <v>13550.5</v>
      </c>
      <c r="J7172" s="27">
        <v>15000</v>
      </c>
      <c r="K7172" s="18">
        <f t="shared" si="223"/>
        <v>0</v>
      </c>
      <c r="L7172" s="27">
        <v>13725.38</v>
      </c>
      <c r="M7172" s="36">
        <v>174.88</v>
      </c>
      <c r="T7172" s="41">
        <v>0</v>
      </c>
      <c r="U7172" s="41">
        <v>0</v>
      </c>
      <c r="V7172" s="42" t="s">
        <v>113</v>
      </c>
      <c r="W7172" s="42">
        <v>0</v>
      </c>
      <c r="X7172" s="42">
        <v>0</v>
      </c>
    </row>
    <row r="7173" spans="1:24">
      <c r="A7173" s="27" t="s">
        <v>12956</v>
      </c>
      <c r="B7173" s="28" t="s">
        <v>12240</v>
      </c>
      <c r="C7173" s="27" t="s">
        <v>12245</v>
      </c>
      <c r="D7173" s="27" t="s">
        <v>5104</v>
      </c>
      <c r="E7173" s="29">
        <v>39479</v>
      </c>
      <c r="F7173" s="27">
        <v>15</v>
      </c>
      <c r="G7173" s="18">
        <v>42600</v>
      </c>
      <c r="H7173" s="27">
        <f t="shared" si="222"/>
        <v>0</v>
      </c>
      <c r="I7173" s="18">
        <v>35331.1</v>
      </c>
      <c r="J7173" s="27">
        <v>42600</v>
      </c>
      <c r="K7173" s="18">
        <f t="shared" si="223"/>
        <v>0</v>
      </c>
      <c r="L7173" s="27">
        <v>36564.44</v>
      </c>
      <c r="M7173" s="36">
        <v>1233.3399999999999</v>
      </c>
      <c r="T7173" s="41">
        <v>0</v>
      </c>
      <c r="U7173" s="41">
        <v>0</v>
      </c>
      <c r="V7173" s="42" t="s">
        <v>113</v>
      </c>
      <c r="W7173" s="42">
        <v>0</v>
      </c>
      <c r="X7173" s="42">
        <v>0</v>
      </c>
    </row>
    <row r="7174" spans="1:24">
      <c r="A7174" s="27" t="s">
        <v>12957</v>
      </c>
      <c r="B7174" s="28" t="s">
        <v>12240</v>
      </c>
      <c r="C7174" s="27" t="s">
        <v>12245</v>
      </c>
      <c r="D7174" s="27" t="s">
        <v>5104</v>
      </c>
      <c r="E7174" s="29">
        <v>39479</v>
      </c>
      <c r="F7174" s="27">
        <v>15</v>
      </c>
      <c r="G7174" s="18">
        <v>25396.25</v>
      </c>
      <c r="H7174" s="27">
        <f t="shared" ref="H7174:H7237" si="224">IFERROR(IF(ROUND((G7174-I7174)/G7174,2)&lt;=0.05,G7174,0),0)</f>
        <v>0</v>
      </c>
      <c r="I7174" s="18">
        <v>21062.85</v>
      </c>
      <c r="J7174" s="27">
        <v>25396.25</v>
      </c>
      <c r="K7174" s="18">
        <f t="shared" ref="K7174:K7237" si="225">IFERROR(IF(ROUND((J7174-L7174)/J7174,2)&lt;=0.05,J7174,0),0)</f>
        <v>0</v>
      </c>
      <c r="L7174" s="27">
        <v>21798.11</v>
      </c>
      <c r="M7174" s="36">
        <v>735.26</v>
      </c>
      <c r="T7174" s="41">
        <v>0</v>
      </c>
      <c r="U7174" s="41">
        <v>0</v>
      </c>
      <c r="V7174" s="42" t="s">
        <v>113</v>
      </c>
      <c r="W7174" s="42">
        <v>0</v>
      </c>
      <c r="X7174" s="42">
        <v>0</v>
      </c>
    </row>
    <row r="7175" spans="1:24">
      <c r="A7175" s="27" t="s">
        <v>12958</v>
      </c>
      <c r="B7175" s="28" t="s">
        <v>12240</v>
      </c>
      <c r="C7175" s="27" t="s">
        <v>12959</v>
      </c>
      <c r="D7175" s="27" t="s">
        <v>230</v>
      </c>
      <c r="E7175" s="29">
        <v>34608</v>
      </c>
      <c r="F7175" s="27">
        <v>15</v>
      </c>
      <c r="G7175" s="18">
        <v>6273.37</v>
      </c>
      <c r="H7175" s="27">
        <f t="shared" si="224"/>
        <v>6273.37</v>
      </c>
      <c r="I7175" s="18">
        <v>5959.7</v>
      </c>
      <c r="J7175" s="27">
        <v>6273.37</v>
      </c>
      <c r="K7175" s="18">
        <f t="shared" si="225"/>
        <v>6273.37</v>
      </c>
      <c r="L7175" s="27">
        <v>5959.7</v>
      </c>
      <c r="M7175" s="36">
        <v>0</v>
      </c>
      <c r="T7175" s="41">
        <v>0</v>
      </c>
      <c r="U7175" s="41">
        <v>0</v>
      </c>
      <c r="V7175" s="42" t="s">
        <v>113</v>
      </c>
      <c r="W7175" s="42">
        <v>6273.37</v>
      </c>
      <c r="X7175" s="42">
        <v>6273.37</v>
      </c>
    </row>
    <row r="7176" spans="1:24">
      <c r="A7176" s="27" t="s">
        <v>12960</v>
      </c>
      <c r="B7176" s="28" t="s">
        <v>12240</v>
      </c>
      <c r="C7176" s="27" t="s">
        <v>12961</v>
      </c>
      <c r="D7176" s="27" t="s">
        <v>230</v>
      </c>
      <c r="E7176" s="29">
        <v>35156</v>
      </c>
      <c r="F7176" s="27">
        <v>15</v>
      </c>
      <c r="G7176" s="18">
        <v>7738.12</v>
      </c>
      <c r="H7176" s="27">
        <f t="shared" si="224"/>
        <v>7738.12</v>
      </c>
      <c r="I7176" s="18">
        <v>7351.21</v>
      </c>
      <c r="J7176" s="27">
        <v>7738.12</v>
      </c>
      <c r="K7176" s="18">
        <f t="shared" si="225"/>
        <v>7738.12</v>
      </c>
      <c r="L7176" s="27">
        <v>7351.21</v>
      </c>
      <c r="M7176" s="36">
        <v>0</v>
      </c>
      <c r="T7176" s="41">
        <v>0</v>
      </c>
      <c r="U7176" s="41">
        <v>0</v>
      </c>
      <c r="V7176" s="42" t="s">
        <v>113</v>
      </c>
      <c r="W7176" s="42">
        <v>7738.12</v>
      </c>
      <c r="X7176" s="42">
        <v>7738.12</v>
      </c>
    </row>
    <row r="7177" spans="1:24">
      <c r="A7177" s="27" t="s">
        <v>12962</v>
      </c>
      <c r="B7177" s="28" t="s">
        <v>12240</v>
      </c>
      <c r="C7177" s="27" t="s">
        <v>12963</v>
      </c>
      <c r="D7177" s="27" t="s">
        <v>230</v>
      </c>
      <c r="E7177" s="29">
        <v>35551</v>
      </c>
      <c r="F7177" s="27">
        <v>15</v>
      </c>
      <c r="G7177" s="18">
        <v>5935.46</v>
      </c>
      <c r="H7177" s="27">
        <f t="shared" si="224"/>
        <v>5935.46</v>
      </c>
      <c r="I7177" s="18">
        <v>5638.69</v>
      </c>
      <c r="J7177" s="27">
        <v>5935.46</v>
      </c>
      <c r="K7177" s="18">
        <f t="shared" si="225"/>
        <v>5935.46</v>
      </c>
      <c r="L7177" s="27">
        <v>5638.69</v>
      </c>
      <c r="M7177" s="36">
        <v>0</v>
      </c>
      <c r="T7177" s="41">
        <v>0</v>
      </c>
      <c r="U7177" s="41">
        <v>0</v>
      </c>
      <c r="V7177" s="42" t="s">
        <v>113</v>
      </c>
      <c r="W7177" s="42">
        <v>5935.46</v>
      </c>
      <c r="X7177" s="42">
        <v>5935.46</v>
      </c>
    </row>
    <row r="7178" spans="1:24">
      <c r="A7178" s="27" t="s">
        <v>12964</v>
      </c>
      <c r="B7178" s="28" t="s">
        <v>12240</v>
      </c>
      <c r="C7178" s="27" t="s">
        <v>12965</v>
      </c>
      <c r="D7178" s="27" t="s">
        <v>230</v>
      </c>
      <c r="E7178" s="29">
        <v>34608</v>
      </c>
      <c r="F7178" s="27">
        <v>15</v>
      </c>
      <c r="G7178" s="18">
        <v>8853.5400000000009</v>
      </c>
      <c r="H7178" s="27">
        <f t="shared" si="224"/>
        <v>8853.5400000000009</v>
      </c>
      <c r="I7178" s="18">
        <v>8410.86</v>
      </c>
      <c r="J7178" s="27">
        <v>8853.5400000000009</v>
      </c>
      <c r="K7178" s="18">
        <f t="shared" si="225"/>
        <v>8853.5400000000009</v>
      </c>
      <c r="L7178" s="27">
        <v>8410.86</v>
      </c>
      <c r="M7178" s="36">
        <v>0</v>
      </c>
      <c r="T7178" s="41">
        <v>0</v>
      </c>
      <c r="U7178" s="41">
        <v>0</v>
      </c>
      <c r="V7178" s="42" t="s">
        <v>113</v>
      </c>
      <c r="W7178" s="42">
        <v>8853.5400000000009</v>
      </c>
      <c r="X7178" s="42">
        <v>8853.5400000000009</v>
      </c>
    </row>
    <row r="7179" spans="1:24">
      <c r="A7179" s="27" t="s">
        <v>12966</v>
      </c>
      <c r="B7179" s="28" t="s">
        <v>12240</v>
      </c>
      <c r="C7179" s="27" t="s">
        <v>12967</v>
      </c>
      <c r="D7179" s="27" t="s">
        <v>5104</v>
      </c>
      <c r="E7179" s="29">
        <v>34608</v>
      </c>
      <c r="F7179" s="27">
        <v>15</v>
      </c>
      <c r="G7179" s="18">
        <v>111167.98</v>
      </c>
      <c r="H7179" s="27">
        <f t="shared" si="224"/>
        <v>111167.98</v>
      </c>
      <c r="I7179" s="18">
        <v>105609.58</v>
      </c>
      <c r="J7179" s="27">
        <v>111167.98</v>
      </c>
      <c r="K7179" s="18">
        <f t="shared" si="225"/>
        <v>111167.98</v>
      </c>
      <c r="L7179" s="27">
        <v>105609.58</v>
      </c>
      <c r="M7179" s="36">
        <v>0</v>
      </c>
      <c r="T7179" s="41">
        <v>0</v>
      </c>
      <c r="U7179" s="41">
        <v>0</v>
      </c>
      <c r="V7179" s="42" t="s">
        <v>113</v>
      </c>
      <c r="W7179" s="42">
        <v>111167.98</v>
      </c>
      <c r="X7179" s="42">
        <v>111167.98</v>
      </c>
    </row>
    <row r="7180" spans="1:24">
      <c r="A7180" s="27" t="s">
        <v>12968</v>
      </c>
      <c r="B7180" s="28" t="s">
        <v>12240</v>
      </c>
      <c r="C7180" s="27" t="s">
        <v>12243</v>
      </c>
      <c r="D7180" s="27" t="s">
        <v>230</v>
      </c>
      <c r="E7180" s="29">
        <v>37226</v>
      </c>
      <c r="F7180" s="27">
        <v>15</v>
      </c>
      <c r="G7180" s="18">
        <v>25062.22</v>
      </c>
      <c r="H7180" s="27">
        <f t="shared" si="224"/>
        <v>25062.22</v>
      </c>
      <c r="I7180" s="18">
        <v>23809.11</v>
      </c>
      <c r="J7180" s="27">
        <v>25062.22</v>
      </c>
      <c r="K7180" s="18">
        <f t="shared" si="225"/>
        <v>25062.22</v>
      </c>
      <c r="L7180" s="27">
        <v>23809.11</v>
      </c>
      <c r="M7180" s="36">
        <v>0</v>
      </c>
      <c r="T7180" s="41">
        <v>0</v>
      </c>
      <c r="U7180" s="41">
        <v>0</v>
      </c>
      <c r="V7180" s="42" t="s">
        <v>113</v>
      </c>
      <c r="W7180" s="42">
        <v>25062.22</v>
      </c>
      <c r="X7180" s="42">
        <v>25062.22</v>
      </c>
    </row>
    <row r="7181" spans="1:24">
      <c r="A7181" s="27" t="s">
        <v>12969</v>
      </c>
      <c r="B7181" s="28" t="s">
        <v>12240</v>
      </c>
      <c r="C7181" s="27" t="s">
        <v>12243</v>
      </c>
      <c r="D7181" s="27" t="s">
        <v>230</v>
      </c>
      <c r="E7181" s="29">
        <v>37226</v>
      </c>
      <c r="F7181" s="27">
        <v>15</v>
      </c>
      <c r="G7181" s="18">
        <v>25198.75</v>
      </c>
      <c r="H7181" s="27">
        <f t="shared" si="224"/>
        <v>25198.75</v>
      </c>
      <c r="I7181" s="18">
        <v>23938.81</v>
      </c>
      <c r="J7181" s="27">
        <v>25198.75</v>
      </c>
      <c r="K7181" s="18">
        <f t="shared" si="225"/>
        <v>25198.75</v>
      </c>
      <c r="L7181" s="27">
        <v>23938.81</v>
      </c>
      <c r="M7181" s="36">
        <v>0</v>
      </c>
      <c r="T7181" s="41">
        <v>0</v>
      </c>
      <c r="U7181" s="41">
        <v>0</v>
      </c>
      <c r="V7181" s="42" t="s">
        <v>113</v>
      </c>
      <c r="W7181" s="42">
        <v>25198.75</v>
      </c>
      <c r="X7181" s="42">
        <v>25198.75</v>
      </c>
    </row>
    <row r="7182" spans="1:24">
      <c r="A7182" s="27" t="s">
        <v>12970</v>
      </c>
      <c r="B7182" s="28" t="s">
        <v>12240</v>
      </c>
      <c r="C7182" s="27" t="s">
        <v>12971</v>
      </c>
      <c r="D7182" s="27" t="s">
        <v>230</v>
      </c>
      <c r="E7182" s="29">
        <v>35186</v>
      </c>
      <c r="F7182" s="27">
        <v>15</v>
      </c>
      <c r="G7182" s="18">
        <v>7331.6</v>
      </c>
      <c r="H7182" s="27">
        <f t="shared" si="224"/>
        <v>7331.6</v>
      </c>
      <c r="I7182" s="18">
        <v>6965.02</v>
      </c>
      <c r="J7182" s="27">
        <v>7331.6</v>
      </c>
      <c r="K7182" s="18">
        <f t="shared" si="225"/>
        <v>7331.6</v>
      </c>
      <c r="L7182" s="27">
        <v>6965.02</v>
      </c>
      <c r="M7182" s="36">
        <v>0</v>
      </c>
      <c r="T7182" s="41">
        <v>0</v>
      </c>
      <c r="U7182" s="41">
        <v>0</v>
      </c>
      <c r="V7182" s="42" t="s">
        <v>113</v>
      </c>
      <c r="W7182" s="42">
        <v>7331.6</v>
      </c>
      <c r="X7182" s="42">
        <v>7331.6</v>
      </c>
    </row>
    <row r="7183" spans="1:24">
      <c r="A7183" s="27" t="s">
        <v>12972</v>
      </c>
      <c r="B7183" s="28" t="s">
        <v>12240</v>
      </c>
      <c r="C7183" s="27" t="s">
        <v>12973</v>
      </c>
      <c r="D7183" s="27" t="s">
        <v>230</v>
      </c>
      <c r="E7183" s="29">
        <v>36192</v>
      </c>
      <c r="F7183" s="27">
        <v>15</v>
      </c>
      <c r="G7183" s="18">
        <v>10914.77</v>
      </c>
      <c r="H7183" s="27">
        <f t="shared" si="224"/>
        <v>10914.77</v>
      </c>
      <c r="I7183" s="18">
        <v>10369.030000000001</v>
      </c>
      <c r="J7183" s="27">
        <v>10914.77</v>
      </c>
      <c r="K7183" s="18">
        <f t="shared" si="225"/>
        <v>10914.77</v>
      </c>
      <c r="L7183" s="27">
        <v>10369.030000000001</v>
      </c>
      <c r="M7183" s="36">
        <v>0</v>
      </c>
      <c r="T7183" s="41">
        <v>0</v>
      </c>
      <c r="U7183" s="41">
        <v>0</v>
      </c>
      <c r="V7183" s="42" t="s">
        <v>113</v>
      </c>
      <c r="W7183" s="42">
        <v>10914.77</v>
      </c>
      <c r="X7183" s="42">
        <v>10914.77</v>
      </c>
    </row>
    <row r="7184" spans="1:24">
      <c r="A7184" s="27" t="s">
        <v>12974</v>
      </c>
      <c r="B7184" s="28" t="s">
        <v>12240</v>
      </c>
      <c r="C7184" s="27" t="s">
        <v>12975</v>
      </c>
      <c r="D7184" s="27" t="s">
        <v>230</v>
      </c>
      <c r="E7184" s="29">
        <v>35156</v>
      </c>
      <c r="F7184" s="27">
        <v>15</v>
      </c>
      <c r="G7184" s="18">
        <v>5398.25</v>
      </c>
      <c r="H7184" s="27">
        <f t="shared" si="224"/>
        <v>5398.25</v>
      </c>
      <c r="I7184" s="18">
        <v>5128.34</v>
      </c>
      <c r="J7184" s="27">
        <v>5398.25</v>
      </c>
      <c r="K7184" s="18">
        <f t="shared" si="225"/>
        <v>5398.25</v>
      </c>
      <c r="L7184" s="27">
        <v>5128.34</v>
      </c>
      <c r="M7184" s="36">
        <v>0</v>
      </c>
      <c r="T7184" s="41">
        <v>0</v>
      </c>
      <c r="U7184" s="41">
        <v>0</v>
      </c>
      <c r="V7184" s="42" t="s">
        <v>113</v>
      </c>
      <c r="W7184" s="42">
        <v>5398.25</v>
      </c>
      <c r="X7184" s="42">
        <v>5398.25</v>
      </c>
    </row>
    <row r="7185" spans="1:24">
      <c r="A7185" s="27" t="s">
        <v>12976</v>
      </c>
      <c r="B7185" s="28" t="s">
        <v>12240</v>
      </c>
      <c r="C7185" s="27" t="s">
        <v>12977</v>
      </c>
      <c r="D7185" s="27" t="s">
        <v>5104</v>
      </c>
      <c r="E7185" s="29">
        <v>35582</v>
      </c>
      <c r="F7185" s="27">
        <v>15</v>
      </c>
      <c r="G7185" s="18">
        <v>5976.78</v>
      </c>
      <c r="H7185" s="27">
        <f t="shared" si="224"/>
        <v>5976.78</v>
      </c>
      <c r="I7185" s="18">
        <v>5677.94</v>
      </c>
      <c r="J7185" s="27">
        <v>5976.78</v>
      </c>
      <c r="K7185" s="18">
        <f t="shared" si="225"/>
        <v>5976.78</v>
      </c>
      <c r="L7185" s="27">
        <v>5677.94</v>
      </c>
      <c r="M7185" s="36">
        <v>0</v>
      </c>
      <c r="T7185" s="41">
        <v>0</v>
      </c>
      <c r="U7185" s="41">
        <v>0</v>
      </c>
      <c r="V7185" s="42" t="s">
        <v>113</v>
      </c>
      <c r="W7185" s="42">
        <v>5976.78</v>
      </c>
      <c r="X7185" s="42">
        <v>5976.78</v>
      </c>
    </row>
    <row r="7186" spans="1:24">
      <c r="A7186" s="27" t="s">
        <v>12978</v>
      </c>
      <c r="B7186" s="28" t="s">
        <v>12240</v>
      </c>
      <c r="C7186" s="27" t="s">
        <v>12245</v>
      </c>
      <c r="D7186" s="27" t="s">
        <v>5104</v>
      </c>
      <c r="E7186" s="29">
        <v>36495</v>
      </c>
      <c r="F7186" s="27">
        <v>15</v>
      </c>
      <c r="G7186" s="18">
        <v>21494.95</v>
      </c>
      <c r="H7186" s="27">
        <f t="shared" si="224"/>
        <v>21494.95</v>
      </c>
      <c r="I7186" s="18">
        <v>20420.2</v>
      </c>
      <c r="J7186" s="27">
        <v>21494.95</v>
      </c>
      <c r="K7186" s="18">
        <f t="shared" si="225"/>
        <v>21494.95</v>
      </c>
      <c r="L7186" s="27">
        <v>20420.2</v>
      </c>
      <c r="M7186" s="36">
        <v>0</v>
      </c>
      <c r="T7186" s="41">
        <v>0</v>
      </c>
      <c r="U7186" s="41">
        <v>0</v>
      </c>
      <c r="V7186" s="42" t="s">
        <v>113</v>
      </c>
      <c r="W7186" s="42">
        <v>21494.95</v>
      </c>
      <c r="X7186" s="42">
        <v>21494.95</v>
      </c>
    </row>
    <row r="7187" spans="1:24">
      <c r="A7187" s="27" t="s">
        <v>12979</v>
      </c>
      <c r="B7187" s="28" t="s">
        <v>12240</v>
      </c>
      <c r="C7187" s="27" t="s">
        <v>12245</v>
      </c>
      <c r="D7187" s="27" t="s">
        <v>5104</v>
      </c>
      <c r="E7187" s="29">
        <v>36495</v>
      </c>
      <c r="F7187" s="27">
        <v>15</v>
      </c>
      <c r="G7187" s="18">
        <v>21494.95</v>
      </c>
      <c r="H7187" s="27">
        <f t="shared" si="224"/>
        <v>21494.95</v>
      </c>
      <c r="I7187" s="18">
        <v>20420.2</v>
      </c>
      <c r="J7187" s="27">
        <v>21494.95</v>
      </c>
      <c r="K7187" s="18">
        <f t="shared" si="225"/>
        <v>21494.95</v>
      </c>
      <c r="L7187" s="27">
        <v>20420.2</v>
      </c>
      <c r="M7187" s="36">
        <v>0</v>
      </c>
      <c r="T7187" s="41">
        <v>0</v>
      </c>
      <c r="U7187" s="41">
        <v>0</v>
      </c>
      <c r="V7187" s="42" t="s">
        <v>113</v>
      </c>
      <c r="W7187" s="42">
        <v>21494.95</v>
      </c>
      <c r="X7187" s="42">
        <v>21494.95</v>
      </c>
    </row>
    <row r="7188" spans="1:24">
      <c r="A7188" s="27" t="s">
        <v>12980</v>
      </c>
      <c r="B7188" s="28" t="s">
        <v>12240</v>
      </c>
      <c r="C7188" s="27" t="s">
        <v>12245</v>
      </c>
      <c r="D7188" s="27" t="s">
        <v>5104</v>
      </c>
      <c r="E7188" s="29">
        <v>36495</v>
      </c>
      <c r="F7188" s="27">
        <v>15</v>
      </c>
      <c r="G7188" s="18">
        <v>16046.16</v>
      </c>
      <c r="H7188" s="27">
        <f t="shared" si="224"/>
        <v>16046.16</v>
      </c>
      <c r="I7188" s="18">
        <v>15243.85</v>
      </c>
      <c r="J7188" s="27">
        <v>16046.16</v>
      </c>
      <c r="K7188" s="18">
        <f t="shared" si="225"/>
        <v>16046.16</v>
      </c>
      <c r="L7188" s="27">
        <v>15243.85</v>
      </c>
      <c r="M7188" s="36">
        <v>0</v>
      </c>
      <c r="T7188" s="41">
        <v>0</v>
      </c>
      <c r="U7188" s="41">
        <v>0</v>
      </c>
      <c r="V7188" s="42" t="s">
        <v>113</v>
      </c>
      <c r="W7188" s="42">
        <v>16046.16</v>
      </c>
      <c r="X7188" s="42">
        <v>16046.16</v>
      </c>
    </row>
    <row r="7189" spans="1:24">
      <c r="A7189" s="27" t="s">
        <v>12981</v>
      </c>
      <c r="B7189" s="28" t="s">
        <v>12240</v>
      </c>
      <c r="C7189" s="27" t="s">
        <v>12245</v>
      </c>
      <c r="D7189" s="27" t="s">
        <v>5104</v>
      </c>
      <c r="E7189" s="29">
        <v>36495</v>
      </c>
      <c r="F7189" s="27">
        <v>15</v>
      </c>
      <c r="G7189" s="18">
        <v>16046.16</v>
      </c>
      <c r="H7189" s="27">
        <f t="shared" si="224"/>
        <v>16046.16</v>
      </c>
      <c r="I7189" s="18">
        <v>15243.85</v>
      </c>
      <c r="J7189" s="27">
        <v>16046.16</v>
      </c>
      <c r="K7189" s="18">
        <f t="shared" si="225"/>
        <v>16046.16</v>
      </c>
      <c r="L7189" s="27">
        <v>15243.85</v>
      </c>
      <c r="M7189" s="36">
        <v>0</v>
      </c>
      <c r="T7189" s="41">
        <v>0</v>
      </c>
      <c r="U7189" s="41">
        <v>0</v>
      </c>
      <c r="V7189" s="42" t="s">
        <v>113</v>
      </c>
      <c r="W7189" s="42">
        <v>16046.16</v>
      </c>
      <c r="X7189" s="42">
        <v>16046.16</v>
      </c>
    </row>
    <row r="7190" spans="1:24">
      <c r="A7190" s="27" t="s">
        <v>12982</v>
      </c>
      <c r="B7190" s="28" t="s">
        <v>12240</v>
      </c>
      <c r="C7190" s="27" t="s">
        <v>12245</v>
      </c>
      <c r="D7190" s="27" t="s">
        <v>5104</v>
      </c>
      <c r="E7190" s="29">
        <v>36495</v>
      </c>
      <c r="F7190" s="27">
        <v>15</v>
      </c>
      <c r="G7190" s="18">
        <v>16046.16</v>
      </c>
      <c r="H7190" s="27">
        <f t="shared" si="224"/>
        <v>16046.16</v>
      </c>
      <c r="I7190" s="18">
        <v>15243.85</v>
      </c>
      <c r="J7190" s="27">
        <v>16046.16</v>
      </c>
      <c r="K7190" s="18">
        <f t="shared" si="225"/>
        <v>16046.16</v>
      </c>
      <c r="L7190" s="27">
        <v>15243.85</v>
      </c>
      <c r="M7190" s="36">
        <v>0</v>
      </c>
      <c r="T7190" s="41">
        <v>0</v>
      </c>
      <c r="U7190" s="41">
        <v>0</v>
      </c>
      <c r="V7190" s="42" t="s">
        <v>113</v>
      </c>
      <c r="W7190" s="42">
        <v>16046.16</v>
      </c>
      <c r="X7190" s="42">
        <v>16046.16</v>
      </c>
    </row>
    <row r="7191" spans="1:24">
      <c r="A7191" s="27" t="s">
        <v>12983</v>
      </c>
      <c r="B7191" s="28" t="s">
        <v>12240</v>
      </c>
      <c r="C7191" s="27" t="s">
        <v>12984</v>
      </c>
      <c r="D7191" s="27" t="s">
        <v>230</v>
      </c>
      <c r="E7191" s="29">
        <v>36130</v>
      </c>
      <c r="F7191" s="27">
        <v>15</v>
      </c>
      <c r="G7191" s="18">
        <v>9058.2000000000007</v>
      </c>
      <c r="H7191" s="27">
        <f t="shared" si="224"/>
        <v>9058.2000000000007</v>
      </c>
      <c r="I7191" s="18">
        <v>8605.2900000000009</v>
      </c>
      <c r="J7191" s="27">
        <v>9058.2000000000007</v>
      </c>
      <c r="K7191" s="18">
        <f t="shared" si="225"/>
        <v>9058.2000000000007</v>
      </c>
      <c r="L7191" s="27">
        <v>8605.2900000000009</v>
      </c>
      <c r="M7191" s="36">
        <v>0</v>
      </c>
      <c r="T7191" s="41">
        <v>0</v>
      </c>
      <c r="U7191" s="41">
        <v>0</v>
      </c>
      <c r="V7191" s="42" t="s">
        <v>113</v>
      </c>
      <c r="W7191" s="42">
        <v>9058.2000000000007</v>
      </c>
      <c r="X7191" s="42">
        <v>9058.2000000000007</v>
      </c>
    </row>
    <row r="7192" spans="1:24">
      <c r="A7192" s="27" t="s">
        <v>12985</v>
      </c>
      <c r="B7192" s="28" t="s">
        <v>12240</v>
      </c>
      <c r="C7192" s="27" t="s">
        <v>12986</v>
      </c>
      <c r="D7192" s="27" t="s">
        <v>5104</v>
      </c>
      <c r="E7192" s="29">
        <v>35947</v>
      </c>
      <c r="F7192" s="27">
        <v>15</v>
      </c>
      <c r="G7192" s="18">
        <v>6472.66</v>
      </c>
      <c r="H7192" s="27">
        <f t="shared" si="224"/>
        <v>6472.66</v>
      </c>
      <c r="I7192" s="18">
        <v>6149.03</v>
      </c>
      <c r="J7192" s="27">
        <v>6472.66</v>
      </c>
      <c r="K7192" s="18">
        <f t="shared" si="225"/>
        <v>6472.66</v>
      </c>
      <c r="L7192" s="27">
        <v>6149.03</v>
      </c>
      <c r="M7192" s="36">
        <v>0</v>
      </c>
      <c r="T7192" s="41">
        <v>0</v>
      </c>
      <c r="U7192" s="41">
        <v>0</v>
      </c>
      <c r="V7192" s="42" t="s">
        <v>113</v>
      </c>
      <c r="W7192" s="42">
        <v>6472.66</v>
      </c>
      <c r="X7192" s="42">
        <v>6472.66</v>
      </c>
    </row>
    <row r="7193" spans="1:24">
      <c r="A7193" s="27" t="s">
        <v>12987</v>
      </c>
      <c r="B7193" s="28" t="s">
        <v>12240</v>
      </c>
      <c r="C7193" s="27" t="s">
        <v>12988</v>
      </c>
      <c r="D7193" s="27" t="s">
        <v>5104</v>
      </c>
      <c r="E7193" s="29">
        <v>36678</v>
      </c>
      <c r="F7193" s="27">
        <v>15</v>
      </c>
      <c r="G7193" s="18">
        <v>14198.62</v>
      </c>
      <c r="H7193" s="27">
        <f t="shared" si="224"/>
        <v>14198.62</v>
      </c>
      <c r="I7193" s="18">
        <v>13488.69</v>
      </c>
      <c r="J7193" s="27">
        <v>14198.62</v>
      </c>
      <c r="K7193" s="18">
        <f t="shared" si="225"/>
        <v>14198.62</v>
      </c>
      <c r="L7193" s="27">
        <v>13488.69</v>
      </c>
      <c r="M7193" s="36">
        <v>0</v>
      </c>
      <c r="T7193" s="41">
        <v>0</v>
      </c>
      <c r="U7193" s="41">
        <v>0</v>
      </c>
      <c r="V7193" s="42" t="s">
        <v>113</v>
      </c>
      <c r="W7193" s="42">
        <v>14198.62</v>
      </c>
      <c r="X7193" s="42">
        <v>14198.62</v>
      </c>
    </row>
    <row r="7194" spans="1:24">
      <c r="A7194" s="27" t="s">
        <v>12989</v>
      </c>
      <c r="B7194" s="28" t="s">
        <v>12240</v>
      </c>
      <c r="C7194" s="27" t="s">
        <v>12245</v>
      </c>
      <c r="D7194" s="27" t="s">
        <v>5104</v>
      </c>
      <c r="E7194" s="29">
        <v>39417</v>
      </c>
      <c r="F7194" s="27">
        <v>15</v>
      </c>
      <c r="G7194" s="18">
        <v>33673.269999999997</v>
      </c>
      <c r="H7194" s="27">
        <f t="shared" si="224"/>
        <v>0</v>
      </c>
      <c r="I7194" s="18">
        <v>28719.91</v>
      </c>
      <c r="J7194" s="27">
        <v>33673.269999999997</v>
      </c>
      <c r="K7194" s="18">
        <f t="shared" si="225"/>
        <v>0</v>
      </c>
      <c r="L7194" s="27">
        <v>29537.34</v>
      </c>
      <c r="M7194" s="36">
        <v>817.43</v>
      </c>
      <c r="T7194" s="41">
        <v>0</v>
      </c>
      <c r="U7194" s="41">
        <v>0</v>
      </c>
      <c r="V7194" s="42" t="s">
        <v>113</v>
      </c>
      <c r="W7194" s="42">
        <v>0</v>
      </c>
      <c r="X7194" s="42">
        <v>0</v>
      </c>
    </row>
    <row r="7195" spans="1:24">
      <c r="A7195" s="27" t="s">
        <v>12990</v>
      </c>
      <c r="B7195" s="28" t="s">
        <v>12240</v>
      </c>
      <c r="C7195" s="27" t="s">
        <v>12245</v>
      </c>
      <c r="D7195" s="27" t="s">
        <v>5104</v>
      </c>
      <c r="E7195" s="29">
        <v>39417</v>
      </c>
      <c r="F7195" s="27">
        <v>15</v>
      </c>
      <c r="G7195" s="18">
        <v>40471.35</v>
      </c>
      <c r="H7195" s="27">
        <f t="shared" si="224"/>
        <v>0</v>
      </c>
      <c r="I7195" s="18">
        <v>34517.980000000003</v>
      </c>
      <c r="J7195" s="27">
        <v>40471.35</v>
      </c>
      <c r="K7195" s="18">
        <f t="shared" si="225"/>
        <v>0</v>
      </c>
      <c r="L7195" s="27">
        <v>35500.43</v>
      </c>
      <c r="M7195" s="36">
        <v>982.45</v>
      </c>
      <c r="T7195" s="41">
        <v>0</v>
      </c>
      <c r="U7195" s="41">
        <v>0</v>
      </c>
      <c r="V7195" s="42" t="s">
        <v>113</v>
      </c>
      <c r="W7195" s="42">
        <v>0</v>
      </c>
      <c r="X7195" s="42">
        <v>0</v>
      </c>
    </row>
    <row r="7196" spans="1:24">
      <c r="A7196" s="27" t="s">
        <v>12991</v>
      </c>
      <c r="B7196" s="28" t="s">
        <v>12240</v>
      </c>
      <c r="C7196" s="27" t="s">
        <v>12245</v>
      </c>
      <c r="D7196" s="27" t="s">
        <v>5104</v>
      </c>
      <c r="E7196" s="29">
        <v>39417</v>
      </c>
      <c r="F7196" s="27">
        <v>15</v>
      </c>
      <c r="G7196" s="18">
        <v>33673.269999999997</v>
      </c>
      <c r="H7196" s="27">
        <f t="shared" si="224"/>
        <v>0</v>
      </c>
      <c r="I7196" s="18">
        <v>28719.91</v>
      </c>
      <c r="J7196" s="27">
        <v>33673.269999999997</v>
      </c>
      <c r="K7196" s="18">
        <f t="shared" si="225"/>
        <v>0</v>
      </c>
      <c r="L7196" s="27">
        <v>29537.34</v>
      </c>
      <c r="M7196" s="36">
        <v>817.43</v>
      </c>
      <c r="T7196" s="41">
        <v>0</v>
      </c>
      <c r="U7196" s="41">
        <v>0</v>
      </c>
      <c r="V7196" s="42" t="s">
        <v>113</v>
      </c>
      <c r="W7196" s="42">
        <v>0</v>
      </c>
      <c r="X7196" s="42">
        <v>0</v>
      </c>
    </row>
    <row r="7197" spans="1:24">
      <c r="A7197" s="27" t="s">
        <v>12992</v>
      </c>
      <c r="B7197" s="28" t="s">
        <v>12240</v>
      </c>
      <c r="C7197" s="27" t="s">
        <v>12993</v>
      </c>
      <c r="D7197" s="27" t="s">
        <v>230</v>
      </c>
      <c r="E7197" s="29">
        <v>39417</v>
      </c>
      <c r="F7197" s="27">
        <v>15</v>
      </c>
      <c r="G7197" s="18">
        <v>33673.269999999997</v>
      </c>
      <c r="H7197" s="27">
        <f t="shared" si="224"/>
        <v>0</v>
      </c>
      <c r="I7197" s="18">
        <v>28719.91</v>
      </c>
      <c r="J7197" s="27">
        <v>33673.269999999997</v>
      </c>
      <c r="K7197" s="18">
        <f t="shared" si="225"/>
        <v>0</v>
      </c>
      <c r="L7197" s="27">
        <v>29537.34</v>
      </c>
      <c r="M7197" s="36">
        <v>817.43</v>
      </c>
      <c r="T7197" s="41">
        <v>0</v>
      </c>
      <c r="U7197" s="41">
        <v>0</v>
      </c>
      <c r="V7197" s="42" t="s">
        <v>113</v>
      </c>
      <c r="W7197" s="42">
        <v>0</v>
      </c>
      <c r="X7197" s="42">
        <v>0</v>
      </c>
    </row>
    <row r="7198" spans="1:24">
      <c r="A7198" s="27" t="s">
        <v>12994</v>
      </c>
      <c r="B7198" s="28" t="s">
        <v>12240</v>
      </c>
      <c r="C7198" s="27" t="s">
        <v>12245</v>
      </c>
      <c r="D7198" s="27" t="s">
        <v>5104</v>
      </c>
      <c r="E7198" s="29">
        <v>39417</v>
      </c>
      <c r="F7198" s="27">
        <v>15</v>
      </c>
      <c r="G7198" s="18">
        <v>33673.269999999997</v>
      </c>
      <c r="H7198" s="27">
        <f t="shared" si="224"/>
        <v>0</v>
      </c>
      <c r="I7198" s="18">
        <v>28719.91</v>
      </c>
      <c r="J7198" s="27">
        <v>33673.269999999997</v>
      </c>
      <c r="K7198" s="18">
        <f t="shared" si="225"/>
        <v>0</v>
      </c>
      <c r="L7198" s="27">
        <v>29537.34</v>
      </c>
      <c r="M7198" s="36">
        <v>817.43</v>
      </c>
      <c r="T7198" s="41">
        <v>0</v>
      </c>
      <c r="U7198" s="41">
        <v>0</v>
      </c>
      <c r="V7198" s="42" t="s">
        <v>113</v>
      </c>
      <c r="W7198" s="42">
        <v>0</v>
      </c>
      <c r="X7198" s="42">
        <v>0</v>
      </c>
    </row>
    <row r="7199" spans="1:24">
      <c r="A7199" s="27" t="s">
        <v>12995</v>
      </c>
      <c r="B7199" s="28" t="s">
        <v>12240</v>
      </c>
      <c r="C7199" s="27" t="s">
        <v>12245</v>
      </c>
      <c r="D7199" s="27" t="s">
        <v>5104</v>
      </c>
      <c r="E7199" s="29">
        <v>39417</v>
      </c>
      <c r="F7199" s="27">
        <v>15</v>
      </c>
      <c r="G7199" s="18">
        <v>33673.279999999999</v>
      </c>
      <c r="H7199" s="27">
        <f t="shared" si="224"/>
        <v>0</v>
      </c>
      <c r="I7199" s="18">
        <v>28719.919999999998</v>
      </c>
      <c r="J7199" s="27">
        <v>33673.279999999999</v>
      </c>
      <c r="K7199" s="18">
        <f t="shared" si="225"/>
        <v>0</v>
      </c>
      <c r="L7199" s="27">
        <v>29537.35</v>
      </c>
      <c r="M7199" s="36">
        <v>817.43</v>
      </c>
      <c r="T7199" s="41">
        <v>0</v>
      </c>
      <c r="U7199" s="41">
        <v>0</v>
      </c>
      <c r="V7199" s="42" t="s">
        <v>113</v>
      </c>
      <c r="W7199" s="42">
        <v>0</v>
      </c>
      <c r="X7199" s="42">
        <v>0</v>
      </c>
    </row>
    <row r="7200" spans="1:24">
      <c r="A7200" s="27" t="s">
        <v>12996</v>
      </c>
      <c r="B7200" s="28" t="s">
        <v>12240</v>
      </c>
      <c r="C7200" s="27" t="s">
        <v>12245</v>
      </c>
      <c r="D7200" s="27" t="s">
        <v>5104</v>
      </c>
      <c r="E7200" s="29">
        <v>39417</v>
      </c>
      <c r="F7200" s="27">
        <v>15</v>
      </c>
      <c r="G7200" s="18">
        <v>33673.279999999999</v>
      </c>
      <c r="H7200" s="27">
        <f t="shared" si="224"/>
        <v>0</v>
      </c>
      <c r="I7200" s="18">
        <v>28719.919999999998</v>
      </c>
      <c r="J7200" s="27">
        <v>33673.279999999999</v>
      </c>
      <c r="K7200" s="18">
        <f t="shared" si="225"/>
        <v>0</v>
      </c>
      <c r="L7200" s="27">
        <v>29537.35</v>
      </c>
      <c r="M7200" s="36">
        <v>817.43</v>
      </c>
      <c r="T7200" s="41">
        <v>0</v>
      </c>
      <c r="U7200" s="41">
        <v>0</v>
      </c>
      <c r="V7200" s="42" t="s">
        <v>113</v>
      </c>
      <c r="W7200" s="42">
        <v>0</v>
      </c>
      <c r="X7200" s="42">
        <v>0</v>
      </c>
    </row>
    <row r="7201" spans="1:24">
      <c r="A7201" s="27" t="s">
        <v>12997</v>
      </c>
      <c r="B7201" s="28" t="s">
        <v>12240</v>
      </c>
      <c r="C7201" s="27" t="s">
        <v>12245</v>
      </c>
      <c r="D7201" s="27" t="s">
        <v>5104</v>
      </c>
      <c r="E7201" s="29">
        <v>39417</v>
      </c>
      <c r="F7201" s="27">
        <v>15</v>
      </c>
      <c r="G7201" s="18">
        <v>33673.279999999999</v>
      </c>
      <c r="H7201" s="27">
        <f t="shared" si="224"/>
        <v>0</v>
      </c>
      <c r="I7201" s="18">
        <v>28719.919999999998</v>
      </c>
      <c r="J7201" s="27">
        <v>33673.279999999999</v>
      </c>
      <c r="K7201" s="18">
        <f t="shared" si="225"/>
        <v>0</v>
      </c>
      <c r="L7201" s="27">
        <v>29537.35</v>
      </c>
      <c r="M7201" s="36">
        <v>817.43</v>
      </c>
      <c r="T7201" s="41">
        <v>0</v>
      </c>
      <c r="U7201" s="41">
        <v>0</v>
      </c>
      <c r="V7201" s="42" t="s">
        <v>113</v>
      </c>
      <c r="W7201" s="42">
        <v>0</v>
      </c>
      <c r="X7201" s="42">
        <v>0</v>
      </c>
    </row>
    <row r="7202" spans="1:24">
      <c r="A7202" s="27" t="s">
        <v>12998</v>
      </c>
      <c r="B7202" s="28" t="s">
        <v>12240</v>
      </c>
      <c r="C7202" s="27" t="s">
        <v>12245</v>
      </c>
      <c r="D7202" s="27" t="s">
        <v>5104</v>
      </c>
      <c r="E7202" s="29">
        <v>39417</v>
      </c>
      <c r="F7202" s="27">
        <v>15</v>
      </c>
      <c r="G7202" s="18">
        <v>33673.279999999999</v>
      </c>
      <c r="H7202" s="27">
        <f t="shared" si="224"/>
        <v>0</v>
      </c>
      <c r="I7202" s="18">
        <v>28719.919999999998</v>
      </c>
      <c r="J7202" s="27">
        <v>33673.279999999999</v>
      </c>
      <c r="K7202" s="18">
        <f t="shared" si="225"/>
        <v>0</v>
      </c>
      <c r="L7202" s="27">
        <v>29537.35</v>
      </c>
      <c r="M7202" s="36">
        <v>817.43</v>
      </c>
      <c r="T7202" s="41">
        <v>0</v>
      </c>
      <c r="U7202" s="41">
        <v>0</v>
      </c>
      <c r="V7202" s="42" t="s">
        <v>113</v>
      </c>
      <c r="W7202" s="42">
        <v>0</v>
      </c>
      <c r="X7202" s="42">
        <v>0</v>
      </c>
    </row>
    <row r="7203" spans="1:24">
      <c r="A7203" s="27" t="s">
        <v>12999</v>
      </c>
      <c r="B7203" s="28" t="s">
        <v>12240</v>
      </c>
      <c r="C7203" s="27" t="s">
        <v>13000</v>
      </c>
      <c r="D7203" s="27" t="s">
        <v>230</v>
      </c>
      <c r="E7203" s="29">
        <v>34608</v>
      </c>
      <c r="F7203" s="27">
        <v>15</v>
      </c>
      <c r="G7203" s="18">
        <v>23513.49</v>
      </c>
      <c r="H7203" s="27">
        <f t="shared" si="224"/>
        <v>23513.49</v>
      </c>
      <c r="I7203" s="18">
        <v>22337.82</v>
      </c>
      <c r="J7203" s="27">
        <v>23513.49</v>
      </c>
      <c r="K7203" s="18">
        <f t="shared" si="225"/>
        <v>23513.49</v>
      </c>
      <c r="L7203" s="27">
        <v>22337.82</v>
      </c>
      <c r="M7203" s="36">
        <v>0</v>
      </c>
      <c r="T7203" s="41">
        <v>0</v>
      </c>
      <c r="U7203" s="41">
        <v>0</v>
      </c>
      <c r="V7203" s="42" t="s">
        <v>113</v>
      </c>
      <c r="W7203" s="42">
        <v>23513.49</v>
      </c>
      <c r="X7203" s="42">
        <v>23513.49</v>
      </c>
    </row>
    <row r="7204" spans="1:24">
      <c r="A7204" s="27" t="s">
        <v>13001</v>
      </c>
      <c r="B7204" s="28" t="s">
        <v>12240</v>
      </c>
      <c r="C7204" s="27" t="s">
        <v>12740</v>
      </c>
      <c r="D7204" s="27" t="s">
        <v>5104</v>
      </c>
      <c r="E7204" s="29">
        <v>38443</v>
      </c>
      <c r="F7204" s="27">
        <v>15</v>
      </c>
      <c r="G7204" s="18">
        <v>14370.45</v>
      </c>
      <c r="H7204" s="27">
        <f t="shared" si="224"/>
        <v>14370.45</v>
      </c>
      <c r="I7204" s="18">
        <v>13651.93</v>
      </c>
      <c r="J7204" s="27">
        <v>14370.45</v>
      </c>
      <c r="K7204" s="18">
        <f t="shared" si="225"/>
        <v>14370.45</v>
      </c>
      <c r="L7204" s="27">
        <v>13651.93</v>
      </c>
      <c r="M7204" s="36">
        <v>0</v>
      </c>
      <c r="T7204" s="41">
        <v>0</v>
      </c>
      <c r="U7204" s="41">
        <v>0</v>
      </c>
      <c r="V7204" s="42" t="s">
        <v>113</v>
      </c>
      <c r="W7204" s="42">
        <v>14370.45</v>
      </c>
      <c r="X7204" s="42">
        <v>14370.45</v>
      </c>
    </row>
    <row r="7205" spans="1:24">
      <c r="A7205" s="27" t="s">
        <v>13002</v>
      </c>
      <c r="B7205" s="28" t="s">
        <v>12240</v>
      </c>
      <c r="C7205" s="27" t="s">
        <v>12252</v>
      </c>
      <c r="D7205" s="27" t="s">
        <v>5104</v>
      </c>
      <c r="E7205" s="29">
        <v>38443</v>
      </c>
      <c r="F7205" s="27">
        <v>15</v>
      </c>
      <c r="G7205" s="18">
        <v>25356.43</v>
      </c>
      <c r="H7205" s="27">
        <f t="shared" si="224"/>
        <v>25356.43</v>
      </c>
      <c r="I7205" s="18">
        <v>24088.61</v>
      </c>
      <c r="J7205" s="27">
        <v>25356.43</v>
      </c>
      <c r="K7205" s="18">
        <f t="shared" si="225"/>
        <v>25356.43</v>
      </c>
      <c r="L7205" s="27">
        <v>24088.61</v>
      </c>
      <c r="M7205" s="36">
        <v>0</v>
      </c>
      <c r="T7205" s="41">
        <v>0</v>
      </c>
      <c r="U7205" s="41">
        <v>0</v>
      </c>
      <c r="V7205" s="42" t="s">
        <v>113</v>
      </c>
      <c r="W7205" s="42">
        <v>25356.43</v>
      </c>
      <c r="X7205" s="42">
        <v>25356.43</v>
      </c>
    </row>
    <row r="7206" spans="1:24">
      <c r="A7206" s="27" t="s">
        <v>13003</v>
      </c>
      <c r="B7206" s="28" t="s">
        <v>12240</v>
      </c>
      <c r="C7206" s="27" t="s">
        <v>12243</v>
      </c>
      <c r="D7206" s="27" t="s">
        <v>230</v>
      </c>
      <c r="E7206" s="29">
        <v>38078</v>
      </c>
      <c r="F7206" s="27">
        <v>15</v>
      </c>
      <c r="G7206" s="18">
        <v>22594.45</v>
      </c>
      <c r="H7206" s="27">
        <f t="shared" si="224"/>
        <v>22594.45</v>
      </c>
      <c r="I7206" s="18">
        <v>21464.73</v>
      </c>
      <c r="J7206" s="27">
        <v>22594.45</v>
      </c>
      <c r="K7206" s="18">
        <f t="shared" si="225"/>
        <v>22594.45</v>
      </c>
      <c r="L7206" s="27">
        <v>21464.73</v>
      </c>
      <c r="M7206" s="36">
        <v>0</v>
      </c>
      <c r="T7206" s="41">
        <v>0</v>
      </c>
      <c r="U7206" s="41">
        <v>0</v>
      </c>
      <c r="V7206" s="42" t="s">
        <v>113</v>
      </c>
      <c r="W7206" s="42">
        <v>22594.45</v>
      </c>
      <c r="X7206" s="42">
        <v>22594.45</v>
      </c>
    </row>
    <row r="7207" spans="1:24">
      <c r="A7207" s="27" t="s">
        <v>13004</v>
      </c>
      <c r="B7207" s="28" t="s">
        <v>12240</v>
      </c>
      <c r="C7207" s="27" t="s">
        <v>12245</v>
      </c>
      <c r="D7207" s="27" t="s">
        <v>5104</v>
      </c>
      <c r="E7207" s="29">
        <v>37742</v>
      </c>
      <c r="F7207" s="27">
        <v>15</v>
      </c>
      <c r="G7207" s="18">
        <v>99020.09</v>
      </c>
      <c r="H7207" s="27">
        <f t="shared" si="224"/>
        <v>99020.09</v>
      </c>
      <c r="I7207" s="18">
        <v>94069.09</v>
      </c>
      <c r="J7207" s="27">
        <v>99020.09</v>
      </c>
      <c r="K7207" s="18">
        <f t="shared" si="225"/>
        <v>99020.09</v>
      </c>
      <c r="L7207" s="27">
        <v>94069.09</v>
      </c>
      <c r="M7207" s="36">
        <v>0</v>
      </c>
      <c r="T7207" s="41">
        <v>0</v>
      </c>
      <c r="U7207" s="41">
        <v>0</v>
      </c>
      <c r="V7207" s="42" t="s">
        <v>113</v>
      </c>
      <c r="W7207" s="42">
        <v>99020.09</v>
      </c>
      <c r="X7207" s="42">
        <v>99020.09</v>
      </c>
    </row>
    <row r="7208" spans="1:24">
      <c r="A7208" s="27" t="s">
        <v>13005</v>
      </c>
      <c r="B7208" s="28" t="s">
        <v>12240</v>
      </c>
      <c r="C7208" s="27" t="s">
        <v>13006</v>
      </c>
      <c r="D7208" s="27" t="s">
        <v>230</v>
      </c>
      <c r="E7208" s="29">
        <v>37742</v>
      </c>
      <c r="F7208" s="27">
        <v>15</v>
      </c>
      <c r="G7208" s="18">
        <v>36362.6</v>
      </c>
      <c r="H7208" s="27">
        <f t="shared" si="224"/>
        <v>36362.6</v>
      </c>
      <c r="I7208" s="18">
        <v>34544.47</v>
      </c>
      <c r="J7208" s="27">
        <v>36362.6</v>
      </c>
      <c r="K7208" s="18">
        <f t="shared" si="225"/>
        <v>36362.6</v>
      </c>
      <c r="L7208" s="27">
        <v>34544.47</v>
      </c>
      <c r="M7208" s="36">
        <v>0</v>
      </c>
      <c r="T7208" s="41">
        <v>0</v>
      </c>
      <c r="U7208" s="41">
        <v>0</v>
      </c>
      <c r="V7208" s="42" t="s">
        <v>113</v>
      </c>
      <c r="W7208" s="42">
        <v>36362.6</v>
      </c>
      <c r="X7208" s="42">
        <v>36362.6</v>
      </c>
    </row>
    <row r="7209" spans="1:24">
      <c r="A7209" s="27" t="s">
        <v>13007</v>
      </c>
      <c r="B7209" s="28" t="s">
        <v>12240</v>
      </c>
      <c r="C7209" s="27" t="s">
        <v>12245</v>
      </c>
      <c r="D7209" s="27" t="s">
        <v>5104</v>
      </c>
      <c r="E7209" s="29">
        <v>37742</v>
      </c>
      <c r="F7209" s="27">
        <v>15</v>
      </c>
      <c r="G7209" s="18">
        <v>59429.05</v>
      </c>
      <c r="H7209" s="27">
        <f t="shared" si="224"/>
        <v>59429.05</v>
      </c>
      <c r="I7209" s="18">
        <v>56457.599999999999</v>
      </c>
      <c r="J7209" s="27">
        <v>59429.05</v>
      </c>
      <c r="K7209" s="18">
        <f t="shared" si="225"/>
        <v>59429.05</v>
      </c>
      <c r="L7209" s="27">
        <v>56457.599999999999</v>
      </c>
      <c r="M7209" s="36">
        <v>0</v>
      </c>
      <c r="T7209" s="41">
        <v>0</v>
      </c>
      <c r="U7209" s="41">
        <v>0</v>
      </c>
      <c r="V7209" s="42" t="s">
        <v>113</v>
      </c>
      <c r="W7209" s="42">
        <v>59429.05</v>
      </c>
      <c r="X7209" s="42">
        <v>59429.05</v>
      </c>
    </row>
    <row r="7210" spans="1:24">
      <c r="A7210" s="27" t="s">
        <v>13008</v>
      </c>
      <c r="B7210" s="28" t="s">
        <v>12240</v>
      </c>
      <c r="C7210" s="27" t="s">
        <v>12245</v>
      </c>
      <c r="D7210" s="27" t="s">
        <v>5104</v>
      </c>
      <c r="E7210" s="29">
        <v>38078</v>
      </c>
      <c r="F7210" s="27">
        <v>15</v>
      </c>
      <c r="G7210" s="18">
        <v>19730.5</v>
      </c>
      <c r="H7210" s="27">
        <f t="shared" si="224"/>
        <v>19730.5</v>
      </c>
      <c r="I7210" s="18">
        <v>18743.97</v>
      </c>
      <c r="J7210" s="27">
        <v>19730.5</v>
      </c>
      <c r="K7210" s="18">
        <f t="shared" si="225"/>
        <v>19730.5</v>
      </c>
      <c r="L7210" s="27">
        <v>18743.97</v>
      </c>
      <c r="M7210" s="36">
        <v>0</v>
      </c>
      <c r="T7210" s="41">
        <v>0</v>
      </c>
      <c r="U7210" s="41">
        <v>0</v>
      </c>
      <c r="V7210" s="42" t="s">
        <v>113</v>
      </c>
      <c r="W7210" s="42">
        <v>19730.5</v>
      </c>
      <c r="X7210" s="42">
        <v>19730.5</v>
      </c>
    </row>
    <row r="7211" spans="1:24">
      <c r="A7211" s="27" t="s">
        <v>13009</v>
      </c>
      <c r="B7211" s="28" t="s">
        <v>12240</v>
      </c>
      <c r="C7211" s="27" t="s">
        <v>13010</v>
      </c>
      <c r="D7211" s="27" t="s">
        <v>230</v>
      </c>
      <c r="E7211" s="29">
        <v>39539</v>
      </c>
      <c r="F7211" s="27">
        <v>15</v>
      </c>
      <c r="G7211" s="18">
        <v>224024.11</v>
      </c>
      <c r="H7211" s="27">
        <f t="shared" si="224"/>
        <v>0</v>
      </c>
      <c r="I7211" s="18">
        <v>183251.95</v>
      </c>
      <c r="J7211" s="27">
        <v>224024.11</v>
      </c>
      <c r="K7211" s="18">
        <f t="shared" si="225"/>
        <v>0</v>
      </c>
      <c r="L7211" s="27">
        <v>190076.02</v>
      </c>
      <c r="M7211" s="36">
        <v>6824.07</v>
      </c>
      <c r="T7211" s="41">
        <v>0</v>
      </c>
      <c r="U7211" s="41">
        <v>0</v>
      </c>
      <c r="V7211" s="42" t="s">
        <v>113</v>
      </c>
      <c r="W7211" s="42">
        <v>0</v>
      </c>
      <c r="X7211" s="42">
        <v>0</v>
      </c>
    </row>
    <row r="7212" spans="1:24">
      <c r="A7212" s="27" t="s">
        <v>13011</v>
      </c>
      <c r="B7212" s="28" t="s">
        <v>12240</v>
      </c>
      <c r="C7212" s="27" t="s">
        <v>13012</v>
      </c>
      <c r="D7212" s="27" t="s">
        <v>5104</v>
      </c>
      <c r="E7212" s="29">
        <v>39539</v>
      </c>
      <c r="F7212" s="27">
        <v>15</v>
      </c>
      <c r="G7212" s="18">
        <v>239249.05</v>
      </c>
      <c r="H7212" s="27">
        <f t="shared" si="224"/>
        <v>0</v>
      </c>
      <c r="I7212" s="18">
        <v>195705.99</v>
      </c>
      <c r="J7212" s="27">
        <v>239249.05</v>
      </c>
      <c r="K7212" s="18">
        <f t="shared" si="225"/>
        <v>0</v>
      </c>
      <c r="L7212" s="27">
        <v>202993.82</v>
      </c>
      <c r="M7212" s="36">
        <v>7287.83</v>
      </c>
      <c r="T7212" s="41">
        <v>0</v>
      </c>
      <c r="U7212" s="41">
        <v>0</v>
      </c>
      <c r="V7212" s="42" t="s">
        <v>113</v>
      </c>
      <c r="W7212" s="42">
        <v>0</v>
      </c>
      <c r="X7212" s="42">
        <v>0</v>
      </c>
    </row>
    <row r="7213" spans="1:24">
      <c r="A7213" s="27" t="s">
        <v>13013</v>
      </c>
      <c r="B7213" s="28" t="s">
        <v>12240</v>
      </c>
      <c r="C7213" s="27" t="s">
        <v>13014</v>
      </c>
      <c r="D7213" s="27" t="s">
        <v>230</v>
      </c>
      <c r="E7213" s="29">
        <v>37530</v>
      </c>
      <c r="F7213" s="27">
        <v>15</v>
      </c>
      <c r="G7213" s="18">
        <v>137642.99</v>
      </c>
      <c r="H7213" s="27">
        <f t="shared" si="224"/>
        <v>137642.99</v>
      </c>
      <c r="I7213" s="18">
        <v>130760.84</v>
      </c>
      <c r="J7213" s="27">
        <v>137642.99</v>
      </c>
      <c r="K7213" s="18">
        <f t="shared" si="225"/>
        <v>137642.99</v>
      </c>
      <c r="L7213" s="27">
        <v>130760.84</v>
      </c>
      <c r="M7213" s="36">
        <v>0</v>
      </c>
      <c r="T7213" s="41">
        <v>0</v>
      </c>
      <c r="U7213" s="41">
        <v>0</v>
      </c>
      <c r="V7213" s="42" t="s">
        <v>113</v>
      </c>
      <c r="W7213" s="42">
        <v>137642.99</v>
      </c>
      <c r="X7213" s="42">
        <v>137642.99</v>
      </c>
    </row>
    <row r="7214" spans="1:24">
      <c r="A7214" s="27" t="s">
        <v>13015</v>
      </c>
      <c r="B7214" s="28" t="s">
        <v>12240</v>
      </c>
      <c r="C7214" s="27" t="s">
        <v>13016</v>
      </c>
      <c r="D7214" s="27" t="s">
        <v>5104</v>
      </c>
      <c r="E7214" s="29">
        <v>37530</v>
      </c>
      <c r="F7214" s="27">
        <v>15</v>
      </c>
      <c r="G7214" s="18">
        <v>109758.91</v>
      </c>
      <c r="H7214" s="27">
        <f t="shared" si="224"/>
        <v>109758.91</v>
      </c>
      <c r="I7214" s="18">
        <v>104270.96</v>
      </c>
      <c r="J7214" s="27">
        <v>109758.91</v>
      </c>
      <c r="K7214" s="18">
        <f t="shared" si="225"/>
        <v>109758.91</v>
      </c>
      <c r="L7214" s="27">
        <v>104270.96</v>
      </c>
      <c r="M7214" s="36">
        <v>0</v>
      </c>
      <c r="T7214" s="41">
        <v>0</v>
      </c>
      <c r="U7214" s="41">
        <v>0</v>
      </c>
      <c r="V7214" s="42" t="s">
        <v>113</v>
      </c>
      <c r="W7214" s="42">
        <v>109758.91</v>
      </c>
      <c r="X7214" s="42">
        <v>109758.91</v>
      </c>
    </row>
    <row r="7215" spans="1:24">
      <c r="A7215" s="27" t="s">
        <v>13017</v>
      </c>
      <c r="B7215" s="28" t="s">
        <v>12240</v>
      </c>
      <c r="C7215" s="27" t="s">
        <v>13016</v>
      </c>
      <c r="D7215" s="27" t="s">
        <v>5104</v>
      </c>
      <c r="E7215" s="29">
        <v>37530</v>
      </c>
      <c r="F7215" s="27">
        <v>15</v>
      </c>
      <c r="G7215" s="18">
        <v>137642.99</v>
      </c>
      <c r="H7215" s="27">
        <f t="shared" si="224"/>
        <v>137642.99</v>
      </c>
      <c r="I7215" s="18">
        <v>130760.84</v>
      </c>
      <c r="J7215" s="27">
        <v>137642.99</v>
      </c>
      <c r="K7215" s="18">
        <f t="shared" si="225"/>
        <v>137642.99</v>
      </c>
      <c r="L7215" s="27">
        <v>130760.84</v>
      </c>
      <c r="M7215" s="36">
        <v>0</v>
      </c>
      <c r="T7215" s="41">
        <v>0</v>
      </c>
      <c r="U7215" s="41">
        <v>0</v>
      </c>
      <c r="V7215" s="42" t="s">
        <v>113</v>
      </c>
      <c r="W7215" s="42">
        <v>137642.99</v>
      </c>
      <c r="X7215" s="42">
        <v>137642.99</v>
      </c>
    </row>
    <row r="7216" spans="1:24">
      <c r="A7216" s="27" t="s">
        <v>13018</v>
      </c>
      <c r="B7216" s="28" t="s">
        <v>12240</v>
      </c>
      <c r="C7216" s="27" t="s">
        <v>13016</v>
      </c>
      <c r="D7216" s="27" t="s">
        <v>5104</v>
      </c>
      <c r="E7216" s="29">
        <v>37530</v>
      </c>
      <c r="F7216" s="27">
        <v>15</v>
      </c>
      <c r="G7216" s="18">
        <v>109758.89</v>
      </c>
      <c r="H7216" s="27">
        <f t="shared" si="224"/>
        <v>109758.89</v>
      </c>
      <c r="I7216" s="18">
        <v>104270.95</v>
      </c>
      <c r="J7216" s="27">
        <v>109758.89</v>
      </c>
      <c r="K7216" s="18">
        <f t="shared" si="225"/>
        <v>109758.89</v>
      </c>
      <c r="L7216" s="27">
        <v>104270.95</v>
      </c>
      <c r="M7216" s="36">
        <v>0</v>
      </c>
      <c r="T7216" s="41">
        <v>0</v>
      </c>
      <c r="U7216" s="41">
        <v>0</v>
      </c>
      <c r="V7216" s="42" t="s">
        <v>113</v>
      </c>
      <c r="W7216" s="42">
        <v>109758.89</v>
      </c>
      <c r="X7216" s="42">
        <v>109758.89</v>
      </c>
    </row>
    <row r="7217" spans="1:24">
      <c r="A7217" s="27" t="s">
        <v>13019</v>
      </c>
      <c r="B7217" s="28" t="s">
        <v>12240</v>
      </c>
      <c r="C7217" s="27" t="s">
        <v>12245</v>
      </c>
      <c r="D7217" s="27" t="s">
        <v>5104</v>
      </c>
      <c r="E7217" s="29">
        <v>38078</v>
      </c>
      <c r="F7217" s="27">
        <v>15</v>
      </c>
      <c r="G7217" s="18">
        <v>20044.36</v>
      </c>
      <c r="H7217" s="27">
        <f t="shared" si="224"/>
        <v>20044.36</v>
      </c>
      <c r="I7217" s="18">
        <v>19042.14</v>
      </c>
      <c r="J7217" s="27">
        <v>20044.36</v>
      </c>
      <c r="K7217" s="18">
        <f t="shared" si="225"/>
        <v>20044.36</v>
      </c>
      <c r="L7217" s="27">
        <v>19042.14</v>
      </c>
      <c r="M7217" s="36">
        <v>0</v>
      </c>
      <c r="T7217" s="41">
        <v>0</v>
      </c>
      <c r="U7217" s="41">
        <v>0</v>
      </c>
      <c r="V7217" s="42" t="s">
        <v>113</v>
      </c>
      <c r="W7217" s="42">
        <v>20044.36</v>
      </c>
      <c r="X7217" s="42">
        <v>20044.36</v>
      </c>
    </row>
    <row r="7218" spans="1:24">
      <c r="A7218" s="27" t="s">
        <v>13020</v>
      </c>
      <c r="B7218" s="28" t="s">
        <v>12240</v>
      </c>
      <c r="C7218" s="27" t="s">
        <v>12245</v>
      </c>
      <c r="D7218" s="27" t="s">
        <v>5104</v>
      </c>
      <c r="E7218" s="29">
        <v>38078</v>
      </c>
      <c r="F7218" s="27">
        <v>15</v>
      </c>
      <c r="G7218" s="18">
        <v>15037.37</v>
      </c>
      <c r="H7218" s="27">
        <f t="shared" si="224"/>
        <v>15037.37</v>
      </c>
      <c r="I7218" s="18">
        <v>14285.5</v>
      </c>
      <c r="J7218" s="27">
        <v>15037.37</v>
      </c>
      <c r="K7218" s="18">
        <f t="shared" si="225"/>
        <v>15037.37</v>
      </c>
      <c r="L7218" s="27">
        <v>14285.5</v>
      </c>
      <c r="M7218" s="36">
        <v>0</v>
      </c>
      <c r="T7218" s="41">
        <v>0</v>
      </c>
      <c r="U7218" s="41">
        <v>0</v>
      </c>
      <c r="V7218" s="42" t="s">
        <v>113</v>
      </c>
      <c r="W7218" s="42">
        <v>15037.37</v>
      </c>
      <c r="X7218" s="42">
        <v>15037.37</v>
      </c>
    </row>
    <row r="7219" spans="1:24">
      <c r="A7219" s="27" t="s">
        <v>13021</v>
      </c>
      <c r="B7219" s="28" t="s">
        <v>12240</v>
      </c>
      <c r="C7219" s="27" t="s">
        <v>12245</v>
      </c>
      <c r="D7219" s="27" t="s">
        <v>5104</v>
      </c>
      <c r="E7219" s="29">
        <v>37226</v>
      </c>
      <c r="F7219" s="27">
        <v>15</v>
      </c>
      <c r="G7219" s="18">
        <v>19561.05</v>
      </c>
      <c r="H7219" s="27">
        <f t="shared" si="224"/>
        <v>19561.05</v>
      </c>
      <c r="I7219" s="18">
        <v>18583</v>
      </c>
      <c r="J7219" s="27">
        <v>19561.05</v>
      </c>
      <c r="K7219" s="18">
        <f t="shared" si="225"/>
        <v>19561.05</v>
      </c>
      <c r="L7219" s="27">
        <v>18583</v>
      </c>
      <c r="M7219" s="36">
        <v>0</v>
      </c>
      <c r="T7219" s="41">
        <v>0</v>
      </c>
      <c r="U7219" s="41">
        <v>0</v>
      </c>
      <c r="V7219" s="42" t="s">
        <v>113</v>
      </c>
      <c r="W7219" s="42">
        <v>19561.05</v>
      </c>
      <c r="X7219" s="42">
        <v>19561.05</v>
      </c>
    </row>
    <row r="7220" spans="1:24">
      <c r="A7220" s="27" t="s">
        <v>13022</v>
      </c>
      <c r="B7220" s="28" t="s">
        <v>12240</v>
      </c>
      <c r="C7220" s="27" t="s">
        <v>12245</v>
      </c>
      <c r="D7220" s="27" t="s">
        <v>5104</v>
      </c>
      <c r="E7220" s="29">
        <v>37226</v>
      </c>
      <c r="F7220" s="27">
        <v>15</v>
      </c>
      <c r="G7220" s="18">
        <v>31797.81</v>
      </c>
      <c r="H7220" s="27">
        <f t="shared" si="224"/>
        <v>31797.81</v>
      </c>
      <c r="I7220" s="18">
        <v>30207.919999999998</v>
      </c>
      <c r="J7220" s="27">
        <v>31797.81</v>
      </c>
      <c r="K7220" s="18">
        <f t="shared" si="225"/>
        <v>31797.81</v>
      </c>
      <c r="L7220" s="27">
        <v>30207.919999999998</v>
      </c>
      <c r="M7220" s="36">
        <v>0</v>
      </c>
      <c r="T7220" s="41">
        <v>0</v>
      </c>
      <c r="U7220" s="41">
        <v>0</v>
      </c>
      <c r="V7220" s="42" t="s">
        <v>113</v>
      </c>
      <c r="W7220" s="42">
        <v>31797.81</v>
      </c>
      <c r="X7220" s="42">
        <v>31797.81</v>
      </c>
    </row>
    <row r="7221" spans="1:24">
      <c r="A7221" s="27" t="s">
        <v>13023</v>
      </c>
      <c r="B7221" s="28" t="s">
        <v>12240</v>
      </c>
      <c r="C7221" s="27" t="s">
        <v>12245</v>
      </c>
      <c r="D7221" s="27" t="s">
        <v>5104</v>
      </c>
      <c r="E7221" s="29">
        <v>37226</v>
      </c>
      <c r="F7221" s="27">
        <v>15</v>
      </c>
      <c r="G7221" s="18">
        <v>20456.45</v>
      </c>
      <c r="H7221" s="27">
        <f t="shared" si="224"/>
        <v>20456.45</v>
      </c>
      <c r="I7221" s="18">
        <v>19433.63</v>
      </c>
      <c r="J7221" s="27">
        <v>20456.45</v>
      </c>
      <c r="K7221" s="18">
        <f t="shared" si="225"/>
        <v>20456.45</v>
      </c>
      <c r="L7221" s="27">
        <v>19433.63</v>
      </c>
      <c r="M7221" s="36">
        <v>0</v>
      </c>
      <c r="T7221" s="41">
        <v>0</v>
      </c>
      <c r="U7221" s="41">
        <v>0</v>
      </c>
      <c r="V7221" s="42" t="s">
        <v>113</v>
      </c>
      <c r="W7221" s="42">
        <v>20456.45</v>
      </c>
      <c r="X7221" s="42">
        <v>20456.45</v>
      </c>
    </row>
    <row r="7222" spans="1:24">
      <c r="A7222" s="27" t="s">
        <v>13024</v>
      </c>
      <c r="B7222" s="28" t="s">
        <v>12240</v>
      </c>
      <c r="C7222" s="27" t="s">
        <v>12245</v>
      </c>
      <c r="D7222" s="27" t="s">
        <v>5104</v>
      </c>
      <c r="E7222" s="29">
        <v>39417</v>
      </c>
      <c r="F7222" s="27">
        <v>15</v>
      </c>
      <c r="G7222" s="18">
        <v>30041.37</v>
      </c>
      <c r="H7222" s="27">
        <f t="shared" si="224"/>
        <v>0</v>
      </c>
      <c r="I7222" s="18">
        <v>25622.27</v>
      </c>
      <c r="J7222" s="27">
        <v>30041.37</v>
      </c>
      <c r="K7222" s="18">
        <f t="shared" si="225"/>
        <v>0</v>
      </c>
      <c r="L7222" s="27">
        <v>26351.53</v>
      </c>
      <c r="M7222" s="36">
        <v>729.26</v>
      </c>
      <c r="T7222" s="41">
        <v>0</v>
      </c>
      <c r="U7222" s="41">
        <v>0</v>
      </c>
      <c r="V7222" s="42" t="s">
        <v>113</v>
      </c>
      <c r="W7222" s="42">
        <v>0</v>
      </c>
      <c r="X7222" s="42">
        <v>0</v>
      </c>
    </row>
    <row r="7223" spans="1:24">
      <c r="A7223" s="27" t="s">
        <v>13025</v>
      </c>
      <c r="B7223" s="28" t="s">
        <v>12240</v>
      </c>
      <c r="C7223" s="27" t="s">
        <v>12245</v>
      </c>
      <c r="D7223" s="27" t="s">
        <v>5104</v>
      </c>
      <c r="E7223" s="29">
        <v>39417</v>
      </c>
      <c r="F7223" s="27">
        <v>15</v>
      </c>
      <c r="G7223" s="18">
        <v>30041.37</v>
      </c>
      <c r="H7223" s="27">
        <f t="shared" si="224"/>
        <v>0</v>
      </c>
      <c r="I7223" s="18">
        <v>25622.27</v>
      </c>
      <c r="J7223" s="27">
        <v>30041.37</v>
      </c>
      <c r="K7223" s="18">
        <f t="shared" si="225"/>
        <v>0</v>
      </c>
      <c r="L7223" s="27">
        <v>26351.53</v>
      </c>
      <c r="M7223" s="36">
        <v>729.26</v>
      </c>
      <c r="T7223" s="41">
        <v>0</v>
      </c>
      <c r="U7223" s="41">
        <v>0</v>
      </c>
      <c r="V7223" s="42" t="s">
        <v>113</v>
      </c>
      <c r="W7223" s="42">
        <v>0</v>
      </c>
      <c r="X7223" s="42">
        <v>0</v>
      </c>
    </row>
    <row r="7224" spans="1:24">
      <c r="A7224" s="27" t="s">
        <v>13026</v>
      </c>
      <c r="B7224" s="28" t="s">
        <v>12240</v>
      </c>
      <c r="C7224" s="27" t="s">
        <v>13027</v>
      </c>
      <c r="D7224" s="27" t="s">
        <v>230</v>
      </c>
      <c r="E7224" s="29">
        <v>39417</v>
      </c>
      <c r="F7224" s="27">
        <v>15</v>
      </c>
      <c r="G7224" s="18">
        <v>30041.38</v>
      </c>
      <c r="H7224" s="27">
        <f t="shared" si="224"/>
        <v>0</v>
      </c>
      <c r="I7224" s="18">
        <v>25622.27</v>
      </c>
      <c r="J7224" s="27">
        <v>30041.38</v>
      </c>
      <c r="K7224" s="18">
        <f t="shared" si="225"/>
        <v>0</v>
      </c>
      <c r="L7224" s="27">
        <v>26351.53</v>
      </c>
      <c r="M7224" s="36">
        <v>729.26</v>
      </c>
      <c r="T7224" s="41">
        <v>0</v>
      </c>
      <c r="U7224" s="41">
        <v>0</v>
      </c>
      <c r="V7224" s="42" t="s">
        <v>113</v>
      </c>
      <c r="W7224" s="42">
        <v>0</v>
      </c>
      <c r="X7224" s="42">
        <v>0</v>
      </c>
    </row>
    <row r="7225" spans="1:24">
      <c r="A7225" s="27" t="s">
        <v>13028</v>
      </c>
      <c r="B7225" s="28" t="s">
        <v>12240</v>
      </c>
      <c r="C7225" s="27" t="s">
        <v>12245</v>
      </c>
      <c r="D7225" s="27" t="s">
        <v>5104</v>
      </c>
      <c r="E7225" s="29">
        <v>39417</v>
      </c>
      <c r="F7225" s="27">
        <v>15</v>
      </c>
      <c r="G7225" s="18">
        <v>39618.69</v>
      </c>
      <c r="H7225" s="27">
        <f t="shared" si="224"/>
        <v>0</v>
      </c>
      <c r="I7225" s="18">
        <v>33790.76</v>
      </c>
      <c r="J7225" s="27">
        <v>39618.69</v>
      </c>
      <c r="K7225" s="18">
        <f t="shared" si="225"/>
        <v>0</v>
      </c>
      <c r="L7225" s="27">
        <v>34752.51</v>
      </c>
      <c r="M7225" s="36">
        <v>961.75</v>
      </c>
      <c r="T7225" s="41">
        <v>0</v>
      </c>
      <c r="U7225" s="41">
        <v>0</v>
      </c>
      <c r="V7225" s="42" t="s">
        <v>113</v>
      </c>
      <c r="W7225" s="42">
        <v>0</v>
      </c>
      <c r="X7225" s="42">
        <v>0</v>
      </c>
    </row>
    <row r="7226" spans="1:24">
      <c r="A7226" s="27" t="s">
        <v>13029</v>
      </c>
      <c r="B7226" s="28" t="s">
        <v>12240</v>
      </c>
      <c r="C7226" s="27" t="s">
        <v>12245</v>
      </c>
      <c r="D7226" s="27" t="s">
        <v>5104</v>
      </c>
      <c r="E7226" s="29">
        <v>37226</v>
      </c>
      <c r="F7226" s="27">
        <v>15</v>
      </c>
      <c r="G7226" s="18">
        <v>7509.07</v>
      </c>
      <c r="H7226" s="27">
        <f t="shared" si="224"/>
        <v>7509.07</v>
      </c>
      <c r="I7226" s="18">
        <v>7133.62</v>
      </c>
      <c r="J7226" s="27">
        <v>7509.07</v>
      </c>
      <c r="K7226" s="18">
        <f t="shared" si="225"/>
        <v>7509.07</v>
      </c>
      <c r="L7226" s="27">
        <v>7133.62</v>
      </c>
      <c r="M7226" s="36">
        <v>0</v>
      </c>
      <c r="T7226" s="41">
        <v>0</v>
      </c>
      <c r="U7226" s="41">
        <v>0</v>
      </c>
      <c r="V7226" s="42" t="s">
        <v>113</v>
      </c>
      <c r="W7226" s="42">
        <v>7509.07</v>
      </c>
      <c r="X7226" s="42">
        <v>7509.07</v>
      </c>
    </row>
    <row r="7227" spans="1:24">
      <c r="A7227" s="27" t="s">
        <v>13030</v>
      </c>
      <c r="B7227" s="28" t="s">
        <v>12240</v>
      </c>
      <c r="C7227" s="27" t="s">
        <v>12245</v>
      </c>
      <c r="D7227" s="27" t="s">
        <v>5104</v>
      </c>
      <c r="E7227" s="29">
        <v>39417</v>
      </c>
      <c r="F7227" s="27">
        <v>15</v>
      </c>
      <c r="G7227" s="18">
        <v>39618.69</v>
      </c>
      <c r="H7227" s="27">
        <f t="shared" si="224"/>
        <v>0</v>
      </c>
      <c r="I7227" s="18">
        <v>33790.76</v>
      </c>
      <c r="J7227" s="27">
        <v>39618.69</v>
      </c>
      <c r="K7227" s="18">
        <f t="shared" si="225"/>
        <v>0</v>
      </c>
      <c r="L7227" s="27">
        <v>34752.51</v>
      </c>
      <c r="M7227" s="36">
        <v>961.75</v>
      </c>
      <c r="T7227" s="41">
        <v>0</v>
      </c>
      <c r="U7227" s="41">
        <v>0</v>
      </c>
      <c r="V7227" s="42" t="s">
        <v>113</v>
      </c>
      <c r="W7227" s="42">
        <v>0</v>
      </c>
      <c r="X7227" s="42">
        <v>0</v>
      </c>
    </row>
    <row r="7228" spans="1:24">
      <c r="A7228" s="27" t="s">
        <v>13031</v>
      </c>
      <c r="B7228" s="28" t="s">
        <v>12240</v>
      </c>
      <c r="C7228" s="27" t="s">
        <v>12245</v>
      </c>
      <c r="D7228" s="27" t="s">
        <v>230</v>
      </c>
      <c r="E7228" s="29">
        <v>39417</v>
      </c>
      <c r="F7228" s="27">
        <v>15</v>
      </c>
      <c r="G7228" s="18">
        <v>39618.71</v>
      </c>
      <c r="H7228" s="27">
        <f t="shared" si="224"/>
        <v>0</v>
      </c>
      <c r="I7228" s="18">
        <v>33790.76</v>
      </c>
      <c r="J7228" s="27">
        <v>39618.71</v>
      </c>
      <c r="K7228" s="18">
        <f t="shared" si="225"/>
        <v>0</v>
      </c>
      <c r="L7228" s="27">
        <v>34752.51</v>
      </c>
      <c r="M7228" s="36">
        <v>961.75</v>
      </c>
      <c r="T7228" s="41">
        <v>0</v>
      </c>
      <c r="U7228" s="41">
        <v>0</v>
      </c>
      <c r="V7228" s="42" t="s">
        <v>113</v>
      </c>
      <c r="W7228" s="42">
        <v>0</v>
      </c>
      <c r="X7228" s="42">
        <v>0</v>
      </c>
    </row>
    <row r="7229" spans="1:24">
      <c r="A7229" s="27" t="s">
        <v>13032</v>
      </c>
      <c r="B7229" s="28" t="s">
        <v>12240</v>
      </c>
      <c r="C7229" s="27" t="s">
        <v>12245</v>
      </c>
      <c r="D7229" s="27" t="s">
        <v>230</v>
      </c>
      <c r="E7229" s="29">
        <v>37226</v>
      </c>
      <c r="F7229" s="27">
        <v>15</v>
      </c>
      <c r="G7229" s="18">
        <v>7201.76</v>
      </c>
      <c r="H7229" s="27">
        <f t="shared" si="224"/>
        <v>7201.76</v>
      </c>
      <c r="I7229" s="18">
        <v>6841.67</v>
      </c>
      <c r="J7229" s="27">
        <v>7201.76</v>
      </c>
      <c r="K7229" s="18">
        <f t="shared" si="225"/>
        <v>7201.76</v>
      </c>
      <c r="L7229" s="27">
        <v>6841.67</v>
      </c>
      <c r="M7229" s="36">
        <v>0</v>
      </c>
      <c r="T7229" s="41">
        <v>0</v>
      </c>
      <c r="U7229" s="41">
        <v>0</v>
      </c>
      <c r="V7229" s="42" t="s">
        <v>113</v>
      </c>
      <c r="W7229" s="42">
        <v>7201.76</v>
      </c>
      <c r="X7229" s="42">
        <v>7201.76</v>
      </c>
    </row>
    <row r="7230" spans="1:24">
      <c r="A7230" s="27" t="s">
        <v>13033</v>
      </c>
      <c r="B7230" s="28" t="s">
        <v>12240</v>
      </c>
      <c r="C7230" s="27" t="s">
        <v>12245</v>
      </c>
      <c r="D7230" s="27" t="s">
        <v>230</v>
      </c>
      <c r="E7230" s="29">
        <v>36495</v>
      </c>
      <c r="F7230" s="27">
        <v>15</v>
      </c>
      <c r="G7230" s="18">
        <v>6031.97</v>
      </c>
      <c r="H7230" s="27">
        <f t="shared" si="224"/>
        <v>6031.97</v>
      </c>
      <c r="I7230" s="18">
        <v>5730.37</v>
      </c>
      <c r="J7230" s="27">
        <v>6031.97</v>
      </c>
      <c r="K7230" s="18">
        <f t="shared" si="225"/>
        <v>6031.97</v>
      </c>
      <c r="L7230" s="27">
        <v>5730.37</v>
      </c>
      <c r="M7230" s="36">
        <v>0</v>
      </c>
      <c r="T7230" s="41">
        <v>0</v>
      </c>
      <c r="U7230" s="41">
        <v>0</v>
      </c>
      <c r="V7230" s="42" t="s">
        <v>113</v>
      </c>
      <c r="W7230" s="42">
        <v>6031.97</v>
      </c>
      <c r="X7230" s="42">
        <v>6031.97</v>
      </c>
    </row>
    <row r="7231" spans="1:24">
      <c r="A7231" s="27" t="s">
        <v>13034</v>
      </c>
      <c r="B7231" s="28" t="s">
        <v>12240</v>
      </c>
      <c r="C7231" s="27" t="s">
        <v>12245</v>
      </c>
      <c r="D7231" s="27" t="s">
        <v>5104</v>
      </c>
      <c r="E7231" s="29">
        <v>37226</v>
      </c>
      <c r="F7231" s="27">
        <v>15</v>
      </c>
      <c r="G7231" s="18">
        <v>14021.8</v>
      </c>
      <c r="H7231" s="27">
        <f t="shared" si="224"/>
        <v>14021.8</v>
      </c>
      <c r="I7231" s="18">
        <v>13320.71</v>
      </c>
      <c r="J7231" s="27">
        <v>14021.8</v>
      </c>
      <c r="K7231" s="18">
        <f t="shared" si="225"/>
        <v>14021.8</v>
      </c>
      <c r="L7231" s="27">
        <v>13320.71</v>
      </c>
      <c r="M7231" s="36">
        <v>0</v>
      </c>
      <c r="T7231" s="41">
        <v>0</v>
      </c>
      <c r="U7231" s="41">
        <v>0</v>
      </c>
      <c r="V7231" s="42" t="s">
        <v>113</v>
      </c>
      <c r="W7231" s="42">
        <v>14021.8</v>
      </c>
      <c r="X7231" s="42">
        <v>14021.8</v>
      </c>
    </row>
    <row r="7232" spans="1:24">
      <c r="A7232" s="27" t="s">
        <v>13035</v>
      </c>
      <c r="B7232" s="28" t="s">
        <v>12240</v>
      </c>
      <c r="C7232" s="27" t="s">
        <v>12245</v>
      </c>
      <c r="D7232" s="27" t="s">
        <v>230</v>
      </c>
      <c r="E7232" s="29">
        <v>37226</v>
      </c>
      <c r="F7232" s="27">
        <v>15</v>
      </c>
      <c r="G7232" s="18">
        <v>14021.81</v>
      </c>
      <c r="H7232" s="27">
        <f t="shared" si="224"/>
        <v>14021.81</v>
      </c>
      <c r="I7232" s="18">
        <v>13320.72</v>
      </c>
      <c r="J7232" s="27">
        <v>14021.81</v>
      </c>
      <c r="K7232" s="18">
        <f t="shared" si="225"/>
        <v>14021.81</v>
      </c>
      <c r="L7232" s="27">
        <v>13320.72</v>
      </c>
      <c r="M7232" s="36">
        <v>0</v>
      </c>
      <c r="T7232" s="41">
        <v>0</v>
      </c>
      <c r="U7232" s="41">
        <v>0</v>
      </c>
      <c r="V7232" s="42" t="s">
        <v>113</v>
      </c>
      <c r="W7232" s="42">
        <v>14021.81</v>
      </c>
      <c r="X7232" s="42">
        <v>14021.81</v>
      </c>
    </row>
    <row r="7233" spans="1:24">
      <c r="A7233" s="27" t="s">
        <v>13036</v>
      </c>
      <c r="B7233" s="28" t="s">
        <v>12240</v>
      </c>
      <c r="C7233" s="27" t="s">
        <v>12245</v>
      </c>
      <c r="D7233" s="27" t="s">
        <v>5104</v>
      </c>
      <c r="E7233" s="29">
        <v>37226</v>
      </c>
      <c r="F7233" s="27">
        <v>15</v>
      </c>
      <c r="G7233" s="18">
        <v>7201.76</v>
      </c>
      <c r="H7233" s="27">
        <f t="shared" si="224"/>
        <v>7201.76</v>
      </c>
      <c r="I7233" s="18">
        <v>6841.67</v>
      </c>
      <c r="J7233" s="27">
        <v>7201.76</v>
      </c>
      <c r="K7233" s="18">
        <f t="shared" si="225"/>
        <v>7201.76</v>
      </c>
      <c r="L7233" s="27">
        <v>6841.67</v>
      </c>
      <c r="M7233" s="36">
        <v>0</v>
      </c>
      <c r="T7233" s="41">
        <v>0</v>
      </c>
      <c r="U7233" s="41">
        <v>0</v>
      </c>
      <c r="V7233" s="42" t="s">
        <v>113</v>
      </c>
      <c r="W7233" s="42">
        <v>7201.76</v>
      </c>
      <c r="X7233" s="42">
        <v>7201.76</v>
      </c>
    </row>
    <row r="7234" spans="1:24">
      <c r="A7234" s="27" t="s">
        <v>13037</v>
      </c>
      <c r="B7234" s="28" t="s">
        <v>12240</v>
      </c>
      <c r="C7234" s="27" t="s">
        <v>13038</v>
      </c>
      <c r="D7234" s="27" t="s">
        <v>230</v>
      </c>
      <c r="E7234" s="29">
        <v>37226</v>
      </c>
      <c r="F7234" s="27">
        <v>15</v>
      </c>
      <c r="G7234" s="18">
        <v>7509.06</v>
      </c>
      <c r="H7234" s="27">
        <f t="shared" si="224"/>
        <v>7509.06</v>
      </c>
      <c r="I7234" s="18">
        <v>7133.61</v>
      </c>
      <c r="J7234" s="27">
        <v>7509.06</v>
      </c>
      <c r="K7234" s="18">
        <f t="shared" si="225"/>
        <v>7509.06</v>
      </c>
      <c r="L7234" s="27">
        <v>7133.61</v>
      </c>
      <c r="M7234" s="36">
        <v>0</v>
      </c>
      <c r="T7234" s="41">
        <v>0</v>
      </c>
      <c r="U7234" s="41">
        <v>0</v>
      </c>
      <c r="V7234" s="42" t="s">
        <v>113</v>
      </c>
      <c r="W7234" s="42">
        <v>7509.06</v>
      </c>
      <c r="X7234" s="42">
        <v>7509.06</v>
      </c>
    </row>
    <row r="7235" spans="1:24">
      <c r="A7235" s="27" t="s">
        <v>13039</v>
      </c>
      <c r="B7235" s="28" t="s">
        <v>12240</v>
      </c>
      <c r="C7235" s="27" t="s">
        <v>12245</v>
      </c>
      <c r="D7235" s="27" t="s">
        <v>5104</v>
      </c>
      <c r="E7235" s="29">
        <v>36495</v>
      </c>
      <c r="F7235" s="27">
        <v>15</v>
      </c>
      <c r="G7235" s="18">
        <v>6031.97</v>
      </c>
      <c r="H7235" s="27">
        <f t="shared" si="224"/>
        <v>6031.97</v>
      </c>
      <c r="I7235" s="18">
        <v>5730.37</v>
      </c>
      <c r="J7235" s="27">
        <v>6031.97</v>
      </c>
      <c r="K7235" s="18">
        <f t="shared" si="225"/>
        <v>6031.97</v>
      </c>
      <c r="L7235" s="27">
        <v>5730.37</v>
      </c>
      <c r="M7235" s="36">
        <v>0</v>
      </c>
      <c r="T7235" s="41">
        <v>0</v>
      </c>
      <c r="U7235" s="41">
        <v>0</v>
      </c>
      <c r="V7235" s="42" t="s">
        <v>113</v>
      </c>
      <c r="W7235" s="42">
        <v>6031.97</v>
      </c>
      <c r="X7235" s="42">
        <v>6031.97</v>
      </c>
    </row>
    <row r="7236" spans="1:24">
      <c r="A7236" s="27" t="s">
        <v>13040</v>
      </c>
      <c r="B7236" s="28" t="s">
        <v>12240</v>
      </c>
      <c r="C7236" s="27" t="s">
        <v>13041</v>
      </c>
      <c r="D7236" s="27" t="s">
        <v>230</v>
      </c>
      <c r="E7236" s="29">
        <v>39417</v>
      </c>
      <c r="F7236" s="27">
        <v>15</v>
      </c>
      <c r="G7236" s="18">
        <v>9770</v>
      </c>
      <c r="H7236" s="27">
        <f t="shared" si="224"/>
        <v>0</v>
      </c>
      <c r="I7236" s="18">
        <v>8688.98</v>
      </c>
      <c r="J7236" s="27">
        <v>9770</v>
      </c>
      <c r="K7236" s="18">
        <f t="shared" si="225"/>
        <v>0</v>
      </c>
      <c r="L7236" s="27">
        <v>8837.11</v>
      </c>
      <c r="M7236" s="36">
        <v>148.13</v>
      </c>
      <c r="T7236" s="41">
        <v>0</v>
      </c>
      <c r="U7236" s="41">
        <v>0</v>
      </c>
      <c r="V7236" s="42" t="s">
        <v>113</v>
      </c>
      <c r="W7236" s="42">
        <v>0</v>
      </c>
      <c r="X7236" s="42">
        <v>0</v>
      </c>
    </row>
    <row r="7237" spans="1:24">
      <c r="A7237" s="27" t="s">
        <v>13042</v>
      </c>
      <c r="B7237" s="28" t="s">
        <v>12240</v>
      </c>
      <c r="C7237" s="27" t="s">
        <v>13043</v>
      </c>
      <c r="D7237" s="27" t="s">
        <v>230</v>
      </c>
      <c r="E7237" s="29">
        <v>39417</v>
      </c>
      <c r="F7237" s="27">
        <v>15</v>
      </c>
      <c r="G7237" s="18">
        <v>18990</v>
      </c>
      <c r="H7237" s="27">
        <f t="shared" si="224"/>
        <v>0</v>
      </c>
      <c r="I7237" s="18">
        <v>16550.080000000002</v>
      </c>
      <c r="J7237" s="27">
        <v>18990</v>
      </c>
      <c r="K7237" s="18">
        <f t="shared" si="225"/>
        <v>0</v>
      </c>
      <c r="L7237" s="27">
        <v>16922.689999999999</v>
      </c>
      <c r="M7237" s="36">
        <v>372.61</v>
      </c>
      <c r="T7237" s="41">
        <v>0</v>
      </c>
      <c r="U7237" s="41">
        <v>0</v>
      </c>
      <c r="V7237" s="42" t="s">
        <v>113</v>
      </c>
      <c r="W7237" s="42">
        <v>0</v>
      </c>
      <c r="X7237" s="42">
        <v>0</v>
      </c>
    </row>
    <row r="7238" spans="1:24">
      <c r="A7238" s="27" t="s">
        <v>13044</v>
      </c>
      <c r="B7238" s="28" t="s">
        <v>12240</v>
      </c>
      <c r="C7238" s="27" t="s">
        <v>13045</v>
      </c>
      <c r="D7238" s="27" t="s">
        <v>5104</v>
      </c>
      <c r="E7238" s="29">
        <v>39417</v>
      </c>
      <c r="F7238" s="27">
        <v>15</v>
      </c>
      <c r="G7238" s="18">
        <v>19990</v>
      </c>
      <c r="H7238" s="27">
        <f t="shared" ref="H7238:H7301" si="226">IFERROR(IF(ROUND((G7238-I7238)/G7238,2)&lt;=0.05,G7238,0),0)</f>
        <v>0</v>
      </c>
      <c r="I7238" s="18">
        <v>18745.96</v>
      </c>
      <c r="J7238" s="27">
        <v>19990</v>
      </c>
      <c r="K7238" s="18">
        <f t="shared" ref="K7238:K7301" si="227">IFERROR(IF(ROUND((J7238-L7238)/J7238,2)&lt;=0.05,J7238,0),0)</f>
        <v>0</v>
      </c>
      <c r="L7238" s="27">
        <v>18807.099999999999</v>
      </c>
      <c r="M7238" s="36">
        <v>61.14</v>
      </c>
      <c r="T7238" s="41">
        <v>0</v>
      </c>
      <c r="U7238" s="41">
        <v>0</v>
      </c>
      <c r="V7238" s="42" t="s">
        <v>113</v>
      </c>
      <c r="W7238" s="42">
        <v>0</v>
      </c>
      <c r="X7238" s="42">
        <v>0</v>
      </c>
    </row>
    <row r="7239" spans="1:24">
      <c r="A7239" s="27" t="s">
        <v>13046</v>
      </c>
      <c r="B7239" s="28" t="s">
        <v>12240</v>
      </c>
      <c r="C7239" s="27" t="s">
        <v>12245</v>
      </c>
      <c r="D7239" s="27" t="s">
        <v>230</v>
      </c>
      <c r="E7239" s="29">
        <v>39417</v>
      </c>
      <c r="F7239" s="27">
        <v>15</v>
      </c>
      <c r="G7239" s="18">
        <v>9770</v>
      </c>
      <c r="H7239" s="27">
        <f t="shared" si="226"/>
        <v>9770</v>
      </c>
      <c r="I7239" s="18">
        <v>9672.2999999999993</v>
      </c>
      <c r="J7239" s="27">
        <v>9770</v>
      </c>
      <c r="K7239" s="18">
        <f t="shared" si="227"/>
        <v>9770</v>
      </c>
      <c r="L7239" s="27">
        <v>9281.5</v>
      </c>
      <c r="M7239" s="36">
        <v>-390.8</v>
      </c>
      <c r="T7239" s="41">
        <v>0</v>
      </c>
      <c r="U7239" s="41">
        <v>0</v>
      </c>
      <c r="V7239" s="42" t="s">
        <v>113</v>
      </c>
      <c r="W7239" s="42">
        <v>9770</v>
      </c>
      <c r="X7239" s="42">
        <v>9770</v>
      </c>
    </row>
    <row r="7240" spans="1:24">
      <c r="A7240" s="27" t="s">
        <v>13047</v>
      </c>
      <c r="B7240" s="28" t="s">
        <v>12240</v>
      </c>
      <c r="C7240" s="27" t="s">
        <v>12245</v>
      </c>
      <c r="D7240" s="27" t="s">
        <v>230</v>
      </c>
      <c r="E7240" s="29">
        <v>39417</v>
      </c>
      <c r="F7240" s="27">
        <v>15</v>
      </c>
      <c r="G7240" s="18">
        <v>10660</v>
      </c>
      <c r="H7240" s="27">
        <f t="shared" si="226"/>
        <v>10660</v>
      </c>
      <c r="I7240" s="18">
        <v>10553.4</v>
      </c>
      <c r="J7240" s="27">
        <v>10660</v>
      </c>
      <c r="K7240" s="18">
        <f t="shared" si="227"/>
        <v>10660</v>
      </c>
      <c r="L7240" s="27">
        <v>10127</v>
      </c>
      <c r="M7240" s="36">
        <v>-426.4</v>
      </c>
      <c r="T7240" s="41">
        <v>0</v>
      </c>
      <c r="U7240" s="41">
        <v>0</v>
      </c>
      <c r="V7240" s="42" t="s">
        <v>113</v>
      </c>
      <c r="W7240" s="42">
        <v>10660</v>
      </c>
      <c r="X7240" s="42">
        <v>10660</v>
      </c>
    </row>
    <row r="7241" spans="1:24">
      <c r="A7241" s="27" t="s">
        <v>13048</v>
      </c>
      <c r="B7241" s="28" t="s">
        <v>12240</v>
      </c>
      <c r="C7241" s="27" t="s">
        <v>13049</v>
      </c>
      <c r="D7241" s="27" t="s">
        <v>230</v>
      </c>
      <c r="E7241" s="29">
        <v>38078</v>
      </c>
      <c r="F7241" s="27">
        <v>15</v>
      </c>
      <c r="G7241" s="18">
        <v>23261.08</v>
      </c>
      <c r="H7241" s="27">
        <f t="shared" si="226"/>
        <v>23261.08</v>
      </c>
      <c r="I7241" s="18">
        <v>22098.03</v>
      </c>
      <c r="J7241" s="27">
        <v>23261.08</v>
      </c>
      <c r="K7241" s="18">
        <f t="shared" si="227"/>
        <v>23261.08</v>
      </c>
      <c r="L7241" s="27">
        <v>22098.03</v>
      </c>
      <c r="M7241" s="36">
        <v>0</v>
      </c>
      <c r="T7241" s="41">
        <v>0</v>
      </c>
      <c r="U7241" s="41">
        <v>0</v>
      </c>
      <c r="V7241" s="42" t="s">
        <v>113</v>
      </c>
      <c r="W7241" s="42">
        <v>23261.08</v>
      </c>
      <c r="X7241" s="42">
        <v>23261.08</v>
      </c>
    </row>
    <row r="7242" spans="1:24">
      <c r="A7242" s="27" t="s">
        <v>13050</v>
      </c>
      <c r="B7242" s="28" t="s">
        <v>12240</v>
      </c>
      <c r="C7242" s="27" t="s">
        <v>13051</v>
      </c>
      <c r="D7242" s="27" t="s">
        <v>230</v>
      </c>
      <c r="E7242" s="29">
        <v>38078</v>
      </c>
      <c r="F7242" s="27">
        <v>15</v>
      </c>
      <c r="G7242" s="18">
        <v>22701.18</v>
      </c>
      <c r="H7242" s="27">
        <f t="shared" si="226"/>
        <v>22701.18</v>
      </c>
      <c r="I7242" s="18">
        <v>21566.12</v>
      </c>
      <c r="J7242" s="27">
        <v>22701.18</v>
      </c>
      <c r="K7242" s="18">
        <f t="shared" si="227"/>
        <v>22701.18</v>
      </c>
      <c r="L7242" s="27">
        <v>21566.12</v>
      </c>
      <c r="M7242" s="36">
        <v>0</v>
      </c>
      <c r="T7242" s="41">
        <v>0</v>
      </c>
      <c r="U7242" s="41">
        <v>0</v>
      </c>
      <c r="V7242" s="42" t="s">
        <v>113</v>
      </c>
      <c r="W7242" s="42">
        <v>22701.18</v>
      </c>
      <c r="X7242" s="42">
        <v>22701.18</v>
      </c>
    </row>
    <row r="7243" spans="1:24">
      <c r="A7243" s="27" t="s">
        <v>13052</v>
      </c>
      <c r="B7243" s="28" t="s">
        <v>12240</v>
      </c>
      <c r="C7243" s="27" t="s">
        <v>13053</v>
      </c>
      <c r="D7243" s="27" t="s">
        <v>230</v>
      </c>
      <c r="E7243" s="29">
        <v>39417</v>
      </c>
      <c r="F7243" s="27">
        <v>15</v>
      </c>
      <c r="G7243" s="18">
        <v>31837.03</v>
      </c>
      <c r="H7243" s="27">
        <f t="shared" si="226"/>
        <v>0</v>
      </c>
      <c r="I7243" s="18">
        <v>27153.77</v>
      </c>
      <c r="J7243" s="27">
        <v>31837.03</v>
      </c>
      <c r="K7243" s="18">
        <f t="shared" si="227"/>
        <v>0</v>
      </c>
      <c r="L7243" s="27">
        <v>27926.62</v>
      </c>
      <c r="M7243" s="36">
        <v>772.85</v>
      </c>
      <c r="T7243" s="41">
        <v>0</v>
      </c>
      <c r="U7243" s="41">
        <v>0</v>
      </c>
      <c r="V7243" s="42" t="s">
        <v>113</v>
      </c>
      <c r="W7243" s="42">
        <v>0</v>
      </c>
      <c r="X7243" s="42">
        <v>0</v>
      </c>
    </row>
    <row r="7244" spans="1:24">
      <c r="A7244" s="27" t="s">
        <v>13054</v>
      </c>
      <c r="B7244" s="28" t="s">
        <v>12240</v>
      </c>
      <c r="C7244" s="27" t="s">
        <v>13055</v>
      </c>
      <c r="D7244" s="27" t="s">
        <v>230</v>
      </c>
      <c r="E7244" s="29">
        <v>39417</v>
      </c>
      <c r="F7244" s="27">
        <v>15</v>
      </c>
      <c r="G7244" s="18">
        <v>31837.03</v>
      </c>
      <c r="H7244" s="27">
        <f t="shared" si="226"/>
        <v>0</v>
      </c>
      <c r="I7244" s="18">
        <v>27153.77</v>
      </c>
      <c r="J7244" s="27">
        <v>31837.03</v>
      </c>
      <c r="K7244" s="18">
        <f t="shared" si="227"/>
        <v>0</v>
      </c>
      <c r="L7244" s="27">
        <v>27926.62</v>
      </c>
      <c r="M7244" s="36">
        <v>772.85</v>
      </c>
      <c r="T7244" s="41">
        <v>0</v>
      </c>
      <c r="U7244" s="41">
        <v>0</v>
      </c>
      <c r="V7244" s="42" t="s">
        <v>113</v>
      </c>
      <c r="W7244" s="42">
        <v>0</v>
      </c>
      <c r="X7244" s="42">
        <v>0</v>
      </c>
    </row>
    <row r="7245" spans="1:24">
      <c r="A7245" s="27" t="s">
        <v>13056</v>
      </c>
      <c r="B7245" s="28" t="s">
        <v>12240</v>
      </c>
      <c r="C7245" s="27" t="s">
        <v>12245</v>
      </c>
      <c r="D7245" s="27" t="s">
        <v>230</v>
      </c>
      <c r="E7245" s="29">
        <v>38078</v>
      </c>
      <c r="F7245" s="27">
        <v>15</v>
      </c>
      <c r="G7245" s="18">
        <v>14639.47</v>
      </c>
      <c r="H7245" s="27">
        <f t="shared" si="226"/>
        <v>14639.47</v>
      </c>
      <c r="I7245" s="18">
        <v>13907.5</v>
      </c>
      <c r="J7245" s="27">
        <v>14639.47</v>
      </c>
      <c r="K7245" s="18">
        <f t="shared" si="227"/>
        <v>14639.47</v>
      </c>
      <c r="L7245" s="27">
        <v>13907.5</v>
      </c>
      <c r="M7245" s="36">
        <v>0</v>
      </c>
      <c r="T7245" s="41">
        <v>0</v>
      </c>
      <c r="U7245" s="41">
        <v>0</v>
      </c>
      <c r="V7245" s="42" t="s">
        <v>113</v>
      </c>
      <c r="W7245" s="42">
        <v>14639.47</v>
      </c>
      <c r="X7245" s="42">
        <v>14639.47</v>
      </c>
    </row>
    <row r="7246" spans="1:24">
      <c r="A7246" s="27" t="s">
        <v>13057</v>
      </c>
      <c r="B7246" s="28" t="s">
        <v>12240</v>
      </c>
      <c r="C7246" s="27" t="s">
        <v>13058</v>
      </c>
      <c r="D7246" s="27" t="s">
        <v>230</v>
      </c>
      <c r="E7246" s="29">
        <v>38078</v>
      </c>
      <c r="F7246" s="27">
        <v>15</v>
      </c>
      <c r="G7246" s="18">
        <v>15915.82</v>
      </c>
      <c r="H7246" s="27">
        <f t="shared" si="226"/>
        <v>15915.82</v>
      </c>
      <c r="I7246" s="18">
        <v>15120.03</v>
      </c>
      <c r="J7246" s="27">
        <v>15915.82</v>
      </c>
      <c r="K7246" s="18">
        <f t="shared" si="227"/>
        <v>15915.82</v>
      </c>
      <c r="L7246" s="27">
        <v>15120.03</v>
      </c>
      <c r="M7246" s="36">
        <v>0</v>
      </c>
      <c r="T7246" s="41">
        <v>0</v>
      </c>
      <c r="U7246" s="41">
        <v>0</v>
      </c>
      <c r="V7246" s="42" t="s">
        <v>113</v>
      </c>
      <c r="W7246" s="42">
        <v>15915.82</v>
      </c>
      <c r="X7246" s="42">
        <v>15915.82</v>
      </c>
    </row>
    <row r="7247" spans="1:24">
      <c r="A7247" s="27" t="s">
        <v>13059</v>
      </c>
      <c r="B7247" s="28" t="s">
        <v>12240</v>
      </c>
      <c r="C7247" s="27" t="s">
        <v>13060</v>
      </c>
      <c r="D7247" s="27" t="s">
        <v>230</v>
      </c>
      <c r="E7247" s="29">
        <v>36495</v>
      </c>
      <c r="F7247" s="27">
        <v>15</v>
      </c>
      <c r="G7247" s="18">
        <v>6031.97</v>
      </c>
      <c r="H7247" s="27">
        <f t="shared" si="226"/>
        <v>6031.97</v>
      </c>
      <c r="I7247" s="18">
        <v>5730.37</v>
      </c>
      <c r="J7247" s="27">
        <v>6031.97</v>
      </c>
      <c r="K7247" s="18">
        <f t="shared" si="227"/>
        <v>6031.97</v>
      </c>
      <c r="L7247" s="27">
        <v>5730.37</v>
      </c>
      <c r="M7247" s="36">
        <v>0</v>
      </c>
      <c r="T7247" s="41">
        <v>0</v>
      </c>
      <c r="U7247" s="41">
        <v>0</v>
      </c>
      <c r="V7247" s="42" t="s">
        <v>113</v>
      </c>
      <c r="W7247" s="42">
        <v>6031.97</v>
      </c>
      <c r="X7247" s="42">
        <v>6031.97</v>
      </c>
    </row>
    <row r="7248" spans="1:24">
      <c r="A7248" s="27" t="s">
        <v>13061</v>
      </c>
      <c r="B7248" s="28" t="s">
        <v>12240</v>
      </c>
      <c r="C7248" s="27" t="s">
        <v>13062</v>
      </c>
      <c r="D7248" s="27" t="s">
        <v>230</v>
      </c>
      <c r="E7248" s="29">
        <v>38078</v>
      </c>
      <c r="F7248" s="27">
        <v>15</v>
      </c>
      <c r="G7248" s="18">
        <v>15831.99</v>
      </c>
      <c r="H7248" s="27">
        <f t="shared" si="226"/>
        <v>15831.99</v>
      </c>
      <c r="I7248" s="18">
        <v>15040.39</v>
      </c>
      <c r="J7248" s="27">
        <v>15831.99</v>
      </c>
      <c r="K7248" s="18">
        <f t="shared" si="227"/>
        <v>15831.99</v>
      </c>
      <c r="L7248" s="27">
        <v>15040.39</v>
      </c>
      <c r="M7248" s="36">
        <v>0</v>
      </c>
      <c r="T7248" s="41">
        <v>0</v>
      </c>
      <c r="U7248" s="41">
        <v>0</v>
      </c>
      <c r="V7248" s="42" t="s">
        <v>113</v>
      </c>
      <c r="W7248" s="42">
        <v>15831.99</v>
      </c>
      <c r="X7248" s="42">
        <v>15831.99</v>
      </c>
    </row>
    <row r="7249" spans="1:24">
      <c r="A7249" s="27" t="s">
        <v>13063</v>
      </c>
      <c r="B7249" s="28" t="s">
        <v>12240</v>
      </c>
      <c r="C7249" s="27" t="s">
        <v>13064</v>
      </c>
      <c r="D7249" s="27" t="s">
        <v>5104</v>
      </c>
      <c r="E7249" s="29">
        <v>39417</v>
      </c>
      <c r="F7249" s="27">
        <v>15</v>
      </c>
      <c r="G7249" s="18">
        <v>31837.02</v>
      </c>
      <c r="H7249" s="27">
        <f t="shared" si="226"/>
        <v>0</v>
      </c>
      <c r="I7249" s="18">
        <v>27153.77</v>
      </c>
      <c r="J7249" s="27">
        <v>31837.02</v>
      </c>
      <c r="K7249" s="18">
        <f t="shared" si="227"/>
        <v>0</v>
      </c>
      <c r="L7249" s="27">
        <v>27926.62</v>
      </c>
      <c r="M7249" s="36">
        <v>772.85</v>
      </c>
      <c r="T7249" s="41">
        <v>0</v>
      </c>
      <c r="U7249" s="41">
        <v>0</v>
      </c>
      <c r="V7249" s="42" t="s">
        <v>113</v>
      </c>
      <c r="W7249" s="42">
        <v>0</v>
      </c>
      <c r="X7249" s="42">
        <v>0</v>
      </c>
    </row>
    <row r="7250" spans="1:24">
      <c r="A7250" s="27" t="s">
        <v>13065</v>
      </c>
      <c r="B7250" s="28" t="s">
        <v>12240</v>
      </c>
      <c r="C7250" s="27" t="s">
        <v>13066</v>
      </c>
      <c r="D7250" s="27" t="s">
        <v>230</v>
      </c>
      <c r="E7250" s="29">
        <v>39417</v>
      </c>
      <c r="F7250" s="27">
        <v>15</v>
      </c>
      <c r="G7250" s="18">
        <v>31837.040000000001</v>
      </c>
      <c r="H7250" s="27">
        <f t="shared" si="226"/>
        <v>0</v>
      </c>
      <c r="I7250" s="18">
        <v>27153.77</v>
      </c>
      <c r="J7250" s="27">
        <v>31837.040000000001</v>
      </c>
      <c r="K7250" s="18">
        <f t="shared" si="227"/>
        <v>0</v>
      </c>
      <c r="L7250" s="27">
        <v>27926.63</v>
      </c>
      <c r="M7250" s="36">
        <v>772.86</v>
      </c>
      <c r="T7250" s="41">
        <v>0</v>
      </c>
      <c r="U7250" s="41">
        <v>0</v>
      </c>
      <c r="V7250" s="42" t="s">
        <v>113</v>
      </c>
      <c r="W7250" s="42">
        <v>0</v>
      </c>
      <c r="X7250" s="42">
        <v>0</v>
      </c>
    </row>
    <row r="7251" spans="1:24">
      <c r="A7251" s="27" t="s">
        <v>13067</v>
      </c>
      <c r="B7251" s="28" t="s">
        <v>12240</v>
      </c>
      <c r="C7251" s="27" t="s">
        <v>13068</v>
      </c>
      <c r="D7251" s="27" t="s">
        <v>230</v>
      </c>
      <c r="E7251" s="29">
        <v>39417</v>
      </c>
      <c r="F7251" s="27">
        <v>15</v>
      </c>
      <c r="G7251" s="18">
        <v>31837.03</v>
      </c>
      <c r="H7251" s="27">
        <f t="shared" si="226"/>
        <v>0</v>
      </c>
      <c r="I7251" s="18">
        <v>27153.77</v>
      </c>
      <c r="J7251" s="27">
        <v>31837.03</v>
      </c>
      <c r="K7251" s="18">
        <f t="shared" si="227"/>
        <v>0</v>
      </c>
      <c r="L7251" s="27">
        <v>27926.62</v>
      </c>
      <c r="M7251" s="36">
        <v>772.85</v>
      </c>
      <c r="T7251" s="41">
        <v>0</v>
      </c>
      <c r="U7251" s="41">
        <v>0</v>
      </c>
      <c r="V7251" s="42" t="s">
        <v>113</v>
      </c>
      <c r="W7251" s="42">
        <v>0</v>
      </c>
      <c r="X7251" s="42">
        <v>0</v>
      </c>
    </row>
    <row r="7252" spans="1:24">
      <c r="A7252" s="27" t="s">
        <v>13069</v>
      </c>
      <c r="B7252" s="28" t="s">
        <v>12240</v>
      </c>
      <c r="C7252" s="27" t="s">
        <v>13070</v>
      </c>
      <c r="D7252" s="27" t="s">
        <v>230</v>
      </c>
      <c r="E7252" s="29">
        <v>39417</v>
      </c>
      <c r="F7252" s="27">
        <v>15</v>
      </c>
      <c r="G7252" s="18">
        <v>31837.040000000001</v>
      </c>
      <c r="H7252" s="27">
        <f t="shared" si="226"/>
        <v>0</v>
      </c>
      <c r="I7252" s="18">
        <v>27153.77</v>
      </c>
      <c r="J7252" s="27">
        <v>31837.040000000001</v>
      </c>
      <c r="K7252" s="18">
        <f t="shared" si="227"/>
        <v>0</v>
      </c>
      <c r="L7252" s="27">
        <v>27926.63</v>
      </c>
      <c r="M7252" s="36">
        <v>772.86</v>
      </c>
      <c r="T7252" s="41">
        <v>0</v>
      </c>
      <c r="U7252" s="41">
        <v>0</v>
      </c>
      <c r="V7252" s="42" t="s">
        <v>113</v>
      </c>
      <c r="W7252" s="42">
        <v>0</v>
      </c>
      <c r="X7252" s="42">
        <v>0</v>
      </c>
    </row>
    <row r="7253" spans="1:24">
      <c r="A7253" s="27" t="s">
        <v>13071</v>
      </c>
      <c r="B7253" s="28" t="s">
        <v>12240</v>
      </c>
      <c r="C7253" s="27" t="s">
        <v>12245</v>
      </c>
      <c r="D7253" s="27" t="s">
        <v>5104</v>
      </c>
      <c r="E7253" s="29">
        <v>39417</v>
      </c>
      <c r="F7253" s="27">
        <v>15</v>
      </c>
      <c r="G7253" s="18">
        <v>86730.2</v>
      </c>
      <c r="H7253" s="27">
        <f t="shared" si="226"/>
        <v>0</v>
      </c>
      <c r="I7253" s="18">
        <v>74270.47</v>
      </c>
      <c r="J7253" s="27">
        <v>86730.2</v>
      </c>
      <c r="K7253" s="18">
        <f t="shared" si="227"/>
        <v>0</v>
      </c>
      <c r="L7253" s="27">
        <v>76301.279999999999</v>
      </c>
      <c r="M7253" s="36">
        <v>2030.81</v>
      </c>
      <c r="T7253" s="41">
        <v>0</v>
      </c>
      <c r="U7253" s="41">
        <v>0</v>
      </c>
      <c r="V7253" s="42" t="s">
        <v>113</v>
      </c>
      <c r="W7253" s="42">
        <v>0</v>
      </c>
      <c r="X7253" s="42">
        <v>0</v>
      </c>
    </row>
    <row r="7254" spans="1:24">
      <c r="A7254" s="27" t="s">
        <v>13072</v>
      </c>
      <c r="B7254" s="28" t="s">
        <v>12240</v>
      </c>
      <c r="C7254" s="27" t="s">
        <v>13073</v>
      </c>
      <c r="D7254" s="27" t="s">
        <v>230</v>
      </c>
      <c r="E7254" s="29">
        <v>39417</v>
      </c>
      <c r="F7254" s="27">
        <v>15</v>
      </c>
      <c r="G7254" s="18">
        <v>37368.949999999997</v>
      </c>
      <c r="H7254" s="27">
        <f t="shared" si="226"/>
        <v>0</v>
      </c>
      <c r="I7254" s="18">
        <v>31871.95</v>
      </c>
      <c r="J7254" s="27">
        <v>37368.949999999997</v>
      </c>
      <c r="K7254" s="18">
        <f t="shared" si="227"/>
        <v>0</v>
      </c>
      <c r="L7254" s="27">
        <v>32779.089999999997</v>
      </c>
      <c r="M7254" s="36">
        <v>907.14</v>
      </c>
      <c r="T7254" s="41">
        <v>0</v>
      </c>
      <c r="U7254" s="41">
        <v>0</v>
      </c>
      <c r="V7254" s="42" t="s">
        <v>113</v>
      </c>
      <c r="W7254" s="42">
        <v>0</v>
      </c>
      <c r="X7254" s="42">
        <v>0</v>
      </c>
    </row>
    <row r="7255" spans="1:24">
      <c r="A7255" s="27" t="s">
        <v>13074</v>
      </c>
      <c r="B7255" s="28" t="s">
        <v>12240</v>
      </c>
      <c r="C7255" s="27" t="s">
        <v>13075</v>
      </c>
      <c r="D7255" s="27" t="s">
        <v>230</v>
      </c>
      <c r="E7255" s="29">
        <v>38078</v>
      </c>
      <c r="F7255" s="27">
        <v>15</v>
      </c>
      <c r="G7255" s="18">
        <v>15210.48</v>
      </c>
      <c r="H7255" s="27">
        <f t="shared" si="226"/>
        <v>15210.48</v>
      </c>
      <c r="I7255" s="18">
        <v>14449.96</v>
      </c>
      <c r="J7255" s="27">
        <v>15210.48</v>
      </c>
      <c r="K7255" s="18">
        <f t="shared" si="227"/>
        <v>15210.48</v>
      </c>
      <c r="L7255" s="27">
        <v>14449.96</v>
      </c>
      <c r="M7255" s="36">
        <v>0</v>
      </c>
      <c r="T7255" s="41">
        <v>0</v>
      </c>
      <c r="U7255" s="41">
        <v>0</v>
      </c>
      <c r="V7255" s="42" t="s">
        <v>113</v>
      </c>
      <c r="W7255" s="42">
        <v>15210.48</v>
      </c>
      <c r="X7255" s="42">
        <v>15210.48</v>
      </c>
    </row>
    <row r="7256" spans="1:24">
      <c r="A7256" s="27" t="s">
        <v>13076</v>
      </c>
      <c r="B7256" s="28" t="s">
        <v>12240</v>
      </c>
      <c r="C7256" s="27" t="s">
        <v>12245</v>
      </c>
      <c r="D7256" s="27" t="s">
        <v>5104</v>
      </c>
      <c r="E7256" s="29">
        <v>38078</v>
      </c>
      <c r="F7256" s="27">
        <v>15</v>
      </c>
      <c r="G7256" s="18">
        <v>20105.16</v>
      </c>
      <c r="H7256" s="27">
        <f t="shared" si="226"/>
        <v>20105.16</v>
      </c>
      <c r="I7256" s="18">
        <v>19099.900000000001</v>
      </c>
      <c r="J7256" s="27">
        <v>20105.16</v>
      </c>
      <c r="K7256" s="18">
        <f t="shared" si="227"/>
        <v>20105.16</v>
      </c>
      <c r="L7256" s="27">
        <v>19099.900000000001</v>
      </c>
      <c r="M7256" s="36">
        <v>0</v>
      </c>
      <c r="T7256" s="41">
        <v>0</v>
      </c>
      <c r="U7256" s="41">
        <v>0</v>
      </c>
      <c r="V7256" s="42" t="s">
        <v>113</v>
      </c>
      <c r="W7256" s="42">
        <v>20105.16</v>
      </c>
      <c r="X7256" s="42">
        <v>20105.16</v>
      </c>
    </row>
    <row r="7257" spans="1:24">
      <c r="A7257" s="27" t="s">
        <v>13077</v>
      </c>
      <c r="B7257" s="28" t="s">
        <v>12240</v>
      </c>
      <c r="C7257" s="27" t="s">
        <v>12245</v>
      </c>
      <c r="D7257" s="27" t="s">
        <v>230</v>
      </c>
      <c r="E7257" s="29">
        <v>40177</v>
      </c>
      <c r="F7257" s="27">
        <v>15</v>
      </c>
      <c r="G7257" s="18">
        <v>163589.74</v>
      </c>
      <c r="H7257" s="27">
        <f t="shared" si="226"/>
        <v>0</v>
      </c>
      <c r="I7257" s="18">
        <v>113967.51</v>
      </c>
      <c r="J7257" s="27">
        <v>163589.74</v>
      </c>
      <c r="K7257" s="18">
        <f t="shared" si="227"/>
        <v>0</v>
      </c>
      <c r="L7257" s="27">
        <v>120874.63</v>
      </c>
      <c r="M7257" s="36">
        <v>6907.12</v>
      </c>
      <c r="T7257" s="41">
        <v>0</v>
      </c>
      <c r="U7257" s="41">
        <v>0</v>
      </c>
      <c r="V7257" s="42" t="s">
        <v>113</v>
      </c>
      <c r="W7257" s="42">
        <v>0</v>
      </c>
      <c r="X7257" s="42">
        <v>0</v>
      </c>
    </row>
    <row r="7258" spans="1:24">
      <c r="A7258" s="27" t="s">
        <v>13078</v>
      </c>
      <c r="B7258" s="28" t="s">
        <v>12240</v>
      </c>
      <c r="C7258" s="27" t="s">
        <v>12245</v>
      </c>
      <c r="D7258" s="27" t="s">
        <v>230</v>
      </c>
      <c r="E7258" s="29">
        <v>40177</v>
      </c>
      <c r="F7258" s="27">
        <v>15</v>
      </c>
      <c r="G7258" s="18">
        <v>145811.97</v>
      </c>
      <c r="H7258" s="27">
        <f t="shared" si="226"/>
        <v>0</v>
      </c>
      <c r="I7258" s="18">
        <v>101582.34</v>
      </c>
      <c r="J7258" s="27">
        <v>145811.97</v>
      </c>
      <c r="K7258" s="18">
        <f t="shared" si="227"/>
        <v>0</v>
      </c>
      <c r="L7258" s="27">
        <v>107738.85</v>
      </c>
      <c r="M7258" s="36">
        <v>6156.51</v>
      </c>
      <c r="T7258" s="41">
        <v>0</v>
      </c>
      <c r="U7258" s="41">
        <v>0</v>
      </c>
      <c r="V7258" s="42" t="s">
        <v>113</v>
      </c>
      <c r="W7258" s="42">
        <v>0</v>
      </c>
      <c r="X7258" s="42">
        <v>0</v>
      </c>
    </row>
    <row r="7259" spans="1:24">
      <c r="A7259" s="27" t="s">
        <v>13079</v>
      </c>
      <c r="B7259" s="28" t="s">
        <v>12240</v>
      </c>
      <c r="C7259" s="27" t="s">
        <v>12245</v>
      </c>
      <c r="D7259" s="27" t="s">
        <v>230</v>
      </c>
      <c r="E7259" s="29">
        <v>40177</v>
      </c>
      <c r="F7259" s="27">
        <v>15</v>
      </c>
      <c r="G7259" s="18">
        <v>383717.95</v>
      </c>
      <c r="H7259" s="27">
        <f t="shared" si="226"/>
        <v>0</v>
      </c>
      <c r="I7259" s="18">
        <v>267323.5</v>
      </c>
      <c r="J7259" s="27">
        <v>383717.95</v>
      </c>
      <c r="K7259" s="18">
        <f t="shared" si="227"/>
        <v>0</v>
      </c>
      <c r="L7259" s="27">
        <v>283524.93</v>
      </c>
      <c r="M7259" s="36">
        <v>16201.43</v>
      </c>
      <c r="T7259" s="41">
        <v>0</v>
      </c>
      <c r="U7259" s="41">
        <v>0</v>
      </c>
      <c r="V7259" s="42" t="s">
        <v>113</v>
      </c>
      <c r="W7259" s="42">
        <v>0</v>
      </c>
      <c r="X7259" s="42">
        <v>0</v>
      </c>
    </row>
    <row r="7260" spans="1:24">
      <c r="A7260" s="27" t="s">
        <v>13080</v>
      </c>
      <c r="B7260" s="28" t="s">
        <v>12240</v>
      </c>
      <c r="C7260" s="27" t="s">
        <v>12245</v>
      </c>
      <c r="D7260" s="27" t="s">
        <v>230</v>
      </c>
      <c r="E7260" s="29">
        <v>40177</v>
      </c>
      <c r="F7260" s="27">
        <v>15</v>
      </c>
      <c r="G7260" s="18">
        <v>216153.85</v>
      </c>
      <c r="H7260" s="27">
        <f t="shared" si="226"/>
        <v>0</v>
      </c>
      <c r="I7260" s="18">
        <v>150587.19</v>
      </c>
      <c r="J7260" s="27">
        <v>216153.85</v>
      </c>
      <c r="K7260" s="18">
        <f t="shared" si="227"/>
        <v>0</v>
      </c>
      <c r="L7260" s="27">
        <v>159713.69</v>
      </c>
      <c r="M7260" s="36">
        <v>9126.5</v>
      </c>
      <c r="T7260" s="41">
        <v>0</v>
      </c>
      <c r="U7260" s="41">
        <v>0</v>
      </c>
      <c r="V7260" s="42" t="s">
        <v>113</v>
      </c>
      <c r="W7260" s="42">
        <v>0</v>
      </c>
      <c r="X7260" s="42">
        <v>0</v>
      </c>
    </row>
    <row r="7261" spans="1:24">
      <c r="A7261" s="27" t="s">
        <v>13081</v>
      </c>
      <c r="B7261" s="28" t="s">
        <v>12240</v>
      </c>
      <c r="C7261" s="27" t="s">
        <v>12245</v>
      </c>
      <c r="D7261" s="27" t="s">
        <v>5104</v>
      </c>
      <c r="E7261" s="29">
        <v>40177</v>
      </c>
      <c r="F7261" s="27">
        <v>15</v>
      </c>
      <c r="G7261" s="18">
        <v>184273.5</v>
      </c>
      <c r="H7261" s="27">
        <f t="shared" si="226"/>
        <v>0</v>
      </c>
      <c r="I7261" s="18">
        <v>128377.2</v>
      </c>
      <c r="J7261" s="27">
        <v>184273.5</v>
      </c>
      <c r="K7261" s="18">
        <f t="shared" si="227"/>
        <v>0</v>
      </c>
      <c r="L7261" s="27">
        <v>136157.64000000001</v>
      </c>
      <c r="M7261" s="36">
        <v>7780.44</v>
      </c>
      <c r="T7261" s="41">
        <v>0</v>
      </c>
      <c r="U7261" s="41">
        <v>0</v>
      </c>
      <c r="V7261" s="42" t="s">
        <v>113</v>
      </c>
      <c r="W7261" s="42">
        <v>0</v>
      </c>
      <c r="X7261" s="42">
        <v>0</v>
      </c>
    </row>
    <row r="7262" spans="1:24">
      <c r="A7262" s="27" t="s">
        <v>13082</v>
      </c>
      <c r="B7262" s="28" t="s">
        <v>12240</v>
      </c>
      <c r="C7262" s="27" t="s">
        <v>12245</v>
      </c>
      <c r="D7262" s="27" t="s">
        <v>5104</v>
      </c>
      <c r="E7262" s="29">
        <v>40177</v>
      </c>
      <c r="F7262" s="27">
        <v>15</v>
      </c>
      <c r="G7262" s="18">
        <v>246666.67</v>
      </c>
      <c r="H7262" s="27">
        <f t="shared" si="226"/>
        <v>0</v>
      </c>
      <c r="I7262" s="18">
        <v>171844.45</v>
      </c>
      <c r="J7262" s="27">
        <v>246666.67</v>
      </c>
      <c r="K7262" s="18">
        <f t="shared" si="227"/>
        <v>0</v>
      </c>
      <c r="L7262" s="27">
        <v>182259.27</v>
      </c>
      <c r="M7262" s="36">
        <v>10414.82</v>
      </c>
      <c r="T7262" s="41">
        <v>0</v>
      </c>
      <c r="U7262" s="41">
        <v>0</v>
      </c>
      <c r="V7262" s="42" t="s">
        <v>113</v>
      </c>
      <c r="W7262" s="42">
        <v>0</v>
      </c>
      <c r="X7262" s="42">
        <v>0</v>
      </c>
    </row>
    <row r="7263" spans="1:24">
      <c r="A7263" s="27" t="s">
        <v>13083</v>
      </c>
      <c r="B7263" s="28" t="s">
        <v>12240</v>
      </c>
      <c r="C7263" s="27" t="s">
        <v>12245</v>
      </c>
      <c r="D7263" s="27" t="s">
        <v>5104</v>
      </c>
      <c r="E7263" s="29">
        <v>40177</v>
      </c>
      <c r="F7263" s="27">
        <v>15</v>
      </c>
      <c r="G7263" s="18">
        <v>148547.01</v>
      </c>
      <c r="H7263" s="27">
        <f t="shared" si="226"/>
        <v>0</v>
      </c>
      <c r="I7263" s="18">
        <v>103487.75</v>
      </c>
      <c r="J7263" s="27">
        <v>148547.01</v>
      </c>
      <c r="K7263" s="18">
        <f t="shared" si="227"/>
        <v>0</v>
      </c>
      <c r="L7263" s="27">
        <v>109759.74</v>
      </c>
      <c r="M7263" s="36">
        <v>6271.99</v>
      </c>
      <c r="T7263" s="41">
        <v>0</v>
      </c>
      <c r="U7263" s="41">
        <v>0</v>
      </c>
      <c r="V7263" s="42" t="s">
        <v>113</v>
      </c>
      <c r="W7263" s="42">
        <v>0</v>
      </c>
      <c r="X7263" s="42">
        <v>0</v>
      </c>
    </row>
    <row r="7264" spans="1:24">
      <c r="A7264" s="27" t="s">
        <v>13084</v>
      </c>
      <c r="B7264" s="28" t="s">
        <v>12240</v>
      </c>
      <c r="C7264" s="27" t="s">
        <v>12245</v>
      </c>
      <c r="D7264" s="27" t="s">
        <v>5104</v>
      </c>
      <c r="E7264" s="29">
        <v>40177</v>
      </c>
      <c r="F7264" s="27">
        <v>15</v>
      </c>
      <c r="G7264" s="18">
        <v>44034.19</v>
      </c>
      <c r="H7264" s="27">
        <f t="shared" si="226"/>
        <v>0</v>
      </c>
      <c r="I7264" s="18">
        <v>30677.16</v>
      </c>
      <c r="J7264" s="27">
        <v>44034.19</v>
      </c>
      <c r="K7264" s="18">
        <f t="shared" si="227"/>
        <v>0</v>
      </c>
      <c r="L7264" s="27">
        <v>32536.38</v>
      </c>
      <c r="M7264" s="36">
        <v>1859.22</v>
      </c>
      <c r="T7264" s="41">
        <v>0</v>
      </c>
      <c r="U7264" s="41">
        <v>0</v>
      </c>
      <c r="V7264" s="42" t="s">
        <v>113</v>
      </c>
      <c r="W7264" s="42">
        <v>0</v>
      </c>
      <c r="X7264" s="42">
        <v>0</v>
      </c>
    </row>
    <row r="7265" spans="1:24">
      <c r="A7265" s="27" t="s">
        <v>13085</v>
      </c>
      <c r="B7265" s="28" t="s">
        <v>12240</v>
      </c>
      <c r="C7265" s="27" t="s">
        <v>13086</v>
      </c>
      <c r="D7265" s="27" t="s">
        <v>230</v>
      </c>
      <c r="E7265" s="29">
        <v>39854</v>
      </c>
      <c r="F7265" s="27">
        <v>15</v>
      </c>
      <c r="G7265" s="18">
        <v>5479.51</v>
      </c>
      <c r="H7265" s="27">
        <f t="shared" si="226"/>
        <v>0</v>
      </c>
      <c r="I7265" s="18">
        <v>4162.6499999999996</v>
      </c>
      <c r="J7265" s="27">
        <v>5479.51</v>
      </c>
      <c r="K7265" s="18">
        <f t="shared" si="227"/>
        <v>0</v>
      </c>
      <c r="L7265" s="27">
        <v>4364.5</v>
      </c>
      <c r="M7265" s="36">
        <v>201.85</v>
      </c>
      <c r="T7265" s="41">
        <v>0</v>
      </c>
      <c r="U7265" s="41">
        <v>0</v>
      </c>
      <c r="V7265" s="42" t="s">
        <v>113</v>
      </c>
      <c r="W7265" s="42">
        <v>0</v>
      </c>
      <c r="X7265" s="42">
        <v>0</v>
      </c>
    </row>
    <row r="7266" spans="1:24">
      <c r="A7266" s="27" t="s">
        <v>13087</v>
      </c>
      <c r="B7266" s="28" t="s">
        <v>12240</v>
      </c>
      <c r="C7266" s="27" t="s">
        <v>13088</v>
      </c>
      <c r="D7266" s="27" t="s">
        <v>230</v>
      </c>
      <c r="E7266" s="29">
        <v>39854</v>
      </c>
      <c r="F7266" s="27">
        <v>15</v>
      </c>
      <c r="G7266" s="18">
        <v>5479.51</v>
      </c>
      <c r="H7266" s="27">
        <f t="shared" si="226"/>
        <v>0</v>
      </c>
      <c r="I7266" s="18">
        <v>4162.6499999999996</v>
      </c>
      <c r="J7266" s="27">
        <v>5479.51</v>
      </c>
      <c r="K7266" s="18">
        <f t="shared" si="227"/>
        <v>0</v>
      </c>
      <c r="L7266" s="27">
        <v>4364.5</v>
      </c>
      <c r="M7266" s="36">
        <v>201.85</v>
      </c>
      <c r="T7266" s="41">
        <v>0</v>
      </c>
      <c r="U7266" s="41">
        <v>0</v>
      </c>
      <c r="V7266" s="42" t="s">
        <v>113</v>
      </c>
      <c r="W7266" s="42">
        <v>0</v>
      </c>
      <c r="X7266" s="42">
        <v>0</v>
      </c>
    </row>
    <row r="7267" spans="1:24">
      <c r="A7267" s="27" t="s">
        <v>13089</v>
      </c>
      <c r="B7267" s="28" t="s">
        <v>12240</v>
      </c>
      <c r="C7267" s="27" t="s">
        <v>13090</v>
      </c>
      <c r="D7267" s="27" t="s">
        <v>230</v>
      </c>
      <c r="E7267" s="29">
        <v>39854</v>
      </c>
      <c r="F7267" s="27">
        <v>15</v>
      </c>
      <c r="G7267" s="18">
        <v>5479.51</v>
      </c>
      <c r="H7267" s="27">
        <f t="shared" si="226"/>
        <v>0</v>
      </c>
      <c r="I7267" s="18">
        <v>4162.6499999999996</v>
      </c>
      <c r="J7267" s="27">
        <v>5479.51</v>
      </c>
      <c r="K7267" s="18">
        <f t="shared" si="227"/>
        <v>0</v>
      </c>
      <c r="L7267" s="27">
        <v>4364.5</v>
      </c>
      <c r="M7267" s="36">
        <v>201.85</v>
      </c>
      <c r="T7267" s="41">
        <v>0</v>
      </c>
      <c r="U7267" s="41">
        <v>0</v>
      </c>
      <c r="V7267" s="42" t="s">
        <v>113</v>
      </c>
      <c r="W7267" s="42">
        <v>0</v>
      </c>
      <c r="X7267" s="42">
        <v>0</v>
      </c>
    </row>
    <row r="7268" spans="1:24">
      <c r="A7268" s="27" t="s">
        <v>13091</v>
      </c>
      <c r="B7268" s="28" t="s">
        <v>12240</v>
      </c>
      <c r="C7268" s="27" t="s">
        <v>13092</v>
      </c>
      <c r="D7268" s="27" t="s">
        <v>5104</v>
      </c>
      <c r="E7268" s="29">
        <v>39417</v>
      </c>
      <c r="F7268" s="27">
        <v>15</v>
      </c>
      <c r="G7268" s="18">
        <v>8988.1299999999992</v>
      </c>
      <c r="H7268" s="27">
        <f t="shared" si="226"/>
        <v>0</v>
      </c>
      <c r="I7268" s="18">
        <v>7547.49</v>
      </c>
      <c r="J7268" s="27">
        <v>8988.1299999999992</v>
      </c>
      <c r="K7268" s="18">
        <f t="shared" si="227"/>
        <v>0</v>
      </c>
      <c r="L7268" s="27">
        <v>7780.72</v>
      </c>
      <c r="M7268" s="36">
        <v>233.23</v>
      </c>
      <c r="T7268" s="41">
        <v>0</v>
      </c>
      <c r="U7268" s="41">
        <v>0</v>
      </c>
      <c r="V7268" s="42" t="s">
        <v>113</v>
      </c>
      <c r="W7268" s="42">
        <v>0</v>
      </c>
      <c r="X7268" s="42">
        <v>0</v>
      </c>
    </row>
    <row r="7269" spans="1:24">
      <c r="A7269" s="27" t="s">
        <v>13093</v>
      </c>
      <c r="B7269" s="28" t="s">
        <v>12240</v>
      </c>
      <c r="C7269" s="27" t="s">
        <v>13094</v>
      </c>
      <c r="D7269" s="27" t="s">
        <v>5104</v>
      </c>
      <c r="E7269" s="29">
        <v>39417</v>
      </c>
      <c r="F7269" s="27">
        <v>15</v>
      </c>
      <c r="G7269" s="18">
        <v>8988.1299999999992</v>
      </c>
      <c r="H7269" s="27">
        <f t="shared" si="226"/>
        <v>0</v>
      </c>
      <c r="I7269" s="18">
        <v>7547.49</v>
      </c>
      <c r="J7269" s="27">
        <v>8988.1299999999992</v>
      </c>
      <c r="K7269" s="18">
        <f t="shared" si="227"/>
        <v>0</v>
      </c>
      <c r="L7269" s="27">
        <v>7780.72</v>
      </c>
      <c r="M7269" s="36">
        <v>233.23</v>
      </c>
      <c r="T7269" s="41">
        <v>0</v>
      </c>
      <c r="U7269" s="41">
        <v>0</v>
      </c>
      <c r="V7269" s="42" t="s">
        <v>113</v>
      </c>
      <c r="W7269" s="42">
        <v>0</v>
      </c>
      <c r="X7269" s="42">
        <v>0</v>
      </c>
    </row>
    <row r="7270" spans="1:24">
      <c r="A7270" s="27" t="s">
        <v>13095</v>
      </c>
      <c r="B7270" s="28" t="s">
        <v>12240</v>
      </c>
      <c r="C7270" s="27" t="s">
        <v>13096</v>
      </c>
      <c r="D7270" s="27" t="s">
        <v>230</v>
      </c>
      <c r="E7270" s="29">
        <v>39417</v>
      </c>
      <c r="F7270" s="27">
        <v>15</v>
      </c>
      <c r="G7270" s="18">
        <v>8988.1299999999992</v>
      </c>
      <c r="H7270" s="27">
        <f t="shared" si="226"/>
        <v>0</v>
      </c>
      <c r="I7270" s="18">
        <v>7679.85</v>
      </c>
      <c r="J7270" s="27">
        <v>8988.1299999999992</v>
      </c>
      <c r="K7270" s="18">
        <f t="shared" si="227"/>
        <v>0</v>
      </c>
      <c r="L7270" s="27">
        <v>7894.57</v>
      </c>
      <c r="M7270" s="36">
        <v>214.72</v>
      </c>
      <c r="T7270" s="41">
        <v>0</v>
      </c>
      <c r="U7270" s="41">
        <v>0</v>
      </c>
      <c r="V7270" s="42" t="s">
        <v>113</v>
      </c>
      <c r="W7270" s="42">
        <v>0</v>
      </c>
      <c r="X7270" s="42">
        <v>0</v>
      </c>
    </row>
    <row r="7271" spans="1:24">
      <c r="A7271" s="27" t="s">
        <v>13097</v>
      </c>
      <c r="B7271" s="28" t="s">
        <v>12240</v>
      </c>
      <c r="C7271" s="27" t="s">
        <v>13098</v>
      </c>
      <c r="D7271" s="27" t="s">
        <v>230</v>
      </c>
      <c r="E7271" s="29">
        <v>39417</v>
      </c>
      <c r="F7271" s="27">
        <v>15</v>
      </c>
      <c r="G7271" s="18">
        <v>8988.1299999999992</v>
      </c>
      <c r="H7271" s="27">
        <f t="shared" si="226"/>
        <v>0</v>
      </c>
      <c r="I7271" s="18">
        <v>7547.49</v>
      </c>
      <c r="J7271" s="27">
        <v>8988.1299999999992</v>
      </c>
      <c r="K7271" s="18">
        <f t="shared" si="227"/>
        <v>0</v>
      </c>
      <c r="L7271" s="27">
        <v>7780.72</v>
      </c>
      <c r="M7271" s="36">
        <v>233.23</v>
      </c>
      <c r="T7271" s="41">
        <v>0</v>
      </c>
      <c r="U7271" s="41">
        <v>0</v>
      </c>
      <c r="V7271" s="42" t="s">
        <v>113</v>
      </c>
      <c r="W7271" s="42">
        <v>0</v>
      </c>
      <c r="X7271" s="42">
        <v>0</v>
      </c>
    </row>
    <row r="7272" spans="1:24">
      <c r="A7272" s="27" t="s">
        <v>13099</v>
      </c>
      <c r="B7272" s="28" t="s">
        <v>12240</v>
      </c>
      <c r="C7272" s="27" t="s">
        <v>13100</v>
      </c>
      <c r="D7272" s="27" t="s">
        <v>230</v>
      </c>
      <c r="E7272" s="29">
        <v>39417</v>
      </c>
      <c r="F7272" s="27">
        <v>15</v>
      </c>
      <c r="G7272" s="18">
        <v>70776.45</v>
      </c>
      <c r="H7272" s="27">
        <f t="shared" si="226"/>
        <v>0</v>
      </c>
      <c r="I7272" s="18">
        <v>66562.5</v>
      </c>
      <c r="J7272" s="27">
        <v>70776.45</v>
      </c>
      <c r="K7272" s="18">
        <f t="shared" si="227"/>
        <v>0</v>
      </c>
      <c r="L7272" s="27">
        <v>66731.28</v>
      </c>
      <c r="M7272" s="36">
        <v>168.78</v>
      </c>
      <c r="T7272" s="41">
        <v>0</v>
      </c>
      <c r="U7272" s="41">
        <v>0</v>
      </c>
      <c r="V7272" s="42" t="s">
        <v>113</v>
      </c>
      <c r="W7272" s="42">
        <v>0</v>
      </c>
      <c r="X7272" s="42">
        <v>0</v>
      </c>
    </row>
    <row r="7273" spans="1:24">
      <c r="A7273" s="27" t="s">
        <v>13101</v>
      </c>
      <c r="B7273" s="28" t="s">
        <v>12240</v>
      </c>
      <c r="C7273" s="27" t="s">
        <v>13102</v>
      </c>
      <c r="D7273" s="27" t="s">
        <v>5104</v>
      </c>
      <c r="E7273" s="29">
        <v>39417</v>
      </c>
      <c r="F7273" s="27">
        <v>15</v>
      </c>
      <c r="G7273" s="18">
        <v>8988.1299999999992</v>
      </c>
      <c r="H7273" s="27">
        <f t="shared" si="226"/>
        <v>0</v>
      </c>
      <c r="I7273" s="18">
        <v>7547.49</v>
      </c>
      <c r="J7273" s="27">
        <v>8988.1299999999992</v>
      </c>
      <c r="K7273" s="18">
        <f t="shared" si="227"/>
        <v>0</v>
      </c>
      <c r="L7273" s="27">
        <v>7780.72</v>
      </c>
      <c r="M7273" s="36">
        <v>233.23</v>
      </c>
      <c r="T7273" s="41">
        <v>0</v>
      </c>
      <c r="U7273" s="41">
        <v>0</v>
      </c>
      <c r="V7273" s="42" t="s">
        <v>113</v>
      </c>
      <c r="W7273" s="42">
        <v>0</v>
      </c>
      <c r="X7273" s="42">
        <v>0</v>
      </c>
    </row>
    <row r="7274" spans="1:24">
      <c r="A7274" s="27" t="s">
        <v>13103</v>
      </c>
      <c r="B7274" s="28" t="s">
        <v>12240</v>
      </c>
      <c r="C7274" s="27" t="s">
        <v>13104</v>
      </c>
      <c r="D7274" s="27" t="s">
        <v>230</v>
      </c>
      <c r="E7274" s="29">
        <v>39417</v>
      </c>
      <c r="F7274" s="27">
        <v>15</v>
      </c>
      <c r="G7274" s="18">
        <v>61461.41</v>
      </c>
      <c r="H7274" s="27">
        <f t="shared" si="226"/>
        <v>0</v>
      </c>
      <c r="I7274" s="18">
        <v>45229.4</v>
      </c>
      <c r="J7274" s="27">
        <v>61461.41</v>
      </c>
      <c r="K7274" s="18">
        <f t="shared" si="227"/>
        <v>0</v>
      </c>
      <c r="L7274" s="27">
        <v>48325.62</v>
      </c>
      <c r="M7274" s="36">
        <v>3096.22</v>
      </c>
      <c r="T7274" s="41">
        <v>0</v>
      </c>
      <c r="U7274" s="41">
        <v>0</v>
      </c>
      <c r="V7274" s="42" t="s">
        <v>113</v>
      </c>
      <c r="W7274" s="42">
        <v>0</v>
      </c>
      <c r="X7274" s="42">
        <v>0</v>
      </c>
    </row>
    <row r="7275" spans="1:24">
      <c r="A7275" s="27" t="s">
        <v>13105</v>
      </c>
      <c r="B7275" s="28" t="s">
        <v>12240</v>
      </c>
      <c r="C7275" s="27" t="s">
        <v>13106</v>
      </c>
      <c r="D7275" s="27" t="s">
        <v>230</v>
      </c>
      <c r="E7275" s="29">
        <v>39417</v>
      </c>
      <c r="F7275" s="27">
        <v>15</v>
      </c>
      <c r="G7275" s="18">
        <v>8988.1299999999992</v>
      </c>
      <c r="H7275" s="27">
        <f t="shared" si="226"/>
        <v>0</v>
      </c>
      <c r="I7275" s="18">
        <v>7679.85</v>
      </c>
      <c r="J7275" s="27">
        <v>8988.1299999999992</v>
      </c>
      <c r="K7275" s="18">
        <f t="shared" si="227"/>
        <v>0</v>
      </c>
      <c r="L7275" s="27">
        <v>7894.57</v>
      </c>
      <c r="M7275" s="36">
        <v>214.72</v>
      </c>
      <c r="T7275" s="41">
        <v>0</v>
      </c>
      <c r="U7275" s="41">
        <v>0</v>
      </c>
      <c r="V7275" s="42" t="s">
        <v>113</v>
      </c>
      <c r="W7275" s="42">
        <v>0</v>
      </c>
      <c r="X7275" s="42">
        <v>0</v>
      </c>
    </row>
    <row r="7276" spans="1:24">
      <c r="A7276" s="27" t="s">
        <v>13107</v>
      </c>
      <c r="B7276" s="28" t="s">
        <v>12240</v>
      </c>
      <c r="C7276" s="27" t="s">
        <v>13108</v>
      </c>
      <c r="D7276" s="27" t="s">
        <v>230</v>
      </c>
      <c r="E7276" s="29">
        <v>39417</v>
      </c>
      <c r="F7276" s="27">
        <v>15</v>
      </c>
      <c r="G7276" s="18">
        <v>8988.1299999999992</v>
      </c>
      <c r="H7276" s="27">
        <f t="shared" si="226"/>
        <v>0</v>
      </c>
      <c r="I7276" s="18">
        <v>7671.2</v>
      </c>
      <c r="J7276" s="27">
        <v>8988.1299999999992</v>
      </c>
      <c r="K7276" s="18">
        <f t="shared" si="227"/>
        <v>0</v>
      </c>
      <c r="L7276" s="27">
        <v>7875.32</v>
      </c>
      <c r="M7276" s="36">
        <v>204.12</v>
      </c>
      <c r="T7276" s="41">
        <v>0</v>
      </c>
      <c r="U7276" s="41">
        <v>0</v>
      </c>
      <c r="V7276" s="42" t="s">
        <v>113</v>
      </c>
      <c r="W7276" s="42">
        <v>0</v>
      </c>
      <c r="X7276" s="42">
        <v>0</v>
      </c>
    </row>
    <row r="7277" spans="1:24">
      <c r="A7277" s="27" t="s">
        <v>13109</v>
      </c>
      <c r="B7277" s="28" t="s">
        <v>12240</v>
      </c>
      <c r="C7277" s="27" t="s">
        <v>13110</v>
      </c>
      <c r="D7277" s="27" t="s">
        <v>230</v>
      </c>
      <c r="E7277" s="29">
        <v>39417</v>
      </c>
      <c r="F7277" s="27">
        <v>15</v>
      </c>
      <c r="G7277" s="18">
        <v>8988.19</v>
      </c>
      <c r="H7277" s="27">
        <f t="shared" si="226"/>
        <v>0</v>
      </c>
      <c r="I7277" s="18">
        <v>7423.84</v>
      </c>
      <c r="J7277" s="27">
        <v>8988.19</v>
      </c>
      <c r="K7277" s="18">
        <f t="shared" si="227"/>
        <v>0</v>
      </c>
      <c r="L7277" s="27">
        <v>7686.18</v>
      </c>
      <c r="M7277" s="36">
        <v>262.33999999999997</v>
      </c>
      <c r="T7277" s="41">
        <v>0</v>
      </c>
      <c r="U7277" s="41">
        <v>0</v>
      </c>
      <c r="V7277" s="42" t="s">
        <v>113</v>
      </c>
      <c r="W7277" s="42">
        <v>0</v>
      </c>
      <c r="X7277" s="42">
        <v>0</v>
      </c>
    </row>
    <row r="7278" spans="1:24">
      <c r="A7278" s="27" t="s">
        <v>13111</v>
      </c>
      <c r="B7278" s="28" t="s">
        <v>12240</v>
      </c>
      <c r="C7278" s="27" t="s">
        <v>13112</v>
      </c>
      <c r="D7278" s="27" t="s">
        <v>230</v>
      </c>
      <c r="E7278" s="29">
        <v>37834</v>
      </c>
      <c r="F7278" s="27">
        <v>15</v>
      </c>
      <c r="G7278" s="18">
        <v>20134.02</v>
      </c>
      <c r="H7278" s="27">
        <f t="shared" si="226"/>
        <v>20134.02</v>
      </c>
      <c r="I7278" s="18">
        <v>19127.32</v>
      </c>
      <c r="J7278" s="27">
        <v>20134.02</v>
      </c>
      <c r="K7278" s="18">
        <f t="shared" si="227"/>
        <v>20134.02</v>
      </c>
      <c r="L7278" s="27">
        <v>19127.32</v>
      </c>
      <c r="M7278" s="36">
        <v>0</v>
      </c>
      <c r="T7278" s="41">
        <v>0</v>
      </c>
      <c r="U7278" s="41">
        <v>0</v>
      </c>
      <c r="V7278" s="42" t="s">
        <v>113</v>
      </c>
      <c r="W7278" s="42">
        <v>20134.02</v>
      </c>
      <c r="X7278" s="42">
        <v>20134.02</v>
      </c>
    </row>
    <row r="7279" spans="1:24">
      <c r="A7279" s="27" t="s">
        <v>13113</v>
      </c>
      <c r="B7279" s="28" t="s">
        <v>12240</v>
      </c>
      <c r="C7279" s="27" t="s">
        <v>13114</v>
      </c>
      <c r="D7279" s="27" t="s">
        <v>230</v>
      </c>
      <c r="E7279" s="29">
        <v>37226</v>
      </c>
      <c r="F7279" s="27">
        <v>15</v>
      </c>
      <c r="G7279" s="18">
        <v>6932.41</v>
      </c>
      <c r="H7279" s="27">
        <f t="shared" si="226"/>
        <v>6932.41</v>
      </c>
      <c r="I7279" s="18">
        <v>6585.79</v>
      </c>
      <c r="J7279" s="27">
        <v>6932.41</v>
      </c>
      <c r="K7279" s="18">
        <f t="shared" si="227"/>
        <v>6932.41</v>
      </c>
      <c r="L7279" s="27">
        <v>6585.79</v>
      </c>
      <c r="M7279" s="36">
        <v>0</v>
      </c>
      <c r="T7279" s="41">
        <v>0</v>
      </c>
      <c r="U7279" s="41">
        <v>0</v>
      </c>
      <c r="V7279" s="42" t="s">
        <v>113</v>
      </c>
      <c r="W7279" s="42">
        <v>6932.41</v>
      </c>
      <c r="X7279" s="42">
        <v>6932.41</v>
      </c>
    </row>
    <row r="7280" spans="1:24">
      <c r="A7280" s="27" t="s">
        <v>13115</v>
      </c>
      <c r="B7280" s="28" t="s">
        <v>12240</v>
      </c>
      <c r="C7280" s="27" t="s">
        <v>13116</v>
      </c>
      <c r="D7280" s="27" t="s">
        <v>230</v>
      </c>
      <c r="E7280" s="29">
        <v>37226</v>
      </c>
      <c r="F7280" s="27">
        <v>15</v>
      </c>
      <c r="G7280" s="18">
        <v>6932.41</v>
      </c>
      <c r="H7280" s="27">
        <f t="shared" si="226"/>
        <v>6932.41</v>
      </c>
      <c r="I7280" s="18">
        <v>6585.79</v>
      </c>
      <c r="J7280" s="27">
        <v>6932.41</v>
      </c>
      <c r="K7280" s="18">
        <f t="shared" si="227"/>
        <v>6932.41</v>
      </c>
      <c r="L7280" s="27">
        <v>6585.79</v>
      </c>
      <c r="M7280" s="36">
        <v>0</v>
      </c>
      <c r="T7280" s="41">
        <v>0</v>
      </c>
      <c r="U7280" s="41">
        <v>0</v>
      </c>
      <c r="V7280" s="42" t="s">
        <v>113</v>
      </c>
      <c r="W7280" s="42">
        <v>6932.41</v>
      </c>
      <c r="X7280" s="42">
        <v>6932.41</v>
      </c>
    </row>
    <row r="7281" spans="1:24">
      <c r="A7281" s="27" t="s">
        <v>13117</v>
      </c>
      <c r="B7281" s="28" t="s">
        <v>12240</v>
      </c>
      <c r="C7281" s="27" t="s">
        <v>13118</v>
      </c>
      <c r="D7281" s="27" t="s">
        <v>230</v>
      </c>
      <c r="E7281" s="29">
        <v>37226</v>
      </c>
      <c r="F7281" s="27">
        <v>15</v>
      </c>
      <c r="G7281" s="18">
        <v>6932.41</v>
      </c>
      <c r="H7281" s="27">
        <f t="shared" si="226"/>
        <v>6932.41</v>
      </c>
      <c r="I7281" s="18">
        <v>6585.79</v>
      </c>
      <c r="J7281" s="27">
        <v>6932.41</v>
      </c>
      <c r="K7281" s="18">
        <f t="shared" si="227"/>
        <v>6932.41</v>
      </c>
      <c r="L7281" s="27">
        <v>6585.79</v>
      </c>
      <c r="M7281" s="36">
        <v>0</v>
      </c>
      <c r="T7281" s="41">
        <v>0</v>
      </c>
      <c r="U7281" s="41">
        <v>0</v>
      </c>
      <c r="V7281" s="42" t="s">
        <v>113</v>
      </c>
      <c r="W7281" s="42">
        <v>6932.41</v>
      </c>
      <c r="X7281" s="42">
        <v>6932.41</v>
      </c>
    </row>
    <row r="7282" spans="1:24">
      <c r="A7282" s="27" t="s">
        <v>13119</v>
      </c>
      <c r="B7282" s="28" t="s">
        <v>12240</v>
      </c>
      <c r="C7282" s="27" t="s">
        <v>13120</v>
      </c>
      <c r="D7282" s="27" t="s">
        <v>230</v>
      </c>
      <c r="E7282" s="29">
        <v>38565</v>
      </c>
      <c r="F7282" s="27">
        <v>15</v>
      </c>
      <c r="G7282" s="18">
        <v>16079.05</v>
      </c>
      <c r="H7282" s="27">
        <f t="shared" si="226"/>
        <v>16079.05</v>
      </c>
      <c r="I7282" s="18">
        <v>15275.1</v>
      </c>
      <c r="J7282" s="27">
        <v>16079.05</v>
      </c>
      <c r="K7282" s="18">
        <f t="shared" si="227"/>
        <v>16079.05</v>
      </c>
      <c r="L7282" s="27">
        <v>15275.1</v>
      </c>
      <c r="M7282" s="36">
        <v>0</v>
      </c>
      <c r="T7282" s="41">
        <v>0</v>
      </c>
      <c r="U7282" s="41">
        <v>0</v>
      </c>
      <c r="V7282" s="42" t="s">
        <v>113</v>
      </c>
      <c r="W7282" s="42">
        <v>16079.05</v>
      </c>
      <c r="X7282" s="42">
        <v>16079.05</v>
      </c>
    </row>
    <row r="7283" spans="1:24">
      <c r="A7283" s="27" t="s">
        <v>13121</v>
      </c>
      <c r="B7283" s="28" t="s">
        <v>12240</v>
      </c>
      <c r="C7283" s="27" t="s">
        <v>13122</v>
      </c>
      <c r="D7283" s="27" t="s">
        <v>5104</v>
      </c>
      <c r="E7283" s="29">
        <v>38565</v>
      </c>
      <c r="F7283" s="27">
        <v>15</v>
      </c>
      <c r="G7283" s="18">
        <v>16079.05</v>
      </c>
      <c r="H7283" s="27">
        <f t="shared" si="226"/>
        <v>16079.05</v>
      </c>
      <c r="I7283" s="18">
        <v>15275.1</v>
      </c>
      <c r="J7283" s="27">
        <v>16079.05</v>
      </c>
      <c r="K7283" s="18">
        <f t="shared" si="227"/>
        <v>16079.05</v>
      </c>
      <c r="L7283" s="27">
        <v>15275.1</v>
      </c>
      <c r="M7283" s="36">
        <v>0</v>
      </c>
      <c r="T7283" s="41">
        <v>0</v>
      </c>
      <c r="U7283" s="41">
        <v>0</v>
      </c>
      <c r="V7283" s="42" t="s">
        <v>113</v>
      </c>
      <c r="W7283" s="42">
        <v>16079.05</v>
      </c>
      <c r="X7283" s="42">
        <v>16079.05</v>
      </c>
    </row>
    <row r="7284" spans="1:24">
      <c r="A7284" s="27" t="s">
        <v>13123</v>
      </c>
      <c r="B7284" s="28" t="s">
        <v>12240</v>
      </c>
      <c r="C7284" s="27" t="s">
        <v>13124</v>
      </c>
      <c r="D7284" s="27" t="s">
        <v>230</v>
      </c>
      <c r="E7284" s="29">
        <v>37226</v>
      </c>
      <c r="F7284" s="27">
        <v>15</v>
      </c>
      <c r="G7284" s="18">
        <v>11132.06</v>
      </c>
      <c r="H7284" s="27">
        <f t="shared" si="226"/>
        <v>11132.06</v>
      </c>
      <c r="I7284" s="18">
        <v>10575.46</v>
      </c>
      <c r="J7284" s="27">
        <v>11132.06</v>
      </c>
      <c r="K7284" s="18">
        <f t="shared" si="227"/>
        <v>11132.06</v>
      </c>
      <c r="L7284" s="27">
        <v>10575.46</v>
      </c>
      <c r="M7284" s="36">
        <v>0</v>
      </c>
      <c r="T7284" s="41">
        <v>0</v>
      </c>
      <c r="U7284" s="41">
        <v>0</v>
      </c>
      <c r="V7284" s="42" t="s">
        <v>113</v>
      </c>
      <c r="W7284" s="42">
        <v>11132.06</v>
      </c>
      <c r="X7284" s="42">
        <v>11132.06</v>
      </c>
    </row>
    <row r="7285" spans="1:24">
      <c r="A7285" s="27" t="s">
        <v>13125</v>
      </c>
      <c r="B7285" s="28" t="s">
        <v>12240</v>
      </c>
      <c r="C7285" s="27" t="s">
        <v>13126</v>
      </c>
      <c r="D7285" s="27" t="s">
        <v>5104</v>
      </c>
      <c r="E7285" s="29">
        <v>37226</v>
      </c>
      <c r="F7285" s="27">
        <v>15</v>
      </c>
      <c r="G7285" s="18">
        <v>11132.06</v>
      </c>
      <c r="H7285" s="27">
        <f t="shared" si="226"/>
        <v>11132.06</v>
      </c>
      <c r="I7285" s="18">
        <v>10575.46</v>
      </c>
      <c r="J7285" s="27">
        <v>11132.06</v>
      </c>
      <c r="K7285" s="18">
        <f t="shared" si="227"/>
        <v>11132.06</v>
      </c>
      <c r="L7285" s="27">
        <v>10575.46</v>
      </c>
      <c r="M7285" s="36">
        <v>0</v>
      </c>
      <c r="T7285" s="41">
        <v>0</v>
      </c>
      <c r="U7285" s="41">
        <v>0</v>
      </c>
      <c r="V7285" s="42" t="s">
        <v>113</v>
      </c>
      <c r="W7285" s="42">
        <v>11132.06</v>
      </c>
      <c r="X7285" s="42">
        <v>11132.06</v>
      </c>
    </row>
    <row r="7286" spans="1:24">
      <c r="A7286" s="27" t="s">
        <v>13127</v>
      </c>
      <c r="B7286" s="28" t="s">
        <v>12240</v>
      </c>
      <c r="C7286" s="27" t="s">
        <v>13128</v>
      </c>
      <c r="D7286" s="27" t="s">
        <v>5104</v>
      </c>
      <c r="E7286" s="29">
        <v>37226</v>
      </c>
      <c r="F7286" s="27">
        <v>15</v>
      </c>
      <c r="G7286" s="18">
        <v>11132.06</v>
      </c>
      <c r="H7286" s="27">
        <f t="shared" si="226"/>
        <v>11132.06</v>
      </c>
      <c r="I7286" s="18">
        <v>10575.46</v>
      </c>
      <c r="J7286" s="27">
        <v>11132.06</v>
      </c>
      <c r="K7286" s="18">
        <f t="shared" si="227"/>
        <v>11132.06</v>
      </c>
      <c r="L7286" s="27">
        <v>10575.46</v>
      </c>
      <c r="M7286" s="36">
        <v>0</v>
      </c>
      <c r="T7286" s="41">
        <v>0</v>
      </c>
      <c r="U7286" s="41">
        <v>0</v>
      </c>
      <c r="V7286" s="42" t="s">
        <v>113</v>
      </c>
      <c r="W7286" s="42">
        <v>11132.06</v>
      </c>
      <c r="X7286" s="42">
        <v>11132.06</v>
      </c>
    </row>
    <row r="7287" spans="1:24">
      <c r="A7287" s="27" t="s">
        <v>13129</v>
      </c>
      <c r="B7287" s="28" t="s">
        <v>12240</v>
      </c>
      <c r="C7287" s="27" t="s">
        <v>13130</v>
      </c>
      <c r="D7287" s="27" t="s">
        <v>5104</v>
      </c>
      <c r="E7287" s="29">
        <v>37226</v>
      </c>
      <c r="F7287" s="27">
        <v>15</v>
      </c>
      <c r="G7287" s="18">
        <v>11132.06</v>
      </c>
      <c r="H7287" s="27">
        <f t="shared" si="226"/>
        <v>11132.06</v>
      </c>
      <c r="I7287" s="18">
        <v>10575.46</v>
      </c>
      <c r="J7287" s="27">
        <v>11132.06</v>
      </c>
      <c r="K7287" s="18">
        <f t="shared" si="227"/>
        <v>11132.06</v>
      </c>
      <c r="L7287" s="27">
        <v>10575.46</v>
      </c>
      <c r="M7287" s="36">
        <v>0</v>
      </c>
      <c r="T7287" s="41">
        <v>0</v>
      </c>
      <c r="U7287" s="41">
        <v>0</v>
      </c>
      <c r="V7287" s="42" t="s">
        <v>113</v>
      </c>
      <c r="W7287" s="42">
        <v>11132.06</v>
      </c>
      <c r="X7287" s="42">
        <v>11132.06</v>
      </c>
    </row>
    <row r="7288" spans="1:24">
      <c r="A7288" s="27" t="s">
        <v>13131</v>
      </c>
      <c r="B7288" s="28" t="s">
        <v>12240</v>
      </c>
      <c r="C7288" s="27" t="s">
        <v>13132</v>
      </c>
      <c r="D7288" s="27" t="s">
        <v>230</v>
      </c>
      <c r="E7288" s="29">
        <v>37226</v>
      </c>
      <c r="F7288" s="27">
        <v>15</v>
      </c>
      <c r="G7288" s="18">
        <v>11132.06</v>
      </c>
      <c r="H7288" s="27">
        <f t="shared" si="226"/>
        <v>11132.06</v>
      </c>
      <c r="I7288" s="18">
        <v>10575.46</v>
      </c>
      <c r="J7288" s="27">
        <v>11132.06</v>
      </c>
      <c r="K7288" s="18">
        <f t="shared" si="227"/>
        <v>11132.06</v>
      </c>
      <c r="L7288" s="27">
        <v>10575.46</v>
      </c>
      <c r="M7288" s="36">
        <v>0</v>
      </c>
      <c r="T7288" s="41">
        <v>0</v>
      </c>
      <c r="U7288" s="41">
        <v>0</v>
      </c>
      <c r="V7288" s="42" t="s">
        <v>113</v>
      </c>
      <c r="W7288" s="42">
        <v>11132.06</v>
      </c>
      <c r="X7288" s="42">
        <v>11132.06</v>
      </c>
    </row>
    <row r="7289" spans="1:24">
      <c r="A7289" s="27" t="s">
        <v>13133</v>
      </c>
      <c r="B7289" s="28" t="s">
        <v>12240</v>
      </c>
      <c r="C7289" s="27" t="s">
        <v>13134</v>
      </c>
      <c r="D7289" s="27" t="s">
        <v>230</v>
      </c>
      <c r="E7289" s="29">
        <v>37226</v>
      </c>
      <c r="F7289" s="27">
        <v>15</v>
      </c>
      <c r="G7289" s="18">
        <v>11132.06</v>
      </c>
      <c r="H7289" s="27">
        <f t="shared" si="226"/>
        <v>11132.06</v>
      </c>
      <c r="I7289" s="18">
        <v>10575.46</v>
      </c>
      <c r="J7289" s="27">
        <v>11132.06</v>
      </c>
      <c r="K7289" s="18">
        <f t="shared" si="227"/>
        <v>11132.06</v>
      </c>
      <c r="L7289" s="27">
        <v>10575.46</v>
      </c>
      <c r="M7289" s="36">
        <v>0</v>
      </c>
      <c r="T7289" s="41">
        <v>0</v>
      </c>
      <c r="U7289" s="41">
        <v>0</v>
      </c>
      <c r="V7289" s="42" t="s">
        <v>113</v>
      </c>
      <c r="W7289" s="42">
        <v>11132.06</v>
      </c>
      <c r="X7289" s="42">
        <v>11132.06</v>
      </c>
    </row>
    <row r="7290" spans="1:24">
      <c r="A7290" s="27" t="s">
        <v>13135</v>
      </c>
      <c r="B7290" s="28" t="s">
        <v>12240</v>
      </c>
      <c r="C7290" s="27" t="s">
        <v>13136</v>
      </c>
      <c r="D7290" s="27" t="s">
        <v>5104</v>
      </c>
      <c r="E7290" s="29">
        <v>37226</v>
      </c>
      <c r="F7290" s="27">
        <v>15</v>
      </c>
      <c r="G7290" s="18">
        <v>11132.06</v>
      </c>
      <c r="H7290" s="27">
        <f t="shared" si="226"/>
        <v>11132.06</v>
      </c>
      <c r="I7290" s="18">
        <v>10575.46</v>
      </c>
      <c r="J7290" s="27">
        <v>11132.06</v>
      </c>
      <c r="K7290" s="18">
        <f t="shared" si="227"/>
        <v>11132.06</v>
      </c>
      <c r="L7290" s="27">
        <v>10575.46</v>
      </c>
      <c r="M7290" s="36">
        <v>0</v>
      </c>
      <c r="T7290" s="41">
        <v>0</v>
      </c>
      <c r="U7290" s="41">
        <v>0</v>
      </c>
      <c r="V7290" s="42" t="s">
        <v>113</v>
      </c>
      <c r="W7290" s="42">
        <v>11132.06</v>
      </c>
      <c r="X7290" s="42">
        <v>11132.06</v>
      </c>
    </row>
    <row r="7291" spans="1:24">
      <c r="A7291" s="27" t="s">
        <v>13137</v>
      </c>
      <c r="B7291" s="28" t="s">
        <v>12240</v>
      </c>
      <c r="C7291" s="27" t="s">
        <v>13138</v>
      </c>
      <c r="D7291" s="27" t="s">
        <v>5104</v>
      </c>
      <c r="E7291" s="29">
        <v>37226</v>
      </c>
      <c r="F7291" s="27">
        <v>15</v>
      </c>
      <c r="G7291" s="18">
        <v>11132.06</v>
      </c>
      <c r="H7291" s="27">
        <f t="shared" si="226"/>
        <v>11132.06</v>
      </c>
      <c r="I7291" s="18">
        <v>10575.46</v>
      </c>
      <c r="J7291" s="27">
        <v>11132.06</v>
      </c>
      <c r="K7291" s="18">
        <f t="shared" si="227"/>
        <v>11132.06</v>
      </c>
      <c r="L7291" s="27">
        <v>10575.46</v>
      </c>
      <c r="M7291" s="36">
        <v>0</v>
      </c>
      <c r="T7291" s="41">
        <v>0</v>
      </c>
      <c r="U7291" s="41">
        <v>0</v>
      </c>
      <c r="V7291" s="42" t="s">
        <v>113</v>
      </c>
      <c r="W7291" s="42">
        <v>11132.06</v>
      </c>
      <c r="X7291" s="42">
        <v>11132.06</v>
      </c>
    </row>
    <row r="7292" spans="1:24">
      <c r="A7292" s="27" t="s">
        <v>13139</v>
      </c>
      <c r="B7292" s="28" t="s">
        <v>12240</v>
      </c>
      <c r="C7292" s="27" t="s">
        <v>13140</v>
      </c>
      <c r="D7292" s="27" t="s">
        <v>5104</v>
      </c>
      <c r="E7292" s="29">
        <v>39539</v>
      </c>
      <c r="F7292" s="27">
        <v>15</v>
      </c>
      <c r="G7292" s="18">
        <v>75936.759999999995</v>
      </c>
      <c r="H7292" s="27">
        <f t="shared" si="226"/>
        <v>0</v>
      </c>
      <c r="I7292" s="18">
        <v>62116.35</v>
      </c>
      <c r="J7292" s="27">
        <v>75936.759999999995</v>
      </c>
      <c r="K7292" s="18">
        <f t="shared" si="227"/>
        <v>0</v>
      </c>
      <c r="L7292" s="27">
        <v>64429.48</v>
      </c>
      <c r="M7292" s="36">
        <v>2313.13</v>
      </c>
      <c r="T7292" s="41">
        <v>0</v>
      </c>
      <c r="U7292" s="41">
        <v>0</v>
      </c>
      <c r="V7292" s="42" t="s">
        <v>113</v>
      </c>
      <c r="W7292" s="42">
        <v>0</v>
      </c>
      <c r="X7292" s="42">
        <v>0</v>
      </c>
    </row>
    <row r="7293" spans="1:24">
      <c r="A7293" s="27" t="s">
        <v>13141</v>
      </c>
      <c r="B7293" s="28" t="s">
        <v>12240</v>
      </c>
      <c r="C7293" s="27" t="s">
        <v>13142</v>
      </c>
      <c r="D7293" s="27" t="s">
        <v>230</v>
      </c>
      <c r="E7293" s="29">
        <v>39539</v>
      </c>
      <c r="F7293" s="27">
        <v>15</v>
      </c>
      <c r="G7293" s="18">
        <v>75936.759999999995</v>
      </c>
      <c r="H7293" s="27">
        <f t="shared" si="226"/>
        <v>0</v>
      </c>
      <c r="I7293" s="18">
        <v>62116.35</v>
      </c>
      <c r="J7293" s="27">
        <v>75936.759999999995</v>
      </c>
      <c r="K7293" s="18">
        <f t="shared" si="227"/>
        <v>0</v>
      </c>
      <c r="L7293" s="27">
        <v>64429.48</v>
      </c>
      <c r="M7293" s="36">
        <v>2313.13</v>
      </c>
      <c r="T7293" s="41">
        <v>0</v>
      </c>
      <c r="U7293" s="41">
        <v>0</v>
      </c>
      <c r="V7293" s="42" t="s">
        <v>113</v>
      </c>
      <c r="W7293" s="42">
        <v>0</v>
      </c>
      <c r="X7293" s="42">
        <v>0</v>
      </c>
    </row>
    <row r="7294" spans="1:24">
      <c r="A7294" s="27" t="s">
        <v>13143</v>
      </c>
      <c r="B7294" s="28" t="s">
        <v>12240</v>
      </c>
      <c r="C7294" s="27" t="s">
        <v>13144</v>
      </c>
      <c r="D7294" s="27" t="s">
        <v>230</v>
      </c>
      <c r="E7294" s="29">
        <v>39539</v>
      </c>
      <c r="F7294" s="27">
        <v>15</v>
      </c>
      <c r="G7294" s="18">
        <v>75936.759999999995</v>
      </c>
      <c r="H7294" s="27">
        <f t="shared" si="226"/>
        <v>0</v>
      </c>
      <c r="I7294" s="18">
        <v>62116.35</v>
      </c>
      <c r="J7294" s="27">
        <v>75936.759999999995</v>
      </c>
      <c r="K7294" s="18">
        <f t="shared" si="227"/>
        <v>0</v>
      </c>
      <c r="L7294" s="27">
        <v>64429.48</v>
      </c>
      <c r="M7294" s="36">
        <v>2313.13</v>
      </c>
      <c r="T7294" s="41">
        <v>0</v>
      </c>
      <c r="U7294" s="41">
        <v>0</v>
      </c>
      <c r="V7294" s="42" t="s">
        <v>113</v>
      </c>
      <c r="W7294" s="42">
        <v>0</v>
      </c>
      <c r="X7294" s="42">
        <v>0</v>
      </c>
    </row>
    <row r="7295" spans="1:24">
      <c r="A7295" s="27" t="s">
        <v>13145</v>
      </c>
      <c r="B7295" s="28" t="s">
        <v>12240</v>
      </c>
      <c r="C7295" s="27" t="s">
        <v>13146</v>
      </c>
      <c r="D7295" s="27" t="s">
        <v>230</v>
      </c>
      <c r="E7295" s="29">
        <v>39539</v>
      </c>
      <c r="F7295" s="27">
        <v>15</v>
      </c>
      <c r="G7295" s="18">
        <v>265947.81</v>
      </c>
      <c r="H7295" s="27">
        <f t="shared" si="226"/>
        <v>0</v>
      </c>
      <c r="I7295" s="18">
        <v>242626.85</v>
      </c>
      <c r="J7295" s="27">
        <v>265947.81</v>
      </c>
      <c r="K7295" s="18">
        <f t="shared" si="227"/>
        <v>0</v>
      </c>
      <c r="L7295" s="27">
        <v>244939.98</v>
      </c>
      <c r="M7295" s="36">
        <v>2313.13</v>
      </c>
      <c r="T7295" s="41">
        <v>0</v>
      </c>
      <c r="U7295" s="41">
        <v>0</v>
      </c>
      <c r="V7295" s="42" t="s">
        <v>113</v>
      </c>
      <c r="W7295" s="42">
        <v>0</v>
      </c>
      <c r="X7295" s="42">
        <v>0</v>
      </c>
    </row>
    <row r="7296" spans="1:24">
      <c r="A7296" s="27" t="s">
        <v>13147</v>
      </c>
      <c r="B7296" s="28" t="s">
        <v>12240</v>
      </c>
      <c r="C7296" s="27" t="s">
        <v>13148</v>
      </c>
      <c r="D7296" s="27" t="s">
        <v>230</v>
      </c>
      <c r="E7296" s="29">
        <v>39539</v>
      </c>
      <c r="F7296" s="27">
        <v>15</v>
      </c>
      <c r="G7296" s="18">
        <v>265947.81</v>
      </c>
      <c r="H7296" s="27">
        <f t="shared" si="226"/>
        <v>0</v>
      </c>
      <c r="I7296" s="18">
        <v>242626.85</v>
      </c>
      <c r="J7296" s="27">
        <v>265947.81</v>
      </c>
      <c r="K7296" s="18">
        <f t="shared" si="227"/>
        <v>0</v>
      </c>
      <c r="L7296" s="27">
        <v>244939.98</v>
      </c>
      <c r="M7296" s="36">
        <v>2313.13</v>
      </c>
      <c r="T7296" s="41">
        <v>0</v>
      </c>
      <c r="U7296" s="41">
        <v>0</v>
      </c>
      <c r="V7296" s="42" t="s">
        <v>113</v>
      </c>
      <c r="W7296" s="42">
        <v>0</v>
      </c>
      <c r="X7296" s="42">
        <v>0</v>
      </c>
    </row>
    <row r="7297" spans="1:24">
      <c r="A7297" s="27" t="s">
        <v>13149</v>
      </c>
      <c r="B7297" s="28" t="s">
        <v>12240</v>
      </c>
      <c r="C7297" s="27" t="s">
        <v>13150</v>
      </c>
      <c r="D7297" s="27" t="s">
        <v>230</v>
      </c>
      <c r="E7297" s="29">
        <v>39539</v>
      </c>
      <c r="F7297" s="27">
        <v>15</v>
      </c>
      <c r="G7297" s="18">
        <v>75936.800000000003</v>
      </c>
      <c r="H7297" s="27">
        <f t="shared" si="226"/>
        <v>0</v>
      </c>
      <c r="I7297" s="18">
        <v>62116.38</v>
      </c>
      <c r="J7297" s="27">
        <v>75936.800000000003</v>
      </c>
      <c r="K7297" s="18">
        <f t="shared" si="227"/>
        <v>0</v>
      </c>
      <c r="L7297" s="27">
        <v>64429.51</v>
      </c>
      <c r="M7297" s="36">
        <v>2313.13</v>
      </c>
      <c r="T7297" s="41">
        <v>0</v>
      </c>
      <c r="U7297" s="41">
        <v>0</v>
      </c>
      <c r="V7297" s="42" t="s">
        <v>113</v>
      </c>
      <c r="W7297" s="42">
        <v>0</v>
      </c>
      <c r="X7297" s="42">
        <v>0</v>
      </c>
    </row>
    <row r="7298" spans="1:24">
      <c r="A7298" s="27" t="s">
        <v>13151</v>
      </c>
      <c r="B7298" s="28" t="s">
        <v>12240</v>
      </c>
      <c r="C7298" s="27" t="s">
        <v>13152</v>
      </c>
      <c r="D7298" s="27" t="s">
        <v>5104</v>
      </c>
      <c r="E7298" s="29">
        <v>37530</v>
      </c>
      <c r="F7298" s="27">
        <v>15</v>
      </c>
      <c r="G7298" s="18">
        <v>9978.08</v>
      </c>
      <c r="H7298" s="27">
        <f t="shared" si="226"/>
        <v>9978.08</v>
      </c>
      <c r="I7298" s="18">
        <v>9479.18</v>
      </c>
      <c r="J7298" s="27">
        <v>9978.08</v>
      </c>
      <c r="K7298" s="18">
        <f t="shared" si="227"/>
        <v>9978.08</v>
      </c>
      <c r="L7298" s="27">
        <v>9479.18</v>
      </c>
      <c r="M7298" s="36">
        <v>0</v>
      </c>
      <c r="T7298" s="41">
        <v>0</v>
      </c>
      <c r="U7298" s="41">
        <v>0</v>
      </c>
      <c r="V7298" s="42" t="s">
        <v>113</v>
      </c>
      <c r="W7298" s="42">
        <v>9978.08</v>
      </c>
      <c r="X7298" s="42">
        <v>9978.08</v>
      </c>
    </row>
    <row r="7299" spans="1:24">
      <c r="A7299" s="27" t="s">
        <v>13153</v>
      </c>
      <c r="B7299" s="28" t="s">
        <v>12240</v>
      </c>
      <c r="C7299" s="27" t="s">
        <v>13154</v>
      </c>
      <c r="D7299" s="27" t="s">
        <v>5104</v>
      </c>
      <c r="E7299" s="29">
        <v>37530</v>
      </c>
      <c r="F7299" s="27">
        <v>15</v>
      </c>
      <c r="G7299" s="18">
        <v>9978.08</v>
      </c>
      <c r="H7299" s="27">
        <f t="shared" si="226"/>
        <v>9978.08</v>
      </c>
      <c r="I7299" s="18">
        <v>9479.18</v>
      </c>
      <c r="J7299" s="27">
        <v>9978.08</v>
      </c>
      <c r="K7299" s="18">
        <f t="shared" si="227"/>
        <v>9978.08</v>
      </c>
      <c r="L7299" s="27">
        <v>9479.18</v>
      </c>
      <c r="M7299" s="36">
        <v>0</v>
      </c>
      <c r="T7299" s="41">
        <v>0</v>
      </c>
      <c r="U7299" s="41">
        <v>0</v>
      </c>
      <c r="V7299" s="42" t="s">
        <v>113</v>
      </c>
      <c r="W7299" s="42">
        <v>9978.08</v>
      </c>
      <c r="X7299" s="42">
        <v>9978.08</v>
      </c>
    </row>
    <row r="7300" spans="1:24">
      <c r="A7300" s="27" t="s">
        <v>13155</v>
      </c>
      <c r="B7300" s="28" t="s">
        <v>12240</v>
      </c>
      <c r="C7300" s="27" t="s">
        <v>13156</v>
      </c>
      <c r="D7300" s="27" t="s">
        <v>5104</v>
      </c>
      <c r="E7300" s="29">
        <v>37530</v>
      </c>
      <c r="F7300" s="27">
        <v>15</v>
      </c>
      <c r="G7300" s="18">
        <v>9978.08</v>
      </c>
      <c r="H7300" s="27">
        <f t="shared" si="226"/>
        <v>9978.08</v>
      </c>
      <c r="I7300" s="18">
        <v>9479.18</v>
      </c>
      <c r="J7300" s="27">
        <v>9978.08</v>
      </c>
      <c r="K7300" s="18">
        <f t="shared" si="227"/>
        <v>9978.08</v>
      </c>
      <c r="L7300" s="27">
        <v>9479.18</v>
      </c>
      <c r="M7300" s="36">
        <v>0</v>
      </c>
      <c r="T7300" s="41">
        <v>0</v>
      </c>
      <c r="U7300" s="41">
        <v>0</v>
      </c>
      <c r="V7300" s="42" t="s">
        <v>113</v>
      </c>
      <c r="W7300" s="42">
        <v>9978.08</v>
      </c>
      <c r="X7300" s="42">
        <v>9978.08</v>
      </c>
    </row>
    <row r="7301" spans="1:24">
      <c r="A7301" s="27" t="s">
        <v>13157</v>
      </c>
      <c r="B7301" s="28" t="s">
        <v>12240</v>
      </c>
      <c r="C7301" s="27" t="s">
        <v>13158</v>
      </c>
      <c r="D7301" s="27" t="s">
        <v>230</v>
      </c>
      <c r="E7301" s="29">
        <v>37530</v>
      </c>
      <c r="F7301" s="27">
        <v>15</v>
      </c>
      <c r="G7301" s="18">
        <v>9978.08</v>
      </c>
      <c r="H7301" s="27">
        <f t="shared" si="226"/>
        <v>9978.08</v>
      </c>
      <c r="I7301" s="18">
        <v>9479.18</v>
      </c>
      <c r="J7301" s="27">
        <v>9978.08</v>
      </c>
      <c r="K7301" s="18">
        <f t="shared" si="227"/>
        <v>9978.08</v>
      </c>
      <c r="L7301" s="27">
        <v>9479.18</v>
      </c>
      <c r="M7301" s="36">
        <v>0</v>
      </c>
      <c r="T7301" s="41">
        <v>0</v>
      </c>
      <c r="U7301" s="41">
        <v>0</v>
      </c>
      <c r="V7301" s="42" t="s">
        <v>113</v>
      </c>
      <c r="W7301" s="42">
        <v>9978.08</v>
      </c>
      <c r="X7301" s="42">
        <v>9978.08</v>
      </c>
    </row>
    <row r="7302" spans="1:24">
      <c r="A7302" s="27" t="s">
        <v>13159</v>
      </c>
      <c r="B7302" s="28" t="s">
        <v>12240</v>
      </c>
      <c r="C7302" s="27" t="s">
        <v>13160</v>
      </c>
      <c r="D7302" s="27" t="s">
        <v>230</v>
      </c>
      <c r="E7302" s="29">
        <v>37530</v>
      </c>
      <c r="F7302" s="27">
        <v>15</v>
      </c>
      <c r="G7302" s="18">
        <v>9978.08</v>
      </c>
      <c r="H7302" s="27">
        <f t="shared" ref="H7302:H7365" si="228">IFERROR(IF(ROUND((G7302-I7302)/G7302,2)&lt;=0.05,G7302,0),0)</f>
        <v>9978.08</v>
      </c>
      <c r="I7302" s="18">
        <v>9479.18</v>
      </c>
      <c r="J7302" s="27">
        <v>9978.08</v>
      </c>
      <c r="K7302" s="18">
        <f t="shared" ref="K7302:K7365" si="229">IFERROR(IF(ROUND((J7302-L7302)/J7302,2)&lt;=0.05,J7302,0),0)</f>
        <v>9978.08</v>
      </c>
      <c r="L7302" s="27">
        <v>9479.18</v>
      </c>
      <c r="M7302" s="36">
        <v>0</v>
      </c>
      <c r="T7302" s="41">
        <v>0</v>
      </c>
      <c r="U7302" s="41">
        <v>0</v>
      </c>
      <c r="V7302" s="42" t="s">
        <v>113</v>
      </c>
      <c r="W7302" s="42">
        <v>9978.08</v>
      </c>
      <c r="X7302" s="42">
        <v>9978.08</v>
      </c>
    </row>
    <row r="7303" spans="1:24">
      <c r="A7303" s="27" t="s">
        <v>13161</v>
      </c>
      <c r="B7303" s="28" t="s">
        <v>12240</v>
      </c>
      <c r="C7303" s="27" t="s">
        <v>13162</v>
      </c>
      <c r="D7303" s="27" t="s">
        <v>230</v>
      </c>
      <c r="E7303" s="29">
        <v>37530</v>
      </c>
      <c r="F7303" s="27">
        <v>15</v>
      </c>
      <c r="G7303" s="18">
        <v>9978.08</v>
      </c>
      <c r="H7303" s="27">
        <f t="shared" si="228"/>
        <v>9978.08</v>
      </c>
      <c r="I7303" s="18">
        <v>9479.18</v>
      </c>
      <c r="J7303" s="27">
        <v>9978.08</v>
      </c>
      <c r="K7303" s="18">
        <f t="shared" si="229"/>
        <v>9978.08</v>
      </c>
      <c r="L7303" s="27">
        <v>9479.18</v>
      </c>
      <c r="M7303" s="36">
        <v>0</v>
      </c>
      <c r="T7303" s="41">
        <v>0</v>
      </c>
      <c r="U7303" s="41">
        <v>0</v>
      </c>
      <c r="V7303" s="42" t="s">
        <v>113</v>
      </c>
      <c r="W7303" s="42">
        <v>9978.08</v>
      </c>
      <c r="X7303" s="42">
        <v>9978.08</v>
      </c>
    </row>
    <row r="7304" spans="1:24">
      <c r="A7304" s="27" t="s">
        <v>13163</v>
      </c>
      <c r="B7304" s="28" t="s">
        <v>12240</v>
      </c>
      <c r="C7304" s="27" t="s">
        <v>13164</v>
      </c>
      <c r="D7304" s="27" t="s">
        <v>5104</v>
      </c>
      <c r="E7304" s="29">
        <v>37530</v>
      </c>
      <c r="F7304" s="27">
        <v>15</v>
      </c>
      <c r="G7304" s="18">
        <v>9978.08</v>
      </c>
      <c r="H7304" s="27">
        <f t="shared" si="228"/>
        <v>9978.08</v>
      </c>
      <c r="I7304" s="18">
        <v>9479.18</v>
      </c>
      <c r="J7304" s="27">
        <v>9978.08</v>
      </c>
      <c r="K7304" s="18">
        <f t="shared" si="229"/>
        <v>9978.08</v>
      </c>
      <c r="L7304" s="27">
        <v>9479.18</v>
      </c>
      <c r="M7304" s="36">
        <v>0</v>
      </c>
      <c r="T7304" s="41">
        <v>0</v>
      </c>
      <c r="U7304" s="41">
        <v>0</v>
      </c>
      <c r="V7304" s="42" t="s">
        <v>113</v>
      </c>
      <c r="W7304" s="42">
        <v>9978.08</v>
      </c>
      <c r="X7304" s="42">
        <v>9978.08</v>
      </c>
    </row>
    <row r="7305" spans="1:24">
      <c r="A7305" s="27" t="s">
        <v>13165</v>
      </c>
      <c r="B7305" s="28" t="s">
        <v>12240</v>
      </c>
      <c r="C7305" s="27" t="s">
        <v>13166</v>
      </c>
      <c r="D7305" s="27" t="s">
        <v>230</v>
      </c>
      <c r="E7305" s="29">
        <v>37530</v>
      </c>
      <c r="F7305" s="27">
        <v>15</v>
      </c>
      <c r="G7305" s="18">
        <v>9978.08</v>
      </c>
      <c r="H7305" s="27">
        <f t="shared" si="228"/>
        <v>9978.08</v>
      </c>
      <c r="I7305" s="18">
        <v>9479.18</v>
      </c>
      <c r="J7305" s="27">
        <v>9978.08</v>
      </c>
      <c r="K7305" s="18">
        <f t="shared" si="229"/>
        <v>9978.08</v>
      </c>
      <c r="L7305" s="27">
        <v>9479.18</v>
      </c>
      <c r="M7305" s="36">
        <v>0</v>
      </c>
      <c r="T7305" s="41">
        <v>0</v>
      </c>
      <c r="U7305" s="41">
        <v>0</v>
      </c>
      <c r="V7305" s="42" t="s">
        <v>113</v>
      </c>
      <c r="W7305" s="42">
        <v>9978.08</v>
      </c>
      <c r="X7305" s="42">
        <v>9978.08</v>
      </c>
    </row>
    <row r="7306" spans="1:24">
      <c r="A7306" s="27" t="s">
        <v>13167</v>
      </c>
      <c r="B7306" s="28" t="s">
        <v>12240</v>
      </c>
      <c r="C7306" s="27" t="s">
        <v>13168</v>
      </c>
      <c r="D7306" s="27" t="s">
        <v>5104</v>
      </c>
      <c r="E7306" s="29">
        <v>37530</v>
      </c>
      <c r="F7306" s="27">
        <v>15</v>
      </c>
      <c r="G7306" s="18">
        <v>9978.08</v>
      </c>
      <c r="H7306" s="27">
        <f t="shared" si="228"/>
        <v>9978.08</v>
      </c>
      <c r="I7306" s="18">
        <v>9479.18</v>
      </c>
      <c r="J7306" s="27">
        <v>9978.08</v>
      </c>
      <c r="K7306" s="18">
        <f t="shared" si="229"/>
        <v>9978.08</v>
      </c>
      <c r="L7306" s="27">
        <v>9479.18</v>
      </c>
      <c r="M7306" s="36">
        <v>0</v>
      </c>
      <c r="T7306" s="41">
        <v>0</v>
      </c>
      <c r="U7306" s="41">
        <v>0</v>
      </c>
      <c r="V7306" s="42" t="s">
        <v>113</v>
      </c>
      <c r="W7306" s="42">
        <v>9978.08</v>
      </c>
      <c r="X7306" s="42">
        <v>9978.08</v>
      </c>
    </row>
    <row r="7307" spans="1:24">
      <c r="A7307" s="27" t="s">
        <v>13169</v>
      </c>
      <c r="B7307" s="28" t="s">
        <v>12240</v>
      </c>
      <c r="C7307" s="27" t="s">
        <v>13170</v>
      </c>
      <c r="D7307" s="27" t="s">
        <v>230</v>
      </c>
      <c r="E7307" s="29">
        <v>37530</v>
      </c>
      <c r="F7307" s="27">
        <v>15</v>
      </c>
      <c r="G7307" s="18">
        <v>9978.11</v>
      </c>
      <c r="H7307" s="27">
        <f t="shared" si="228"/>
        <v>9978.11</v>
      </c>
      <c r="I7307" s="18">
        <v>9479.2000000000007</v>
      </c>
      <c r="J7307" s="27">
        <v>9978.11</v>
      </c>
      <c r="K7307" s="18">
        <f t="shared" si="229"/>
        <v>9978.11</v>
      </c>
      <c r="L7307" s="27">
        <v>9479.2000000000007</v>
      </c>
      <c r="M7307" s="36">
        <v>0</v>
      </c>
      <c r="T7307" s="41">
        <v>0</v>
      </c>
      <c r="U7307" s="41">
        <v>0</v>
      </c>
      <c r="V7307" s="42" t="s">
        <v>113</v>
      </c>
      <c r="W7307" s="42">
        <v>9978.11</v>
      </c>
      <c r="X7307" s="42">
        <v>9978.11</v>
      </c>
    </row>
    <row r="7308" spans="1:24">
      <c r="A7308" s="27" t="s">
        <v>13171</v>
      </c>
      <c r="B7308" s="28" t="s">
        <v>12240</v>
      </c>
      <c r="C7308" s="27" t="s">
        <v>13172</v>
      </c>
      <c r="D7308" s="27" t="s">
        <v>230</v>
      </c>
      <c r="E7308" s="29">
        <v>39539</v>
      </c>
      <c r="F7308" s="27">
        <v>15</v>
      </c>
      <c r="G7308" s="18">
        <v>150794.21</v>
      </c>
      <c r="H7308" s="27">
        <f t="shared" si="228"/>
        <v>0</v>
      </c>
      <c r="I7308" s="18">
        <v>123349.83</v>
      </c>
      <c r="J7308" s="27">
        <v>150794.21</v>
      </c>
      <c r="K7308" s="18">
        <f t="shared" si="229"/>
        <v>0</v>
      </c>
      <c r="L7308" s="27">
        <v>127943.22</v>
      </c>
      <c r="M7308" s="36">
        <v>4593.3900000000003</v>
      </c>
      <c r="T7308" s="41">
        <v>0</v>
      </c>
      <c r="U7308" s="41">
        <v>0</v>
      </c>
      <c r="V7308" s="42" t="s">
        <v>113</v>
      </c>
      <c r="W7308" s="42">
        <v>0</v>
      </c>
      <c r="X7308" s="42">
        <v>0</v>
      </c>
    </row>
    <row r="7309" spans="1:24">
      <c r="A7309" s="27" t="s">
        <v>13173</v>
      </c>
      <c r="B7309" s="28" t="s">
        <v>12240</v>
      </c>
      <c r="C7309" s="27" t="s">
        <v>13174</v>
      </c>
      <c r="D7309" s="27" t="s">
        <v>230</v>
      </c>
      <c r="E7309" s="29">
        <v>39539</v>
      </c>
      <c r="F7309" s="27">
        <v>15</v>
      </c>
      <c r="G7309" s="18">
        <v>150794.21</v>
      </c>
      <c r="H7309" s="27">
        <f t="shared" si="228"/>
        <v>0</v>
      </c>
      <c r="I7309" s="18">
        <v>123349.83</v>
      </c>
      <c r="J7309" s="27">
        <v>150794.21</v>
      </c>
      <c r="K7309" s="18">
        <f t="shared" si="229"/>
        <v>0</v>
      </c>
      <c r="L7309" s="27">
        <v>127943.22</v>
      </c>
      <c r="M7309" s="36">
        <v>4593.3900000000003</v>
      </c>
      <c r="T7309" s="41">
        <v>0</v>
      </c>
      <c r="U7309" s="41">
        <v>0</v>
      </c>
      <c r="V7309" s="42" t="s">
        <v>113</v>
      </c>
      <c r="W7309" s="42">
        <v>0</v>
      </c>
      <c r="X7309" s="42">
        <v>0</v>
      </c>
    </row>
    <row r="7310" spans="1:24">
      <c r="A7310" s="27" t="s">
        <v>13175</v>
      </c>
      <c r="B7310" s="28" t="s">
        <v>12240</v>
      </c>
      <c r="C7310" s="27" t="s">
        <v>13176</v>
      </c>
      <c r="D7310" s="27" t="s">
        <v>230</v>
      </c>
      <c r="E7310" s="29">
        <v>39539</v>
      </c>
      <c r="F7310" s="27">
        <v>15</v>
      </c>
      <c r="G7310" s="18">
        <v>150794.21</v>
      </c>
      <c r="H7310" s="27">
        <f t="shared" si="228"/>
        <v>0</v>
      </c>
      <c r="I7310" s="18">
        <v>123349.83</v>
      </c>
      <c r="J7310" s="27">
        <v>150794.21</v>
      </c>
      <c r="K7310" s="18">
        <f t="shared" si="229"/>
        <v>0</v>
      </c>
      <c r="L7310" s="27">
        <v>127943.22</v>
      </c>
      <c r="M7310" s="36">
        <v>4593.3900000000003</v>
      </c>
      <c r="T7310" s="41">
        <v>0</v>
      </c>
      <c r="U7310" s="41">
        <v>0</v>
      </c>
      <c r="V7310" s="42" t="s">
        <v>113</v>
      </c>
      <c r="W7310" s="42">
        <v>0</v>
      </c>
      <c r="X7310" s="42">
        <v>0</v>
      </c>
    </row>
    <row r="7311" spans="1:24">
      <c r="A7311" s="27" t="s">
        <v>13177</v>
      </c>
      <c r="B7311" s="28" t="s">
        <v>12240</v>
      </c>
      <c r="C7311" s="27" t="s">
        <v>13178</v>
      </c>
      <c r="D7311" s="27" t="s">
        <v>230</v>
      </c>
      <c r="E7311" s="29">
        <v>39539</v>
      </c>
      <c r="F7311" s="27">
        <v>15</v>
      </c>
      <c r="G7311" s="18">
        <v>150794.21</v>
      </c>
      <c r="H7311" s="27">
        <f t="shared" si="228"/>
        <v>0</v>
      </c>
      <c r="I7311" s="18">
        <v>123349.83</v>
      </c>
      <c r="J7311" s="27">
        <v>150794.21</v>
      </c>
      <c r="K7311" s="18">
        <f t="shared" si="229"/>
        <v>0</v>
      </c>
      <c r="L7311" s="27">
        <v>127943.22</v>
      </c>
      <c r="M7311" s="36">
        <v>4593.3900000000003</v>
      </c>
      <c r="T7311" s="41">
        <v>0</v>
      </c>
      <c r="U7311" s="41">
        <v>0</v>
      </c>
      <c r="V7311" s="42" t="s">
        <v>113</v>
      </c>
      <c r="W7311" s="42">
        <v>0</v>
      </c>
      <c r="X7311" s="42">
        <v>0</v>
      </c>
    </row>
    <row r="7312" spans="1:24">
      <c r="A7312" s="27" t="s">
        <v>13179</v>
      </c>
      <c r="B7312" s="28" t="s">
        <v>12240</v>
      </c>
      <c r="C7312" s="27" t="s">
        <v>13180</v>
      </c>
      <c r="D7312" s="27" t="s">
        <v>230</v>
      </c>
      <c r="E7312" s="29">
        <v>39539</v>
      </c>
      <c r="F7312" s="27">
        <v>15</v>
      </c>
      <c r="G7312" s="18">
        <v>150794.21</v>
      </c>
      <c r="H7312" s="27">
        <f t="shared" si="228"/>
        <v>0</v>
      </c>
      <c r="I7312" s="18">
        <v>123349.83</v>
      </c>
      <c r="J7312" s="27">
        <v>150794.21</v>
      </c>
      <c r="K7312" s="18">
        <f t="shared" si="229"/>
        <v>0</v>
      </c>
      <c r="L7312" s="27">
        <v>127943.22</v>
      </c>
      <c r="M7312" s="36">
        <v>4593.3900000000003</v>
      </c>
      <c r="T7312" s="41">
        <v>0</v>
      </c>
      <c r="U7312" s="41">
        <v>0</v>
      </c>
      <c r="V7312" s="42" t="s">
        <v>113</v>
      </c>
      <c r="W7312" s="42">
        <v>0</v>
      </c>
      <c r="X7312" s="42">
        <v>0</v>
      </c>
    </row>
    <row r="7313" spans="1:24">
      <c r="A7313" s="27" t="s">
        <v>13181</v>
      </c>
      <c r="B7313" s="28" t="s">
        <v>12240</v>
      </c>
      <c r="C7313" s="27" t="s">
        <v>13182</v>
      </c>
      <c r="D7313" s="27" t="s">
        <v>230</v>
      </c>
      <c r="E7313" s="29">
        <v>39539</v>
      </c>
      <c r="F7313" s="27">
        <v>15</v>
      </c>
      <c r="G7313" s="18">
        <v>150794.21</v>
      </c>
      <c r="H7313" s="27">
        <f t="shared" si="228"/>
        <v>0</v>
      </c>
      <c r="I7313" s="18">
        <v>123349.83</v>
      </c>
      <c r="J7313" s="27">
        <v>150794.21</v>
      </c>
      <c r="K7313" s="18">
        <f t="shared" si="229"/>
        <v>0</v>
      </c>
      <c r="L7313" s="27">
        <v>127943.22</v>
      </c>
      <c r="M7313" s="36">
        <v>4593.3900000000003</v>
      </c>
      <c r="T7313" s="41">
        <v>0</v>
      </c>
      <c r="U7313" s="41">
        <v>0</v>
      </c>
      <c r="V7313" s="42" t="s">
        <v>113</v>
      </c>
      <c r="W7313" s="42">
        <v>0</v>
      </c>
      <c r="X7313" s="42">
        <v>0</v>
      </c>
    </row>
    <row r="7314" spans="1:24">
      <c r="A7314" s="27" t="s">
        <v>13183</v>
      </c>
      <c r="B7314" s="28" t="s">
        <v>12240</v>
      </c>
      <c r="C7314" s="27" t="s">
        <v>13184</v>
      </c>
      <c r="D7314" s="27" t="s">
        <v>230</v>
      </c>
      <c r="E7314" s="29">
        <v>39539</v>
      </c>
      <c r="F7314" s="27">
        <v>15</v>
      </c>
      <c r="G7314" s="18">
        <v>150794.21</v>
      </c>
      <c r="H7314" s="27">
        <f t="shared" si="228"/>
        <v>0</v>
      </c>
      <c r="I7314" s="18">
        <v>123349.83</v>
      </c>
      <c r="J7314" s="27">
        <v>150794.21</v>
      </c>
      <c r="K7314" s="18">
        <f t="shared" si="229"/>
        <v>0</v>
      </c>
      <c r="L7314" s="27">
        <v>127943.22</v>
      </c>
      <c r="M7314" s="36">
        <v>4593.3900000000003</v>
      </c>
      <c r="T7314" s="41">
        <v>0</v>
      </c>
      <c r="U7314" s="41">
        <v>0</v>
      </c>
      <c r="V7314" s="42" t="s">
        <v>113</v>
      </c>
      <c r="W7314" s="42">
        <v>0</v>
      </c>
      <c r="X7314" s="42">
        <v>0</v>
      </c>
    </row>
    <row r="7315" spans="1:24">
      <c r="A7315" s="27" t="s">
        <v>13185</v>
      </c>
      <c r="B7315" s="28" t="s">
        <v>12240</v>
      </c>
      <c r="C7315" s="27" t="s">
        <v>13186</v>
      </c>
      <c r="D7315" s="27" t="s">
        <v>230</v>
      </c>
      <c r="E7315" s="29">
        <v>39539</v>
      </c>
      <c r="F7315" s="27">
        <v>15</v>
      </c>
      <c r="G7315" s="18">
        <v>150794.21</v>
      </c>
      <c r="H7315" s="27">
        <f t="shared" si="228"/>
        <v>0</v>
      </c>
      <c r="I7315" s="18">
        <v>123349.83</v>
      </c>
      <c r="J7315" s="27">
        <v>150794.21</v>
      </c>
      <c r="K7315" s="18">
        <f t="shared" si="229"/>
        <v>0</v>
      </c>
      <c r="L7315" s="27">
        <v>127943.22</v>
      </c>
      <c r="M7315" s="36">
        <v>4593.3900000000003</v>
      </c>
      <c r="T7315" s="41">
        <v>0</v>
      </c>
      <c r="U7315" s="41">
        <v>0</v>
      </c>
      <c r="V7315" s="42" t="s">
        <v>113</v>
      </c>
      <c r="W7315" s="42">
        <v>0</v>
      </c>
      <c r="X7315" s="42">
        <v>0</v>
      </c>
    </row>
    <row r="7316" spans="1:24">
      <c r="A7316" s="27" t="s">
        <v>13187</v>
      </c>
      <c r="B7316" s="28" t="s">
        <v>12240</v>
      </c>
      <c r="C7316" s="27" t="s">
        <v>13188</v>
      </c>
      <c r="D7316" s="27" t="s">
        <v>230</v>
      </c>
      <c r="E7316" s="29">
        <v>39539</v>
      </c>
      <c r="F7316" s="27">
        <v>15</v>
      </c>
      <c r="G7316" s="18">
        <v>150794.21</v>
      </c>
      <c r="H7316" s="27">
        <f t="shared" si="228"/>
        <v>0</v>
      </c>
      <c r="I7316" s="18">
        <v>123349.83</v>
      </c>
      <c r="J7316" s="27">
        <v>150794.21</v>
      </c>
      <c r="K7316" s="18">
        <f t="shared" si="229"/>
        <v>0</v>
      </c>
      <c r="L7316" s="27">
        <v>127943.22</v>
      </c>
      <c r="M7316" s="36">
        <v>4593.3900000000003</v>
      </c>
      <c r="T7316" s="41">
        <v>0</v>
      </c>
      <c r="U7316" s="41">
        <v>0</v>
      </c>
      <c r="V7316" s="42" t="s">
        <v>113</v>
      </c>
      <c r="W7316" s="42">
        <v>0</v>
      </c>
      <c r="X7316" s="42">
        <v>0</v>
      </c>
    </row>
    <row r="7317" spans="1:24">
      <c r="A7317" s="27" t="s">
        <v>13189</v>
      </c>
      <c r="B7317" s="28" t="s">
        <v>12240</v>
      </c>
      <c r="C7317" s="27" t="s">
        <v>13190</v>
      </c>
      <c r="D7317" s="27" t="s">
        <v>230</v>
      </c>
      <c r="E7317" s="29">
        <v>39539</v>
      </c>
      <c r="F7317" s="27">
        <v>15</v>
      </c>
      <c r="G7317" s="18">
        <v>150794.21</v>
      </c>
      <c r="H7317" s="27">
        <f t="shared" si="228"/>
        <v>0</v>
      </c>
      <c r="I7317" s="18">
        <v>123349.83</v>
      </c>
      <c r="J7317" s="27">
        <v>150794.21</v>
      </c>
      <c r="K7317" s="18">
        <f t="shared" si="229"/>
        <v>0</v>
      </c>
      <c r="L7317" s="27">
        <v>127943.22</v>
      </c>
      <c r="M7317" s="36">
        <v>4593.3900000000003</v>
      </c>
      <c r="T7317" s="41">
        <v>0</v>
      </c>
      <c r="U7317" s="41">
        <v>0</v>
      </c>
      <c r="V7317" s="42" t="s">
        <v>113</v>
      </c>
      <c r="W7317" s="42">
        <v>0</v>
      </c>
      <c r="X7317" s="42">
        <v>0</v>
      </c>
    </row>
    <row r="7318" spans="1:24">
      <c r="A7318" s="27" t="s">
        <v>13191</v>
      </c>
      <c r="B7318" s="28" t="s">
        <v>12240</v>
      </c>
      <c r="C7318" s="27" t="s">
        <v>13192</v>
      </c>
      <c r="D7318" s="27" t="s">
        <v>230</v>
      </c>
      <c r="E7318" s="29">
        <v>39539</v>
      </c>
      <c r="F7318" s="27">
        <v>15</v>
      </c>
      <c r="G7318" s="18">
        <v>150794.21</v>
      </c>
      <c r="H7318" s="27">
        <f t="shared" si="228"/>
        <v>0</v>
      </c>
      <c r="I7318" s="18">
        <v>123349.83</v>
      </c>
      <c r="J7318" s="27">
        <v>150794.21</v>
      </c>
      <c r="K7318" s="18">
        <f t="shared" si="229"/>
        <v>0</v>
      </c>
      <c r="L7318" s="27">
        <v>127943.22</v>
      </c>
      <c r="M7318" s="36">
        <v>4593.3900000000003</v>
      </c>
      <c r="T7318" s="41">
        <v>0</v>
      </c>
      <c r="U7318" s="41">
        <v>0</v>
      </c>
      <c r="V7318" s="42" t="s">
        <v>113</v>
      </c>
      <c r="W7318" s="42">
        <v>0</v>
      </c>
      <c r="X7318" s="42">
        <v>0</v>
      </c>
    </row>
    <row r="7319" spans="1:24">
      <c r="A7319" s="27" t="s">
        <v>13193</v>
      </c>
      <c r="B7319" s="28" t="s">
        <v>12240</v>
      </c>
      <c r="C7319" s="27" t="s">
        <v>13194</v>
      </c>
      <c r="D7319" s="27" t="s">
        <v>230</v>
      </c>
      <c r="E7319" s="29">
        <v>39539</v>
      </c>
      <c r="F7319" s="27">
        <v>15</v>
      </c>
      <c r="G7319" s="18">
        <v>150794.21</v>
      </c>
      <c r="H7319" s="27">
        <f t="shared" si="228"/>
        <v>0</v>
      </c>
      <c r="I7319" s="18">
        <v>123349.83</v>
      </c>
      <c r="J7319" s="27">
        <v>150794.21</v>
      </c>
      <c r="K7319" s="18">
        <f t="shared" si="229"/>
        <v>0</v>
      </c>
      <c r="L7319" s="27">
        <v>127943.22</v>
      </c>
      <c r="M7319" s="36">
        <v>4593.3900000000003</v>
      </c>
      <c r="T7319" s="41">
        <v>0</v>
      </c>
      <c r="U7319" s="41">
        <v>0</v>
      </c>
      <c r="V7319" s="42" t="s">
        <v>113</v>
      </c>
      <c r="W7319" s="42">
        <v>0</v>
      </c>
      <c r="X7319" s="42">
        <v>0</v>
      </c>
    </row>
    <row r="7320" spans="1:24">
      <c r="A7320" s="27" t="s">
        <v>13195</v>
      </c>
      <c r="B7320" s="28" t="s">
        <v>12240</v>
      </c>
      <c r="C7320" s="27" t="s">
        <v>13194</v>
      </c>
      <c r="D7320" s="27" t="s">
        <v>230</v>
      </c>
      <c r="E7320" s="29">
        <v>39539</v>
      </c>
      <c r="F7320" s="27">
        <v>15</v>
      </c>
      <c r="G7320" s="18">
        <v>150794.21</v>
      </c>
      <c r="H7320" s="27">
        <f t="shared" si="228"/>
        <v>0</v>
      </c>
      <c r="I7320" s="18">
        <v>123349.83</v>
      </c>
      <c r="J7320" s="27">
        <v>150794.21</v>
      </c>
      <c r="K7320" s="18">
        <f t="shared" si="229"/>
        <v>0</v>
      </c>
      <c r="L7320" s="27">
        <v>127943.22</v>
      </c>
      <c r="M7320" s="36">
        <v>4593.3900000000003</v>
      </c>
      <c r="T7320" s="41">
        <v>0</v>
      </c>
      <c r="U7320" s="41">
        <v>0</v>
      </c>
      <c r="V7320" s="42" t="s">
        <v>113</v>
      </c>
      <c r="W7320" s="42">
        <v>0</v>
      </c>
      <c r="X7320" s="42">
        <v>0</v>
      </c>
    </row>
    <row r="7321" spans="1:24">
      <c r="A7321" s="27" t="s">
        <v>13196</v>
      </c>
      <c r="B7321" s="28" t="s">
        <v>12240</v>
      </c>
      <c r="C7321" s="27" t="s">
        <v>7545</v>
      </c>
      <c r="D7321" s="27" t="s">
        <v>5104</v>
      </c>
      <c r="E7321" s="29">
        <v>40177</v>
      </c>
      <c r="F7321" s="27">
        <v>15</v>
      </c>
      <c r="G7321" s="18">
        <v>187285.06</v>
      </c>
      <c r="H7321" s="27">
        <f t="shared" si="228"/>
        <v>0</v>
      </c>
      <c r="I7321" s="18">
        <v>153389.31</v>
      </c>
      <c r="J7321" s="27">
        <v>187285.06</v>
      </c>
      <c r="K7321" s="18">
        <f t="shared" si="229"/>
        <v>0</v>
      </c>
      <c r="L7321" s="27">
        <v>159050.43</v>
      </c>
      <c r="M7321" s="36">
        <v>5661.12</v>
      </c>
      <c r="T7321" s="41">
        <v>0</v>
      </c>
      <c r="U7321" s="41">
        <v>0</v>
      </c>
      <c r="V7321" s="42" t="s">
        <v>113</v>
      </c>
      <c r="W7321" s="42">
        <v>0</v>
      </c>
      <c r="X7321" s="42">
        <v>0</v>
      </c>
    </row>
    <row r="7322" spans="1:24">
      <c r="A7322" s="27" t="s">
        <v>13197</v>
      </c>
      <c r="B7322" s="28" t="s">
        <v>12240</v>
      </c>
      <c r="C7322" s="27" t="s">
        <v>13198</v>
      </c>
      <c r="D7322" s="27" t="s">
        <v>230</v>
      </c>
      <c r="E7322" s="29">
        <v>39539</v>
      </c>
      <c r="F7322" s="27">
        <v>15</v>
      </c>
      <c r="G7322" s="18">
        <v>173186.58</v>
      </c>
      <c r="H7322" s="27">
        <f t="shared" si="228"/>
        <v>0</v>
      </c>
      <c r="I7322" s="18">
        <v>141666.81</v>
      </c>
      <c r="J7322" s="27">
        <v>173186.58</v>
      </c>
      <c r="K7322" s="18">
        <f t="shared" si="229"/>
        <v>0</v>
      </c>
      <c r="L7322" s="27">
        <v>146942.29999999999</v>
      </c>
      <c r="M7322" s="36">
        <v>5275.49</v>
      </c>
      <c r="T7322" s="41">
        <v>0</v>
      </c>
      <c r="U7322" s="41">
        <v>0</v>
      </c>
      <c r="V7322" s="42" t="s">
        <v>113</v>
      </c>
      <c r="W7322" s="42">
        <v>0</v>
      </c>
      <c r="X7322" s="42">
        <v>0</v>
      </c>
    </row>
    <row r="7323" spans="1:24">
      <c r="A7323" s="27" t="s">
        <v>13199</v>
      </c>
      <c r="B7323" s="28" t="s">
        <v>12240</v>
      </c>
      <c r="C7323" s="27" t="s">
        <v>13200</v>
      </c>
      <c r="D7323" s="27" t="s">
        <v>230</v>
      </c>
      <c r="E7323" s="29">
        <v>39539</v>
      </c>
      <c r="F7323" s="27">
        <v>15</v>
      </c>
      <c r="G7323" s="18">
        <v>173186.58</v>
      </c>
      <c r="H7323" s="27">
        <f t="shared" si="228"/>
        <v>0</v>
      </c>
      <c r="I7323" s="18">
        <v>141666.81</v>
      </c>
      <c r="J7323" s="27">
        <v>173186.58</v>
      </c>
      <c r="K7323" s="18">
        <f t="shared" si="229"/>
        <v>0</v>
      </c>
      <c r="L7323" s="27">
        <v>146942.29999999999</v>
      </c>
      <c r="M7323" s="36">
        <v>5275.49</v>
      </c>
      <c r="T7323" s="41">
        <v>0</v>
      </c>
      <c r="U7323" s="41">
        <v>0</v>
      </c>
      <c r="V7323" s="42" t="s">
        <v>113</v>
      </c>
      <c r="W7323" s="42">
        <v>0</v>
      </c>
      <c r="X7323" s="42">
        <v>0</v>
      </c>
    </row>
    <row r="7324" spans="1:24">
      <c r="A7324" s="27" t="s">
        <v>13201</v>
      </c>
      <c r="B7324" s="28" t="s">
        <v>12240</v>
      </c>
      <c r="C7324" s="27" t="s">
        <v>13202</v>
      </c>
      <c r="D7324" s="27" t="s">
        <v>230</v>
      </c>
      <c r="E7324" s="29">
        <v>39539</v>
      </c>
      <c r="F7324" s="27">
        <v>15</v>
      </c>
      <c r="G7324" s="18">
        <v>173186.58</v>
      </c>
      <c r="H7324" s="27">
        <f t="shared" si="228"/>
        <v>0</v>
      </c>
      <c r="I7324" s="18">
        <v>141666.81</v>
      </c>
      <c r="J7324" s="27">
        <v>173186.58</v>
      </c>
      <c r="K7324" s="18">
        <f t="shared" si="229"/>
        <v>0</v>
      </c>
      <c r="L7324" s="27">
        <v>146942.29999999999</v>
      </c>
      <c r="M7324" s="36">
        <v>5275.49</v>
      </c>
      <c r="T7324" s="41">
        <v>0</v>
      </c>
      <c r="U7324" s="41">
        <v>0</v>
      </c>
      <c r="V7324" s="42" t="s">
        <v>113</v>
      </c>
      <c r="W7324" s="42">
        <v>0</v>
      </c>
      <c r="X7324" s="42">
        <v>0</v>
      </c>
    </row>
    <row r="7325" spans="1:24">
      <c r="A7325" s="27" t="s">
        <v>13203</v>
      </c>
      <c r="B7325" s="28" t="s">
        <v>12240</v>
      </c>
      <c r="C7325" s="27" t="s">
        <v>13204</v>
      </c>
      <c r="D7325" s="27" t="s">
        <v>230</v>
      </c>
      <c r="E7325" s="29">
        <v>39539</v>
      </c>
      <c r="F7325" s="27">
        <v>15</v>
      </c>
      <c r="G7325" s="18">
        <v>173186.58</v>
      </c>
      <c r="H7325" s="27">
        <f t="shared" si="228"/>
        <v>0</v>
      </c>
      <c r="I7325" s="18">
        <v>141666.81</v>
      </c>
      <c r="J7325" s="27">
        <v>173186.58</v>
      </c>
      <c r="K7325" s="18">
        <f t="shared" si="229"/>
        <v>0</v>
      </c>
      <c r="L7325" s="27">
        <v>146942.29999999999</v>
      </c>
      <c r="M7325" s="36">
        <v>5275.49</v>
      </c>
      <c r="T7325" s="41">
        <v>0</v>
      </c>
      <c r="U7325" s="41">
        <v>0</v>
      </c>
      <c r="V7325" s="42" t="s">
        <v>113</v>
      </c>
      <c r="W7325" s="42">
        <v>0</v>
      </c>
      <c r="X7325" s="42">
        <v>0</v>
      </c>
    </row>
    <row r="7326" spans="1:24">
      <c r="A7326" s="27" t="s">
        <v>13205</v>
      </c>
      <c r="B7326" s="28" t="s">
        <v>12240</v>
      </c>
      <c r="C7326" s="27" t="s">
        <v>13206</v>
      </c>
      <c r="D7326" s="27" t="s">
        <v>230</v>
      </c>
      <c r="E7326" s="29">
        <v>39539</v>
      </c>
      <c r="F7326" s="27">
        <v>15</v>
      </c>
      <c r="G7326" s="18">
        <v>173186.58</v>
      </c>
      <c r="H7326" s="27">
        <f t="shared" si="228"/>
        <v>0</v>
      </c>
      <c r="I7326" s="18">
        <v>141666.81</v>
      </c>
      <c r="J7326" s="27">
        <v>173186.58</v>
      </c>
      <c r="K7326" s="18">
        <f t="shared" si="229"/>
        <v>0</v>
      </c>
      <c r="L7326" s="27">
        <v>146942.29999999999</v>
      </c>
      <c r="M7326" s="36">
        <v>5275.49</v>
      </c>
      <c r="T7326" s="41">
        <v>0</v>
      </c>
      <c r="U7326" s="41">
        <v>0</v>
      </c>
      <c r="V7326" s="42" t="s">
        <v>113</v>
      </c>
      <c r="W7326" s="42">
        <v>0</v>
      </c>
      <c r="X7326" s="42">
        <v>0</v>
      </c>
    </row>
    <row r="7327" spans="1:24">
      <c r="A7327" s="27" t="s">
        <v>13207</v>
      </c>
      <c r="B7327" s="28" t="s">
        <v>12240</v>
      </c>
      <c r="C7327" s="27" t="s">
        <v>13208</v>
      </c>
      <c r="D7327" s="27" t="s">
        <v>230</v>
      </c>
      <c r="E7327" s="29">
        <v>39539</v>
      </c>
      <c r="F7327" s="27">
        <v>15</v>
      </c>
      <c r="G7327" s="18">
        <v>173186.58</v>
      </c>
      <c r="H7327" s="27">
        <f t="shared" si="228"/>
        <v>0</v>
      </c>
      <c r="I7327" s="18">
        <v>141666.81</v>
      </c>
      <c r="J7327" s="27">
        <v>173186.58</v>
      </c>
      <c r="K7327" s="18">
        <f t="shared" si="229"/>
        <v>0</v>
      </c>
      <c r="L7327" s="27">
        <v>146942.29999999999</v>
      </c>
      <c r="M7327" s="36">
        <v>5275.49</v>
      </c>
      <c r="T7327" s="41">
        <v>0</v>
      </c>
      <c r="U7327" s="41">
        <v>0</v>
      </c>
      <c r="V7327" s="42" t="s">
        <v>113</v>
      </c>
      <c r="W7327" s="42">
        <v>0</v>
      </c>
      <c r="X7327" s="42">
        <v>0</v>
      </c>
    </row>
    <row r="7328" spans="1:24">
      <c r="A7328" s="27" t="s">
        <v>13209</v>
      </c>
      <c r="B7328" s="28" t="s">
        <v>12240</v>
      </c>
      <c r="C7328" s="27" t="s">
        <v>13210</v>
      </c>
      <c r="D7328" s="27" t="s">
        <v>230</v>
      </c>
      <c r="E7328" s="29">
        <v>39539</v>
      </c>
      <c r="F7328" s="27">
        <v>15</v>
      </c>
      <c r="G7328" s="18">
        <v>174552.29</v>
      </c>
      <c r="H7328" s="27">
        <f t="shared" si="228"/>
        <v>0</v>
      </c>
      <c r="I7328" s="18">
        <v>141946.42000000001</v>
      </c>
      <c r="J7328" s="27">
        <v>174552.29</v>
      </c>
      <c r="K7328" s="18">
        <f t="shared" si="229"/>
        <v>0</v>
      </c>
      <c r="L7328" s="27">
        <v>147456.79</v>
      </c>
      <c r="M7328" s="36">
        <v>5510.37</v>
      </c>
      <c r="T7328" s="41">
        <v>0</v>
      </c>
      <c r="U7328" s="41">
        <v>0</v>
      </c>
      <c r="V7328" s="42" t="s">
        <v>113</v>
      </c>
      <c r="W7328" s="42">
        <v>0</v>
      </c>
      <c r="X7328" s="42">
        <v>0</v>
      </c>
    </row>
    <row r="7329" spans="1:24">
      <c r="A7329" s="27" t="s">
        <v>13211</v>
      </c>
      <c r="B7329" s="28" t="s">
        <v>12240</v>
      </c>
      <c r="C7329" s="27" t="s">
        <v>13212</v>
      </c>
      <c r="D7329" s="27" t="s">
        <v>230</v>
      </c>
      <c r="E7329" s="29">
        <v>37712</v>
      </c>
      <c r="F7329" s="27">
        <v>15</v>
      </c>
      <c r="G7329" s="18">
        <v>12444.98</v>
      </c>
      <c r="H7329" s="27">
        <f t="shared" si="228"/>
        <v>12444.98</v>
      </c>
      <c r="I7329" s="18">
        <v>11822.73</v>
      </c>
      <c r="J7329" s="27">
        <v>12444.98</v>
      </c>
      <c r="K7329" s="18">
        <f t="shared" si="229"/>
        <v>12444.98</v>
      </c>
      <c r="L7329" s="27">
        <v>11822.73</v>
      </c>
      <c r="M7329" s="36">
        <v>0</v>
      </c>
      <c r="T7329" s="41">
        <v>0</v>
      </c>
      <c r="U7329" s="41">
        <v>0</v>
      </c>
      <c r="V7329" s="42" t="s">
        <v>113</v>
      </c>
      <c r="W7329" s="42">
        <v>12444.98</v>
      </c>
      <c r="X7329" s="42">
        <v>12444.98</v>
      </c>
    </row>
    <row r="7330" spans="1:24">
      <c r="A7330" s="27" t="s">
        <v>13213</v>
      </c>
      <c r="B7330" s="28" t="s">
        <v>12240</v>
      </c>
      <c r="C7330" s="27" t="s">
        <v>13214</v>
      </c>
      <c r="D7330" s="27" t="s">
        <v>230</v>
      </c>
      <c r="E7330" s="29">
        <v>37712</v>
      </c>
      <c r="F7330" s="27">
        <v>15</v>
      </c>
      <c r="G7330" s="18">
        <v>12444.98</v>
      </c>
      <c r="H7330" s="27">
        <f t="shared" si="228"/>
        <v>12444.98</v>
      </c>
      <c r="I7330" s="18">
        <v>11822.73</v>
      </c>
      <c r="J7330" s="27">
        <v>12444.98</v>
      </c>
      <c r="K7330" s="18">
        <f t="shared" si="229"/>
        <v>12444.98</v>
      </c>
      <c r="L7330" s="27">
        <v>11822.73</v>
      </c>
      <c r="M7330" s="36">
        <v>0</v>
      </c>
      <c r="T7330" s="41">
        <v>0</v>
      </c>
      <c r="U7330" s="41">
        <v>0</v>
      </c>
      <c r="V7330" s="42" t="s">
        <v>113</v>
      </c>
      <c r="W7330" s="42">
        <v>12444.98</v>
      </c>
      <c r="X7330" s="42">
        <v>12444.98</v>
      </c>
    </row>
    <row r="7331" spans="1:24">
      <c r="A7331" s="27" t="s">
        <v>13215</v>
      </c>
      <c r="B7331" s="28" t="s">
        <v>12240</v>
      </c>
      <c r="C7331" s="27" t="s">
        <v>13216</v>
      </c>
      <c r="D7331" s="27" t="s">
        <v>230</v>
      </c>
      <c r="E7331" s="29">
        <v>37712</v>
      </c>
      <c r="F7331" s="27">
        <v>15</v>
      </c>
      <c r="G7331" s="18">
        <v>12444.98</v>
      </c>
      <c r="H7331" s="27">
        <f t="shared" si="228"/>
        <v>12444.98</v>
      </c>
      <c r="I7331" s="18">
        <v>11822.73</v>
      </c>
      <c r="J7331" s="27">
        <v>12444.98</v>
      </c>
      <c r="K7331" s="18">
        <f t="shared" si="229"/>
        <v>12444.98</v>
      </c>
      <c r="L7331" s="27">
        <v>11822.73</v>
      </c>
      <c r="M7331" s="36">
        <v>0</v>
      </c>
      <c r="T7331" s="41">
        <v>0</v>
      </c>
      <c r="U7331" s="41">
        <v>0</v>
      </c>
      <c r="V7331" s="42" t="s">
        <v>113</v>
      </c>
      <c r="W7331" s="42">
        <v>12444.98</v>
      </c>
      <c r="X7331" s="42">
        <v>12444.98</v>
      </c>
    </row>
    <row r="7332" spans="1:24">
      <c r="A7332" s="27" t="s">
        <v>13217</v>
      </c>
      <c r="B7332" s="28" t="s">
        <v>12240</v>
      </c>
      <c r="C7332" s="27" t="s">
        <v>13218</v>
      </c>
      <c r="D7332" s="27" t="s">
        <v>230</v>
      </c>
      <c r="E7332" s="29">
        <v>37712</v>
      </c>
      <c r="F7332" s="27">
        <v>15</v>
      </c>
      <c r="G7332" s="18">
        <v>12444.98</v>
      </c>
      <c r="H7332" s="27">
        <f t="shared" si="228"/>
        <v>12444.98</v>
      </c>
      <c r="I7332" s="18">
        <v>11822.73</v>
      </c>
      <c r="J7332" s="27">
        <v>12444.98</v>
      </c>
      <c r="K7332" s="18">
        <f t="shared" si="229"/>
        <v>12444.98</v>
      </c>
      <c r="L7332" s="27">
        <v>11822.73</v>
      </c>
      <c r="M7332" s="36">
        <v>0</v>
      </c>
      <c r="T7332" s="41">
        <v>0</v>
      </c>
      <c r="U7332" s="41">
        <v>0</v>
      </c>
      <c r="V7332" s="42" t="s">
        <v>113</v>
      </c>
      <c r="W7332" s="42">
        <v>12444.98</v>
      </c>
      <c r="X7332" s="42">
        <v>12444.98</v>
      </c>
    </row>
    <row r="7333" spans="1:24">
      <c r="A7333" s="27" t="s">
        <v>13219</v>
      </c>
      <c r="B7333" s="28" t="s">
        <v>12240</v>
      </c>
      <c r="C7333" s="27" t="s">
        <v>13220</v>
      </c>
      <c r="D7333" s="27" t="s">
        <v>230</v>
      </c>
      <c r="E7333" s="29">
        <v>37712</v>
      </c>
      <c r="F7333" s="27">
        <v>15</v>
      </c>
      <c r="G7333" s="18">
        <v>12444.98</v>
      </c>
      <c r="H7333" s="27">
        <f t="shared" si="228"/>
        <v>12444.98</v>
      </c>
      <c r="I7333" s="18">
        <v>11822.73</v>
      </c>
      <c r="J7333" s="27">
        <v>12444.98</v>
      </c>
      <c r="K7333" s="18">
        <f t="shared" si="229"/>
        <v>12444.98</v>
      </c>
      <c r="L7333" s="27">
        <v>11822.73</v>
      </c>
      <c r="M7333" s="36">
        <v>0</v>
      </c>
      <c r="T7333" s="41">
        <v>0</v>
      </c>
      <c r="U7333" s="41">
        <v>0</v>
      </c>
      <c r="V7333" s="42" t="s">
        <v>113</v>
      </c>
      <c r="W7333" s="42">
        <v>12444.98</v>
      </c>
      <c r="X7333" s="42">
        <v>12444.98</v>
      </c>
    </row>
    <row r="7334" spans="1:24">
      <c r="A7334" s="27" t="s">
        <v>13221</v>
      </c>
      <c r="B7334" s="28" t="s">
        <v>12240</v>
      </c>
      <c r="C7334" s="27" t="s">
        <v>13222</v>
      </c>
      <c r="D7334" s="27" t="s">
        <v>230</v>
      </c>
      <c r="E7334" s="29">
        <v>37712</v>
      </c>
      <c r="F7334" s="27">
        <v>15</v>
      </c>
      <c r="G7334" s="18">
        <v>12444.98</v>
      </c>
      <c r="H7334" s="27">
        <f t="shared" si="228"/>
        <v>12444.98</v>
      </c>
      <c r="I7334" s="18">
        <v>11822.73</v>
      </c>
      <c r="J7334" s="27">
        <v>12444.98</v>
      </c>
      <c r="K7334" s="18">
        <f t="shared" si="229"/>
        <v>12444.98</v>
      </c>
      <c r="L7334" s="27">
        <v>11822.73</v>
      </c>
      <c r="M7334" s="36">
        <v>0</v>
      </c>
      <c r="T7334" s="41">
        <v>0</v>
      </c>
      <c r="U7334" s="41">
        <v>0</v>
      </c>
      <c r="V7334" s="42" t="s">
        <v>113</v>
      </c>
      <c r="W7334" s="42">
        <v>12444.98</v>
      </c>
      <c r="X7334" s="42">
        <v>12444.98</v>
      </c>
    </row>
    <row r="7335" spans="1:24">
      <c r="A7335" s="27" t="s">
        <v>13223</v>
      </c>
      <c r="B7335" s="28" t="s">
        <v>12240</v>
      </c>
      <c r="C7335" s="27" t="s">
        <v>13224</v>
      </c>
      <c r="D7335" s="27" t="s">
        <v>230</v>
      </c>
      <c r="E7335" s="29">
        <v>37712</v>
      </c>
      <c r="F7335" s="27">
        <v>15</v>
      </c>
      <c r="G7335" s="18">
        <v>12444.98</v>
      </c>
      <c r="H7335" s="27">
        <f t="shared" si="228"/>
        <v>12444.98</v>
      </c>
      <c r="I7335" s="18">
        <v>11822.73</v>
      </c>
      <c r="J7335" s="27">
        <v>12444.98</v>
      </c>
      <c r="K7335" s="18">
        <f t="shared" si="229"/>
        <v>12444.98</v>
      </c>
      <c r="L7335" s="27">
        <v>11822.73</v>
      </c>
      <c r="M7335" s="36">
        <v>0</v>
      </c>
      <c r="T7335" s="41">
        <v>0</v>
      </c>
      <c r="U7335" s="41">
        <v>0</v>
      </c>
      <c r="V7335" s="42" t="s">
        <v>113</v>
      </c>
      <c r="W7335" s="42">
        <v>12444.98</v>
      </c>
      <c r="X7335" s="42">
        <v>12444.98</v>
      </c>
    </row>
    <row r="7336" spans="1:24">
      <c r="A7336" s="27" t="s">
        <v>13225</v>
      </c>
      <c r="B7336" s="28" t="s">
        <v>12240</v>
      </c>
      <c r="C7336" s="27" t="s">
        <v>13226</v>
      </c>
      <c r="D7336" s="27" t="s">
        <v>230</v>
      </c>
      <c r="E7336" s="29">
        <v>37712</v>
      </c>
      <c r="F7336" s="27">
        <v>15</v>
      </c>
      <c r="G7336" s="18">
        <v>12444.98</v>
      </c>
      <c r="H7336" s="27">
        <f t="shared" si="228"/>
        <v>12444.98</v>
      </c>
      <c r="I7336" s="18">
        <v>11822.73</v>
      </c>
      <c r="J7336" s="27">
        <v>12444.98</v>
      </c>
      <c r="K7336" s="18">
        <f t="shared" si="229"/>
        <v>12444.98</v>
      </c>
      <c r="L7336" s="27">
        <v>11822.73</v>
      </c>
      <c r="M7336" s="36">
        <v>0</v>
      </c>
      <c r="T7336" s="41">
        <v>0</v>
      </c>
      <c r="U7336" s="41">
        <v>0</v>
      </c>
      <c r="V7336" s="42" t="s">
        <v>113</v>
      </c>
      <c r="W7336" s="42">
        <v>12444.98</v>
      </c>
      <c r="X7336" s="42">
        <v>12444.98</v>
      </c>
    </row>
    <row r="7337" spans="1:24">
      <c r="A7337" s="27" t="s">
        <v>13227</v>
      </c>
      <c r="B7337" s="28" t="s">
        <v>12240</v>
      </c>
      <c r="C7337" s="27" t="s">
        <v>13228</v>
      </c>
      <c r="D7337" s="27" t="s">
        <v>230</v>
      </c>
      <c r="E7337" s="29">
        <v>37712</v>
      </c>
      <c r="F7337" s="27">
        <v>15</v>
      </c>
      <c r="G7337" s="18">
        <v>12444.98</v>
      </c>
      <c r="H7337" s="27">
        <f t="shared" si="228"/>
        <v>12444.98</v>
      </c>
      <c r="I7337" s="18">
        <v>11822.73</v>
      </c>
      <c r="J7337" s="27">
        <v>12444.98</v>
      </c>
      <c r="K7337" s="18">
        <f t="shared" si="229"/>
        <v>12444.98</v>
      </c>
      <c r="L7337" s="27">
        <v>11822.73</v>
      </c>
      <c r="M7337" s="36">
        <v>0</v>
      </c>
      <c r="T7337" s="41">
        <v>0</v>
      </c>
      <c r="U7337" s="41">
        <v>0</v>
      </c>
      <c r="V7337" s="42" t="s">
        <v>113</v>
      </c>
      <c r="W7337" s="42">
        <v>12444.98</v>
      </c>
      <c r="X7337" s="42">
        <v>12444.98</v>
      </c>
    </row>
    <row r="7338" spans="1:24">
      <c r="A7338" s="27" t="s">
        <v>13229</v>
      </c>
      <c r="B7338" s="28" t="s">
        <v>12240</v>
      </c>
      <c r="C7338" s="27" t="s">
        <v>13230</v>
      </c>
      <c r="D7338" s="27" t="s">
        <v>230</v>
      </c>
      <c r="E7338" s="29">
        <v>37712</v>
      </c>
      <c r="F7338" s="27">
        <v>15</v>
      </c>
      <c r="G7338" s="18">
        <v>12444.98</v>
      </c>
      <c r="H7338" s="27">
        <f t="shared" si="228"/>
        <v>12444.98</v>
      </c>
      <c r="I7338" s="18">
        <v>11822.73</v>
      </c>
      <c r="J7338" s="27">
        <v>12444.98</v>
      </c>
      <c r="K7338" s="18">
        <f t="shared" si="229"/>
        <v>12444.98</v>
      </c>
      <c r="L7338" s="27">
        <v>11822.73</v>
      </c>
      <c r="M7338" s="36">
        <v>0</v>
      </c>
      <c r="T7338" s="41">
        <v>0</v>
      </c>
      <c r="U7338" s="41">
        <v>0</v>
      </c>
      <c r="V7338" s="42" t="s">
        <v>113</v>
      </c>
      <c r="W7338" s="42">
        <v>12444.98</v>
      </c>
      <c r="X7338" s="42">
        <v>12444.98</v>
      </c>
    </row>
    <row r="7339" spans="1:24">
      <c r="A7339" s="27" t="s">
        <v>13231</v>
      </c>
      <c r="B7339" s="28" t="s">
        <v>12240</v>
      </c>
      <c r="C7339" s="27" t="s">
        <v>13232</v>
      </c>
      <c r="D7339" s="27" t="s">
        <v>230</v>
      </c>
      <c r="E7339" s="29">
        <v>37712</v>
      </c>
      <c r="F7339" s="27">
        <v>15</v>
      </c>
      <c r="G7339" s="18">
        <v>12444.98</v>
      </c>
      <c r="H7339" s="27">
        <f t="shared" si="228"/>
        <v>12444.98</v>
      </c>
      <c r="I7339" s="18">
        <v>11822.73</v>
      </c>
      <c r="J7339" s="27">
        <v>12444.98</v>
      </c>
      <c r="K7339" s="18">
        <f t="shared" si="229"/>
        <v>12444.98</v>
      </c>
      <c r="L7339" s="27">
        <v>11822.73</v>
      </c>
      <c r="M7339" s="36">
        <v>0</v>
      </c>
      <c r="T7339" s="41">
        <v>0</v>
      </c>
      <c r="U7339" s="41">
        <v>0</v>
      </c>
      <c r="V7339" s="42" t="s">
        <v>113</v>
      </c>
      <c r="W7339" s="42">
        <v>12444.98</v>
      </c>
      <c r="X7339" s="42">
        <v>12444.98</v>
      </c>
    </row>
    <row r="7340" spans="1:24">
      <c r="A7340" s="27" t="s">
        <v>13233</v>
      </c>
      <c r="B7340" s="28" t="s">
        <v>12240</v>
      </c>
      <c r="C7340" s="27" t="s">
        <v>13234</v>
      </c>
      <c r="D7340" s="27" t="s">
        <v>230</v>
      </c>
      <c r="E7340" s="29">
        <v>37712</v>
      </c>
      <c r="F7340" s="27">
        <v>15</v>
      </c>
      <c r="G7340" s="18">
        <v>11441.93</v>
      </c>
      <c r="H7340" s="27">
        <f t="shared" si="228"/>
        <v>11441.93</v>
      </c>
      <c r="I7340" s="18">
        <v>10869.83</v>
      </c>
      <c r="J7340" s="27">
        <v>11441.93</v>
      </c>
      <c r="K7340" s="18">
        <f t="shared" si="229"/>
        <v>11441.93</v>
      </c>
      <c r="L7340" s="27">
        <v>10869.83</v>
      </c>
      <c r="M7340" s="36">
        <v>0</v>
      </c>
      <c r="T7340" s="41">
        <v>0</v>
      </c>
      <c r="U7340" s="41">
        <v>0</v>
      </c>
      <c r="V7340" s="42" t="s">
        <v>113</v>
      </c>
      <c r="W7340" s="42">
        <v>11441.93</v>
      </c>
      <c r="X7340" s="42">
        <v>11441.93</v>
      </c>
    </row>
    <row r="7341" spans="1:24">
      <c r="A7341" s="27" t="s">
        <v>13235</v>
      </c>
      <c r="B7341" s="28" t="s">
        <v>12240</v>
      </c>
      <c r="C7341" s="27" t="s">
        <v>13236</v>
      </c>
      <c r="D7341" s="27" t="s">
        <v>230</v>
      </c>
      <c r="E7341" s="29">
        <v>37712</v>
      </c>
      <c r="F7341" s="27">
        <v>15</v>
      </c>
      <c r="G7341" s="18">
        <v>11441.93</v>
      </c>
      <c r="H7341" s="27">
        <f t="shared" si="228"/>
        <v>11441.93</v>
      </c>
      <c r="I7341" s="18">
        <v>10869.83</v>
      </c>
      <c r="J7341" s="27">
        <v>11441.93</v>
      </c>
      <c r="K7341" s="18">
        <f t="shared" si="229"/>
        <v>11441.93</v>
      </c>
      <c r="L7341" s="27">
        <v>10869.83</v>
      </c>
      <c r="M7341" s="36">
        <v>0</v>
      </c>
      <c r="T7341" s="41">
        <v>0</v>
      </c>
      <c r="U7341" s="41">
        <v>0</v>
      </c>
      <c r="V7341" s="42" t="s">
        <v>113</v>
      </c>
      <c r="W7341" s="42">
        <v>11441.93</v>
      </c>
      <c r="X7341" s="42">
        <v>11441.93</v>
      </c>
    </row>
    <row r="7342" spans="1:24">
      <c r="A7342" s="27" t="s">
        <v>13237</v>
      </c>
      <c r="B7342" s="28" t="s">
        <v>12240</v>
      </c>
      <c r="C7342" s="27" t="s">
        <v>13238</v>
      </c>
      <c r="D7342" s="27" t="s">
        <v>230</v>
      </c>
      <c r="E7342" s="29">
        <v>37712</v>
      </c>
      <c r="F7342" s="27">
        <v>15</v>
      </c>
      <c r="G7342" s="18">
        <v>11441.93</v>
      </c>
      <c r="H7342" s="27">
        <f t="shared" si="228"/>
        <v>11441.93</v>
      </c>
      <c r="I7342" s="18">
        <v>10869.83</v>
      </c>
      <c r="J7342" s="27">
        <v>11441.93</v>
      </c>
      <c r="K7342" s="18">
        <f t="shared" si="229"/>
        <v>11441.93</v>
      </c>
      <c r="L7342" s="27">
        <v>10869.83</v>
      </c>
      <c r="M7342" s="36">
        <v>0</v>
      </c>
      <c r="T7342" s="41">
        <v>0</v>
      </c>
      <c r="U7342" s="41">
        <v>0</v>
      </c>
      <c r="V7342" s="42" t="s">
        <v>113</v>
      </c>
      <c r="W7342" s="42">
        <v>11441.93</v>
      </c>
      <c r="X7342" s="42">
        <v>11441.93</v>
      </c>
    </row>
    <row r="7343" spans="1:24">
      <c r="A7343" s="27" t="s">
        <v>13239</v>
      </c>
      <c r="B7343" s="28" t="s">
        <v>12240</v>
      </c>
      <c r="C7343" s="27" t="s">
        <v>13240</v>
      </c>
      <c r="D7343" s="27" t="s">
        <v>230</v>
      </c>
      <c r="E7343" s="29">
        <v>37712</v>
      </c>
      <c r="F7343" s="27">
        <v>15</v>
      </c>
      <c r="G7343" s="18">
        <v>11441.93</v>
      </c>
      <c r="H7343" s="27">
        <f t="shared" si="228"/>
        <v>11441.93</v>
      </c>
      <c r="I7343" s="18">
        <v>10869.83</v>
      </c>
      <c r="J7343" s="27">
        <v>11441.93</v>
      </c>
      <c r="K7343" s="18">
        <f t="shared" si="229"/>
        <v>11441.93</v>
      </c>
      <c r="L7343" s="27">
        <v>10869.83</v>
      </c>
      <c r="M7343" s="36">
        <v>0</v>
      </c>
      <c r="T7343" s="41">
        <v>0</v>
      </c>
      <c r="U7343" s="41">
        <v>0</v>
      </c>
      <c r="V7343" s="42" t="s">
        <v>113</v>
      </c>
      <c r="W7343" s="42">
        <v>11441.93</v>
      </c>
      <c r="X7343" s="42">
        <v>11441.93</v>
      </c>
    </row>
    <row r="7344" spans="1:24">
      <c r="A7344" s="27" t="s">
        <v>13241</v>
      </c>
      <c r="B7344" s="28" t="s">
        <v>12240</v>
      </c>
      <c r="C7344" s="27" t="s">
        <v>13242</v>
      </c>
      <c r="D7344" s="27" t="s">
        <v>230</v>
      </c>
      <c r="E7344" s="29">
        <v>37712</v>
      </c>
      <c r="F7344" s="27">
        <v>15</v>
      </c>
      <c r="G7344" s="18">
        <v>11441.93</v>
      </c>
      <c r="H7344" s="27">
        <f t="shared" si="228"/>
        <v>11441.93</v>
      </c>
      <c r="I7344" s="18">
        <v>10869.83</v>
      </c>
      <c r="J7344" s="27">
        <v>11441.93</v>
      </c>
      <c r="K7344" s="18">
        <f t="shared" si="229"/>
        <v>11441.93</v>
      </c>
      <c r="L7344" s="27">
        <v>10869.83</v>
      </c>
      <c r="M7344" s="36">
        <v>0</v>
      </c>
      <c r="T7344" s="41">
        <v>0</v>
      </c>
      <c r="U7344" s="41">
        <v>0</v>
      </c>
      <c r="V7344" s="42" t="s">
        <v>113</v>
      </c>
      <c r="W7344" s="42">
        <v>11441.93</v>
      </c>
      <c r="X7344" s="42">
        <v>11441.93</v>
      </c>
    </row>
    <row r="7345" spans="1:24">
      <c r="A7345" s="27" t="s">
        <v>13243</v>
      </c>
      <c r="B7345" s="28" t="s">
        <v>12240</v>
      </c>
      <c r="C7345" s="27" t="s">
        <v>13244</v>
      </c>
      <c r="D7345" s="27" t="s">
        <v>230</v>
      </c>
      <c r="E7345" s="29">
        <v>37712</v>
      </c>
      <c r="F7345" s="27">
        <v>15</v>
      </c>
      <c r="G7345" s="18">
        <v>11441.93</v>
      </c>
      <c r="H7345" s="27">
        <f t="shared" si="228"/>
        <v>11441.93</v>
      </c>
      <c r="I7345" s="18">
        <v>10869.83</v>
      </c>
      <c r="J7345" s="27">
        <v>11441.93</v>
      </c>
      <c r="K7345" s="18">
        <f t="shared" si="229"/>
        <v>11441.93</v>
      </c>
      <c r="L7345" s="27">
        <v>10869.83</v>
      </c>
      <c r="M7345" s="36">
        <v>0</v>
      </c>
      <c r="T7345" s="41">
        <v>0</v>
      </c>
      <c r="U7345" s="41">
        <v>0</v>
      </c>
      <c r="V7345" s="42" t="s">
        <v>113</v>
      </c>
      <c r="W7345" s="42">
        <v>11441.93</v>
      </c>
      <c r="X7345" s="42">
        <v>11441.93</v>
      </c>
    </row>
    <row r="7346" spans="1:24">
      <c r="A7346" s="27" t="s">
        <v>13245</v>
      </c>
      <c r="B7346" s="28" t="s">
        <v>12240</v>
      </c>
      <c r="C7346" s="27" t="s">
        <v>13246</v>
      </c>
      <c r="D7346" s="27" t="s">
        <v>230</v>
      </c>
      <c r="E7346" s="29">
        <v>37712</v>
      </c>
      <c r="F7346" s="27">
        <v>15</v>
      </c>
      <c r="G7346" s="18">
        <v>11441.93</v>
      </c>
      <c r="H7346" s="27">
        <f t="shared" si="228"/>
        <v>11441.93</v>
      </c>
      <c r="I7346" s="18">
        <v>10869.83</v>
      </c>
      <c r="J7346" s="27">
        <v>11441.93</v>
      </c>
      <c r="K7346" s="18">
        <f t="shared" si="229"/>
        <v>11441.93</v>
      </c>
      <c r="L7346" s="27">
        <v>10869.83</v>
      </c>
      <c r="M7346" s="36">
        <v>0</v>
      </c>
      <c r="T7346" s="41">
        <v>0</v>
      </c>
      <c r="U7346" s="41">
        <v>0</v>
      </c>
      <c r="V7346" s="42" t="s">
        <v>113</v>
      </c>
      <c r="W7346" s="42">
        <v>11441.93</v>
      </c>
      <c r="X7346" s="42">
        <v>11441.93</v>
      </c>
    </row>
    <row r="7347" spans="1:24">
      <c r="A7347" s="27" t="s">
        <v>13247</v>
      </c>
      <c r="B7347" s="28" t="s">
        <v>12240</v>
      </c>
      <c r="C7347" s="27" t="s">
        <v>13248</v>
      </c>
      <c r="D7347" s="27" t="s">
        <v>230</v>
      </c>
      <c r="E7347" s="29">
        <v>37712</v>
      </c>
      <c r="F7347" s="27">
        <v>15</v>
      </c>
      <c r="G7347" s="18">
        <v>11441.96</v>
      </c>
      <c r="H7347" s="27">
        <f t="shared" si="228"/>
        <v>11441.96</v>
      </c>
      <c r="I7347" s="18">
        <v>10869.86</v>
      </c>
      <c r="J7347" s="27">
        <v>11441.96</v>
      </c>
      <c r="K7347" s="18">
        <f t="shared" si="229"/>
        <v>11441.96</v>
      </c>
      <c r="L7347" s="27">
        <v>10869.86</v>
      </c>
      <c r="M7347" s="36">
        <v>0</v>
      </c>
      <c r="T7347" s="41">
        <v>0</v>
      </c>
      <c r="U7347" s="41">
        <v>0</v>
      </c>
      <c r="V7347" s="42" t="s">
        <v>113</v>
      </c>
      <c r="W7347" s="42">
        <v>11441.96</v>
      </c>
      <c r="X7347" s="42">
        <v>11441.96</v>
      </c>
    </row>
    <row r="7348" spans="1:24">
      <c r="A7348" s="27" t="s">
        <v>13249</v>
      </c>
      <c r="B7348" s="28" t="s">
        <v>12240</v>
      </c>
      <c r="C7348" s="27" t="s">
        <v>13250</v>
      </c>
      <c r="D7348" s="27" t="s">
        <v>230</v>
      </c>
      <c r="E7348" s="29">
        <v>39792</v>
      </c>
      <c r="F7348" s="27">
        <v>15</v>
      </c>
      <c r="G7348" s="18">
        <v>23877.66</v>
      </c>
      <c r="H7348" s="27">
        <f t="shared" si="228"/>
        <v>0</v>
      </c>
      <c r="I7348" s="18">
        <v>18430.57</v>
      </c>
      <c r="J7348" s="27">
        <v>23877.66</v>
      </c>
      <c r="K7348" s="18">
        <f t="shared" si="229"/>
        <v>0</v>
      </c>
      <c r="L7348" s="27">
        <v>19281.21</v>
      </c>
      <c r="M7348" s="36">
        <v>850.64</v>
      </c>
      <c r="T7348" s="41">
        <v>0</v>
      </c>
      <c r="U7348" s="41">
        <v>0</v>
      </c>
      <c r="V7348" s="42" t="s">
        <v>113</v>
      </c>
      <c r="W7348" s="42">
        <v>0</v>
      </c>
      <c r="X7348" s="42">
        <v>0</v>
      </c>
    </row>
    <row r="7349" spans="1:24">
      <c r="A7349" s="27" t="s">
        <v>13251</v>
      </c>
      <c r="B7349" s="28" t="s">
        <v>12240</v>
      </c>
      <c r="C7349" s="27" t="s">
        <v>13252</v>
      </c>
      <c r="D7349" s="27" t="s">
        <v>230</v>
      </c>
      <c r="E7349" s="29">
        <v>39792</v>
      </c>
      <c r="F7349" s="27">
        <v>15</v>
      </c>
      <c r="G7349" s="18">
        <v>23877.66</v>
      </c>
      <c r="H7349" s="27">
        <f t="shared" si="228"/>
        <v>0</v>
      </c>
      <c r="I7349" s="18">
        <v>18430.57</v>
      </c>
      <c r="J7349" s="27">
        <v>23877.66</v>
      </c>
      <c r="K7349" s="18">
        <f t="shared" si="229"/>
        <v>0</v>
      </c>
      <c r="L7349" s="27">
        <v>19281.21</v>
      </c>
      <c r="M7349" s="36">
        <v>850.64</v>
      </c>
      <c r="T7349" s="41">
        <v>0</v>
      </c>
      <c r="U7349" s="41">
        <v>0</v>
      </c>
      <c r="V7349" s="42" t="s">
        <v>113</v>
      </c>
      <c r="W7349" s="42">
        <v>0</v>
      </c>
      <c r="X7349" s="42">
        <v>0</v>
      </c>
    </row>
    <row r="7350" spans="1:24">
      <c r="A7350" s="27" t="s">
        <v>13253</v>
      </c>
      <c r="B7350" s="28" t="s">
        <v>12240</v>
      </c>
      <c r="C7350" s="27" t="s">
        <v>13254</v>
      </c>
      <c r="D7350" s="27" t="s">
        <v>230</v>
      </c>
      <c r="E7350" s="29">
        <v>38930</v>
      </c>
      <c r="F7350" s="27">
        <v>15</v>
      </c>
      <c r="G7350" s="18">
        <v>25694.91</v>
      </c>
      <c r="H7350" s="27">
        <f t="shared" si="228"/>
        <v>0</v>
      </c>
      <c r="I7350" s="18">
        <v>23681.64</v>
      </c>
      <c r="J7350" s="27">
        <v>25694.91</v>
      </c>
      <c r="K7350" s="18">
        <f t="shared" si="229"/>
        <v>0</v>
      </c>
      <c r="L7350" s="27">
        <v>23954.84</v>
      </c>
      <c r="M7350" s="36">
        <v>273.2</v>
      </c>
      <c r="T7350" s="41">
        <v>0</v>
      </c>
      <c r="U7350" s="41">
        <v>0</v>
      </c>
      <c r="V7350" s="42" t="s">
        <v>113</v>
      </c>
      <c r="W7350" s="42">
        <v>0</v>
      </c>
      <c r="X7350" s="42">
        <v>25694.91</v>
      </c>
    </row>
    <row r="7351" spans="1:24">
      <c r="A7351" s="27" t="s">
        <v>13255</v>
      </c>
      <c r="B7351" s="28" t="s">
        <v>12240</v>
      </c>
      <c r="C7351" s="27" t="s">
        <v>13256</v>
      </c>
      <c r="D7351" s="27" t="s">
        <v>230</v>
      </c>
      <c r="E7351" s="29">
        <v>38930</v>
      </c>
      <c r="F7351" s="27">
        <v>15</v>
      </c>
      <c r="G7351" s="18">
        <v>25694.91</v>
      </c>
      <c r="H7351" s="27">
        <f t="shared" si="228"/>
        <v>0</v>
      </c>
      <c r="I7351" s="18">
        <v>23681.64</v>
      </c>
      <c r="J7351" s="27">
        <v>25694.91</v>
      </c>
      <c r="K7351" s="18">
        <f t="shared" si="229"/>
        <v>0</v>
      </c>
      <c r="L7351" s="27">
        <v>23954.84</v>
      </c>
      <c r="M7351" s="36">
        <v>273.2</v>
      </c>
      <c r="T7351" s="41">
        <v>0</v>
      </c>
      <c r="U7351" s="41">
        <v>0</v>
      </c>
      <c r="V7351" s="42" t="s">
        <v>113</v>
      </c>
      <c r="W7351" s="42">
        <v>0</v>
      </c>
      <c r="X7351" s="42">
        <v>25694.91</v>
      </c>
    </row>
    <row r="7352" spans="1:24">
      <c r="A7352" s="27" t="s">
        <v>13257</v>
      </c>
      <c r="B7352" s="28" t="s">
        <v>12240</v>
      </c>
      <c r="C7352" s="27" t="s">
        <v>13258</v>
      </c>
      <c r="D7352" s="27" t="s">
        <v>230</v>
      </c>
      <c r="E7352" s="29">
        <v>35765</v>
      </c>
      <c r="F7352" s="27">
        <v>15</v>
      </c>
      <c r="G7352" s="18">
        <v>28079.17</v>
      </c>
      <c r="H7352" s="27">
        <f t="shared" si="228"/>
        <v>28079.17</v>
      </c>
      <c r="I7352" s="18">
        <v>26675.21</v>
      </c>
      <c r="J7352" s="27">
        <v>28079.17</v>
      </c>
      <c r="K7352" s="18">
        <f t="shared" si="229"/>
        <v>28079.17</v>
      </c>
      <c r="L7352" s="27">
        <v>26675.21</v>
      </c>
      <c r="M7352" s="36">
        <v>0</v>
      </c>
      <c r="T7352" s="41">
        <v>0</v>
      </c>
      <c r="U7352" s="41">
        <v>0</v>
      </c>
      <c r="V7352" s="42" t="s">
        <v>113</v>
      </c>
      <c r="W7352" s="42">
        <v>28079.17</v>
      </c>
      <c r="X7352" s="42">
        <v>28079.17</v>
      </c>
    </row>
    <row r="7353" spans="1:24">
      <c r="A7353" s="27" t="s">
        <v>13259</v>
      </c>
      <c r="B7353" s="28" t="s">
        <v>12240</v>
      </c>
      <c r="C7353" s="27" t="s">
        <v>13260</v>
      </c>
      <c r="D7353" s="27" t="s">
        <v>230</v>
      </c>
      <c r="E7353" s="29">
        <v>35765</v>
      </c>
      <c r="F7353" s="27">
        <v>15</v>
      </c>
      <c r="G7353" s="18">
        <v>28079.17</v>
      </c>
      <c r="H7353" s="27">
        <f t="shared" si="228"/>
        <v>28079.17</v>
      </c>
      <c r="I7353" s="18">
        <v>26675.21</v>
      </c>
      <c r="J7353" s="27">
        <v>28079.17</v>
      </c>
      <c r="K7353" s="18">
        <f t="shared" si="229"/>
        <v>28079.17</v>
      </c>
      <c r="L7353" s="27">
        <v>26675.21</v>
      </c>
      <c r="M7353" s="36">
        <v>0</v>
      </c>
      <c r="T7353" s="41">
        <v>0</v>
      </c>
      <c r="U7353" s="41">
        <v>0</v>
      </c>
      <c r="V7353" s="42" t="s">
        <v>113</v>
      </c>
      <c r="W7353" s="42">
        <v>28079.17</v>
      </c>
      <c r="X7353" s="42">
        <v>28079.17</v>
      </c>
    </row>
    <row r="7354" spans="1:24">
      <c r="A7354" s="27" t="s">
        <v>13261</v>
      </c>
      <c r="B7354" s="28" t="s">
        <v>12240</v>
      </c>
      <c r="C7354" s="27" t="s">
        <v>13262</v>
      </c>
      <c r="D7354" s="27" t="s">
        <v>230</v>
      </c>
      <c r="E7354" s="29">
        <v>35765</v>
      </c>
      <c r="F7354" s="27">
        <v>15</v>
      </c>
      <c r="G7354" s="18">
        <v>28079.16</v>
      </c>
      <c r="H7354" s="27">
        <f t="shared" si="228"/>
        <v>28079.16</v>
      </c>
      <c r="I7354" s="18">
        <v>26675.200000000001</v>
      </c>
      <c r="J7354" s="27">
        <v>28079.16</v>
      </c>
      <c r="K7354" s="18">
        <f t="shared" si="229"/>
        <v>28079.16</v>
      </c>
      <c r="L7354" s="27">
        <v>26675.200000000001</v>
      </c>
      <c r="M7354" s="36">
        <v>0</v>
      </c>
      <c r="T7354" s="41">
        <v>0</v>
      </c>
      <c r="U7354" s="41">
        <v>0</v>
      </c>
      <c r="V7354" s="42" t="s">
        <v>113</v>
      </c>
      <c r="W7354" s="42">
        <v>28079.16</v>
      </c>
      <c r="X7354" s="42">
        <v>28079.16</v>
      </c>
    </row>
    <row r="7355" spans="1:24">
      <c r="A7355" s="27" t="s">
        <v>13263</v>
      </c>
      <c r="B7355" s="28" t="s">
        <v>12240</v>
      </c>
      <c r="C7355" s="27" t="s">
        <v>13264</v>
      </c>
      <c r="D7355" s="27" t="s">
        <v>230</v>
      </c>
      <c r="E7355" s="29">
        <v>35462</v>
      </c>
      <c r="F7355" s="27">
        <v>15</v>
      </c>
      <c r="G7355" s="18">
        <v>42876.17</v>
      </c>
      <c r="H7355" s="27">
        <f t="shared" si="228"/>
        <v>42876.17</v>
      </c>
      <c r="I7355" s="18">
        <v>40732.36</v>
      </c>
      <c r="J7355" s="27">
        <v>42876.17</v>
      </c>
      <c r="K7355" s="18">
        <f t="shared" si="229"/>
        <v>42876.17</v>
      </c>
      <c r="L7355" s="27">
        <v>40732.36</v>
      </c>
      <c r="M7355" s="36">
        <v>0</v>
      </c>
      <c r="T7355" s="41">
        <v>0</v>
      </c>
      <c r="U7355" s="41">
        <v>0</v>
      </c>
      <c r="V7355" s="42" t="s">
        <v>113</v>
      </c>
      <c r="W7355" s="42">
        <v>42876.17</v>
      </c>
      <c r="X7355" s="42">
        <v>42876.17</v>
      </c>
    </row>
    <row r="7356" spans="1:24">
      <c r="A7356" s="27" t="s">
        <v>13265</v>
      </c>
      <c r="B7356" s="28" t="s">
        <v>12240</v>
      </c>
      <c r="C7356" s="27" t="s">
        <v>13266</v>
      </c>
      <c r="D7356" s="27" t="s">
        <v>230</v>
      </c>
      <c r="E7356" s="29">
        <v>35462</v>
      </c>
      <c r="F7356" s="27">
        <v>15</v>
      </c>
      <c r="G7356" s="18">
        <v>42876.17</v>
      </c>
      <c r="H7356" s="27">
        <f t="shared" si="228"/>
        <v>42876.17</v>
      </c>
      <c r="I7356" s="18">
        <v>40732.36</v>
      </c>
      <c r="J7356" s="27">
        <v>42876.17</v>
      </c>
      <c r="K7356" s="18">
        <f t="shared" si="229"/>
        <v>42876.17</v>
      </c>
      <c r="L7356" s="27">
        <v>40732.36</v>
      </c>
      <c r="M7356" s="36">
        <v>0</v>
      </c>
      <c r="T7356" s="41">
        <v>0</v>
      </c>
      <c r="U7356" s="41">
        <v>0</v>
      </c>
      <c r="V7356" s="42" t="s">
        <v>113</v>
      </c>
      <c r="W7356" s="42">
        <v>42876.17</v>
      </c>
      <c r="X7356" s="42">
        <v>42876.17</v>
      </c>
    </row>
    <row r="7357" spans="1:24">
      <c r="A7357" s="27" t="s">
        <v>13267</v>
      </c>
      <c r="B7357" s="28" t="s">
        <v>12240</v>
      </c>
      <c r="C7357" s="27" t="s">
        <v>13268</v>
      </c>
      <c r="D7357" s="27" t="s">
        <v>230</v>
      </c>
      <c r="E7357" s="29">
        <v>37834</v>
      </c>
      <c r="F7357" s="27">
        <v>15</v>
      </c>
      <c r="G7357" s="18">
        <v>45470.26</v>
      </c>
      <c r="H7357" s="27">
        <f t="shared" si="228"/>
        <v>45470.26</v>
      </c>
      <c r="I7357" s="18">
        <v>43196.75</v>
      </c>
      <c r="J7357" s="27">
        <v>45470.26</v>
      </c>
      <c r="K7357" s="18">
        <f t="shared" si="229"/>
        <v>45470.26</v>
      </c>
      <c r="L7357" s="27">
        <v>43196.75</v>
      </c>
      <c r="M7357" s="36">
        <v>0</v>
      </c>
      <c r="T7357" s="41">
        <v>0</v>
      </c>
      <c r="U7357" s="41">
        <v>0</v>
      </c>
      <c r="V7357" s="42" t="s">
        <v>113</v>
      </c>
      <c r="W7357" s="42">
        <v>45470.26</v>
      </c>
      <c r="X7357" s="42">
        <v>45470.26</v>
      </c>
    </row>
    <row r="7358" spans="1:24">
      <c r="A7358" s="27" t="s">
        <v>13269</v>
      </c>
      <c r="B7358" s="28" t="s">
        <v>12240</v>
      </c>
      <c r="C7358" s="27" t="s">
        <v>13270</v>
      </c>
      <c r="D7358" s="27" t="s">
        <v>230</v>
      </c>
      <c r="E7358" s="29">
        <v>38078</v>
      </c>
      <c r="F7358" s="27">
        <v>15</v>
      </c>
      <c r="G7358" s="18">
        <v>59823.47</v>
      </c>
      <c r="H7358" s="27">
        <f t="shared" si="228"/>
        <v>59823.47</v>
      </c>
      <c r="I7358" s="18">
        <v>56832.3</v>
      </c>
      <c r="J7358" s="27">
        <v>59823.47</v>
      </c>
      <c r="K7358" s="18">
        <f t="shared" si="229"/>
        <v>59823.47</v>
      </c>
      <c r="L7358" s="27">
        <v>56832.3</v>
      </c>
      <c r="M7358" s="36">
        <v>0</v>
      </c>
      <c r="T7358" s="41">
        <v>0</v>
      </c>
      <c r="U7358" s="41">
        <v>0</v>
      </c>
      <c r="V7358" s="42" t="s">
        <v>113</v>
      </c>
      <c r="W7358" s="42">
        <v>59823.47</v>
      </c>
      <c r="X7358" s="42">
        <v>59823.47</v>
      </c>
    </row>
    <row r="7359" spans="1:24">
      <c r="A7359" s="27" t="s">
        <v>13271</v>
      </c>
      <c r="B7359" s="28" t="s">
        <v>12240</v>
      </c>
      <c r="C7359" s="27" t="s">
        <v>13272</v>
      </c>
      <c r="D7359" s="27" t="s">
        <v>230</v>
      </c>
      <c r="E7359" s="29">
        <v>38078</v>
      </c>
      <c r="F7359" s="27">
        <v>15</v>
      </c>
      <c r="G7359" s="18">
        <v>59823.46</v>
      </c>
      <c r="H7359" s="27">
        <f t="shared" si="228"/>
        <v>59823.46</v>
      </c>
      <c r="I7359" s="18">
        <v>56832.29</v>
      </c>
      <c r="J7359" s="27">
        <v>59823.46</v>
      </c>
      <c r="K7359" s="18">
        <f t="shared" si="229"/>
        <v>59823.46</v>
      </c>
      <c r="L7359" s="27">
        <v>56832.29</v>
      </c>
      <c r="M7359" s="36">
        <v>0</v>
      </c>
      <c r="T7359" s="41">
        <v>0</v>
      </c>
      <c r="U7359" s="41">
        <v>0</v>
      </c>
      <c r="V7359" s="42" t="s">
        <v>113</v>
      </c>
      <c r="W7359" s="42">
        <v>59823.46</v>
      </c>
      <c r="X7359" s="42">
        <v>59823.46</v>
      </c>
    </row>
    <row r="7360" spans="1:24">
      <c r="A7360" s="27" t="s">
        <v>13273</v>
      </c>
      <c r="B7360" s="28" t="s">
        <v>12240</v>
      </c>
      <c r="C7360" s="27" t="s">
        <v>13274</v>
      </c>
      <c r="D7360" s="27" t="s">
        <v>230</v>
      </c>
      <c r="E7360" s="29">
        <v>39854</v>
      </c>
      <c r="F7360" s="27">
        <v>15</v>
      </c>
      <c r="G7360" s="18">
        <v>72445.73</v>
      </c>
      <c r="H7360" s="27">
        <f t="shared" si="228"/>
        <v>0</v>
      </c>
      <c r="I7360" s="18">
        <v>55035.34</v>
      </c>
      <c r="J7360" s="27">
        <v>72445.73</v>
      </c>
      <c r="K7360" s="18">
        <f t="shared" si="229"/>
        <v>0</v>
      </c>
      <c r="L7360" s="27">
        <v>57704</v>
      </c>
      <c r="M7360" s="36">
        <v>2668.66</v>
      </c>
      <c r="T7360" s="41">
        <v>0</v>
      </c>
      <c r="U7360" s="41">
        <v>0</v>
      </c>
      <c r="V7360" s="42" t="s">
        <v>113</v>
      </c>
      <c r="W7360" s="42">
        <v>0</v>
      </c>
      <c r="X7360" s="42">
        <v>0</v>
      </c>
    </row>
    <row r="7361" spans="1:24">
      <c r="A7361" s="27" t="s">
        <v>13275</v>
      </c>
      <c r="B7361" s="28" t="s">
        <v>12240</v>
      </c>
      <c r="C7361" s="27" t="s">
        <v>13276</v>
      </c>
      <c r="D7361" s="27" t="s">
        <v>230</v>
      </c>
      <c r="E7361" s="29">
        <v>39539</v>
      </c>
      <c r="F7361" s="27">
        <v>15</v>
      </c>
      <c r="G7361" s="18">
        <v>73290.55</v>
      </c>
      <c r="H7361" s="27">
        <f t="shared" si="228"/>
        <v>0</v>
      </c>
      <c r="I7361" s="18">
        <v>59951.75</v>
      </c>
      <c r="J7361" s="27">
        <v>73290.55</v>
      </c>
      <c r="K7361" s="18">
        <f t="shared" si="229"/>
        <v>0</v>
      </c>
      <c r="L7361" s="27">
        <v>62184.27</v>
      </c>
      <c r="M7361" s="36">
        <v>2232.52</v>
      </c>
      <c r="T7361" s="41">
        <v>0</v>
      </c>
      <c r="U7361" s="41">
        <v>0</v>
      </c>
      <c r="V7361" s="42" t="s">
        <v>113</v>
      </c>
      <c r="W7361" s="42">
        <v>0</v>
      </c>
      <c r="X7361" s="42">
        <v>0</v>
      </c>
    </row>
    <row r="7362" spans="1:24">
      <c r="A7362" s="27" t="s">
        <v>13277</v>
      </c>
      <c r="B7362" s="28" t="s">
        <v>12240</v>
      </c>
      <c r="C7362" s="27" t="s">
        <v>13278</v>
      </c>
      <c r="D7362" s="27" t="s">
        <v>230</v>
      </c>
      <c r="E7362" s="29">
        <v>36495</v>
      </c>
      <c r="F7362" s="27">
        <v>15</v>
      </c>
      <c r="G7362" s="18">
        <v>71875.149999999994</v>
      </c>
      <c r="H7362" s="27">
        <f t="shared" si="228"/>
        <v>71875.149999999994</v>
      </c>
      <c r="I7362" s="18">
        <v>68281.39</v>
      </c>
      <c r="J7362" s="27">
        <v>71875.149999999994</v>
      </c>
      <c r="K7362" s="18">
        <f t="shared" si="229"/>
        <v>71875.149999999994</v>
      </c>
      <c r="L7362" s="27">
        <v>68281.39</v>
      </c>
      <c r="M7362" s="36">
        <v>0</v>
      </c>
      <c r="T7362" s="41">
        <v>0</v>
      </c>
      <c r="U7362" s="41">
        <v>0</v>
      </c>
      <c r="V7362" s="42" t="s">
        <v>113</v>
      </c>
      <c r="W7362" s="42">
        <v>71875.149999999994</v>
      </c>
      <c r="X7362" s="42">
        <v>71875.149999999994</v>
      </c>
    </row>
    <row r="7363" spans="1:24">
      <c r="A7363" s="27" t="s">
        <v>13279</v>
      </c>
      <c r="B7363" s="28" t="s">
        <v>12240</v>
      </c>
      <c r="C7363" s="27" t="s">
        <v>13280</v>
      </c>
      <c r="D7363" s="27" t="s">
        <v>230</v>
      </c>
      <c r="E7363" s="29">
        <v>36495</v>
      </c>
      <c r="F7363" s="27">
        <v>15</v>
      </c>
      <c r="G7363" s="18">
        <v>71875.149999999994</v>
      </c>
      <c r="H7363" s="27">
        <f t="shared" si="228"/>
        <v>71875.149999999994</v>
      </c>
      <c r="I7363" s="18">
        <v>68281.39</v>
      </c>
      <c r="J7363" s="27">
        <v>71875.149999999994</v>
      </c>
      <c r="K7363" s="18">
        <f t="shared" si="229"/>
        <v>71875.149999999994</v>
      </c>
      <c r="L7363" s="27">
        <v>68281.39</v>
      </c>
      <c r="M7363" s="36">
        <v>0</v>
      </c>
      <c r="T7363" s="41">
        <v>0</v>
      </c>
      <c r="U7363" s="41">
        <v>0</v>
      </c>
      <c r="V7363" s="42" t="s">
        <v>113</v>
      </c>
      <c r="W7363" s="42">
        <v>71875.149999999994</v>
      </c>
      <c r="X7363" s="42">
        <v>71875.149999999994</v>
      </c>
    </row>
    <row r="7364" spans="1:24">
      <c r="A7364" s="27" t="s">
        <v>13281</v>
      </c>
      <c r="B7364" s="28" t="s">
        <v>12240</v>
      </c>
      <c r="C7364" s="27" t="s">
        <v>13282</v>
      </c>
      <c r="D7364" s="27" t="s">
        <v>230</v>
      </c>
      <c r="E7364" s="29">
        <v>36495</v>
      </c>
      <c r="F7364" s="27">
        <v>15</v>
      </c>
      <c r="G7364" s="18">
        <v>71875.149999999994</v>
      </c>
      <c r="H7364" s="27">
        <f t="shared" si="228"/>
        <v>71875.149999999994</v>
      </c>
      <c r="I7364" s="18">
        <v>68281.39</v>
      </c>
      <c r="J7364" s="27">
        <v>71875.149999999994</v>
      </c>
      <c r="K7364" s="18">
        <f t="shared" si="229"/>
        <v>71875.149999999994</v>
      </c>
      <c r="L7364" s="27">
        <v>68281.39</v>
      </c>
      <c r="M7364" s="36">
        <v>0</v>
      </c>
      <c r="T7364" s="41">
        <v>0</v>
      </c>
      <c r="U7364" s="41">
        <v>0</v>
      </c>
      <c r="V7364" s="42" t="s">
        <v>113</v>
      </c>
      <c r="W7364" s="42">
        <v>71875.149999999994</v>
      </c>
      <c r="X7364" s="42">
        <v>71875.149999999994</v>
      </c>
    </row>
    <row r="7365" spans="1:24">
      <c r="A7365" s="27" t="s">
        <v>13283</v>
      </c>
      <c r="B7365" s="28" t="s">
        <v>12240</v>
      </c>
      <c r="C7365" s="27" t="s">
        <v>13284</v>
      </c>
      <c r="D7365" s="27" t="s">
        <v>230</v>
      </c>
      <c r="E7365" s="29">
        <v>39854</v>
      </c>
      <c r="F7365" s="27">
        <v>15</v>
      </c>
      <c r="G7365" s="18">
        <v>5600.84</v>
      </c>
      <c r="H7365" s="27">
        <f t="shared" si="228"/>
        <v>0</v>
      </c>
      <c r="I7365" s="18">
        <v>4254.83</v>
      </c>
      <c r="J7365" s="27">
        <v>5600.84</v>
      </c>
      <c r="K7365" s="18">
        <f t="shared" si="229"/>
        <v>0</v>
      </c>
      <c r="L7365" s="27">
        <v>4461.1499999999996</v>
      </c>
      <c r="M7365" s="36">
        <v>206.32</v>
      </c>
      <c r="T7365" s="41">
        <v>0</v>
      </c>
      <c r="U7365" s="41">
        <v>0</v>
      </c>
      <c r="V7365" s="42" t="s">
        <v>113</v>
      </c>
      <c r="W7365" s="42">
        <v>0</v>
      </c>
      <c r="X7365" s="42">
        <v>0</v>
      </c>
    </row>
    <row r="7366" spans="1:24">
      <c r="A7366" s="27" t="s">
        <v>13285</v>
      </c>
      <c r="B7366" s="28" t="s">
        <v>12240</v>
      </c>
      <c r="C7366" s="27" t="s">
        <v>13286</v>
      </c>
      <c r="D7366" s="27" t="s">
        <v>230</v>
      </c>
      <c r="E7366" s="29">
        <v>39854</v>
      </c>
      <c r="F7366" s="27">
        <v>15</v>
      </c>
      <c r="G7366" s="18">
        <v>5600.84</v>
      </c>
      <c r="H7366" s="27">
        <f t="shared" ref="H7366:H7429" si="230">IFERROR(IF(ROUND((G7366-I7366)/G7366,2)&lt;=0.05,G7366,0),0)</f>
        <v>0</v>
      </c>
      <c r="I7366" s="18">
        <v>4254.83</v>
      </c>
      <c r="J7366" s="27">
        <v>5600.84</v>
      </c>
      <c r="K7366" s="18">
        <f t="shared" ref="K7366:K7429" si="231">IFERROR(IF(ROUND((J7366-L7366)/J7366,2)&lt;=0.05,J7366,0),0)</f>
        <v>0</v>
      </c>
      <c r="L7366" s="27">
        <v>4461.1499999999996</v>
      </c>
      <c r="M7366" s="36">
        <v>206.32</v>
      </c>
      <c r="T7366" s="41">
        <v>0</v>
      </c>
      <c r="U7366" s="41">
        <v>0</v>
      </c>
      <c r="V7366" s="42" t="s">
        <v>113</v>
      </c>
      <c r="W7366" s="42">
        <v>0</v>
      </c>
      <c r="X7366" s="42">
        <v>0</v>
      </c>
    </row>
    <row r="7367" spans="1:24">
      <c r="A7367" s="27" t="s">
        <v>13287</v>
      </c>
      <c r="B7367" s="28" t="s">
        <v>12240</v>
      </c>
      <c r="C7367" s="27" t="s">
        <v>13288</v>
      </c>
      <c r="D7367" s="27" t="s">
        <v>230</v>
      </c>
      <c r="E7367" s="29">
        <v>39854</v>
      </c>
      <c r="F7367" s="27">
        <v>15</v>
      </c>
      <c r="G7367" s="18">
        <v>5600.84</v>
      </c>
      <c r="H7367" s="27">
        <f t="shared" si="230"/>
        <v>0</v>
      </c>
      <c r="I7367" s="18">
        <v>4254.83</v>
      </c>
      <c r="J7367" s="27">
        <v>5600.84</v>
      </c>
      <c r="K7367" s="18">
        <f t="shared" si="231"/>
        <v>0</v>
      </c>
      <c r="L7367" s="27">
        <v>4461.1499999999996</v>
      </c>
      <c r="M7367" s="36">
        <v>206.32</v>
      </c>
      <c r="T7367" s="41">
        <v>0</v>
      </c>
      <c r="U7367" s="41">
        <v>0</v>
      </c>
      <c r="V7367" s="42" t="s">
        <v>113</v>
      </c>
      <c r="W7367" s="42">
        <v>0</v>
      </c>
      <c r="X7367" s="42">
        <v>0</v>
      </c>
    </row>
    <row r="7368" spans="1:24">
      <c r="A7368" s="27" t="s">
        <v>13289</v>
      </c>
      <c r="B7368" s="28" t="s">
        <v>12240</v>
      </c>
      <c r="C7368" s="27" t="s">
        <v>13290</v>
      </c>
      <c r="D7368" s="27" t="s">
        <v>230</v>
      </c>
      <c r="E7368" s="29">
        <v>39854</v>
      </c>
      <c r="F7368" s="27">
        <v>15</v>
      </c>
      <c r="G7368" s="18">
        <v>5600.84</v>
      </c>
      <c r="H7368" s="27">
        <f t="shared" si="230"/>
        <v>0</v>
      </c>
      <c r="I7368" s="18">
        <v>4254.83</v>
      </c>
      <c r="J7368" s="27">
        <v>5600.84</v>
      </c>
      <c r="K7368" s="18">
        <f t="shared" si="231"/>
        <v>0</v>
      </c>
      <c r="L7368" s="27">
        <v>4461.1499999999996</v>
      </c>
      <c r="M7368" s="36">
        <v>206.32</v>
      </c>
      <c r="T7368" s="41">
        <v>0</v>
      </c>
      <c r="U7368" s="41">
        <v>0</v>
      </c>
      <c r="V7368" s="42" t="s">
        <v>113</v>
      </c>
      <c r="W7368" s="42">
        <v>0</v>
      </c>
      <c r="X7368" s="42">
        <v>0</v>
      </c>
    </row>
    <row r="7369" spans="1:24">
      <c r="A7369" s="27" t="s">
        <v>13291</v>
      </c>
      <c r="B7369" s="28" t="s">
        <v>12240</v>
      </c>
      <c r="C7369" s="27" t="s">
        <v>13292</v>
      </c>
      <c r="D7369" s="27" t="s">
        <v>230</v>
      </c>
      <c r="E7369" s="29">
        <v>39854</v>
      </c>
      <c r="F7369" s="27">
        <v>15</v>
      </c>
      <c r="G7369" s="18">
        <v>5600.84</v>
      </c>
      <c r="H7369" s="27">
        <f t="shared" si="230"/>
        <v>0</v>
      </c>
      <c r="I7369" s="18">
        <v>4254.83</v>
      </c>
      <c r="J7369" s="27">
        <v>5600.84</v>
      </c>
      <c r="K7369" s="18">
        <f t="shared" si="231"/>
        <v>0</v>
      </c>
      <c r="L7369" s="27">
        <v>4461.1499999999996</v>
      </c>
      <c r="M7369" s="36">
        <v>206.32</v>
      </c>
      <c r="T7369" s="41">
        <v>0</v>
      </c>
      <c r="U7369" s="41">
        <v>0</v>
      </c>
      <c r="V7369" s="42" t="s">
        <v>113</v>
      </c>
      <c r="W7369" s="42">
        <v>0</v>
      </c>
      <c r="X7369" s="42">
        <v>0</v>
      </c>
    </row>
    <row r="7370" spans="1:24">
      <c r="A7370" s="27" t="s">
        <v>13293</v>
      </c>
      <c r="B7370" s="28" t="s">
        <v>12240</v>
      </c>
      <c r="C7370" s="27" t="s">
        <v>13294</v>
      </c>
      <c r="D7370" s="27" t="s">
        <v>230</v>
      </c>
      <c r="E7370" s="29">
        <v>39854</v>
      </c>
      <c r="F7370" s="27">
        <v>15</v>
      </c>
      <c r="G7370" s="18">
        <v>5600.84</v>
      </c>
      <c r="H7370" s="27">
        <f t="shared" si="230"/>
        <v>0</v>
      </c>
      <c r="I7370" s="18">
        <v>4254.83</v>
      </c>
      <c r="J7370" s="27">
        <v>5600.84</v>
      </c>
      <c r="K7370" s="18">
        <f t="shared" si="231"/>
        <v>0</v>
      </c>
      <c r="L7370" s="27">
        <v>4461.1499999999996</v>
      </c>
      <c r="M7370" s="36">
        <v>206.32</v>
      </c>
      <c r="T7370" s="41">
        <v>0</v>
      </c>
      <c r="U7370" s="41">
        <v>0</v>
      </c>
      <c r="V7370" s="42" t="s">
        <v>113</v>
      </c>
      <c r="W7370" s="42">
        <v>0</v>
      </c>
      <c r="X7370" s="42">
        <v>0</v>
      </c>
    </row>
    <row r="7371" spans="1:24">
      <c r="A7371" s="27" t="s">
        <v>13295</v>
      </c>
      <c r="B7371" s="28" t="s">
        <v>12240</v>
      </c>
      <c r="C7371" s="27" t="s">
        <v>13296</v>
      </c>
      <c r="D7371" s="27" t="s">
        <v>230</v>
      </c>
      <c r="E7371" s="29">
        <v>39854</v>
      </c>
      <c r="F7371" s="27">
        <v>15</v>
      </c>
      <c r="G7371" s="18">
        <v>5600.84</v>
      </c>
      <c r="H7371" s="27">
        <f t="shared" si="230"/>
        <v>0</v>
      </c>
      <c r="I7371" s="18">
        <v>4254.83</v>
      </c>
      <c r="J7371" s="27">
        <v>5600.84</v>
      </c>
      <c r="K7371" s="18">
        <f t="shared" si="231"/>
        <v>0</v>
      </c>
      <c r="L7371" s="27">
        <v>4461.1499999999996</v>
      </c>
      <c r="M7371" s="36">
        <v>206.32</v>
      </c>
      <c r="T7371" s="41">
        <v>0</v>
      </c>
      <c r="U7371" s="41">
        <v>0</v>
      </c>
      <c r="V7371" s="42" t="s">
        <v>113</v>
      </c>
      <c r="W7371" s="42">
        <v>0</v>
      </c>
      <c r="X7371" s="42">
        <v>0</v>
      </c>
    </row>
    <row r="7372" spans="1:24">
      <c r="A7372" s="27" t="s">
        <v>13297</v>
      </c>
      <c r="B7372" s="28" t="s">
        <v>12240</v>
      </c>
      <c r="C7372" s="27" t="s">
        <v>13298</v>
      </c>
      <c r="D7372" s="27" t="s">
        <v>230</v>
      </c>
      <c r="E7372" s="29">
        <v>39854</v>
      </c>
      <c r="F7372" s="27">
        <v>15</v>
      </c>
      <c r="G7372" s="18">
        <v>5600.84</v>
      </c>
      <c r="H7372" s="27">
        <f t="shared" si="230"/>
        <v>0</v>
      </c>
      <c r="I7372" s="18">
        <v>4254.83</v>
      </c>
      <c r="J7372" s="27">
        <v>5600.84</v>
      </c>
      <c r="K7372" s="18">
        <f t="shared" si="231"/>
        <v>0</v>
      </c>
      <c r="L7372" s="27">
        <v>4461.1499999999996</v>
      </c>
      <c r="M7372" s="36">
        <v>206.32</v>
      </c>
      <c r="T7372" s="41">
        <v>0</v>
      </c>
      <c r="U7372" s="41">
        <v>0</v>
      </c>
      <c r="V7372" s="42" t="s">
        <v>113</v>
      </c>
      <c r="W7372" s="42">
        <v>0</v>
      </c>
      <c r="X7372" s="42">
        <v>0</v>
      </c>
    </row>
    <row r="7373" spans="1:24">
      <c r="A7373" s="27" t="s">
        <v>13299</v>
      </c>
      <c r="B7373" s="28" t="s">
        <v>12240</v>
      </c>
      <c r="C7373" s="27" t="s">
        <v>13300</v>
      </c>
      <c r="D7373" s="27" t="s">
        <v>230</v>
      </c>
      <c r="E7373" s="29">
        <v>39854</v>
      </c>
      <c r="F7373" s="27">
        <v>15</v>
      </c>
      <c r="G7373" s="18">
        <v>5600.87</v>
      </c>
      <c r="H7373" s="27">
        <f t="shared" si="230"/>
        <v>0</v>
      </c>
      <c r="I7373" s="18">
        <v>4254.8599999999997</v>
      </c>
      <c r="J7373" s="27">
        <v>5600.87</v>
      </c>
      <c r="K7373" s="18">
        <f t="shared" si="231"/>
        <v>0</v>
      </c>
      <c r="L7373" s="27">
        <v>4461.18</v>
      </c>
      <c r="M7373" s="36">
        <v>206.32</v>
      </c>
      <c r="T7373" s="41">
        <v>0</v>
      </c>
      <c r="U7373" s="41">
        <v>0</v>
      </c>
      <c r="V7373" s="42" t="s">
        <v>113</v>
      </c>
      <c r="W7373" s="42">
        <v>0</v>
      </c>
      <c r="X7373" s="42">
        <v>0</v>
      </c>
    </row>
    <row r="7374" spans="1:24">
      <c r="A7374" s="27" t="s">
        <v>13301</v>
      </c>
      <c r="B7374" s="28" t="s">
        <v>12240</v>
      </c>
      <c r="C7374" s="27" t="s">
        <v>13302</v>
      </c>
      <c r="D7374" s="27" t="s">
        <v>230</v>
      </c>
      <c r="E7374" s="29">
        <v>37530</v>
      </c>
      <c r="F7374" s="27">
        <v>15</v>
      </c>
      <c r="G7374" s="18">
        <v>190011.05</v>
      </c>
      <c r="H7374" s="27">
        <f t="shared" si="230"/>
        <v>190011.05</v>
      </c>
      <c r="I7374" s="18">
        <v>180510.5</v>
      </c>
      <c r="J7374" s="27">
        <v>190011.05</v>
      </c>
      <c r="K7374" s="18">
        <f t="shared" si="231"/>
        <v>190011.05</v>
      </c>
      <c r="L7374" s="27">
        <v>180510.5</v>
      </c>
      <c r="M7374" s="36">
        <v>0</v>
      </c>
      <c r="T7374" s="41">
        <v>0</v>
      </c>
      <c r="U7374" s="41">
        <v>0</v>
      </c>
      <c r="V7374" s="42" t="s">
        <v>113</v>
      </c>
      <c r="W7374" s="42">
        <v>190011.05</v>
      </c>
      <c r="X7374" s="42">
        <v>190011.05</v>
      </c>
    </row>
    <row r="7375" spans="1:24">
      <c r="A7375" s="27" t="s">
        <v>13303</v>
      </c>
      <c r="B7375" s="28" t="s">
        <v>12240</v>
      </c>
      <c r="C7375" s="27" t="s">
        <v>13304</v>
      </c>
      <c r="D7375" s="27" t="s">
        <v>5104</v>
      </c>
      <c r="E7375" s="29">
        <v>37530</v>
      </c>
      <c r="F7375" s="27">
        <v>15</v>
      </c>
      <c r="G7375" s="18">
        <v>190011.04</v>
      </c>
      <c r="H7375" s="27">
        <f t="shared" si="230"/>
        <v>190011.04</v>
      </c>
      <c r="I7375" s="18">
        <v>180510.49</v>
      </c>
      <c r="J7375" s="27">
        <v>190011.04</v>
      </c>
      <c r="K7375" s="18">
        <f t="shared" si="231"/>
        <v>190011.04</v>
      </c>
      <c r="L7375" s="27">
        <v>180510.49</v>
      </c>
      <c r="M7375" s="36">
        <v>0</v>
      </c>
      <c r="T7375" s="41">
        <v>0</v>
      </c>
      <c r="U7375" s="41">
        <v>0</v>
      </c>
      <c r="V7375" s="42" t="s">
        <v>113</v>
      </c>
      <c r="W7375" s="42">
        <v>190011.04</v>
      </c>
      <c r="X7375" s="42">
        <v>190011.04</v>
      </c>
    </row>
    <row r="7376" spans="1:24">
      <c r="A7376" s="27" t="s">
        <v>13305</v>
      </c>
      <c r="B7376" s="28" t="s">
        <v>12240</v>
      </c>
      <c r="C7376" s="27" t="s">
        <v>13306</v>
      </c>
      <c r="D7376" s="27" t="s">
        <v>5104</v>
      </c>
      <c r="E7376" s="29">
        <v>39417</v>
      </c>
      <c r="F7376" s="27">
        <v>15</v>
      </c>
      <c r="G7376" s="18">
        <v>6139.61</v>
      </c>
      <c r="H7376" s="27">
        <f t="shared" si="230"/>
        <v>0</v>
      </c>
      <c r="I7376" s="18">
        <v>5236.47</v>
      </c>
      <c r="J7376" s="27">
        <v>6139.61</v>
      </c>
      <c r="K7376" s="18">
        <f t="shared" si="231"/>
        <v>0</v>
      </c>
      <c r="L7376" s="27">
        <v>5385.51</v>
      </c>
      <c r="M7376" s="36">
        <v>149.04</v>
      </c>
      <c r="T7376" s="41">
        <v>0</v>
      </c>
      <c r="U7376" s="41">
        <v>0</v>
      </c>
      <c r="V7376" s="42" t="s">
        <v>113</v>
      </c>
      <c r="W7376" s="42">
        <v>0</v>
      </c>
      <c r="X7376" s="42">
        <v>0</v>
      </c>
    </row>
    <row r="7377" spans="1:24">
      <c r="A7377" s="27" t="s">
        <v>13307</v>
      </c>
      <c r="B7377" s="28" t="s">
        <v>12240</v>
      </c>
      <c r="C7377" s="27" t="s">
        <v>13308</v>
      </c>
      <c r="D7377" s="27" t="s">
        <v>5104</v>
      </c>
      <c r="E7377" s="29">
        <v>39417</v>
      </c>
      <c r="F7377" s="27">
        <v>15</v>
      </c>
      <c r="G7377" s="18">
        <v>6139.61</v>
      </c>
      <c r="H7377" s="27">
        <f t="shared" si="230"/>
        <v>0</v>
      </c>
      <c r="I7377" s="18">
        <v>5236.47</v>
      </c>
      <c r="J7377" s="27">
        <v>6139.61</v>
      </c>
      <c r="K7377" s="18">
        <f t="shared" si="231"/>
        <v>0</v>
      </c>
      <c r="L7377" s="27">
        <v>5385.51</v>
      </c>
      <c r="M7377" s="36">
        <v>149.04</v>
      </c>
      <c r="T7377" s="41">
        <v>0</v>
      </c>
      <c r="U7377" s="41">
        <v>0</v>
      </c>
      <c r="V7377" s="42" t="s">
        <v>113</v>
      </c>
      <c r="W7377" s="42">
        <v>0</v>
      </c>
      <c r="X7377" s="42">
        <v>0</v>
      </c>
    </row>
    <row r="7378" spans="1:24">
      <c r="A7378" s="27" t="s">
        <v>13309</v>
      </c>
      <c r="B7378" s="28" t="s">
        <v>12240</v>
      </c>
      <c r="C7378" s="27" t="s">
        <v>13310</v>
      </c>
      <c r="D7378" s="27" t="s">
        <v>5104</v>
      </c>
      <c r="E7378" s="29">
        <v>39417</v>
      </c>
      <c r="F7378" s="27">
        <v>15</v>
      </c>
      <c r="G7378" s="18">
        <v>6139.61</v>
      </c>
      <c r="H7378" s="27">
        <f t="shared" si="230"/>
        <v>0</v>
      </c>
      <c r="I7378" s="18">
        <v>5236.47</v>
      </c>
      <c r="J7378" s="27">
        <v>6139.61</v>
      </c>
      <c r="K7378" s="18">
        <f t="shared" si="231"/>
        <v>0</v>
      </c>
      <c r="L7378" s="27">
        <v>5385.51</v>
      </c>
      <c r="M7378" s="36">
        <v>149.04</v>
      </c>
      <c r="T7378" s="41">
        <v>0</v>
      </c>
      <c r="U7378" s="41">
        <v>0</v>
      </c>
      <c r="V7378" s="42" t="s">
        <v>113</v>
      </c>
      <c r="W7378" s="42">
        <v>0</v>
      </c>
      <c r="X7378" s="42">
        <v>0</v>
      </c>
    </row>
    <row r="7379" spans="1:24">
      <c r="A7379" s="27" t="s">
        <v>13311</v>
      </c>
      <c r="B7379" s="28" t="s">
        <v>12240</v>
      </c>
      <c r="C7379" s="27" t="s">
        <v>13312</v>
      </c>
      <c r="D7379" s="27" t="s">
        <v>5104</v>
      </c>
      <c r="E7379" s="29">
        <v>39417</v>
      </c>
      <c r="F7379" s="27">
        <v>15</v>
      </c>
      <c r="G7379" s="18">
        <v>6139.61</v>
      </c>
      <c r="H7379" s="27">
        <f t="shared" si="230"/>
        <v>0</v>
      </c>
      <c r="I7379" s="18">
        <v>5236.47</v>
      </c>
      <c r="J7379" s="27">
        <v>6139.61</v>
      </c>
      <c r="K7379" s="18">
        <f t="shared" si="231"/>
        <v>0</v>
      </c>
      <c r="L7379" s="27">
        <v>5385.51</v>
      </c>
      <c r="M7379" s="36">
        <v>149.04</v>
      </c>
      <c r="T7379" s="41">
        <v>0</v>
      </c>
      <c r="U7379" s="41">
        <v>0</v>
      </c>
      <c r="V7379" s="42" t="s">
        <v>113</v>
      </c>
      <c r="W7379" s="42">
        <v>0</v>
      </c>
      <c r="X7379" s="42">
        <v>0</v>
      </c>
    </row>
    <row r="7380" spans="1:24">
      <c r="A7380" s="27" t="s">
        <v>13313</v>
      </c>
      <c r="B7380" s="28" t="s">
        <v>12240</v>
      </c>
      <c r="C7380" s="27" t="s">
        <v>13314</v>
      </c>
      <c r="D7380" s="27" t="s">
        <v>5104</v>
      </c>
      <c r="E7380" s="29">
        <v>39417</v>
      </c>
      <c r="F7380" s="27">
        <v>15</v>
      </c>
      <c r="G7380" s="18">
        <v>6139.61</v>
      </c>
      <c r="H7380" s="27">
        <f t="shared" si="230"/>
        <v>0</v>
      </c>
      <c r="I7380" s="18">
        <v>5236.46</v>
      </c>
      <c r="J7380" s="27">
        <v>6139.61</v>
      </c>
      <c r="K7380" s="18">
        <f t="shared" si="231"/>
        <v>0</v>
      </c>
      <c r="L7380" s="27">
        <v>5385.5</v>
      </c>
      <c r="M7380" s="36">
        <v>149.04</v>
      </c>
      <c r="T7380" s="41">
        <v>0</v>
      </c>
      <c r="U7380" s="41">
        <v>0</v>
      </c>
      <c r="V7380" s="42" t="s">
        <v>113</v>
      </c>
      <c r="W7380" s="42">
        <v>0</v>
      </c>
      <c r="X7380" s="42">
        <v>0</v>
      </c>
    </row>
    <row r="7381" spans="1:24">
      <c r="A7381" s="27" t="s">
        <v>13315</v>
      </c>
      <c r="B7381" s="28" t="s">
        <v>12240</v>
      </c>
      <c r="C7381" s="27" t="s">
        <v>13316</v>
      </c>
      <c r="D7381" s="27" t="s">
        <v>5104</v>
      </c>
      <c r="E7381" s="29">
        <v>39417</v>
      </c>
      <c r="F7381" s="27">
        <v>15</v>
      </c>
      <c r="G7381" s="18">
        <v>6139.61</v>
      </c>
      <c r="H7381" s="27">
        <f t="shared" si="230"/>
        <v>0</v>
      </c>
      <c r="I7381" s="18">
        <v>5236.47</v>
      </c>
      <c r="J7381" s="27">
        <v>6139.61</v>
      </c>
      <c r="K7381" s="18">
        <f t="shared" si="231"/>
        <v>0</v>
      </c>
      <c r="L7381" s="27">
        <v>5385.51</v>
      </c>
      <c r="M7381" s="36">
        <v>149.04</v>
      </c>
      <c r="T7381" s="41">
        <v>0</v>
      </c>
      <c r="U7381" s="41">
        <v>0</v>
      </c>
      <c r="V7381" s="42" t="s">
        <v>113</v>
      </c>
      <c r="W7381" s="42">
        <v>0</v>
      </c>
      <c r="X7381" s="42">
        <v>0</v>
      </c>
    </row>
    <row r="7382" spans="1:24">
      <c r="A7382" s="27" t="s">
        <v>13317</v>
      </c>
      <c r="B7382" s="28" t="s">
        <v>12240</v>
      </c>
      <c r="C7382" s="27" t="s">
        <v>13318</v>
      </c>
      <c r="D7382" s="27" t="s">
        <v>5104</v>
      </c>
      <c r="E7382" s="29">
        <v>39417</v>
      </c>
      <c r="F7382" s="27">
        <v>15</v>
      </c>
      <c r="G7382" s="18">
        <v>6139.58</v>
      </c>
      <c r="H7382" s="27">
        <f t="shared" si="230"/>
        <v>0</v>
      </c>
      <c r="I7382" s="18">
        <v>5236.45</v>
      </c>
      <c r="J7382" s="27">
        <v>6139.58</v>
      </c>
      <c r="K7382" s="18">
        <f t="shared" si="231"/>
        <v>0</v>
      </c>
      <c r="L7382" s="27">
        <v>5385.49</v>
      </c>
      <c r="M7382" s="36">
        <v>149.04</v>
      </c>
      <c r="T7382" s="41">
        <v>0</v>
      </c>
      <c r="U7382" s="41">
        <v>0</v>
      </c>
      <c r="V7382" s="42" t="s">
        <v>113</v>
      </c>
      <c r="W7382" s="42">
        <v>0</v>
      </c>
      <c r="X7382" s="42">
        <v>0</v>
      </c>
    </row>
    <row r="7383" spans="1:24">
      <c r="A7383" s="27" t="s">
        <v>13319</v>
      </c>
      <c r="B7383" s="28" t="s">
        <v>12240</v>
      </c>
      <c r="C7383" s="27" t="s">
        <v>13320</v>
      </c>
      <c r="D7383" s="27" t="s">
        <v>5104</v>
      </c>
      <c r="E7383" s="29">
        <v>39417</v>
      </c>
      <c r="F7383" s="27">
        <v>15</v>
      </c>
      <c r="G7383" s="18">
        <v>5036.6400000000003</v>
      </c>
      <c r="H7383" s="27">
        <f t="shared" si="230"/>
        <v>0</v>
      </c>
      <c r="I7383" s="18">
        <v>4295.75</v>
      </c>
      <c r="J7383" s="27">
        <v>5036.6400000000003</v>
      </c>
      <c r="K7383" s="18">
        <f t="shared" si="231"/>
        <v>0</v>
      </c>
      <c r="L7383" s="27">
        <v>4418.0200000000004</v>
      </c>
      <c r="M7383" s="36">
        <v>122.27</v>
      </c>
      <c r="T7383" s="41">
        <v>0</v>
      </c>
      <c r="U7383" s="41">
        <v>0</v>
      </c>
      <c r="V7383" s="42" t="s">
        <v>113</v>
      </c>
      <c r="W7383" s="42">
        <v>0</v>
      </c>
      <c r="X7383" s="42">
        <v>0</v>
      </c>
    </row>
    <row r="7384" spans="1:24">
      <c r="A7384" s="27" t="s">
        <v>13321</v>
      </c>
      <c r="B7384" s="28" t="s">
        <v>12240</v>
      </c>
      <c r="C7384" s="27" t="s">
        <v>13322</v>
      </c>
      <c r="D7384" s="27" t="s">
        <v>5104</v>
      </c>
      <c r="E7384" s="29">
        <v>39417</v>
      </c>
      <c r="F7384" s="27">
        <v>15</v>
      </c>
      <c r="G7384" s="18">
        <v>5036.6400000000003</v>
      </c>
      <c r="H7384" s="27">
        <f t="shared" si="230"/>
        <v>0</v>
      </c>
      <c r="I7384" s="18">
        <v>4295.75</v>
      </c>
      <c r="J7384" s="27">
        <v>5036.6400000000003</v>
      </c>
      <c r="K7384" s="18">
        <f t="shared" si="231"/>
        <v>0</v>
      </c>
      <c r="L7384" s="27">
        <v>4418.0200000000004</v>
      </c>
      <c r="M7384" s="36">
        <v>122.27</v>
      </c>
      <c r="T7384" s="41">
        <v>0</v>
      </c>
      <c r="U7384" s="41">
        <v>0</v>
      </c>
      <c r="V7384" s="42" t="s">
        <v>113</v>
      </c>
      <c r="W7384" s="42">
        <v>0</v>
      </c>
      <c r="X7384" s="42">
        <v>0</v>
      </c>
    </row>
    <row r="7385" spans="1:24">
      <c r="A7385" s="27" t="s">
        <v>13323</v>
      </c>
      <c r="B7385" s="28" t="s">
        <v>12240</v>
      </c>
      <c r="C7385" s="27" t="s">
        <v>13324</v>
      </c>
      <c r="D7385" s="27" t="s">
        <v>5104</v>
      </c>
      <c r="E7385" s="29">
        <v>39417</v>
      </c>
      <c r="F7385" s="27">
        <v>15</v>
      </c>
      <c r="G7385" s="18">
        <v>5036.6400000000003</v>
      </c>
      <c r="H7385" s="27">
        <f t="shared" si="230"/>
        <v>0</v>
      </c>
      <c r="I7385" s="18">
        <v>4295.75</v>
      </c>
      <c r="J7385" s="27">
        <v>5036.6400000000003</v>
      </c>
      <c r="K7385" s="18">
        <f t="shared" si="231"/>
        <v>0</v>
      </c>
      <c r="L7385" s="27">
        <v>4418.0200000000004</v>
      </c>
      <c r="M7385" s="36">
        <v>122.27</v>
      </c>
      <c r="T7385" s="41">
        <v>0</v>
      </c>
      <c r="U7385" s="41">
        <v>0</v>
      </c>
      <c r="V7385" s="42" t="s">
        <v>113</v>
      </c>
      <c r="W7385" s="42">
        <v>0</v>
      </c>
      <c r="X7385" s="42">
        <v>0</v>
      </c>
    </row>
    <row r="7386" spans="1:24">
      <c r="A7386" s="27" t="s">
        <v>13325</v>
      </c>
      <c r="B7386" s="28" t="s">
        <v>12240</v>
      </c>
      <c r="C7386" s="27" t="s">
        <v>13326</v>
      </c>
      <c r="D7386" s="27" t="s">
        <v>5104</v>
      </c>
      <c r="E7386" s="29">
        <v>39417</v>
      </c>
      <c r="F7386" s="27">
        <v>15</v>
      </c>
      <c r="G7386" s="18">
        <v>5036.6400000000003</v>
      </c>
      <c r="H7386" s="27">
        <f t="shared" si="230"/>
        <v>0</v>
      </c>
      <c r="I7386" s="18">
        <v>4295.75</v>
      </c>
      <c r="J7386" s="27">
        <v>5036.6400000000003</v>
      </c>
      <c r="K7386" s="18">
        <f t="shared" si="231"/>
        <v>0</v>
      </c>
      <c r="L7386" s="27">
        <v>4418.0200000000004</v>
      </c>
      <c r="M7386" s="36">
        <v>122.27</v>
      </c>
      <c r="T7386" s="41">
        <v>0</v>
      </c>
      <c r="U7386" s="41">
        <v>0</v>
      </c>
      <c r="V7386" s="42" t="s">
        <v>113</v>
      </c>
      <c r="W7386" s="42">
        <v>0</v>
      </c>
      <c r="X7386" s="42">
        <v>0</v>
      </c>
    </row>
    <row r="7387" spans="1:24">
      <c r="A7387" s="27" t="s">
        <v>13327</v>
      </c>
      <c r="B7387" s="28" t="s">
        <v>12240</v>
      </c>
      <c r="C7387" s="27" t="s">
        <v>13328</v>
      </c>
      <c r="D7387" s="27" t="s">
        <v>5104</v>
      </c>
      <c r="E7387" s="29">
        <v>39417</v>
      </c>
      <c r="F7387" s="27">
        <v>15</v>
      </c>
      <c r="G7387" s="18">
        <v>5036.6400000000003</v>
      </c>
      <c r="H7387" s="27">
        <f t="shared" si="230"/>
        <v>0</v>
      </c>
      <c r="I7387" s="18">
        <v>4295.75</v>
      </c>
      <c r="J7387" s="27">
        <v>5036.6400000000003</v>
      </c>
      <c r="K7387" s="18">
        <f t="shared" si="231"/>
        <v>0</v>
      </c>
      <c r="L7387" s="27">
        <v>4418.0200000000004</v>
      </c>
      <c r="M7387" s="36">
        <v>122.27</v>
      </c>
      <c r="T7387" s="41">
        <v>0</v>
      </c>
      <c r="U7387" s="41">
        <v>0</v>
      </c>
      <c r="V7387" s="42" t="s">
        <v>113</v>
      </c>
      <c r="W7387" s="42">
        <v>0</v>
      </c>
      <c r="X7387" s="42">
        <v>0</v>
      </c>
    </row>
    <row r="7388" spans="1:24">
      <c r="A7388" s="27" t="s">
        <v>13329</v>
      </c>
      <c r="B7388" s="28" t="s">
        <v>12240</v>
      </c>
      <c r="C7388" s="27" t="s">
        <v>13330</v>
      </c>
      <c r="D7388" s="27" t="s">
        <v>5104</v>
      </c>
      <c r="E7388" s="29">
        <v>39417</v>
      </c>
      <c r="F7388" s="27">
        <v>15</v>
      </c>
      <c r="G7388" s="18">
        <v>5036.66</v>
      </c>
      <c r="H7388" s="27">
        <f t="shared" si="230"/>
        <v>0</v>
      </c>
      <c r="I7388" s="18">
        <v>4295.7700000000004</v>
      </c>
      <c r="J7388" s="27">
        <v>5036.66</v>
      </c>
      <c r="K7388" s="18">
        <f t="shared" si="231"/>
        <v>0</v>
      </c>
      <c r="L7388" s="27">
        <v>4418.04</v>
      </c>
      <c r="M7388" s="36">
        <v>122.27</v>
      </c>
      <c r="T7388" s="41">
        <v>0</v>
      </c>
      <c r="U7388" s="41">
        <v>0</v>
      </c>
      <c r="V7388" s="42" t="s">
        <v>113</v>
      </c>
      <c r="W7388" s="42">
        <v>0</v>
      </c>
      <c r="X7388" s="42">
        <v>0</v>
      </c>
    </row>
    <row r="7389" spans="1:24">
      <c r="A7389" s="27" t="s">
        <v>13331</v>
      </c>
      <c r="B7389" s="28" t="s">
        <v>12240</v>
      </c>
      <c r="C7389" s="27" t="s">
        <v>13332</v>
      </c>
      <c r="D7389" s="27" t="s">
        <v>5104</v>
      </c>
      <c r="E7389" s="29">
        <v>38078</v>
      </c>
      <c r="F7389" s="27">
        <v>15</v>
      </c>
      <c r="G7389" s="18">
        <v>14557.69</v>
      </c>
      <c r="H7389" s="27">
        <f t="shared" si="230"/>
        <v>14557.69</v>
      </c>
      <c r="I7389" s="18">
        <v>13829.81</v>
      </c>
      <c r="J7389" s="27">
        <v>14557.69</v>
      </c>
      <c r="K7389" s="18">
        <f t="shared" si="231"/>
        <v>14557.69</v>
      </c>
      <c r="L7389" s="27">
        <v>13829.81</v>
      </c>
      <c r="M7389" s="36">
        <v>0</v>
      </c>
      <c r="T7389" s="41">
        <v>0</v>
      </c>
      <c r="U7389" s="41">
        <v>0</v>
      </c>
      <c r="V7389" s="42" t="s">
        <v>113</v>
      </c>
      <c r="W7389" s="42">
        <v>14557.69</v>
      </c>
      <c r="X7389" s="42">
        <v>14557.69</v>
      </c>
    </row>
    <row r="7390" spans="1:24">
      <c r="A7390" s="27" t="s">
        <v>13333</v>
      </c>
      <c r="B7390" s="28" t="s">
        <v>12240</v>
      </c>
      <c r="C7390" s="27" t="s">
        <v>13334</v>
      </c>
      <c r="D7390" s="27" t="s">
        <v>5104</v>
      </c>
      <c r="E7390" s="29">
        <v>38078</v>
      </c>
      <c r="F7390" s="27">
        <v>15</v>
      </c>
      <c r="G7390" s="18">
        <v>14557.69</v>
      </c>
      <c r="H7390" s="27">
        <f t="shared" si="230"/>
        <v>14557.69</v>
      </c>
      <c r="I7390" s="18">
        <v>13829.81</v>
      </c>
      <c r="J7390" s="27">
        <v>14557.69</v>
      </c>
      <c r="K7390" s="18">
        <f t="shared" si="231"/>
        <v>14557.69</v>
      </c>
      <c r="L7390" s="27">
        <v>13829.81</v>
      </c>
      <c r="M7390" s="36">
        <v>0</v>
      </c>
      <c r="T7390" s="41">
        <v>0</v>
      </c>
      <c r="U7390" s="41">
        <v>0</v>
      </c>
      <c r="V7390" s="42" t="s">
        <v>113</v>
      </c>
      <c r="W7390" s="42">
        <v>14557.69</v>
      </c>
      <c r="X7390" s="42">
        <v>14557.69</v>
      </c>
    </row>
    <row r="7391" spans="1:24">
      <c r="A7391" s="27" t="s">
        <v>13335</v>
      </c>
      <c r="B7391" s="28" t="s">
        <v>12240</v>
      </c>
      <c r="C7391" s="27" t="s">
        <v>13336</v>
      </c>
      <c r="D7391" s="27" t="s">
        <v>5104</v>
      </c>
      <c r="E7391" s="29">
        <v>38078</v>
      </c>
      <c r="F7391" s="27">
        <v>15</v>
      </c>
      <c r="G7391" s="18">
        <v>14557.69</v>
      </c>
      <c r="H7391" s="27">
        <f t="shared" si="230"/>
        <v>14557.69</v>
      </c>
      <c r="I7391" s="18">
        <v>13829.81</v>
      </c>
      <c r="J7391" s="27">
        <v>14557.69</v>
      </c>
      <c r="K7391" s="18">
        <f t="shared" si="231"/>
        <v>14557.69</v>
      </c>
      <c r="L7391" s="27">
        <v>13829.81</v>
      </c>
      <c r="M7391" s="36">
        <v>0</v>
      </c>
      <c r="T7391" s="41">
        <v>0</v>
      </c>
      <c r="U7391" s="41">
        <v>0</v>
      </c>
      <c r="V7391" s="42" t="s">
        <v>113</v>
      </c>
      <c r="W7391" s="42">
        <v>14557.69</v>
      </c>
      <c r="X7391" s="42">
        <v>14557.69</v>
      </c>
    </row>
    <row r="7392" spans="1:24">
      <c r="A7392" s="27" t="s">
        <v>13337</v>
      </c>
      <c r="B7392" s="28" t="s">
        <v>12240</v>
      </c>
      <c r="C7392" s="27" t="s">
        <v>13338</v>
      </c>
      <c r="D7392" s="27" t="s">
        <v>5104</v>
      </c>
      <c r="E7392" s="29">
        <v>38078</v>
      </c>
      <c r="F7392" s="27">
        <v>15</v>
      </c>
      <c r="G7392" s="18">
        <v>14557.69</v>
      </c>
      <c r="H7392" s="27">
        <f t="shared" si="230"/>
        <v>14557.69</v>
      </c>
      <c r="I7392" s="18">
        <v>13829.81</v>
      </c>
      <c r="J7392" s="27">
        <v>14557.69</v>
      </c>
      <c r="K7392" s="18">
        <f t="shared" si="231"/>
        <v>14557.69</v>
      </c>
      <c r="L7392" s="27">
        <v>13829.81</v>
      </c>
      <c r="M7392" s="36">
        <v>0</v>
      </c>
      <c r="T7392" s="41">
        <v>0</v>
      </c>
      <c r="U7392" s="41">
        <v>0</v>
      </c>
      <c r="V7392" s="42" t="s">
        <v>113</v>
      </c>
      <c r="W7392" s="42">
        <v>14557.69</v>
      </c>
      <c r="X7392" s="42">
        <v>14557.69</v>
      </c>
    </row>
    <row r="7393" spans="1:24">
      <c r="A7393" s="27" t="s">
        <v>13339</v>
      </c>
      <c r="B7393" s="28" t="s">
        <v>12240</v>
      </c>
      <c r="C7393" s="27" t="s">
        <v>13340</v>
      </c>
      <c r="D7393" s="27" t="s">
        <v>5104</v>
      </c>
      <c r="E7393" s="29">
        <v>38565</v>
      </c>
      <c r="F7393" s="27">
        <v>15</v>
      </c>
      <c r="G7393" s="18">
        <v>15182.08</v>
      </c>
      <c r="H7393" s="27">
        <f t="shared" si="230"/>
        <v>15182.08</v>
      </c>
      <c r="I7393" s="18">
        <v>14422.98</v>
      </c>
      <c r="J7393" s="27">
        <v>15182.08</v>
      </c>
      <c r="K7393" s="18">
        <f t="shared" si="231"/>
        <v>15182.08</v>
      </c>
      <c r="L7393" s="27">
        <v>14422.98</v>
      </c>
      <c r="M7393" s="36">
        <v>0</v>
      </c>
      <c r="T7393" s="41">
        <v>0</v>
      </c>
      <c r="U7393" s="41">
        <v>0</v>
      </c>
      <c r="V7393" s="42" t="s">
        <v>113</v>
      </c>
      <c r="W7393" s="42">
        <v>15182.08</v>
      </c>
      <c r="X7393" s="42">
        <v>15182.08</v>
      </c>
    </row>
    <row r="7394" spans="1:24">
      <c r="A7394" s="27" t="s">
        <v>13341</v>
      </c>
      <c r="B7394" s="28" t="s">
        <v>12240</v>
      </c>
      <c r="C7394" s="27" t="s">
        <v>13342</v>
      </c>
      <c r="D7394" s="27" t="s">
        <v>5104</v>
      </c>
      <c r="E7394" s="29">
        <v>38565</v>
      </c>
      <c r="F7394" s="27">
        <v>15</v>
      </c>
      <c r="G7394" s="18">
        <v>15182.08</v>
      </c>
      <c r="H7394" s="27">
        <f t="shared" si="230"/>
        <v>15182.08</v>
      </c>
      <c r="I7394" s="18">
        <v>14422.98</v>
      </c>
      <c r="J7394" s="27">
        <v>15182.08</v>
      </c>
      <c r="K7394" s="18">
        <f t="shared" si="231"/>
        <v>15182.08</v>
      </c>
      <c r="L7394" s="27">
        <v>14422.98</v>
      </c>
      <c r="M7394" s="36">
        <v>0</v>
      </c>
      <c r="T7394" s="41">
        <v>0</v>
      </c>
      <c r="U7394" s="41">
        <v>0</v>
      </c>
      <c r="V7394" s="42" t="s">
        <v>113</v>
      </c>
      <c r="W7394" s="42">
        <v>15182.08</v>
      </c>
      <c r="X7394" s="42">
        <v>15182.08</v>
      </c>
    </row>
    <row r="7395" spans="1:24">
      <c r="A7395" s="27" t="s">
        <v>13343</v>
      </c>
      <c r="B7395" s="28" t="s">
        <v>12240</v>
      </c>
      <c r="C7395" s="27" t="s">
        <v>13344</v>
      </c>
      <c r="D7395" s="27" t="s">
        <v>5104</v>
      </c>
      <c r="E7395" s="29">
        <v>38565</v>
      </c>
      <c r="F7395" s="27">
        <v>15</v>
      </c>
      <c r="G7395" s="18">
        <v>15182.08</v>
      </c>
      <c r="H7395" s="27">
        <f t="shared" si="230"/>
        <v>15182.08</v>
      </c>
      <c r="I7395" s="18">
        <v>14422.98</v>
      </c>
      <c r="J7395" s="27">
        <v>15182.08</v>
      </c>
      <c r="K7395" s="18">
        <f t="shared" si="231"/>
        <v>15182.08</v>
      </c>
      <c r="L7395" s="27">
        <v>14422.98</v>
      </c>
      <c r="M7395" s="36">
        <v>0</v>
      </c>
      <c r="T7395" s="41">
        <v>0</v>
      </c>
      <c r="U7395" s="41">
        <v>0</v>
      </c>
      <c r="V7395" s="42" t="s">
        <v>113</v>
      </c>
      <c r="W7395" s="42">
        <v>15182.08</v>
      </c>
      <c r="X7395" s="42">
        <v>15182.08</v>
      </c>
    </row>
    <row r="7396" spans="1:24">
      <c r="A7396" s="27" t="s">
        <v>13345</v>
      </c>
      <c r="B7396" s="28" t="s">
        <v>12240</v>
      </c>
      <c r="C7396" s="27" t="s">
        <v>13346</v>
      </c>
      <c r="D7396" s="27" t="s">
        <v>5104</v>
      </c>
      <c r="E7396" s="29">
        <v>38565</v>
      </c>
      <c r="F7396" s="27">
        <v>15</v>
      </c>
      <c r="G7396" s="18">
        <v>15182.06</v>
      </c>
      <c r="H7396" s="27">
        <f t="shared" si="230"/>
        <v>15182.06</v>
      </c>
      <c r="I7396" s="18">
        <v>14422.96</v>
      </c>
      <c r="J7396" s="27">
        <v>15182.06</v>
      </c>
      <c r="K7396" s="18">
        <f t="shared" si="231"/>
        <v>15182.06</v>
      </c>
      <c r="L7396" s="27">
        <v>14422.96</v>
      </c>
      <c r="M7396" s="36">
        <v>0</v>
      </c>
      <c r="T7396" s="41">
        <v>0</v>
      </c>
      <c r="U7396" s="41">
        <v>0</v>
      </c>
      <c r="V7396" s="42" t="s">
        <v>113</v>
      </c>
      <c r="W7396" s="42">
        <v>15182.06</v>
      </c>
      <c r="X7396" s="42">
        <v>15182.06</v>
      </c>
    </row>
    <row r="7397" spans="1:24">
      <c r="A7397" s="27" t="s">
        <v>13347</v>
      </c>
      <c r="B7397" s="28" t="s">
        <v>12240</v>
      </c>
      <c r="C7397" s="27" t="s">
        <v>13348</v>
      </c>
      <c r="D7397" s="27" t="s">
        <v>230</v>
      </c>
      <c r="E7397" s="29">
        <v>41272</v>
      </c>
      <c r="F7397" s="27">
        <v>15</v>
      </c>
      <c r="G7397" s="18">
        <v>5241838.32</v>
      </c>
      <c r="H7397" s="27">
        <f t="shared" si="230"/>
        <v>5241838.32</v>
      </c>
      <c r="I7397" s="18">
        <v>5241838.32</v>
      </c>
      <c r="J7397" s="27">
        <v>5241838.32</v>
      </c>
      <c r="K7397" s="18">
        <f t="shared" si="231"/>
        <v>5241838.32</v>
      </c>
      <c r="L7397" s="27">
        <v>4979746.4000000004</v>
      </c>
      <c r="M7397" s="36">
        <v>-262091.92</v>
      </c>
      <c r="T7397" s="41">
        <v>0</v>
      </c>
      <c r="U7397" s="41">
        <v>0</v>
      </c>
      <c r="V7397" s="42" t="s">
        <v>113</v>
      </c>
      <c r="W7397" s="42">
        <v>5241838.32</v>
      </c>
      <c r="X7397" s="42">
        <v>5241838.32</v>
      </c>
    </row>
    <row r="7398" spans="1:24">
      <c r="A7398" s="27" t="s">
        <v>13349</v>
      </c>
      <c r="B7398" s="28" t="s">
        <v>12240</v>
      </c>
      <c r="C7398" s="27" t="s">
        <v>13350</v>
      </c>
      <c r="D7398" s="27" t="s">
        <v>5104</v>
      </c>
      <c r="E7398" s="29">
        <v>40179</v>
      </c>
      <c r="F7398" s="27">
        <v>15</v>
      </c>
      <c r="G7398" s="18">
        <v>64120.81</v>
      </c>
      <c r="H7398" s="27">
        <f t="shared" si="230"/>
        <v>0</v>
      </c>
      <c r="I7398" s="18">
        <v>44761.52</v>
      </c>
      <c r="J7398" s="27">
        <v>64120.81</v>
      </c>
      <c r="K7398" s="18">
        <f t="shared" si="231"/>
        <v>0</v>
      </c>
      <c r="L7398" s="27">
        <v>47453.73</v>
      </c>
      <c r="M7398" s="36">
        <v>2692.21</v>
      </c>
      <c r="T7398" s="41">
        <v>0</v>
      </c>
      <c r="U7398" s="41">
        <v>0</v>
      </c>
      <c r="V7398" s="42" t="s">
        <v>113</v>
      </c>
      <c r="W7398" s="42">
        <v>0</v>
      </c>
      <c r="X7398" s="42">
        <v>0</v>
      </c>
    </row>
    <row r="7399" spans="1:24">
      <c r="A7399" s="27" t="s">
        <v>13351</v>
      </c>
      <c r="B7399" s="28" t="s">
        <v>12240</v>
      </c>
      <c r="C7399" s="27" t="s">
        <v>13352</v>
      </c>
      <c r="D7399" s="27" t="s">
        <v>230</v>
      </c>
      <c r="E7399" s="29">
        <v>40908</v>
      </c>
      <c r="F7399" s="27">
        <v>15</v>
      </c>
      <c r="G7399" s="18">
        <v>34194.81</v>
      </c>
      <c r="H7399" s="27">
        <f t="shared" si="230"/>
        <v>0</v>
      </c>
      <c r="I7399" s="18">
        <v>18371.189999999999</v>
      </c>
      <c r="J7399" s="27">
        <v>34194.81</v>
      </c>
      <c r="K7399" s="18">
        <f t="shared" si="231"/>
        <v>0</v>
      </c>
      <c r="L7399" s="27">
        <v>20135.43</v>
      </c>
      <c r="M7399" s="36">
        <v>1764.24</v>
      </c>
      <c r="T7399" s="41">
        <v>0</v>
      </c>
      <c r="U7399" s="41">
        <v>0</v>
      </c>
      <c r="V7399" s="42" t="s">
        <v>113</v>
      </c>
      <c r="W7399" s="42">
        <v>0</v>
      </c>
      <c r="X7399" s="42">
        <v>0</v>
      </c>
    </row>
    <row r="7400" spans="1:24">
      <c r="A7400" s="27" t="s">
        <v>13353</v>
      </c>
      <c r="B7400" s="28" t="s">
        <v>12240</v>
      </c>
      <c r="C7400" s="27" t="s">
        <v>13354</v>
      </c>
      <c r="D7400" s="27" t="s">
        <v>230</v>
      </c>
      <c r="E7400" s="29">
        <v>40908</v>
      </c>
      <c r="F7400" s="27">
        <v>15</v>
      </c>
      <c r="G7400" s="18">
        <v>34194.81</v>
      </c>
      <c r="H7400" s="27">
        <f t="shared" si="230"/>
        <v>0</v>
      </c>
      <c r="I7400" s="18">
        <v>18371.189999999999</v>
      </c>
      <c r="J7400" s="27">
        <v>34194.81</v>
      </c>
      <c r="K7400" s="18">
        <f t="shared" si="231"/>
        <v>0</v>
      </c>
      <c r="L7400" s="27">
        <v>20135.43</v>
      </c>
      <c r="M7400" s="36">
        <v>1764.24</v>
      </c>
      <c r="T7400" s="41">
        <v>0</v>
      </c>
      <c r="U7400" s="41">
        <v>0</v>
      </c>
      <c r="V7400" s="42" t="s">
        <v>113</v>
      </c>
      <c r="W7400" s="42">
        <v>0</v>
      </c>
      <c r="X7400" s="42">
        <v>0</v>
      </c>
    </row>
    <row r="7401" spans="1:24">
      <c r="A7401" s="27" t="s">
        <v>13355</v>
      </c>
      <c r="B7401" s="28" t="s">
        <v>12240</v>
      </c>
      <c r="C7401" s="27" t="s">
        <v>13356</v>
      </c>
      <c r="D7401" s="27" t="s">
        <v>230</v>
      </c>
      <c r="E7401" s="29">
        <v>40908</v>
      </c>
      <c r="F7401" s="27">
        <v>15</v>
      </c>
      <c r="G7401" s="18">
        <v>34194.81</v>
      </c>
      <c r="H7401" s="27">
        <f t="shared" si="230"/>
        <v>0</v>
      </c>
      <c r="I7401" s="18">
        <v>18371.189999999999</v>
      </c>
      <c r="J7401" s="27">
        <v>34194.81</v>
      </c>
      <c r="K7401" s="18">
        <f t="shared" si="231"/>
        <v>0</v>
      </c>
      <c r="L7401" s="27">
        <v>20135.43</v>
      </c>
      <c r="M7401" s="36">
        <v>1764.24</v>
      </c>
      <c r="T7401" s="41">
        <v>0</v>
      </c>
      <c r="U7401" s="41">
        <v>0</v>
      </c>
      <c r="V7401" s="42" t="s">
        <v>113</v>
      </c>
      <c r="W7401" s="42">
        <v>0</v>
      </c>
      <c r="X7401" s="42">
        <v>0</v>
      </c>
    </row>
    <row r="7402" spans="1:24">
      <c r="A7402" s="27" t="s">
        <v>13357</v>
      </c>
      <c r="B7402" s="28" t="s">
        <v>12240</v>
      </c>
      <c r="C7402" s="27" t="s">
        <v>13358</v>
      </c>
      <c r="D7402" s="27" t="s">
        <v>230</v>
      </c>
      <c r="E7402" s="29">
        <v>40908</v>
      </c>
      <c r="F7402" s="27">
        <v>15</v>
      </c>
      <c r="G7402" s="18">
        <v>34194.81</v>
      </c>
      <c r="H7402" s="27">
        <f t="shared" si="230"/>
        <v>0</v>
      </c>
      <c r="I7402" s="18">
        <v>18371.189999999999</v>
      </c>
      <c r="J7402" s="27">
        <v>34194.81</v>
      </c>
      <c r="K7402" s="18">
        <f t="shared" si="231"/>
        <v>0</v>
      </c>
      <c r="L7402" s="27">
        <v>20135.43</v>
      </c>
      <c r="M7402" s="36">
        <v>1764.24</v>
      </c>
      <c r="T7402" s="41">
        <v>0</v>
      </c>
      <c r="U7402" s="41">
        <v>0</v>
      </c>
      <c r="V7402" s="42" t="s">
        <v>113</v>
      </c>
      <c r="W7402" s="42">
        <v>0</v>
      </c>
      <c r="X7402" s="42">
        <v>0</v>
      </c>
    </row>
    <row r="7403" spans="1:24">
      <c r="A7403" s="27" t="s">
        <v>13359</v>
      </c>
      <c r="B7403" s="28" t="s">
        <v>12240</v>
      </c>
      <c r="C7403" s="27" t="s">
        <v>13360</v>
      </c>
      <c r="D7403" s="27" t="s">
        <v>230</v>
      </c>
      <c r="E7403" s="29">
        <v>40908</v>
      </c>
      <c r="F7403" s="27">
        <v>15</v>
      </c>
      <c r="G7403" s="18">
        <v>50240.97</v>
      </c>
      <c r="H7403" s="27">
        <f t="shared" si="230"/>
        <v>0</v>
      </c>
      <c r="I7403" s="18">
        <v>33615.040000000001</v>
      </c>
      <c r="J7403" s="27">
        <v>50240.97</v>
      </c>
      <c r="K7403" s="18">
        <f t="shared" si="231"/>
        <v>0</v>
      </c>
      <c r="L7403" s="27">
        <v>35379.279999999999</v>
      </c>
      <c r="M7403" s="36">
        <v>1764.24</v>
      </c>
      <c r="T7403" s="41">
        <v>0</v>
      </c>
      <c r="U7403" s="41">
        <v>0</v>
      </c>
      <c r="V7403" s="42" t="s">
        <v>113</v>
      </c>
      <c r="W7403" s="42">
        <v>0</v>
      </c>
      <c r="X7403" s="42">
        <v>0</v>
      </c>
    </row>
    <row r="7404" spans="1:24">
      <c r="A7404" s="27" t="s">
        <v>13361</v>
      </c>
      <c r="B7404" s="28" t="s">
        <v>12240</v>
      </c>
      <c r="C7404" s="27" t="s">
        <v>13362</v>
      </c>
      <c r="D7404" s="27" t="s">
        <v>230</v>
      </c>
      <c r="E7404" s="29">
        <v>40908</v>
      </c>
      <c r="F7404" s="27">
        <v>15</v>
      </c>
      <c r="G7404" s="18">
        <v>50240.97</v>
      </c>
      <c r="H7404" s="27">
        <f t="shared" si="230"/>
        <v>0</v>
      </c>
      <c r="I7404" s="18">
        <v>33615.040000000001</v>
      </c>
      <c r="J7404" s="27">
        <v>50240.97</v>
      </c>
      <c r="K7404" s="18">
        <f t="shared" si="231"/>
        <v>0</v>
      </c>
      <c r="L7404" s="27">
        <v>35379.279999999999</v>
      </c>
      <c r="M7404" s="36">
        <v>1764.24</v>
      </c>
      <c r="T7404" s="41">
        <v>0</v>
      </c>
      <c r="U7404" s="41">
        <v>0</v>
      </c>
      <c r="V7404" s="42" t="s">
        <v>113</v>
      </c>
      <c r="W7404" s="42">
        <v>0</v>
      </c>
      <c r="X7404" s="42">
        <v>0</v>
      </c>
    </row>
    <row r="7405" spans="1:24">
      <c r="A7405" s="27" t="s">
        <v>13363</v>
      </c>
      <c r="B7405" s="28" t="s">
        <v>12240</v>
      </c>
      <c r="C7405" s="27" t="s">
        <v>13364</v>
      </c>
      <c r="D7405" s="27" t="s">
        <v>230</v>
      </c>
      <c r="E7405" s="29">
        <v>40908</v>
      </c>
      <c r="F7405" s="27">
        <v>15</v>
      </c>
      <c r="G7405" s="18">
        <v>76281.679999999993</v>
      </c>
      <c r="H7405" s="27">
        <f t="shared" si="230"/>
        <v>0</v>
      </c>
      <c r="I7405" s="18">
        <v>24235.3</v>
      </c>
      <c r="J7405" s="27">
        <v>76281.679999999993</v>
      </c>
      <c r="K7405" s="18">
        <f t="shared" si="231"/>
        <v>0</v>
      </c>
      <c r="L7405" s="27">
        <v>30264.34</v>
      </c>
      <c r="M7405" s="36">
        <v>6029.04</v>
      </c>
      <c r="T7405" s="41">
        <v>0</v>
      </c>
      <c r="U7405" s="41">
        <v>0</v>
      </c>
      <c r="V7405" s="42" t="s">
        <v>113</v>
      </c>
      <c r="W7405" s="42">
        <v>0</v>
      </c>
      <c r="X7405" s="42">
        <v>0</v>
      </c>
    </row>
    <row r="7406" spans="1:24">
      <c r="A7406" s="27" t="s">
        <v>13365</v>
      </c>
      <c r="B7406" s="28" t="s">
        <v>12240</v>
      </c>
      <c r="C7406" s="27" t="s">
        <v>13366</v>
      </c>
      <c r="D7406" s="27" t="s">
        <v>230</v>
      </c>
      <c r="E7406" s="29">
        <v>40908</v>
      </c>
      <c r="F7406" s="27">
        <v>15</v>
      </c>
      <c r="G7406" s="18">
        <v>46157.06</v>
      </c>
      <c r="H7406" s="27">
        <f t="shared" si="230"/>
        <v>0</v>
      </c>
      <c r="I7406" s="18">
        <v>24823.32</v>
      </c>
      <c r="J7406" s="27">
        <v>46157.06</v>
      </c>
      <c r="K7406" s="18">
        <f t="shared" si="231"/>
        <v>0</v>
      </c>
      <c r="L7406" s="27">
        <v>27201.56</v>
      </c>
      <c r="M7406" s="36">
        <v>2378.2399999999998</v>
      </c>
      <c r="T7406" s="41">
        <v>0</v>
      </c>
      <c r="U7406" s="41">
        <v>0</v>
      </c>
      <c r="V7406" s="42" t="s">
        <v>113</v>
      </c>
      <c r="W7406" s="42">
        <v>0</v>
      </c>
      <c r="X7406" s="42">
        <v>0</v>
      </c>
    </row>
    <row r="7407" spans="1:24">
      <c r="A7407" s="27" t="s">
        <v>13367</v>
      </c>
      <c r="B7407" s="28" t="s">
        <v>12240</v>
      </c>
      <c r="C7407" s="27" t="s">
        <v>13368</v>
      </c>
      <c r="D7407" s="27" t="s">
        <v>230</v>
      </c>
      <c r="E7407" s="29">
        <v>40908</v>
      </c>
      <c r="F7407" s="27">
        <v>15</v>
      </c>
      <c r="G7407" s="18">
        <v>46157.06</v>
      </c>
      <c r="H7407" s="27">
        <f t="shared" si="230"/>
        <v>0</v>
      </c>
      <c r="I7407" s="18">
        <v>24823.32</v>
      </c>
      <c r="J7407" s="27">
        <v>46157.06</v>
      </c>
      <c r="K7407" s="18">
        <f t="shared" si="231"/>
        <v>0</v>
      </c>
      <c r="L7407" s="27">
        <v>27201.56</v>
      </c>
      <c r="M7407" s="36">
        <v>2378.2399999999998</v>
      </c>
      <c r="T7407" s="41">
        <v>0</v>
      </c>
      <c r="U7407" s="41">
        <v>0</v>
      </c>
      <c r="V7407" s="42" t="s">
        <v>113</v>
      </c>
      <c r="W7407" s="42">
        <v>0</v>
      </c>
      <c r="X7407" s="42">
        <v>0</v>
      </c>
    </row>
    <row r="7408" spans="1:24">
      <c r="A7408" s="27" t="s">
        <v>13369</v>
      </c>
      <c r="B7408" s="28" t="s">
        <v>12240</v>
      </c>
      <c r="C7408" s="27" t="s">
        <v>13370</v>
      </c>
      <c r="D7408" s="27" t="s">
        <v>230</v>
      </c>
      <c r="E7408" s="29">
        <v>40908</v>
      </c>
      <c r="F7408" s="27">
        <v>15</v>
      </c>
      <c r="G7408" s="18">
        <v>46157.06</v>
      </c>
      <c r="H7408" s="27">
        <f t="shared" si="230"/>
        <v>0</v>
      </c>
      <c r="I7408" s="18">
        <v>24823.32</v>
      </c>
      <c r="J7408" s="27">
        <v>46157.06</v>
      </c>
      <c r="K7408" s="18">
        <f t="shared" si="231"/>
        <v>0</v>
      </c>
      <c r="L7408" s="27">
        <v>27201.56</v>
      </c>
      <c r="M7408" s="36">
        <v>2378.2399999999998</v>
      </c>
      <c r="T7408" s="41">
        <v>0</v>
      </c>
      <c r="U7408" s="41">
        <v>0</v>
      </c>
      <c r="V7408" s="42" t="s">
        <v>113</v>
      </c>
      <c r="W7408" s="42">
        <v>0</v>
      </c>
      <c r="X7408" s="42">
        <v>0</v>
      </c>
    </row>
    <row r="7409" spans="1:24">
      <c r="A7409" s="27" t="s">
        <v>13371</v>
      </c>
      <c r="B7409" s="28" t="s">
        <v>12240</v>
      </c>
      <c r="C7409" s="27" t="s">
        <v>13372</v>
      </c>
      <c r="D7409" s="27" t="s">
        <v>230</v>
      </c>
      <c r="E7409" s="29">
        <v>40908</v>
      </c>
      <c r="F7409" s="27">
        <v>15</v>
      </c>
      <c r="G7409" s="18">
        <v>46157.06</v>
      </c>
      <c r="H7409" s="27">
        <f t="shared" si="230"/>
        <v>0</v>
      </c>
      <c r="I7409" s="18">
        <v>24823.32</v>
      </c>
      <c r="J7409" s="27">
        <v>46157.06</v>
      </c>
      <c r="K7409" s="18">
        <f t="shared" si="231"/>
        <v>0</v>
      </c>
      <c r="L7409" s="27">
        <v>27201.56</v>
      </c>
      <c r="M7409" s="36">
        <v>2378.2399999999998</v>
      </c>
      <c r="T7409" s="41">
        <v>0</v>
      </c>
      <c r="U7409" s="41">
        <v>0</v>
      </c>
      <c r="V7409" s="42" t="s">
        <v>113</v>
      </c>
      <c r="W7409" s="42">
        <v>0</v>
      </c>
      <c r="X7409" s="42">
        <v>0</v>
      </c>
    </row>
    <row r="7410" spans="1:24">
      <c r="A7410" s="27" t="s">
        <v>13373</v>
      </c>
      <c r="B7410" s="28" t="s">
        <v>12240</v>
      </c>
      <c r="C7410" s="27" t="s">
        <v>13374</v>
      </c>
      <c r="D7410" s="27" t="s">
        <v>230</v>
      </c>
      <c r="E7410" s="29">
        <v>40908</v>
      </c>
      <c r="F7410" s="27">
        <v>15</v>
      </c>
      <c r="G7410" s="18">
        <v>46157.06</v>
      </c>
      <c r="H7410" s="27">
        <f t="shared" si="230"/>
        <v>0</v>
      </c>
      <c r="I7410" s="18">
        <v>24823.32</v>
      </c>
      <c r="J7410" s="27">
        <v>46157.06</v>
      </c>
      <c r="K7410" s="18">
        <f t="shared" si="231"/>
        <v>0</v>
      </c>
      <c r="L7410" s="27">
        <v>27201.56</v>
      </c>
      <c r="M7410" s="36">
        <v>2378.2399999999998</v>
      </c>
      <c r="T7410" s="41">
        <v>0</v>
      </c>
      <c r="U7410" s="41">
        <v>0</v>
      </c>
      <c r="V7410" s="42" t="s">
        <v>113</v>
      </c>
      <c r="W7410" s="42">
        <v>0</v>
      </c>
      <c r="X7410" s="42">
        <v>0</v>
      </c>
    </row>
    <row r="7411" spans="1:24">
      <c r="A7411" s="27" t="s">
        <v>13375</v>
      </c>
      <c r="B7411" s="28" t="s">
        <v>12240</v>
      </c>
      <c r="C7411" s="27" t="s">
        <v>13376</v>
      </c>
      <c r="D7411" s="27" t="s">
        <v>230</v>
      </c>
      <c r="E7411" s="29">
        <v>40908</v>
      </c>
      <c r="F7411" s="27">
        <v>15</v>
      </c>
      <c r="G7411" s="18">
        <v>46157.06</v>
      </c>
      <c r="H7411" s="27">
        <f t="shared" si="230"/>
        <v>0</v>
      </c>
      <c r="I7411" s="18">
        <v>24823.32</v>
      </c>
      <c r="J7411" s="27">
        <v>46157.06</v>
      </c>
      <c r="K7411" s="18">
        <f t="shared" si="231"/>
        <v>0</v>
      </c>
      <c r="L7411" s="27">
        <v>27201.56</v>
      </c>
      <c r="M7411" s="36">
        <v>2378.2399999999998</v>
      </c>
      <c r="T7411" s="41">
        <v>0</v>
      </c>
      <c r="U7411" s="41">
        <v>0</v>
      </c>
      <c r="V7411" s="42" t="s">
        <v>113</v>
      </c>
      <c r="W7411" s="42">
        <v>0</v>
      </c>
      <c r="X7411" s="42">
        <v>0</v>
      </c>
    </row>
    <row r="7412" spans="1:24">
      <c r="A7412" s="27" t="s">
        <v>13377</v>
      </c>
      <c r="B7412" s="28" t="s">
        <v>12240</v>
      </c>
      <c r="C7412" s="27" t="s">
        <v>13378</v>
      </c>
      <c r="D7412" s="27" t="s">
        <v>230</v>
      </c>
      <c r="E7412" s="29">
        <v>40908</v>
      </c>
      <c r="F7412" s="27">
        <v>15</v>
      </c>
      <c r="G7412" s="18">
        <v>42379.42</v>
      </c>
      <c r="H7412" s="27">
        <f t="shared" si="230"/>
        <v>0</v>
      </c>
      <c r="I7412" s="18">
        <v>22778.31</v>
      </c>
      <c r="J7412" s="27">
        <v>42379.42</v>
      </c>
      <c r="K7412" s="18">
        <f t="shared" si="231"/>
        <v>0</v>
      </c>
      <c r="L7412" s="27">
        <v>24963.58</v>
      </c>
      <c r="M7412" s="36">
        <v>2185.27</v>
      </c>
      <c r="T7412" s="41">
        <v>0</v>
      </c>
      <c r="U7412" s="41">
        <v>0</v>
      </c>
      <c r="V7412" s="42" t="s">
        <v>113</v>
      </c>
      <c r="W7412" s="42">
        <v>0</v>
      </c>
      <c r="X7412" s="42">
        <v>0</v>
      </c>
    </row>
    <row r="7413" spans="1:24">
      <c r="A7413" s="27" t="s">
        <v>13379</v>
      </c>
      <c r="B7413" s="28" t="s">
        <v>12240</v>
      </c>
      <c r="C7413" s="27" t="s">
        <v>13380</v>
      </c>
      <c r="D7413" s="27" t="s">
        <v>230</v>
      </c>
      <c r="E7413" s="29">
        <v>40908</v>
      </c>
      <c r="F7413" s="27">
        <v>15</v>
      </c>
      <c r="G7413" s="18">
        <v>42379.41</v>
      </c>
      <c r="H7413" s="27">
        <f t="shared" si="230"/>
        <v>0</v>
      </c>
      <c r="I7413" s="18">
        <v>22778.32</v>
      </c>
      <c r="J7413" s="27">
        <v>42379.41</v>
      </c>
      <c r="K7413" s="18">
        <f t="shared" si="231"/>
        <v>0</v>
      </c>
      <c r="L7413" s="27">
        <v>24963.59</v>
      </c>
      <c r="M7413" s="36">
        <v>2185.27</v>
      </c>
      <c r="T7413" s="41">
        <v>0</v>
      </c>
      <c r="U7413" s="41">
        <v>0</v>
      </c>
      <c r="V7413" s="42" t="s">
        <v>113</v>
      </c>
      <c r="W7413" s="42">
        <v>0</v>
      </c>
      <c r="X7413" s="42">
        <v>0</v>
      </c>
    </row>
    <row r="7414" spans="1:24">
      <c r="A7414" s="27" t="s">
        <v>13381</v>
      </c>
      <c r="B7414" s="28" t="s">
        <v>12240</v>
      </c>
      <c r="C7414" s="27" t="s">
        <v>13382</v>
      </c>
      <c r="D7414" s="27" t="s">
        <v>230</v>
      </c>
      <c r="E7414" s="29">
        <v>40908</v>
      </c>
      <c r="F7414" s="27">
        <v>15</v>
      </c>
      <c r="G7414" s="18">
        <v>52855.86</v>
      </c>
      <c r="H7414" s="27">
        <f t="shared" si="230"/>
        <v>0</v>
      </c>
      <c r="I7414" s="18">
        <v>28451.66</v>
      </c>
      <c r="J7414" s="27">
        <v>52855.86</v>
      </c>
      <c r="K7414" s="18">
        <f t="shared" si="231"/>
        <v>0</v>
      </c>
      <c r="L7414" s="27">
        <v>31171.84</v>
      </c>
      <c r="M7414" s="36">
        <v>2720.18</v>
      </c>
      <c r="T7414" s="41">
        <v>0</v>
      </c>
      <c r="U7414" s="41">
        <v>0</v>
      </c>
      <c r="V7414" s="42" t="s">
        <v>113</v>
      </c>
      <c r="W7414" s="42">
        <v>0</v>
      </c>
      <c r="X7414" s="42">
        <v>0</v>
      </c>
    </row>
    <row r="7415" spans="1:24">
      <c r="A7415" s="27" t="s">
        <v>13383</v>
      </c>
      <c r="B7415" s="28" t="s">
        <v>12240</v>
      </c>
      <c r="C7415" s="27" t="s">
        <v>13384</v>
      </c>
      <c r="D7415" s="27" t="s">
        <v>230</v>
      </c>
      <c r="E7415" s="29">
        <v>40908</v>
      </c>
      <c r="F7415" s="27">
        <v>15</v>
      </c>
      <c r="G7415" s="18">
        <v>52855.86</v>
      </c>
      <c r="H7415" s="27">
        <f t="shared" si="230"/>
        <v>0</v>
      </c>
      <c r="I7415" s="18">
        <v>28451.66</v>
      </c>
      <c r="J7415" s="27">
        <v>52855.86</v>
      </c>
      <c r="K7415" s="18">
        <f t="shared" si="231"/>
        <v>0</v>
      </c>
      <c r="L7415" s="27">
        <v>31171.84</v>
      </c>
      <c r="M7415" s="36">
        <v>2720.18</v>
      </c>
      <c r="T7415" s="41">
        <v>0</v>
      </c>
      <c r="U7415" s="41">
        <v>0</v>
      </c>
      <c r="V7415" s="42" t="s">
        <v>113</v>
      </c>
      <c r="W7415" s="42">
        <v>0</v>
      </c>
      <c r="X7415" s="42">
        <v>0</v>
      </c>
    </row>
    <row r="7416" spans="1:24">
      <c r="A7416" s="27" t="s">
        <v>13385</v>
      </c>
      <c r="B7416" s="28" t="s">
        <v>12240</v>
      </c>
      <c r="C7416" s="27" t="s">
        <v>13386</v>
      </c>
      <c r="D7416" s="27" t="s">
        <v>230</v>
      </c>
      <c r="E7416" s="29">
        <v>40908</v>
      </c>
      <c r="F7416" s="27">
        <v>15</v>
      </c>
      <c r="G7416" s="18">
        <v>109113.60000000001</v>
      </c>
      <c r="H7416" s="27">
        <f t="shared" si="230"/>
        <v>0</v>
      </c>
      <c r="I7416" s="18">
        <v>33028.43</v>
      </c>
      <c r="J7416" s="27">
        <v>109113.60000000001</v>
      </c>
      <c r="K7416" s="18">
        <f t="shared" si="231"/>
        <v>0</v>
      </c>
      <c r="L7416" s="27">
        <v>41857.120000000003</v>
      </c>
      <c r="M7416" s="36">
        <v>8828.69</v>
      </c>
      <c r="T7416" s="41">
        <v>0</v>
      </c>
      <c r="U7416" s="41">
        <v>0</v>
      </c>
      <c r="V7416" s="42" t="s">
        <v>113</v>
      </c>
      <c r="W7416" s="42">
        <v>0</v>
      </c>
      <c r="X7416" s="42">
        <v>0</v>
      </c>
    </row>
    <row r="7417" spans="1:24">
      <c r="A7417" s="27" t="s">
        <v>13387</v>
      </c>
      <c r="B7417" s="28" t="s">
        <v>12240</v>
      </c>
      <c r="C7417" s="27" t="s">
        <v>13388</v>
      </c>
      <c r="D7417" s="27" t="s">
        <v>230</v>
      </c>
      <c r="E7417" s="29">
        <v>41271</v>
      </c>
      <c r="F7417" s="27">
        <v>15</v>
      </c>
      <c r="G7417" s="18">
        <v>36004.04</v>
      </c>
      <c r="H7417" s="27">
        <f t="shared" si="230"/>
        <v>0</v>
      </c>
      <c r="I7417" s="18">
        <v>15822.51</v>
      </c>
      <c r="J7417" s="27">
        <v>36004.04</v>
      </c>
      <c r="K7417" s="18">
        <f t="shared" si="231"/>
        <v>0</v>
      </c>
      <c r="L7417" s="27">
        <v>17864.88</v>
      </c>
      <c r="M7417" s="36">
        <v>2042.37</v>
      </c>
      <c r="T7417" s="41">
        <v>0</v>
      </c>
      <c r="U7417" s="41">
        <v>0</v>
      </c>
      <c r="V7417" s="42" t="s">
        <v>113</v>
      </c>
      <c r="W7417" s="42">
        <v>0</v>
      </c>
      <c r="X7417" s="42">
        <v>0</v>
      </c>
    </row>
    <row r="7418" spans="1:24">
      <c r="A7418" s="27" t="s">
        <v>13389</v>
      </c>
      <c r="B7418" s="28" t="s">
        <v>12240</v>
      </c>
      <c r="C7418" s="27" t="s">
        <v>13390</v>
      </c>
      <c r="D7418" s="27" t="s">
        <v>230</v>
      </c>
      <c r="E7418" s="29">
        <v>41271</v>
      </c>
      <c r="F7418" s="27">
        <v>15</v>
      </c>
      <c r="G7418" s="18">
        <v>37356.81</v>
      </c>
      <c r="H7418" s="27">
        <f t="shared" si="230"/>
        <v>0</v>
      </c>
      <c r="I7418" s="18">
        <v>16208.05</v>
      </c>
      <c r="J7418" s="27">
        <v>37356.81</v>
      </c>
      <c r="K7418" s="18">
        <f t="shared" si="231"/>
        <v>0</v>
      </c>
      <c r="L7418" s="27">
        <v>18350.37</v>
      </c>
      <c r="M7418" s="36">
        <v>2142.3200000000002</v>
      </c>
      <c r="T7418" s="41">
        <v>0</v>
      </c>
      <c r="U7418" s="41">
        <v>0</v>
      </c>
      <c r="V7418" s="42" t="s">
        <v>113</v>
      </c>
      <c r="W7418" s="42">
        <v>0</v>
      </c>
      <c r="X7418" s="42">
        <v>0</v>
      </c>
    </row>
    <row r="7419" spans="1:24">
      <c r="A7419" s="27" t="s">
        <v>13391</v>
      </c>
      <c r="B7419" s="28" t="s">
        <v>12240</v>
      </c>
      <c r="C7419" s="27" t="s">
        <v>13392</v>
      </c>
      <c r="D7419" s="27" t="s">
        <v>230</v>
      </c>
      <c r="E7419" s="29">
        <v>41271</v>
      </c>
      <c r="F7419" s="27">
        <v>15</v>
      </c>
      <c r="G7419" s="18">
        <v>37356.86</v>
      </c>
      <c r="H7419" s="27">
        <f t="shared" si="230"/>
        <v>0</v>
      </c>
      <c r="I7419" s="18">
        <v>16208.08</v>
      </c>
      <c r="J7419" s="27">
        <v>37356.86</v>
      </c>
      <c r="K7419" s="18">
        <f t="shared" si="231"/>
        <v>0</v>
      </c>
      <c r="L7419" s="27">
        <v>18350.41</v>
      </c>
      <c r="M7419" s="36">
        <v>2142.33</v>
      </c>
      <c r="T7419" s="41">
        <v>0</v>
      </c>
      <c r="U7419" s="41">
        <v>0</v>
      </c>
      <c r="V7419" s="42" t="s">
        <v>113</v>
      </c>
      <c r="W7419" s="42">
        <v>0</v>
      </c>
      <c r="X7419" s="42">
        <v>0</v>
      </c>
    </row>
    <row r="7420" spans="1:24">
      <c r="A7420" s="27" t="s">
        <v>13393</v>
      </c>
      <c r="B7420" s="28" t="s">
        <v>12240</v>
      </c>
      <c r="C7420" s="27" t="s">
        <v>13394</v>
      </c>
      <c r="D7420" s="27" t="s">
        <v>230</v>
      </c>
      <c r="E7420" s="29">
        <v>41271</v>
      </c>
      <c r="F7420" s="27">
        <v>15</v>
      </c>
      <c r="G7420" s="18">
        <v>37356.83</v>
      </c>
      <c r="H7420" s="27">
        <f t="shared" si="230"/>
        <v>0</v>
      </c>
      <c r="I7420" s="18">
        <v>16208.07</v>
      </c>
      <c r="J7420" s="27">
        <v>37356.83</v>
      </c>
      <c r="K7420" s="18">
        <f t="shared" si="231"/>
        <v>0</v>
      </c>
      <c r="L7420" s="27">
        <v>18350.39</v>
      </c>
      <c r="M7420" s="36">
        <v>2142.3200000000002</v>
      </c>
      <c r="T7420" s="41">
        <v>0</v>
      </c>
      <c r="U7420" s="41">
        <v>0</v>
      </c>
      <c r="V7420" s="42" t="s">
        <v>113</v>
      </c>
      <c r="W7420" s="42">
        <v>0</v>
      </c>
      <c r="X7420" s="42">
        <v>0</v>
      </c>
    </row>
    <row r="7421" spans="1:24">
      <c r="A7421" s="27" t="s">
        <v>13395</v>
      </c>
      <c r="B7421" s="28" t="s">
        <v>12240</v>
      </c>
      <c r="C7421" s="27" t="s">
        <v>13396</v>
      </c>
      <c r="D7421" s="27" t="s">
        <v>230</v>
      </c>
      <c r="E7421" s="29">
        <v>41271</v>
      </c>
      <c r="F7421" s="27">
        <v>15</v>
      </c>
      <c r="G7421" s="18">
        <v>35570.47</v>
      </c>
      <c r="H7421" s="27">
        <f t="shared" si="230"/>
        <v>0</v>
      </c>
      <c r="I7421" s="18">
        <v>15638.03</v>
      </c>
      <c r="J7421" s="27">
        <v>35570.47</v>
      </c>
      <c r="K7421" s="18">
        <f t="shared" si="231"/>
        <v>0</v>
      </c>
      <c r="L7421" s="27">
        <v>17655.13</v>
      </c>
      <c r="M7421" s="36">
        <v>2017.1</v>
      </c>
      <c r="T7421" s="41">
        <v>0</v>
      </c>
      <c r="U7421" s="41">
        <v>0</v>
      </c>
      <c r="V7421" s="42" t="s">
        <v>113</v>
      </c>
      <c r="W7421" s="42">
        <v>0</v>
      </c>
      <c r="X7421" s="42">
        <v>0</v>
      </c>
    </row>
    <row r="7422" spans="1:24">
      <c r="A7422" s="27" t="s">
        <v>13397</v>
      </c>
      <c r="B7422" s="28" t="s">
        <v>12240</v>
      </c>
      <c r="C7422" s="27" t="s">
        <v>13398</v>
      </c>
      <c r="D7422" s="27" t="s">
        <v>230</v>
      </c>
      <c r="E7422" s="29">
        <v>41271</v>
      </c>
      <c r="F7422" s="27">
        <v>15</v>
      </c>
      <c r="G7422" s="18">
        <v>37179.269999999997</v>
      </c>
      <c r="H7422" s="27">
        <f t="shared" si="230"/>
        <v>0</v>
      </c>
      <c r="I7422" s="18">
        <v>16096.54</v>
      </c>
      <c r="J7422" s="27">
        <v>37179.269999999997</v>
      </c>
      <c r="K7422" s="18">
        <f t="shared" si="231"/>
        <v>0</v>
      </c>
      <c r="L7422" s="27">
        <v>18232.509999999998</v>
      </c>
      <c r="M7422" s="36">
        <v>2135.9699999999998</v>
      </c>
      <c r="T7422" s="41">
        <v>0</v>
      </c>
      <c r="U7422" s="41">
        <v>0</v>
      </c>
      <c r="V7422" s="42" t="s">
        <v>113</v>
      </c>
      <c r="W7422" s="42">
        <v>0</v>
      </c>
      <c r="X7422" s="42">
        <v>0</v>
      </c>
    </row>
    <row r="7423" spans="1:24">
      <c r="A7423" s="27" t="s">
        <v>13399</v>
      </c>
      <c r="B7423" s="28" t="s">
        <v>12240</v>
      </c>
      <c r="C7423" s="27" t="s">
        <v>13400</v>
      </c>
      <c r="D7423" s="27" t="s">
        <v>230</v>
      </c>
      <c r="E7423" s="29">
        <v>41271</v>
      </c>
      <c r="F7423" s="27">
        <v>15</v>
      </c>
      <c r="G7423" s="18">
        <v>37179.32</v>
      </c>
      <c r="H7423" s="27">
        <f t="shared" si="230"/>
        <v>0</v>
      </c>
      <c r="I7423" s="18">
        <v>16096.57</v>
      </c>
      <c r="J7423" s="27">
        <v>37179.32</v>
      </c>
      <c r="K7423" s="18">
        <f t="shared" si="231"/>
        <v>0</v>
      </c>
      <c r="L7423" s="27">
        <v>18232.55</v>
      </c>
      <c r="M7423" s="36">
        <v>2135.98</v>
      </c>
      <c r="T7423" s="41">
        <v>0</v>
      </c>
      <c r="U7423" s="41">
        <v>0</v>
      </c>
      <c r="V7423" s="42" t="s">
        <v>113</v>
      </c>
      <c r="W7423" s="42">
        <v>0</v>
      </c>
      <c r="X7423" s="42">
        <v>0</v>
      </c>
    </row>
    <row r="7424" spans="1:24">
      <c r="A7424" s="27" t="s">
        <v>13401</v>
      </c>
      <c r="B7424" s="28" t="s">
        <v>12240</v>
      </c>
      <c r="C7424" s="27" t="s">
        <v>13402</v>
      </c>
      <c r="D7424" s="27" t="s">
        <v>230</v>
      </c>
      <c r="E7424" s="29">
        <v>41271</v>
      </c>
      <c r="F7424" s="27">
        <v>15</v>
      </c>
      <c r="G7424" s="18">
        <v>37179.300000000003</v>
      </c>
      <c r="H7424" s="27">
        <f t="shared" si="230"/>
        <v>0</v>
      </c>
      <c r="I7424" s="18">
        <v>16096.55</v>
      </c>
      <c r="J7424" s="27">
        <v>37179.300000000003</v>
      </c>
      <c r="K7424" s="18">
        <f t="shared" si="231"/>
        <v>0</v>
      </c>
      <c r="L7424" s="27">
        <v>18232.53</v>
      </c>
      <c r="M7424" s="36">
        <v>2135.98</v>
      </c>
      <c r="T7424" s="41">
        <v>0</v>
      </c>
      <c r="U7424" s="41">
        <v>0</v>
      </c>
      <c r="V7424" s="42" t="s">
        <v>113</v>
      </c>
      <c r="W7424" s="42">
        <v>0</v>
      </c>
      <c r="X7424" s="42">
        <v>0</v>
      </c>
    </row>
    <row r="7425" spans="1:24">
      <c r="A7425" s="27" t="s">
        <v>13403</v>
      </c>
      <c r="B7425" s="28" t="s">
        <v>12240</v>
      </c>
      <c r="C7425" s="27" t="s">
        <v>13404</v>
      </c>
      <c r="D7425" s="27" t="s">
        <v>230</v>
      </c>
      <c r="E7425" s="29">
        <v>41271</v>
      </c>
      <c r="F7425" s="27">
        <v>15</v>
      </c>
      <c r="G7425" s="18">
        <v>48596.71</v>
      </c>
      <c r="H7425" s="27">
        <f t="shared" si="230"/>
        <v>0</v>
      </c>
      <c r="I7425" s="18">
        <v>20935.64</v>
      </c>
      <c r="J7425" s="27">
        <v>48596.71</v>
      </c>
      <c r="K7425" s="18">
        <f t="shared" si="231"/>
        <v>0</v>
      </c>
      <c r="L7425" s="27">
        <v>23739.11</v>
      </c>
      <c r="M7425" s="36">
        <v>2803.47</v>
      </c>
      <c r="T7425" s="41">
        <v>0</v>
      </c>
      <c r="U7425" s="41">
        <v>0</v>
      </c>
      <c r="V7425" s="42" t="s">
        <v>113</v>
      </c>
      <c r="W7425" s="42">
        <v>0</v>
      </c>
      <c r="X7425" s="42">
        <v>0</v>
      </c>
    </row>
    <row r="7426" spans="1:24">
      <c r="A7426" s="27" t="s">
        <v>13405</v>
      </c>
      <c r="B7426" s="28" t="s">
        <v>12240</v>
      </c>
      <c r="C7426" s="27" t="s">
        <v>13406</v>
      </c>
      <c r="D7426" s="27" t="s">
        <v>230</v>
      </c>
      <c r="E7426" s="29">
        <v>41271</v>
      </c>
      <c r="F7426" s="27">
        <v>15</v>
      </c>
      <c r="G7426" s="18">
        <v>49305.58</v>
      </c>
      <c r="H7426" s="27">
        <f t="shared" si="230"/>
        <v>0</v>
      </c>
      <c r="I7426" s="18">
        <v>21137.66</v>
      </c>
      <c r="J7426" s="27">
        <v>49305.58</v>
      </c>
      <c r="K7426" s="18">
        <f t="shared" si="231"/>
        <v>0</v>
      </c>
      <c r="L7426" s="27">
        <v>23993.51</v>
      </c>
      <c r="M7426" s="36">
        <v>2855.85</v>
      </c>
      <c r="T7426" s="41">
        <v>0</v>
      </c>
      <c r="U7426" s="41">
        <v>0</v>
      </c>
      <c r="V7426" s="42" t="s">
        <v>113</v>
      </c>
      <c r="W7426" s="42">
        <v>0</v>
      </c>
      <c r="X7426" s="42">
        <v>0</v>
      </c>
    </row>
    <row r="7427" spans="1:24">
      <c r="A7427" s="27" t="s">
        <v>13407</v>
      </c>
      <c r="B7427" s="28" t="s">
        <v>12240</v>
      </c>
      <c r="C7427" s="27" t="s">
        <v>13408</v>
      </c>
      <c r="D7427" s="27" t="s">
        <v>230</v>
      </c>
      <c r="E7427" s="29">
        <v>41271</v>
      </c>
      <c r="F7427" s="27">
        <v>15</v>
      </c>
      <c r="G7427" s="18">
        <v>42961.99</v>
      </c>
      <c r="H7427" s="27">
        <f t="shared" si="230"/>
        <v>0</v>
      </c>
      <c r="I7427" s="18">
        <v>18521.12</v>
      </c>
      <c r="J7427" s="27">
        <v>42961.99</v>
      </c>
      <c r="K7427" s="18">
        <f t="shared" si="231"/>
        <v>0</v>
      </c>
      <c r="L7427" s="27">
        <v>20998.09</v>
      </c>
      <c r="M7427" s="36">
        <v>2476.9699999999998</v>
      </c>
      <c r="T7427" s="41">
        <v>0</v>
      </c>
      <c r="U7427" s="41">
        <v>0</v>
      </c>
      <c r="V7427" s="42" t="s">
        <v>113</v>
      </c>
      <c r="W7427" s="42">
        <v>0</v>
      </c>
      <c r="X7427" s="42">
        <v>0</v>
      </c>
    </row>
    <row r="7428" spans="1:24">
      <c r="A7428" s="27" t="s">
        <v>13409</v>
      </c>
      <c r="B7428" s="28" t="s">
        <v>12240</v>
      </c>
      <c r="C7428" s="27" t="s">
        <v>13410</v>
      </c>
      <c r="D7428" s="27" t="s">
        <v>230</v>
      </c>
      <c r="E7428" s="29">
        <v>41271</v>
      </c>
      <c r="F7428" s="27">
        <v>15</v>
      </c>
      <c r="G7428" s="18">
        <v>42689.34</v>
      </c>
      <c r="H7428" s="27">
        <f t="shared" si="230"/>
        <v>0</v>
      </c>
      <c r="I7428" s="18">
        <v>18443.419999999998</v>
      </c>
      <c r="J7428" s="27">
        <v>42689.34</v>
      </c>
      <c r="K7428" s="18">
        <f t="shared" si="231"/>
        <v>0</v>
      </c>
      <c r="L7428" s="27">
        <v>20900.25</v>
      </c>
      <c r="M7428" s="36">
        <v>2456.83</v>
      </c>
      <c r="T7428" s="41">
        <v>0</v>
      </c>
      <c r="U7428" s="41">
        <v>0</v>
      </c>
      <c r="V7428" s="42" t="s">
        <v>113</v>
      </c>
      <c r="W7428" s="42">
        <v>0</v>
      </c>
      <c r="X7428" s="42">
        <v>0</v>
      </c>
    </row>
    <row r="7429" spans="1:24">
      <c r="A7429" s="27" t="s">
        <v>13411</v>
      </c>
      <c r="B7429" s="28" t="s">
        <v>12240</v>
      </c>
      <c r="C7429" s="27" t="s">
        <v>13412</v>
      </c>
      <c r="D7429" s="27" t="s">
        <v>230</v>
      </c>
      <c r="E7429" s="29">
        <v>41271</v>
      </c>
      <c r="F7429" s="27">
        <v>15</v>
      </c>
      <c r="G7429" s="18">
        <v>42689.33</v>
      </c>
      <c r="H7429" s="27">
        <f t="shared" si="230"/>
        <v>0</v>
      </c>
      <c r="I7429" s="18">
        <v>18443.41</v>
      </c>
      <c r="J7429" s="27">
        <v>42689.33</v>
      </c>
      <c r="K7429" s="18">
        <f t="shared" si="231"/>
        <v>0</v>
      </c>
      <c r="L7429" s="27">
        <v>20900.240000000002</v>
      </c>
      <c r="M7429" s="36">
        <v>2456.83</v>
      </c>
      <c r="T7429" s="41">
        <v>0</v>
      </c>
      <c r="U7429" s="41">
        <v>0</v>
      </c>
      <c r="V7429" s="42" t="s">
        <v>113</v>
      </c>
      <c r="W7429" s="42">
        <v>0</v>
      </c>
      <c r="X7429" s="42">
        <v>0</v>
      </c>
    </row>
    <row r="7430" spans="1:24">
      <c r="A7430" s="27" t="s">
        <v>13413</v>
      </c>
      <c r="B7430" s="28" t="s">
        <v>12240</v>
      </c>
      <c r="C7430" s="27" t="s">
        <v>13414</v>
      </c>
      <c r="D7430" s="27" t="s">
        <v>230</v>
      </c>
      <c r="E7430" s="29">
        <v>41271</v>
      </c>
      <c r="F7430" s="27">
        <v>15</v>
      </c>
      <c r="G7430" s="18">
        <v>37842.61</v>
      </c>
      <c r="H7430" s="27">
        <f t="shared" ref="H7430:H7493" si="232">IFERROR(IF(ROUND((G7430-I7430)/G7430,2)&lt;=0.05,G7430,0),0)</f>
        <v>0</v>
      </c>
      <c r="I7430" s="18">
        <v>16754.650000000001</v>
      </c>
      <c r="J7430" s="27">
        <v>37842.61</v>
      </c>
      <c r="K7430" s="18">
        <f t="shared" ref="K7430:K7493" si="233">IFERROR(IF(ROUND((J7430-L7430)/J7430,2)&lt;=0.05,J7430,0),0)</f>
        <v>0</v>
      </c>
      <c r="L7430" s="27">
        <v>18887.52</v>
      </c>
      <c r="M7430" s="36">
        <v>2132.87</v>
      </c>
      <c r="T7430" s="41">
        <v>0</v>
      </c>
      <c r="U7430" s="41">
        <v>0</v>
      </c>
      <c r="V7430" s="42" t="s">
        <v>113</v>
      </c>
      <c r="W7430" s="42">
        <v>0</v>
      </c>
      <c r="X7430" s="42">
        <v>0</v>
      </c>
    </row>
    <row r="7431" spans="1:24">
      <c r="A7431" s="27" t="s">
        <v>13415</v>
      </c>
      <c r="B7431" s="28" t="s">
        <v>12240</v>
      </c>
      <c r="C7431" s="27" t="s">
        <v>13416</v>
      </c>
      <c r="D7431" s="27" t="s">
        <v>230</v>
      </c>
      <c r="E7431" s="29">
        <v>41271</v>
      </c>
      <c r="F7431" s="27">
        <v>15</v>
      </c>
      <c r="G7431" s="18">
        <v>39674.78</v>
      </c>
      <c r="H7431" s="27">
        <f t="shared" si="232"/>
        <v>0</v>
      </c>
      <c r="I7431" s="18">
        <v>17276.810000000001</v>
      </c>
      <c r="J7431" s="27">
        <v>39674.78</v>
      </c>
      <c r="K7431" s="18">
        <f t="shared" si="233"/>
        <v>0</v>
      </c>
      <c r="L7431" s="27">
        <v>19545.060000000001</v>
      </c>
      <c r="M7431" s="36">
        <v>2268.25</v>
      </c>
      <c r="T7431" s="41">
        <v>0</v>
      </c>
      <c r="U7431" s="41">
        <v>0</v>
      </c>
      <c r="V7431" s="42" t="s">
        <v>113</v>
      </c>
      <c r="W7431" s="42">
        <v>0</v>
      </c>
      <c r="X7431" s="42">
        <v>0</v>
      </c>
    </row>
    <row r="7432" spans="1:24">
      <c r="A7432" s="27" t="s">
        <v>13417</v>
      </c>
      <c r="B7432" s="28" t="s">
        <v>12240</v>
      </c>
      <c r="C7432" s="27" t="s">
        <v>13418</v>
      </c>
      <c r="D7432" s="27" t="s">
        <v>230</v>
      </c>
      <c r="E7432" s="29">
        <v>41271</v>
      </c>
      <c r="F7432" s="27">
        <v>15</v>
      </c>
      <c r="G7432" s="18">
        <v>39674.78</v>
      </c>
      <c r="H7432" s="27">
        <f t="shared" si="232"/>
        <v>0</v>
      </c>
      <c r="I7432" s="18">
        <v>17276.810000000001</v>
      </c>
      <c r="J7432" s="27">
        <v>39674.78</v>
      </c>
      <c r="K7432" s="18">
        <f t="shared" si="233"/>
        <v>0</v>
      </c>
      <c r="L7432" s="27">
        <v>19545.060000000001</v>
      </c>
      <c r="M7432" s="36">
        <v>2268.25</v>
      </c>
      <c r="T7432" s="41">
        <v>0</v>
      </c>
      <c r="U7432" s="41">
        <v>0</v>
      </c>
      <c r="V7432" s="42" t="s">
        <v>113</v>
      </c>
      <c r="W7432" s="42">
        <v>0</v>
      </c>
      <c r="X7432" s="42">
        <v>0</v>
      </c>
    </row>
    <row r="7433" spans="1:24">
      <c r="A7433" s="27" t="s">
        <v>13419</v>
      </c>
      <c r="B7433" s="28" t="s">
        <v>12240</v>
      </c>
      <c r="C7433" s="27" t="s">
        <v>13420</v>
      </c>
      <c r="D7433" s="27" t="s">
        <v>230</v>
      </c>
      <c r="E7433" s="29">
        <v>41271</v>
      </c>
      <c r="F7433" s="27">
        <v>15</v>
      </c>
      <c r="G7433" s="18">
        <v>39674.78</v>
      </c>
      <c r="H7433" s="27">
        <f t="shared" si="232"/>
        <v>0</v>
      </c>
      <c r="I7433" s="18">
        <v>17276.810000000001</v>
      </c>
      <c r="J7433" s="27">
        <v>39674.78</v>
      </c>
      <c r="K7433" s="18">
        <f t="shared" si="233"/>
        <v>0</v>
      </c>
      <c r="L7433" s="27">
        <v>19545.060000000001</v>
      </c>
      <c r="M7433" s="36">
        <v>2268.25</v>
      </c>
      <c r="T7433" s="41">
        <v>0</v>
      </c>
      <c r="U7433" s="41">
        <v>0</v>
      </c>
      <c r="V7433" s="42" t="s">
        <v>113</v>
      </c>
      <c r="W7433" s="42">
        <v>0</v>
      </c>
      <c r="X7433" s="42">
        <v>0</v>
      </c>
    </row>
    <row r="7434" spans="1:24">
      <c r="A7434" s="27" t="s">
        <v>13421</v>
      </c>
      <c r="B7434" s="28" t="s">
        <v>12240</v>
      </c>
      <c r="C7434" s="27" t="s">
        <v>13422</v>
      </c>
      <c r="D7434" s="27" t="s">
        <v>230</v>
      </c>
      <c r="E7434" s="29">
        <v>41271</v>
      </c>
      <c r="F7434" s="27">
        <v>15</v>
      </c>
      <c r="G7434" s="18">
        <v>39674.81</v>
      </c>
      <c r="H7434" s="27">
        <f t="shared" si="232"/>
        <v>0</v>
      </c>
      <c r="I7434" s="18">
        <v>17276.84</v>
      </c>
      <c r="J7434" s="27">
        <v>39674.81</v>
      </c>
      <c r="K7434" s="18">
        <f t="shared" si="233"/>
        <v>0</v>
      </c>
      <c r="L7434" s="27">
        <v>19545.09</v>
      </c>
      <c r="M7434" s="36">
        <v>2268.25</v>
      </c>
      <c r="T7434" s="41">
        <v>0</v>
      </c>
      <c r="U7434" s="41">
        <v>0</v>
      </c>
      <c r="V7434" s="42" t="s">
        <v>113</v>
      </c>
      <c r="W7434" s="42">
        <v>0</v>
      </c>
      <c r="X7434" s="42">
        <v>0</v>
      </c>
    </row>
    <row r="7435" spans="1:24">
      <c r="A7435" s="27" t="s">
        <v>13423</v>
      </c>
      <c r="B7435" s="28" t="s">
        <v>12240</v>
      </c>
      <c r="C7435" s="27" t="s">
        <v>13424</v>
      </c>
      <c r="D7435" s="27" t="s">
        <v>230</v>
      </c>
      <c r="E7435" s="29">
        <v>41271</v>
      </c>
      <c r="F7435" s="27">
        <v>15</v>
      </c>
      <c r="G7435" s="18">
        <v>34534.5</v>
      </c>
      <c r="H7435" s="27">
        <f t="shared" si="232"/>
        <v>0</v>
      </c>
      <c r="I7435" s="18">
        <v>15436.74</v>
      </c>
      <c r="J7435" s="27">
        <v>34534.5</v>
      </c>
      <c r="K7435" s="18">
        <f t="shared" si="233"/>
        <v>0</v>
      </c>
      <c r="L7435" s="27">
        <v>17366.849999999999</v>
      </c>
      <c r="M7435" s="36">
        <v>1930.11</v>
      </c>
      <c r="T7435" s="41">
        <v>0</v>
      </c>
      <c r="U7435" s="41">
        <v>0</v>
      </c>
      <c r="V7435" s="42" t="s">
        <v>113</v>
      </c>
      <c r="W7435" s="42">
        <v>0</v>
      </c>
      <c r="X7435" s="42">
        <v>0</v>
      </c>
    </row>
    <row r="7436" spans="1:24">
      <c r="A7436" s="27" t="s">
        <v>13425</v>
      </c>
      <c r="B7436" s="28" t="s">
        <v>12240</v>
      </c>
      <c r="C7436" s="27" t="s">
        <v>13426</v>
      </c>
      <c r="D7436" s="27" t="s">
        <v>230</v>
      </c>
      <c r="E7436" s="29">
        <v>41271</v>
      </c>
      <c r="F7436" s="27">
        <v>15</v>
      </c>
      <c r="G7436" s="18">
        <v>37803.370000000003</v>
      </c>
      <c r="H7436" s="27">
        <f t="shared" si="232"/>
        <v>0</v>
      </c>
      <c r="I7436" s="18">
        <v>16368.37</v>
      </c>
      <c r="J7436" s="27">
        <v>37803.370000000003</v>
      </c>
      <c r="K7436" s="18">
        <f t="shared" si="233"/>
        <v>0</v>
      </c>
      <c r="L7436" s="27">
        <v>18540.02</v>
      </c>
      <c r="M7436" s="36">
        <v>2171.65</v>
      </c>
      <c r="T7436" s="41">
        <v>0</v>
      </c>
      <c r="U7436" s="41">
        <v>0</v>
      </c>
      <c r="V7436" s="42" t="s">
        <v>113</v>
      </c>
      <c r="W7436" s="42">
        <v>0</v>
      </c>
      <c r="X7436" s="42">
        <v>0</v>
      </c>
    </row>
    <row r="7437" spans="1:24">
      <c r="A7437" s="27" t="s">
        <v>13427</v>
      </c>
      <c r="B7437" s="28" t="s">
        <v>12240</v>
      </c>
      <c r="C7437" s="27" t="s">
        <v>13428</v>
      </c>
      <c r="D7437" s="27" t="s">
        <v>230</v>
      </c>
      <c r="E7437" s="29">
        <v>41271</v>
      </c>
      <c r="F7437" s="27">
        <v>15</v>
      </c>
      <c r="G7437" s="18">
        <v>37803.370000000003</v>
      </c>
      <c r="H7437" s="27">
        <f t="shared" si="232"/>
        <v>0</v>
      </c>
      <c r="I7437" s="18">
        <v>16368.37</v>
      </c>
      <c r="J7437" s="27">
        <v>37803.370000000003</v>
      </c>
      <c r="K7437" s="18">
        <f t="shared" si="233"/>
        <v>0</v>
      </c>
      <c r="L7437" s="27">
        <v>18540.02</v>
      </c>
      <c r="M7437" s="36">
        <v>2171.65</v>
      </c>
      <c r="T7437" s="41">
        <v>0</v>
      </c>
      <c r="U7437" s="41">
        <v>0</v>
      </c>
      <c r="V7437" s="42" t="s">
        <v>113</v>
      </c>
      <c r="W7437" s="42">
        <v>0</v>
      </c>
      <c r="X7437" s="42">
        <v>0</v>
      </c>
    </row>
    <row r="7438" spans="1:24">
      <c r="A7438" s="27" t="s">
        <v>13429</v>
      </c>
      <c r="B7438" s="28" t="s">
        <v>12240</v>
      </c>
      <c r="C7438" s="27" t="s">
        <v>13430</v>
      </c>
      <c r="D7438" s="27" t="s">
        <v>230</v>
      </c>
      <c r="E7438" s="29">
        <v>41271</v>
      </c>
      <c r="F7438" s="27">
        <v>15</v>
      </c>
      <c r="G7438" s="18">
        <v>37803.370000000003</v>
      </c>
      <c r="H7438" s="27">
        <f t="shared" si="232"/>
        <v>0</v>
      </c>
      <c r="I7438" s="18">
        <v>16368.37</v>
      </c>
      <c r="J7438" s="27">
        <v>37803.370000000003</v>
      </c>
      <c r="K7438" s="18">
        <f t="shared" si="233"/>
        <v>0</v>
      </c>
      <c r="L7438" s="27">
        <v>18540.02</v>
      </c>
      <c r="M7438" s="36">
        <v>2171.65</v>
      </c>
      <c r="T7438" s="41">
        <v>0</v>
      </c>
      <c r="U7438" s="41">
        <v>0</v>
      </c>
      <c r="V7438" s="42" t="s">
        <v>113</v>
      </c>
      <c r="W7438" s="42">
        <v>0</v>
      </c>
      <c r="X7438" s="42">
        <v>0</v>
      </c>
    </row>
    <row r="7439" spans="1:24">
      <c r="A7439" s="27" t="s">
        <v>13431</v>
      </c>
      <c r="B7439" s="28" t="s">
        <v>12240</v>
      </c>
      <c r="C7439" s="27" t="s">
        <v>13432</v>
      </c>
      <c r="D7439" s="27" t="s">
        <v>230</v>
      </c>
      <c r="E7439" s="29">
        <v>41271</v>
      </c>
      <c r="F7439" s="27">
        <v>15</v>
      </c>
      <c r="G7439" s="18">
        <v>37803.370000000003</v>
      </c>
      <c r="H7439" s="27">
        <f t="shared" si="232"/>
        <v>0</v>
      </c>
      <c r="I7439" s="18">
        <v>16368.37</v>
      </c>
      <c r="J7439" s="27">
        <v>37803.370000000003</v>
      </c>
      <c r="K7439" s="18">
        <f t="shared" si="233"/>
        <v>0</v>
      </c>
      <c r="L7439" s="27">
        <v>18540.02</v>
      </c>
      <c r="M7439" s="36">
        <v>2171.65</v>
      </c>
      <c r="T7439" s="41">
        <v>0</v>
      </c>
      <c r="U7439" s="41">
        <v>0</v>
      </c>
      <c r="V7439" s="42" t="s">
        <v>113</v>
      </c>
      <c r="W7439" s="42">
        <v>0</v>
      </c>
      <c r="X7439" s="42">
        <v>0</v>
      </c>
    </row>
    <row r="7440" spans="1:24">
      <c r="A7440" s="27" t="s">
        <v>13433</v>
      </c>
      <c r="B7440" s="28" t="s">
        <v>12240</v>
      </c>
      <c r="C7440" s="27" t="s">
        <v>13434</v>
      </c>
      <c r="D7440" s="27" t="s">
        <v>230</v>
      </c>
      <c r="E7440" s="29">
        <v>41271</v>
      </c>
      <c r="F7440" s="27">
        <v>15</v>
      </c>
      <c r="G7440" s="18">
        <v>37803.370000000003</v>
      </c>
      <c r="H7440" s="27">
        <f t="shared" si="232"/>
        <v>0</v>
      </c>
      <c r="I7440" s="18">
        <v>16368.37</v>
      </c>
      <c r="J7440" s="27">
        <v>37803.370000000003</v>
      </c>
      <c r="K7440" s="18">
        <f t="shared" si="233"/>
        <v>0</v>
      </c>
      <c r="L7440" s="27">
        <v>18540.02</v>
      </c>
      <c r="M7440" s="36">
        <v>2171.65</v>
      </c>
      <c r="T7440" s="41">
        <v>0</v>
      </c>
      <c r="U7440" s="41">
        <v>0</v>
      </c>
      <c r="V7440" s="42" t="s">
        <v>113</v>
      </c>
      <c r="W7440" s="42">
        <v>0</v>
      </c>
      <c r="X7440" s="42">
        <v>0</v>
      </c>
    </row>
    <row r="7441" spans="1:24">
      <c r="A7441" s="27" t="s">
        <v>13435</v>
      </c>
      <c r="B7441" s="28" t="s">
        <v>12240</v>
      </c>
      <c r="C7441" s="27" t="s">
        <v>13436</v>
      </c>
      <c r="D7441" s="27" t="s">
        <v>230</v>
      </c>
      <c r="E7441" s="29">
        <v>41271</v>
      </c>
      <c r="F7441" s="27">
        <v>15</v>
      </c>
      <c r="G7441" s="18">
        <v>37803.379999999997</v>
      </c>
      <c r="H7441" s="27">
        <f t="shared" si="232"/>
        <v>0</v>
      </c>
      <c r="I7441" s="18">
        <v>16368.37</v>
      </c>
      <c r="J7441" s="27">
        <v>37803.379999999997</v>
      </c>
      <c r="K7441" s="18">
        <f t="shared" si="233"/>
        <v>0</v>
      </c>
      <c r="L7441" s="27">
        <v>18540.02</v>
      </c>
      <c r="M7441" s="36">
        <v>2171.65</v>
      </c>
      <c r="T7441" s="41">
        <v>0</v>
      </c>
      <c r="U7441" s="41">
        <v>0</v>
      </c>
      <c r="V7441" s="42" t="s">
        <v>113</v>
      </c>
      <c r="W7441" s="42">
        <v>0</v>
      </c>
      <c r="X7441" s="42">
        <v>0</v>
      </c>
    </row>
    <row r="7442" spans="1:24">
      <c r="A7442" s="27" t="s">
        <v>13437</v>
      </c>
      <c r="B7442" s="28" t="s">
        <v>12240</v>
      </c>
      <c r="C7442" s="27" t="s">
        <v>13438</v>
      </c>
      <c r="D7442" s="27" t="s">
        <v>230</v>
      </c>
      <c r="E7442" s="29">
        <v>41271</v>
      </c>
      <c r="F7442" s="27">
        <v>15</v>
      </c>
      <c r="G7442" s="18">
        <v>37803.35</v>
      </c>
      <c r="H7442" s="27">
        <f t="shared" si="232"/>
        <v>0</v>
      </c>
      <c r="I7442" s="18">
        <v>16368.35</v>
      </c>
      <c r="J7442" s="27">
        <v>37803.35</v>
      </c>
      <c r="K7442" s="18">
        <f t="shared" si="233"/>
        <v>0</v>
      </c>
      <c r="L7442" s="27">
        <v>18540</v>
      </c>
      <c r="M7442" s="36">
        <v>2171.65</v>
      </c>
      <c r="T7442" s="41">
        <v>0</v>
      </c>
      <c r="U7442" s="41">
        <v>0</v>
      </c>
      <c r="V7442" s="42" t="s">
        <v>113</v>
      </c>
      <c r="W7442" s="42">
        <v>0</v>
      </c>
      <c r="X7442" s="42">
        <v>0</v>
      </c>
    </row>
    <row r="7443" spans="1:24">
      <c r="A7443" s="27" t="s">
        <v>13439</v>
      </c>
      <c r="B7443" s="28" t="s">
        <v>12240</v>
      </c>
      <c r="C7443" s="27" t="s">
        <v>13440</v>
      </c>
      <c r="D7443" s="27" t="s">
        <v>230</v>
      </c>
      <c r="E7443" s="29">
        <v>41271</v>
      </c>
      <c r="F7443" s="27">
        <v>15</v>
      </c>
      <c r="G7443" s="18">
        <v>35445.15</v>
      </c>
      <c r="H7443" s="27">
        <f t="shared" si="232"/>
        <v>0</v>
      </c>
      <c r="I7443" s="18">
        <v>15587.01</v>
      </c>
      <c r="J7443" s="27">
        <v>35445.15</v>
      </c>
      <c r="K7443" s="18">
        <f t="shared" si="233"/>
        <v>0</v>
      </c>
      <c r="L7443" s="27">
        <v>17596.55</v>
      </c>
      <c r="M7443" s="36">
        <v>2009.54</v>
      </c>
      <c r="T7443" s="41">
        <v>0</v>
      </c>
      <c r="U7443" s="41">
        <v>0</v>
      </c>
      <c r="V7443" s="42" t="s">
        <v>113</v>
      </c>
      <c r="W7443" s="42">
        <v>0</v>
      </c>
      <c r="X7443" s="42">
        <v>0</v>
      </c>
    </row>
    <row r="7444" spans="1:24">
      <c r="A7444" s="27" t="s">
        <v>13441</v>
      </c>
      <c r="B7444" s="28" t="s">
        <v>12240</v>
      </c>
      <c r="C7444" s="27" t="s">
        <v>13442</v>
      </c>
      <c r="D7444" s="27" t="s">
        <v>230</v>
      </c>
      <c r="E7444" s="29">
        <v>41271</v>
      </c>
      <c r="F7444" s="27">
        <v>15</v>
      </c>
      <c r="G7444" s="18">
        <v>36641.089999999997</v>
      </c>
      <c r="H7444" s="27">
        <f t="shared" si="232"/>
        <v>0</v>
      </c>
      <c r="I7444" s="18">
        <v>15927.85</v>
      </c>
      <c r="J7444" s="27">
        <v>36641.089999999997</v>
      </c>
      <c r="K7444" s="18">
        <f t="shared" si="233"/>
        <v>0</v>
      </c>
      <c r="L7444" s="27">
        <v>18025.759999999998</v>
      </c>
      <c r="M7444" s="36">
        <v>2097.91</v>
      </c>
      <c r="T7444" s="41">
        <v>0</v>
      </c>
      <c r="U7444" s="41">
        <v>0</v>
      </c>
      <c r="V7444" s="42" t="s">
        <v>113</v>
      </c>
      <c r="W7444" s="42">
        <v>0</v>
      </c>
      <c r="X7444" s="42">
        <v>0</v>
      </c>
    </row>
    <row r="7445" spans="1:24">
      <c r="A7445" s="27" t="s">
        <v>13443</v>
      </c>
      <c r="B7445" s="28" t="s">
        <v>12240</v>
      </c>
      <c r="C7445" s="27" t="s">
        <v>13444</v>
      </c>
      <c r="D7445" s="27" t="s">
        <v>230</v>
      </c>
      <c r="E7445" s="29">
        <v>41271</v>
      </c>
      <c r="F7445" s="27">
        <v>15</v>
      </c>
      <c r="G7445" s="18">
        <v>36641.089999999997</v>
      </c>
      <c r="H7445" s="27">
        <f t="shared" si="232"/>
        <v>0</v>
      </c>
      <c r="I7445" s="18">
        <v>15927.86</v>
      </c>
      <c r="J7445" s="27">
        <v>36641.089999999997</v>
      </c>
      <c r="K7445" s="18">
        <f t="shared" si="233"/>
        <v>0</v>
      </c>
      <c r="L7445" s="27">
        <v>18025.77</v>
      </c>
      <c r="M7445" s="36">
        <v>2097.91</v>
      </c>
      <c r="T7445" s="41">
        <v>0</v>
      </c>
      <c r="U7445" s="41">
        <v>0</v>
      </c>
      <c r="V7445" s="42" t="s">
        <v>113</v>
      </c>
      <c r="W7445" s="42">
        <v>0</v>
      </c>
      <c r="X7445" s="42">
        <v>0</v>
      </c>
    </row>
    <row r="7446" spans="1:24">
      <c r="A7446" s="27" t="s">
        <v>13445</v>
      </c>
      <c r="B7446" s="28" t="s">
        <v>12240</v>
      </c>
      <c r="C7446" s="27" t="s">
        <v>13446</v>
      </c>
      <c r="D7446" s="27" t="s">
        <v>230</v>
      </c>
      <c r="E7446" s="29">
        <v>41271</v>
      </c>
      <c r="F7446" s="27">
        <v>15</v>
      </c>
      <c r="G7446" s="18">
        <v>36641.120000000003</v>
      </c>
      <c r="H7446" s="27">
        <f t="shared" si="232"/>
        <v>0</v>
      </c>
      <c r="I7446" s="18">
        <v>15927.87</v>
      </c>
      <c r="J7446" s="27">
        <v>36641.120000000003</v>
      </c>
      <c r="K7446" s="18">
        <f t="shared" si="233"/>
        <v>0</v>
      </c>
      <c r="L7446" s="27">
        <v>18025.78</v>
      </c>
      <c r="M7446" s="36">
        <v>2097.91</v>
      </c>
      <c r="T7446" s="41">
        <v>0</v>
      </c>
      <c r="U7446" s="41">
        <v>0</v>
      </c>
      <c r="V7446" s="42" t="s">
        <v>113</v>
      </c>
      <c r="W7446" s="42">
        <v>0</v>
      </c>
      <c r="X7446" s="42">
        <v>0</v>
      </c>
    </row>
    <row r="7447" spans="1:24">
      <c r="A7447" s="27" t="s">
        <v>13447</v>
      </c>
      <c r="B7447" s="28" t="s">
        <v>12240</v>
      </c>
      <c r="C7447" s="27" t="s">
        <v>13448</v>
      </c>
      <c r="D7447" s="27" t="s">
        <v>230</v>
      </c>
      <c r="E7447" s="29">
        <v>41271</v>
      </c>
      <c r="F7447" s="27">
        <v>15</v>
      </c>
      <c r="G7447" s="18">
        <v>47612.57</v>
      </c>
      <c r="H7447" s="27">
        <f t="shared" si="232"/>
        <v>0</v>
      </c>
      <c r="I7447" s="18">
        <v>20846.21</v>
      </c>
      <c r="J7447" s="27">
        <v>47612.57</v>
      </c>
      <c r="K7447" s="18">
        <f t="shared" si="233"/>
        <v>0</v>
      </c>
      <c r="L7447" s="27">
        <v>23555.74</v>
      </c>
      <c r="M7447" s="36">
        <v>2709.53</v>
      </c>
      <c r="T7447" s="41">
        <v>0</v>
      </c>
      <c r="U7447" s="41">
        <v>0</v>
      </c>
      <c r="V7447" s="42" t="s">
        <v>113</v>
      </c>
      <c r="W7447" s="42">
        <v>0</v>
      </c>
      <c r="X7447" s="42">
        <v>0</v>
      </c>
    </row>
    <row r="7448" spans="1:24">
      <c r="A7448" s="27" t="s">
        <v>13449</v>
      </c>
      <c r="B7448" s="28" t="s">
        <v>12240</v>
      </c>
      <c r="C7448" s="27" t="s">
        <v>13450</v>
      </c>
      <c r="D7448" s="27" t="s">
        <v>230</v>
      </c>
      <c r="E7448" s="29">
        <v>41271</v>
      </c>
      <c r="F7448" s="27">
        <v>15</v>
      </c>
      <c r="G7448" s="18">
        <v>49404.63</v>
      </c>
      <c r="H7448" s="27">
        <f t="shared" si="232"/>
        <v>0</v>
      </c>
      <c r="I7448" s="18">
        <v>21356.94</v>
      </c>
      <c r="J7448" s="27">
        <v>49404.63</v>
      </c>
      <c r="K7448" s="18">
        <f t="shared" si="233"/>
        <v>0</v>
      </c>
      <c r="L7448" s="27">
        <v>24198.880000000001</v>
      </c>
      <c r="M7448" s="36">
        <v>2841.94</v>
      </c>
      <c r="T7448" s="41">
        <v>0</v>
      </c>
      <c r="U7448" s="41">
        <v>0</v>
      </c>
      <c r="V7448" s="42" t="s">
        <v>113</v>
      </c>
      <c r="W7448" s="42">
        <v>0</v>
      </c>
      <c r="X7448" s="42">
        <v>0</v>
      </c>
    </row>
    <row r="7449" spans="1:24">
      <c r="A7449" s="27" t="s">
        <v>13451</v>
      </c>
      <c r="B7449" s="28" t="s">
        <v>12240</v>
      </c>
      <c r="C7449" s="27" t="s">
        <v>13452</v>
      </c>
      <c r="D7449" s="27" t="s">
        <v>230</v>
      </c>
      <c r="E7449" s="29">
        <v>41271</v>
      </c>
      <c r="F7449" s="27">
        <v>15</v>
      </c>
      <c r="G7449" s="18">
        <v>49404.62</v>
      </c>
      <c r="H7449" s="27">
        <f t="shared" si="232"/>
        <v>0</v>
      </c>
      <c r="I7449" s="18">
        <v>21356.94</v>
      </c>
      <c r="J7449" s="27">
        <v>49404.62</v>
      </c>
      <c r="K7449" s="18">
        <f t="shared" si="233"/>
        <v>0</v>
      </c>
      <c r="L7449" s="27">
        <v>24198.880000000001</v>
      </c>
      <c r="M7449" s="36">
        <v>2841.94</v>
      </c>
      <c r="T7449" s="41">
        <v>0</v>
      </c>
      <c r="U7449" s="41">
        <v>0</v>
      </c>
      <c r="V7449" s="42" t="s">
        <v>113</v>
      </c>
      <c r="W7449" s="42">
        <v>0</v>
      </c>
      <c r="X7449" s="42">
        <v>0</v>
      </c>
    </row>
    <row r="7450" spans="1:24">
      <c r="A7450" s="27" t="s">
        <v>13453</v>
      </c>
      <c r="B7450" s="28" t="s">
        <v>12240</v>
      </c>
      <c r="C7450" s="27" t="s">
        <v>13454</v>
      </c>
      <c r="D7450" s="27" t="s">
        <v>230</v>
      </c>
      <c r="E7450" s="29">
        <v>41271</v>
      </c>
      <c r="F7450" s="27">
        <v>15</v>
      </c>
      <c r="G7450" s="18">
        <v>49404.59</v>
      </c>
      <c r="H7450" s="27">
        <f t="shared" si="232"/>
        <v>0</v>
      </c>
      <c r="I7450" s="18">
        <v>21356.93</v>
      </c>
      <c r="J7450" s="27">
        <v>49404.59</v>
      </c>
      <c r="K7450" s="18">
        <f t="shared" si="233"/>
        <v>0</v>
      </c>
      <c r="L7450" s="27">
        <v>24198.87</v>
      </c>
      <c r="M7450" s="36">
        <v>2841.94</v>
      </c>
      <c r="T7450" s="41">
        <v>0</v>
      </c>
      <c r="U7450" s="41">
        <v>0</v>
      </c>
      <c r="V7450" s="42" t="s">
        <v>113</v>
      </c>
      <c r="W7450" s="42">
        <v>0</v>
      </c>
      <c r="X7450" s="42">
        <v>0</v>
      </c>
    </row>
    <row r="7451" spans="1:24">
      <c r="A7451" s="27" t="s">
        <v>13455</v>
      </c>
      <c r="B7451" s="28" t="s">
        <v>12240</v>
      </c>
      <c r="C7451" s="27" t="s">
        <v>13456</v>
      </c>
      <c r="D7451" s="27" t="s">
        <v>230</v>
      </c>
      <c r="E7451" s="29">
        <v>41271</v>
      </c>
      <c r="F7451" s="27">
        <v>15</v>
      </c>
      <c r="G7451" s="18">
        <v>50283.9</v>
      </c>
      <c r="H7451" s="27">
        <f t="shared" si="232"/>
        <v>0</v>
      </c>
      <c r="I7451" s="18">
        <v>21536.6</v>
      </c>
      <c r="J7451" s="27">
        <v>50283.9</v>
      </c>
      <c r="K7451" s="18">
        <f t="shared" si="233"/>
        <v>0</v>
      </c>
      <c r="L7451" s="27">
        <v>24451.39</v>
      </c>
      <c r="M7451" s="36">
        <v>2914.79</v>
      </c>
      <c r="T7451" s="41">
        <v>0</v>
      </c>
      <c r="U7451" s="41">
        <v>0</v>
      </c>
      <c r="V7451" s="42" t="s">
        <v>113</v>
      </c>
      <c r="W7451" s="42">
        <v>0</v>
      </c>
      <c r="X7451" s="42">
        <v>0</v>
      </c>
    </row>
    <row r="7452" spans="1:24">
      <c r="A7452" s="27" t="s">
        <v>13457</v>
      </c>
      <c r="B7452" s="28" t="s">
        <v>12240</v>
      </c>
      <c r="C7452" s="27" t="s">
        <v>13458</v>
      </c>
      <c r="D7452" s="27" t="s">
        <v>230</v>
      </c>
      <c r="E7452" s="29">
        <v>41271</v>
      </c>
      <c r="F7452" s="27">
        <v>15</v>
      </c>
      <c r="G7452" s="18">
        <v>36059.919999999998</v>
      </c>
      <c r="H7452" s="27">
        <f t="shared" si="232"/>
        <v>0</v>
      </c>
      <c r="I7452" s="18">
        <v>15725.7</v>
      </c>
      <c r="J7452" s="27">
        <v>36059.919999999998</v>
      </c>
      <c r="K7452" s="18">
        <f t="shared" si="233"/>
        <v>0</v>
      </c>
      <c r="L7452" s="27">
        <v>17784.72</v>
      </c>
      <c r="M7452" s="36">
        <v>2059.02</v>
      </c>
      <c r="T7452" s="41">
        <v>0</v>
      </c>
      <c r="U7452" s="41">
        <v>0</v>
      </c>
      <c r="V7452" s="42" t="s">
        <v>113</v>
      </c>
      <c r="W7452" s="42">
        <v>0</v>
      </c>
      <c r="X7452" s="42">
        <v>0</v>
      </c>
    </row>
    <row r="7453" spans="1:24">
      <c r="A7453" s="27" t="s">
        <v>13459</v>
      </c>
      <c r="B7453" s="28" t="s">
        <v>12240</v>
      </c>
      <c r="C7453" s="27" t="s">
        <v>13460</v>
      </c>
      <c r="D7453" s="27" t="s">
        <v>230</v>
      </c>
      <c r="E7453" s="29">
        <v>41271</v>
      </c>
      <c r="F7453" s="27">
        <v>15</v>
      </c>
      <c r="G7453" s="18">
        <v>36718.53</v>
      </c>
      <c r="H7453" s="27">
        <f t="shared" si="232"/>
        <v>0</v>
      </c>
      <c r="I7453" s="18">
        <v>15913.4</v>
      </c>
      <c r="J7453" s="27">
        <v>36718.53</v>
      </c>
      <c r="K7453" s="18">
        <f t="shared" si="233"/>
        <v>0</v>
      </c>
      <c r="L7453" s="27">
        <v>18021.09</v>
      </c>
      <c r="M7453" s="36">
        <v>2107.69</v>
      </c>
      <c r="T7453" s="41">
        <v>0</v>
      </c>
      <c r="U7453" s="41">
        <v>0</v>
      </c>
      <c r="V7453" s="42" t="s">
        <v>113</v>
      </c>
      <c r="W7453" s="42">
        <v>0</v>
      </c>
      <c r="X7453" s="42">
        <v>0</v>
      </c>
    </row>
    <row r="7454" spans="1:24">
      <c r="A7454" s="27" t="s">
        <v>13461</v>
      </c>
      <c r="B7454" s="28" t="s">
        <v>12240</v>
      </c>
      <c r="C7454" s="27" t="s">
        <v>13462</v>
      </c>
      <c r="D7454" s="27" t="s">
        <v>5104</v>
      </c>
      <c r="E7454" s="29">
        <v>41271</v>
      </c>
      <c r="F7454" s="27">
        <v>15</v>
      </c>
      <c r="G7454" s="18">
        <v>7757.99</v>
      </c>
      <c r="H7454" s="27">
        <f t="shared" si="232"/>
        <v>0</v>
      </c>
      <c r="I7454" s="18">
        <v>3250.43</v>
      </c>
      <c r="J7454" s="27">
        <v>7757.99</v>
      </c>
      <c r="K7454" s="18">
        <f t="shared" si="233"/>
        <v>0</v>
      </c>
      <c r="L7454" s="27">
        <v>3708.17</v>
      </c>
      <c r="M7454" s="36">
        <v>457.74</v>
      </c>
      <c r="T7454" s="41">
        <v>0</v>
      </c>
      <c r="U7454" s="41">
        <v>0</v>
      </c>
      <c r="V7454" s="42" t="s">
        <v>113</v>
      </c>
      <c r="W7454" s="42">
        <v>0</v>
      </c>
      <c r="X7454" s="42">
        <v>0</v>
      </c>
    </row>
    <row r="7455" spans="1:24">
      <c r="A7455" s="27" t="s">
        <v>13463</v>
      </c>
      <c r="B7455" s="28" t="s">
        <v>12240</v>
      </c>
      <c r="C7455" s="27" t="s">
        <v>13462</v>
      </c>
      <c r="D7455" s="27" t="s">
        <v>5104</v>
      </c>
      <c r="E7455" s="29">
        <v>41271</v>
      </c>
      <c r="F7455" s="27">
        <v>15</v>
      </c>
      <c r="G7455" s="18">
        <v>6309.32</v>
      </c>
      <c r="H7455" s="27">
        <f t="shared" si="232"/>
        <v>0</v>
      </c>
      <c r="I7455" s="18">
        <v>2837.55</v>
      </c>
      <c r="J7455" s="27">
        <v>6309.32</v>
      </c>
      <c r="K7455" s="18">
        <f t="shared" si="233"/>
        <v>0</v>
      </c>
      <c r="L7455" s="27">
        <v>3188.25</v>
      </c>
      <c r="M7455" s="36">
        <v>350.7</v>
      </c>
      <c r="T7455" s="41">
        <v>0</v>
      </c>
      <c r="U7455" s="41">
        <v>0</v>
      </c>
      <c r="V7455" s="42" t="s">
        <v>113</v>
      </c>
      <c r="W7455" s="42">
        <v>0</v>
      </c>
      <c r="X7455" s="42">
        <v>0</v>
      </c>
    </row>
    <row r="7456" spans="1:24">
      <c r="A7456" s="27" t="s">
        <v>13464</v>
      </c>
      <c r="B7456" s="28" t="s">
        <v>12240</v>
      </c>
      <c r="C7456" s="27" t="s">
        <v>13462</v>
      </c>
      <c r="D7456" s="27" t="s">
        <v>5104</v>
      </c>
      <c r="E7456" s="29">
        <v>41271</v>
      </c>
      <c r="F7456" s="27">
        <v>15</v>
      </c>
      <c r="G7456" s="18">
        <v>6309.32</v>
      </c>
      <c r="H7456" s="27">
        <f t="shared" si="232"/>
        <v>0</v>
      </c>
      <c r="I7456" s="18">
        <v>2837.55</v>
      </c>
      <c r="J7456" s="27">
        <v>6309.32</v>
      </c>
      <c r="K7456" s="18">
        <f t="shared" si="233"/>
        <v>0</v>
      </c>
      <c r="L7456" s="27">
        <v>3188.25</v>
      </c>
      <c r="M7456" s="36">
        <v>350.7</v>
      </c>
      <c r="T7456" s="41">
        <v>0</v>
      </c>
      <c r="U7456" s="41">
        <v>0</v>
      </c>
      <c r="V7456" s="42" t="s">
        <v>113</v>
      </c>
      <c r="W7456" s="42">
        <v>0</v>
      </c>
      <c r="X7456" s="42">
        <v>0</v>
      </c>
    </row>
    <row r="7457" spans="1:24">
      <c r="A7457" s="27" t="s">
        <v>13465</v>
      </c>
      <c r="B7457" s="28" t="s">
        <v>12240</v>
      </c>
      <c r="C7457" s="27" t="s">
        <v>13462</v>
      </c>
      <c r="D7457" s="27" t="s">
        <v>5104</v>
      </c>
      <c r="E7457" s="29">
        <v>41271</v>
      </c>
      <c r="F7457" s="27">
        <v>15</v>
      </c>
      <c r="G7457" s="18">
        <v>6309.32</v>
      </c>
      <c r="H7457" s="27">
        <f t="shared" si="232"/>
        <v>0</v>
      </c>
      <c r="I7457" s="18">
        <v>2837.55</v>
      </c>
      <c r="J7457" s="27">
        <v>6309.32</v>
      </c>
      <c r="K7457" s="18">
        <f t="shared" si="233"/>
        <v>0</v>
      </c>
      <c r="L7457" s="27">
        <v>3188.25</v>
      </c>
      <c r="M7457" s="36">
        <v>350.7</v>
      </c>
      <c r="T7457" s="41">
        <v>0</v>
      </c>
      <c r="U7457" s="41">
        <v>0</v>
      </c>
      <c r="V7457" s="42" t="s">
        <v>113</v>
      </c>
      <c r="W7457" s="42">
        <v>0</v>
      </c>
      <c r="X7457" s="42">
        <v>0</v>
      </c>
    </row>
    <row r="7458" spans="1:24">
      <c r="A7458" s="27" t="s">
        <v>13466</v>
      </c>
      <c r="B7458" s="28" t="s">
        <v>12240</v>
      </c>
      <c r="C7458" s="27" t="s">
        <v>13462</v>
      </c>
      <c r="D7458" s="27" t="s">
        <v>5104</v>
      </c>
      <c r="E7458" s="29">
        <v>41271</v>
      </c>
      <c r="F7458" s="27">
        <v>15</v>
      </c>
      <c r="G7458" s="18">
        <v>6309.32</v>
      </c>
      <c r="H7458" s="27">
        <f t="shared" si="232"/>
        <v>0</v>
      </c>
      <c r="I7458" s="18">
        <v>2837.55</v>
      </c>
      <c r="J7458" s="27">
        <v>6309.32</v>
      </c>
      <c r="K7458" s="18">
        <f t="shared" si="233"/>
        <v>0</v>
      </c>
      <c r="L7458" s="27">
        <v>3188.25</v>
      </c>
      <c r="M7458" s="36">
        <v>350.7</v>
      </c>
      <c r="T7458" s="41">
        <v>0</v>
      </c>
      <c r="U7458" s="41">
        <v>0</v>
      </c>
      <c r="V7458" s="42" t="s">
        <v>113</v>
      </c>
      <c r="W7458" s="42">
        <v>0</v>
      </c>
      <c r="X7458" s="42">
        <v>0</v>
      </c>
    </row>
    <row r="7459" spans="1:24">
      <c r="A7459" s="27" t="s">
        <v>13467</v>
      </c>
      <c r="B7459" s="28" t="s">
        <v>12240</v>
      </c>
      <c r="C7459" s="27" t="s">
        <v>13462</v>
      </c>
      <c r="D7459" s="27" t="s">
        <v>5104</v>
      </c>
      <c r="E7459" s="29">
        <v>41271</v>
      </c>
      <c r="F7459" s="27">
        <v>15</v>
      </c>
      <c r="G7459" s="18">
        <v>6309.32</v>
      </c>
      <c r="H7459" s="27">
        <f t="shared" si="232"/>
        <v>0</v>
      </c>
      <c r="I7459" s="18">
        <v>2837.55</v>
      </c>
      <c r="J7459" s="27">
        <v>6309.32</v>
      </c>
      <c r="K7459" s="18">
        <f t="shared" si="233"/>
        <v>0</v>
      </c>
      <c r="L7459" s="27">
        <v>3188.25</v>
      </c>
      <c r="M7459" s="36">
        <v>350.7</v>
      </c>
      <c r="T7459" s="41">
        <v>0</v>
      </c>
      <c r="U7459" s="41">
        <v>0</v>
      </c>
      <c r="V7459" s="42" t="s">
        <v>113</v>
      </c>
      <c r="W7459" s="42">
        <v>0</v>
      </c>
      <c r="X7459" s="42">
        <v>0</v>
      </c>
    </row>
    <row r="7460" spans="1:24">
      <c r="A7460" s="27" t="s">
        <v>13468</v>
      </c>
      <c r="B7460" s="28" t="s">
        <v>12240</v>
      </c>
      <c r="C7460" s="27" t="s">
        <v>13462</v>
      </c>
      <c r="D7460" s="27" t="s">
        <v>5104</v>
      </c>
      <c r="E7460" s="29">
        <v>41271</v>
      </c>
      <c r="F7460" s="27">
        <v>15</v>
      </c>
      <c r="G7460" s="18">
        <v>6309.32</v>
      </c>
      <c r="H7460" s="27">
        <f t="shared" si="232"/>
        <v>0</v>
      </c>
      <c r="I7460" s="18">
        <v>2837.55</v>
      </c>
      <c r="J7460" s="27">
        <v>6309.32</v>
      </c>
      <c r="K7460" s="18">
        <f t="shared" si="233"/>
        <v>0</v>
      </c>
      <c r="L7460" s="27">
        <v>3188.25</v>
      </c>
      <c r="M7460" s="36">
        <v>350.7</v>
      </c>
      <c r="T7460" s="41">
        <v>0</v>
      </c>
      <c r="U7460" s="41">
        <v>0</v>
      </c>
      <c r="V7460" s="42" t="s">
        <v>113</v>
      </c>
      <c r="W7460" s="42">
        <v>0</v>
      </c>
      <c r="X7460" s="42">
        <v>0</v>
      </c>
    </row>
    <row r="7461" spans="1:24">
      <c r="A7461" s="27" t="s">
        <v>13469</v>
      </c>
      <c r="B7461" s="28" t="s">
        <v>12240</v>
      </c>
      <c r="C7461" s="27" t="s">
        <v>13462</v>
      </c>
      <c r="D7461" s="27" t="s">
        <v>5104</v>
      </c>
      <c r="E7461" s="29">
        <v>41271</v>
      </c>
      <c r="F7461" s="27">
        <v>15</v>
      </c>
      <c r="G7461" s="18">
        <v>6309.32</v>
      </c>
      <c r="H7461" s="27">
        <f t="shared" si="232"/>
        <v>0</v>
      </c>
      <c r="I7461" s="18">
        <v>2837.55</v>
      </c>
      <c r="J7461" s="27">
        <v>6309.32</v>
      </c>
      <c r="K7461" s="18">
        <f t="shared" si="233"/>
        <v>0</v>
      </c>
      <c r="L7461" s="27">
        <v>3188.25</v>
      </c>
      <c r="M7461" s="36">
        <v>350.7</v>
      </c>
      <c r="T7461" s="41">
        <v>0</v>
      </c>
      <c r="U7461" s="41">
        <v>0</v>
      </c>
      <c r="V7461" s="42" t="s">
        <v>113</v>
      </c>
      <c r="W7461" s="42">
        <v>0</v>
      </c>
      <c r="X7461" s="42">
        <v>0</v>
      </c>
    </row>
    <row r="7462" spans="1:24">
      <c r="A7462" s="27" t="s">
        <v>13470</v>
      </c>
      <c r="B7462" s="28" t="s">
        <v>12240</v>
      </c>
      <c r="C7462" s="27" t="s">
        <v>13462</v>
      </c>
      <c r="D7462" s="27" t="s">
        <v>5104</v>
      </c>
      <c r="E7462" s="29">
        <v>41271</v>
      </c>
      <c r="F7462" s="27">
        <v>15</v>
      </c>
      <c r="G7462" s="18">
        <v>6309.32</v>
      </c>
      <c r="H7462" s="27">
        <f t="shared" si="232"/>
        <v>0</v>
      </c>
      <c r="I7462" s="18">
        <v>2837.55</v>
      </c>
      <c r="J7462" s="27">
        <v>6309.32</v>
      </c>
      <c r="K7462" s="18">
        <f t="shared" si="233"/>
        <v>0</v>
      </c>
      <c r="L7462" s="27">
        <v>3188.25</v>
      </c>
      <c r="M7462" s="36">
        <v>350.7</v>
      </c>
      <c r="T7462" s="41">
        <v>0</v>
      </c>
      <c r="U7462" s="41">
        <v>0</v>
      </c>
      <c r="V7462" s="42" t="s">
        <v>113</v>
      </c>
      <c r="W7462" s="42">
        <v>0</v>
      </c>
      <c r="X7462" s="42">
        <v>0</v>
      </c>
    </row>
    <row r="7463" spans="1:24">
      <c r="A7463" s="27" t="s">
        <v>13471</v>
      </c>
      <c r="B7463" s="28" t="s">
        <v>12240</v>
      </c>
      <c r="C7463" s="27" t="s">
        <v>13462</v>
      </c>
      <c r="D7463" s="27" t="s">
        <v>5104</v>
      </c>
      <c r="E7463" s="29">
        <v>41271</v>
      </c>
      <c r="F7463" s="27">
        <v>15</v>
      </c>
      <c r="G7463" s="18">
        <v>6309.32</v>
      </c>
      <c r="H7463" s="27">
        <f t="shared" si="232"/>
        <v>0</v>
      </c>
      <c r="I7463" s="18">
        <v>2837.55</v>
      </c>
      <c r="J7463" s="27">
        <v>6309.32</v>
      </c>
      <c r="K7463" s="18">
        <f t="shared" si="233"/>
        <v>0</v>
      </c>
      <c r="L7463" s="27">
        <v>3188.25</v>
      </c>
      <c r="M7463" s="36">
        <v>350.7</v>
      </c>
      <c r="T7463" s="41">
        <v>0</v>
      </c>
      <c r="U7463" s="41">
        <v>0</v>
      </c>
      <c r="V7463" s="42" t="s">
        <v>113</v>
      </c>
      <c r="W7463" s="42">
        <v>0</v>
      </c>
      <c r="X7463" s="42">
        <v>0</v>
      </c>
    </row>
    <row r="7464" spans="1:24">
      <c r="A7464" s="27" t="s">
        <v>13472</v>
      </c>
      <c r="B7464" s="28" t="s">
        <v>12240</v>
      </c>
      <c r="C7464" s="27" t="s">
        <v>13462</v>
      </c>
      <c r="D7464" s="27" t="s">
        <v>5104</v>
      </c>
      <c r="E7464" s="29">
        <v>41271</v>
      </c>
      <c r="F7464" s="27">
        <v>15</v>
      </c>
      <c r="G7464" s="18">
        <v>6309.32</v>
      </c>
      <c r="H7464" s="27">
        <f t="shared" si="232"/>
        <v>0</v>
      </c>
      <c r="I7464" s="18">
        <v>2837.55</v>
      </c>
      <c r="J7464" s="27">
        <v>6309.32</v>
      </c>
      <c r="K7464" s="18">
        <f t="shared" si="233"/>
        <v>0</v>
      </c>
      <c r="L7464" s="27">
        <v>3188.25</v>
      </c>
      <c r="M7464" s="36">
        <v>350.7</v>
      </c>
      <c r="T7464" s="41">
        <v>0</v>
      </c>
      <c r="U7464" s="41">
        <v>0</v>
      </c>
      <c r="V7464" s="42" t="s">
        <v>113</v>
      </c>
      <c r="W7464" s="42">
        <v>0</v>
      </c>
      <c r="X7464" s="42">
        <v>0</v>
      </c>
    </row>
    <row r="7465" spans="1:24">
      <c r="A7465" s="27" t="s">
        <v>13473</v>
      </c>
      <c r="B7465" s="28" t="s">
        <v>12240</v>
      </c>
      <c r="C7465" s="27" t="s">
        <v>13462</v>
      </c>
      <c r="D7465" s="27" t="s">
        <v>5104</v>
      </c>
      <c r="E7465" s="29">
        <v>41271</v>
      </c>
      <c r="F7465" s="27">
        <v>15</v>
      </c>
      <c r="G7465" s="18">
        <v>6309.32</v>
      </c>
      <c r="H7465" s="27">
        <f t="shared" si="232"/>
        <v>0</v>
      </c>
      <c r="I7465" s="18">
        <v>2837.55</v>
      </c>
      <c r="J7465" s="27">
        <v>6309.32</v>
      </c>
      <c r="K7465" s="18">
        <f t="shared" si="233"/>
        <v>0</v>
      </c>
      <c r="L7465" s="27">
        <v>3188.25</v>
      </c>
      <c r="M7465" s="36">
        <v>350.7</v>
      </c>
      <c r="T7465" s="41">
        <v>0</v>
      </c>
      <c r="U7465" s="41">
        <v>0</v>
      </c>
      <c r="V7465" s="42" t="s">
        <v>113</v>
      </c>
      <c r="W7465" s="42">
        <v>0</v>
      </c>
      <c r="X7465" s="42">
        <v>0</v>
      </c>
    </row>
    <row r="7466" spans="1:24">
      <c r="A7466" s="27" t="s">
        <v>13474</v>
      </c>
      <c r="B7466" s="28" t="s">
        <v>12240</v>
      </c>
      <c r="C7466" s="27" t="s">
        <v>13462</v>
      </c>
      <c r="D7466" s="27" t="s">
        <v>5104</v>
      </c>
      <c r="E7466" s="29">
        <v>41271</v>
      </c>
      <c r="F7466" s="27">
        <v>15</v>
      </c>
      <c r="G7466" s="18">
        <v>6309.32</v>
      </c>
      <c r="H7466" s="27">
        <f t="shared" si="232"/>
        <v>0</v>
      </c>
      <c r="I7466" s="18">
        <v>2837.55</v>
      </c>
      <c r="J7466" s="27">
        <v>6309.32</v>
      </c>
      <c r="K7466" s="18">
        <f t="shared" si="233"/>
        <v>0</v>
      </c>
      <c r="L7466" s="27">
        <v>3188.25</v>
      </c>
      <c r="M7466" s="36">
        <v>350.7</v>
      </c>
      <c r="T7466" s="41">
        <v>0</v>
      </c>
      <c r="U7466" s="41">
        <v>0</v>
      </c>
      <c r="V7466" s="42" t="s">
        <v>113</v>
      </c>
      <c r="W7466" s="42">
        <v>0</v>
      </c>
      <c r="X7466" s="42">
        <v>0</v>
      </c>
    </row>
    <row r="7467" spans="1:24">
      <c r="A7467" s="27" t="s">
        <v>13475</v>
      </c>
      <c r="B7467" s="28" t="s">
        <v>12240</v>
      </c>
      <c r="C7467" s="27" t="s">
        <v>13462</v>
      </c>
      <c r="D7467" s="27" t="s">
        <v>5104</v>
      </c>
      <c r="E7467" s="29">
        <v>41271</v>
      </c>
      <c r="F7467" s="27">
        <v>15</v>
      </c>
      <c r="G7467" s="18">
        <v>6309.32</v>
      </c>
      <c r="H7467" s="27">
        <f t="shared" si="232"/>
        <v>0</v>
      </c>
      <c r="I7467" s="18">
        <v>2837.55</v>
      </c>
      <c r="J7467" s="27">
        <v>6309.32</v>
      </c>
      <c r="K7467" s="18">
        <f t="shared" si="233"/>
        <v>0</v>
      </c>
      <c r="L7467" s="27">
        <v>3188.25</v>
      </c>
      <c r="M7467" s="36">
        <v>350.7</v>
      </c>
      <c r="T7467" s="41">
        <v>0</v>
      </c>
      <c r="U7467" s="41">
        <v>0</v>
      </c>
      <c r="V7467" s="42" t="s">
        <v>113</v>
      </c>
      <c r="W7467" s="42">
        <v>0</v>
      </c>
      <c r="X7467" s="42">
        <v>0</v>
      </c>
    </row>
    <row r="7468" spans="1:24">
      <c r="A7468" s="27" t="s">
        <v>13476</v>
      </c>
      <c r="B7468" s="28" t="s">
        <v>12240</v>
      </c>
      <c r="C7468" s="27" t="s">
        <v>13462</v>
      </c>
      <c r="D7468" s="27" t="s">
        <v>5104</v>
      </c>
      <c r="E7468" s="29">
        <v>41271</v>
      </c>
      <c r="F7468" s="27">
        <v>15</v>
      </c>
      <c r="G7468" s="18">
        <v>6309.32</v>
      </c>
      <c r="H7468" s="27">
        <f t="shared" si="232"/>
        <v>0</v>
      </c>
      <c r="I7468" s="18">
        <v>2837.55</v>
      </c>
      <c r="J7468" s="27">
        <v>6309.32</v>
      </c>
      <c r="K7468" s="18">
        <f t="shared" si="233"/>
        <v>0</v>
      </c>
      <c r="L7468" s="27">
        <v>3188.25</v>
      </c>
      <c r="M7468" s="36">
        <v>350.7</v>
      </c>
      <c r="T7468" s="41">
        <v>0</v>
      </c>
      <c r="U7468" s="41">
        <v>0</v>
      </c>
      <c r="V7468" s="42" t="s">
        <v>113</v>
      </c>
      <c r="W7468" s="42">
        <v>0</v>
      </c>
      <c r="X7468" s="42">
        <v>0</v>
      </c>
    </row>
    <row r="7469" spans="1:24">
      <c r="A7469" s="27" t="s">
        <v>13477</v>
      </c>
      <c r="B7469" s="28" t="s">
        <v>12240</v>
      </c>
      <c r="C7469" s="27" t="s">
        <v>13462</v>
      </c>
      <c r="D7469" s="27" t="s">
        <v>5104</v>
      </c>
      <c r="E7469" s="29">
        <v>41271</v>
      </c>
      <c r="F7469" s="27">
        <v>15</v>
      </c>
      <c r="G7469" s="18">
        <v>6509.32</v>
      </c>
      <c r="H7469" s="27">
        <f t="shared" si="232"/>
        <v>0</v>
      </c>
      <c r="I7469" s="18">
        <v>2928.55</v>
      </c>
      <c r="J7469" s="27">
        <v>6509.32</v>
      </c>
      <c r="K7469" s="18">
        <f t="shared" si="233"/>
        <v>0</v>
      </c>
      <c r="L7469" s="27">
        <v>3290.25</v>
      </c>
      <c r="M7469" s="36">
        <v>361.7</v>
      </c>
      <c r="T7469" s="41">
        <v>0</v>
      </c>
      <c r="U7469" s="41">
        <v>0</v>
      </c>
      <c r="V7469" s="42" t="s">
        <v>113</v>
      </c>
      <c r="W7469" s="42">
        <v>0</v>
      </c>
      <c r="X7469" s="42">
        <v>0</v>
      </c>
    </row>
    <row r="7470" spans="1:24">
      <c r="A7470" s="27" t="s">
        <v>13478</v>
      </c>
      <c r="B7470" s="28" t="s">
        <v>12240</v>
      </c>
      <c r="C7470" s="27" t="s">
        <v>13462</v>
      </c>
      <c r="D7470" s="27" t="s">
        <v>5104</v>
      </c>
      <c r="E7470" s="29">
        <v>41271</v>
      </c>
      <c r="F7470" s="27">
        <v>15</v>
      </c>
      <c r="G7470" s="18">
        <v>6157.35</v>
      </c>
      <c r="H7470" s="27">
        <f t="shared" si="232"/>
        <v>0</v>
      </c>
      <c r="I7470" s="18">
        <v>2768.44</v>
      </c>
      <c r="J7470" s="27">
        <v>6157.35</v>
      </c>
      <c r="K7470" s="18">
        <f t="shared" si="233"/>
        <v>0</v>
      </c>
      <c r="L7470" s="27">
        <v>3110.78</v>
      </c>
      <c r="M7470" s="36">
        <v>342.34</v>
      </c>
      <c r="T7470" s="41">
        <v>0</v>
      </c>
      <c r="U7470" s="41">
        <v>0</v>
      </c>
      <c r="V7470" s="42" t="s">
        <v>113</v>
      </c>
      <c r="W7470" s="42">
        <v>0</v>
      </c>
      <c r="X7470" s="42">
        <v>0</v>
      </c>
    </row>
    <row r="7471" spans="1:24">
      <c r="A7471" s="27" t="s">
        <v>13479</v>
      </c>
      <c r="B7471" s="28" t="s">
        <v>12240</v>
      </c>
      <c r="C7471" s="27" t="s">
        <v>13462</v>
      </c>
      <c r="D7471" s="27" t="s">
        <v>5104</v>
      </c>
      <c r="E7471" s="29">
        <v>41271</v>
      </c>
      <c r="F7471" s="27">
        <v>15</v>
      </c>
      <c r="G7471" s="18">
        <v>6157.35</v>
      </c>
      <c r="H7471" s="27">
        <f t="shared" si="232"/>
        <v>0</v>
      </c>
      <c r="I7471" s="18">
        <v>2768.44</v>
      </c>
      <c r="J7471" s="27">
        <v>6157.35</v>
      </c>
      <c r="K7471" s="18">
        <f t="shared" si="233"/>
        <v>0</v>
      </c>
      <c r="L7471" s="27">
        <v>3110.78</v>
      </c>
      <c r="M7471" s="36">
        <v>342.34</v>
      </c>
      <c r="T7471" s="41">
        <v>0</v>
      </c>
      <c r="U7471" s="41">
        <v>0</v>
      </c>
      <c r="V7471" s="42" t="s">
        <v>113</v>
      </c>
      <c r="W7471" s="42">
        <v>0</v>
      </c>
      <c r="X7471" s="42">
        <v>0</v>
      </c>
    </row>
    <row r="7472" spans="1:24">
      <c r="A7472" s="27" t="s">
        <v>13480</v>
      </c>
      <c r="B7472" s="28" t="s">
        <v>12240</v>
      </c>
      <c r="C7472" s="27" t="s">
        <v>13462</v>
      </c>
      <c r="D7472" s="27" t="s">
        <v>5104</v>
      </c>
      <c r="E7472" s="29">
        <v>41271</v>
      </c>
      <c r="F7472" s="27">
        <v>15</v>
      </c>
      <c r="G7472" s="18">
        <v>6157.35</v>
      </c>
      <c r="H7472" s="27">
        <f t="shared" si="232"/>
        <v>0</v>
      </c>
      <c r="I7472" s="18">
        <v>2768.44</v>
      </c>
      <c r="J7472" s="27">
        <v>6157.35</v>
      </c>
      <c r="K7472" s="18">
        <f t="shared" si="233"/>
        <v>0</v>
      </c>
      <c r="L7472" s="27">
        <v>3110.78</v>
      </c>
      <c r="M7472" s="36">
        <v>342.34</v>
      </c>
      <c r="T7472" s="41">
        <v>0</v>
      </c>
      <c r="U7472" s="41">
        <v>0</v>
      </c>
      <c r="V7472" s="42" t="s">
        <v>113</v>
      </c>
      <c r="W7472" s="42">
        <v>0</v>
      </c>
      <c r="X7472" s="42">
        <v>0</v>
      </c>
    </row>
    <row r="7473" spans="1:24">
      <c r="A7473" s="27" t="s">
        <v>13481</v>
      </c>
      <c r="B7473" s="28" t="s">
        <v>12240</v>
      </c>
      <c r="C7473" s="27" t="s">
        <v>13462</v>
      </c>
      <c r="D7473" s="27" t="s">
        <v>5104</v>
      </c>
      <c r="E7473" s="29">
        <v>41271</v>
      </c>
      <c r="F7473" s="27">
        <v>15</v>
      </c>
      <c r="G7473" s="18">
        <v>6157.35</v>
      </c>
      <c r="H7473" s="27">
        <f t="shared" si="232"/>
        <v>0</v>
      </c>
      <c r="I7473" s="18">
        <v>2768.44</v>
      </c>
      <c r="J7473" s="27">
        <v>6157.35</v>
      </c>
      <c r="K7473" s="18">
        <f t="shared" si="233"/>
        <v>0</v>
      </c>
      <c r="L7473" s="27">
        <v>3110.78</v>
      </c>
      <c r="M7473" s="36">
        <v>342.34</v>
      </c>
      <c r="T7473" s="41">
        <v>0</v>
      </c>
      <c r="U7473" s="41">
        <v>0</v>
      </c>
      <c r="V7473" s="42" t="s">
        <v>113</v>
      </c>
      <c r="W7473" s="42">
        <v>0</v>
      </c>
      <c r="X7473" s="42">
        <v>0</v>
      </c>
    </row>
    <row r="7474" spans="1:24">
      <c r="A7474" s="27" t="s">
        <v>13482</v>
      </c>
      <c r="B7474" s="28" t="s">
        <v>12240</v>
      </c>
      <c r="C7474" s="27" t="s">
        <v>13462</v>
      </c>
      <c r="D7474" s="27" t="s">
        <v>5104</v>
      </c>
      <c r="E7474" s="29">
        <v>41271</v>
      </c>
      <c r="F7474" s="27">
        <v>15</v>
      </c>
      <c r="G7474" s="18">
        <v>6157.35</v>
      </c>
      <c r="H7474" s="27">
        <f t="shared" si="232"/>
        <v>0</v>
      </c>
      <c r="I7474" s="18">
        <v>2768.44</v>
      </c>
      <c r="J7474" s="27">
        <v>6157.35</v>
      </c>
      <c r="K7474" s="18">
        <f t="shared" si="233"/>
        <v>0</v>
      </c>
      <c r="L7474" s="27">
        <v>3110.78</v>
      </c>
      <c r="M7474" s="36">
        <v>342.34</v>
      </c>
      <c r="T7474" s="41">
        <v>0</v>
      </c>
      <c r="U7474" s="41">
        <v>0</v>
      </c>
      <c r="V7474" s="42" t="s">
        <v>113</v>
      </c>
      <c r="W7474" s="42">
        <v>0</v>
      </c>
      <c r="X7474" s="42">
        <v>0</v>
      </c>
    </row>
    <row r="7475" spans="1:24">
      <c r="A7475" s="27" t="s">
        <v>13483</v>
      </c>
      <c r="B7475" s="28" t="s">
        <v>12240</v>
      </c>
      <c r="C7475" s="27" t="s">
        <v>13462</v>
      </c>
      <c r="D7475" s="27" t="s">
        <v>5104</v>
      </c>
      <c r="E7475" s="29">
        <v>41271</v>
      </c>
      <c r="F7475" s="27">
        <v>15</v>
      </c>
      <c r="G7475" s="18">
        <v>6157.35</v>
      </c>
      <c r="H7475" s="27">
        <f t="shared" si="232"/>
        <v>0</v>
      </c>
      <c r="I7475" s="18">
        <v>2768.44</v>
      </c>
      <c r="J7475" s="27">
        <v>6157.35</v>
      </c>
      <c r="K7475" s="18">
        <f t="shared" si="233"/>
        <v>0</v>
      </c>
      <c r="L7475" s="27">
        <v>3110.78</v>
      </c>
      <c r="M7475" s="36">
        <v>342.34</v>
      </c>
      <c r="T7475" s="41">
        <v>0</v>
      </c>
      <c r="U7475" s="41">
        <v>0</v>
      </c>
      <c r="V7475" s="42" t="s">
        <v>113</v>
      </c>
      <c r="W7475" s="42">
        <v>0</v>
      </c>
      <c r="X7475" s="42">
        <v>0</v>
      </c>
    </row>
    <row r="7476" spans="1:24">
      <c r="A7476" s="27" t="s">
        <v>13484</v>
      </c>
      <c r="B7476" s="28" t="s">
        <v>12240</v>
      </c>
      <c r="C7476" s="27" t="s">
        <v>13462</v>
      </c>
      <c r="D7476" s="27" t="s">
        <v>5104</v>
      </c>
      <c r="E7476" s="29">
        <v>41271</v>
      </c>
      <c r="F7476" s="27">
        <v>15</v>
      </c>
      <c r="G7476" s="18">
        <v>6157.35</v>
      </c>
      <c r="H7476" s="27">
        <f t="shared" si="232"/>
        <v>0</v>
      </c>
      <c r="I7476" s="18">
        <v>2768.44</v>
      </c>
      <c r="J7476" s="27">
        <v>6157.35</v>
      </c>
      <c r="K7476" s="18">
        <f t="shared" si="233"/>
        <v>0</v>
      </c>
      <c r="L7476" s="27">
        <v>3110.78</v>
      </c>
      <c r="M7476" s="36">
        <v>342.34</v>
      </c>
      <c r="T7476" s="41">
        <v>0</v>
      </c>
      <c r="U7476" s="41">
        <v>0</v>
      </c>
      <c r="V7476" s="42" t="s">
        <v>113</v>
      </c>
      <c r="W7476" s="42">
        <v>0</v>
      </c>
      <c r="X7476" s="42">
        <v>0</v>
      </c>
    </row>
    <row r="7477" spans="1:24">
      <c r="A7477" s="27" t="s">
        <v>13485</v>
      </c>
      <c r="B7477" s="28" t="s">
        <v>12240</v>
      </c>
      <c r="C7477" s="27" t="s">
        <v>13462</v>
      </c>
      <c r="D7477" s="27" t="s">
        <v>5104</v>
      </c>
      <c r="E7477" s="29">
        <v>41271</v>
      </c>
      <c r="F7477" s="27">
        <v>15</v>
      </c>
      <c r="G7477" s="18">
        <v>6157.35</v>
      </c>
      <c r="H7477" s="27">
        <f t="shared" si="232"/>
        <v>0</v>
      </c>
      <c r="I7477" s="18">
        <v>2768.44</v>
      </c>
      <c r="J7477" s="27">
        <v>6157.35</v>
      </c>
      <c r="K7477" s="18">
        <f t="shared" si="233"/>
        <v>0</v>
      </c>
      <c r="L7477" s="27">
        <v>3110.78</v>
      </c>
      <c r="M7477" s="36">
        <v>342.34</v>
      </c>
      <c r="T7477" s="41">
        <v>0</v>
      </c>
      <c r="U7477" s="41">
        <v>0</v>
      </c>
      <c r="V7477" s="42" t="s">
        <v>113</v>
      </c>
      <c r="W7477" s="42">
        <v>0</v>
      </c>
      <c r="X7477" s="42">
        <v>0</v>
      </c>
    </row>
    <row r="7478" spans="1:24">
      <c r="A7478" s="27" t="s">
        <v>13486</v>
      </c>
      <c r="B7478" s="28" t="s">
        <v>12240</v>
      </c>
      <c r="C7478" s="27" t="s">
        <v>13462</v>
      </c>
      <c r="D7478" s="27" t="s">
        <v>5104</v>
      </c>
      <c r="E7478" s="29">
        <v>41271</v>
      </c>
      <c r="F7478" s="27">
        <v>15</v>
      </c>
      <c r="G7478" s="18">
        <v>6157.35</v>
      </c>
      <c r="H7478" s="27">
        <f t="shared" si="232"/>
        <v>0</v>
      </c>
      <c r="I7478" s="18">
        <v>2768.44</v>
      </c>
      <c r="J7478" s="27">
        <v>6157.35</v>
      </c>
      <c r="K7478" s="18">
        <f t="shared" si="233"/>
        <v>0</v>
      </c>
      <c r="L7478" s="27">
        <v>3110.78</v>
      </c>
      <c r="M7478" s="36">
        <v>342.34</v>
      </c>
      <c r="T7478" s="41">
        <v>0</v>
      </c>
      <c r="U7478" s="41">
        <v>0</v>
      </c>
      <c r="V7478" s="42" t="s">
        <v>113</v>
      </c>
      <c r="W7478" s="42">
        <v>0</v>
      </c>
      <c r="X7478" s="42">
        <v>0</v>
      </c>
    </row>
    <row r="7479" spans="1:24">
      <c r="A7479" s="27" t="s">
        <v>13487</v>
      </c>
      <c r="B7479" s="28" t="s">
        <v>12240</v>
      </c>
      <c r="C7479" s="27" t="s">
        <v>13462</v>
      </c>
      <c r="D7479" s="27" t="s">
        <v>5104</v>
      </c>
      <c r="E7479" s="29">
        <v>41271</v>
      </c>
      <c r="F7479" s="27">
        <v>15</v>
      </c>
      <c r="G7479" s="18">
        <v>6157.35</v>
      </c>
      <c r="H7479" s="27">
        <f t="shared" si="232"/>
        <v>0</v>
      </c>
      <c r="I7479" s="18">
        <v>2768.44</v>
      </c>
      <c r="J7479" s="27">
        <v>6157.35</v>
      </c>
      <c r="K7479" s="18">
        <f t="shared" si="233"/>
        <v>0</v>
      </c>
      <c r="L7479" s="27">
        <v>3110.78</v>
      </c>
      <c r="M7479" s="36">
        <v>342.34</v>
      </c>
      <c r="T7479" s="41">
        <v>0</v>
      </c>
      <c r="U7479" s="41">
        <v>0</v>
      </c>
      <c r="V7479" s="42" t="s">
        <v>113</v>
      </c>
      <c r="W7479" s="42">
        <v>0</v>
      </c>
      <c r="X7479" s="42">
        <v>0</v>
      </c>
    </row>
    <row r="7480" spans="1:24">
      <c r="A7480" s="27" t="s">
        <v>13488</v>
      </c>
      <c r="B7480" s="28" t="s">
        <v>12240</v>
      </c>
      <c r="C7480" s="27" t="s">
        <v>13462</v>
      </c>
      <c r="D7480" s="27" t="s">
        <v>5104</v>
      </c>
      <c r="E7480" s="29">
        <v>41271</v>
      </c>
      <c r="F7480" s="27">
        <v>15</v>
      </c>
      <c r="G7480" s="18">
        <v>6157.35</v>
      </c>
      <c r="H7480" s="27">
        <f t="shared" si="232"/>
        <v>0</v>
      </c>
      <c r="I7480" s="18">
        <v>2768.44</v>
      </c>
      <c r="J7480" s="27">
        <v>6157.35</v>
      </c>
      <c r="K7480" s="18">
        <f t="shared" si="233"/>
        <v>0</v>
      </c>
      <c r="L7480" s="27">
        <v>3110.78</v>
      </c>
      <c r="M7480" s="36">
        <v>342.34</v>
      </c>
      <c r="T7480" s="41">
        <v>0</v>
      </c>
      <c r="U7480" s="41">
        <v>0</v>
      </c>
      <c r="V7480" s="42" t="s">
        <v>113</v>
      </c>
      <c r="W7480" s="42">
        <v>0</v>
      </c>
      <c r="X7480" s="42">
        <v>0</v>
      </c>
    </row>
    <row r="7481" spans="1:24">
      <c r="A7481" s="27" t="s">
        <v>13489</v>
      </c>
      <c r="B7481" s="28" t="s">
        <v>12240</v>
      </c>
      <c r="C7481" s="27" t="s">
        <v>13462</v>
      </c>
      <c r="D7481" s="27" t="s">
        <v>5104</v>
      </c>
      <c r="E7481" s="29">
        <v>41271</v>
      </c>
      <c r="F7481" s="27">
        <v>15</v>
      </c>
      <c r="G7481" s="18">
        <v>6157.35</v>
      </c>
      <c r="H7481" s="27">
        <f t="shared" si="232"/>
        <v>0</v>
      </c>
      <c r="I7481" s="18">
        <v>2768.44</v>
      </c>
      <c r="J7481" s="27">
        <v>6157.35</v>
      </c>
      <c r="K7481" s="18">
        <f t="shared" si="233"/>
        <v>0</v>
      </c>
      <c r="L7481" s="27">
        <v>3110.78</v>
      </c>
      <c r="M7481" s="36">
        <v>342.34</v>
      </c>
      <c r="T7481" s="41">
        <v>0</v>
      </c>
      <c r="U7481" s="41">
        <v>0</v>
      </c>
      <c r="V7481" s="42" t="s">
        <v>113</v>
      </c>
      <c r="W7481" s="42">
        <v>0</v>
      </c>
      <c r="X7481" s="42">
        <v>0</v>
      </c>
    </row>
    <row r="7482" spans="1:24">
      <c r="A7482" s="27" t="s">
        <v>13490</v>
      </c>
      <c r="B7482" s="28" t="s">
        <v>12240</v>
      </c>
      <c r="C7482" s="27" t="s">
        <v>13462</v>
      </c>
      <c r="D7482" s="27" t="s">
        <v>5104</v>
      </c>
      <c r="E7482" s="29">
        <v>41271</v>
      </c>
      <c r="F7482" s="27">
        <v>15</v>
      </c>
      <c r="G7482" s="18">
        <v>6157.35</v>
      </c>
      <c r="H7482" s="27">
        <f t="shared" si="232"/>
        <v>0</v>
      </c>
      <c r="I7482" s="18">
        <v>2768.44</v>
      </c>
      <c r="J7482" s="27">
        <v>6157.35</v>
      </c>
      <c r="K7482" s="18">
        <f t="shared" si="233"/>
        <v>0</v>
      </c>
      <c r="L7482" s="27">
        <v>3110.78</v>
      </c>
      <c r="M7482" s="36">
        <v>342.34</v>
      </c>
      <c r="T7482" s="41">
        <v>0</v>
      </c>
      <c r="U7482" s="41">
        <v>0</v>
      </c>
      <c r="V7482" s="42" t="s">
        <v>113</v>
      </c>
      <c r="W7482" s="42">
        <v>0</v>
      </c>
      <c r="X7482" s="42">
        <v>0</v>
      </c>
    </row>
    <row r="7483" spans="1:24">
      <c r="A7483" s="27" t="s">
        <v>13491</v>
      </c>
      <c r="B7483" s="28" t="s">
        <v>12240</v>
      </c>
      <c r="C7483" s="27" t="s">
        <v>13462</v>
      </c>
      <c r="D7483" s="27" t="s">
        <v>5104</v>
      </c>
      <c r="E7483" s="29">
        <v>41271</v>
      </c>
      <c r="F7483" s="27">
        <v>15</v>
      </c>
      <c r="G7483" s="18">
        <v>6157.35</v>
      </c>
      <c r="H7483" s="27">
        <f t="shared" si="232"/>
        <v>0</v>
      </c>
      <c r="I7483" s="18">
        <v>2768.44</v>
      </c>
      <c r="J7483" s="27">
        <v>6157.35</v>
      </c>
      <c r="K7483" s="18">
        <f t="shared" si="233"/>
        <v>0</v>
      </c>
      <c r="L7483" s="27">
        <v>3110.78</v>
      </c>
      <c r="M7483" s="36">
        <v>342.34</v>
      </c>
      <c r="T7483" s="41">
        <v>0</v>
      </c>
      <c r="U7483" s="41">
        <v>0</v>
      </c>
      <c r="V7483" s="42" t="s">
        <v>113</v>
      </c>
      <c r="W7483" s="42">
        <v>0</v>
      </c>
      <c r="X7483" s="42">
        <v>0</v>
      </c>
    </row>
    <row r="7484" spans="1:24">
      <c r="A7484" s="27" t="s">
        <v>13492</v>
      </c>
      <c r="B7484" s="28" t="s">
        <v>12240</v>
      </c>
      <c r="C7484" s="27" t="s">
        <v>13462</v>
      </c>
      <c r="D7484" s="27" t="s">
        <v>5104</v>
      </c>
      <c r="E7484" s="29">
        <v>41271</v>
      </c>
      <c r="F7484" s="27">
        <v>15</v>
      </c>
      <c r="G7484" s="18">
        <v>6157.35</v>
      </c>
      <c r="H7484" s="27">
        <f t="shared" si="232"/>
        <v>0</v>
      </c>
      <c r="I7484" s="18">
        <v>2768.44</v>
      </c>
      <c r="J7484" s="27">
        <v>6157.35</v>
      </c>
      <c r="K7484" s="18">
        <f t="shared" si="233"/>
        <v>0</v>
      </c>
      <c r="L7484" s="27">
        <v>3110.78</v>
      </c>
      <c r="M7484" s="36">
        <v>342.34</v>
      </c>
      <c r="T7484" s="41">
        <v>0</v>
      </c>
      <c r="U7484" s="41">
        <v>0</v>
      </c>
      <c r="V7484" s="42" t="s">
        <v>113</v>
      </c>
      <c r="W7484" s="42">
        <v>0</v>
      </c>
      <c r="X7484" s="42">
        <v>0</v>
      </c>
    </row>
    <row r="7485" spans="1:24">
      <c r="A7485" s="27" t="s">
        <v>13493</v>
      </c>
      <c r="B7485" s="28" t="s">
        <v>12240</v>
      </c>
      <c r="C7485" s="27" t="s">
        <v>13462</v>
      </c>
      <c r="D7485" s="27" t="s">
        <v>5104</v>
      </c>
      <c r="E7485" s="29">
        <v>41271</v>
      </c>
      <c r="F7485" s="27">
        <v>15</v>
      </c>
      <c r="G7485" s="18">
        <v>5500</v>
      </c>
      <c r="H7485" s="27">
        <f t="shared" si="232"/>
        <v>0</v>
      </c>
      <c r="I7485" s="18">
        <v>2501.61</v>
      </c>
      <c r="J7485" s="27">
        <v>5500</v>
      </c>
      <c r="K7485" s="18">
        <f t="shared" si="233"/>
        <v>0</v>
      </c>
      <c r="L7485" s="27">
        <v>2804.21</v>
      </c>
      <c r="M7485" s="36">
        <v>302.60000000000002</v>
      </c>
      <c r="T7485" s="41">
        <v>0</v>
      </c>
      <c r="U7485" s="41">
        <v>0</v>
      </c>
      <c r="V7485" s="42" t="s">
        <v>113</v>
      </c>
      <c r="W7485" s="42">
        <v>0</v>
      </c>
      <c r="X7485" s="42">
        <v>0</v>
      </c>
    </row>
    <row r="7486" spans="1:24">
      <c r="A7486" s="27" t="s">
        <v>13494</v>
      </c>
      <c r="B7486" s="28" t="s">
        <v>12240</v>
      </c>
      <c r="C7486" s="27" t="s">
        <v>13462</v>
      </c>
      <c r="D7486" s="27" t="s">
        <v>5104</v>
      </c>
      <c r="E7486" s="29">
        <v>41271</v>
      </c>
      <c r="F7486" s="27">
        <v>15</v>
      </c>
      <c r="G7486" s="18">
        <v>5500</v>
      </c>
      <c r="H7486" s="27">
        <f t="shared" si="232"/>
        <v>0</v>
      </c>
      <c r="I7486" s="18">
        <v>2501.61</v>
      </c>
      <c r="J7486" s="27">
        <v>5500</v>
      </c>
      <c r="K7486" s="18">
        <f t="shared" si="233"/>
        <v>0</v>
      </c>
      <c r="L7486" s="27">
        <v>2804.21</v>
      </c>
      <c r="M7486" s="36">
        <v>302.60000000000002</v>
      </c>
      <c r="T7486" s="41">
        <v>0</v>
      </c>
      <c r="U7486" s="41">
        <v>0</v>
      </c>
      <c r="V7486" s="42" t="s">
        <v>113</v>
      </c>
      <c r="W7486" s="42">
        <v>0</v>
      </c>
      <c r="X7486" s="42">
        <v>0</v>
      </c>
    </row>
    <row r="7487" spans="1:24">
      <c r="A7487" s="27" t="s">
        <v>13495</v>
      </c>
      <c r="B7487" s="28" t="s">
        <v>12240</v>
      </c>
      <c r="C7487" s="27" t="s">
        <v>13462</v>
      </c>
      <c r="D7487" s="27" t="s">
        <v>5104</v>
      </c>
      <c r="E7487" s="29">
        <v>41271</v>
      </c>
      <c r="F7487" s="27">
        <v>15</v>
      </c>
      <c r="G7487" s="18">
        <v>6057.35</v>
      </c>
      <c r="H7487" s="27">
        <f t="shared" si="232"/>
        <v>0</v>
      </c>
      <c r="I7487" s="18">
        <v>2722.96</v>
      </c>
      <c r="J7487" s="27">
        <v>6057.35</v>
      </c>
      <c r="K7487" s="18">
        <f t="shared" si="233"/>
        <v>0</v>
      </c>
      <c r="L7487" s="27">
        <v>3059.8</v>
      </c>
      <c r="M7487" s="36">
        <v>336.84</v>
      </c>
      <c r="T7487" s="41">
        <v>0</v>
      </c>
      <c r="U7487" s="41">
        <v>0</v>
      </c>
      <c r="V7487" s="42" t="s">
        <v>113</v>
      </c>
      <c r="W7487" s="42">
        <v>0</v>
      </c>
      <c r="X7487" s="42">
        <v>0</v>
      </c>
    </row>
    <row r="7488" spans="1:24">
      <c r="A7488" s="27" t="s">
        <v>13496</v>
      </c>
      <c r="B7488" s="28" t="s">
        <v>12240</v>
      </c>
      <c r="C7488" s="27" t="s">
        <v>13462</v>
      </c>
      <c r="D7488" s="27" t="s">
        <v>5104</v>
      </c>
      <c r="E7488" s="29">
        <v>41271</v>
      </c>
      <c r="F7488" s="27">
        <v>15</v>
      </c>
      <c r="G7488" s="18">
        <v>6057.35</v>
      </c>
      <c r="H7488" s="27">
        <f t="shared" si="232"/>
        <v>0</v>
      </c>
      <c r="I7488" s="18">
        <v>2722.95</v>
      </c>
      <c r="J7488" s="27">
        <v>6057.35</v>
      </c>
      <c r="K7488" s="18">
        <f t="shared" si="233"/>
        <v>0</v>
      </c>
      <c r="L7488" s="27">
        <v>3059.79</v>
      </c>
      <c r="M7488" s="36">
        <v>336.84</v>
      </c>
      <c r="T7488" s="41">
        <v>0</v>
      </c>
      <c r="U7488" s="41">
        <v>0</v>
      </c>
      <c r="V7488" s="42" t="s">
        <v>113</v>
      </c>
      <c r="W7488" s="42">
        <v>0</v>
      </c>
      <c r="X7488" s="42">
        <v>0</v>
      </c>
    </row>
    <row r="7489" spans="1:24">
      <c r="A7489" s="27" t="s">
        <v>13497</v>
      </c>
      <c r="B7489" s="28" t="s">
        <v>12240</v>
      </c>
      <c r="C7489" s="27" t="s">
        <v>13462</v>
      </c>
      <c r="D7489" s="27" t="s">
        <v>5104</v>
      </c>
      <c r="E7489" s="29">
        <v>41271</v>
      </c>
      <c r="F7489" s="27">
        <v>15</v>
      </c>
      <c r="G7489" s="18">
        <v>6057.35</v>
      </c>
      <c r="H7489" s="27">
        <f t="shared" si="232"/>
        <v>0</v>
      </c>
      <c r="I7489" s="18">
        <v>2722.96</v>
      </c>
      <c r="J7489" s="27">
        <v>6057.35</v>
      </c>
      <c r="K7489" s="18">
        <f t="shared" si="233"/>
        <v>0</v>
      </c>
      <c r="L7489" s="27">
        <v>3059.8</v>
      </c>
      <c r="M7489" s="36">
        <v>336.84</v>
      </c>
      <c r="T7489" s="41">
        <v>0</v>
      </c>
      <c r="U7489" s="41">
        <v>0</v>
      </c>
      <c r="V7489" s="42" t="s">
        <v>113</v>
      </c>
      <c r="W7489" s="42">
        <v>0</v>
      </c>
      <c r="X7489" s="42">
        <v>0</v>
      </c>
    </row>
    <row r="7490" spans="1:24">
      <c r="A7490" s="27" t="s">
        <v>13498</v>
      </c>
      <c r="B7490" s="28" t="s">
        <v>12240</v>
      </c>
      <c r="C7490" s="27" t="s">
        <v>13462</v>
      </c>
      <c r="D7490" s="27" t="s">
        <v>5104</v>
      </c>
      <c r="E7490" s="29">
        <v>41271</v>
      </c>
      <c r="F7490" s="27">
        <v>15</v>
      </c>
      <c r="G7490" s="18">
        <v>6057.35</v>
      </c>
      <c r="H7490" s="27">
        <f t="shared" si="232"/>
        <v>0</v>
      </c>
      <c r="I7490" s="18">
        <v>2722.95</v>
      </c>
      <c r="J7490" s="27">
        <v>6057.35</v>
      </c>
      <c r="K7490" s="18">
        <f t="shared" si="233"/>
        <v>0</v>
      </c>
      <c r="L7490" s="27">
        <v>3059.79</v>
      </c>
      <c r="M7490" s="36">
        <v>336.84</v>
      </c>
      <c r="T7490" s="41">
        <v>0</v>
      </c>
      <c r="U7490" s="41">
        <v>0</v>
      </c>
      <c r="V7490" s="42" t="s">
        <v>113</v>
      </c>
      <c r="W7490" s="42">
        <v>0</v>
      </c>
      <c r="X7490" s="42">
        <v>0</v>
      </c>
    </row>
    <row r="7491" spans="1:24">
      <c r="A7491" s="27" t="s">
        <v>13499</v>
      </c>
      <c r="B7491" s="28" t="s">
        <v>12240</v>
      </c>
      <c r="C7491" s="27" t="s">
        <v>13462</v>
      </c>
      <c r="D7491" s="27" t="s">
        <v>5104</v>
      </c>
      <c r="E7491" s="29">
        <v>41271</v>
      </c>
      <c r="F7491" s="27">
        <v>15</v>
      </c>
      <c r="G7491" s="18">
        <v>6357.35</v>
      </c>
      <c r="H7491" s="27">
        <f t="shared" si="232"/>
        <v>0</v>
      </c>
      <c r="I7491" s="18">
        <v>2859.4</v>
      </c>
      <c r="J7491" s="27">
        <v>6357.35</v>
      </c>
      <c r="K7491" s="18">
        <f t="shared" si="233"/>
        <v>0</v>
      </c>
      <c r="L7491" s="27">
        <v>3212.74</v>
      </c>
      <c r="M7491" s="36">
        <v>353.34</v>
      </c>
      <c r="T7491" s="41">
        <v>0</v>
      </c>
      <c r="U7491" s="41">
        <v>0</v>
      </c>
      <c r="V7491" s="42" t="s">
        <v>113</v>
      </c>
      <c r="W7491" s="42">
        <v>0</v>
      </c>
      <c r="X7491" s="42">
        <v>0</v>
      </c>
    </row>
    <row r="7492" spans="1:24">
      <c r="A7492" s="27" t="s">
        <v>13500</v>
      </c>
      <c r="B7492" s="28" t="s">
        <v>12240</v>
      </c>
      <c r="C7492" s="27" t="s">
        <v>13462</v>
      </c>
      <c r="D7492" s="27" t="s">
        <v>5104</v>
      </c>
      <c r="E7492" s="29">
        <v>41271</v>
      </c>
      <c r="F7492" s="27">
        <v>15</v>
      </c>
      <c r="G7492" s="18">
        <v>6357.35</v>
      </c>
      <c r="H7492" s="27">
        <f t="shared" si="232"/>
        <v>0</v>
      </c>
      <c r="I7492" s="18">
        <v>2859.4</v>
      </c>
      <c r="J7492" s="27">
        <v>6357.35</v>
      </c>
      <c r="K7492" s="18">
        <f t="shared" si="233"/>
        <v>0</v>
      </c>
      <c r="L7492" s="27">
        <v>3212.74</v>
      </c>
      <c r="M7492" s="36">
        <v>353.34</v>
      </c>
      <c r="T7492" s="41">
        <v>0</v>
      </c>
      <c r="U7492" s="41">
        <v>0</v>
      </c>
      <c r="V7492" s="42" t="s">
        <v>113</v>
      </c>
      <c r="W7492" s="42">
        <v>0</v>
      </c>
      <c r="X7492" s="42">
        <v>0</v>
      </c>
    </row>
    <row r="7493" spans="1:24">
      <c r="A7493" s="27" t="s">
        <v>13501</v>
      </c>
      <c r="B7493" s="28" t="s">
        <v>12240</v>
      </c>
      <c r="C7493" s="27" t="s">
        <v>13462</v>
      </c>
      <c r="D7493" s="27" t="s">
        <v>5104</v>
      </c>
      <c r="E7493" s="29">
        <v>41271</v>
      </c>
      <c r="F7493" s="27">
        <v>15</v>
      </c>
      <c r="G7493" s="18">
        <v>6357.49</v>
      </c>
      <c r="H7493" s="27">
        <f t="shared" si="232"/>
        <v>0</v>
      </c>
      <c r="I7493" s="18">
        <v>2859.48</v>
      </c>
      <c r="J7493" s="27">
        <v>6357.49</v>
      </c>
      <c r="K7493" s="18">
        <f t="shared" si="233"/>
        <v>0</v>
      </c>
      <c r="L7493" s="27">
        <v>3212.83</v>
      </c>
      <c r="M7493" s="36">
        <v>353.35</v>
      </c>
      <c r="T7493" s="41">
        <v>0</v>
      </c>
      <c r="U7493" s="41">
        <v>0</v>
      </c>
      <c r="V7493" s="42" t="s">
        <v>113</v>
      </c>
      <c r="W7493" s="42">
        <v>0</v>
      </c>
      <c r="X7493" s="42">
        <v>0</v>
      </c>
    </row>
    <row r="7494" spans="1:24">
      <c r="A7494" s="27" t="s">
        <v>13502</v>
      </c>
      <c r="B7494" s="28" t="s">
        <v>12240</v>
      </c>
      <c r="C7494" s="27" t="s">
        <v>13462</v>
      </c>
      <c r="D7494" s="27" t="s">
        <v>5104</v>
      </c>
      <c r="E7494" s="29">
        <v>41271</v>
      </c>
      <c r="F7494" s="27">
        <v>15</v>
      </c>
      <c r="G7494" s="18">
        <v>6509.27</v>
      </c>
      <c r="H7494" s="27">
        <f t="shared" ref="H7494:H7557" si="234">IFERROR(IF(ROUND((G7494-I7494)/G7494,2)&lt;=0.05,G7494,0),0)</f>
        <v>0</v>
      </c>
      <c r="I7494" s="18">
        <v>2928.51</v>
      </c>
      <c r="J7494" s="27">
        <v>6509.27</v>
      </c>
      <c r="K7494" s="18">
        <f t="shared" ref="K7494:K7557" si="235">IFERROR(IF(ROUND((J7494-L7494)/J7494,2)&lt;=0.05,J7494,0),0)</f>
        <v>0</v>
      </c>
      <c r="L7494" s="27">
        <v>3290.21</v>
      </c>
      <c r="M7494" s="36">
        <v>361.7</v>
      </c>
      <c r="T7494" s="41">
        <v>0</v>
      </c>
      <c r="U7494" s="41">
        <v>0</v>
      </c>
      <c r="V7494" s="42" t="s">
        <v>113</v>
      </c>
      <c r="W7494" s="42">
        <v>0</v>
      </c>
      <c r="X7494" s="42">
        <v>0</v>
      </c>
    </row>
    <row r="7495" spans="1:24">
      <c r="A7495" s="27" t="s">
        <v>13503</v>
      </c>
      <c r="B7495" s="28" t="s">
        <v>12240</v>
      </c>
      <c r="C7495" s="27" t="s">
        <v>13504</v>
      </c>
      <c r="D7495" s="27" t="s">
        <v>5104</v>
      </c>
      <c r="E7495" s="29">
        <v>41271</v>
      </c>
      <c r="F7495" s="27">
        <v>15</v>
      </c>
      <c r="G7495" s="18">
        <v>7280.55</v>
      </c>
      <c r="H7495" s="27">
        <f t="shared" si="234"/>
        <v>0</v>
      </c>
      <c r="I7495" s="18">
        <v>3148.94</v>
      </c>
      <c r="J7495" s="27">
        <v>7280.55</v>
      </c>
      <c r="K7495" s="18">
        <f t="shared" si="235"/>
        <v>0</v>
      </c>
      <c r="L7495" s="27">
        <v>3567.56</v>
      </c>
      <c r="M7495" s="36">
        <v>418.62</v>
      </c>
      <c r="T7495" s="41">
        <v>0</v>
      </c>
      <c r="U7495" s="41">
        <v>0</v>
      </c>
      <c r="V7495" s="42" t="s">
        <v>113</v>
      </c>
      <c r="W7495" s="42">
        <v>0</v>
      </c>
      <c r="X7495" s="42">
        <v>0</v>
      </c>
    </row>
    <row r="7496" spans="1:24">
      <c r="A7496" s="27" t="s">
        <v>13505</v>
      </c>
      <c r="B7496" s="28" t="s">
        <v>12240</v>
      </c>
      <c r="C7496" s="27" t="s">
        <v>13504</v>
      </c>
      <c r="D7496" s="27" t="s">
        <v>5104</v>
      </c>
      <c r="E7496" s="29">
        <v>41271</v>
      </c>
      <c r="F7496" s="27">
        <v>15</v>
      </c>
      <c r="G7496" s="18">
        <v>6501.77</v>
      </c>
      <c r="H7496" s="27">
        <f t="shared" si="234"/>
        <v>0</v>
      </c>
      <c r="I7496" s="18">
        <v>2926.99</v>
      </c>
      <c r="J7496" s="27">
        <v>6501.77</v>
      </c>
      <c r="K7496" s="18">
        <f t="shared" si="235"/>
        <v>0</v>
      </c>
      <c r="L7496" s="27">
        <v>3288.07</v>
      </c>
      <c r="M7496" s="36">
        <v>361.08</v>
      </c>
      <c r="T7496" s="41">
        <v>0</v>
      </c>
      <c r="U7496" s="41">
        <v>0</v>
      </c>
      <c r="V7496" s="42" t="s">
        <v>113</v>
      </c>
      <c r="W7496" s="42">
        <v>0</v>
      </c>
      <c r="X7496" s="42">
        <v>0</v>
      </c>
    </row>
    <row r="7497" spans="1:24">
      <c r="A7497" s="27" t="s">
        <v>13506</v>
      </c>
      <c r="B7497" s="28" t="s">
        <v>12240</v>
      </c>
      <c r="C7497" s="27" t="s">
        <v>13504</v>
      </c>
      <c r="D7497" s="27" t="s">
        <v>5104</v>
      </c>
      <c r="E7497" s="29">
        <v>41271</v>
      </c>
      <c r="F7497" s="27">
        <v>15</v>
      </c>
      <c r="G7497" s="18">
        <v>6501.77</v>
      </c>
      <c r="H7497" s="27">
        <f t="shared" si="234"/>
        <v>0</v>
      </c>
      <c r="I7497" s="18">
        <v>2926.99</v>
      </c>
      <c r="J7497" s="27">
        <v>6501.77</v>
      </c>
      <c r="K7497" s="18">
        <f t="shared" si="235"/>
        <v>0</v>
      </c>
      <c r="L7497" s="27">
        <v>3288.07</v>
      </c>
      <c r="M7497" s="36">
        <v>361.08</v>
      </c>
      <c r="T7497" s="41">
        <v>0</v>
      </c>
      <c r="U7497" s="41">
        <v>0</v>
      </c>
      <c r="V7497" s="42" t="s">
        <v>113</v>
      </c>
      <c r="W7497" s="42">
        <v>0</v>
      </c>
      <c r="X7497" s="42">
        <v>0</v>
      </c>
    </row>
    <row r="7498" spans="1:24">
      <c r="A7498" s="27" t="s">
        <v>13507</v>
      </c>
      <c r="B7498" s="28" t="s">
        <v>12240</v>
      </c>
      <c r="C7498" s="27" t="s">
        <v>13504</v>
      </c>
      <c r="D7498" s="27" t="s">
        <v>5104</v>
      </c>
      <c r="E7498" s="29">
        <v>41271</v>
      </c>
      <c r="F7498" s="27">
        <v>15</v>
      </c>
      <c r="G7498" s="18">
        <v>6501.77</v>
      </c>
      <c r="H7498" s="27">
        <f t="shared" si="234"/>
        <v>0</v>
      </c>
      <c r="I7498" s="18">
        <v>2926.99</v>
      </c>
      <c r="J7498" s="27">
        <v>6501.77</v>
      </c>
      <c r="K7498" s="18">
        <f t="shared" si="235"/>
        <v>0</v>
      </c>
      <c r="L7498" s="27">
        <v>3288.07</v>
      </c>
      <c r="M7498" s="36">
        <v>361.08</v>
      </c>
      <c r="T7498" s="41">
        <v>0</v>
      </c>
      <c r="U7498" s="41">
        <v>0</v>
      </c>
      <c r="V7498" s="42" t="s">
        <v>113</v>
      </c>
      <c r="W7498" s="42">
        <v>0</v>
      </c>
      <c r="X7498" s="42">
        <v>0</v>
      </c>
    </row>
    <row r="7499" spans="1:24">
      <c r="A7499" s="27" t="s">
        <v>13508</v>
      </c>
      <c r="B7499" s="28" t="s">
        <v>12240</v>
      </c>
      <c r="C7499" s="27" t="s">
        <v>13504</v>
      </c>
      <c r="D7499" s="27" t="s">
        <v>5104</v>
      </c>
      <c r="E7499" s="29">
        <v>41271</v>
      </c>
      <c r="F7499" s="27">
        <v>15</v>
      </c>
      <c r="G7499" s="18">
        <v>6501.77</v>
      </c>
      <c r="H7499" s="27">
        <f t="shared" si="234"/>
        <v>0</v>
      </c>
      <c r="I7499" s="18">
        <v>2926.99</v>
      </c>
      <c r="J7499" s="27">
        <v>6501.77</v>
      </c>
      <c r="K7499" s="18">
        <f t="shared" si="235"/>
        <v>0</v>
      </c>
      <c r="L7499" s="27">
        <v>3288.07</v>
      </c>
      <c r="M7499" s="36">
        <v>361.08</v>
      </c>
      <c r="T7499" s="41">
        <v>0</v>
      </c>
      <c r="U7499" s="41">
        <v>0</v>
      </c>
      <c r="V7499" s="42" t="s">
        <v>113</v>
      </c>
      <c r="W7499" s="42">
        <v>0</v>
      </c>
      <c r="X7499" s="42">
        <v>0</v>
      </c>
    </row>
    <row r="7500" spans="1:24">
      <c r="A7500" s="27" t="s">
        <v>13509</v>
      </c>
      <c r="B7500" s="28" t="s">
        <v>12240</v>
      </c>
      <c r="C7500" s="27" t="s">
        <v>13504</v>
      </c>
      <c r="D7500" s="27" t="s">
        <v>5104</v>
      </c>
      <c r="E7500" s="29">
        <v>41271</v>
      </c>
      <c r="F7500" s="27">
        <v>15</v>
      </c>
      <c r="G7500" s="18">
        <v>6501.77</v>
      </c>
      <c r="H7500" s="27">
        <f t="shared" si="234"/>
        <v>0</v>
      </c>
      <c r="I7500" s="18">
        <v>2926.99</v>
      </c>
      <c r="J7500" s="27">
        <v>6501.77</v>
      </c>
      <c r="K7500" s="18">
        <f t="shared" si="235"/>
        <v>0</v>
      </c>
      <c r="L7500" s="27">
        <v>3288.07</v>
      </c>
      <c r="M7500" s="36">
        <v>361.08</v>
      </c>
      <c r="T7500" s="41">
        <v>0</v>
      </c>
      <c r="U7500" s="41">
        <v>0</v>
      </c>
      <c r="V7500" s="42" t="s">
        <v>113</v>
      </c>
      <c r="W7500" s="42">
        <v>0</v>
      </c>
      <c r="X7500" s="42">
        <v>0</v>
      </c>
    </row>
    <row r="7501" spans="1:24">
      <c r="A7501" s="27" t="s">
        <v>13510</v>
      </c>
      <c r="B7501" s="28" t="s">
        <v>12240</v>
      </c>
      <c r="C7501" s="27" t="s">
        <v>13504</v>
      </c>
      <c r="D7501" s="27" t="s">
        <v>5104</v>
      </c>
      <c r="E7501" s="29">
        <v>41271</v>
      </c>
      <c r="F7501" s="27">
        <v>15</v>
      </c>
      <c r="G7501" s="18">
        <v>6501.77</v>
      </c>
      <c r="H7501" s="27">
        <f t="shared" si="234"/>
        <v>0</v>
      </c>
      <c r="I7501" s="18">
        <v>2926.99</v>
      </c>
      <c r="J7501" s="27">
        <v>6501.77</v>
      </c>
      <c r="K7501" s="18">
        <f t="shared" si="235"/>
        <v>0</v>
      </c>
      <c r="L7501" s="27">
        <v>3288.07</v>
      </c>
      <c r="M7501" s="36">
        <v>361.08</v>
      </c>
      <c r="T7501" s="41">
        <v>0</v>
      </c>
      <c r="U7501" s="41">
        <v>0</v>
      </c>
      <c r="V7501" s="42" t="s">
        <v>113</v>
      </c>
      <c r="W7501" s="42">
        <v>0</v>
      </c>
      <c r="X7501" s="42">
        <v>0</v>
      </c>
    </row>
    <row r="7502" spans="1:24">
      <c r="A7502" s="27" t="s">
        <v>13511</v>
      </c>
      <c r="B7502" s="28" t="s">
        <v>12240</v>
      </c>
      <c r="C7502" s="27" t="s">
        <v>13504</v>
      </c>
      <c r="D7502" s="27" t="s">
        <v>5104</v>
      </c>
      <c r="E7502" s="29">
        <v>41271</v>
      </c>
      <c r="F7502" s="27">
        <v>15</v>
      </c>
      <c r="G7502" s="18">
        <v>6501.77</v>
      </c>
      <c r="H7502" s="27">
        <f t="shared" si="234"/>
        <v>0</v>
      </c>
      <c r="I7502" s="18">
        <v>2926.99</v>
      </c>
      <c r="J7502" s="27">
        <v>6501.77</v>
      </c>
      <c r="K7502" s="18">
        <f t="shared" si="235"/>
        <v>0</v>
      </c>
      <c r="L7502" s="27">
        <v>3288.07</v>
      </c>
      <c r="M7502" s="36">
        <v>361.08</v>
      </c>
      <c r="T7502" s="41">
        <v>0</v>
      </c>
      <c r="U7502" s="41">
        <v>0</v>
      </c>
      <c r="V7502" s="42" t="s">
        <v>113</v>
      </c>
      <c r="W7502" s="42">
        <v>0</v>
      </c>
      <c r="X7502" s="42">
        <v>0</v>
      </c>
    </row>
    <row r="7503" spans="1:24">
      <c r="A7503" s="27" t="s">
        <v>13512</v>
      </c>
      <c r="B7503" s="28" t="s">
        <v>12240</v>
      </c>
      <c r="C7503" s="27" t="s">
        <v>13504</v>
      </c>
      <c r="D7503" s="27" t="s">
        <v>5104</v>
      </c>
      <c r="E7503" s="29">
        <v>41271</v>
      </c>
      <c r="F7503" s="27">
        <v>15</v>
      </c>
      <c r="G7503" s="18">
        <v>6501.77</v>
      </c>
      <c r="H7503" s="27">
        <f t="shared" si="234"/>
        <v>0</v>
      </c>
      <c r="I7503" s="18">
        <v>2926.99</v>
      </c>
      <c r="J7503" s="27">
        <v>6501.77</v>
      </c>
      <c r="K7503" s="18">
        <f t="shared" si="235"/>
        <v>0</v>
      </c>
      <c r="L7503" s="27">
        <v>3288.07</v>
      </c>
      <c r="M7503" s="36">
        <v>361.08</v>
      </c>
      <c r="T7503" s="41">
        <v>0</v>
      </c>
      <c r="U7503" s="41">
        <v>0</v>
      </c>
      <c r="V7503" s="42" t="s">
        <v>113</v>
      </c>
      <c r="W7503" s="42">
        <v>0</v>
      </c>
      <c r="X7503" s="42">
        <v>0</v>
      </c>
    </row>
    <row r="7504" spans="1:24">
      <c r="A7504" s="27" t="s">
        <v>13513</v>
      </c>
      <c r="B7504" s="28" t="s">
        <v>12240</v>
      </c>
      <c r="C7504" s="27" t="s">
        <v>13504</v>
      </c>
      <c r="D7504" s="27" t="s">
        <v>5104</v>
      </c>
      <c r="E7504" s="29">
        <v>41271</v>
      </c>
      <c r="F7504" s="27">
        <v>15</v>
      </c>
      <c r="G7504" s="18">
        <v>6501.77</v>
      </c>
      <c r="H7504" s="27">
        <f t="shared" si="234"/>
        <v>0</v>
      </c>
      <c r="I7504" s="18">
        <v>2926.99</v>
      </c>
      <c r="J7504" s="27">
        <v>6501.77</v>
      </c>
      <c r="K7504" s="18">
        <f t="shared" si="235"/>
        <v>0</v>
      </c>
      <c r="L7504" s="27">
        <v>3288.07</v>
      </c>
      <c r="M7504" s="36">
        <v>361.08</v>
      </c>
      <c r="T7504" s="41">
        <v>0</v>
      </c>
      <c r="U7504" s="41">
        <v>0</v>
      </c>
      <c r="V7504" s="42" t="s">
        <v>113</v>
      </c>
      <c r="W7504" s="42">
        <v>0</v>
      </c>
      <c r="X7504" s="42">
        <v>0</v>
      </c>
    </row>
    <row r="7505" spans="1:24">
      <c r="A7505" s="27" t="s">
        <v>13514</v>
      </c>
      <c r="B7505" s="28" t="s">
        <v>12240</v>
      </c>
      <c r="C7505" s="27" t="s">
        <v>13504</v>
      </c>
      <c r="D7505" s="27" t="s">
        <v>5104</v>
      </c>
      <c r="E7505" s="29">
        <v>41271</v>
      </c>
      <c r="F7505" s="27">
        <v>15</v>
      </c>
      <c r="G7505" s="18">
        <v>6501.77</v>
      </c>
      <c r="H7505" s="27">
        <f t="shared" si="234"/>
        <v>0</v>
      </c>
      <c r="I7505" s="18">
        <v>2926.99</v>
      </c>
      <c r="J7505" s="27">
        <v>6501.77</v>
      </c>
      <c r="K7505" s="18">
        <f t="shared" si="235"/>
        <v>0</v>
      </c>
      <c r="L7505" s="27">
        <v>3288.07</v>
      </c>
      <c r="M7505" s="36">
        <v>361.08</v>
      </c>
      <c r="T7505" s="41">
        <v>0</v>
      </c>
      <c r="U7505" s="41">
        <v>0</v>
      </c>
      <c r="V7505" s="42" t="s">
        <v>113</v>
      </c>
      <c r="W7505" s="42">
        <v>0</v>
      </c>
      <c r="X7505" s="42">
        <v>0</v>
      </c>
    </row>
    <row r="7506" spans="1:24">
      <c r="A7506" s="27" t="s">
        <v>13515</v>
      </c>
      <c r="B7506" s="28" t="s">
        <v>12240</v>
      </c>
      <c r="C7506" s="27" t="s">
        <v>13504</v>
      </c>
      <c r="D7506" s="27" t="s">
        <v>5104</v>
      </c>
      <c r="E7506" s="29">
        <v>41271</v>
      </c>
      <c r="F7506" s="27">
        <v>15</v>
      </c>
      <c r="G7506" s="18">
        <v>6501.77</v>
      </c>
      <c r="H7506" s="27">
        <f t="shared" si="234"/>
        <v>0</v>
      </c>
      <c r="I7506" s="18">
        <v>2926.99</v>
      </c>
      <c r="J7506" s="27">
        <v>6501.77</v>
      </c>
      <c r="K7506" s="18">
        <f t="shared" si="235"/>
        <v>0</v>
      </c>
      <c r="L7506" s="27">
        <v>3288.07</v>
      </c>
      <c r="M7506" s="36">
        <v>361.08</v>
      </c>
      <c r="T7506" s="41">
        <v>0</v>
      </c>
      <c r="U7506" s="41">
        <v>0</v>
      </c>
      <c r="V7506" s="42" t="s">
        <v>113</v>
      </c>
      <c r="W7506" s="42">
        <v>0</v>
      </c>
      <c r="X7506" s="42">
        <v>0</v>
      </c>
    </row>
    <row r="7507" spans="1:24">
      <c r="A7507" s="27" t="s">
        <v>13516</v>
      </c>
      <c r="B7507" s="28" t="s">
        <v>12240</v>
      </c>
      <c r="C7507" s="27" t="s">
        <v>13504</v>
      </c>
      <c r="D7507" s="27" t="s">
        <v>5104</v>
      </c>
      <c r="E7507" s="29">
        <v>41271</v>
      </c>
      <c r="F7507" s="27">
        <v>15</v>
      </c>
      <c r="G7507" s="18">
        <v>6501.77</v>
      </c>
      <c r="H7507" s="27">
        <f t="shared" si="234"/>
        <v>0</v>
      </c>
      <c r="I7507" s="18">
        <v>2926.99</v>
      </c>
      <c r="J7507" s="27">
        <v>6501.77</v>
      </c>
      <c r="K7507" s="18">
        <f t="shared" si="235"/>
        <v>0</v>
      </c>
      <c r="L7507" s="27">
        <v>3288.07</v>
      </c>
      <c r="M7507" s="36">
        <v>361.08</v>
      </c>
      <c r="T7507" s="41">
        <v>0</v>
      </c>
      <c r="U7507" s="41">
        <v>0</v>
      </c>
      <c r="V7507" s="42" t="s">
        <v>113</v>
      </c>
      <c r="W7507" s="42">
        <v>0</v>
      </c>
      <c r="X7507" s="42">
        <v>0</v>
      </c>
    </row>
    <row r="7508" spans="1:24">
      <c r="A7508" s="27" t="s">
        <v>13517</v>
      </c>
      <c r="B7508" s="28" t="s">
        <v>12240</v>
      </c>
      <c r="C7508" s="27" t="s">
        <v>13504</v>
      </c>
      <c r="D7508" s="27" t="s">
        <v>5104</v>
      </c>
      <c r="E7508" s="29">
        <v>41271</v>
      </c>
      <c r="F7508" s="27">
        <v>15</v>
      </c>
      <c r="G7508" s="18">
        <v>6501.77</v>
      </c>
      <c r="H7508" s="27">
        <f t="shared" si="234"/>
        <v>0</v>
      </c>
      <c r="I7508" s="18">
        <v>2926.99</v>
      </c>
      <c r="J7508" s="27">
        <v>6501.77</v>
      </c>
      <c r="K7508" s="18">
        <f t="shared" si="235"/>
        <v>0</v>
      </c>
      <c r="L7508" s="27">
        <v>3288.07</v>
      </c>
      <c r="M7508" s="36">
        <v>361.08</v>
      </c>
      <c r="T7508" s="41">
        <v>0</v>
      </c>
      <c r="U7508" s="41">
        <v>0</v>
      </c>
      <c r="V7508" s="42" t="s">
        <v>113</v>
      </c>
      <c r="W7508" s="42">
        <v>0</v>
      </c>
      <c r="X7508" s="42">
        <v>0</v>
      </c>
    </row>
    <row r="7509" spans="1:24">
      <c r="A7509" s="27" t="s">
        <v>13518</v>
      </c>
      <c r="B7509" s="28" t="s">
        <v>12240</v>
      </c>
      <c r="C7509" s="27" t="s">
        <v>13504</v>
      </c>
      <c r="D7509" s="27" t="s">
        <v>5104</v>
      </c>
      <c r="E7509" s="29">
        <v>41271</v>
      </c>
      <c r="F7509" s="27">
        <v>15</v>
      </c>
      <c r="G7509" s="18">
        <v>6501.77</v>
      </c>
      <c r="H7509" s="27">
        <f t="shared" si="234"/>
        <v>0</v>
      </c>
      <c r="I7509" s="18">
        <v>2926.99</v>
      </c>
      <c r="J7509" s="27">
        <v>6501.77</v>
      </c>
      <c r="K7509" s="18">
        <f t="shared" si="235"/>
        <v>0</v>
      </c>
      <c r="L7509" s="27">
        <v>3288.07</v>
      </c>
      <c r="M7509" s="36">
        <v>361.08</v>
      </c>
      <c r="T7509" s="41">
        <v>0</v>
      </c>
      <c r="U7509" s="41">
        <v>0</v>
      </c>
      <c r="V7509" s="42" t="s">
        <v>113</v>
      </c>
      <c r="W7509" s="42">
        <v>0</v>
      </c>
      <c r="X7509" s="42">
        <v>0</v>
      </c>
    </row>
    <row r="7510" spans="1:24">
      <c r="A7510" s="27" t="s">
        <v>13519</v>
      </c>
      <c r="B7510" s="28" t="s">
        <v>12240</v>
      </c>
      <c r="C7510" s="27" t="s">
        <v>13504</v>
      </c>
      <c r="D7510" s="27" t="s">
        <v>5104</v>
      </c>
      <c r="E7510" s="29">
        <v>41271</v>
      </c>
      <c r="F7510" s="27">
        <v>15</v>
      </c>
      <c r="G7510" s="18">
        <v>6501.77</v>
      </c>
      <c r="H7510" s="27">
        <f t="shared" si="234"/>
        <v>0</v>
      </c>
      <c r="I7510" s="18">
        <v>2926.99</v>
      </c>
      <c r="J7510" s="27">
        <v>6501.77</v>
      </c>
      <c r="K7510" s="18">
        <f t="shared" si="235"/>
        <v>0</v>
      </c>
      <c r="L7510" s="27">
        <v>3288.07</v>
      </c>
      <c r="M7510" s="36">
        <v>361.08</v>
      </c>
      <c r="T7510" s="41">
        <v>0</v>
      </c>
      <c r="U7510" s="41">
        <v>0</v>
      </c>
      <c r="V7510" s="42" t="s">
        <v>113</v>
      </c>
      <c r="W7510" s="42">
        <v>0</v>
      </c>
      <c r="X7510" s="42">
        <v>0</v>
      </c>
    </row>
    <row r="7511" spans="1:24">
      <c r="A7511" s="27" t="s">
        <v>13520</v>
      </c>
      <c r="B7511" s="28" t="s">
        <v>12240</v>
      </c>
      <c r="C7511" s="27" t="s">
        <v>13504</v>
      </c>
      <c r="D7511" s="27" t="s">
        <v>5104</v>
      </c>
      <c r="E7511" s="29">
        <v>41271</v>
      </c>
      <c r="F7511" s="27">
        <v>15</v>
      </c>
      <c r="G7511" s="18">
        <v>6501.77</v>
      </c>
      <c r="H7511" s="27">
        <f t="shared" si="234"/>
        <v>0</v>
      </c>
      <c r="I7511" s="18">
        <v>2926.99</v>
      </c>
      <c r="J7511" s="27">
        <v>6501.77</v>
      </c>
      <c r="K7511" s="18">
        <f t="shared" si="235"/>
        <v>0</v>
      </c>
      <c r="L7511" s="27">
        <v>3288.07</v>
      </c>
      <c r="M7511" s="36">
        <v>361.08</v>
      </c>
      <c r="T7511" s="41">
        <v>0</v>
      </c>
      <c r="U7511" s="41">
        <v>0</v>
      </c>
      <c r="V7511" s="42" t="s">
        <v>113</v>
      </c>
      <c r="W7511" s="42">
        <v>0</v>
      </c>
      <c r="X7511" s="42">
        <v>0</v>
      </c>
    </row>
    <row r="7512" spans="1:24">
      <c r="A7512" s="27" t="s">
        <v>13521</v>
      </c>
      <c r="B7512" s="28" t="s">
        <v>12240</v>
      </c>
      <c r="C7512" s="27" t="s">
        <v>13504</v>
      </c>
      <c r="D7512" s="27" t="s">
        <v>5104</v>
      </c>
      <c r="E7512" s="29">
        <v>41271</v>
      </c>
      <c r="F7512" s="27">
        <v>15</v>
      </c>
      <c r="G7512" s="18">
        <v>6501.77</v>
      </c>
      <c r="H7512" s="27">
        <f t="shared" si="234"/>
        <v>0</v>
      </c>
      <c r="I7512" s="18">
        <v>2926.99</v>
      </c>
      <c r="J7512" s="27">
        <v>6501.77</v>
      </c>
      <c r="K7512" s="18">
        <f t="shared" si="235"/>
        <v>0</v>
      </c>
      <c r="L7512" s="27">
        <v>3288.07</v>
      </c>
      <c r="M7512" s="36">
        <v>361.08</v>
      </c>
      <c r="T7512" s="41">
        <v>0</v>
      </c>
      <c r="U7512" s="41">
        <v>0</v>
      </c>
      <c r="V7512" s="42" t="s">
        <v>113</v>
      </c>
      <c r="W7512" s="42">
        <v>0</v>
      </c>
      <c r="X7512" s="42">
        <v>0</v>
      </c>
    </row>
    <row r="7513" spans="1:24">
      <c r="A7513" s="27" t="s">
        <v>13522</v>
      </c>
      <c r="B7513" s="28" t="s">
        <v>12240</v>
      </c>
      <c r="C7513" s="27" t="s">
        <v>13504</v>
      </c>
      <c r="D7513" s="27" t="s">
        <v>5104</v>
      </c>
      <c r="E7513" s="29">
        <v>41271</v>
      </c>
      <c r="F7513" s="27">
        <v>15</v>
      </c>
      <c r="G7513" s="18">
        <v>6501.77</v>
      </c>
      <c r="H7513" s="27">
        <f t="shared" si="234"/>
        <v>0</v>
      </c>
      <c r="I7513" s="18">
        <v>2926.99</v>
      </c>
      <c r="J7513" s="27">
        <v>6501.77</v>
      </c>
      <c r="K7513" s="18">
        <f t="shared" si="235"/>
        <v>0</v>
      </c>
      <c r="L7513" s="27">
        <v>3288.07</v>
      </c>
      <c r="M7513" s="36">
        <v>361.08</v>
      </c>
      <c r="T7513" s="41">
        <v>0</v>
      </c>
      <c r="U7513" s="41">
        <v>0</v>
      </c>
      <c r="V7513" s="42" t="s">
        <v>113</v>
      </c>
      <c r="W7513" s="42">
        <v>0</v>
      </c>
      <c r="X7513" s="42">
        <v>0</v>
      </c>
    </row>
    <row r="7514" spans="1:24">
      <c r="A7514" s="27" t="s">
        <v>13523</v>
      </c>
      <c r="B7514" s="28" t="s">
        <v>12240</v>
      </c>
      <c r="C7514" s="27" t="s">
        <v>13504</v>
      </c>
      <c r="D7514" s="27" t="s">
        <v>5104</v>
      </c>
      <c r="E7514" s="29">
        <v>41271</v>
      </c>
      <c r="F7514" s="27">
        <v>15</v>
      </c>
      <c r="G7514" s="18">
        <v>6501.77</v>
      </c>
      <c r="H7514" s="27">
        <f t="shared" si="234"/>
        <v>0</v>
      </c>
      <c r="I7514" s="18">
        <v>2926.99</v>
      </c>
      <c r="J7514" s="27">
        <v>6501.77</v>
      </c>
      <c r="K7514" s="18">
        <f t="shared" si="235"/>
        <v>0</v>
      </c>
      <c r="L7514" s="27">
        <v>3288.07</v>
      </c>
      <c r="M7514" s="36">
        <v>361.08</v>
      </c>
      <c r="T7514" s="41">
        <v>0</v>
      </c>
      <c r="U7514" s="41">
        <v>0</v>
      </c>
      <c r="V7514" s="42" t="s">
        <v>113</v>
      </c>
      <c r="W7514" s="42">
        <v>0</v>
      </c>
      <c r="X7514" s="42">
        <v>0</v>
      </c>
    </row>
    <row r="7515" spans="1:24">
      <c r="A7515" s="27" t="s">
        <v>13524</v>
      </c>
      <c r="B7515" s="28" t="s">
        <v>12240</v>
      </c>
      <c r="C7515" s="27" t="s">
        <v>13504</v>
      </c>
      <c r="D7515" s="27" t="s">
        <v>5104</v>
      </c>
      <c r="E7515" s="29">
        <v>41271</v>
      </c>
      <c r="F7515" s="27">
        <v>15</v>
      </c>
      <c r="G7515" s="18">
        <v>6501.6</v>
      </c>
      <c r="H7515" s="27">
        <f t="shared" si="234"/>
        <v>0</v>
      </c>
      <c r="I7515" s="18">
        <v>2926.9</v>
      </c>
      <c r="J7515" s="27">
        <v>6501.6</v>
      </c>
      <c r="K7515" s="18">
        <f t="shared" si="235"/>
        <v>0</v>
      </c>
      <c r="L7515" s="27">
        <v>3287.97</v>
      </c>
      <c r="M7515" s="36">
        <v>361.07</v>
      </c>
      <c r="T7515" s="41">
        <v>0</v>
      </c>
      <c r="U7515" s="41">
        <v>0</v>
      </c>
      <c r="V7515" s="42" t="s">
        <v>113</v>
      </c>
      <c r="W7515" s="42">
        <v>0</v>
      </c>
      <c r="X7515" s="42">
        <v>0</v>
      </c>
    </row>
    <row r="7516" spans="1:24">
      <c r="A7516" s="27" t="s">
        <v>13525</v>
      </c>
      <c r="B7516" s="28" t="s">
        <v>12240</v>
      </c>
      <c r="C7516" s="27" t="s">
        <v>13526</v>
      </c>
      <c r="D7516" s="27" t="s">
        <v>5104</v>
      </c>
      <c r="E7516" s="29">
        <v>41271</v>
      </c>
      <c r="F7516" s="27">
        <v>15</v>
      </c>
      <c r="G7516" s="18">
        <v>7069.44</v>
      </c>
      <c r="H7516" s="27">
        <f t="shared" si="234"/>
        <v>0</v>
      </c>
      <c r="I7516" s="18">
        <v>3083.72</v>
      </c>
      <c r="J7516" s="27">
        <v>7069.44</v>
      </c>
      <c r="K7516" s="18">
        <f t="shared" si="235"/>
        <v>0</v>
      </c>
      <c r="L7516" s="27">
        <v>3487.3</v>
      </c>
      <c r="M7516" s="36">
        <v>403.58</v>
      </c>
      <c r="T7516" s="41">
        <v>0</v>
      </c>
      <c r="U7516" s="41">
        <v>0</v>
      </c>
      <c r="V7516" s="42" t="s">
        <v>113</v>
      </c>
      <c r="W7516" s="42">
        <v>0</v>
      </c>
      <c r="X7516" s="42">
        <v>0</v>
      </c>
    </row>
    <row r="7517" spans="1:24">
      <c r="A7517" s="27" t="s">
        <v>13527</v>
      </c>
      <c r="B7517" s="28" t="s">
        <v>12240</v>
      </c>
      <c r="C7517" s="27" t="s">
        <v>13526</v>
      </c>
      <c r="D7517" s="27" t="s">
        <v>5104</v>
      </c>
      <c r="E7517" s="29">
        <v>41271</v>
      </c>
      <c r="F7517" s="27">
        <v>15</v>
      </c>
      <c r="G7517" s="18">
        <v>6494.61</v>
      </c>
      <c r="H7517" s="27">
        <f t="shared" si="234"/>
        <v>0</v>
      </c>
      <c r="I7517" s="18">
        <v>2919.88</v>
      </c>
      <c r="J7517" s="27">
        <v>6494.61</v>
      </c>
      <c r="K7517" s="18">
        <f t="shared" si="235"/>
        <v>0</v>
      </c>
      <c r="L7517" s="27">
        <v>3280.99</v>
      </c>
      <c r="M7517" s="36">
        <v>361.11</v>
      </c>
      <c r="T7517" s="41">
        <v>0</v>
      </c>
      <c r="U7517" s="41">
        <v>0</v>
      </c>
      <c r="V7517" s="42" t="s">
        <v>113</v>
      </c>
      <c r="W7517" s="42">
        <v>0</v>
      </c>
      <c r="X7517" s="42">
        <v>0</v>
      </c>
    </row>
    <row r="7518" spans="1:24">
      <c r="A7518" s="27" t="s">
        <v>13528</v>
      </c>
      <c r="B7518" s="28" t="s">
        <v>12240</v>
      </c>
      <c r="C7518" s="27" t="s">
        <v>13526</v>
      </c>
      <c r="D7518" s="27" t="s">
        <v>5104</v>
      </c>
      <c r="E7518" s="29">
        <v>41271</v>
      </c>
      <c r="F7518" s="27">
        <v>15</v>
      </c>
      <c r="G7518" s="18">
        <v>6494.61</v>
      </c>
      <c r="H7518" s="27">
        <f t="shared" si="234"/>
        <v>0</v>
      </c>
      <c r="I7518" s="18">
        <v>2919.89</v>
      </c>
      <c r="J7518" s="27">
        <v>6494.61</v>
      </c>
      <c r="K7518" s="18">
        <f t="shared" si="235"/>
        <v>0</v>
      </c>
      <c r="L7518" s="27">
        <v>3281</v>
      </c>
      <c r="M7518" s="36">
        <v>361.11</v>
      </c>
      <c r="T7518" s="41">
        <v>0</v>
      </c>
      <c r="U7518" s="41">
        <v>0</v>
      </c>
      <c r="V7518" s="42" t="s">
        <v>113</v>
      </c>
      <c r="W7518" s="42">
        <v>0</v>
      </c>
      <c r="X7518" s="42">
        <v>0</v>
      </c>
    </row>
    <row r="7519" spans="1:24">
      <c r="A7519" s="27" t="s">
        <v>13529</v>
      </c>
      <c r="B7519" s="28" t="s">
        <v>12240</v>
      </c>
      <c r="C7519" s="27" t="s">
        <v>13526</v>
      </c>
      <c r="D7519" s="27" t="s">
        <v>5104</v>
      </c>
      <c r="E7519" s="29">
        <v>41271</v>
      </c>
      <c r="F7519" s="27">
        <v>15</v>
      </c>
      <c r="G7519" s="18">
        <v>6494.61</v>
      </c>
      <c r="H7519" s="27">
        <f t="shared" si="234"/>
        <v>0</v>
      </c>
      <c r="I7519" s="18">
        <v>2919.88</v>
      </c>
      <c r="J7519" s="27">
        <v>6494.61</v>
      </c>
      <c r="K7519" s="18">
        <f t="shared" si="235"/>
        <v>0</v>
      </c>
      <c r="L7519" s="27">
        <v>3280.99</v>
      </c>
      <c r="M7519" s="36">
        <v>361.11</v>
      </c>
      <c r="T7519" s="41">
        <v>0</v>
      </c>
      <c r="U7519" s="41">
        <v>0</v>
      </c>
      <c r="V7519" s="42" t="s">
        <v>113</v>
      </c>
      <c r="W7519" s="42">
        <v>0</v>
      </c>
      <c r="X7519" s="42">
        <v>0</v>
      </c>
    </row>
    <row r="7520" spans="1:24">
      <c r="A7520" s="27" t="s">
        <v>13530</v>
      </c>
      <c r="B7520" s="28" t="s">
        <v>12240</v>
      </c>
      <c r="C7520" s="27" t="s">
        <v>13526</v>
      </c>
      <c r="D7520" s="27" t="s">
        <v>5104</v>
      </c>
      <c r="E7520" s="29">
        <v>41271</v>
      </c>
      <c r="F7520" s="27">
        <v>15</v>
      </c>
      <c r="G7520" s="18">
        <v>6494.61</v>
      </c>
      <c r="H7520" s="27">
        <f t="shared" si="234"/>
        <v>0</v>
      </c>
      <c r="I7520" s="18">
        <v>2919.89</v>
      </c>
      <c r="J7520" s="27">
        <v>6494.61</v>
      </c>
      <c r="K7520" s="18">
        <f t="shared" si="235"/>
        <v>0</v>
      </c>
      <c r="L7520" s="27">
        <v>3281</v>
      </c>
      <c r="M7520" s="36">
        <v>361.11</v>
      </c>
      <c r="T7520" s="41">
        <v>0</v>
      </c>
      <c r="U7520" s="41">
        <v>0</v>
      </c>
      <c r="V7520" s="42" t="s">
        <v>113</v>
      </c>
      <c r="W7520" s="42">
        <v>0</v>
      </c>
      <c r="X7520" s="42">
        <v>0</v>
      </c>
    </row>
    <row r="7521" spans="1:24">
      <c r="A7521" s="27" t="s">
        <v>13531</v>
      </c>
      <c r="B7521" s="28" t="s">
        <v>12240</v>
      </c>
      <c r="C7521" s="27" t="s">
        <v>13526</v>
      </c>
      <c r="D7521" s="27" t="s">
        <v>5104</v>
      </c>
      <c r="E7521" s="29">
        <v>41271</v>
      </c>
      <c r="F7521" s="27">
        <v>15</v>
      </c>
      <c r="G7521" s="18">
        <v>6494.61</v>
      </c>
      <c r="H7521" s="27">
        <f t="shared" si="234"/>
        <v>0</v>
      </c>
      <c r="I7521" s="18">
        <v>2919.88</v>
      </c>
      <c r="J7521" s="27">
        <v>6494.61</v>
      </c>
      <c r="K7521" s="18">
        <f t="shared" si="235"/>
        <v>0</v>
      </c>
      <c r="L7521" s="27">
        <v>3280.99</v>
      </c>
      <c r="M7521" s="36">
        <v>361.11</v>
      </c>
      <c r="T7521" s="41">
        <v>0</v>
      </c>
      <c r="U7521" s="41">
        <v>0</v>
      </c>
      <c r="V7521" s="42" t="s">
        <v>113</v>
      </c>
      <c r="W7521" s="42">
        <v>0</v>
      </c>
      <c r="X7521" s="42">
        <v>0</v>
      </c>
    </row>
    <row r="7522" spans="1:24">
      <c r="A7522" s="27" t="s">
        <v>13532</v>
      </c>
      <c r="B7522" s="28" t="s">
        <v>12240</v>
      </c>
      <c r="C7522" s="27" t="s">
        <v>13526</v>
      </c>
      <c r="D7522" s="27" t="s">
        <v>5104</v>
      </c>
      <c r="E7522" s="29">
        <v>41271</v>
      </c>
      <c r="F7522" s="27">
        <v>15</v>
      </c>
      <c r="G7522" s="18">
        <v>6494.61</v>
      </c>
      <c r="H7522" s="27">
        <f t="shared" si="234"/>
        <v>0</v>
      </c>
      <c r="I7522" s="18">
        <v>2919.89</v>
      </c>
      <c r="J7522" s="27">
        <v>6494.61</v>
      </c>
      <c r="K7522" s="18">
        <f t="shared" si="235"/>
        <v>0</v>
      </c>
      <c r="L7522" s="27">
        <v>3281</v>
      </c>
      <c r="M7522" s="36">
        <v>361.11</v>
      </c>
      <c r="T7522" s="41">
        <v>0</v>
      </c>
      <c r="U7522" s="41">
        <v>0</v>
      </c>
      <c r="V7522" s="42" t="s">
        <v>113</v>
      </c>
      <c r="W7522" s="42">
        <v>0</v>
      </c>
      <c r="X7522" s="42">
        <v>0</v>
      </c>
    </row>
    <row r="7523" spans="1:24">
      <c r="A7523" s="27" t="s">
        <v>13533</v>
      </c>
      <c r="B7523" s="28" t="s">
        <v>12240</v>
      </c>
      <c r="C7523" s="27" t="s">
        <v>13526</v>
      </c>
      <c r="D7523" s="27" t="s">
        <v>5104</v>
      </c>
      <c r="E7523" s="29">
        <v>41271</v>
      </c>
      <c r="F7523" s="27">
        <v>15</v>
      </c>
      <c r="G7523" s="18">
        <v>6494.61</v>
      </c>
      <c r="H7523" s="27">
        <f t="shared" si="234"/>
        <v>0</v>
      </c>
      <c r="I7523" s="18">
        <v>2919.88</v>
      </c>
      <c r="J7523" s="27">
        <v>6494.61</v>
      </c>
      <c r="K7523" s="18">
        <f t="shared" si="235"/>
        <v>0</v>
      </c>
      <c r="L7523" s="27">
        <v>3280.99</v>
      </c>
      <c r="M7523" s="36">
        <v>361.11</v>
      </c>
      <c r="T7523" s="41">
        <v>0</v>
      </c>
      <c r="U7523" s="41">
        <v>0</v>
      </c>
      <c r="V7523" s="42" t="s">
        <v>113</v>
      </c>
      <c r="W7523" s="42">
        <v>0</v>
      </c>
      <c r="X7523" s="42">
        <v>0</v>
      </c>
    </row>
    <row r="7524" spans="1:24">
      <c r="A7524" s="27" t="s">
        <v>13534</v>
      </c>
      <c r="B7524" s="28" t="s">
        <v>12240</v>
      </c>
      <c r="C7524" s="27" t="s">
        <v>13526</v>
      </c>
      <c r="D7524" s="27" t="s">
        <v>5104</v>
      </c>
      <c r="E7524" s="29">
        <v>41271</v>
      </c>
      <c r="F7524" s="27">
        <v>15</v>
      </c>
      <c r="G7524" s="18">
        <v>6494.61</v>
      </c>
      <c r="H7524" s="27">
        <f t="shared" si="234"/>
        <v>0</v>
      </c>
      <c r="I7524" s="18">
        <v>2919.89</v>
      </c>
      <c r="J7524" s="27">
        <v>6494.61</v>
      </c>
      <c r="K7524" s="18">
        <f t="shared" si="235"/>
        <v>0</v>
      </c>
      <c r="L7524" s="27">
        <v>3281</v>
      </c>
      <c r="M7524" s="36">
        <v>361.11</v>
      </c>
      <c r="T7524" s="41">
        <v>0</v>
      </c>
      <c r="U7524" s="41">
        <v>0</v>
      </c>
      <c r="V7524" s="42" t="s">
        <v>113</v>
      </c>
      <c r="W7524" s="42">
        <v>0</v>
      </c>
      <c r="X7524" s="42">
        <v>0</v>
      </c>
    </row>
    <row r="7525" spans="1:24">
      <c r="A7525" s="27" t="s">
        <v>13535</v>
      </c>
      <c r="B7525" s="28" t="s">
        <v>12240</v>
      </c>
      <c r="C7525" s="27" t="s">
        <v>13526</v>
      </c>
      <c r="D7525" s="27" t="s">
        <v>5104</v>
      </c>
      <c r="E7525" s="29">
        <v>41271</v>
      </c>
      <c r="F7525" s="27">
        <v>15</v>
      </c>
      <c r="G7525" s="18">
        <v>6494.61</v>
      </c>
      <c r="H7525" s="27">
        <f t="shared" si="234"/>
        <v>0</v>
      </c>
      <c r="I7525" s="18">
        <v>2919.88</v>
      </c>
      <c r="J7525" s="27">
        <v>6494.61</v>
      </c>
      <c r="K7525" s="18">
        <f t="shared" si="235"/>
        <v>0</v>
      </c>
      <c r="L7525" s="27">
        <v>3280.99</v>
      </c>
      <c r="M7525" s="36">
        <v>361.11</v>
      </c>
      <c r="T7525" s="41">
        <v>0</v>
      </c>
      <c r="U7525" s="41">
        <v>0</v>
      </c>
      <c r="V7525" s="42" t="s">
        <v>113</v>
      </c>
      <c r="W7525" s="42">
        <v>0</v>
      </c>
      <c r="X7525" s="42">
        <v>0</v>
      </c>
    </row>
    <row r="7526" spans="1:24">
      <c r="A7526" s="27" t="s">
        <v>13536</v>
      </c>
      <c r="B7526" s="28" t="s">
        <v>12240</v>
      </c>
      <c r="C7526" s="27" t="s">
        <v>13526</v>
      </c>
      <c r="D7526" s="27" t="s">
        <v>5104</v>
      </c>
      <c r="E7526" s="29">
        <v>41271</v>
      </c>
      <c r="F7526" s="27">
        <v>15</v>
      </c>
      <c r="G7526" s="18">
        <v>6494.61</v>
      </c>
      <c r="H7526" s="27">
        <f t="shared" si="234"/>
        <v>0</v>
      </c>
      <c r="I7526" s="18">
        <v>2919.89</v>
      </c>
      <c r="J7526" s="27">
        <v>6494.61</v>
      </c>
      <c r="K7526" s="18">
        <f t="shared" si="235"/>
        <v>0</v>
      </c>
      <c r="L7526" s="27">
        <v>3281</v>
      </c>
      <c r="M7526" s="36">
        <v>361.11</v>
      </c>
      <c r="T7526" s="41">
        <v>0</v>
      </c>
      <c r="U7526" s="41">
        <v>0</v>
      </c>
      <c r="V7526" s="42" t="s">
        <v>113</v>
      </c>
      <c r="W7526" s="42">
        <v>0</v>
      </c>
      <c r="X7526" s="42">
        <v>0</v>
      </c>
    </row>
    <row r="7527" spans="1:24">
      <c r="A7527" s="27" t="s">
        <v>13537</v>
      </c>
      <c r="B7527" s="28" t="s">
        <v>12240</v>
      </c>
      <c r="C7527" s="27" t="s">
        <v>13526</v>
      </c>
      <c r="D7527" s="27" t="s">
        <v>5104</v>
      </c>
      <c r="E7527" s="29">
        <v>41271</v>
      </c>
      <c r="F7527" s="27">
        <v>15</v>
      </c>
      <c r="G7527" s="18">
        <v>6494.61</v>
      </c>
      <c r="H7527" s="27">
        <f t="shared" si="234"/>
        <v>0</v>
      </c>
      <c r="I7527" s="18">
        <v>2919.88</v>
      </c>
      <c r="J7527" s="27">
        <v>6494.61</v>
      </c>
      <c r="K7527" s="18">
        <f t="shared" si="235"/>
        <v>0</v>
      </c>
      <c r="L7527" s="27">
        <v>3280.99</v>
      </c>
      <c r="M7527" s="36">
        <v>361.11</v>
      </c>
      <c r="T7527" s="41">
        <v>0</v>
      </c>
      <c r="U7527" s="41">
        <v>0</v>
      </c>
      <c r="V7527" s="42" t="s">
        <v>113</v>
      </c>
      <c r="W7527" s="42">
        <v>0</v>
      </c>
      <c r="X7527" s="42">
        <v>0</v>
      </c>
    </row>
    <row r="7528" spans="1:24">
      <c r="A7528" s="27" t="s">
        <v>13538</v>
      </c>
      <c r="B7528" s="28" t="s">
        <v>12240</v>
      </c>
      <c r="C7528" s="27" t="s">
        <v>13526</v>
      </c>
      <c r="D7528" s="27" t="s">
        <v>5104</v>
      </c>
      <c r="E7528" s="29">
        <v>41271</v>
      </c>
      <c r="F7528" s="27">
        <v>15</v>
      </c>
      <c r="G7528" s="18">
        <v>6494.61</v>
      </c>
      <c r="H7528" s="27">
        <f t="shared" si="234"/>
        <v>0</v>
      </c>
      <c r="I7528" s="18">
        <v>2919.89</v>
      </c>
      <c r="J7528" s="27">
        <v>6494.61</v>
      </c>
      <c r="K7528" s="18">
        <f t="shared" si="235"/>
        <v>0</v>
      </c>
      <c r="L7528" s="27">
        <v>3281</v>
      </c>
      <c r="M7528" s="36">
        <v>361.11</v>
      </c>
      <c r="T7528" s="41">
        <v>0</v>
      </c>
      <c r="U7528" s="41">
        <v>0</v>
      </c>
      <c r="V7528" s="42" t="s">
        <v>113</v>
      </c>
      <c r="W7528" s="42">
        <v>0</v>
      </c>
      <c r="X7528" s="42">
        <v>0</v>
      </c>
    </row>
    <row r="7529" spans="1:24">
      <c r="A7529" s="27" t="s">
        <v>13539</v>
      </c>
      <c r="B7529" s="28" t="s">
        <v>12240</v>
      </c>
      <c r="C7529" s="27" t="s">
        <v>13526</v>
      </c>
      <c r="D7529" s="27" t="s">
        <v>5104</v>
      </c>
      <c r="E7529" s="29">
        <v>41271</v>
      </c>
      <c r="F7529" s="27">
        <v>15</v>
      </c>
      <c r="G7529" s="18">
        <v>6494.61</v>
      </c>
      <c r="H7529" s="27">
        <f t="shared" si="234"/>
        <v>0</v>
      </c>
      <c r="I7529" s="18">
        <v>2919.88</v>
      </c>
      <c r="J7529" s="27">
        <v>6494.61</v>
      </c>
      <c r="K7529" s="18">
        <f t="shared" si="235"/>
        <v>0</v>
      </c>
      <c r="L7529" s="27">
        <v>3280.99</v>
      </c>
      <c r="M7529" s="36">
        <v>361.11</v>
      </c>
      <c r="T7529" s="41">
        <v>0</v>
      </c>
      <c r="U7529" s="41">
        <v>0</v>
      </c>
      <c r="V7529" s="42" t="s">
        <v>113</v>
      </c>
      <c r="W7529" s="42">
        <v>0</v>
      </c>
      <c r="X7529" s="42">
        <v>0</v>
      </c>
    </row>
    <row r="7530" spans="1:24">
      <c r="A7530" s="27" t="s">
        <v>13540</v>
      </c>
      <c r="B7530" s="28" t="s">
        <v>12240</v>
      </c>
      <c r="C7530" s="27" t="s">
        <v>13526</v>
      </c>
      <c r="D7530" s="27" t="s">
        <v>5104</v>
      </c>
      <c r="E7530" s="29">
        <v>41271</v>
      </c>
      <c r="F7530" s="27">
        <v>15</v>
      </c>
      <c r="G7530" s="18">
        <v>6494.61</v>
      </c>
      <c r="H7530" s="27">
        <f t="shared" si="234"/>
        <v>0</v>
      </c>
      <c r="I7530" s="18">
        <v>2919.89</v>
      </c>
      <c r="J7530" s="27">
        <v>6494.61</v>
      </c>
      <c r="K7530" s="18">
        <f t="shared" si="235"/>
        <v>0</v>
      </c>
      <c r="L7530" s="27">
        <v>3281</v>
      </c>
      <c r="M7530" s="36">
        <v>361.11</v>
      </c>
      <c r="T7530" s="41">
        <v>0</v>
      </c>
      <c r="U7530" s="41">
        <v>0</v>
      </c>
      <c r="V7530" s="42" t="s">
        <v>113</v>
      </c>
      <c r="W7530" s="42">
        <v>0</v>
      </c>
      <c r="X7530" s="42">
        <v>0</v>
      </c>
    </row>
    <row r="7531" spans="1:24">
      <c r="A7531" s="27" t="s">
        <v>13541</v>
      </c>
      <c r="B7531" s="28" t="s">
        <v>12240</v>
      </c>
      <c r="C7531" s="27" t="s">
        <v>13526</v>
      </c>
      <c r="D7531" s="27" t="s">
        <v>5104</v>
      </c>
      <c r="E7531" s="29">
        <v>41271</v>
      </c>
      <c r="F7531" s="27">
        <v>15</v>
      </c>
      <c r="G7531" s="18">
        <v>6494.61</v>
      </c>
      <c r="H7531" s="27">
        <f t="shared" si="234"/>
        <v>0</v>
      </c>
      <c r="I7531" s="18">
        <v>2919.88</v>
      </c>
      <c r="J7531" s="27">
        <v>6494.61</v>
      </c>
      <c r="K7531" s="18">
        <f t="shared" si="235"/>
        <v>0</v>
      </c>
      <c r="L7531" s="27">
        <v>3280.99</v>
      </c>
      <c r="M7531" s="36">
        <v>361.11</v>
      </c>
      <c r="T7531" s="41">
        <v>0</v>
      </c>
      <c r="U7531" s="41">
        <v>0</v>
      </c>
      <c r="V7531" s="42" t="s">
        <v>113</v>
      </c>
      <c r="W7531" s="42">
        <v>0</v>
      </c>
      <c r="X7531" s="42">
        <v>0</v>
      </c>
    </row>
    <row r="7532" spans="1:24">
      <c r="A7532" s="27" t="s">
        <v>13542</v>
      </c>
      <c r="B7532" s="28" t="s">
        <v>12240</v>
      </c>
      <c r="C7532" s="27" t="s">
        <v>13526</v>
      </c>
      <c r="D7532" s="27" t="s">
        <v>5104</v>
      </c>
      <c r="E7532" s="29">
        <v>41271</v>
      </c>
      <c r="F7532" s="27">
        <v>15</v>
      </c>
      <c r="G7532" s="18">
        <v>6494.62</v>
      </c>
      <c r="H7532" s="27">
        <f t="shared" si="234"/>
        <v>0</v>
      </c>
      <c r="I7532" s="18">
        <v>2919.89</v>
      </c>
      <c r="J7532" s="27">
        <v>6494.62</v>
      </c>
      <c r="K7532" s="18">
        <f t="shared" si="235"/>
        <v>0</v>
      </c>
      <c r="L7532" s="27">
        <v>3281</v>
      </c>
      <c r="M7532" s="36">
        <v>361.11</v>
      </c>
      <c r="T7532" s="41">
        <v>0</v>
      </c>
      <c r="U7532" s="41">
        <v>0</v>
      </c>
      <c r="V7532" s="42" t="s">
        <v>113</v>
      </c>
      <c r="W7532" s="42">
        <v>0</v>
      </c>
      <c r="X7532" s="42">
        <v>0</v>
      </c>
    </row>
    <row r="7533" spans="1:24">
      <c r="A7533" s="27" t="s">
        <v>13543</v>
      </c>
      <c r="B7533" s="28" t="s">
        <v>12240</v>
      </c>
      <c r="C7533" s="27" t="s">
        <v>13544</v>
      </c>
      <c r="D7533" s="27" t="s">
        <v>230</v>
      </c>
      <c r="E7533" s="29">
        <v>40908</v>
      </c>
      <c r="F7533" s="27">
        <v>15</v>
      </c>
      <c r="G7533" s="18">
        <v>21388.29</v>
      </c>
      <c r="H7533" s="27">
        <f t="shared" si="234"/>
        <v>0</v>
      </c>
      <c r="I7533" s="18">
        <v>11530.04</v>
      </c>
      <c r="J7533" s="27">
        <v>21388.29</v>
      </c>
      <c r="K7533" s="18">
        <f t="shared" si="235"/>
        <v>0</v>
      </c>
      <c r="L7533" s="27">
        <v>12628.65</v>
      </c>
      <c r="M7533" s="36">
        <v>1098.6099999999999</v>
      </c>
      <c r="T7533" s="41">
        <v>0</v>
      </c>
      <c r="U7533" s="41">
        <v>0</v>
      </c>
      <c r="V7533" s="42" t="s">
        <v>113</v>
      </c>
      <c r="W7533" s="42">
        <v>0</v>
      </c>
      <c r="X7533" s="42">
        <v>0</v>
      </c>
    </row>
    <row r="7534" spans="1:24">
      <c r="A7534" s="27" t="s">
        <v>13545</v>
      </c>
      <c r="B7534" s="28" t="s">
        <v>12240</v>
      </c>
      <c r="C7534" s="27" t="s">
        <v>13546</v>
      </c>
      <c r="D7534" s="27" t="s">
        <v>230</v>
      </c>
      <c r="E7534" s="29">
        <v>40908</v>
      </c>
      <c r="F7534" s="27">
        <v>15</v>
      </c>
      <c r="G7534" s="18">
        <v>21388.29</v>
      </c>
      <c r="H7534" s="27">
        <f t="shared" si="234"/>
        <v>0</v>
      </c>
      <c r="I7534" s="18">
        <v>11530.04</v>
      </c>
      <c r="J7534" s="27">
        <v>21388.29</v>
      </c>
      <c r="K7534" s="18">
        <f t="shared" si="235"/>
        <v>0</v>
      </c>
      <c r="L7534" s="27">
        <v>12628.65</v>
      </c>
      <c r="M7534" s="36">
        <v>1098.6099999999999</v>
      </c>
      <c r="T7534" s="41">
        <v>0</v>
      </c>
      <c r="U7534" s="41">
        <v>0</v>
      </c>
      <c r="V7534" s="42" t="s">
        <v>113</v>
      </c>
      <c r="W7534" s="42">
        <v>0</v>
      </c>
      <c r="X7534" s="42">
        <v>0</v>
      </c>
    </row>
    <row r="7535" spans="1:24">
      <c r="A7535" s="27" t="s">
        <v>13547</v>
      </c>
      <c r="B7535" s="28" t="s">
        <v>12240</v>
      </c>
      <c r="C7535" s="27" t="s">
        <v>13548</v>
      </c>
      <c r="D7535" s="27" t="s">
        <v>230</v>
      </c>
      <c r="E7535" s="29">
        <v>40908</v>
      </c>
      <c r="F7535" s="27">
        <v>15</v>
      </c>
      <c r="G7535" s="18">
        <v>21388.29</v>
      </c>
      <c r="H7535" s="27">
        <f t="shared" si="234"/>
        <v>0</v>
      </c>
      <c r="I7535" s="18">
        <v>11530.04</v>
      </c>
      <c r="J7535" s="27">
        <v>21388.29</v>
      </c>
      <c r="K7535" s="18">
        <f t="shared" si="235"/>
        <v>0</v>
      </c>
      <c r="L7535" s="27">
        <v>12628.65</v>
      </c>
      <c r="M7535" s="36">
        <v>1098.6099999999999</v>
      </c>
      <c r="T7535" s="41">
        <v>0</v>
      </c>
      <c r="U7535" s="41">
        <v>0</v>
      </c>
      <c r="V7535" s="42" t="s">
        <v>113</v>
      </c>
      <c r="W7535" s="42">
        <v>0</v>
      </c>
      <c r="X7535" s="42">
        <v>0</v>
      </c>
    </row>
    <row r="7536" spans="1:24">
      <c r="A7536" s="27" t="s">
        <v>13549</v>
      </c>
      <c r="B7536" s="28" t="s">
        <v>12240</v>
      </c>
      <c r="C7536" s="27" t="s">
        <v>13550</v>
      </c>
      <c r="D7536" s="27" t="s">
        <v>230</v>
      </c>
      <c r="E7536" s="29">
        <v>40908</v>
      </c>
      <c r="F7536" s="27">
        <v>15</v>
      </c>
      <c r="G7536" s="18">
        <v>21388.29</v>
      </c>
      <c r="H7536" s="27">
        <f t="shared" si="234"/>
        <v>0</v>
      </c>
      <c r="I7536" s="18">
        <v>11530.04</v>
      </c>
      <c r="J7536" s="27">
        <v>21388.29</v>
      </c>
      <c r="K7536" s="18">
        <f t="shared" si="235"/>
        <v>0</v>
      </c>
      <c r="L7536" s="27">
        <v>12628.65</v>
      </c>
      <c r="M7536" s="36">
        <v>1098.6099999999999</v>
      </c>
      <c r="T7536" s="41">
        <v>0</v>
      </c>
      <c r="U7536" s="41">
        <v>0</v>
      </c>
      <c r="V7536" s="42" t="s">
        <v>113</v>
      </c>
      <c r="W7536" s="42">
        <v>0</v>
      </c>
      <c r="X7536" s="42">
        <v>0</v>
      </c>
    </row>
    <row r="7537" spans="1:24">
      <c r="A7537" s="27" t="s">
        <v>13551</v>
      </c>
      <c r="B7537" s="28" t="s">
        <v>12240</v>
      </c>
      <c r="C7537" s="27" t="s">
        <v>13552</v>
      </c>
      <c r="D7537" s="27" t="s">
        <v>230</v>
      </c>
      <c r="E7537" s="29">
        <v>40908</v>
      </c>
      <c r="F7537" s="27">
        <v>15</v>
      </c>
      <c r="G7537" s="18">
        <v>21388.29</v>
      </c>
      <c r="H7537" s="27">
        <f t="shared" si="234"/>
        <v>0</v>
      </c>
      <c r="I7537" s="18">
        <v>11530.03</v>
      </c>
      <c r="J7537" s="27">
        <v>21388.29</v>
      </c>
      <c r="K7537" s="18">
        <f t="shared" si="235"/>
        <v>0</v>
      </c>
      <c r="L7537" s="27">
        <v>12628.64</v>
      </c>
      <c r="M7537" s="36">
        <v>1098.6099999999999</v>
      </c>
      <c r="T7537" s="41">
        <v>0</v>
      </c>
      <c r="U7537" s="41">
        <v>0</v>
      </c>
      <c r="V7537" s="42" t="s">
        <v>113</v>
      </c>
      <c r="W7537" s="42">
        <v>0</v>
      </c>
      <c r="X7537" s="42">
        <v>0</v>
      </c>
    </row>
    <row r="7538" spans="1:24">
      <c r="A7538" s="27" t="s">
        <v>13553</v>
      </c>
      <c r="B7538" s="28" t="s">
        <v>12240</v>
      </c>
      <c r="C7538" s="27" t="s">
        <v>13554</v>
      </c>
      <c r="D7538" s="27" t="s">
        <v>230</v>
      </c>
      <c r="E7538" s="29">
        <v>40908</v>
      </c>
      <c r="F7538" s="27">
        <v>15</v>
      </c>
      <c r="G7538" s="18">
        <v>21388.29</v>
      </c>
      <c r="H7538" s="27">
        <f t="shared" si="234"/>
        <v>0</v>
      </c>
      <c r="I7538" s="18">
        <v>11530.04</v>
      </c>
      <c r="J7538" s="27">
        <v>21388.29</v>
      </c>
      <c r="K7538" s="18">
        <f t="shared" si="235"/>
        <v>0</v>
      </c>
      <c r="L7538" s="27">
        <v>12628.65</v>
      </c>
      <c r="M7538" s="36">
        <v>1098.6099999999999</v>
      </c>
      <c r="T7538" s="41">
        <v>0</v>
      </c>
      <c r="U7538" s="41">
        <v>0</v>
      </c>
      <c r="V7538" s="42" t="s">
        <v>113</v>
      </c>
      <c r="W7538" s="42">
        <v>0</v>
      </c>
      <c r="X7538" s="42">
        <v>0</v>
      </c>
    </row>
    <row r="7539" spans="1:24">
      <c r="A7539" s="27" t="s">
        <v>13555</v>
      </c>
      <c r="B7539" s="28" t="s">
        <v>12240</v>
      </c>
      <c r="C7539" s="27" t="s">
        <v>13556</v>
      </c>
      <c r="D7539" s="27" t="s">
        <v>230</v>
      </c>
      <c r="E7539" s="29">
        <v>40908</v>
      </c>
      <c r="F7539" s="27">
        <v>15</v>
      </c>
      <c r="G7539" s="18">
        <v>78739.429999999993</v>
      </c>
      <c r="H7539" s="27">
        <f t="shared" si="234"/>
        <v>0</v>
      </c>
      <c r="I7539" s="18">
        <v>35921.269999999997</v>
      </c>
      <c r="J7539" s="27">
        <v>78739.429999999993</v>
      </c>
      <c r="K7539" s="18">
        <f t="shared" si="235"/>
        <v>0</v>
      </c>
      <c r="L7539" s="27">
        <v>40781.42</v>
      </c>
      <c r="M7539" s="36">
        <v>4860.1499999999996</v>
      </c>
      <c r="T7539" s="41">
        <v>0</v>
      </c>
      <c r="U7539" s="41">
        <v>0</v>
      </c>
      <c r="V7539" s="42" t="s">
        <v>113</v>
      </c>
      <c r="W7539" s="42">
        <v>0</v>
      </c>
      <c r="X7539" s="42">
        <v>0</v>
      </c>
    </row>
    <row r="7540" spans="1:24">
      <c r="A7540" s="27" t="s">
        <v>13557</v>
      </c>
      <c r="B7540" s="28" t="s">
        <v>12240</v>
      </c>
      <c r="C7540" s="27" t="s">
        <v>13558</v>
      </c>
      <c r="D7540" s="27" t="s">
        <v>230</v>
      </c>
      <c r="E7540" s="29">
        <v>40908</v>
      </c>
      <c r="F7540" s="27">
        <v>15</v>
      </c>
      <c r="G7540" s="18">
        <v>21388.3</v>
      </c>
      <c r="H7540" s="27">
        <f t="shared" si="234"/>
        <v>0</v>
      </c>
      <c r="I7540" s="18">
        <v>11530.04</v>
      </c>
      <c r="J7540" s="27">
        <v>21388.3</v>
      </c>
      <c r="K7540" s="18">
        <f t="shared" si="235"/>
        <v>0</v>
      </c>
      <c r="L7540" s="27">
        <v>12628.65</v>
      </c>
      <c r="M7540" s="36">
        <v>1098.6099999999999</v>
      </c>
      <c r="T7540" s="41">
        <v>0</v>
      </c>
      <c r="U7540" s="41">
        <v>0</v>
      </c>
      <c r="V7540" s="42" t="s">
        <v>113</v>
      </c>
      <c r="W7540" s="42">
        <v>0</v>
      </c>
      <c r="X7540" s="42">
        <v>0</v>
      </c>
    </row>
    <row r="7541" spans="1:24">
      <c r="A7541" s="27" t="s">
        <v>13559</v>
      </c>
      <c r="B7541" s="28" t="s">
        <v>12240</v>
      </c>
      <c r="C7541" s="27" t="s">
        <v>13560</v>
      </c>
      <c r="D7541" s="27" t="s">
        <v>5104</v>
      </c>
      <c r="E7541" s="29">
        <v>40908</v>
      </c>
      <c r="F7541" s="27">
        <v>15</v>
      </c>
      <c r="G7541" s="18">
        <v>5157.09</v>
      </c>
      <c r="H7541" s="27">
        <f t="shared" si="234"/>
        <v>0</v>
      </c>
      <c r="I7541" s="18">
        <v>2778.52</v>
      </c>
      <c r="J7541" s="27">
        <v>5157.09</v>
      </c>
      <c r="K7541" s="18">
        <f t="shared" si="235"/>
        <v>0</v>
      </c>
      <c r="L7541" s="27">
        <v>3043.61</v>
      </c>
      <c r="M7541" s="36">
        <v>265.08999999999997</v>
      </c>
      <c r="T7541" s="41">
        <v>0</v>
      </c>
      <c r="U7541" s="41">
        <v>0</v>
      </c>
      <c r="V7541" s="42" t="s">
        <v>113</v>
      </c>
      <c r="W7541" s="42">
        <v>0</v>
      </c>
      <c r="X7541" s="42">
        <v>0</v>
      </c>
    </row>
    <row r="7542" spans="1:24">
      <c r="A7542" s="27" t="s">
        <v>13561</v>
      </c>
      <c r="B7542" s="28" t="s">
        <v>12240</v>
      </c>
      <c r="C7542" s="27" t="s">
        <v>13562</v>
      </c>
      <c r="D7542" s="27" t="s">
        <v>5104</v>
      </c>
      <c r="E7542" s="29">
        <v>40908</v>
      </c>
      <c r="F7542" s="27">
        <v>15</v>
      </c>
      <c r="G7542" s="18">
        <v>5157.09</v>
      </c>
      <c r="H7542" s="27">
        <f t="shared" si="234"/>
        <v>0</v>
      </c>
      <c r="I7542" s="18">
        <v>2778.52</v>
      </c>
      <c r="J7542" s="27">
        <v>5157.09</v>
      </c>
      <c r="K7542" s="18">
        <f t="shared" si="235"/>
        <v>0</v>
      </c>
      <c r="L7542" s="27">
        <v>3043.61</v>
      </c>
      <c r="M7542" s="36">
        <v>265.08999999999997</v>
      </c>
      <c r="T7542" s="41">
        <v>0</v>
      </c>
      <c r="U7542" s="41">
        <v>0</v>
      </c>
      <c r="V7542" s="42" t="s">
        <v>113</v>
      </c>
      <c r="W7542" s="42">
        <v>0</v>
      </c>
      <c r="X7542" s="42">
        <v>0</v>
      </c>
    </row>
    <row r="7543" spans="1:24">
      <c r="A7543" s="27" t="s">
        <v>13563</v>
      </c>
      <c r="B7543" s="28" t="s">
        <v>12240</v>
      </c>
      <c r="C7543" s="27" t="s">
        <v>13564</v>
      </c>
      <c r="D7543" s="27" t="s">
        <v>5104</v>
      </c>
      <c r="E7543" s="29">
        <v>40908</v>
      </c>
      <c r="F7543" s="27">
        <v>15</v>
      </c>
      <c r="G7543" s="18">
        <v>5157.09</v>
      </c>
      <c r="H7543" s="27">
        <f t="shared" si="234"/>
        <v>0</v>
      </c>
      <c r="I7543" s="18">
        <v>2778.52</v>
      </c>
      <c r="J7543" s="27">
        <v>5157.09</v>
      </c>
      <c r="K7543" s="18">
        <f t="shared" si="235"/>
        <v>0</v>
      </c>
      <c r="L7543" s="27">
        <v>3043.61</v>
      </c>
      <c r="M7543" s="36">
        <v>265.08999999999997</v>
      </c>
      <c r="T7543" s="41">
        <v>0</v>
      </c>
      <c r="U7543" s="41">
        <v>0</v>
      </c>
      <c r="V7543" s="42" t="s">
        <v>113</v>
      </c>
      <c r="W7543" s="42">
        <v>0</v>
      </c>
      <c r="X7543" s="42">
        <v>0</v>
      </c>
    </row>
    <row r="7544" spans="1:24">
      <c r="A7544" s="27" t="s">
        <v>13565</v>
      </c>
      <c r="B7544" s="28" t="s">
        <v>12240</v>
      </c>
      <c r="C7544" s="27" t="s">
        <v>13566</v>
      </c>
      <c r="D7544" s="27" t="s">
        <v>5104</v>
      </c>
      <c r="E7544" s="29">
        <v>40908</v>
      </c>
      <c r="F7544" s="27">
        <v>15</v>
      </c>
      <c r="G7544" s="18">
        <v>5157.09</v>
      </c>
      <c r="H7544" s="27">
        <f t="shared" si="234"/>
        <v>0</v>
      </c>
      <c r="I7544" s="18">
        <v>2778.52</v>
      </c>
      <c r="J7544" s="27">
        <v>5157.09</v>
      </c>
      <c r="K7544" s="18">
        <f t="shared" si="235"/>
        <v>0</v>
      </c>
      <c r="L7544" s="27">
        <v>3043.61</v>
      </c>
      <c r="M7544" s="36">
        <v>265.08999999999997</v>
      </c>
      <c r="T7544" s="41">
        <v>0</v>
      </c>
      <c r="U7544" s="41">
        <v>0</v>
      </c>
      <c r="V7544" s="42" t="s">
        <v>113</v>
      </c>
      <c r="W7544" s="42">
        <v>0</v>
      </c>
      <c r="X7544" s="42">
        <v>0</v>
      </c>
    </row>
    <row r="7545" spans="1:24">
      <c r="A7545" s="27" t="s">
        <v>13567</v>
      </c>
      <c r="B7545" s="28" t="s">
        <v>12240</v>
      </c>
      <c r="C7545" s="27" t="s">
        <v>13568</v>
      </c>
      <c r="D7545" s="27" t="s">
        <v>5104</v>
      </c>
      <c r="E7545" s="29">
        <v>40908</v>
      </c>
      <c r="F7545" s="27">
        <v>15</v>
      </c>
      <c r="G7545" s="18">
        <v>5157.09</v>
      </c>
      <c r="H7545" s="27">
        <f t="shared" si="234"/>
        <v>0</v>
      </c>
      <c r="I7545" s="18">
        <v>2778.52</v>
      </c>
      <c r="J7545" s="27">
        <v>5157.09</v>
      </c>
      <c r="K7545" s="18">
        <f t="shared" si="235"/>
        <v>0</v>
      </c>
      <c r="L7545" s="27">
        <v>3043.61</v>
      </c>
      <c r="M7545" s="36">
        <v>265.08999999999997</v>
      </c>
      <c r="T7545" s="41">
        <v>0</v>
      </c>
      <c r="U7545" s="41">
        <v>0</v>
      </c>
      <c r="V7545" s="42" t="s">
        <v>113</v>
      </c>
      <c r="W7545" s="42">
        <v>0</v>
      </c>
      <c r="X7545" s="42">
        <v>0</v>
      </c>
    </row>
    <row r="7546" spans="1:24">
      <c r="A7546" s="27" t="s">
        <v>13569</v>
      </c>
      <c r="B7546" s="28" t="s">
        <v>12240</v>
      </c>
      <c r="C7546" s="27" t="s">
        <v>13570</v>
      </c>
      <c r="D7546" s="27" t="s">
        <v>5104</v>
      </c>
      <c r="E7546" s="29">
        <v>40908</v>
      </c>
      <c r="F7546" s="27">
        <v>15</v>
      </c>
      <c r="G7546" s="18">
        <v>5157.09</v>
      </c>
      <c r="H7546" s="27">
        <f t="shared" si="234"/>
        <v>0</v>
      </c>
      <c r="I7546" s="18">
        <v>2778.52</v>
      </c>
      <c r="J7546" s="27">
        <v>5157.09</v>
      </c>
      <c r="K7546" s="18">
        <f t="shared" si="235"/>
        <v>0</v>
      </c>
      <c r="L7546" s="27">
        <v>3043.61</v>
      </c>
      <c r="M7546" s="36">
        <v>265.08999999999997</v>
      </c>
      <c r="T7546" s="41">
        <v>0</v>
      </c>
      <c r="U7546" s="41">
        <v>0</v>
      </c>
      <c r="V7546" s="42" t="s">
        <v>113</v>
      </c>
      <c r="W7546" s="42">
        <v>0</v>
      </c>
      <c r="X7546" s="42">
        <v>0</v>
      </c>
    </row>
    <row r="7547" spans="1:24">
      <c r="A7547" s="27" t="s">
        <v>13571</v>
      </c>
      <c r="B7547" s="28" t="s">
        <v>12240</v>
      </c>
      <c r="C7547" s="27" t="s">
        <v>13572</v>
      </c>
      <c r="D7547" s="27" t="s">
        <v>5104</v>
      </c>
      <c r="E7547" s="29">
        <v>40908</v>
      </c>
      <c r="F7547" s="27">
        <v>15</v>
      </c>
      <c r="G7547" s="18">
        <v>5157.09</v>
      </c>
      <c r="H7547" s="27">
        <f t="shared" si="234"/>
        <v>0</v>
      </c>
      <c r="I7547" s="18">
        <v>2778.52</v>
      </c>
      <c r="J7547" s="27">
        <v>5157.09</v>
      </c>
      <c r="K7547" s="18">
        <f t="shared" si="235"/>
        <v>0</v>
      </c>
      <c r="L7547" s="27">
        <v>3043.61</v>
      </c>
      <c r="M7547" s="36">
        <v>265.08999999999997</v>
      </c>
      <c r="T7547" s="41">
        <v>0</v>
      </c>
      <c r="U7547" s="41">
        <v>0</v>
      </c>
      <c r="V7547" s="42" t="s">
        <v>113</v>
      </c>
      <c r="W7547" s="42">
        <v>0</v>
      </c>
      <c r="X7547" s="42">
        <v>0</v>
      </c>
    </row>
    <row r="7548" spans="1:24">
      <c r="A7548" s="27" t="s">
        <v>13573</v>
      </c>
      <c r="B7548" s="28" t="s">
        <v>12240</v>
      </c>
      <c r="C7548" s="27" t="s">
        <v>13574</v>
      </c>
      <c r="D7548" s="27" t="s">
        <v>5104</v>
      </c>
      <c r="E7548" s="29">
        <v>40908</v>
      </c>
      <c r="F7548" s="27">
        <v>15</v>
      </c>
      <c r="G7548" s="18">
        <v>5157.09</v>
      </c>
      <c r="H7548" s="27">
        <f t="shared" si="234"/>
        <v>0</v>
      </c>
      <c r="I7548" s="18">
        <v>2778.52</v>
      </c>
      <c r="J7548" s="27">
        <v>5157.09</v>
      </c>
      <c r="K7548" s="18">
        <f t="shared" si="235"/>
        <v>0</v>
      </c>
      <c r="L7548" s="27">
        <v>3043.61</v>
      </c>
      <c r="M7548" s="36">
        <v>265.08999999999997</v>
      </c>
      <c r="T7548" s="41">
        <v>0</v>
      </c>
      <c r="U7548" s="41">
        <v>0</v>
      </c>
      <c r="V7548" s="42" t="s">
        <v>113</v>
      </c>
      <c r="W7548" s="42">
        <v>0</v>
      </c>
      <c r="X7548" s="42">
        <v>0</v>
      </c>
    </row>
    <row r="7549" spans="1:24">
      <c r="A7549" s="27" t="s">
        <v>13575</v>
      </c>
      <c r="B7549" s="28" t="s">
        <v>12240</v>
      </c>
      <c r="C7549" s="27" t="s">
        <v>13576</v>
      </c>
      <c r="D7549" s="27" t="s">
        <v>5104</v>
      </c>
      <c r="E7549" s="29">
        <v>40908</v>
      </c>
      <c r="F7549" s="27">
        <v>15</v>
      </c>
      <c r="G7549" s="18">
        <v>5157.09</v>
      </c>
      <c r="H7549" s="27">
        <f t="shared" si="234"/>
        <v>0</v>
      </c>
      <c r="I7549" s="18">
        <v>2778.52</v>
      </c>
      <c r="J7549" s="27">
        <v>5157.09</v>
      </c>
      <c r="K7549" s="18">
        <f t="shared" si="235"/>
        <v>0</v>
      </c>
      <c r="L7549" s="27">
        <v>3043.61</v>
      </c>
      <c r="M7549" s="36">
        <v>265.08999999999997</v>
      </c>
      <c r="T7549" s="41">
        <v>0</v>
      </c>
      <c r="U7549" s="41">
        <v>0</v>
      </c>
      <c r="V7549" s="42" t="s">
        <v>113</v>
      </c>
      <c r="W7549" s="42">
        <v>0</v>
      </c>
      <c r="X7549" s="42">
        <v>0</v>
      </c>
    </row>
    <row r="7550" spans="1:24">
      <c r="A7550" s="27" t="s">
        <v>13577</v>
      </c>
      <c r="B7550" s="28" t="s">
        <v>12240</v>
      </c>
      <c r="C7550" s="27" t="s">
        <v>13578</v>
      </c>
      <c r="D7550" s="27" t="s">
        <v>5104</v>
      </c>
      <c r="E7550" s="29">
        <v>40908</v>
      </c>
      <c r="F7550" s="27">
        <v>15</v>
      </c>
      <c r="G7550" s="18">
        <v>5157.09</v>
      </c>
      <c r="H7550" s="27">
        <f t="shared" si="234"/>
        <v>0</v>
      </c>
      <c r="I7550" s="18">
        <v>2778.52</v>
      </c>
      <c r="J7550" s="27">
        <v>5157.09</v>
      </c>
      <c r="K7550" s="18">
        <f t="shared" si="235"/>
        <v>0</v>
      </c>
      <c r="L7550" s="27">
        <v>3043.61</v>
      </c>
      <c r="M7550" s="36">
        <v>265.08999999999997</v>
      </c>
      <c r="T7550" s="41">
        <v>0</v>
      </c>
      <c r="U7550" s="41">
        <v>0</v>
      </c>
      <c r="V7550" s="42" t="s">
        <v>113</v>
      </c>
      <c r="W7550" s="42">
        <v>0</v>
      </c>
      <c r="X7550" s="42">
        <v>0</v>
      </c>
    </row>
    <row r="7551" spans="1:24">
      <c r="A7551" s="27" t="s">
        <v>13579</v>
      </c>
      <c r="B7551" s="28" t="s">
        <v>12240</v>
      </c>
      <c r="C7551" s="27" t="s">
        <v>13580</v>
      </c>
      <c r="D7551" s="27" t="s">
        <v>5104</v>
      </c>
      <c r="E7551" s="29">
        <v>40908</v>
      </c>
      <c r="F7551" s="27">
        <v>15</v>
      </c>
      <c r="G7551" s="18">
        <v>5157.09</v>
      </c>
      <c r="H7551" s="27">
        <f t="shared" si="234"/>
        <v>0</v>
      </c>
      <c r="I7551" s="18">
        <v>2778.52</v>
      </c>
      <c r="J7551" s="27">
        <v>5157.09</v>
      </c>
      <c r="K7551" s="18">
        <f t="shared" si="235"/>
        <v>0</v>
      </c>
      <c r="L7551" s="27">
        <v>3043.61</v>
      </c>
      <c r="M7551" s="36">
        <v>265.08999999999997</v>
      </c>
      <c r="T7551" s="41">
        <v>0</v>
      </c>
      <c r="U7551" s="41">
        <v>0</v>
      </c>
      <c r="V7551" s="42" t="s">
        <v>113</v>
      </c>
      <c r="W7551" s="42">
        <v>0</v>
      </c>
      <c r="X7551" s="42">
        <v>0</v>
      </c>
    </row>
    <row r="7552" spans="1:24">
      <c r="A7552" s="27" t="s">
        <v>13581</v>
      </c>
      <c r="B7552" s="28" t="s">
        <v>12240</v>
      </c>
      <c r="C7552" s="27" t="s">
        <v>13582</v>
      </c>
      <c r="D7552" s="27" t="s">
        <v>5104</v>
      </c>
      <c r="E7552" s="29">
        <v>40908</v>
      </c>
      <c r="F7552" s="27">
        <v>15</v>
      </c>
      <c r="G7552" s="18">
        <v>5157.09</v>
      </c>
      <c r="H7552" s="27">
        <f t="shared" si="234"/>
        <v>0</v>
      </c>
      <c r="I7552" s="18">
        <v>2778.52</v>
      </c>
      <c r="J7552" s="27">
        <v>5157.09</v>
      </c>
      <c r="K7552" s="18">
        <f t="shared" si="235"/>
        <v>0</v>
      </c>
      <c r="L7552" s="27">
        <v>3043.61</v>
      </c>
      <c r="M7552" s="36">
        <v>265.08999999999997</v>
      </c>
      <c r="T7552" s="41">
        <v>0</v>
      </c>
      <c r="U7552" s="41">
        <v>0</v>
      </c>
      <c r="V7552" s="42" t="s">
        <v>113</v>
      </c>
      <c r="W7552" s="42">
        <v>0</v>
      </c>
      <c r="X7552" s="42">
        <v>0</v>
      </c>
    </row>
    <row r="7553" spans="1:24">
      <c r="A7553" s="27" t="s">
        <v>13583</v>
      </c>
      <c r="B7553" s="28" t="s">
        <v>12240</v>
      </c>
      <c r="C7553" s="27" t="s">
        <v>13584</v>
      </c>
      <c r="D7553" s="27" t="s">
        <v>5104</v>
      </c>
      <c r="E7553" s="29">
        <v>40908</v>
      </c>
      <c r="F7553" s="27">
        <v>15</v>
      </c>
      <c r="G7553" s="18">
        <v>5157.09</v>
      </c>
      <c r="H7553" s="27">
        <f t="shared" si="234"/>
        <v>0</v>
      </c>
      <c r="I7553" s="18">
        <v>2778.52</v>
      </c>
      <c r="J7553" s="27">
        <v>5157.09</v>
      </c>
      <c r="K7553" s="18">
        <f t="shared" si="235"/>
        <v>0</v>
      </c>
      <c r="L7553" s="27">
        <v>3043.61</v>
      </c>
      <c r="M7553" s="36">
        <v>265.08999999999997</v>
      </c>
      <c r="T7553" s="41">
        <v>0</v>
      </c>
      <c r="U7553" s="41">
        <v>0</v>
      </c>
      <c r="V7553" s="42" t="s">
        <v>113</v>
      </c>
      <c r="W7553" s="42">
        <v>0</v>
      </c>
      <c r="X7553" s="42">
        <v>0</v>
      </c>
    </row>
    <row r="7554" spans="1:24">
      <c r="A7554" s="27" t="s">
        <v>13585</v>
      </c>
      <c r="B7554" s="28" t="s">
        <v>12240</v>
      </c>
      <c r="C7554" s="27" t="s">
        <v>13586</v>
      </c>
      <c r="D7554" s="27" t="s">
        <v>5104</v>
      </c>
      <c r="E7554" s="29">
        <v>40908</v>
      </c>
      <c r="F7554" s="27">
        <v>15</v>
      </c>
      <c r="G7554" s="18">
        <v>5157.09</v>
      </c>
      <c r="H7554" s="27">
        <f t="shared" si="234"/>
        <v>0</v>
      </c>
      <c r="I7554" s="18">
        <v>2778.52</v>
      </c>
      <c r="J7554" s="27">
        <v>5157.09</v>
      </c>
      <c r="K7554" s="18">
        <f t="shared" si="235"/>
        <v>0</v>
      </c>
      <c r="L7554" s="27">
        <v>3043.61</v>
      </c>
      <c r="M7554" s="36">
        <v>265.08999999999997</v>
      </c>
      <c r="T7554" s="41">
        <v>0</v>
      </c>
      <c r="U7554" s="41">
        <v>0</v>
      </c>
      <c r="V7554" s="42" t="s">
        <v>113</v>
      </c>
      <c r="W7554" s="42">
        <v>0</v>
      </c>
      <c r="X7554" s="42">
        <v>0</v>
      </c>
    </row>
    <row r="7555" spans="1:24">
      <c r="A7555" s="27" t="s">
        <v>13587</v>
      </c>
      <c r="B7555" s="28" t="s">
        <v>12240</v>
      </c>
      <c r="C7555" s="27" t="s">
        <v>13588</v>
      </c>
      <c r="D7555" s="27" t="s">
        <v>5104</v>
      </c>
      <c r="E7555" s="29">
        <v>40908</v>
      </c>
      <c r="F7555" s="27">
        <v>15</v>
      </c>
      <c r="G7555" s="18">
        <v>5157.09</v>
      </c>
      <c r="H7555" s="27">
        <f t="shared" si="234"/>
        <v>0</v>
      </c>
      <c r="I7555" s="18">
        <v>2778.52</v>
      </c>
      <c r="J7555" s="27">
        <v>5157.09</v>
      </c>
      <c r="K7555" s="18">
        <f t="shared" si="235"/>
        <v>0</v>
      </c>
      <c r="L7555" s="27">
        <v>3043.61</v>
      </c>
      <c r="M7555" s="36">
        <v>265.08999999999997</v>
      </c>
      <c r="T7555" s="41">
        <v>0</v>
      </c>
      <c r="U7555" s="41">
        <v>0</v>
      </c>
      <c r="V7555" s="42" t="s">
        <v>113</v>
      </c>
      <c r="W7555" s="42">
        <v>0</v>
      </c>
      <c r="X7555" s="42">
        <v>0</v>
      </c>
    </row>
    <row r="7556" spans="1:24">
      <c r="A7556" s="27" t="s">
        <v>13589</v>
      </c>
      <c r="B7556" s="28" t="s">
        <v>12240</v>
      </c>
      <c r="C7556" s="27" t="s">
        <v>13590</v>
      </c>
      <c r="D7556" s="27" t="s">
        <v>5104</v>
      </c>
      <c r="E7556" s="29">
        <v>40908</v>
      </c>
      <c r="F7556" s="27">
        <v>15</v>
      </c>
      <c r="G7556" s="18">
        <v>5157.09</v>
      </c>
      <c r="H7556" s="27">
        <f t="shared" si="234"/>
        <v>0</v>
      </c>
      <c r="I7556" s="18">
        <v>2778.52</v>
      </c>
      <c r="J7556" s="27">
        <v>5157.09</v>
      </c>
      <c r="K7556" s="18">
        <f t="shared" si="235"/>
        <v>0</v>
      </c>
      <c r="L7556" s="27">
        <v>3043.61</v>
      </c>
      <c r="M7556" s="36">
        <v>265.08999999999997</v>
      </c>
      <c r="T7556" s="41">
        <v>0</v>
      </c>
      <c r="U7556" s="41">
        <v>0</v>
      </c>
      <c r="V7556" s="42" t="s">
        <v>113</v>
      </c>
      <c r="W7556" s="42">
        <v>0</v>
      </c>
      <c r="X7556" s="42">
        <v>0</v>
      </c>
    </row>
    <row r="7557" spans="1:24">
      <c r="A7557" s="27" t="s">
        <v>13591</v>
      </c>
      <c r="B7557" s="28" t="s">
        <v>12240</v>
      </c>
      <c r="C7557" s="27" t="s">
        <v>13592</v>
      </c>
      <c r="D7557" s="27" t="s">
        <v>5104</v>
      </c>
      <c r="E7557" s="29">
        <v>40908</v>
      </c>
      <c r="F7557" s="27">
        <v>15</v>
      </c>
      <c r="G7557" s="18">
        <v>5157.09</v>
      </c>
      <c r="H7557" s="27">
        <f t="shared" si="234"/>
        <v>0</v>
      </c>
      <c r="I7557" s="18">
        <v>2778.52</v>
      </c>
      <c r="J7557" s="27">
        <v>5157.09</v>
      </c>
      <c r="K7557" s="18">
        <f t="shared" si="235"/>
        <v>0</v>
      </c>
      <c r="L7557" s="27">
        <v>3043.61</v>
      </c>
      <c r="M7557" s="36">
        <v>265.08999999999997</v>
      </c>
      <c r="T7557" s="41">
        <v>0</v>
      </c>
      <c r="U7557" s="41">
        <v>0</v>
      </c>
      <c r="V7557" s="42" t="s">
        <v>113</v>
      </c>
      <c r="W7557" s="42">
        <v>0</v>
      </c>
      <c r="X7557" s="42">
        <v>0</v>
      </c>
    </row>
    <row r="7558" spans="1:24">
      <c r="A7558" s="27" t="s">
        <v>13593</v>
      </c>
      <c r="B7558" s="28" t="s">
        <v>12240</v>
      </c>
      <c r="C7558" s="27" t="s">
        <v>13594</v>
      </c>
      <c r="D7558" s="27" t="s">
        <v>5104</v>
      </c>
      <c r="E7558" s="29">
        <v>40908</v>
      </c>
      <c r="F7558" s="27">
        <v>15</v>
      </c>
      <c r="G7558" s="18">
        <v>5157.09</v>
      </c>
      <c r="H7558" s="27">
        <f t="shared" ref="H7558:H7621" si="236">IFERROR(IF(ROUND((G7558-I7558)/G7558,2)&lt;=0.05,G7558,0),0)</f>
        <v>0</v>
      </c>
      <c r="I7558" s="18">
        <v>2778.52</v>
      </c>
      <c r="J7558" s="27">
        <v>5157.09</v>
      </c>
      <c r="K7558" s="18">
        <f t="shared" ref="K7558:K7621" si="237">IFERROR(IF(ROUND((J7558-L7558)/J7558,2)&lt;=0.05,J7558,0),0)</f>
        <v>0</v>
      </c>
      <c r="L7558" s="27">
        <v>3043.61</v>
      </c>
      <c r="M7558" s="36">
        <v>265.08999999999997</v>
      </c>
      <c r="T7558" s="41">
        <v>0</v>
      </c>
      <c r="U7558" s="41">
        <v>0</v>
      </c>
      <c r="V7558" s="42" t="s">
        <v>113</v>
      </c>
      <c r="W7558" s="42">
        <v>0</v>
      </c>
      <c r="X7558" s="42">
        <v>0</v>
      </c>
    </row>
    <row r="7559" spans="1:24">
      <c r="A7559" s="27" t="s">
        <v>13595</v>
      </c>
      <c r="B7559" s="28" t="s">
        <v>12240</v>
      </c>
      <c r="C7559" s="27" t="s">
        <v>13596</v>
      </c>
      <c r="D7559" s="27" t="s">
        <v>5104</v>
      </c>
      <c r="E7559" s="29">
        <v>40908</v>
      </c>
      <c r="F7559" s="27">
        <v>15</v>
      </c>
      <c r="G7559" s="18">
        <v>5157.09</v>
      </c>
      <c r="H7559" s="27">
        <f t="shared" si="236"/>
        <v>0</v>
      </c>
      <c r="I7559" s="18">
        <v>2778.52</v>
      </c>
      <c r="J7559" s="27">
        <v>5157.09</v>
      </c>
      <c r="K7559" s="18">
        <f t="shared" si="237"/>
        <v>0</v>
      </c>
      <c r="L7559" s="27">
        <v>3043.61</v>
      </c>
      <c r="M7559" s="36">
        <v>265.08999999999997</v>
      </c>
      <c r="T7559" s="41">
        <v>0</v>
      </c>
      <c r="U7559" s="41">
        <v>0</v>
      </c>
      <c r="V7559" s="42" t="s">
        <v>113</v>
      </c>
      <c r="W7559" s="42">
        <v>0</v>
      </c>
      <c r="X7559" s="42">
        <v>0</v>
      </c>
    </row>
    <row r="7560" spans="1:24">
      <c r="A7560" s="27" t="s">
        <v>13597</v>
      </c>
      <c r="B7560" s="28" t="s">
        <v>12240</v>
      </c>
      <c r="C7560" s="27" t="s">
        <v>13598</v>
      </c>
      <c r="D7560" s="27" t="s">
        <v>5104</v>
      </c>
      <c r="E7560" s="29">
        <v>40908</v>
      </c>
      <c r="F7560" s="27">
        <v>15</v>
      </c>
      <c r="G7560" s="18">
        <v>5157.09</v>
      </c>
      <c r="H7560" s="27">
        <f t="shared" si="236"/>
        <v>0</v>
      </c>
      <c r="I7560" s="18">
        <v>2778.52</v>
      </c>
      <c r="J7560" s="27">
        <v>5157.09</v>
      </c>
      <c r="K7560" s="18">
        <f t="shared" si="237"/>
        <v>0</v>
      </c>
      <c r="L7560" s="27">
        <v>3043.61</v>
      </c>
      <c r="M7560" s="36">
        <v>265.08999999999997</v>
      </c>
      <c r="T7560" s="41">
        <v>0</v>
      </c>
      <c r="U7560" s="41">
        <v>0</v>
      </c>
      <c r="V7560" s="42" t="s">
        <v>113</v>
      </c>
      <c r="W7560" s="42">
        <v>0</v>
      </c>
      <c r="X7560" s="42">
        <v>0</v>
      </c>
    </row>
    <row r="7561" spans="1:24">
      <c r="A7561" s="27" t="s">
        <v>13599</v>
      </c>
      <c r="B7561" s="28" t="s">
        <v>12240</v>
      </c>
      <c r="C7561" s="27" t="s">
        <v>13600</v>
      </c>
      <c r="D7561" s="27" t="s">
        <v>5104</v>
      </c>
      <c r="E7561" s="29">
        <v>40908</v>
      </c>
      <c r="F7561" s="27">
        <v>15</v>
      </c>
      <c r="G7561" s="18">
        <v>5157.09</v>
      </c>
      <c r="H7561" s="27">
        <f t="shared" si="236"/>
        <v>0</v>
      </c>
      <c r="I7561" s="18">
        <v>2778.52</v>
      </c>
      <c r="J7561" s="27">
        <v>5157.09</v>
      </c>
      <c r="K7561" s="18">
        <f t="shared" si="237"/>
        <v>0</v>
      </c>
      <c r="L7561" s="27">
        <v>3043.61</v>
      </c>
      <c r="M7561" s="36">
        <v>265.08999999999997</v>
      </c>
      <c r="T7561" s="41">
        <v>0</v>
      </c>
      <c r="U7561" s="41">
        <v>0</v>
      </c>
      <c r="V7561" s="42" t="s">
        <v>113</v>
      </c>
      <c r="W7561" s="42">
        <v>0</v>
      </c>
      <c r="X7561" s="42">
        <v>0</v>
      </c>
    </row>
    <row r="7562" spans="1:24">
      <c r="A7562" s="27" t="s">
        <v>13601</v>
      </c>
      <c r="B7562" s="28" t="s">
        <v>12240</v>
      </c>
      <c r="C7562" s="27" t="s">
        <v>13602</v>
      </c>
      <c r="D7562" s="27" t="s">
        <v>5104</v>
      </c>
      <c r="E7562" s="29">
        <v>40908</v>
      </c>
      <c r="F7562" s="27">
        <v>15</v>
      </c>
      <c r="G7562" s="18">
        <v>5157.09</v>
      </c>
      <c r="H7562" s="27">
        <f t="shared" si="236"/>
        <v>0</v>
      </c>
      <c r="I7562" s="18">
        <v>2778.52</v>
      </c>
      <c r="J7562" s="27">
        <v>5157.09</v>
      </c>
      <c r="K7562" s="18">
        <f t="shared" si="237"/>
        <v>0</v>
      </c>
      <c r="L7562" s="27">
        <v>3043.61</v>
      </c>
      <c r="M7562" s="36">
        <v>265.08999999999997</v>
      </c>
      <c r="T7562" s="41">
        <v>0</v>
      </c>
      <c r="U7562" s="41">
        <v>0</v>
      </c>
      <c r="V7562" s="42" t="s">
        <v>113</v>
      </c>
      <c r="W7562" s="42">
        <v>0</v>
      </c>
      <c r="X7562" s="42">
        <v>0</v>
      </c>
    </row>
    <row r="7563" spans="1:24">
      <c r="A7563" s="27" t="s">
        <v>13603</v>
      </c>
      <c r="B7563" s="28" t="s">
        <v>12240</v>
      </c>
      <c r="C7563" s="27" t="s">
        <v>13604</v>
      </c>
      <c r="D7563" s="27" t="s">
        <v>5104</v>
      </c>
      <c r="E7563" s="29">
        <v>40908</v>
      </c>
      <c r="F7563" s="27">
        <v>15</v>
      </c>
      <c r="G7563" s="18">
        <v>5157.09</v>
      </c>
      <c r="H7563" s="27">
        <f t="shared" si="236"/>
        <v>0</v>
      </c>
      <c r="I7563" s="18">
        <v>2778.52</v>
      </c>
      <c r="J7563" s="27">
        <v>5157.09</v>
      </c>
      <c r="K7563" s="18">
        <f t="shared" si="237"/>
        <v>0</v>
      </c>
      <c r="L7563" s="27">
        <v>3043.61</v>
      </c>
      <c r="M7563" s="36">
        <v>265.08999999999997</v>
      </c>
      <c r="T7563" s="41">
        <v>0</v>
      </c>
      <c r="U7563" s="41">
        <v>0</v>
      </c>
      <c r="V7563" s="42" t="s">
        <v>113</v>
      </c>
      <c r="W7563" s="42">
        <v>0</v>
      </c>
      <c r="X7563" s="42">
        <v>0</v>
      </c>
    </row>
    <row r="7564" spans="1:24">
      <c r="A7564" s="27" t="s">
        <v>13605</v>
      </c>
      <c r="B7564" s="28" t="s">
        <v>12240</v>
      </c>
      <c r="C7564" s="27" t="s">
        <v>13606</v>
      </c>
      <c r="D7564" s="27" t="s">
        <v>5104</v>
      </c>
      <c r="E7564" s="29">
        <v>40908</v>
      </c>
      <c r="F7564" s="27">
        <v>15</v>
      </c>
      <c r="G7564" s="18">
        <v>5157.09</v>
      </c>
      <c r="H7564" s="27">
        <f t="shared" si="236"/>
        <v>0</v>
      </c>
      <c r="I7564" s="18">
        <v>2778.52</v>
      </c>
      <c r="J7564" s="27">
        <v>5157.09</v>
      </c>
      <c r="K7564" s="18">
        <f t="shared" si="237"/>
        <v>0</v>
      </c>
      <c r="L7564" s="27">
        <v>3043.61</v>
      </c>
      <c r="M7564" s="36">
        <v>265.08999999999997</v>
      </c>
      <c r="T7564" s="41">
        <v>0</v>
      </c>
      <c r="U7564" s="41">
        <v>0</v>
      </c>
      <c r="V7564" s="42" t="s">
        <v>113</v>
      </c>
      <c r="W7564" s="42">
        <v>0</v>
      </c>
      <c r="X7564" s="42">
        <v>0</v>
      </c>
    </row>
    <row r="7565" spans="1:24">
      <c r="A7565" s="27" t="s">
        <v>13607</v>
      </c>
      <c r="B7565" s="28" t="s">
        <v>12240</v>
      </c>
      <c r="C7565" s="27" t="s">
        <v>13608</v>
      </c>
      <c r="D7565" s="27" t="s">
        <v>5104</v>
      </c>
      <c r="E7565" s="29">
        <v>40908</v>
      </c>
      <c r="F7565" s="27">
        <v>15</v>
      </c>
      <c r="G7565" s="18">
        <v>5157.09</v>
      </c>
      <c r="H7565" s="27">
        <f t="shared" si="236"/>
        <v>0</v>
      </c>
      <c r="I7565" s="18">
        <v>2778.52</v>
      </c>
      <c r="J7565" s="27">
        <v>5157.09</v>
      </c>
      <c r="K7565" s="18">
        <f t="shared" si="237"/>
        <v>0</v>
      </c>
      <c r="L7565" s="27">
        <v>3043.61</v>
      </c>
      <c r="M7565" s="36">
        <v>265.08999999999997</v>
      </c>
      <c r="T7565" s="41">
        <v>0</v>
      </c>
      <c r="U7565" s="41">
        <v>0</v>
      </c>
      <c r="V7565" s="42" t="s">
        <v>113</v>
      </c>
      <c r="W7565" s="42">
        <v>0</v>
      </c>
      <c r="X7565" s="42">
        <v>0</v>
      </c>
    </row>
    <row r="7566" spans="1:24">
      <c r="A7566" s="27" t="s">
        <v>13609</v>
      </c>
      <c r="B7566" s="28" t="s">
        <v>12240</v>
      </c>
      <c r="C7566" s="27" t="s">
        <v>13610</v>
      </c>
      <c r="D7566" s="27" t="s">
        <v>5104</v>
      </c>
      <c r="E7566" s="29">
        <v>40908</v>
      </c>
      <c r="F7566" s="27">
        <v>15</v>
      </c>
      <c r="G7566" s="18">
        <v>5157.09</v>
      </c>
      <c r="H7566" s="27">
        <f t="shared" si="236"/>
        <v>0</v>
      </c>
      <c r="I7566" s="18">
        <v>2778.52</v>
      </c>
      <c r="J7566" s="27">
        <v>5157.09</v>
      </c>
      <c r="K7566" s="18">
        <f t="shared" si="237"/>
        <v>0</v>
      </c>
      <c r="L7566" s="27">
        <v>3043.61</v>
      </c>
      <c r="M7566" s="36">
        <v>265.08999999999997</v>
      </c>
      <c r="T7566" s="41">
        <v>0</v>
      </c>
      <c r="U7566" s="41">
        <v>0</v>
      </c>
      <c r="V7566" s="42" t="s">
        <v>113</v>
      </c>
      <c r="W7566" s="42">
        <v>0</v>
      </c>
      <c r="X7566" s="42">
        <v>0</v>
      </c>
    </row>
    <row r="7567" spans="1:24">
      <c r="A7567" s="27" t="s">
        <v>13611</v>
      </c>
      <c r="B7567" s="28" t="s">
        <v>12240</v>
      </c>
      <c r="C7567" s="27" t="s">
        <v>13612</v>
      </c>
      <c r="D7567" s="27" t="s">
        <v>5104</v>
      </c>
      <c r="E7567" s="29">
        <v>40908</v>
      </c>
      <c r="F7567" s="27">
        <v>15</v>
      </c>
      <c r="G7567" s="18">
        <v>5157.09</v>
      </c>
      <c r="H7567" s="27">
        <f t="shared" si="236"/>
        <v>0</v>
      </c>
      <c r="I7567" s="18">
        <v>2778.52</v>
      </c>
      <c r="J7567" s="27">
        <v>5157.09</v>
      </c>
      <c r="K7567" s="18">
        <f t="shared" si="237"/>
        <v>0</v>
      </c>
      <c r="L7567" s="27">
        <v>3043.61</v>
      </c>
      <c r="M7567" s="36">
        <v>265.08999999999997</v>
      </c>
      <c r="T7567" s="41">
        <v>0</v>
      </c>
      <c r="U7567" s="41">
        <v>0</v>
      </c>
      <c r="V7567" s="42" t="s">
        <v>113</v>
      </c>
      <c r="W7567" s="42">
        <v>0</v>
      </c>
      <c r="X7567" s="42">
        <v>0</v>
      </c>
    </row>
    <row r="7568" spans="1:24">
      <c r="A7568" s="27" t="s">
        <v>13613</v>
      </c>
      <c r="B7568" s="28" t="s">
        <v>12240</v>
      </c>
      <c r="C7568" s="27" t="s">
        <v>13614</v>
      </c>
      <c r="D7568" s="27" t="s">
        <v>5104</v>
      </c>
      <c r="E7568" s="29">
        <v>40908</v>
      </c>
      <c r="F7568" s="27">
        <v>15</v>
      </c>
      <c r="G7568" s="18">
        <v>5157.09</v>
      </c>
      <c r="H7568" s="27">
        <f t="shared" si="236"/>
        <v>0</v>
      </c>
      <c r="I7568" s="18">
        <v>2778.52</v>
      </c>
      <c r="J7568" s="27">
        <v>5157.09</v>
      </c>
      <c r="K7568" s="18">
        <f t="shared" si="237"/>
        <v>0</v>
      </c>
      <c r="L7568" s="27">
        <v>3043.61</v>
      </c>
      <c r="M7568" s="36">
        <v>265.08999999999997</v>
      </c>
      <c r="T7568" s="41">
        <v>0</v>
      </c>
      <c r="U7568" s="41">
        <v>0</v>
      </c>
      <c r="V7568" s="42" t="s">
        <v>113</v>
      </c>
      <c r="W7568" s="42">
        <v>0</v>
      </c>
      <c r="X7568" s="42">
        <v>0</v>
      </c>
    </row>
    <row r="7569" spans="1:24">
      <c r="A7569" s="27" t="s">
        <v>13615</v>
      </c>
      <c r="B7569" s="28" t="s">
        <v>12240</v>
      </c>
      <c r="C7569" s="27" t="s">
        <v>13616</v>
      </c>
      <c r="D7569" s="27" t="s">
        <v>5104</v>
      </c>
      <c r="E7569" s="29">
        <v>40908</v>
      </c>
      <c r="F7569" s="27">
        <v>15</v>
      </c>
      <c r="G7569" s="18">
        <v>5157.09</v>
      </c>
      <c r="H7569" s="27">
        <f t="shared" si="236"/>
        <v>0</v>
      </c>
      <c r="I7569" s="18">
        <v>2778.52</v>
      </c>
      <c r="J7569" s="27">
        <v>5157.09</v>
      </c>
      <c r="K7569" s="18">
        <f t="shared" si="237"/>
        <v>0</v>
      </c>
      <c r="L7569" s="27">
        <v>3043.61</v>
      </c>
      <c r="M7569" s="36">
        <v>265.08999999999997</v>
      </c>
      <c r="T7569" s="41">
        <v>0</v>
      </c>
      <c r="U7569" s="41">
        <v>0</v>
      </c>
      <c r="V7569" s="42" t="s">
        <v>113</v>
      </c>
      <c r="W7569" s="42">
        <v>0</v>
      </c>
      <c r="X7569" s="42">
        <v>0</v>
      </c>
    </row>
    <row r="7570" spans="1:24">
      <c r="A7570" s="27" t="s">
        <v>13617</v>
      </c>
      <c r="B7570" s="28" t="s">
        <v>12240</v>
      </c>
      <c r="C7570" s="27" t="s">
        <v>13618</v>
      </c>
      <c r="D7570" s="27" t="s">
        <v>5104</v>
      </c>
      <c r="E7570" s="29">
        <v>40908</v>
      </c>
      <c r="F7570" s="27">
        <v>15</v>
      </c>
      <c r="G7570" s="18">
        <v>5157.09</v>
      </c>
      <c r="H7570" s="27">
        <f t="shared" si="236"/>
        <v>0</v>
      </c>
      <c r="I7570" s="18">
        <v>2778.52</v>
      </c>
      <c r="J7570" s="27">
        <v>5157.09</v>
      </c>
      <c r="K7570" s="18">
        <f t="shared" si="237"/>
        <v>0</v>
      </c>
      <c r="L7570" s="27">
        <v>3043.61</v>
      </c>
      <c r="M7570" s="36">
        <v>265.08999999999997</v>
      </c>
      <c r="T7570" s="41">
        <v>0</v>
      </c>
      <c r="U7570" s="41">
        <v>0</v>
      </c>
      <c r="V7570" s="42" t="s">
        <v>113</v>
      </c>
      <c r="W7570" s="42">
        <v>0</v>
      </c>
      <c r="X7570" s="42">
        <v>0</v>
      </c>
    </row>
    <row r="7571" spans="1:24">
      <c r="A7571" s="27" t="s">
        <v>13619</v>
      </c>
      <c r="B7571" s="28" t="s">
        <v>12240</v>
      </c>
      <c r="C7571" s="27" t="s">
        <v>13620</v>
      </c>
      <c r="D7571" s="27" t="s">
        <v>5104</v>
      </c>
      <c r="E7571" s="29">
        <v>40908</v>
      </c>
      <c r="F7571" s="27">
        <v>15</v>
      </c>
      <c r="G7571" s="18">
        <v>5157.09</v>
      </c>
      <c r="H7571" s="27">
        <f t="shared" si="236"/>
        <v>0</v>
      </c>
      <c r="I7571" s="18">
        <v>2778.52</v>
      </c>
      <c r="J7571" s="27">
        <v>5157.09</v>
      </c>
      <c r="K7571" s="18">
        <f t="shared" si="237"/>
        <v>0</v>
      </c>
      <c r="L7571" s="27">
        <v>3043.61</v>
      </c>
      <c r="M7571" s="36">
        <v>265.08999999999997</v>
      </c>
      <c r="T7571" s="41">
        <v>0</v>
      </c>
      <c r="U7571" s="41">
        <v>0</v>
      </c>
      <c r="V7571" s="42" t="s">
        <v>113</v>
      </c>
      <c r="W7571" s="42">
        <v>0</v>
      </c>
      <c r="X7571" s="42">
        <v>0</v>
      </c>
    </row>
    <row r="7572" spans="1:24">
      <c r="A7572" s="27" t="s">
        <v>13621</v>
      </c>
      <c r="B7572" s="28" t="s">
        <v>12240</v>
      </c>
      <c r="C7572" s="27" t="s">
        <v>13622</v>
      </c>
      <c r="D7572" s="27" t="s">
        <v>230</v>
      </c>
      <c r="E7572" s="29">
        <v>40908</v>
      </c>
      <c r="F7572" s="27">
        <v>15</v>
      </c>
      <c r="G7572" s="18">
        <v>5157.09</v>
      </c>
      <c r="H7572" s="27">
        <f t="shared" si="236"/>
        <v>0</v>
      </c>
      <c r="I7572" s="18">
        <v>2778.52</v>
      </c>
      <c r="J7572" s="27">
        <v>5157.09</v>
      </c>
      <c r="K7572" s="18">
        <f t="shared" si="237"/>
        <v>0</v>
      </c>
      <c r="L7572" s="27">
        <v>3043.61</v>
      </c>
      <c r="M7572" s="36">
        <v>265.08999999999997</v>
      </c>
      <c r="T7572" s="41">
        <v>0</v>
      </c>
      <c r="U7572" s="41">
        <v>0</v>
      </c>
      <c r="V7572" s="42" t="s">
        <v>113</v>
      </c>
      <c r="W7572" s="42">
        <v>0</v>
      </c>
      <c r="X7572" s="42">
        <v>0</v>
      </c>
    </row>
    <row r="7573" spans="1:24">
      <c r="A7573" s="27" t="s">
        <v>13623</v>
      </c>
      <c r="B7573" s="28" t="s">
        <v>12240</v>
      </c>
      <c r="C7573" s="27" t="s">
        <v>13624</v>
      </c>
      <c r="D7573" s="27" t="s">
        <v>5104</v>
      </c>
      <c r="E7573" s="29">
        <v>40908</v>
      </c>
      <c r="F7573" s="27">
        <v>15</v>
      </c>
      <c r="G7573" s="18">
        <v>5157.09</v>
      </c>
      <c r="H7573" s="27">
        <f t="shared" si="236"/>
        <v>0</v>
      </c>
      <c r="I7573" s="18">
        <v>2778.52</v>
      </c>
      <c r="J7573" s="27">
        <v>5157.09</v>
      </c>
      <c r="K7573" s="18">
        <f t="shared" si="237"/>
        <v>0</v>
      </c>
      <c r="L7573" s="27">
        <v>3043.61</v>
      </c>
      <c r="M7573" s="36">
        <v>265.08999999999997</v>
      </c>
      <c r="T7573" s="41">
        <v>0</v>
      </c>
      <c r="U7573" s="41">
        <v>0</v>
      </c>
      <c r="V7573" s="42" t="s">
        <v>113</v>
      </c>
      <c r="W7573" s="42">
        <v>0</v>
      </c>
      <c r="X7573" s="42">
        <v>0</v>
      </c>
    </row>
    <row r="7574" spans="1:24">
      <c r="A7574" s="27" t="s">
        <v>13625</v>
      </c>
      <c r="B7574" s="28" t="s">
        <v>12240</v>
      </c>
      <c r="C7574" s="27" t="s">
        <v>13626</v>
      </c>
      <c r="D7574" s="27" t="s">
        <v>5104</v>
      </c>
      <c r="E7574" s="29">
        <v>40908</v>
      </c>
      <c r="F7574" s="27">
        <v>15</v>
      </c>
      <c r="G7574" s="18">
        <v>5157.09</v>
      </c>
      <c r="H7574" s="27">
        <f t="shared" si="236"/>
        <v>0</v>
      </c>
      <c r="I7574" s="18">
        <v>2778.52</v>
      </c>
      <c r="J7574" s="27">
        <v>5157.09</v>
      </c>
      <c r="K7574" s="18">
        <f t="shared" si="237"/>
        <v>0</v>
      </c>
      <c r="L7574" s="27">
        <v>3043.61</v>
      </c>
      <c r="M7574" s="36">
        <v>265.08999999999997</v>
      </c>
      <c r="T7574" s="41">
        <v>0</v>
      </c>
      <c r="U7574" s="41">
        <v>0</v>
      </c>
      <c r="V7574" s="42" t="s">
        <v>113</v>
      </c>
      <c r="W7574" s="42">
        <v>0</v>
      </c>
      <c r="X7574" s="42">
        <v>0</v>
      </c>
    </row>
    <row r="7575" spans="1:24">
      <c r="A7575" s="27" t="s">
        <v>13627</v>
      </c>
      <c r="B7575" s="28" t="s">
        <v>12240</v>
      </c>
      <c r="C7575" s="27" t="s">
        <v>13628</v>
      </c>
      <c r="D7575" s="27" t="s">
        <v>230</v>
      </c>
      <c r="E7575" s="29">
        <v>40908</v>
      </c>
      <c r="F7575" s="27">
        <v>15</v>
      </c>
      <c r="G7575" s="18">
        <v>5157.09</v>
      </c>
      <c r="H7575" s="27">
        <f t="shared" si="236"/>
        <v>0</v>
      </c>
      <c r="I7575" s="18">
        <v>2778.52</v>
      </c>
      <c r="J7575" s="27">
        <v>5157.09</v>
      </c>
      <c r="K7575" s="18">
        <f t="shared" si="237"/>
        <v>0</v>
      </c>
      <c r="L7575" s="27">
        <v>3043.61</v>
      </c>
      <c r="M7575" s="36">
        <v>265.08999999999997</v>
      </c>
      <c r="T7575" s="41">
        <v>0</v>
      </c>
      <c r="U7575" s="41">
        <v>0</v>
      </c>
      <c r="V7575" s="42" t="s">
        <v>113</v>
      </c>
      <c r="W7575" s="42">
        <v>0</v>
      </c>
      <c r="X7575" s="42">
        <v>0</v>
      </c>
    </row>
    <row r="7576" spans="1:24">
      <c r="A7576" s="27" t="s">
        <v>13629</v>
      </c>
      <c r="B7576" s="28" t="s">
        <v>12240</v>
      </c>
      <c r="C7576" s="27" t="s">
        <v>13630</v>
      </c>
      <c r="D7576" s="27" t="s">
        <v>5104</v>
      </c>
      <c r="E7576" s="29">
        <v>40908</v>
      </c>
      <c r="F7576" s="27">
        <v>15</v>
      </c>
      <c r="G7576" s="18">
        <v>5157.09</v>
      </c>
      <c r="H7576" s="27">
        <f t="shared" si="236"/>
        <v>0</v>
      </c>
      <c r="I7576" s="18">
        <v>2778.52</v>
      </c>
      <c r="J7576" s="27">
        <v>5157.09</v>
      </c>
      <c r="K7576" s="18">
        <f t="shared" si="237"/>
        <v>0</v>
      </c>
      <c r="L7576" s="27">
        <v>3043.61</v>
      </c>
      <c r="M7576" s="36">
        <v>265.08999999999997</v>
      </c>
      <c r="T7576" s="41">
        <v>0</v>
      </c>
      <c r="U7576" s="41">
        <v>0</v>
      </c>
      <c r="V7576" s="42" t="s">
        <v>113</v>
      </c>
      <c r="W7576" s="42">
        <v>0</v>
      </c>
      <c r="X7576" s="42">
        <v>0</v>
      </c>
    </row>
    <row r="7577" spans="1:24">
      <c r="A7577" s="27" t="s">
        <v>13631</v>
      </c>
      <c r="B7577" s="28" t="s">
        <v>12240</v>
      </c>
      <c r="C7577" s="27" t="s">
        <v>13632</v>
      </c>
      <c r="D7577" s="27" t="s">
        <v>5104</v>
      </c>
      <c r="E7577" s="29">
        <v>40908</v>
      </c>
      <c r="F7577" s="27">
        <v>15</v>
      </c>
      <c r="G7577" s="18">
        <v>5157.09</v>
      </c>
      <c r="H7577" s="27">
        <f t="shared" si="236"/>
        <v>0</v>
      </c>
      <c r="I7577" s="18">
        <v>2778.52</v>
      </c>
      <c r="J7577" s="27">
        <v>5157.09</v>
      </c>
      <c r="K7577" s="18">
        <f t="shared" si="237"/>
        <v>0</v>
      </c>
      <c r="L7577" s="27">
        <v>3043.61</v>
      </c>
      <c r="M7577" s="36">
        <v>265.08999999999997</v>
      </c>
      <c r="T7577" s="41">
        <v>0</v>
      </c>
      <c r="U7577" s="41">
        <v>0</v>
      </c>
      <c r="V7577" s="42" t="s">
        <v>113</v>
      </c>
      <c r="W7577" s="42">
        <v>0</v>
      </c>
      <c r="X7577" s="42">
        <v>0</v>
      </c>
    </row>
    <row r="7578" spans="1:24">
      <c r="A7578" s="27" t="s">
        <v>13633</v>
      </c>
      <c r="B7578" s="28" t="s">
        <v>12240</v>
      </c>
      <c r="C7578" s="27" t="s">
        <v>13634</v>
      </c>
      <c r="D7578" s="27" t="s">
        <v>5104</v>
      </c>
      <c r="E7578" s="29">
        <v>40908</v>
      </c>
      <c r="F7578" s="27">
        <v>15</v>
      </c>
      <c r="G7578" s="18">
        <v>5157.09</v>
      </c>
      <c r="H7578" s="27">
        <f t="shared" si="236"/>
        <v>0</v>
      </c>
      <c r="I7578" s="18">
        <v>2778.52</v>
      </c>
      <c r="J7578" s="27">
        <v>5157.09</v>
      </c>
      <c r="K7578" s="18">
        <f t="shared" si="237"/>
        <v>0</v>
      </c>
      <c r="L7578" s="27">
        <v>3043.61</v>
      </c>
      <c r="M7578" s="36">
        <v>265.08999999999997</v>
      </c>
      <c r="T7578" s="41">
        <v>0</v>
      </c>
      <c r="U7578" s="41">
        <v>0</v>
      </c>
      <c r="V7578" s="42" t="s">
        <v>113</v>
      </c>
      <c r="W7578" s="42">
        <v>0</v>
      </c>
      <c r="X7578" s="42">
        <v>0</v>
      </c>
    </row>
    <row r="7579" spans="1:24">
      <c r="A7579" s="27" t="s">
        <v>13635</v>
      </c>
      <c r="B7579" s="28" t="s">
        <v>12240</v>
      </c>
      <c r="C7579" s="27" t="s">
        <v>13636</v>
      </c>
      <c r="D7579" s="27" t="s">
        <v>5104</v>
      </c>
      <c r="E7579" s="29">
        <v>40908</v>
      </c>
      <c r="F7579" s="27">
        <v>15</v>
      </c>
      <c r="G7579" s="18">
        <v>5157.09</v>
      </c>
      <c r="H7579" s="27">
        <f t="shared" si="236"/>
        <v>0</v>
      </c>
      <c r="I7579" s="18">
        <v>2778.52</v>
      </c>
      <c r="J7579" s="27">
        <v>5157.09</v>
      </c>
      <c r="K7579" s="18">
        <f t="shared" si="237"/>
        <v>0</v>
      </c>
      <c r="L7579" s="27">
        <v>3043.61</v>
      </c>
      <c r="M7579" s="36">
        <v>265.08999999999997</v>
      </c>
      <c r="T7579" s="41">
        <v>0</v>
      </c>
      <c r="U7579" s="41">
        <v>0</v>
      </c>
      <c r="V7579" s="42" t="s">
        <v>113</v>
      </c>
      <c r="W7579" s="42">
        <v>0</v>
      </c>
      <c r="X7579" s="42">
        <v>0</v>
      </c>
    </row>
    <row r="7580" spans="1:24">
      <c r="A7580" s="27" t="s">
        <v>13637</v>
      </c>
      <c r="B7580" s="28" t="s">
        <v>12240</v>
      </c>
      <c r="C7580" s="27" t="s">
        <v>13638</v>
      </c>
      <c r="D7580" s="27" t="s">
        <v>5104</v>
      </c>
      <c r="E7580" s="29">
        <v>40908</v>
      </c>
      <c r="F7580" s="27">
        <v>15</v>
      </c>
      <c r="G7580" s="18">
        <v>5157.09</v>
      </c>
      <c r="H7580" s="27">
        <f t="shared" si="236"/>
        <v>0</v>
      </c>
      <c r="I7580" s="18">
        <v>2778.52</v>
      </c>
      <c r="J7580" s="27">
        <v>5157.09</v>
      </c>
      <c r="K7580" s="18">
        <f t="shared" si="237"/>
        <v>0</v>
      </c>
      <c r="L7580" s="27">
        <v>3043.61</v>
      </c>
      <c r="M7580" s="36">
        <v>265.08999999999997</v>
      </c>
      <c r="T7580" s="41">
        <v>0</v>
      </c>
      <c r="U7580" s="41">
        <v>0</v>
      </c>
      <c r="V7580" s="42" t="s">
        <v>113</v>
      </c>
      <c r="W7580" s="42">
        <v>0</v>
      </c>
      <c r="X7580" s="42">
        <v>0</v>
      </c>
    </row>
    <row r="7581" spans="1:24">
      <c r="A7581" s="27" t="s">
        <v>13639</v>
      </c>
      <c r="B7581" s="28" t="s">
        <v>12240</v>
      </c>
      <c r="C7581" s="27" t="s">
        <v>13640</v>
      </c>
      <c r="D7581" s="27" t="s">
        <v>230</v>
      </c>
      <c r="E7581" s="29">
        <v>40908</v>
      </c>
      <c r="F7581" s="27">
        <v>15</v>
      </c>
      <c r="G7581" s="18">
        <v>5157.09</v>
      </c>
      <c r="H7581" s="27">
        <f t="shared" si="236"/>
        <v>0</v>
      </c>
      <c r="I7581" s="18">
        <v>2778.52</v>
      </c>
      <c r="J7581" s="27">
        <v>5157.09</v>
      </c>
      <c r="K7581" s="18">
        <f t="shared" si="237"/>
        <v>0</v>
      </c>
      <c r="L7581" s="27">
        <v>3043.61</v>
      </c>
      <c r="M7581" s="36">
        <v>265.08999999999997</v>
      </c>
      <c r="T7581" s="41">
        <v>0</v>
      </c>
      <c r="U7581" s="41">
        <v>0</v>
      </c>
      <c r="V7581" s="42" t="s">
        <v>113</v>
      </c>
      <c r="W7581" s="42">
        <v>0</v>
      </c>
      <c r="X7581" s="42">
        <v>0</v>
      </c>
    </row>
    <row r="7582" spans="1:24">
      <c r="A7582" s="27" t="s">
        <v>13641</v>
      </c>
      <c r="B7582" s="28" t="s">
        <v>12240</v>
      </c>
      <c r="C7582" s="27" t="s">
        <v>13642</v>
      </c>
      <c r="D7582" s="27" t="s">
        <v>5104</v>
      </c>
      <c r="E7582" s="29">
        <v>40908</v>
      </c>
      <c r="F7582" s="27">
        <v>15</v>
      </c>
      <c r="G7582" s="18">
        <v>5157.09</v>
      </c>
      <c r="H7582" s="27">
        <f t="shared" si="236"/>
        <v>0</v>
      </c>
      <c r="I7582" s="18">
        <v>2778.52</v>
      </c>
      <c r="J7582" s="27">
        <v>5157.09</v>
      </c>
      <c r="K7582" s="18">
        <f t="shared" si="237"/>
        <v>0</v>
      </c>
      <c r="L7582" s="27">
        <v>3043.61</v>
      </c>
      <c r="M7582" s="36">
        <v>265.08999999999997</v>
      </c>
      <c r="T7582" s="41">
        <v>0</v>
      </c>
      <c r="U7582" s="41">
        <v>0</v>
      </c>
      <c r="V7582" s="42" t="s">
        <v>113</v>
      </c>
      <c r="W7582" s="42">
        <v>0</v>
      </c>
      <c r="X7582" s="42">
        <v>0</v>
      </c>
    </row>
    <row r="7583" spans="1:24">
      <c r="A7583" s="27" t="s">
        <v>13643</v>
      </c>
      <c r="B7583" s="28" t="s">
        <v>12240</v>
      </c>
      <c r="C7583" s="27" t="s">
        <v>13644</v>
      </c>
      <c r="D7583" s="27" t="s">
        <v>5104</v>
      </c>
      <c r="E7583" s="29">
        <v>40908</v>
      </c>
      <c r="F7583" s="27">
        <v>15</v>
      </c>
      <c r="G7583" s="18">
        <v>5157.09</v>
      </c>
      <c r="H7583" s="27">
        <f t="shared" si="236"/>
        <v>0</v>
      </c>
      <c r="I7583" s="18">
        <v>2778.52</v>
      </c>
      <c r="J7583" s="27">
        <v>5157.09</v>
      </c>
      <c r="K7583" s="18">
        <f t="shared" si="237"/>
        <v>0</v>
      </c>
      <c r="L7583" s="27">
        <v>3043.61</v>
      </c>
      <c r="M7583" s="36">
        <v>265.08999999999997</v>
      </c>
      <c r="T7583" s="41">
        <v>0</v>
      </c>
      <c r="U7583" s="41">
        <v>0</v>
      </c>
      <c r="V7583" s="42" t="s">
        <v>113</v>
      </c>
      <c r="W7583" s="42">
        <v>0</v>
      </c>
      <c r="X7583" s="42">
        <v>0</v>
      </c>
    </row>
    <row r="7584" spans="1:24">
      <c r="A7584" s="27" t="s">
        <v>13645</v>
      </c>
      <c r="B7584" s="28" t="s">
        <v>12240</v>
      </c>
      <c r="C7584" s="27" t="s">
        <v>13646</v>
      </c>
      <c r="D7584" s="27" t="s">
        <v>5104</v>
      </c>
      <c r="E7584" s="29">
        <v>40908</v>
      </c>
      <c r="F7584" s="27">
        <v>15</v>
      </c>
      <c r="G7584" s="18">
        <v>5157.09</v>
      </c>
      <c r="H7584" s="27">
        <f t="shared" si="236"/>
        <v>0</v>
      </c>
      <c r="I7584" s="18">
        <v>2778.52</v>
      </c>
      <c r="J7584" s="27">
        <v>5157.09</v>
      </c>
      <c r="K7584" s="18">
        <f t="shared" si="237"/>
        <v>0</v>
      </c>
      <c r="L7584" s="27">
        <v>3043.61</v>
      </c>
      <c r="M7584" s="36">
        <v>265.08999999999997</v>
      </c>
      <c r="T7584" s="41">
        <v>0</v>
      </c>
      <c r="U7584" s="41">
        <v>0</v>
      </c>
      <c r="V7584" s="42" t="s">
        <v>113</v>
      </c>
      <c r="W7584" s="42">
        <v>0</v>
      </c>
      <c r="X7584" s="42">
        <v>0</v>
      </c>
    </row>
    <row r="7585" spans="1:24">
      <c r="A7585" s="27" t="s">
        <v>13647</v>
      </c>
      <c r="B7585" s="28" t="s">
        <v>12240</v>
      </c>
      <c r="C7585" s="27" t="s">
        <v>13648</v>
      </c>
      <c r="D7585" s="27" t="s">
        <v>5104</v>
      </c>
      <c r="E7585" s="29">
        <v>40908</v>
      </c>
      <c r="F7585" s="27">
        <v>15</v>
      </c>
      <c r="G7585" s="18">
        <v>5157.09</v>
      </c>
      <c r="H7585" s="27">
        <f t="shared" si="236"/>
        <v>0</v>
      </c>
      <c r="I7585" s="18">
        <v>2778.52</v>
      </c>
      <c r="J7585" s="27">
        <v>5157.09</v>
      </c>
      <c r="K7585" s="18">
        <f t="shared" si="237"/>
        <v>0</v>
      </c>
      <c r="L7585" s="27">
        <v>3043.61</v>
      </c>
      <c r="M7585" s="36">
        <v>265.08999999999997</v>
      </c>
      <c r="T7585" s="41">
        <v>0</v>
      </c>
      <c r="U7585" s="41">
        <v>0</v>
      </c>
      <c r="V7585" s="42" t="s">
        <v>113</v>
      </c>
      <c r="W7585" s="42">
        <v>0</v>
      </c>
      <c r="X7585" s="42">
        <v>0</v>
      </c>
    </row>
    <row r="7586" spans="1:24">
      <c r="A7586" s="27" t="s">
        <v>13649</v>
      </c>
      <c r="B7586" s="28" t="s">
        <v>12240</v>
      </c>
      <c r="C7586" s="27" t="s">
        <v>13650</v>
      </c>
      <c r="D7586" s="27" t="s">
        <v>5104</v>
      </c>
      <c r="E7586" s="29">
        <v>40908</v>
      </c>
      <c r="F7586" s="27">
        <v>15</v>
      </c>
      <c r="G7586" s="18">
        <v>5157.09</v>
      </c>
      <c r="H7586" s="27">
        <f t="shared" si="236"/>
        <v>0</v>
      </c>
      <c r="I7586" s="18">
        <v>2778.52</v>
      </c>
      <c r="J7586" s="27">
        <v>5157.09</v>
      </c>
      <c r="K7586" s="18">
        <f t="shared" si="237"/>
        <v>0</v>
      </c>
      <c r="L7586" s="27">
        <v>3043.61</v>
      </c>
      <c r="M7586" s="36">
        <v>265.08999999999997</v>
      </c>
      <c r="T7586" s="41">
        <v>0</v>
      </c>
      <c r="U7586" s="41">
        <v>0</v>
      </c>
      <c r="V7586" s="42" t="s">
        <v>113</v>
      </c>
      <c r="W7586" s="42">
        <v>0</v>
      </c>
      <c r="X7586" s="42">
        <v>0</v>
      </c>
    </row>
    <row r="7587" spans="1:24">
      <c r="A7587" s="27" t="s">
        <v>13651</v>
      </c>
      <c r="B7587" s="28" t="s">
        <v>12240</v>
      </c>
      <c r="C7587" s="27" t="s">
        <v>13652</v>
      </c>
      <c r="D7587" s="27" t="s">
        <v>5104</v>
      </c>
      <c r="E7587" s="29">
        <v>40908</v>
      </c>
      <c r="F7587" s="27">
        <v>15</v>
      </c>
      <c r="G7587" s="18">
        <v>5157.09</v>
      </c>
      <c r="H7587" s="27">
        <f t="shared" si="236"/>
        <v>0</v>
      </c>
      <c r="I7587" s="18">
        <v>2778.52</v>
      </c>
      <c r="J7587" s="27">
        <v>5157.09</v>
      </c>
      <c r="K7587" s="18">
        <f t="shared" si="237"/>
        <v>0</v>
      </c>
      <c r="L7587" s="27">
        <v>3043.61</v>
      </c>
      <c r="M7587" s="36">
        <v>265.08999999999997</v>
      </c>
      <c r="T7587" s="41">
        <v>0</v>
      </c>
      <c r="U7587" s="41">
        <v>0</v>
      </c>
      <c r="V7587" s="42" t="s">
        <v>113</v>
      </c>
      <c r="W7587" s="42">
        <v>0</v>
      </c>
      <c r="X7587" s="42">
        <v>0</v>
      </c>
    </row>
    <row r="7588" spans="1:24">
      <c r="A7588" s="27" t="s">
        <v>13653</v>
      </c>
      <c r="B7588" s="28" t="s">
        <v>12240</v>
      </c>
      <c r="C7588" s="27" t="s">
        <v>13654</v>
      </c>
      <c r="D7588" s="27" t="s">
        <v>5104</v>
      </c>
      <c r="E7588" s="29">
        <v>40908</v>
      </c>
      <c r="F7588" s="27">
        <v>15</v>
      </c>
      <c r="G7588" s="18">
        <v>5157.09</v>
      </c>
      <c r="H7588" s="27">
        <f t="shared" si="236"/>
        <v>0</v>
      </c>
      <c r="I7588" s="18">
        <v>2778.52</v>
      </c>
      <c r="J7588" s="27">
        <v>5157.09</v>
      </c>
      <c r="K7588" s="18">
        <f t="shared" si="237"/>
        <v>0</v>
      </c>
      <c r="L7588" s="27">
        <v>3043.61</v>
      </c>
      <c r="M7588" s="36">
        <v>265.08999999999997</v>
      </c>
      <c r="T7588" s="41">
        <v>0</v>
      </c>
      <c r="U7588" s="41">
        <v>0</v>
      </c>
      <c r="V7588" s="42" t="s">
        <v>113</v>
      </c>
      <c r="W7588" s="42">
        <v>0</v>
      </c>
      <c r="X7588" s="42">
        <v>0</v>
      </c>
    </row>
    <row r="7589" spans="1:24">
      <c r="A7589" s="27" t="s">
        <v>13655</v>
      </c>
      <c r="B7589" s="28" t="s">
        <v>12240</v>
      </c>
      <c r="C7589" s="27" t="s">
        <v>13656</v>
      </c>
      <c r="D7589" s="27" t="s">
        <v>5104</v>
      </c>
      <c r="E7589" s="29">
        <v>40908</v>
      </c>
      <c r="F7589" s="27">
        <v>15</v>
      </c>
      <c r="G7589" s="18">
        <v>5157.09</v>
      </c>
      <c r="H7589" s="27">
        <f t="shared" si="236"/>
        <v>0</v>
      </c>
      <c r="I7589" s="18">
        <v>2778.52</v>
      </c>
      <c r="J7589" s="27">
        <v>5157.09</v>
      </c>
      <c r="K7589" s="18">
        <f t="shared" si="237"/>
        <v>0</v>
      </c>
      <c r="L7589" s="27">
        <v>3043.61</v>
      </c>
      <c r="M7589" s="36">
        <v>265.08999999999997</v>
      </c>
      <c r="T7589" s="41">
        <v>0</v>
      </c>
      <c r="U7589" s="41">
        <v>0</v>
      </c>
      <c r="V7589" s="42" t="s">
        <v>113</v>
      </c>
      <c r="W7589" s="42">
        <v>0</v>
      </c>
      <c r="X7589" s="42">
        <v>0</v>
      </c>
    </row>
    <row r="7590" spans="1:24">
      <c r="A7590" s="27" t="s">
        <v>13657</v>
      </c>
      <c r="B7590" s="28" t="s">
        <v>12240</v>
      </c>
      <c r="C7590" s="27" t="s">
        <v>13658</v>
      </c>
      <c r="D7590" s="27" t="s">
        <v>5104</v>
      </c>
      <c r="E7590" s="29">
        <v>40908</v>
      </c>
      <c r="F7590" s="27">
        <v>15</v>
      </c>
      <c r="G7590" s="18">
        <v>5157.09</v>
      </c>
      <c r="H7590" s="27">
        <f t="shared" si="236"/>
        <v>0</v>
      </c>
      <c r="I7590" s="18">
        <v>2778.52</v>
      </c>
      <c r="J7590" s="27">
        <v>5157.09</v>
      </c>
      <c r="K7590" s="18">
        <f t="shared" si="237"/>
        <v>0</v>
      </c>
      <c r="L7590" s="27">
        <v>3043.61</v>
      </c>
      <c r="M7590" s="36">
        <v>265.08999999999997</v>
      </c>
      <c r="T7590" s="41">
        <v>0</v>
      </c>
      <c r="U7590" s="41">
        <v>0</v>
      </c>
      <c r="V7590" s="42" t="s">
        <v>113</v>
      </c>
      <c r="W7590" s="42">
        <v>0</v>
      </c>
      <c r="X7590" s="42">
        <v>0</v>
      </c>
    </row>
    <row r="7591" spans="1:24">
      <c r="A7591" s="27" t="s">
        <v>13659</v>
      </c>
      <c r="B7591" s="28" t="s">
        <v>12240</v>
      </c>
      <c r="C7591" s="27" t="s">
        <v>13660</v>
      </c>
      <c r="D7591" s="27" t="s">
        <v>5104</v>
      </c>
      <c r="E7591" s="29">
        <v>40908</v>
      </c>
      <c r="F7591" s="27">
        <v>15</v>
      </c>
      <c r="G7591" s="18">
        <v>5157.09</v>
      </c>
      <c r="H7591" s="27">
        <f t="shared" si="236"/>
        <v>0</v>
      </c>
      <c r="I7591" s="18">
        <v>2778.52</v>
      </c>
      <c r="J7591" s="27">
        <v>5157.09</v>
      </c>
      <c r="K7591" s="18">
        <f t="shared" si="237"/>
        <v>0</v>
      </c>
      <c r="L7591" s="27">
        <v>3043.61</v>
      </c>
      <c r="M7591" s="36">
        <v>265.08999999999997</v>
      </c>
      <c r="T7591" s="41">
        <v>0</v>
      </c>
      <c r="U7591" s="41">
        <v>0</v>
      </c>
      <c r="V7591" s="42" t="s">
        <v>113</v>
      </c>
      <c r="W7591" s="42">
        <v>0</v>
      </c>
      <c r="X7591" s="42">
        <v>0</v>
      </c>
    </row>
    <row r="7592" spans="1:24">
      <c r="A7592" s="27" t="s">
        <v>13661</v>
      </c>
      <c r="B7592" s="28" t="s">
        <v>12240</v>
      </c>
      <c r="C7592" s="27" t="s">
        <v>13662</v>
      </c>
      <c r="D7592" s="27" t="s">
        <v>5104</v>
      </c>
      <c r="E7592" s="29">
        <v>40908</v>
      </c>
      <c r="F7592" s="27">
        <v>15</v>
      </c>
      <c r="G7592" s="18">
        <v>5157</v>
      </c>
      <c r="H7592" s="27">
        <f t="shared" si="236"/>
        <v>0</v>
      </c>
      <c r="I7592" s="18">
        <v>2778.47</v>
      </c>
      <c r="J7592" s="27">
        <v>5157</v>
      </c>
      <c r="K7592" s="18">
        <f t="shared" si="237"/>
        <v>0</v>
      </c>
      <c r="L7592" s="27">
        <v>3043.56</v>
      </c>
      <c r="M7592" s="36">
        <v>265.08999999999997</v>
      </c>
      <c r="T7592" s="41">
        <v>0</v>
      </c>
      <c r="U7592" s="41">
        <v>0</v>
      </c>
      <c r="V7592" s="42" t="s">
        <v>113</v>
      </c>
      <c r="W7592" s="42">
        <v>0</v>
      </c>
      <c r="X7592" s="42">
        <v>0</v>
      </c>
    </row>
    <row r="7593" spans="1:24">
      <c r="A7593" s="27" t="s">
        <v>13663</v>
      </c>
      <c r="B7593" s="28" t="s">
        <v>12240</v>
      </c>
      <c r="C7593" s="27" t="s">
        <v>13664</v>
      </c>
      <c r="D7593" s="27" t="s">
        <v>230</v>
      </c>
      <c r="E7593" s="29">
        <v>40512</v>
      </c>
      <c r="F7593" s="27">
        <v>15</v>
      </c>
      <c r="G7593" s="18">
        <v>62715.82</v>
      </c>
      <c r="H7593" s="27">
        <f t="shared" si="236"/>
        <v>0</v>
      </c>
      <c r="I7593" s="18">
        <v>39147.19</v>
      </c>
      <c r="J7593" s="27">
        <v>62715.82</v>
      </c>
      <c r="K7593" s="18">
        <f t="shared" si="237"/>
        <v>0</v>
      </c>
      <c r="L7593" s="27">
        <v>42101.34</v>
      </c>
      <c r="M7593" s="36">
        <v>2954.15</v>
      </c>
      <c r="T7593" s="41">
        <v>0</v>
      </c>
      <c r="U7593" s="41">
        <v>0</v>
      </c>
      <c r="V7593" s="42" t="s">
        <v>113</v>
      </c>
      <c r="W7593" s="42">
        <v>0</v>
      </c>
      <c r="X7593" s="42">
        <v>0</v>
      </c>
    </row>
    <row r="7594" spans="1:24">
      <c r="A7594" s="27" t="s">
        <v>13665</v>
      </c>
      <c r="B7594" s="28" t="s">
        <v>12240</v>
      </c>
      <c r="C7594" s="27" t="s">
        <v>13666</v>
      </c>
      <c r="D7594" s="27" t="s">
        <v>230</v>
      </c>
      <c r="E7594" s="29">
        <v>40512</v>
      </c>
      <c r="F7594" s="27">
        <v>15</v>
      </c>
      <c r="G7594" s="18">
        <v>22715.82</v>
      </c>
      <c r="H7594" s="27">
        <f t="shared" si="236"/>
        <v>0</v>
      </c>
      <c r="I7594" s="18">
        <v>18954.45</v>
      </c>
      <c r="J7594" s="27">
        <v>22715.82</v>
      </c>
      <c r="K7594" s="18">
        <f t="shared" si="237"/>
        <v>0</v>
      </c>
      <c r="L7594" s="27">
        <v>19334.05</v>
      </c>
      <c r="M7594" s="36">
        <v>379.6</v>
      </c>
      <c r="T7594" s="41">
        <v>0</v>
      </c>
      <c r="U7594" s="41">
        <v>0</v>
      </c>
      <c r="V7594" s="42" t="s">
        <v>113</v>
      </c>
      <c r="W7594" s="42">
        <v>0</v>
      </c>
      <c r="X7594" s="42">
        <v>0</v>
      </c>
    </row>
    <row r="7595" spans="1:24">
      <c r="A7595" s="27" t="s">
        <v>13667</v>
      </c>
      <c r="B7595" s="28" t="s">
        <v>12240</v>
      </c>
      <c r="C7595" s="27" t="s">
        <v>13668</v>
      </c>
      <c r="D7595" s="27" t="s">
        <v>230</v>
      </c>
      <c r="E7595" s="29">
        <v>40512</v>
      </c>
      <c r="F7595" s="27">
        <v>15</v>
      </c>
      <c r="G7595" s="18">
        <v>69236.19</v>
      </c>
      <c r="H7595" s="27">
        <f t="shared" si="236"/>
        <v>0</v>
      </c>
      <c r="I7595" s="18">
        <v>45480.31</v>
      </c>
      <c r="J7595" s="27">
        <v>69236.19</v>
      </c>
      <c r="K7595" s="18">
        <f t="shared" si="237"/>
        <v>0</v>
      </c>
      <c r="L7595" s="27">
        <v>48414.39</v>
      </c>
      <c r="M7595" s="36">
        <v>2934.08</v>
      </c>
      <c r="T7595" s="41">
        <v>0</v>
      </c>
      <c r="U7595" s="41">
        <v>0</v>
      </c>
      <c r="V7595" s="42" t="s">
        <v>113</v>
      </c>
      <c r="W7595" s="42">
        <v>0</v>
      </c>
      <c r="X7595" s="42">
        <v>0</v>
      </c>
    </row>
    <row r="7596" spans="1:24">
      <c r="A7596" s="27" t="s">
        <v>13669</v>
      </c>
      <c r="B7596" s="28" t="s">
        <v>12240</v>
      </c>
      <c r="C7596" s="27" t="s">
        <v>13670</v>
      </c>
      <c r="D7596" s="27" t="s">
        <v>230</v>
      </c>
      <c r="E7596" s="29">
        <v>40908</v>
      </c>
      <c r="F7596" s="27">
        <v>15</v>
      </c>
      <c r="G7596" s="18">
        <v>70456.84</v>
      </c>
      <c r="H7596" s="27">
        <f t="shared" si="236"/>
        <v>0</v>
      </c>
      <c r="I7596" s="18">
        <v>38285.11</v>
      </c>
      <c r="J7596" s="27">
        <v>70456.84</v>
      </c>
      <c r="K7596" s="18">
        <f t="shared" si="237"/>
        <v>0</v>
      </c>
      <c r="L7596" s="27">
        <v>41866.22</v>
      </c>
      <c r="M7596" s="36">
        <v>3581.11</v>
      </c>
      <c r="T7596" s="41">
        <v>0</v>
      </c>
      <c r="U7596" s="41">
        <v>0</v>
      </c>
      <c r="V7596" s="42" t="s">
        <v>113</v>
      </c>
      <c r="W7596" s="42">
        <v>0</v>
      </c>
      <c r="X7596" s="42">
        <v>0</v>
      </c>
    </row>
    <row r="7597" spans="1:24">
      <c r="A7597" s="27" t="s">
        <v>13671</v>
      </c>
      <c r="B7597" s="28" t="s">
        <v>12240</v>
      </c>
      <c r="C7597" s="27" t="s">
        <v>13672</v>
      </c>
      <c r="D7597" s="27" t="s">
        <v>230</v>
      </c>
      <c r="E7597" s="29">
        <v>40908</v>
      </c>
      <c r="F7597" s="27">
        <v>15</v>
      </c>
      <c r="G7597" s="18">
        <v>58369.09</v>
      </c>
      <c r="H7597" s="27">
        <f t="shared" si="236"/>
        <v>0</v>
      </c>
      <c r="I7597" s="18">
        <v>31446.9</v>
      </c>
      <c r="J7597" s="27">
        <v>58369.09</v>
      </c>
      <c r="K7597" s="18">
        <f t="shared" si="237"/>
        <v>0</v>
      </c>
      <c r="L7597" s="27">
        <v>34447.370000000003</v>
      </c>
      <c r="M7597" s="36">
        <v>3000.47</v>
      </c>
      <c r="T7597" s="41">
        <v>0</v>
      </c>
      <c r="U7597" s="41">
        <v>0</v>
      </c>
      <c r="V7597" s="42" t="s">
        <v>113</v>
      </c>
      <c r="W7597" s="42">
        <v>0</v>
      </c>
      <c r="X7597" s="42">
        <v>0</v>
      </c>
    </row>
    <row r="7598" spans="1:24">
      <c r="A7598" s="27" t="s">
        <v>13673</v>
      </c>
      <c r="B7598" s="28" t="s">
        <v>12240</v>
      </c>
      <c r="C7598" s="27" t="s">
        <v>13674</v>
      </c>
      <c r="D7598" s="27" t="s">
        <v>230</v>
      </c>
      <c r="E7598" s="29">
        <v>40908</v>
      </c>
      <c r="F7598" s="27">
        <v>15</v>
      </c>
      <c r="G7598" s="18">
        <v>58369.09</v>
      </c>
      <c r="H7598" s="27">
        <f t="shared" si="236"/>
        <v>0</v>
      </c>
      <c r="I7598" s="18">
        <v>31446.89</v>
      </c>
      <c r="J7598" s="27">
        <v>58369.09</v>
      </c>
      <c r="K7598" s="18">
        <f t="shared" si="237"/>
        <v>0</v>
      </c>
      <c r="L7598" s="27">
        <v>34447.360000000001</v>
      </c>
      <c r="M7598" s="36">
        <v>3000.47</v>
      </c>
      <c r="T7598" s="41">
        <v>0</v>
      </c>
      <c r="U7598" s="41">
        <v>0</v>
      </c>
      <c r="V7598" s="42" t="s">
        <v>113</v>
      </c>
      <c r="W7598" s="42">
        <v>0</v>
      </c>
      <c r="X7598" s="42">
        <v>0</v>
      </c>
    </row>
    <row r="7599" spans="1:24">
      <c r="A7599" s="27" t="s">
        <v>13675</v>
      </c>
      <c r="B7599" s="28" t="s">
        <v>12240</v>
      </c>
      <c r="C7599" s="27" t="s">
        <v>13676</v>
      </c>
      <c r="D7599" s="27" t="s">
        <v>230</v>
      </c>
      <c r="E7599" s="29">
        <v>40908</v>
      </c>
      <c r="F7599" s="27">
        <v>15</v>
      </c>
      <c r="G7599" s="18">
        <v>58369.09</v>
      </c>
      <c r="H7599" s="27">
        <f t="shared" si="236"/>
        <v>0</v>
      </c>
      <c r="I7599" s="18">
        <v>31446.9</v>
      </c>
      <c r="J7599" s="27">
        <v>58369.09</v>
      </c>
      <c r="K7599" s="18">
        <f t="shared" si="237"/>
        <v>0</v>
      </c>
      <c r="L7599" s="27">
        <v>34447.370000000003</v>
      </c>
      <c r="M7599" s="36">
        <v>3000.47</v>
      </c>
      <c r="T7599" s="41">
        <v>0</v>
      </c>
      <c r="U7599" s="41">
        <v>0</v>
      </c>
      <c r="V7599" s="42" t="s">
        <v>113</v>
      </c>
      <c r="W7599" s="42">
        <v>0</v>
      </c>
      <c r="X7599" s="42">
        <v>0</v>
      </c>
    </row>
    <row r="7600" spans="1:24">
      <c r="A7600" s="27" t="s">
        <v>13677</v>
      </c>
      <c r="B7600" s="28" t="s">
        <v>12240</v>
      </c>
      <c r="C7600" s="27" t="s">
        <v>13678</v>
      </c>
      <c r="D7600" s="27" t="s">
        <v>230</v>
      </c>
      <c r="E7600" s="29">
        <v>40908</v>
      </c>
      <c r="F7600" s="27">
        <v>15</v>
      </c>
      <c r="G7600" s="18">
        <v>52610.559999999998</v>
      </c>
      <c r="H7600" s="27">
        <f t="shared" si="236"/>
        <v>0</v>
      </c>
      <c r="I7600" s="18">
        <v>27269.82</v>
      </c>
      <c r="J7600" s="27">
        <v>52610.559999999998</v>
      </c>
      <c r="K7600" s="18">
        <f t="shared" si="237"/>
        <v>0</v>
      </c>
      <c r="L7600" s="27">
        <v>30108.6</v>
      </c>
      <c r="M7600" s="36">
        <v>2838.78</v>
      </c>
      <c r="T7600" s="41">
        <v>0</v>
      </c>
      <c r="U7600" s="41">
        <v>0</v>
      </c>
      <c r="V7600" s="42" t="s">
        <v>113</v>
      </c>
      <c r="W7600" s="42">
        <v>0</v>
      </c>
      <c r="X7600" s="42">
        <v>0</v>
      </c>
    </row>
    <row r="7601" spans="1:24">
      <c r="A7601" s="27" t="s">
        <v>13679</v>
      </c>
      <c r="B7601" s="28" t="s">
        <v>12240</v>
      </c>
      <c r="C7601" s="27" t="s">
        <v>13680</v>
      </c>
      <c r="D7601" s="27" t="s">
        <v>5104</v>
      </c>
      <c r="E7601" s="29">
        <v>40908</v>
      </c>
      <c r="F7601" s="27">
        <v>15</v>
      </c>
      <c r="G7601" s="18">
        <v>55007.64</v>
      </c>
      <c r="H7601" s="27">
        <f t="shared" si="236"/>
        <v>0</v>
      </c>
      <c r="I7601" s="18">
        <v>30031.53</v>
      </c>
      <c r="J7601" s="27">
        <v>55007.64</v>
      </c>
      <c r="K7601" s="18">
        <f t="shared" si="237"/>
        <v>0</v>
      </c>
      <c r="L7601" s="27">
        <v>32809.75</v>
      </c>
      <c r="M7601" s="36">
        <v>2778.22</v>
      </c>
      <c r="T7601" s="41">
        <v>0</v>
      </c>
      <c r="U7601" s="41">
        <v>0</v>
      </c>
      <c r="V7601" s="42" t="s">
        <v>113</v>
      </c>
      <c r="W7601" s="42">
        <v>0</v>
      </c>
      <c r="X7601" s="42">
        <v>0</v>
      </c>
    </row>
    <row r="7602" spans="1:24">
      <c r="A7602" s="27" t="s">
        <v>13681</v>
      </c>
      <c r="B7602" s="28" t="s">
        <v>12240</v>
      </c>
      <c r="C7602" s="27" t="s">
        <v>13682</v>
      </c>
      <c r="D7602" s="27" t="s">
        <v>5104</v>
      </c>
      <c r="E7602" s="29">
        <v>40908</v>
      </c>
      <c r="F7602" s="27">
        <v>15</v>
      </c>
      <c r="G7602" s="18">
        <v>55007.64</v>
      </c>
      <c r="H7602" s="27">
        <f t="shared" si="236"/>
        <v>0</v>
      </c>
      <c r="I7602" s="18">
        <v>30031.53</v>
      </c>
      <c r="J7602" s="27">
        <v>55007.64</v>
      </c>
      <c r="K7602" s="18">
        <f t="shared" si="237"/>
        <v>0</v>
      </c>
      <c r="L7602" s="27">
        <v>32809.75</v>
      </c>
      <c r="M7602" s="36">
        <v>2778.22</v>
      </c>
      <c r="T7602" s="41">
        <v>0</v>
      </c>
      <c r="U7602" s="41">
        <v>0</v>
      </c>
      <c r="V7602" s="42" t="s">
        <v>113</v>
      </c>
      <c r="W7602" s="42">
        <v>0</v>
      </c>
      <c r="X7602" s="42">
        <v>0</v>
      </c>
    </row>
    <row r="7603" spans="1:24">
      <c r="A7603" s="27" t="s">
        <v>13683</v>
      </c>
      <c r="B7603" s="28" t="s">
        <v>12240</v>
      </c>
      <c r="C7603" s="27" t="s">
        <v>13684</v>
      </c>
      <c r="D7603" s="27" t="s">
        <v>5104</v>
      </c>
      <c r="E7603" s="29">
        <v>40908</v>
      </c>
      <c r="F7603" s="27">
        <v>15</v>
      </c>
      <c r="G7603" s="18">
        <v>55007.63</v>
      </c>
      <c r="H7603" s="27">
        <f t="shared" si="236"/>
        <v>0</v>
      </c>
      <c r="I7603" s="18">
        <v>30031.53</v>
      </c>
      <c r="J7603" s="27">
        <v>55007.63</v>
      </c>
      <c r="K7603" s="18">
        <f t="shared" si="237"/>
        <v>0</v>
      </c>
      <c r="L7603" s="27">
        <v>32809.75</v>
      </c>
      <c r="M7603" s="36">
        <v>2778.22</v>
      </c>
      <c r="T7603" s="41">
        <v>0</v>
      </c>
      <c r="U7603" s="41">
        <v>0</v>
      </c>
      <c r="V7603" s="42" t="s">
        <v>113</v>
      </c>
      <c r="W7603" s="42">
        <v>0</v>
      </c>
      <c r="X7603" s="42">
        <v>0</v>
      </c>
    </row>
    <row r="7604" spans="1:24">
      <c r="A7604" s="27" t="s">
        <v>13685</v>
      </c>
      <c r="B7604" s="28" t="s">
        <v>12240</v>
      </c>
      <c r="C7604" s="27" t="s">
        <v>13686</v>
      </c>
      <c r="D7604" s="27" t="s">
        <v>5104</v>
      </c>
      <c r="E7604" s="29">
        <v>40908</v>
      </c>
      <c r="F7604" s="27">
        <v>15</v>
      </c>
      <c r="G7604" s="18">
        <v>55007.63</v>
      </c>
      <c r="H7604" s="27">
        <f t="shared" si="236"/>
        <v>0</v>
      </c>
      <c r="I7604" s="18">
        <v>30031.53</v>
      </c>
      <c r="J7604" s="27">
        <v>55007.63</v>
      </c>
      <c r="K7604" s="18">
        <f t="shared" si="237"/>
        <v>0</v>
      </c>
      <c r="L7604" s="27">
        <v>32809.75</v>
      </c>
      <c r="M7604" s="36">
        <v>2778.22</v>
      </c>
      <c r="T7604" s="41">
        <v>0</v>
      </c>
      <c r="U7604" s="41">
        <v>0</v>
      </c>
      <c r="V7604" s="42" t="s">
        <v>113</v>
      </c>
      <c r="W7604" s="42">
        <v>0</v>
      </c>
      <c r="X7604" s="42">
        <v>0</v>
      </c>
    </row>
    <row r="7605" spans="1:24">
      <c r="A7605" s="27" t="s">
        <v>13687</v>
      </c>
      <c r="B7605" s="28" t="s">
        <v>12240</v>
      </c>
      <c r="C7605" s="27" t="s">
        <v>13688</v>
      </c>
      <c r="D7605" s="27" t="s">
        <v>5104</v>
      </c>
      <c r="E7605" s="29">
        <v>40908</v>
      </c>
      <c r="F7605" s="27">
        <v>15</v>
      </c>
      <c r="G7605" s="18">
        <v>55007.63</v>
      </c>
      <c r="H7605" s="27">
        <f t="shared" si="236"/>
        <v>0</v>
      </c>
      <c r="I7605" s="18">
        <v>30031.53</v>
      </c>
      <c r="J7605" s="27">
        <v>55007.63</v>
      </c>
      <c r="K7605" s="18">
        <f t="shared" si="237"/>
        <v>0</v>
      </c>
      <c r="L7605" s="27">
        <v>32809.75</v>
      </c>
      <c r="M7605" s="36">
        <v>2778.22</v>
      </c>
      <c r="T7605" s="41">
        <v>0</v>
      </c>
      <c r="U7605" s="41">
        <v>0</v>
      </c>
      <c r="V7605" s="42" t="s">
        <v>113</v>
      </c>
      <c r="W7605" s="42">
        <v>0</v>
      </c>
      <c r="X7605" s="42">
        <v>0</v>
      </c>
    </row>
    <row r="7606" spans="1:24">
      <c r="A7606" s="27" t="s">
        <v>13689</v>
      </c>
      <c r="B7606" s="28" t="s">
        <v>12240</v>
      </c>
      <c r="C7606" s="27" t="s">
        <v>13690</v>
      </c>
      <c r="D7606" s="27" t="s">
        <v>5104</v>
      </c>
      <c r="E7606" s="29">
        <v>40908</v>
      </c>
      <c r="F7606" s="27">
        <v>15</v>
      </c>
      <c r="G7606" s="18">
        <v>55007.63</v>
      </c>
      <c r="H7606" s="27">
        <f t="shared" si="236"/>
        <v>0</v>
      </c>
      <c r="I7606" s="18">
        <v>30031.53</v>
      </c>
      <c r="J7606" s="27">
        <v>55007.63</v>
      </c>
      <c r="K7606" s="18">
        <f t="shared" si="237"/>
        <v>0</v>
      </c>
      <c r="L7606" s="27">
        <v>32809.75</v>
      </c>
      <c r="M7606" s="36">
        <v>2778.22</v>
      </c>
      <c r="T7606" s="41">
        <v>0</v>
      </c>
      <c r="U7606" s="41">
        <v>0</v>
      </c>
      <c r="V7606" s="42" t="s">
        <v>113</v>
      </c>
      <c r="W7606" s="42">
        <v>0</v>
      </c>
      <c r="X7606" s="42">
        <v>0</v>
      </c>
    </row>
    <row r="7607" spans="1:24">
      <c r="A7607" s="27" t="s">
        <v>13691</v>
      </c>
      <c r="B7607" s="28" t="s">
        <v>12240</v>
      </c>
      <c r="C7607" s="27" t="s">
        <v>13692</v>
      </c>
      <c r="D7607" s="27" t="s">
        <v>5104</v>
      </c>
      <c r="E7607" s="29">
        <v>40908</v>
      </c>
      <c r="F7607" s="27">
        <v>15</v>
      </c>
      <c r="G7607" s="18">
        <v>55007.63</v>
      </c>
      <c r="H7607" s="27">
        <f t="shared" si="236"/>
        <v>0</v>
      </c>
      <c r="I7607" s="18">
        <v>30031.53</v>
      </c>
      <c r="J7607" s="27">
        <v>55007.63</v>
      </c>
      <c r="K7607" s="18">
        <f t="shared" si="237"/>
        <v>0</v>
      </c>
      <c r="L7607" s="27">
        <v>32809.75</v>
      </c>
      <c r="M7607" s="36">
        <v>2778.22</v>
      </c>
      <c r="T7607" s="41">
        <v>0</v>
      </c>
      <c r="U7607" s="41">
        <v>0</v>
      </c>
      <c r="V7607" s="42" t="s">
        <v>113</v>
      </c>
      <c r="W7607" s="42">
        <v>0</v>
      </c>
      <c r="X7607" s="42">
        <v>0</v>
      </c>
    </row>
    <row r="7608" spans="1:24">
      <c r="A7608" s="27" t="s">
        <v>13693</v>
      </c>
      <c r="B7608" s="28" t="s">
        <v>12240</v>
      </c>
      <c r="C7608" s="27" t="s">
        <v>13694</v>
      </c>
      <c r="D7608" s="27" t="s">
        <v>230</v>
      </c>
      <c r="E7608" s="29">
        <v>40908</v>
      </c>
      <c r="F7608" s="27">
        <v>15</v>
      </c>
      <c r="G7608" s="18">
        <v>46163.99</v>
      </c>
      <c r="H7608" s="27">
        <f t="shared" si="236"/>
        <v>0</v>
      </c>
      <c r="I7608" s="18">
        <v>23652.07</v>
      </c>
      <c r="J7608" s="27">
        <v>46163.99</v>
      </c>
      <c r="K7608" s="18">
        <f t="shared" si="237"/>
        <v>0</v>
      </c>
      <c r="L7608" s="27">
        <v>26177.54</v>
      </c>
      <c r="M7608" s="36">
        <v>2525.4699999999998</v>
      </c>
      <c r="T7608" s="41">
        <v>0</v>
      </c>
      <c r="U7608" s="41">
        <v>0</v>
      </c>
      <c r="V7608" s="42" t="s">
        <v>113</v>
      </c>
      <c r="W7608" s="42">
        <v>0</v>
      </c>
      <c r="X7608" s="42">
        <v>0</v>
      </c>
    </row>
    <row r="7609" spans="1:24">
      <c r="A7609" s="27" t="s">
        <v>13695</v>
      </c>
      <c r="B7609" s="28" t="s">
        <v>12240</v>
      </c>
      <c r="C7609" s="27" t="s">
        <v>13696</v>
      </c>
      <c r="D7609" s="27" t="s">
        <v>5104</v>
      </c>
      <c r="E7609" s="29">
        <v>40908</v>
      </c>
      <c r="F7609" s="27">
        <v>15</v>
      </c>
      <c r="G7609" s="18">
        <v>48555.47</v>
      </c>
      <c r="H7609" s="27">
        <f t="shared" si="236"/>
        <v>0</v>
      </c>
      <c r="I7609" s="18">
        <v>26158.43</v>
      </c>
      <c r="J7609" s="27">
        <v>48555.47</v>
      </c>
      <c r="K7609" s="18">
        <f t="shared" si="237"/>
        <v>0</v>
      </c>
      <c r="L7609" s="27">
        <v>28654.59</v>
      </c>
      <c r="M7609" s="36">
        <v>2496.16</v>
      </c>
      <c r="T7609" s="41">
        <v>0</v>
      </c>
      <c r="U7609" s="41">
        <v>0</v>
      </c>
      <c r="V7609" s="42" t="s">
        <v>113</v>
      </c>
      <c r="W7609" s="42">
        <v>0</v>
      </c>
      <c r="X7609" s="42">
        <v>0</v>
      </c>
    </row>
    <row r="7610" spans="1:24">
      <c r="A7610" s="27" t="s">
        <v>13697</v>
      </c>
      <c r="B7610" s="28" t="s">
        <v>12240</v>
      </c>
      <c r="C7610" s="27" t="s">
        <v>13698</v>
      </c>
      <c r="D7610" s="27" t="s">
        <v>230</v>
      </c>
      <c r="E7610" s="29">
        <v>40908</v>
      </c>
      <c r="F7610" s="27">
        <v>15</v>
      </c>
      <c r="G7610" s="18">
        <v>54000.1</v>
      </c>
      <c r="H7610" s="27">
        <f t="shared" si="236"/>
        <v>0</v>
      </c>
      <c r="I7610" s="18">
        <v>29340.32</v>
      </c>
      <c r="J7610" s="27">
        <v>54000.1</v>
      </c>
      <c r="K7610" s="18">
        <f t="shared" si="237"/>
        <v>0</v>
      </c>
      <c r="L7610" s="27">
        <v>32085.29</v>
      </c>
      <c r="M7610" s="36">
        <v>2744.97</v>
      </c>
      <c r="T7610" s="41">
        <v>0</v>
      </c>
      <c r="U7610" s="41">
        <v>0</v>
      </c>
      <c r="V7610" s="42" t="s">
        <v>113</v>
      </c>
      <c r="W7610" s="42">
        <v>0</v>
      </c>
      <c r="X7610" s="42">
        <v>0</v>
      </c>
    </row>
    <row r="7611" spans="1:24">
      <c r="A7611" s="27" t="s">
        <v>13699</v>
      </c>
      <c r="B7611" s="28" t="s">
        <v>12240</v>
      </c>
      <c r="C7611" s="27" t="s">
        <v>13700</v>
      </c>
      <c r="D7611" s="27" t="s">
        <v>230</v>
      </c>
      <c r="E7611" s="29">
        <v>40908</v>
      </c>
      <c r="F7611" s="27">
        <v>15</v>
      </c>
      <c r="G7611" s="18">
        <v>50852.63</v>
      </c>
      <c r="H7611" s="27">
        <f t="shared" si="236"/>
        <v>0</v>
      </c>
      <c r="I7611" s="18">
        <v>27960.75</v>
      </c>
      <c r="J7611" s="27">
        <v>50852.63</v>
      </c>
      <c r="K7611" s="18">
        <f t="shared" si="237"/>
        <v>0</v>
      </c>
      <c r="L7611" s="27">
        <v>30504.41</v>
      </c>
      <c r="M7611" s="36">
        <v>2543.66</v>
      </c>
      <c r="T7611" s="41">
        <v>0</v>
      </c>
      <c r="U7611" s="41">
        <v>0</v>
      </c>
      <c r="V7611" s="42" t="s">
        <v>113</v>
      </c>
      <c r="W7611" s="42">
        <v>0</v>
      </c>
      <c r="X7611" s="42">
        <v>0</v>
      </c>
    </row>
    <row r="7612" spans="1:24">
      <c r="A7612" s="27" t="s">
        <v>13701</v>
      </c>
      <c r="B7612" s="28" t="s">
        <v>12240</v>
      </c>
      <c r="C7612" s="27" t="s">
        <v>13702</v>
      </c>
      <c r="D7612" s="27" t="s">
        <v>230</v>
      </c>
      <c r="E7612" s="29">
        <v>40908</v>
      </c>
      <c r="F7612" s="27">
        <v>15</v>
      </c>
      <c r="G7612" s="18">
        <v>69644.160000000003</v>
      </c>
      <c r="H7612" s="27">
        <f t="shared" si="236"/>
        <v>0</v>
      </c>
      <c r="I7612" s="18">
        <v>45644.02</v>
      </c>
      <c r="J7612" s="27">
        <v>69644.160000000003</v>
      </c>
      <c r="K7612" s="18">
        <f t="shared" si="237"/>
        <v>0</v>
      </c>
      <c r="L7612" s="27">
        <v>48208.76</v>
      </c>
      <c r="M7612" s="36">
        <v>2564.7399999999998</v>
      </c>
      <c r="T7612" s="41">
        <v>0</v>
      </c>
      <c r="U7612" s="41">
        <v>0</v>
      </c>
      <c r="V7612" s="42" t="s">
        <v>113</v>
      </c>
      <c r="W7612" s="42">
        <v>0</v>
      </c>
      <c r="X7612" s="42">
        <v>0</v>
      </c>
    </row>
    <row r="7613" spans="1:24">
      <c r="A7613" s="27" t="s">
        <v>13703</v>
      </c>
      <c r="B7613" s="28" t="s">
        <v>12240</v>
      </c>
      <c r="C7613" s="27" t="s">
        <v>13704</v>
      </c>
      <c r="D7613" s="27" t="s">
        <v>5104</v>
      </c>
      <c r="E7613" s="29">
        <v>40908</v>
      </c>
      <c r="F7613" s="27">
        <v>15</v>
      </c>
      <c r="G7613" s="18">
        <v>61690.67</v>
      </c>
      <c r="H7613" s="27">
        <f t="shared" si="236"/>
        <v>0</v>
      </c>
      <c r="I7613" s="18">
        <v>33284.67</v>
      </c>
      <c r="J7613" s="27">
        <v>61690.67</v>
      </c>
      <c r="K7613" s="18">
        <f t="shared" si="237"/>
        <v>0</v>
      </c>
      <c r="L7613" s="27">
        <v>36449.85</v>
      </c>
      <c r="M7613" s="36">
        <v>3165.18</v>
      </c>
      <c r="T7613" s="41">
        <v>0</v>
      </c>
      <c r="U7613" s="41">
        <v>0</v>
      </c>
      <c r="V7613" s="42" t="s">
        <v>113</v>
      </c>
      <c r="W7613" s="42">
        <v>0</v>
      </c>
      <c r="X7613" s="42">
        <v>0</v>
      </c>
    </row>
    <row r="7614" spans="1:24">
      <c r="A7614" s="27" t="s">
        <v>13705</v>
      </c>
      <c r="B7614" s="28" t="s">
        <v>12240</v>
      </c>
      <c r="C7614" s="27" t="s">
        <v>13706</v>
      </c>
      <c r="D7614" s="27" t="s">
        <v>230</v>
      </c>
      <c r="E7614" s="29">
        <v>40908</v>
      </c>
      <c r="F7614" s="27">
        <v>15</v>
      </c>
      <c r="G7614" s="18">
        <v>61690.68</v>
      </c>
      <c r="H7614" s="27">
        <f t="shared" si="236"/>
        <v>0</v>
      </c>
      <c r="I7614" s="18">
        <v>33284.67</v>
      </c>
      <c r="J7614" s="27">
        <v>61690.68</v>
      </c>
      <c r="K7614" s="18">
        <f t="shared" si="237"/>
        <v>0</v>
      </c>
      <c r="L7614" s="27">
        <v>36449.86</v>
      </c>
      <c r="M7614" s="36">
        <v>3165.19</v>
      </c>
      <c r="T7614" s="41">
        <v>0</v>
      </c>
      <c r="U7614" s="41">
        <v>0</v>
      </c>
      <c r="V7614" s="42" t="s">
        <v>113</v>
      </c>
      <c r="W7614" s="42">
        <v>0</v>
      </c>
      <c r="X7614" s="42">
        <v>0</v>
      </c>
    </row>
    <row r="7615" spans="1:24">
      <c r="A7615" s="27" t="s">
        <v>13707</v>
      </c>
      <c r="B7615" s="28" t="s">
        <v>12240</v>
      </c>
      <c r="C7615" s="27" t="s">
        <v>13708</v>
      </c>
      <c r="D7615" s="27" t="s">
        <v>230</v>
      </c>
      <c r="E7615" s="29">
        <v>40908</v>
      </c>
      <c r="F7615" s="27">
        <v>15</v>
      </c>
      <c r="G7615" s="18">
        <v>50944.58</v>
      </c>
      <c r="H7615" s="27">
        <f t="shared" si="236"/>
        <v>0</v>
      </c>
      <c r="I7615" s="18">
        <v>27424.43</v>
      </c>
      <c r="J7615" s="27">
        <v>50944.58</v>
      </c>
      <c r="K7615" s="18">
        <f t="shared" si="237"/>
        <v>0</v>
      </c>
      <c r="L7615" s="27">
        <v>30046.05</v>
      </c>
      <c r="M7615" s="36">
        <v>2621.62</v>
      </c>
      <c r="T7615" s="41">
        <v>0</v>
      </c>
      <c r="U7615" s="41">
        <v>0</v>
      </c>
      <c r="V7615" s="42" t="s">
        <v>113</v>
      </c>
      <c r="W7615" s="42">
        <v>0</v>
      </c>
      <c r="X7615" s="42">
        <v>0</v>
      </c>
    </row>
    <row r="7616" spans="1:24">
      <c r="A7616" s="27" t="s">
        <v>13709</v>
      </c>
      <c r="B7616" s="28" t="s">
        <v>12240</v>
      </c>
      <c r="C7616" s="27" t="s">
        <v>13710</v>
      </c>
      <c r="D7616" s="27" t="s">
        <v>230</v>
      </c>
      <c r="E7616" s="29">
        <v>40908</v>
      </c>
      <c r="F7616" s="27">
        <v>15</v>
      </c>
      <c r="G7616" s="18">
        <v>50944.57</v>
      </c>
      <c r="H7616" s="27">
        <f t="shared" si="236"/>
        <v>0</v>
      </c>
      <c r="I7616" s="18">
        <v>27424.43</v>
      </c>
      <c r="J7616" s="27">
        <v>50944.57</v>
      </c>
      <c r="K7616" s="18">
        <f t="shared" si="237"/>
        <v>0</v>
      </c>
      <c r="L7616" s="27">
        <v>30046.04</v>
      </c>
      <c r="M7616" s="36">
        <v>2621.61</v>
      </c>
      <c r="T7616" s="41">
        <v>0</v>
      </c>
      <c r="U7616" s="41">
        <v>0</v>
      </c>
      <c r="V7616" s="42" t="s">
        <v>113</v>
      </c>
      <c r="W7616" s="42">
        <v>0</v>
      </c>
      <c r="X7616" s="42">
        <v>0</v>
      </c>
    </row>
    <row r="7617" spans="1:24">
      <c r="A7617" s="27" t="s">
        <v>13711</v>
      </c>
      <c r="B7617" s="28" t="s">
        <v>12240</v>
      </c>
      <c r="C7617" s="27" t="s">
        <v>13712</v>
      </c>
      <c r="D7617" s="27" t="s">
        <v>5104</v>
      </c>
      <c r="E7617" s="29">
        <v>40908</v>
      </c>
      <c r="F7617" s="27">
        <v>15</v>
      </c>
      <c r="G7617" s="18">
        <v>50944.57</v>
      </c>
      <c r="H7617" s="27">
        <f t="shared" si="236"/>
        <v>0</v>
      </c>
      <c r="I7617" s="18">
        <v>27424.43</v>
      </c>
      <c r="J7617" s="27">
        <v>50944.57</v>
      </c>
      <c r="K7617" s="18">
        <f t="shared" si="237"/>
        <v>0</v>
      </c>
      <c r="L7617" s="27">
        <v>30046.04</v>
      </c>
      <c r="M7617" s="36">
        <v>2621.61</v>
      </c>
      <c r="T7617" s="41">
        <v>0</v>
      </c>
      <c r="U7617" s="41">
        <v>0</v>
      </c>
      <c r="V7617" s="42" t="s">
        <v>113</v>
      </c>
      <c r="W7617" s="42">
        <v>0</v>
      </c>
      <c r="X7617" s="42">
        <v>0</v>
      </c>
    </row>
    <row r="7618" spans="1:24">
      <c r="A7618" s="27" t="s">
        <v>13713</v>
      </c>
      <c r="B7618" s="28" t="s">
        <v>12240</v>
      </c>
      <c r="C7618" s="27" t="s">
        <v>13714</v>
      </c>
      <c r="D7618" s="27" t="s">
        <v>230</v>
      </c>
      <c r="E7618" s="29">
        <v>41270</v>
      </c>
      <c r="F7618" s="27">
        <v>15</v>
      </c>
      <c r="G7618" s="18">
        <v>44846.95</v>
      </c>
      <c r="H7618" s="27">
        <f t="shared" si="236"/>
        <v>0</v>
      </c>
      <c r="I7618" s="18">
        <v>20398.099999999999</v>
      </c>
      <c r="J7618" s="27">
        <v>44846.95</v>
      </c>
      <c r="K7618" s="18">
        <f t="shared" si="237"/>
        <v>0</v>
      </c>
      <c r="L7618" s="27">
        <v>22865.49</v>
      </c>
      <c r="M7618" s="36">
        <v>2467.39</v>
      </c>
      <c r="T7618" s="41">
        <v>0</v>
      </c>
      <c r="U7618" s="41">
        <v>0</v>
      </c>
      <c r="V7618" s="42" t="s">
        <v>113</v>
      </c>
      <c r="W7618" s="42">
        <v>0</v>
      </c>
      <c r="X7618" s="42">
        <v>0</v>
      </c>
    </row>
    <row r="7619" spans="1:24">
      <c r="A7619" s="27" t="s">
        <v>13715</v>
      </c>
      <c r="B7619" s="28" t="s">
        <v>12240</v>
      </c>
      <c r="C7619" s="27" t="s">
        <v>13716</v>
      </c>
      <c r="D7619" s="27" t="s">
        <v>230</v>
      </c>
      <c r="E7619" s="29">
        <v>41270</v>
      </c>
      <c r="F7619" s="27">
        <v>15</v>
      </c>
      <c r="G7619" s="18">
        <v>44846.95</v>
      </c>
      <c r="H7619" s="27">
        <f t="shared" si="236"/>
        <v>0</v>
      </c>
      <c r="I7619" s="18">
        <v>20398.099999999999</v>
      </c>
      <c r="J7619" s="27">
        <v>44846.95</v>
      </c>
      <c r="K7619" s="18">
        <f t="shared" si="237"/>
        <v>0</v>
      </c>
      <c r="L7619" s="27">
        <v>22865.49</v>
      </c>
      <c r="M7619" s="36">
        <v>2467.39</v>
      </c>
      <c r="T7619" s="41">
        <v>0</v>
      </c>
      <c r="U7619" s="41">
        <v>0</v>
      </c>
      <c r="V7619" s="42" t="s">
        <v>113</v>
      </c>
      <c r="W7619" s="42">
        <v>0</v>
      </c>
      <c r="X7619" s="42">
        <v>0</v>
      </c>
    </row>
    <row r="7620" spans="1:24">
      <c r="A7620" s="27" t="s">
        <v>13717</v>
      </c>
      <c r="B7620" s="28" t="s">
        <v>12240</v>
      </c>
      <c r="C7620" s="27" t="s">
        <v>13718</v>
      </c>
      <c r="D7620" s="27" t="s">
        <v>230</v>
      </c>
      <c r="E7620" s="29">
        <v>41270</v>
      </c>
      <c r="F7620" s="27">
        <v>15</v>
      </c>
      <c r="G7620" s="18">
        <v>42558.62</v>
      </c>
      <c r="H7620" s="27">
        <f t="shared" si="236"/>
        <v>0</v>
      </c>
      <c r="I7620" s="18">
        <v>19357.29</v>
      </c>
      <c r="J7620" s="27">
        <v>42558.62</v>
      </c>
      <c r="K7620" s="18">
        <f t="shared" si="237"/>
        <v>0</v>
      </c>
      <c r="L7620" s="27">
        <v>21698.78</v>
      </c>
      <c r="M7620" s="36">
        <v>2341.4899999999998</v>
      </c>
      <c r="T7620" s="41">
        <v>0</v>
      </c>
      <c r="U7620" s="41">
        <v>0</v>
      </c>
      <c r="V7620" s="42" t="s">
        <v>113</v>
      </c>
      <c r="W7620" s="42">
        <v>0</v>
      </c>
      <c r="X7620" s="42">
        <v>0</v>
      </c>
    </row>
    <row r="7621" spans="1:24">
      <c r="A7621" s="27" t="s">
        <v>13719</v>
      </c>
      <c r="B7621" s="28" t="s">
        <v>12240</v>
      </c>
      <c r="C7621" s="27" t="s">
        <v>13720</v>
      </c>
      <c r="D7621" s="27" t="s">
        <v>230</v>
      </c>
      <c r="E7621" s="29">
        <v>41270</v>
      </c>
      <c r="F7621" s="27">
        <v>15</v>
      </c>
      <c r="G7621" s="18">
        <v>42558.62</v>
      </c>
      <c r="H7621" s="27">
        <f t="shared" si="236"/>
        <v>0</v>
      </c>
      <c r="I7621" s="18">
        <v>19357.29</v>
      </c>
      <c r="J7621" s="27">
        <v>42558.62</v>
      </c>
      <c r="K7621" s="18">
        <f t="shared" si="237"/>
        <v>0</v>
      </c>
      <c r="L7621" s="27">
        <v>21698.78</v>
      </c>
      <c r="M7621" s="36">
        <v>2341.4899999999998</v>
      </c>
      <c r="T7621" s="41">
        <v>0</v>
      </c>
      <c r="U7621" s="41">
        <v>0</v>
      </c>
      <c r="V7621" s="42" t="s">
        <v>113</v>
      </c>
      <c r="W7621" s="42">
        <v>0</v>
      </c>
      <c r="X7621" s="42">
        <v>0</v>
      </c>
    </row>
    <row r="7622" spans="1:24">
      <c r="A7622" s="27" t="s">
        <v>13721</v>
      </c>
      <c r="B7622" s="28" t="s">
        <v>12240</v>
      </c>
      <c r="C7622" s="27" t="s">
        <v>13722</v>
      </c>
      <c r="D7622" s="27" t="s">
        <v>230</v>
      </c>
      <c r="E7622" s="29">
        <v>41270</v>
      </c>
      <c r="F7622" s="27">
        <v>15</v>
      </c>
      <c r="G7622" s="18">
        <v>104366.58</v>
      </c>
      <c r="H7622" s="27">
        <f t="shared" ref="H7622:H7685" si="238">IFERROR(IF(ROUND((G7622-I7622)/G7622,2)&lt;=0.05,G7622,0),0)</f>
        <v>0</v>
      </c>
      <c r="I7622" s="18">
        <v>47469.89</v>
      </c>
      <c r="J7622" s="27">
        <v>104366.58</v>
      </c>
      <c r="K7622" s="18">
        <f t="shared" ref="K7622:K7685" si="239">IFERROR(IF(ROUND((J7622-L7622)/J7622,2)&lt;=0.05,J7622,0),0)</f>
        <v>0</v>
      </c>
      <c r="L7622" s="27">
        <v>53211.93</v>
      </c>
      <c r="M7622" s="36">
        <v>5742.04</v>
      </c>
      <c r="T7622" s="41">
        <v>0</v>
      </c>
      <c r="U7622" s="41">
        <v>0</v>
      </c>
      <c r="V7622" s="42" t="s">
        <v>113</v>
      </c>
      <c r="W7622" s="42">
        <v>0</v>
      </c>
      <c r="X7622" s="42">
        <v>0</v>
      </c>
    </row>
    <row r="7623" spans="1:24">
      <c r="A7623" s="27" t="s">
        <v>13723</v>
      </c>
      <c r="B7623" s="28" t="s">
        <v>12240</v>
      </c>
      <c r="C7623" s="27" t="s">
        <v>13724</v>
      </c>
      <c r="D7623" s="27" t="s">
        <v>230</v>
      </c>
      <c r="E7623" s="29">
        <v>41270</v>
      </c>
      <c r="F7623" s="27">
        <v>15</v>
      </c>
      <c r="G7623" s="18">
        <v>53232.26</v>
      </c>
      <c r="H7623" s="27">
        <f t="shared" si="238"/>
        <v>0</v>
      </c>
      <c r="I7623" s="18">
        <v>32158.9</v>
      </c>
      <c r="J7623" s="27">
        <v>53232.26</v>
      </c>
      <c r="K7623" s="18">
        <f t="shared" si="239"/>
        <v>0</v>
      </c>
      <c r="L7623" s="27">
        <v>34204.65</v>
      </c>
      <c r="M7623" s="36">
        <v>2045.75</v>
      </c>
      <c r="T7623" s="41">
        <v>0</v>
      </c>
      <c r="U7623" s="41">
        <v>0</v>
      </c>
      <c r="V7623" s="42" t="s">
        <v>113</v>
      </c>
      <c r="W7623" s="42">
        <v>0</v>
      </c>
      <c r="X7623" s="42">
        <v>0</v>
      </c>
    </row>
    <row r="7624" spans="1:24">
      <c r="A7624" s="27" t="s">
        <v>13725</v>
      </c>
      <c r="B7624" s="28" t="s">
        <v>12240</v>
      </c>
      <c r="C7624" s="27" t="s">
        <v>13400</v>
      </c>
      <c r="D7624" s="27" t="s">
        <v>230</v>
      </c>
      <c r="E7624" s="29">
        <v>41270</v>
      </c>
      <c r="F7624" s="27">
        <v>15</v>
      </c>
      <c r="G7624" s="18">
        <v>87183.29</v>
      </c>
      <c r="H7624" s="27">
        <f t="shared" si="238"/>
        <v>0</v>
      </c>
      <c r="I7624" s="18">
        <v>39654.300000000003</v>
      </c>
      <c r="J7624" s="27">
        <v>87183.29</v>
      </c>
      <c r="K7624" s="18">
        <f t="shared" si="239"/>
        <v>0</v>
      </c>
      <c r="L7624" s="27">
        <v>44450.95</v>
      </c>
      <c r="M7624" s="36">
        <v>4796.6499999999996</v>
      </c>
      <c r="T7624" s="41">
        <v>0</v>
      </c>
      <c r="U7624" s="41">
        <v>0</v>
      </c>
      <c r="V7624" s="42" t="s">
        <v>113</v>
      </c>
      <c r="W7624" s="42">
        <v>0</v>
      </c>
      <c r="X7624" s="42">
        <v>0</v>
      </c>
    </row>
    <row r="7625" spans="1:24">
      <c r="A7625" s="27" t="s">
        <v>13726</v>
      </c>
      <c r="B7625" s="28" t="s">
        <v>12240</v>
      </c>
      <c r="C7625" s="27" t="s">
        <v>13727</v>
      </c>
      <c r="D7625" s="27" t="s">
        <v>230</v>
      </c>
      <c r="E7625" s="29">
        <v>41270</v>
      </c>
      <c r="F7625" s="27">
        <v>15</v>
      </c>
      <c r="G7625" s="18">
        <v>86304.39</v>
      </c>
      <c r="H7625" s="27">
        <f t="shared" si="238"/>
        <v>0</v>
      </c>
      <c r="I7625" s="18">
        <v>39254.54</v>
      </c>
      <c r="J7625" s="27">
        <v>86304.39</v>
      </c>
      <c r="K7625" s="18">
        <f t="shared" si="239"/>
        <v>0</v>
      </c>
      <c r="L7625" s="27">
        <v>44002.83</v>
      </c>
      <c r="M7625" s="36">
        <v>4748.29</v>
      </c>
      <c r="T7625" s="41">
        <v>0</v>
      </c>
      <c r="U7625" s="41">
        <v>0</v>
      </c>
      <c r="V7625" s="42" t="s">
        <v>113</v>
      </c>
      <c r="W7625" s="42">
        <v>0</v>
      </c>
      <c r="X7625" s="42">
        <v>0</v>
      </c>
    </row>
    <row r="7626" spans="1:24">
      <c r="A7626" s="27" t="s">
        <v>13728</v>
      </c>
      <c r="B7626" s="28" t="s">
        <v>12240</v>
      </c>
      <c r="C7626" s="27" t="s">
        <v>13729</v>
      </c>
      <c r="D7626" s="27" t="s">
        <v>5104</v>
      </c>
      <c r="E7626" s="29">
        <v>41270</v>
      </c>
      <c r="F7626" s="27">
        <v>15</v>
      </c>
      <c r="G7626" s="18">
        <v>122512.95</v>
      </c>
      <c r="H7626" s="27">
        <f t="shared" si="238"/>
        <v>0</v>
      </c>
      <c r="I7626" s="18">
        <v>55701.51</v>
      </c>
      <c r="J7626" s="27">
        <v>122512.95</v>
      </c>
      <c r="K7626" s="18">
        <f t="shared" si="239"/>
        <v>0</v>
      </c>
      <c r="L7626" s="27">
        <v>62444.38</v>
      </c>
      <c r="M7626" s="36">
        <v>6742.87</v>
      </c>
      <c r="T7626" s="41">
        <v>0</v>
      </c>
      <c r="U7626" s="41">
        <v>0</v>
      </c>
      <c r="V7626" s="42" t="s">
        <v>113</v>
      </c>
      <c r="W7626" s="42">
        <v>0</v>
      </c>
      <c r="X7626" s="42">
        <v>0</v>
      </c>
    </row>
    <row r="7627" spans="1:24">
      <c r="A7627" s="27" t="s">
        <v>13730</v>
      </c>
      <c r="B7627" s="28" t="s">
        <v>12240</v>
      </c>
      <c r="C7627" s="27" t="s">
        <v>13731</v>
      </c>
      <c r="D7627" s="27" t="s">
        <v>230</v>
      </c>
      <c r="E7627" s="29">
        <v>41270</v>
      </c>
      <c r="F7627" s="27">
        <v>15</v>
      </c>
      <c r="G7627" s="18">
        <v>22590.12</v>
      </c>
      <c r="H7627" s="27">
        <f t="shared" si="238"/>
        <v>0</v>
      </c>
      <c r="I7627" s="18">
        <v>10274.85</v>
      </c>
      <c r="J7627" s="27">
        <v>22590.12</v>
      </c>
      <c r="K7627" s="18">
        <f t="shared" si="239"/>
        <v>0</v>
      </c>
      <c r="L7627" s="27">
        <v>11517.71</v>
      </c>
      <c r="M7627" s="36">
        <v>1242.8599999999999</v>
      </c>
      <c r="T7627" s="41">
        <v>0</v>
      </c>
      <c r="U7627" s="41">
        <v>0</v>
      </c>
      <c r="V7627" s="42" t="s">
        <v>113</v>
      </c>
      <c r="W7627" s="42">
        <v>0</v>
      </c>
      <c r="X7627" s="42">
        <v>0</v>
      </c>
    </row>
    <row r="7628" spans="1:24">
      <c r="A7628" s="27" t="s">
        <v>13732</v>
      </c>
      <c r="B7628" s="28" t="s">
        <v>12240</v>
      </c>
      <c r="C7628" s="27" t="s">
        <v>13733</v>
      </c>
      <c r="D7628" s="27" t="s">
        <v>230</v>
      </c>
      <c r="E7628" s="29">
        <v>41270</v>
      </c>
      <c r="F7628" s="27">
        <v>15</v>
      </c>
      <c r="G7628" s="18">
        <v>77114.87</v>
      </c>
      <c r="H7628" s="27">
        <f t="shared" si="238"/>
        <v>0</v>
      </c>
      <c r="I7628" s="18">
        <v>35074.79</v>
      </c>
      <c r="J7628" s="27">
        <v>77114.87</v>
      </c>
      <c r="K7628" s="18">
        <f t="shared" si="239"/>
        <v>0</v>
      </c>
      <c r="L7628" s="27">
        <v>39317.49</v>
      </c>
      <c r="M7628" s="36">
        <v>4242.7</v>
      </c>
      <c r="T7628" s="41">
        <v>0</v>
      </c>
      <c r="U7628" s="41">
        <v>0</v>
      </c>
      <c r="V7628" s="42" t="s">
        <v>113</v>
      </c>
      <c r="W7628" s="42">
        <v>0</v>
      </c>
      <c r="X7628" s="42">
        <v>0</v>
      </c>
    </row>
    <row r="7629" spans="1:24">
      <c r="A7629" s="27" t="s">
        <v>13734</v>
      </c>
      <c r="B7629" s="28" t="s">
        <v>12240</v>
      </c>
      <c r="C7629" s="27" t="s">
        <v>13733</v>
      </c>
      <c r="D7629" s="27" t="s">
        <v>230</v>
      </c>
      <c r="E7629" s="29">
        <v>41270</v>
      </c>
      <c r="F7629" s="27">
        <v>15</v>
      </c>
      <c r="G7629" s="18">
        <v>77114.87</v>
      </c>
      <c r="H7629" s="27">
        <f t="shared" si="238"/>
        <v>0</v>
      </c>
      <c r="I7629" s="18">
        <v>35074.79</v>
      </c>
      <c r="J7629" s="27">
        <v>77114.87</v>
      </c>
      <c r="K7629" s="18">
        <f t="shared" si="239"/>
        <v>0</v>
      </c>
      <c r="L7629" s="27">
        <v>39317.49</v>
      </c>
      <c r="M7629" s="36">
        <v>4242.7</v>
      </c>
      <c r="T7629" s="41">
        <v>0</v>
      </c>
      <c r="U7629" s="41">
        <v>0</v>
      </c>
      <c r="V7629" s="42" t="s">
        <v>113</v>
      </c>
      <c r="W7629" s="42">
        <v>0</v>
      </c>
      <c r="X7629" s="42">
        <v>0</v>
      </c>
    </row>
    <row r="7630" spans="1:24">
      <c r="A7630" s="27" t="s">
        <v>13735</v>
      </c>
      <c r="B7630" s="28" t="s">
        <v>12240</v>
      </c>
      <c r="C7630" s="27" t="s">
        <v>13736</v>
      </c>
      <c r="D7630" s="27" t="s">
        <v>230</v>
      </c>
      <c r="E7630" s="29">
        <v>41270</v>
      </c>
      <c r="F7630" s="27">
        <v>15</v>
      </c>
      <c r="G7630" s="18">
        <v>88572.33</v>
      </c>
      <c r="H7630" s="27">
        <f t="shared" si="238"/>
        <v>0</v>
      </c>
      <c r="I7630" s="18">
        <v>40286.07</v>
      </c>
      <c r="J7630" s="27">
        <v>88572.33</v>
      </c>
      <c r="K7630" s="18">
        <f t="shared" si="239"/>
        <v>0</v>
      </c>
      <c r="L7630" s="27">
        <v>45159.14</v>
      </c>
      <c r="M7630" s="36">
        <v>4873.07</v>
      </c>
      <c r="T7630" s="41">
        <v>0</v>
      </c>
      <c r="U7630" s="41">
        <v>0</v>
      </c>
      <c r="V7630" s="42" t="s">
        <v>113</v>
      </c>
      <c r="W7630" s="42">
        <v>0</v>
      </c>
      <c r="X7630" s="42">
        <v>0</v>
      </c>
    </row>
    <row r="7631" spans="1:24">
      <c r="A7631" s="27" t="s">
        <v>13737</v>
      </c>
      <c r="B7631" s="28" t="s">
        <v>12240</v>
      </c>
      <c r="C7631" s="27" t="s">
        <v>13736</v>
      </c>
      <c r="D7631" s="27" t="s">
        <v>230</v>
      </c>
      <c r="E7631" s="29">
        <v>41270</v>
      </c>
      <c r="F7631" s="27">
        <v>15</v>
      </c>
      <c r="G7631" s="18">
        <v>88572.33</v>
      </c>
      <c r="H7631" s="27">
        <f t="shared" si="238"/>
        <v>0</v>
      </c>
      <c r="I7631" s="18">
        <v>40286.07</v>
      </c>
      <c r="J7631" s="27">
        <v>88572.33</v>
      </c>
      <c r="K7631" s="18">
        <f t="shared" si="239"/>
        <v>0</v>
      </c>
      <c r="L7631" s="27">
        <v>45159.14</v>
      </c>
      <c r="M7631" s="36">
        <v>4873.07</v>
      </c>
      <c r="T7631" s="41">
        <v>0</v>
      </c>
      <c r="U7631" s="41">
        <v>0</v>
      </c>
      <c r="V7631" s="42" t="s">
        <v>113</v>
      </c>
      <c r="W7631" s="42">
        <v>0</v>
      </c>
      <c r="X7631" s="42">
        <v>0</v>
      </c>
    </row>
    <row r="7632" spans="1:24">
      <c r="A7632" s="27" t="s">
        <v>13738</v>
      </c>
      <c r="B7632" s="28" t="s">
        <v>12240</v>
      </c>
      <c r="C7632" s="27" t="s">
        <v>13736</v>
      </c>
      <c r="D7632" s="27" t="s">
        <v>230</v>
      </c>
      <c r="E7632" s="29">
        <v>41270</v>
      </c>
      <c r="F7632" s="27">
        <v>15</v>
      </c>
      <c r="G7632" s="18">
        <v>88572.33</v>
      </c>
      <c r="H7632" s="27">
        <f t="shared" si="238"/>
        <v>0</v>
      </c>
      <c r="I7632" s="18">
        <v>40286.07</v>
      </c>
      <c r="J7632" s="27">
        <v>88572.33</v>
      </c>
      <c r="K7632" s="18">
        <f t="shared" si="239"/>
        <v>0</v>
      </c>
      <c r="L7632" s="27">
        <v>45159.14</v>
      </c>
      <c r="M7632" s="36">
        <v>4873.07</v>
      </c>
      <c r="T7632" s="41">
        <v>0</v>
      </c>
      <c r="U7632" s="41">
        <v>0</v>
      </c>
      <c r="V7632" s="42" t="s">
        <v>113</v>
      </c>
      <c r="W7632" s="42">
        <v>0</v>
      </c>
      <c r="X7632" s="42">
        <v>0</v>
      </c>
    </row>
    <row r="7633" spans="1:24">
      <c r="A7633" s="27" t="s">
        <v>13739</v>
      </c>
      <c r="B7633" s="28" t="s">
        <v>12240</v>
      </c>
      <c r="C7633" s="27" t="s">
        <v>13740</v>
      </c>
      <c r="D7633" s="27" t="s">
        <v>230</v>
      </c>
      <c r="E7633" s="29">
        <v>41270</v>
      </c>
      <c r="F7633" s="27">
        <v>15</v>
      </c>
      <c r="G7633" s="18">
        <v>46859.7</v>
      </c>
      <c r="H7633" s="27">
        <f t="shared" si="238"/>
        <v>0</v>
      </c>
      <c r="I7633" s="18">
        <v>21313.59</v>
      </c>
      <c r="J7633" s="27">
        <v>46859.7</v>
      </c>
      <c r="K7633" s="18">
        <f t="shared" si="239"/>
        <v>0</v>
      </c>
      <c r="L7633" s="27">
        <v>23891.71</v>
      </c>
      <c r="M7633" s="36">
        <v>2578.12</v>
      </c>
      <c r="T7633" s="41">
        <v>0</v>
      </c>
      <c r="U7633" s="41">
        <v>0</v>
      </c>
      <c r="V7633" s="42" t="s">
        <v>113</v>
      </c>
      <c r="W7633" s="42">
        <v>0</v>
      </c>
      <c r="X7633" s="42">
        <v>0</v>
      </c>
    </row>
    <row r="7634" spans="1:24">
      <c r="A7634" s="27" t="s">
        <v>13741</v>
      </c>
      <c r="B7634" s="28" t="s">
        <v>12240</v>
      </c>
      <c r="C7634" s="27" t="s">
        <v>13742</v>
      </c>
      <c r="D7634" s="27" t="s">
        <v>230</v>
      </c>
      <c r="E7634" s="29">
        <v>41270</v>
      </c>
      <c r="F7634" s="27">
        <v>15</v>
      </c>
      <c r="G7634" s="18">
        <v>93839.65</v>
      </c>
      <c r="H7634" s="27">
        <f t="shared" si="238"/>
        <v>0</v>
      </c>
      <c r="I7634" s="18">
        <v>42681.87</v>
      </c>
      <c r="J7634" s="27">
        <v>93839.65</v>
      </c>
      <c r="K7634" s="18">
        <f t="shared" si="239"/>
        <v>0</v>
      </c>
      <c r="L7634" s="27">
        <v>47844.74</v>
      </c>
      <c r="M7634" s="36">
        <v>5162.87</v>
      </c>
      <c r="T7634" s="41">
        <v>0</v>
      </c>
      <c r="U7634" s="41">
        <v>0</v>
      </c>
      <c r="V7634" s="42" t="s">
        <v>113</v>
      </c>
      <c r="W7634" s="42">
        <v>0</v>
      </c>
      <c r="X7634" s="42">
        <v>0</v>
      </c>
    </row>
    <row r="7635" spans="1:24">
      <c r="A7635" s="27" t="s">
        <v>13743</v>
      </c>
      <c r="B7635" s="28" t="s">
        <v>12240</v>
      </c>
      <c r="C7635" s="27" t="s">
        <v>13744</v>
      </c>
      <c r="D7635" s="27" t="s">
        <v>230</v>
      </c>
      <c r="E7635" s="29">
        <v>41270</v>
      </c>
      <c r="F7635" s="27">
        <v>15</v>
      </c>
      <c r="G7635" s="18">
        <v>87681.08</v>
      </c>
      <c r="H7635" s="27">
        <f t="shared" si="238"/>
        <v>0</v>
      </c>
      <c r="I7635" s="18">
        <v>39880.699999999997</v>
      </c>
      <c r="J7635" s="27">
        <v>87681.08</v>
      </c>
      <c r="K7635" s="18">
        <f t="shared" si="239"/>
        <v>0</v>
      </c>
      <c r="L7635" s="27">
        <v>44704.74</v>
      </c>
      <c r="M7635" s="36">
        <v>4824.04</v>
      </c>
      <c r="T7635" s="41">
        <v>0</v>
      </c>
      <c r="U7635" s="41">
        <v>0</v>
      </c>
      <c r="V7635" s="42" t="s">
        <v>113</v>
      </c>
      <c r="W7635" s="42">
        <v>0</v>
      </c>
      <c r="X7635" s="42">
        <v>0</v>
      </c>
    </row>
    <row r="7636" spans="1:24">
      <c r="A7636" s="27" t="s">
        <v>13745</v>
      </c>
      <c r="B7636" s="28" t="s">
        <v>12240</v>
      </c>
      <c r="C7636" s="27" t="s">
        <v>13746</v>
      </c>
      <c r="D7636" s="27" t="s">
        <v>230</v>
      </c>
      <c r="E7636" s="29">
        <v>41270</v>
      </c>
      <c r="F7636" s="27">
        <v>15</v>
      </c>
      <c r="G7636" s="18">
        <v>82590.12</v>
      </c>
      <c r="H7636" s="27">
        <f t="shared" si="238"/>
        <v>0</v>
      </c>
      <c r="I7636" s="18">
        <v>37565.14</v>
      </c>
      <c r="J7636" s="27">
        <v>82590.12</v>
      </c>
      <c r="K7636" s="18">
        <f t="shared" si="239"/>
        <v>0</v>
      </c>
      <c r="L7636" s="27">
        <v>42109.08</v>
      </c>
      <c r="M7636" s="36">
        <v>4543.9399999999996</v>
      </c>
      <c r="T7636" s="41">
        <v>0</v>
      </c>
      <c r="U7636" s="41">
        <v>0</v>
      </c>
      <c r="V7636" s="42" t="s">
        <v>113</v>
      </c>
      <c r="W7636" s="42">
        <v>0</v>
      </c>
      <c r="X7636" s="42">
        <v>0</v>
      </c>
    </row>
    <row r="7637" spans="1:24">
      <c r="A7637" s="27" t="s">
        <v>13747</v>
      </c>
      <c r="B7637" s="28" t="s">
        <v>12240</v>
      </c>
      <c r="C7637" s="27" t="s">
        <v>13746</v>
      </c>
      <c r="D7637" s="27" t="s">
        <v>230</v>
      </c>
      <c r="E7637" s="29">
        <v>41270</v>
      </c>
      <c r="F7637" s="27">
        <v>15</v>
      </c>
      <c r="G7637" s="18">
        <v>82590.12</v>
      </c>
      <c r="H7637" s="27">
        <f t="shared" si="238"/>
        <v>0</v>
      </c>
      <c r="I7637" s="18">
        <v>37565.14</v>
      </c>
      <c r="J7637" s="27">
        <v>82590.12</v>
      </c>
      <c r="K7637" s="18">
        <f t="shared" si="239"/>
        <v>0</v>
      </c>
      <c r="L7637" s="27">
        <v>42109.08</v>
      </c>
      <c r="M7637" s="36">
        <v>4543.9399999999996</v>
      </c>
      <c r="T7637" s="41">
        <v>0</v>
      </c>
      <c r="U7637" s="41">
        <v>0</v>
      </c>
      <c r="V7637" s="42" t="s">
        <v>113</v>
      </c>
      <c r="W7637" s="42">
        <v>0</v>
      </c>
      <c r="X7637" s="42">
        <v>0</v>
      </c>
    </row>
    <row r="7638" spans="1:24">
      <c r="A7638" s="27" t="s">
        <v>13748</v>
      </c>
      <c r="B7638" s="28" t="s">
        <v>12240</v>
      </c>
      <c r="C7638" s="27" t="s">
        <v>13746</v>
      </c>
      <c r="D7638" s="27" t="s">
        <v>230</v>
      </c>
      <c r="E7638" s="29">
        <v>41270</v>
      </c>
      <c r="F7638" s="27">
        <v>15</v>
      </c>
      <c r="G7638" s="18">
        <v>82590.12</v>
      </c>
      <c r="H7638" s="27">
        <f t="shared" si="238"/>
        <v>0</v>
      </c>
      <c r="I7638" s="18">
        <v>37565.14</v>
      </c>
      <c r="J7638" s="27">
        <v>82590.12</v>
      </c>
      <c r="K7638" s="18">
        <f t="shared" si="239"/>
        <v>0</v>
      </c>
      <c r="L7638" s="27">
        <v>42109.08</v>
      </c>
      <c r="M7638" s="36">
        <v>4543.9399999999996</v>
      </c>
      <c r="T7638" s="41">
        <v>0</v>
      </c>
      <c r="U7638" s="41">
        <v>0</v>
      </c>
      <c r="V7638" s="42" t="s">
        <v>113</v>
      </c>
      <c r="W7638" s="42">
        <v>0</v>
      </c>
      <c r="X7638" s="42">
        <v>0</v>
      </c>
    </row>
    <row r="7639" spans="1:24">
      <c r="A7639" s="27" t="s">
        <v>13749</v>
      </c>
      <c r="B7639" s="28" t="s">
        <v>12240</v>
      </c>
      <c r="C7639" s="27" t="s">
        <v>13746</v>
      </c>
      <c r="D7639" s="27" t="s">
        <v>230</v>
      </c>
      <c r="E7639" s="29">
        <v>41270</v>
      </c>
      <c r="F7639" s="27">
        <v>15</v>
      </c>
      <c r="G7639" s="18">
        <v>82590.12</v>
      </c>
      <c r="H7639" s="27">
        <f t="shared" si="238"/>
        <v>0</v>
      </c>
      <c r="I7639" s="18">
        <v>37565.14</v>
      </c>
      <c r="J7639" s="27">
        <v>82590.12</v>
      </c>
      <c r="K7639" s="18">
        <f t="shared" si="239"/>
        <v>0</v>
      </c>
      <c r="L7639" s="27">
        <v>42109.08</v>
      </c>
      <c r="M7639" s="36">
        <v>4543.9399999999996</v>
      </c>
      <c r="T7639" s="41">
        <v>0</v>
      </c>
      <c r="U7639" s="41">
        <v>0</v>
      </c>
      <c r="V7639" s="42" t="s">
        <v>113</v>
      </c>
      <c r="W7639" s="42">
        <v>0</v>
      </c>
      <c r="X7639" s="42">
        <v>0</v>
      </c>
    </row>
    <row r="7640" spans="1:24">
      <c r="A7640" s="27" t="s">
        <v>13750</v>
      </c>
      <c r="B7640" s="28" t="s">
        <v>12240</v>
      </c>
      <c r="C7640" s="27" t="s">
        <v>13751</v>
      </c>
      <c r="D7640" s="27" t="s">
        <v>230</v>
      </c>
      <c r="E7640" s="29">
        <v>40178</v>
      </c>
      <c r="F7640" s="27">
        <v>15</v>
      </c>
      <c r="G7640" s="18">
        <v>40896.53</v>
      </c>
      <c r="H7640" s="27">
        <f t="shared" si="238"/>
        <v>0</v>
      </c>
      <c r="I7640" s="18">
        <v>27304.93</v>
      </c>
      <c r="J7640" s="27">
        <v>40896.53</v>
      </c>
      <c r="K7640" s="18">
        <f t="shared" si="239"/>
        <v>0</v>
      </c>
      <c r="L7640" s="27">
        <v>29104.43</v>
      </c>
      <c r="M7640" s="36">
        <v>1799.5</v>
      </c>
      <c r="T7640" s="41">
        <v>0</v>
      </c>
      <c r="U7640" s="41">
        <v>0</v>
      </c>
      <c r="V7640" s="42" t="s">
        <v>113</v>
      </c>
      <c r="W7640" s="42">
        <v>0</v>
      </c>
      <c r="X7640" s="42">
        <v>0</v>
      </c>
    </row>
    <row r="7641" spans="1:24">
      <c r="A7641" s="27" t="s">
        <v>13752</v>
      </c>
      <c r="B7641" s="28" t="s">
        <v>12240</v>
      </c>
      <c r="C7641" s="27" t="s">
        <v>13753</v>
      </c>
      <c r="D7641" s="27" t="s">
        <v>230</v>
      </c>
      <c r="E7641" s="29">
        <v>40178</v>
      </c>
      <c r="F7641" s="27">
        <v>15</v>
      </c>
      <c r="G7641" s="18">
        <v>51559.95</v>
      </c>
      <c r="H7641" s="27">
        <f t="shared" si="238"/>
        <v>0</v>
      </c>
      <c r="I7641" s="18">
        <v>34439.5</v>
      </c>
      <c r="J7641" s="27">
        <v>51559.95</v>
      </c>
      <c r="K7641" s="18">
        <f t="shared" si="239"/>
        <v>0</v>
      </c>
      <c r="L7641" s="27">
        <v>36705.86</v>
      </c>
      <c r="M7641" s="36">
        <v>2266.36</v>
      </c>
      <c r="T7641" s="41">
        <v>0</v>
      </c>
      <c r="U7641" s="41">
        <v>0</v>
      </c>
      <c r="V7641" s="42" t="s">
        <v>113</v>
      </c>
      <c r="W7641" s="42">
        <v>0</v>
      </c>
      <c r="X7641" s="42">
        <v>0</v>
      </c>
    </row>
    <row r="7642" spans="1:24">
      <c r="A7642" s="27" t="s">
        <v>13754</v>
      </c>
      <c r="B7642" s="28" t="s">
        <v>12240</v>
      </c>
      <c r="C7642" s="27" t="s">
        <v>13755</v>
      </c>
      <c r="D7642" s="27" t="s">
        <v>230</v>
      </c>
      <c r="E7642" s="29">
        <v>40178</v>
      </c>
      <c r="F7642" s="27">
        <v>15</v>
      </c>
      <c r="G7642" s="18">
        <v>31559.95</v>
      </c>
      <c r="H7642" s="27">
        <f t="shared" si="238"/>
        <v>0</v>
      </c>
      <c r="I7642" s="18">
        <v>21080.5</v>
      </c>
      <c r="J7642" s="27">
        <v>31559.95</v>
      </c>
      <c r="K7642" s="18">
        <f t="shared" si="239"/>
        <v>0</v>
      </c>
      <c r="L7642" s="27">
        <v>22467.74</v>
      </c>
      <c r="M7642" s="36">
        <v>1387.24</v>
      </c>
      <c r="T7642" s="41">
        <v>0</v>
      </c>
      <c r="U7642" s="41">
        <v>0</v>
      </c>
      <c r="V7642" s="42" t="s">
        <v>113</v>
      </c>
      <c r="W7642" s="42">
        <v>0</v>
      </c>
      <c r="X7642" s="42">
        <v>0</v>
      </c>
    </row>
    <row r="7643" spans="1:24">
      <c r="A7643" s="27" t="s">
        <v>13756</v>
      </c>
      <c r="B7643" s="28" t="s">
        <v>12240</v>
      </c>
      <c r="C7643" s="27" t="s">
        <v>13757</v>
      </c>
      <c r="D7643" s="27" t="s">
        <v>230</v>
      </c>
      <c r="E7643" s="29">
        <v>40178</v>
      </c>
      <c r="F7643" s="27">
        <v>15</v>
      </c>
      <c r="G7643" s="18">
        <v>53328.17</v>
      </c>
      <c r="H7643" s="27">
        <f t="shared" si="238"/>
        <v>0</v>
      </c>
      <c r="I7643" s="18">
        <v>35640.26</v>
      </c>
      <c r="J7643" s="27">
        <v>53328.17</v>
      </c>
      <c r="K7643" s="18">
        <f t="shared" si="239"/>
        <v>0</v>
      </c>
      <c r="L7643" s="27">
        <v>37981.269999999997</v>
      </c>
      <c r="M7643" s="36">
        <v>2341.0100000000002</v>
      </c>
      <c r="T7643" s="41">
        <v>0</v>
      </c>
      <c r="U7643" s="41">
        <v>0</v>
      </c>
      <c r="V7643" s="42" t="s">
        <v>113</v>
      </c>
      <c r="W7643" s="42">
        <v>0</v>
      </c>
      <c r="X7643" s="42">
        <v>0</v>
      </c>
    </row>
    <row r="7644" spans="1:24">
      <c r="A7644" s="27" t="s">
        <v>13758</v>
      </c>
      <c r="B7644" s="28" t="s">
        <v>12240</v>
      </c>
      <c r="C7644" s="27" t="s">
        <v>13759</v>
      </c>
      <c r="D7644" s="27" t="s">
        <v>230</v>
      </c>
      <c r="E7644" s="29">
        <v>40178</v>
      </c>
      <c r="F7644" s="27">
        <v>15</v>
      </c>
      <c r="G7644" s="18">
        <v>48206.96</v>
      </c>
      <c r="H7644" s="27">
        <f t="shared" si="238"/>
        <v>0</v>
      </c>
      <c r="I7644" s="18">
        <v>36601.620000000003</v>
      </c>
      <c r="J7644" s="27">
        <v>48206.96</v>
      </c>
      <c r="K7644" s="18">
        <f t="shared" si="239"/>
        <v>0</v>
      </c>
      <c r="L7644" s="27">
        <v>38034.61</v>
      </c>
      <c r="M7644" s="36">
        <v>1432.99</v>
      </c>
      <c r="T7644" s="41">
        <v>0</v>
      </c>
      <c r="U7644" s="41">
        <v>0</v>
      </c>
      <c r="V7644" s="42" t="s">
        <v>113</v>
      </c>
      <c r="W7644" s="42">
        <v>0</v>
      </c>
      <c r="X7644" s="42">
        <v>0</v>
      </c>
    </row>
    <row r="7645" spans="1:24">
      <c r="A7645" s="27" t="s">
        <v>13760</v>
      </c>
      <c r="B7645" s="28" t="s">
        <v>12240</v>
      </c>
      <c r="C7645" s="27" t="s">
        <v>13761</v>
      </c>
      <c r="D7645" s="27" t="s">
        <v>230</v>
      </c>
      <c r="E7645" s="29">
        <v>40056</v>
      </c>
      <c r="F7645" s="27">
        <v>15</v>
      </c>
      <c r="G7645" s="18">
        <v>46376.73</v>
      </c>
      <c r="H7645" s="27">
        <f t="shared" si="238"/>
        <v>0</v>
      </c>
      <c r="I7645" s="18">
        <v>30962.639999999999</v>
      </c>
      <c r="J7645" s="27">
        <v>46376.73</v>
      </c>
      <c r="K7645" s="18">
        <f t="shared" si="239"/>
        <v>0</v>
      </c>
      <c r="L7645" s="27">
        <v>33003.46</v>
      </c>
      <c r="M7645" s="36">
        <v>2040.82</v>
      </c>
      <c r="T7645" s="41">
        <v>0</v>
      </c>
      <c r="U7645" s="41">
        <v>0</v>
      </c>
      <c r="V7645" s="42" t="s">
        <v>113</v>
      </c>
      <c r="W7645" s="42">
        <v>0</v>
      </c>
      <c r="X7645" s="42">
        <v>0</v>
      </c>
    </row>
    <row r="7646" spans="1:24">
      <c r="A7646" s="27" t="s">
        <v>13762</v>
      </c>
      <c r="B7646" s="28" t="s">
        <v>12240</v>
      </c>
      <c r="C7646" s="27" t="s">
        <v>13763</v>
      </c>
      <c r="D7646" s="27" t="s">
        <v>5104</v>
      </c>
      <c r="E7646" s="29">
        <v>40056</v>
      </c>
      <c r="F7646" s="27">
        <v>15</v>
      </c>
      <c r="G7646" s="18">
        <v>36376.730000000003</v>
      </c>
      <c r="H7646" s="27">
        <f t="shared" si="238"/>
        <v>0</v>
      </c>
      <c r="I7646" s="18">
        <v>24286.32</v>
      </c>
      <c r="J7646" s="27">
        <v>36376.730000000003</v>
      </c>
      <c r="K7646" s="18">
        <f t="shared" si="239"/>
        <v>0</v>
      </c>
      <c r="L7646" s="27">
        <v>25887.08</v>
      </c>
      <c r="M7646" s="36">
        <v>1600.76</v>
      </c>
      <c r="T7646" s="41">
        <v>0</v>
      </c>
      <c r="U7646" s="41">
        <v>0</v>
      </c>
      <c r="V7646" s="42" t="s">
        <v>113</v>
      </c>
      <c r="W7646" s="42">
        <v>0</v>
      </c>
      <c r="X7646" s="42">
        <v>0</v>
      </c>
    </row>
    <row r="7647" spans="1:24">
      <c r="A7647" s="27" t="s">
        <v>13764</v>
      </c>
      <c r="B7647" s="28" t="s">
        <v>12240</v>
      </c>
      <c r="C7647" s="27" t="s">
        <v>13765</v>
      </c>
      <c r="D7647" s="27" t="s">
        <v>5104</v>
      </c>
      <c r="E7647" s="29">
        <v>40056</v>
      </c>
      <c r="F7647" s="27">
        <v>15</v>
      </c>
      <c r="G7647" s="18">
        <v>36376.730000000003</v>
      </c>
      <c r="H7647" s="27">
        <f t="shared" si="238"/>
        <v>0</v>
      </c>
      <c r="I7647" s="18">
        <v>24286.32</v>
      </c>
      <c r="J7647" s="27">
        <v>36376.730000000003</v>
      </c>
      <c r="K7647" s="18">
        <f t="shared" si="239"/>
        <v>0</v>
      </c>
      <c r="L7647" s="27">
        <v>25887.08</v>
      </c>
      <c r="M7647" s="36">
        <v>1600.76</v>
      </c>
      <c r="T7647" s="41">
        <v>0</v>
      </c>
      <c r="U7647" s="41">
        <v>0</v>
      </c>
      <c r="V7647" s="42" t="s">
        <v>113</v>
      </c>
      <c r="W7647" s="42">
        <v>0</v>
      </c>
      <c r="X7647" s="42">
        <v>0</v>
      </c>
    </row>
    <row r="7648" spans="1:24">
      <c r="A7648" s="27" t="s">
        <v>13766</v>
      </c>
      <c r="B7648" s="28" t="s">
        <v>12240</v>
      </c>
      <c r="C7648" s="27" t="s">
        <v>13767</v>
      </c>
      <c r="D7648" s="27" t="s">
        <v>230</v>
      </c>
      <c r="E7648" s="29">
        <v>40056</v>
      </c>
      <c r="F7648" s="27">
        <v>15</v>
      </c>
      <c r="G7648" s="18">
        <v>46376.73</v>
      </c>
      <c r="H7648" s="27">
        <f t="shared" si="238"/>
        <v>0</v>
      </c>
      <c r="I7648" s="18">
        <v>30962.639999999999</v>
      </c>
      <c r="J7648" s="27">
        <v>46376.73</v>
      </c>
      <c r="K7648" s="18">
        <f t="shared" si="239"/>
        <v>0</v>
      </c>
      <c r="L7648" s="27">
        <v>33003.46</v>
      </c>
      <c r="M7648" s="36">
        <v>2040.82</v>
      </c>
      <c r="T7648" s="41">
        <v>0</v>
      </c>
      <c r="U7648" s="41">
        <v>0</v>
      </c>
      <c r="V7648" s="42" t="s">
        <v>113</v>
      </c>
      <c r="W7648" s="42">
        <v>0</v>
      </c>
      <c r="X7648" s="42">
        <v>0</v>
      </c>
    </row>
    <row r="7649" spans="1:24">
      <c r="A7649" s="27" t="s">
        <v>13768</v>
      </c>
      <c r="B7649" s="28" t="s">
        <v>12240</v>
      </c>
      <c r="C7649" s="27" t="s">
        <v>13769</v>
      </c>
      <c r="D7649" s="27" t="s">
        <v>230</v>
      </c>
      <c r="E7649" s="29">
        <v>40117</v>
      </c>
      <c r="F7649" s="27">
        <v>15</v>
      </c>
      <c r="G7649" s="18">
        <v>55845.23</v>
      </c>
      <c r="H7649" s="27">
        <f t="shared" si="238"/>
        <v>0</v>
      </c>
      <c r="I7649" s="18">
        <v>37293.599999999999</v>
      </c>
      <c r="J7649" s="27">
        <v>55845.23</v>
      </c>
      <c r="K7649" s="18">
        <f t="shared" si="239"/>
        <v>0</v>
      </c>
      <c r="L7649" s="27">
        <v>39749.61</v>
      </c>
      <c r="M7649" s="36">
        <v>2456.0100000000002</v>
      </c>
      <c r="T7649" s="41">
        <v>0</v>
      </c>
      <c r="U7649" s="41">
        <v>0</v>
      </c>
      <c r="V7649" s="42" t="s">
        <v>113</v>
      </c>
      <c r="W7649" s="42">
        <v>0</v>
      </c>
      <c r="X7649" s="42">
        <v>0</v>
      </c>
    </row>
    <row r="7650" spans="1:24">
      <c r="A7650" s="27" t="s">
        <v>13770</v>
      </c>
      <c r="B7650" s="28" t="s">
        <v>12240</v>
      </c>
      <c r="C7650" s="27" t="s">
        <v>13771</v>
      </c>
      <c r="D7650" s="27" t="s">
        <v>230</v>
      </c>
      <c r="E7650" s="29">
        <v>40117</v>
      </c>
      <c r="F7650" s="27">
        <v>15</v>
      </c>
      <c r="G7650" s="18">
        <v>35845.230000000003</v>
      </c>
      <c r="H7650" s="27">
        <f t="shared" si="238"/>
        <v>0</v>
      </c>
      <c r="I7650" s="18">
        <v>23937.53</v>
      </c>
      <c r="J7650" s="27">
        <v>35845.230000000003</v>
      </c>
      <c r="K7650" s="18">
        <f t="shared" si="239"/>
        <v>0</v>
      </c>
      <c r="L7650" s="27">
        <v>25513.96</v>
      </c>
      <c r="M7650" s="36">
        <v>1576.43</v>
      </c>
      <c r="T7650" s="41">
        <v>0</v>
      </c>
      <c r="U7650" s="41">
        <v>0</v>
      </c>
      <c r="V7650" s="42" t="s">
        <v>113</v>
      </c>
      <c r="W7650" s="42">
        <v>0</v>
      </c>
      <c r="X7650" s="42">
        <v>0</v>
      </c>
    </row>
    <row r="7651" spans="1:24">
      <c r="A7651" s="27" t="s">
        <v>13772</v>
      </c>
      <c r="B7651" s="28" t="s">
        <v>12240</v>
      </c>
      <c r="C7651" s="27" t="s">
        <v>13773</v>
      </c>
      <c r="D7651" s="27" t="s">
        <v>5104</v>
      </c>
      <c r="E7651" s="29">
        <v>40117</v>
      </c>
      <c r="F7651" s="27">
        <v>15</v>
      </c>
      <c r="G7651" s="18">
        <v>25845.23</v>
      </c>
      <c r="H7651" s="27">
        <f t="shared" si="238"/>
        <v>0</v>
      </c>
      <c r="I7651" s="18">
        <v>17259.5</v>
      </c>
      <c r="J7651" s="27">
        <v>25845.23</v>
      </c>
      <c r="K7651" s="18">
        <f t="shared" si="239"/>
        <v>0</v>
      </c>
      <c r="L7651" s="27">
        <v>18396.14</v>
      </c>
      <c r="M7651" s="36">
        <v>1136.6400000000001</v>
      </c>
      <c r="T7651" s="41">
        <v>0</v>
      </c>
      <c r="U7651" s="41">
        <v>0</v>
      </c>
      <c r="V7651" s="42" t="s">
        <v>113</v>
      </c>
      <c r="W7651" s="42">
        <v>0</v>
      </c>
      <c r="X7651" s="42">
        <v>0</v>
      </c>
    </row>
    <row r="7652" spans="1:24">
      <c r="A7652" s="27" t="s">
        <v>13774</v>
      </c>
      <c r="B7652" s="28" t="s">
        <v>12240</v>
      </c>
      <c r="C7652" s="27" t="s">
        <v>13775</v>
      </c>
      <c r="D7652" s="27" t="s">
        <v>230</v>
      </c>
      <c r="E7652" s="29">
        <v>40117</v>
      </c>
      <c r="F7652" s="27">
        <v>15</v>
      </c>
      <c r="G7652" s="18">
        <v>25845.23</v>
      </c>
      <c r="H7652" s="27">
        <f t="shared" si="238"/>
        <v>0</v>
      </c>
      <c r="I7652" s="18">
        <v>17259.5</v>
      </c>
      <c r="J7652" s="27">
        <v>25845.23</v>
      </c>
      <c r="K7652" s="18">
        <f t="shared" si="239"/>
        <v>0</v>
      </c>
      <c r="L7652" s="27">
        <v>18396.14</v>
      </c>
      <c r="M7652" s="36">
        <v>1136.6400000000001</v>
      </c>
      <c r="T7652" s="41">
        <v>0</v>
      </c>
      <c r="U7652" s="41">
        <v>0</v>
      </c>
      <c r="V7652" s="42" t="s">
        <v>113</v>
      </c>
      <c r="W7652" s="42">
        <v>0</v>
      </c>
      <c r="X7652" s="42">
        <v>0</v>
      </c>
    </row>
    <row r="7653" spans="1:24">
      <c r="A7653" s="27" t="s">
        <v>13776</v>
      </c>
      <c r="B7653" s="28" t="s">
        <v>12240</v>
      </c>
      <c r="C7653" s="27" t="s">
        <v>13777</v>
      </c>
      <c r="D7653" s="27" t="s">
        <v>230</v>
      </c>
      <c r="E7653" s="29">
        <v>40117</v>
      </c>
      <c r="F7653" s="27">
        <v>15</v>
      </c>
      <c r="G7653" s="18">
        <v>15845.23</v>
      </c>
      <c r="H7653" s="27">
        <f t="shared" si="238"/>
        <v>0</v>
      </c>
      <c r="I7653" s="18">
        <v>10581.48</v>
      </c>
      <c r="J7653" s="27">
        <v>15845.23</v>
      </c>
      <c r="K7653" s="18">
        <f t="shared" si="239"/>
        <v>0</v>
      </c>
      <c r="L7653" s="27">
        <v>11278.34</v>
      </c>
      <c r="M7653" s="36">
        <v>696.86</v>
      </c>
      <c r="T7653" s="41">
        <v>0</v>
      </c>
      <c r="U7653" s="41">
        <v>0</v>
      </c>
      <c r="V7653" s="42" t="s">
        <v>113</v>
      </c>
      <c r="W7653" s="42">
        <v>0</v>
      </c>
      <c r="X7653" s="42">
        <v>0</v>
      </c>
    </row>
    <row r="7654" spans="1:24">
      <c r="A7654" s="27" t="s">
        <v>13778</v>
      </c>
      <c r="B7654" s="28" t="s">
        <v>12240</v>
      </c>
      <c r="C7654" s="27" t="s">
        <v>13779</v>
      </c>
      <c r="D7654" s="27" t="s">
        <v>230</v>
      </c>
      <c r="E7654" s="29">
        <v>40117</v>
      </c>
      <c r="F7654" s="27">
        <v>15</v>
      </c>
      <c r="G7654" s="18">
        <v>62352.87</v>
      </c>
      <c r="H7654" s="27">
        <f t="shared" si="238"/>
        <v>0</v>
      </c>
      <c r="I7654" s="18">
        <v>41662.26</v>
      </c>
      <c r="J7654" s="27">
        <v>62352.87</v>
      </c>
      <c r="K7654" s="18">
        <f t="shared" si="239"/>
        <v>0</v>
      </c>
      <c r="L7654" s="27">
        <v>44400.9</v>
      </c>
      <c r="M7654" s="36">
        <v>2738.64</v>
      </c>
      <c r="T7654" s="41">
        <v>0</v>
      </c>
      <c r="U7654" s="41">
        <v>0</v>
      </c>
      <c r="V7654" s="42" t="s">
        <v>113</v>
      </c>
      <c r="W7654" s="42">
        <v>0</v>
      </c>
      <c r="X7654" s="42">
        <v>0</v>
      </c>
    </row>
    <row r="7655" spans="1:24">
      <c r="A7655" s="27" t="s">
        <v>13780</v>
      </c>
      <c r="B7655" s="28" t="s">
        <v>12240</v>
      </c>
      <c r="C7655" s="27" t="s">
        <v>13781</v>
      </c>
      <c r="D7655" s="27" t="s">
        <v>5104</v>
      </c>
      <c r="E7655" s="29">
        <v>40117</v>
      </c>
      <c r="F7655" s="27">
        <v>15</v>
      </c>
      <c r="G7655" s="18">
        <v>22352.87</v>
      </c>
      <c r="H7655" s="27">
        <f t="shared" si="238"/>
        <v>0</v>
      </c>
      <c r="I7655" s="18">
        <v>14935.5</v>
      </c>
      <c r="J7655" s="27">
        <v>22352.87</v>
      </c>
      <c r="K7655" s="18">
        <f t="shared" si="239"/>
        <v>0</v>
      </c>
      <c r="L7655" s="27">
        <v>15917.28</v>
      </c>
      <c r="M7655" s="36">
        <v>981.78</v>
      </c>
      <c r="T7655" s="41">
        <v>0</v>
      </c>
      <c r="U7655" s="41">
        <v>0</v>
      </c>
      <c r="V7655" s="42" t="s">
        <v>113</v>
      </c>
      <c r="W7655" s="42">
        <v>0</v>
      </c>
      <c r="X7655" s="42">
        <v>0</v>
      </c>
    </row>
    <row r="7656" spans="1:24">
      <c r="A7656" s="27" t="s">
        <v>13782</v>
      </c>
      <c r="B7656" s="28" t="s">
        <v>12240</v>
      </c>
      <c r="C7656" s="27" t="s">
        <v>13783</v>
      </c>
      <c r="D7656" s="27" t="s">
        <v>5104</v>
      </c>
      <c r="E7656" s="29">
        <v>40117</v>
      </c>
      <c r="F7656" s="27">
        <v>15</v>
      </c>
      <c r="G7656" s="18">
        <v>41352.89</v>
      </c>
      <c r="H7656" s="27">
        <f t="shared" si="238"/>
        <v>0</v>
      </c>
      <c r="I7656" s="18">
        <v>27630.73</v>
      </c>
      <c r="J7656" s="27">
        <v>41352.89</v>
      </c>
      <c r="K7656" s="18">
        <f t="shared" si="239"/>
        <v>0</v>
      </c>
      <c r="L7656" s="27">
        <v>29447.02</v>
      </c>
      <c r="M7656" s="36">
        <v>1816.29</v>
      </c>
      <c r="T7656" s="41">
        <v>0</v>
      </c>
      <c r="U7656" s="41">
        <v>0</v>
      </c>
      <c r="V7656" s="42" t="s">
        <v>113</v>
      </c>
      <c r="W7656" s="42">
        <v>0</v>
      </c>
      <c r="X7656" s="42">
        <v>0</v>
      </c>
    </row>
    <row r="7657" spans="1:24">
      <c r="A7657" s="27" t="s">
        <v>13784</v>
      </c>
      <c r="B7657" s="28" t="s">
        <v>12240</v>
      </c>
      <c r="C7657" s="27" t="s">
        <v>13785</v>
      </c>
      <c r="D7657" s="27" t="s">
        <v>230</v>
      </c>
      <c r="E7657" s="29">
        <v>40178</v>
      </c>
      <c r="F7657" s="27">
        <v>15</v>
      </c>
      <c r="G7657" s="18">
        <v>52633.89</v>
      </c>
      <c r="H7657" s="27">
        <f t="shared" si="238"/>
        <v>0</v>
      </c>
      <c r="I7657" s="18">
        <v>25198.65</v>
      </c>
      <c r="J7657" s="27">
        <v>52633.89</v>
      </c>
      <c r="K7657" s="18">
        <f t="shared" si="239"/>
        <v>0</v>
      </c>
      <c r="L7657" s="27">
        <v>29064.14</v>
      </c>
      <c r="M7657" s="36">
        <v>3865.49</v>
      </c>
      <c r="T7657" s="41">
        <v>0</v>
      </c>
      <c r="U7657" s="41">
        <v>0</v>
      </c>
      <c r="V7657" s="42" t="s">
        <v>113</v>
      </c>
      <c r="W7657" s="42">
        <v>0</v>
      </c>
      <c r="X7657" s="42">
        <v>0</v>
      </c>
    </row>
    <row r="7658" spans="1:24">
      <c r="A7658" s="27" t="s">
        <v>13786</v>
      </c>
      <c r="B7658" s="28" t="s">
        <v>12240</v>
      </c>
      <c r="C7658" s="27" t="s">
        <v>13787</v>
      </c>
      <c r="D7658" s="27" t="s">
        <v>230</v>
      </c>
      <c r="E7658" s="29">
        <v>40178</v>
      </c>
      <c r="F7658" s="27">
        <v>15</v>
      </c>
      <c r="G7658" s="18">
        <v>21022.31</v>
      </c>
      <c r="H7658" s="27">
        <f t="shared" si="238"/>
        <v>0</v>
      </c>
      <c r="I7658" s="18">
        <v>14042.19</v>
      </c>
      <c r="J7658" s="27">
        <v>21022.31</v>
      </c>
      <c r="K7658" s="18">
        <f t="shared" si="239"/>
        <v>0</v>
      </c>
      <c r="L7658" s="27">
        <v>14966.19</v>
      </c>
      <c r="M7658" s="36">
        <v>924</v>
      </c>
      <c r="T7658" s="41">
        <v>0</v>
      </c>
      <c r="U7658" s="41">
        <v>0</v>
      </c>
      <c r="V7658" s="42" t="s">
        <v>113</v>
      </c>
      <c r="W7658" s="42">
        <v>0</v>
      </c>
      <c r="X7658" s="42">
        <v>0</v>
      </c>
    </row>
    <row r="7659" spans="1:24">
      <c r="A7659" s="27" t="s">
        <v>13788</v>
      </c>
      <c r="B7659" s="28" t="s">
        <v>12240</v>
      </c>
      <c r="C7659" s="27" t="s">
        <v>13789</v>
      </c>
      <c r="D7659" s="27" t="s">
        <v>230</v>
      </c>
      <c r="E7659" s="29">
        <v>40178</v>
      </c>
      <c r="F7659" s="27">
        <v>15</v>
      </c>
      <c r="G7659" s="18">
        <v>86022.31</v>
      </c>
      <c r="H7659" s="27">
        <f t="shared" si="238"/>
        <v>0</v>
      </c>
      <c r="I7659" s="18">
        <v>57460</v>
      </c>
      <c r="J7659" s="27">
        <v>86022.31</v>
      </c>
      <c r="K7659" s="18">
        <f t="shared" si="239"/>
        <v>0</v>
      </c>
      <c r="L7659" s="27">
        <v>61240.959999999999</v>
      </c>
      <c r="M7659" s="36">
        <v>3780.96</v>
      </c>
      <c r="T7659" s="41">
        <v>0</v>
      </c>
      <c r="U7659" s="41">
        <v>0</v>
      </c>
      <c r="V7659" s="42" t="s">
        <v>113</v>
      </c>
      <c r="W7659" s="42">
        <v>0</v>
      </c>
      <c r="X7659" s="42">
        <v>0</v>
      </c>
    </row>
    <row r="7660" spans="1:24">
      <c r="A7660" s="27" t="s">
        <v>13790</v>
      </c>
      <c r="B7660" s="28" t="s">
        <v>12240</v>
      </c>
      <c r="C7660" s="27" t="s">
        <v>13791</v>
      </c>
      <c r="D7660" s="27" t="s">
        <v>230</v>
      </c>
      <c r="E7660" s="29">
        <v>40178</v>
      </c>
      <c r="F7660" s="27">
        <v>15</v>
      </c>
      <c r="G7660" s="18">
        <v>31022.31</v>
      </c>
      <c r="H7660" s="27">
        <f t="shared" si="238"/>
        <v>0</v>
      </c>
      <c r="I7660" s="18">
        <v>20721.86</v>
      </c>
      <c r="J7660" s="27">
        <v>31022.31</v>
      </c>
      <c r="K7660" s="18">
        <f t="shared" si="239"/>
        <v>0</v>
      </c>
      <c r="L7660" s="27">
        <v>22085.39</v>
      </c>
      <c r="M7660" s="36">
        <v>1363.53</v>
      </c>
      <c r="T7660" s="41">
        <v>0</v>
      </c>
      <c r="U7660" s="41">
        <v>0</v>
      </c>
      <c r="V7660" s="42" t="s">
        <v>113</v>
      </c>
      <c r="W7660" s="42">
        <v>0</v>
      </c>
      <c r="X7660" s="42">
        <v>0</v>
      </c>
    </row>
    <row r="7661" spans="1:24">
      <c r="A7661" s="27" t="s">
        <v>13792</v>
      </c>
      <c r="B7661" s="28" t="s">
        <v>12240</v>
      </c>
      <c r="C7661" s="27" t="s">
        <v>13793</v>
      </c>
      <c r="D7661" s="27" t="s">
        <v>230</v>
      </c>
      <c r="E7661" s="29">
        <v>40178</v>
      </c>
      <c r="F7661" s="27">
        <v>15</v>
      </c>
      <c r="G7661" s="18">
        <v>31022.31</v>
      </c>
      <c r="H7661" s="27">
        <f t="shared" si="238"/>
        <v>0</v>
      </c>
      <c r="I7661" s="18">
        <v>20721.86</v>
      </c>
      <c r="J7661" s="27">
        <v>31022.31</v>
      </c>
      <c r="K7661" s="18">
        <f t="shared" si="239"/>
        <v>0</v>
      </c>
      <c r="L7661" s="27">
        <v>22085.39</v>
      </c>
      <c r="M7661" s="36">
        <v>1363.53</v>
      </c>
      <c r="T7661" s="41">
        <v>0</v>
      </c>
      <c r="U7661" s="41">
        <v>0</v>
      </c>
      <c r="V7661" s="42" t="s">
        <v>113</v>
      </c>
      <c r="W7661" s="42">
        <v>0</v>
      </c>
      <c r="X7661" s="42">
        <v>0</v>
      </c>
    </row>
    <row r="7662" spans="1:24">
      <c r="A7662" s="27" t="s">
        <v>13794</v>
      </c>
      <c r="B7662" s="28" t="s">
        <v>12240</v>
      </c>
      <c r="C7662" s="27" t="s">
        <v>13795</v>
      </c>
      <c r="D7662" s="27" t="s">
        <v>230</v>
      </c>
      <c r="E7662" s="29">
        <v>40178</v>
      </c>
      <c r="F7662" s="27">
        <v>15</v>
      </c>
      <c r="G7662" s="18">
        <v>22022.31</v>
      </c>
      <c r="H7662" s="27">
        <f t="shared" si="238"/>
        <v>0</v>
      </c>
      <c r="I7662" s="18">
        <v>14710.16</v>
      </c>
      <c r="J7662" s="27">
        <v>22022.31</v>
      </c>
      <c r="K7662" s="18">
        <f t="shared" si="239"/>
        <v>0</v>
      </c>
      <c r="L7662" s="27">
        <v>15678.11</v>
      </c>
      <c r="M7662" s="36">
        <v>967.95</v>
      </c>
      <c r="T7662" s="41">
        <v>0</v>
      </c>
      <c r="U7662" s="41">
        <v>0</v>
      </c>
      <c r="V7662" s="42" t="s">
        <v>113</v>
      </c>
      <c r="W7662" s="42">
        <v>0</v>
      </c>
      <c r="X7662" s="42">
        <v>0</v>
      </c>
    </row>
    <row r="7663" spans="1:24">
      <c r="A7663" s="27" t="s">
        <v>13796</v>
      </c>
      <c r="B7663" s="28" t="s">
        <v>12240</v>
      </c>
      <c r="C7663" s="27" t="s">
        <v>13797</v>
      </c>
      <c r="D7663" s="27" t="s">
        <v>230</v>
      </c>
      <c r="E7663" s="29">
        <v>40237</v>
      </c>
      <c r="F7663" s="27">
        <v>15</v>
      </c>
      <c r="G7663" s="18">
        <v>80776.679999999993</v>
      </c>
      <c r="H7663" s="27">
        <f t="shared" si="238"/>
        <v>0</v>
      </c>
      <c r="I7663" s="18">
        <v>21430.3</v>
      </c>
      <c r="J7663" s="27">
        <v>80776.679999999993</v>
      </c>
      <c r="K7663" s="18">
        <f t="shared" si="239"/>
        <v>0</v>
      </c>
      <c r="L7663" s="27">
        <v>30049.66</v>
      </c>
      <c r="M7663" s="36">
        <v>8619.36</v>
      </c>
      <c r="T7663" s="41">
        <v>0</v>
      </c>
      <c r="U7663" s="41">
        <v>0</v>
      </c>
      <c r="V7663" s="42" t="s">
        <v>113</v>
      </c>
      <c r="W7663" s="42">
        <v>0</v>
      </c>
      <c r="X7663" s="42">
        <v>0</v>
      </c>
    </row>
    <row r="7664" spans="1:24">
      <c r="A7664" s="27" t="s">
        <v>13798</v>
      </c>
      <c r="B7664" s="28" t="s">
        <v>12240</v>
      </c>
      <c r="C7664" s="27" t="s">
        <v>13799</v>
      </c>
      <c r="D7664" s="27" t="s">
        <v>230</v>
      </c>
      <c r="E7664" s="29">
        <v>40147</v>
      </c>
      <c r="F7664" s="27">
        <v>15</v>
      </c>
      <c r="G7664" s="18">
        <v>46356.78</v>
      </c>
      <c r="H7664" s="27">
        <f t="shared" si="238"/>
        <v>0</v>
      </c>
      <c r="I7664" s="18">
        <v>30950.51</v>
      </c>
      <c r="J7664" s="27">
        <v>46356.78</v>
      </c>
      <c r="K7664" s="18">
        <f t="shared" si="239"/>
        <v>0</v>
      </c>
      <c r="L7664" s="27">
        <v>32990.269999999997</v>
      </c>
      <c r="M7664" s="36">
        <v>2039.76</v>
      </c>
      <c r="T7664" s="41">
        <v>0</v>
      </c>
      <c r="U7664" s="41">
        <v>0</v>
      </c>
      <c r="V7664" s="42" t="s">
        <v>113</v>
      </c>
      <c r="W7664" s="42">
        <v>0</v>
      </c>
      <c r="X7664" s="42">
        <v>0</v>
      </c>
    </row>
    <row r="7665" spans="1:24">
      <c r="A7665" s="27" t="s">
        <v>13800</v>
      </c>
      <c r="B7665" s="28" t="s">
        <v>12240</v>
      </c>
      <c r="C7665" s="27" t="s">
        <v>13801</v>
      </c>
      <c r="D7665" s="27" t="s">
        <v>230</v>
      </c>
      <c r="E7665" s="29">
        <v>40147</v>
      </c>
      <c r="F7665" s="27">
        <v>15</v>
      </c>
      <c r="G7665" s="18">
        <v>77414.89</v>
      </c>
      <c r="H7665" s="27">
        <f t="shared" si="238"/>
        <v>0</v>
      </c>
      <c r="I7665" s="18">
        <v>38068.76</v>
      </c>
      <c r="J7665" s="27">
        <v>77414.89</v>
      </c>
      <c r="K7665" s="18">
        <f t="shared" si="239"/>
        <v>0</v>
      </c>
      <c r="L7665" s="27">
        <v>43597.39</v>
      </c>
      <c r="M7665" s="36">
        <v>5528.63</v>
      </c>
      <c r="T7665" s="41">
        <v>0</v>
      </c>
      <c r="U7665" s="41">
        <v>0</v>
      </c>
      <c r="V7665" s="42" t="s">
        <v>113</v>
      </c>
      <c r="W7665" s="42">
        <v>0</v>
      </c>
      <c r="X7665" s="42">
        <v>0</v>
      </c>
    </row>
    <row r="7666" spans="1:24">
      <c r="A7666" s="27" t="s">
        <v>13802</v>
      </c>
      <c r="B7666" s="28" t="s">
        <v>12240</v>
      </c>
      <c r="C7666" s="27" t="s">
        <v>13803</v>
      </c>
      <c r="D7666" s="27" t="s">
        <v>230</v>
      </c>
      <c r="E7666" s="29">
        <v>40117</v>
      </c>
      <c r="F7666" s="27">
        <v>15</v>
      </c>
      <c r="G7666" s="18">
        <v>35464.32</v>
      </c>
      <c r="H7666" s="27">
        <f t="shared" si="238"/>
        <v>0</v>
      </c>
      <c r="I7666" s="18">
        <v>23682.35</v>
      </c>
      <c r="J7666" s="27">
        <v>35464.32</v>
      </c>
      <c r="K7666" s="18">
        <f t="shared" si="239"/>
        <v>0</v>
      </c>
      <c r="L7666" s="27">
        <v>25242.16</v>
      </c>
      <c r="M7666" s="36">
        <v>1559.81</v>
      </c>
      <c r="T7666" s="41">
        <v>0</v>
      </c>
      <c r="U7666" s="41">
        <v>0</v>
      </c>
      <c r="V7666" s="42" t="s">
        <v>113</v>
      </c>
      <c r="W7666" s="42">
        <v>0</v>
      </c>
      <c r="X7666" s="42">
        <v>0</v>
      </c>
    </row>
    <row r="7667" spans="1:24">
      <c r="A7667" s="27" t="s">
        <v>13804</v>
      </c>
      <c r="B7667" s="28" t="s">
        <v>12240</v>
      </c>
      <c r="C7667" s="27" t="s">
        <v>13805</v>
      </c>
      <c r="D7667" s="27" t="s">
        <v>230</v>
      </c>
      <c r="E7667" s="29">
        <v>40117</v>
      </c>
      <c r="F7667" s="27">
        <v>15</v>
      </c>
      <c r="G7667" s="18">
        <v>35464.32</v>
      </c>
      <c r="H7667" s="27">
        <f t="shared" si="238"/>
        <v>0</v>
      </c>
      <c r="I7667" s="18">
        <v>23682.34</v>
      </c>
      <c r="J7667" s="27">
        <v>35464.32</v>
      </c>
      <c r="K7667" s="18">
        <f t="shared" si="239"/>
        <v>0</v>
      </c>
      <c r="L7667" s="27">
        <v>25242.15</v>
      </c>
      <c r="M7667" s="36">
        <v>1559.81</v>
      </c>
      <c r="T7667" s="41">
        <v>0</v>
      </c>
      <c r="U7667" s="41">
        <v>0</v>
      </c>
      <c r="V7667" s="42" t="s">
        <v>113</v>
      </c>
      <c r="W7667" s="42">
        <v>0</v>
      </c>
      <c r="X7667" s="42">
        <v>0</v>
      </c>
    </row>
    <row r="7668" spans="1:24">
      <c r="A7668" s="27" t="s">
        <v>13806</v>
      </c>
      <c r="B7668" s="28" t="s">
        <v>12240</v>
      </c>
      <c r="C7668" s="27" t="s">
        <v>13807</v>
      </c>
      <c r="D7668" s="27" t="s">
        <v>230</v>
      </c>
      <c r="E7668" s="29">
        <v>40117</v>
      </c>
      <c r="F7668" s="27">
        <v>15</v>
      </c>
      <c r="G7668" s="18">
        <v>29464.32</v>
      </c>
      <c r="H7668" s="27">
        <f t="shared" si="238"/>
        <v>0</v>
      </c>
      <c r="I7668" s="18">
        <v>19675.66</v>
      </c>
      <c r="J7668" s="27">
        <v>29464.32</v>
      </c>
      <c r="K7668" s="18">
        <f t="shared" si="239"/>
        <v>0</v>
      </c>
      <c r="L7668" s="27">
        <v>20971.57</v>
      </c>
      <c r="M7668" s="36">
        <v>1295.9100000000001</v>
      </c>
      <c r="T7668" s="41">
        <v>0</v>
      </c>
      <c r="U7668" s="41">
        <v>0</v>
      </c>
      <c r="V7668" s="42" t="s">
        <v>113</v>
      </c>
      <c r="W7668" s="42">
        <v>0</v>
      </c>
      <c r="X7668" s="42">
        <v>0</v>
      </c>
    </row>
    <row r="7669" spans="1:24">
      <c r="A7669" s="27" t="s">
        <v>13808</v>
      </c>
      <c r="B7669" s="28" t="s">
        <v>12240</v>
      </c>
      <c r="C7669" s="27" t="s">
        <v>13809</v>
      </c>
      <c r="D7669" s="27" t="s">
        <v>230</v>
      </c>
      <c r="E7669" s="29">
        <v>40237</v>
      </c>
      <c r="F7669" s="27">
        <v>15</v>
      </c>
      <c r="G7669" s="18">
        <v>47080.43</v>
      </c>
      <c r="H7669" s="27">
        <f t="shared" si="238"/>
        <v>0</v>
      </c>
      <c r="I7669" s="18">
        <v>31433.65</v>
      </c>
      <c r="J7669" s="27">
        <v>47080.43</v>
      </c>
      <c r="K7669" s="18">
        <f t="shared" si="239"/>
        <v>0</v>
      </c>
      <c r="L7669" s="27">
        <v>33505.25</v>
      </c>
      <c r="M7669" s="36">
        <v>2071.6</v>
      </c>
      <c r="T7669" s="41">
        <v>0</v>
      </c>
      <c r="U7669" s="41">
        <v>0</v>
      </c>
      <c r="V7669" s="42" t="s">
        <v>113</v>
      </c>
      <c r="W7669" s="42">
        <v>0</v>
      </c>
      <c r="X7669" s="42">
        <v>0</v>
      </c>
    </row>
    <row r="7670" spans="1:24">
      <c r="A7670" s="27" t="s">
        <v>13810</v>
      </c>
      <c r="B7670" s="28" t="s">
        <v>12240</v>
      </c>
      <c r="C7670" s="27" t="s">
        <v>13811</v>
      </c>
      <c r="D7670" s="27" t="s">
        <v>230</v>
      </c>
      <c r="E7670" s="29">
        <v>40147</v>
      </c>
      <c r="F7670" s="27">
        <v>15</v>
      </c>
      <c r="G7670" s="18">
        <v>42427.65</v>
      </c>
      <c r="H7670" s="27">
        <f t="shared" si="238"/>
        <v>0</v>
      </c>
      <c r="I7670" s="18">
        <v>28155.119999999999</v>
      </c>
      <c r="J7670" s="27">
        <v>42427.65</v>
      </c>
      <c r="K7670" s="18">
        <f t="shared" si="239"/>
        <v>0</v>
      </c>
      <c r="L7670" s="27">
        <v>30048.81</v>
      </c>
      <c r="M7670" s="36">
        <v>1893.69</v>
      </c>
      <c r="T7670" s="41">
        <v>0</v>
      </c>
      <c r="U7670" s="41">
        <v>0</v>
      </c>
      <c r="V7670" s="42" t="s">
        <v>113</v>
      </c>
      <c r="W7670" s="42">
        <v>0</v>
      </c>
      <c r="X7670" s="42">
        <v>0</v>
      </c>
    </row>
    <row r="7671" spans="1:24">
      <c r="A7671" s="27" t="s">
        <v>13812</v>
      </c>
      <c r="B7671" s="28" t="s">
        <v>12240</v>
      </c>
      <c r="C7671" s="27" t="s">
        <v>13813</v>
      </c>
      <c r="D7671" s="27" t="s">
        <v>230</v>
      </c>
      <c r="E7671" s="29">
        <v>40512</v>
      </c>
      <c r="F7671" s="27">
        <v>15</v>
      </c>
      <c r="G7671" s="18">
        <v>81513.02</v>
      </c>
      <c r="H7671" s="27">
        <f t="shared" si="238"/>
        <v>0</v>
      </c>
      <c r="I7671" s="18">
        <v>62150.94</v>
      </c>
      <c r="J7671" s="27">
        <v>81513.02</v>
      </c>
      <c r="K7671" s="18">
        <f t="shared" si="239"/>
        <v>0</v>
      </c>
      <c r="L7671" s="27">
        <v>64361.03</v>
      </c>
      <c r="M7671" s="36">
        <v>2210.09</v>
      </c>
      <c r="T7671" s="41">
        <v>0</v>
      </c>
      <c r="U7671" s="41">
        <v>0</v>
      </c>
      <c r="V7671" s="42" t="s">
        <v>113</v>
      </c>
      <c r="W7671" s="42">
        <v>0</v>
      </c>
      <c r="X7671" s="42">
        <v>0</v>
      </c>
    </row>
    <row r="7672" spans="1:24">
      <c r="A7672" s="27" t="s">
        <v>13814</v>
      </c>
      <c r="B7672" s="28" t="s">
        <v>12240</v>
      </c>
      <c r="C7672" s="27" t="s">
        <v>13815</v>
      </c>
      <c r="D7672" s="27" t="s">
        <v>230</v>
      </c>
      <c r="E7672" s="29">
        <v>40512</v>
      </c>
      <c r="F7672" s="27">
        <v>15</v>
      </c>
      <c r="G7672" s="18">
        <v>67632.070000000007</v>
      </c>
      <c r="H7672" s="27">
        <f t="shared" si="238"/>
        <v>0</v>
      </c>
      <c r="I7672" s="18">
        <v>41927.43</v>
      </c>
      <c r="J7672" s="27">
        <v>67632.070000000007</v>
      </c>
      <c r="K7672" s="18">
        <f t="shared" si="239"/>
        <v>0</v>
      </c>
      <c r="L7672" s="27">
        <v>45154.86</v>
      </c>
      <c r="M7672" s="36">
        <v>3227.43</v>
      </c>
      <c r="T7672" s="41">
        <v>0</v>
      </c>
      <c r="U7672" s="41">
        <v>0</v>
      </c>
      <c r="V7672" s="42" t="s">
        <v>113</v>
      </c>
      <c r="W7672" s="42">
        <v>0</v>
      </c>
      <c r="X7672" s="42">
        <v>0</v>
      </c>
    </row>
    <row r="7673" spans="1:24">
      <c r="A7673" s="27" t="s">
        <v>13816</v>
      </c>
      <c r="B7673" s="28" t="s">
        <v>12240</v>
      </c>
      <c r="C7673" s="27" t="s">
        <v>13817</v>
      </c>
      <c r="D7673" s="27" t="s">
        <v>230</v>
      </c>
      <c r="E7673" s="29">
        <v>40512</v>
      </c>
      <c r="F7673" s="27">
        <v>15</v>
      </c>
      <c r="G7673" s="18">
        <v>27632.07</v>
      </c>
      <c r="H7673" s="27">
        <f t="shared" si="238"/>
        <v>0</v>
      </c>
      <c r="I7673" s="18">
        <v>17130.07</v>
      </c>
      <c r="J7673" s="27">
        <v>27632.07</v>
      </c>
      <c r="K7673" s="18">
        <f t="shared" si="239"/>
        <v>0</v>
      </c>
      <c r="L7673" s="27">
        <v>18448.68</v>
      </c>
      <c r="M7673" s="36">
        <v>1318.61</v>
      </c>
      <c r="T7673" s="41">
        <v>0</v>
      </c>
      <c r="U7673" s="41">
        <v>0</v>
      </c>
      <c r="V7673" s="42" t="s">
        <v>113</v>
      </c>
      <c r="W7673" s="42">
        <v>0</v>
      </c>
      <c r="X7673" s="42">
        <v>0</v>
      </c>
    </row>
    <row r="7674" spans="1:24">
      <c r="A7674" s="27" t="s">
        <v>13818</v>
      </c>
      <c r="B7674" s="28" t="s">
        <v>12240</v>
      </c>
      <c r="C7674" s="27" t="s">
        <v>13819</v>
      </c>
      <c r="D7674" s="27" t="s">
        <v>230</v>
      </c>
      <c r="E7674" s="29">
        <v>40512</v>
      </c>
      <c r="F7674" s="27">
        <v>15</v>
      </c>
      <c r="G7674" s="18">
        <v>127031</v>
      </c>
      <c r="H7674" s="27">
        <f t="shared" si="238"/>
        <v>0</v>
      </c>
      <c r="I7674" s="18">
        <v>69627.86</v>
      </c>
      <c r="J7674" s="27">
        <v>127031</v>
      </c>
      <c r="K7674" s="18">
        <f t="shared" si="239"/>
        <v>0</v>
      </c>
      <c r="L7674" s="27">
        <v>77008.81</v>
      </c>
      <c r="M7674" s="36">
        <v>7380.95</v>
      </c>
      <c r="T7674" s="41">
        <v>0</v>
      </c>
      <c r="U7674" s="41">
        <v>0</v>
      </c>
      <c r="V7674" s="42" t="s">
        <v>113</v>
      </c>
      <c r="W7674" s="42">
        <v>0</v>
      </c>
      <c r="X7674" s="42">
        <v>0</v>
      </c>
    </row>
    <row r="7675" spans="1:24">
      <c r="A7675" s="27" t="s">
        <v>13820</v>
      </c>
      <c r="B7675" s="28" t="s">
        <v>12240</v>
      </c>
      <c r="C7675" s="27" t="s">
        <v>13821</v>
      </c>
      <c r="D7675" s="27" t="s">
        <v>230</v>
      </c>
      <c r="E7675" s="29">
        <v>40512</v>
      </c>
      <c r="F7675" s="27">
        <v>15</v>
      </c>
      <c r="G7675" s="18">
        <v>47632.07</v>
      </c>
      <c r="H7675" s="27">
        <f t="shared" si="238"/>
        <v>0</v>
      </c>
      <c r="I7675" s="18">
        <v>29528.76</v>
      </c>
      <c r="J7675" s="27">
        <v>47632.07</v>
      </c>
      <c r="K7675" s="18">
        <f t="shared" si="239"/>
        <v>0</v>
      </c>
      <c r="L7675" s="27">
        <v>31801.78</v>
      </c>
      <c r="M7675" s="36">
        <v>2273.02</v>
      </c>
      <c r="T7675" s="41">
        <v>0</v>
      </c>
      <c r="U7675" s="41">
        <v>0</v>
      </c>
      <c r="V7675" s="42" t="s">
        <v>113</v>
      </c>
      <c r="W7675" s="42">
        <v>0</v>
      </c>
      <c r="X7675" s="42">
        <v>0</v>
      </c>
    </row>
    <row r="7676" spans="1:24">
      <c r="A7676" s="27" t="s">
        <v>13822</v>
      </c>
      <c r="B7676" s="28" t="s">
        <v>12240</v>
      </c>
      <c r="C7676" s="27" t="s">
        <v>13823</v>
      </c>
      <c r="D7676" s="27" t="s">
        <v>230</v>
      </c>
      <c r="E7676" s="29">
        <v>40512</v>
      </c>
      <c r="F7676" s="27">
        <v>15</v>
      </c>
      <c r="G7676" s="18">
        <v>63681.04</v>
      </c>
      <c r="H7676" s="27">
        <f t="shared" si="238"/>
        <v>0</v>
      </c>
      <c r="I7676" s="18">
        <v>44775.28</v>
      </c>
      <c r="J7676" s="27">
        <v>63681.04</v>
      </c>
      <c r="K7676" s="18">
        <f t="shared" si="239"/>
        <v>0</v>
      </c>
      <c r="L7676" s="27">
        <v>47048.3</v>
      </c>
      <c r="M7676" s="36">
        <v>2273.02</v>
      </c>
      <c r="T7676" s="41">
        <v>0</v>
      </c>
      <c r="U7676" s="41">
        <v>0</v>
      </c>
      <c r="V7676" s="42" t="s">
        <v>113</v>
      </c>
      <c r="W7676" s="42">
        <v>0</v>
      </c>
      <c r="X7676" s="42">
        <v>0</v>
      </c>
    </row>
    <row r="7677" spans="1:24">
      <c r="A7677" s="27" t="s">
        <v>13824</v>
      </c>
      <c r="B7677" s="28" t="s">
        <v>12240</v>
      </c>
      <c r="C7677" s="27" t="s">
        <v>13825</v>
      </c>
      <c r="D7677" s="27" t="s">
        <v>230</v>
      </c>
      <c r="E7677" s="29">
        <v>40512</v>
      </c>
      <c r="F7677" s="27">
        <v>15</v>
      </c>
      <c r="G7677" s="18">
        <v>58883.01</v>
      </c>
      <c r="H7677" s="27">
        <f t="shared" si="238"/>
        <v>0</v>
      </c>
      <c r="I7677" s="18">
        <v>36513.69</v>
      </c>
      <c r="J7677" s="27">
        <v>58883.01</v>
      </c>
      <c r="K7677" s="18">
        <f t="shared" si="239"/>
        <v>0</v>
      </c>
      <c r="L7677" s="27">
        <v>39322.15</v>
      </c>
      <c r="M7677" s="36">
        <v>2808.46</v>
      </c>
      <c r="T7677" s="41">
        <v>0</v>
      </c>
      <c r="U7677" s="41">
        <v>0</v>
      </c>
      <c r="V7677" s="42" t="s">
        <v>113</v>
      </c>
      <c r="W7677" s="42">
        <v>0</v>
      </c>
      <c r="X7677" s="42">
        <v>0</v>
      </c>
    </row>
    <row r="7678" spans="1:24">
      <c r="A7678" s="27" t="s">
        <v>13826</v>
      </c>
      <c r="B7678" s="28" t="s">
        <v>12240</v>
      </c>
      <c r="C7678" s="27" t="s">
        <v>13827</v>
      </c>
      <c r="D7678" s="27" t="s">
        <v>230</v>
      </c>
      <c r="E7678" s="29">
        <v>40512</v>
      </c>
      <c r="F7678" s="27">
        <v>15</v>
      </c>
      <c r="G7678" s="18">
        <v>58883.01</v>
      </c>
      <c r="H7678" s="27">
        <f t="shared" si="238"/>
        <v>0</v>
      </c>
      <c r="I7678" s="18">
        <v>36513.69</v>
      </c>
      <c r="J7678" s="27">
        <v>58883.01</v>
      </c>
      <c r="K7678" s="18">
        <f t="shared" si="239"/>
        <v>0</v>
      </c>
      <c r="L7678" s="27">
        <v>39322.15</v>
      </c>
      <c r="M7678" s="36">
        <v>2808.46</v>
      </c>
      <c r="T7678" s="41">
        <v>0</v>
      </c>
      <c r="U7678" s="41">
        <v>0</v>
      </c>
      <c r="V7678" s="42" t="s">
        <v>113</v>
      </c>
      <c r="W7678" s="42">
        <v>0</v>
      </c>
      <c r="X7678" s="42">
        <v>0</v>
      </c>
    </row>
    <row r="7679" spans="1:24">
      <c r="A7679" s="27" t="s">
        <v>13828</v>
      </c>
      <c r="B7679" s="28" t="s">
        <v>12240</v>
      </c>
      <c r="C7679" s="27" t="s">
        <v>13829</v>
      </c>
      <c r="D7679" s="27" t="s">
        <v>230</v>
      </c>
      <c r="E7679" s="29">
        <v>40512</v>
      </c>
      <c r="F7679" s="27">
        <v>15</v>
      </c>
      <c r="G7679" s="18">
        <v>58883.01</v>
      </c>
      <c r="H7679" s="27">
        <f t="shared" si="238"/>
        <v>0</v>
      </c>
      <c r="I7679" s="18">
        <v>36513.69</v>
      </c>
      <c r="J7679" s="27">
        <v>58883.01</v>
      </c>
      <c r="K7679" s="18">
        <f t="shared" si="239"/>
        <v>0</v>
      </c>
      <c r="L7679" s="27">
        <v>39322.15</v>
      </c>
      <c r="M7679" s="36">
        <v>2808.46</v>
      </c>
      <c r="T7679" s="41">
        <v>0</v>
      </c>
      <c r="U7679" s="41">
        <v>0</v>
      </c>
      <c r="V7679" s="42" t="s">
        <v>113</v>
      </c>
      <c r="W7679" s="42">
        <v>0</v>
      </c>
      <c r="X7679" s="42">
        <v>0</v>
      </c>
    </row>
    <row r="7680" spans="1:24">
      <c r="A7680" s="27" t="s">
        <v>13830</v>
      </c>
      <c r="B7680" s="28" t="s">
        <v>12240</v>
      </c>
      <c r="C7680" s="27" t="s">
        <v>13831</v>
      </c>
      <c r="D7680" s="27" t="s">
        <v>5104</v>
      </c>
      <c r="E7680" s="29">
        <v>40512</v>
      </c>
      <c r="F7680" s="27">
        <v>15</v>
      </c>
      <c r="G7680" s="18">
        <v>58883.01</v>
      </c>
      <c r="H7680" s="27">
        <f t="shared" si="238"/>
        <v>0</v>
      </c>
      <c r="I7680" s="18">
        <v>36513.69</v>
      </c>
      <c r="J7680" s="27">
        <v>58883.01</v>
      </c>
      <c r="K7680" s="18">
        <f t="shared" si="239"/>
        <v>0</v>
      </c>
      <c r="L7680" s="27">
        <v>39322.15</v>
      </c>
      <c r="M7680" s="36">
        <v>2808.46</v>
      </c>
      <c r="T7680" s="41">
        <v>0</v>
      </c>
      <c r="U7680" s="41">
        <v>0</v>
      </c>
      <c r="V7680" s="42" t="s">
        <v>113</v>
      </c>
      <c r="W7680" s="42">
        <v>0</v>
      </c>
      <c r="X7680" s="42">
        <v>0</v>
      </c>
    </row>
    <row r="7681" spans="1:24">
      <c r="A7681" s="27" t="s">
        <v>13832</v>
      </c>
      <c r="B7681" s="28" t="s">
        <v>12240</v>
      </c>
      <c r="C7681" s="27" t="s">
        <v>13833</v>
      </c>
      <c r="D7681" s="27" t="s">
        <v>230</v>
      </c>
      <c r="E7681" s="29">
        <v>41254</v>
      </c>
      <c r="F7681" s="27">
        <v>15</v>
      </c>
      <c r="G7681" s="18">
        <v>28585.53</v>
      </c>
      <c r="H7681" s="27">
        <f t="shared" si="238"/>
        <v>0</v>
      </c>
      <c r="I7681" s="18">
        <v>13001.79</v>
      </c>
      <c r="J7681" s="27">
        <v>28585.53</v>
      </c>
      <c r="K7681" s="18">
        <f t="shared" si="239"/>
        <v>0</v>
      </c>
      <c r="L7681" s="27">
        <v>14574.51</v>
      </c>
      <c r="M7681" s="36">
        <v>1572.72</v>
      </c>
      <c r="T7681" s="41">
        <v>0</v>
      </c>
      <c r="U7681" s="41">
        <v>0</v>
      </c>
      <c r="V7681" s="42" t="s">
        <v>113</v>
      </c>
      <c r="W7681" s="42">
        <v>0</v>
      </c>
      <c r="X7681" s="42">
        <v>0</v>
      </c>
    </row>
    <row r="7682" spans="1:24">
      <c r="A7682" s="27" t="s">
        <v>13834</v>
      </c>
      <c r="B7682" s="28" t="s">
        <v>12240</v>
      </c>
      <c r="C7682" s="27" t="s">
        <v>13835</v>
      </c>
      <c r="D7682" s="27" t="s">
        <v>230</v>
      </c>
      <c r="E7682" s="29">
        <v>41254</v>
      </c>
      <c r="F7682" s="27">
        <v>15</v>
      </c>
      <c r="G7682" s="18">
        <v>20585.53</v>
      </c>
      <c r="H7682" s="27">
        <f t="shared" si="238"/>
        <v>0</v>
      </c>
      <c r="I7682" s="18">
        <v>9363.08</v>
      </c>
      <c r="J7682" s="27">
        <v>20585.53</v>
      </c>
      <c r="K7682" s="18">
        <f t="shared" si="239"/>
        <v>0</v>
      </c>
      <c r="L7682" s="27">
        <v>10495.65</v>
      </c>
      <c r="M7682" s="36">
        <v>1132.57</v>
      </c>
      <c r="T7682" s="41">
        <v>0</v>
      </c>
      <c r="U7682" s="41">
        <v>0</v>
      </c>
      <c r="V7682" s="42" t="s">
        <v>113</v>
      </c>
      <c r="W7682" s="42">
        <v>0</v>
      </c>
      <c r="X7682" s="42">
        <v>0</v>
      </c>
    </row>
    <row r="7683" spans="1:24">
      <c r="A7683" s="27" t="s">
        <v>13836</v>
      </c>
      <c r="B7683" s="28" t="s">
        <v>12240</v>
      </c>
      <c r="C7683" s="27" t="s">
        <v>13837</v>
      </c>
      <c r="D7683" s="27" t="s">
        <v>5104</v>
      </c>
      <c r="E7683" s="29">
        <v>41254</v>
      </c>
      <c r="F7683" s="27">
        <v>15</v>
      </c>
      <c r="G7683" s="18">
        <v>34585.53</v>
      </c>
      <c r="H7683" s="27">
        <f t="shared" si="238"/>
        <v>0</v>
      </c>
      <c r="I7683" s="18">
        <v>15730.81</v>
      </c>
      <c r="J7683" s="27">
        <v>34585.53</v>
      </c>
      <c r="K7683" s="18">
        <f t="shared" si="239"/>
        <v>0</v>
      </c>
      <c r="L7683" s="27">
        <v>17633.64</v>
      </c>
      <c r="M7683" s="36">
        <v>1902.83</v>
      </c>
      <c r="T7683" s="41">
        <v>0</v>
      </c>
      <c r="U7683" s="41">
        <v>0</v>
      </c>
      <c r="V7683" s="42" t="s">
        <v>113</v>
      </c>
      <c r="W7683" s="42">
        <v>0</v>
      </c>
      <c r="X7683" s="42">
        <v>0</v>
      </c>
    </row>
    <row r="7684" spans="1:24">
      <c r="A7684" s="27" t="s">
        <v>13838</v>
      </c>
      <c r="B7684" s="28" t="s">
        <v>12240</v>
      </c>
      <c r="C7684" s="27" t="s">
        <v>13839</v>
      </c>
      <c r="D7684" s="27" t="s">
        <v>230</v>
      </c>
      <c r="E7684" s="29">
        <v>41254</v>
      </c>
      <c r="F7684" s="27">
        <v>15</v>
      </c>
      <c r="G7684" s="18">
        <v>34585.53</v>
      </c>
      <c r="H7684" s="27">
        <f t="shared" si="238"/>
        <v>0</v>
      </c>
      <c r="I7684" s="18">
        <v>15730.81</v>
      </c>
      <c r="J7684" s="27">
        <v>34585.53</v>
      </c>
      <c r="K7684" s="18">
        <f t="shared" si="239"/>
        <v>0</v>
      </c>
      <c r="L7684" s="27">
        <v>17633.64</v>
      </c>
      <c r="M7684" s="36">
        <v>1902.83</v>
      </c>
      <c r="T7684" s="41">
        <v>0</v>
      </c>
      <c r="U7684" s="41">
        <v>0</v>
      </c>
      <c r="V7684" s="42" t="s">
        <v>113</v>
      </c>
      <c r="W7684" s="42">
        <v>0</v>
      </c>
      <c r="X7684" s="42">
        <v>0</v>
      </c>
    </row>
    <row r="7685" spans="1:24">
      <c r="A7685" s="27" t="s">
        <v>13840</v>
      </c>
      <c r="B7685" s="28" t="s">
        <v>12240</v>
      </c>
      <c r="C7685" s="27" t="s">
        <v>13841</v>
      </c>
      <c r="D7685" s="27" t="s">
        <v>5104</v>
      </c>
      <c r="E7685" s="29">
        <v>41254</v>
      </c>
      <c r="F7685" s="27">
        <v>15</v>
      </c>
      <c r="G7685" s="18">
        <v>34585.53</v>
      </c>
      <c r="H7685" s="27">
        <f t="shared" si="238"/>
        <v>0</v>
      </c>
      <c r="I7685" s="18">
        <v>15730.81</v>
      </c>
      <c r="J7685" s="27">
        <v>34585.53</v>
      </c>
      <c r="K7685" s="18">
        <f t="shared" si="239"/>
        <v>0</v>
      </c>
      <c r="L7685" s="27">
        <v>17633.64</v>
      </c>
      <c r="M7685" s="36">
        <v>1902.83</v>
      </c>
      <c r="T7685" s="41">
        <v>0</v>
      </c>
      <c r="U7685" s="41">
        <v>0</v>
      </c>
      <c r="V7685" s="42" t="s">
        <v>113</v>
      </c>
      <c r="W7685" s="42">
        <v>0</v>
      </c>
      <c r="X7685" s="42">
        <v>0</v>
      </c>
    </row>
    <row r="7686" spans="1:24">
      <c r="A7686" s="27" t="s">
        <v>13842</v>
      </c>
      <c r="B7686" s="28" t="s">
        <v>12240</v>
      </c>
      <c r="C7686" s="27" t="s">
        <v>13843</v>
      </c>
      <c r="D7686" s="27" t="s">
        <v>230</v>
      </c>
      <c r="E7686" s="29">
        <v>41254</v>
      </c>
      <c r="F7686" s="27">
        <v>15</v>
      </c>
      <c r="G7686" s="18">
        <v>44585.53</v>
      </c>
      <c r="H7686" s="27">
        <f t="shared" ref="H7686:H7749" si="240">IFERROR(IF(ROUND((G7686-I7686)/G7686,2)&lt;=0.05,G7686,0),0)</f>
        <v>0</v>
      </c>
      <c r="I7686" s="18">
        <v>20279.2</v>
      </c>
      <c r="J7686" s="27">
        <v>44585.53</v>
      </c>
      <c r="K7686" s="18">
        <f t="shared" ref="K7686:K7749" si="241">IFERROR(IF(ROUND((J7686-L7686)/J7686,2)&lt;=0.05,J7686,0),0)</f>
        <v>0</v>
      </c>
      <c r="L7686" s="27">
        <v>22732.21</v>
      </c>
      <c r="M7686" s="36">
        <v>2453.0100000000002</v>
      </c>
      <c r="T7686" s="41">
        <v>0</v>
      </c>
      <c r="U7686" s="41">
        <v>0</v>
      </c>
      <c r="V7686" s="42" t="s">
        <v>113</v>
      </c>
      <c r="W7686" s="42">
        <v>0</v>
      </c>
      <c r="X7686" s="42">
        <v>0</v>
      </c>
    </row>
    <row r="7687" spans="1:24">
      <c r="A7687" s="27" t="s">
        <v>13844</v>
      </c>
      <c r="B7687" s="28" t="s">
        <v>12240</v>
      </c>
      <c r="C7687" s="27" t="s">
        <v>13845</v>
      </c>
      <c r="D7687" s="27" t="s">
        <v>230</v>
      </c>
      <c r="E7687" s="29">
        <v>41254</v>
      </c>
      <c r="F7687" s="27">
        <v>15</v>
      </c>
      <c r="G7687" s="18">
        <v>34585.53</v>
      </c>
      <c r="H7687" s="27">
        <f t="shared" si="240"/>
        <v>0</v>
      </c>
      <c r="I7687" s="18">
        <v>15730.81</v>
      </c>
      <c r="J7687" s="27">
        <v>34585.53</v>
      </c>
      <c r="K7687" s="18">
        <f t="shared" si="241"/>
        <v>0</v>
      </c>
      <c r="L7687" s="27">
        <v>17633.64</v>
      </c>
      <c r="M7687" s="36">
        <v>1902.83</v>
      </c>
      <c r="T7687" s="41">
        <v>0</v>
      </c>
      <c r="U7687" s="41">
        <v>0</v>
      </c>
      <c r="V7687" s="42" t="s">
        <v>113</v>
      </c>
      <c r="W7687" s="42">
        <v>0</v>
      </c>
      <c r="X7687" s="42">
        <v>0</v>
      </c>
    </row>
    <row r="7688" spans="1:24">
      <c r="A7688" s="27" t="s">
        <v>13846</v>
      </c>
      <c r="B7688" s="28" t="s">
        <v>12240</v>
      </c>
      <c r="C7688" s="27" t="s">
        <v>13847</v>
      </c>
      <c r="D7688" s="27" t="s">
        <v>230</v>
      </c>
      <c r="E7688" s="29">
        <v>41254</v>
      </c>
      <c r="F7688" s="27">
        <v>15</v>
      </c>
      <c r="G7688" s="18">
        <v>34585.53</v>
      </c>
      <c r="H7688" s="27">
        <f t="shared" si="240"/>
        <v>0</v>
      </c>
      <c r="I7688" s="18">
        <v>15730.81</v>
      </c>
      <c r="J7688" s="27">
        <v>34585.53</v>
      </c>
      <c r="K7688" s="18">
        <f t="shared" si="241"/>
        <v>0</v>
      </c>
      <c r="L7688" s="27">
        <v>17633.64</v>
      </c>
      <c r="M7688" s="36">
        <v>1902.83</v>
      </c>
      <c r="T7688" s="41">
        <v>0</v>
      </c>
      <c r="U7688" s="41">
        <v>0</v>
      </c>
      <c r="V7688" s="42" t="s">
        <v>113</v>
      </c>
      <c r="W7688" s="42">
        <v>0</v>
      </c>
      <c r="X7688" s="42">
        <v>0</v>
      </c>
    </row>
    <row r="7689" spans="1:24">
      <c r="A7689" s="27" t="s">
        <v>13848</v>
      </c>
      <c r="B7689" s="28" t="s">
        <v>12240</v>
      </c>
      <c r="C7689" s="27" t="s">
        <v>13849</v>
      </c>
      <c r="D7689" s="27" t="s">
        <v>230</v>
      </c>
      <c r="E7689" s="29">
        <v>41254</v>
      </c>
      <c r="F7689" s="27">
        <v>15</v>
      </c>
      <c r="G7689" s="18">
        <v>49980.41</v>
      </c>
      <c r="H7689" s="27">
        <f t="shared" si="240"/>
        <v>0</v>
      </c>
      <c r="I7689" s="18">
        <v>30148.29</v>
      </c>
      <c r="J7689" s="27">
        <v>49980.41</v>
      </c>
      <c r="K7689" s="18">
        <f t="shared" si="241"/>
        <v>0</v>
      </c>
      <c r="L7689" s="27">
        <v>32074.19</v>
      </c>
      <c r="M7689" s="36">
        <v>1925.9</v>
      </c>
      <c r="T7689" s="41">
        <v>0</v>
      </c>
      <c r="U7689" s="41">
        <v>0</v>
      </c>
      <c r="V7689" s="42" t="s">
        <v>113</v>
      </c>
      <c r="W7689" s="42">
        <v>0</v>
      </c>
      <c r="X7689" s="42">
        <v>0</v>
      </c>
    </row>
    <row r="7690" spans="1:24">
      <c r="A7690" s="27" t="s">
        <v>13850</v>
      </c>
      <c r="B7690" s="28" t="s">
        <v>12240</v>
      </c>
      <c r="C7690" s="27" t="s">
        <v>13851</v>
      </c>
      <c r="D7690" s="27" t="s">
        <v>230</v>
      </c>
      <c r="E7690" s="29">
        <v>41254</v>
      </c>
      <c r="F7690" s="27">
        <v>15</v>
      </c>
      <c r="G7690" s="18">
        <v>34585.53</v>
      </c>
      <c r="H7690" s="27">
        <f t="shared" si="240"/>
        <v>0</v>
      </c>
      <c r="I7690" s="18">
        <v>15730.81</v>
      </c>
      <c r="J7690" s="27">
        <v>34585.53</v>
      </c>
      <c r="K7690" s="18">
        <f t="shared" si="241"/>
        <v>0</v>
      </c>
      <c r="L7690" s="27">
        <v>17633.64</v>
      </c>
      <c r="M7690" s="36">
        <v>1902.83</v>
      </c>
      <c r="T7690" s="41">
        <v>0</v>
      </c>
      <c r="U7690" s="41">
        <v>0</v>
      </c>
      <c r="V7690" s="42" t="s">
        <v>113</v>
      </c>
      <c r="W7690" s="42">
        <v>0</v>
      </c>
      <c r="X7690" s="42">
        <v>0</v>
      </c>
    </row>
    <row r="7691" spans="1:24">
      <c r="A7691" s="27" t="s">
        <v>13852</v>
      </c>
      <c r="B7691" s="28" t="s">
        <v>12240</v>
      </c>
      <c r="C7691" s="27" t="s">
        <v>13853</v>
      </c>
      <c r="D7691" s="27" t="s">
        <v>230</v>
      </c>
      <c r="E7691" s="29">
        <v>41254</v>
      </c>
      <c r="F7691" s="27">
        <v>15</v>
      </c>
      <c r="G7691" s="18">
        <v>34585.53</v>
      </c>
      <c r="H7691" s="27">
        <f t="shared" si="240"/>
        <v>0</v>
      </c>
      <c r="I7691" s="18">
        <v>15730.81</v>
      </c>
      <c r="J7691" s="27">
        <v>34585.53</v>
      </c>
      <c r="K7691" s="18">
        <f t="shared" si="241"/>
        <v>0</v>
      </c>
      <c r="L7691" s="27">
        <v>17633.64</v>
      </c>
      <c r="M7691" s="36">
        <v>1902.83</v>
      </c>
      <c r="T7691" s="41">
        <v>0</v>
      </c>
      <c r="U7691" s="41">
        <v>0</v>
      </c>
      <c r="V7691" s="42" t="s">
        <v>113</v>
      </c>
      <c r="W7691" s="42">
        <v>0</v>
      </c>
      <c r="X7691" s="42">
        <v>0</v>
      </c>
    </row>
    <row r="7692" spans="1:24">
      <c r="A7692" s="27" t="s">
        <v>13854</v>
      </c>
      <c r="B7692" s="28" t="s">
        <v>12240</v>
      </c>
      <c r="C7692" s="27" t="s">
        <v>13855</v>
      </c>
      <c r="D7692" s="27" t="s">
        <v>230</v>
      </c>
      <c r="E7692" s="29">
        <v>41254</v>
      </c>
      <c r="F7692" s="27">
        <v>15</v>
      </c>
      <c r="G7692" s="18">
        <v>28585.53</v>
      </c>
      <c r="H7692" s="27">
        <f t="shared" si="240"/>
        <v>0</v>
      </c>
      <c r="I7692" s="18">
        <v>13001.79</v>
      </c>
      <c r="J7692" s="27">
        <v>28585.53</v>
      </c>
      <c r="K7692" s="18">
        <f t="shared" si="241"/>
        <v>0</v>
      </c>
      <c r="L7692" s="27">
        <v>14574.51</v>
      </c>
      <c r="M7692" s="36">
        <v>1572.72</v>
      </c>
      <c r="T7692" s="41">
        <v>0</v>
      </c>
      <c r="U7692" s="41">
        <v>0</v>
      </c>
      <c r="V7692" s="42" t="s">
        <v>113</v>
      </c>
      <c r="W7692" s="42">
        <v>0</v>
      </c>
      <c r="X7692" s="42">
        <v>0</v>
      </c>
    </row>
    <row r="7693" spans="1:24">
      <c r="A7693" s="27" t="s">
        <v>13856</v>
      </c>
      <c r="B7693" s="28" t="s">
        <v>12240</v>
      </c>
      <c r="C7693" s="27" t="s">
        <v>13857</v>
      </c>
      <c r="D7693" s="27" t="s">
        <v>230</v>
      </c>
      <c r="E7693" s="29">
        <v>41254</v>
      </c>
      <c r="F7693" s="27">
        <v>15</v>
      </c>
      <c r="G7693" s="18">
        <v>34585.53</v>
      </c>
      <c r="H7693" s="27">
        <f t="shared" si="240"/>
        <v>0</v>
      </c>
      <c r="I7693" s="18">
        <v>15730.81</v>
      </c>
      <c r="J7693" s="27">
        <v>34585.53</v>
      </c>
      <c r="K7693" s="18">
        <f t="shared" si="241"/>
        <v>0</v>
      </c>
      <c r="L7693" s="27">
        <v>17633.64</v>
      </c>
      <c r="M7693" s="36">
        <v>1902.83</v>
      </c>
      <c r="T7693" s="41">
        <v>0</v>
      </c>
      <c r="U7693" s="41">
        <v>0</v>
      </c>
      <c r="V7693" s="42" t="s">
        <v>113</v>
      </c>
      <c r="W7693" s="42">
        <v>0</v>
      </c>
      <c r="X7693" s="42">
        <v>0</v>
      </c>
    </row>
    <row r="7694" spans="1:24">
      <c r="A7694" s="27" t="s">
        <v>13858</v>
      </c>
      <c r="B7694" s="28" t="s">
        <v>12240</v>
      </c>
      <c r="C7694" s="27" t="s">
        <v>13859</v>
      </c>
      <c r="D7694" s="27" t="s">
        <v>230</v>
      </c>
      <c r="E7694" s="29">
        <v>41254</v>
      </c>
      <c r="F7694" s="27">
        <v>15</v>
      </c>
      <c r="G7694" s="18">
        <v>34585.53</v>
      </c>
      <c r="H7694" s="27">
        <f t="shared" si="240"/>
        <v>0</v>
      </c>
      <c r="I7694" s="18">
        <v>15730.81</v>
      </c>
      <c r="J7694" s="27">
        <v>34585.53</v>
      </c>
      <c r="K7694" s="18">
        <f t="shared" si="241"/>
        <v>0</v>
      </c>
      <c r="L7694" s="27">
        <v>17633.64</v>
      </c>
      <c r="M7694" s="36">
        <v>1902.83</v>
      </c>
      <c r="T7694" s="41">
        <v>0</v>
      </c>
      <c r="U7694" s="41">
        <v>0</v>
      </c>
      <c r="V7694" s="42" t="s">
        <v>113</v>
      </c>
      <c r="W7694" s="42">
        <v>0</v>
      </c>
      <c r="X7694" s="42">
        <v>0</v>
      </c>
    </row>
    <row r="7695" spans="1:24">
      <c r="A7695" s="27" t="s">
        <v>13860</v>
      </c>
      <c r="B7695" s="28" t="s">
        <v>12240</v>
      </c>
      <c r="C7695" s="27" t="s">
        <v>13861</v>
      </c>
      <c r="D7695" s="27" t="s">
        <v>230</v>
      </c>
      <c r="E7695" s="29">
        <v>41254</v>
      </c>
      <c r="F7695" s="27">
        <v>15</v>
      </c>
      <c r="G7695" s="18">
        <v>50631.69</v>
      </c>
      <c r="H7695" s="27">
        <f t="shared" si="240"/>
        <v>0</v>
      </c>
      <c r="I7695" s="18">
        <v>30974.67</v>
      </c>
      <c r="J7695" s="27">
        <v>50631.69</v>
      </c>
      <c r="K7695" s="18">
        <f t="shared" si="241"/>
        <v>0</v>
      </c>
      <c r="L7695" s="27">
        <v>32877.5</v>
      </c>
      <c r="M7695" s="36">
        <v>1902.83</v>
      </c>
      <c r="T7695" s="41">
        <v>0</v>
      </c>
      <c r="U7695" s="41">
        <v>0</v>
      </c>
      <c r="V7695" s="42" t="s">
        <v>113</v>
      </c>
      <c r="W7695" s="42">
        <v>0</v>
      </c>
      <c r="X7695" s="42">
        <v>0</v>
      </c>
    </row>
    <row r="7696" spans="1:24">
      <c r="A7696" s="27" t="s">
        <v>13862</v>
      </c>
      <c r="B7696" s="28" t="s">
        <v>12240</v>
      </c>
      <c r="C7696" s="27" t="s">
        <v>13863</v>
      </c>
      <c r="D7696" s="27" t="s">
        <v>5104</v>
      </c>
      <c r="E7696" s="29">
        <v>41254</v>
      </c>
      <c r="F7696" s="27">
        <v>15</v>
      </c>
      <c r="G7696" s="18">
        <v>44585.53</v>
      </c>
      <c r="H7696" s="27">
        <f t="shared" si="240"/>
        <v>0</v>
      </c>
      <c r="I7696" s="18">
        <v>20279.2</v>
      </c>
      <c r="J7696" s="27">
        <v>44585.53</v>
      </c>
      <c r="K7696" s="18">
        <f t="shared" si="241"/>
        <v>0</v>
      </c>
      <c r="L7696" s="27">
        <v>22732.21</v>
      </c>
      <c r="M7696" s="36">
        <v>2453.0100000000002</v>
      </c>
      <c r="T7696" s="41">
        <v>0</v>
      </c>
      <c r="U7696" s="41">
        <v>0</v>
      </c>
      <c r="V7696" s="42" t="s">
        <v>113</v>
      </c>
      <c r="W7696" s="42">
        <v>0</v>
      </c>
      <c r="X7696" s="42">
        <v>0</v>
      </c>
    </row>
    <row r="7697" spans="1:24">
      <c r="A7697" s="27" t="s">
        <v>13864</v>
      </c>
      <c r="B7697" s="28" t="s">
        <v>12240</v>
      </c>
      <c r="C7697" s="27" t="s">
        <v>13865</v>
      </c>
      <c r="D7697" s="27" t="s">
        <v>230</v>
      </c>
      <c r="E7697" s="29">
        <v>41254</v>
      </c>
      <c r="F7697" s="27">
        <v>15</v>
      </c>
      <c r="G7697" s="18">
        <v>20585.53</v>
      </c>
      <c r="H7697" s="27">
        <f t="shared" si="240"/>
        <v>0</v>
      </c>
      <c r="I7697" s="18">
        <v>9363.08</v>
      </c>
      <c r="J7697" s="27">
        <v>20585.53</v>
      </c>
      <c r="K7697" s="18">
        <f t="shared" si="241"/>
        <v>0</v>
      </c>
      <c r="L7697" s="27">
        <v>10495.65</v>
      </c>
      <c r="M7697" s="36">
        <v>1132.57</v>
      </c>
      <c r="T7697" s="41">
        <v>0</v>
      </c>
      <c r="U7697" s="41">
        <v>0</v>
      </c>
      <c r="V7697" s="42" t="s">
        <v>113</v>
      </c>
      <c r="W7697" s="42">
        <v>0</v>
      </c>
      <c r="X7697" s="42">
        <v>0</v>
      </c>
    </row>
    <row r="7698" spans="1:24">
      <c r="A7698" s="27" t="s">
        <v>13866</v>
      </c>
      <c r="B7698" s="28" t="s">
        <v>12240</v>
      </c>
      <c r="C7698" s="27" t="s">
        <v>13867</v>
      </c>
      <c r="D7698" s="27" t="s">
        <v>230</v>
      </c>
      <c r="E7698" s="29">
        <v>41254</v>
      </c>
      <c r="F7698" s="27">
        <v>15</v>
      </c>
      <c r="G7698" s="18">
        <v>34585.53</v>
      </c>
      <c r="H7698" s="27">
        <f t="shared" si="240"/>
        <v>0</v>
      </c>
      <c r="I7698" s="18">
        <v>15730.81</v>
      </c>
      <c r="J7698" s="27">
        <v>34585.53</v>
      </c>
      <c r="K7698" s="18">
        <f t="shared" si="241"/>
        <v>0</v>
      </c>
      <c r="L7698" s="27">
        <v>17633.64</v>
      </c>
      <c r="M7698" s="36">
        <v>1902.83</v>
      </c>
      <c r="T7698" s="41">
        <v>0</v>
      </c>
      <c r="U7698" s="41">
        <v>0</v>
      </c>
      <c r="V7698" s="42" t="s">
        <v>113</v>
      </c>
      <c r="W7698" s="42">
        <v>0</v>
      </c>
      <c r="X7698" s="42">
        <v>0</v>
      </c>
    </row>
    <row r="7699" spans="1:24">
      <c r="A7699" s="27" t="s">
        <v>13868</v>
      </c>
      <c r="B7699" s="28" t="s">
        <v>12240</v>
      </c>
      <c r="C7699" s="27" t="s">
        <v>13869</v>
      </c>
      <c r="D7699" s="27" t="s">
        <v>5104</v>
      </c>
      <c r="E7699" s="29">
        <v>41254</v>
      </c>
      <c r="F7699" s="27">
        <v>15</v>
      </c>
      <c r="G7699" s="18">
        <v>34585.53</v>
      </c>
      <c r="H7699" s="27">
        <f t="shared" si="240"/>
        <v>0</v>
      </c>
      <c r="I7699" s="18">
        <v>15730.81</v>
      </c>
      <c r="J7699" s="27">
        <v>34585.53</v>
      </c>
      <c r="K7699" s="18">
        <f t="shared" si="241"/>
        <v>0</v>
      </c>
      <c r="L7699" s="27">
        <v>17633.64</v>
      </c>
      <c r="M7699" s="36">
        <v>1902.83</v>
      </c>
      <c r="T7699" s="41">
        <v>0</v>
      </c>
      <c r="U7699" s="41">
        <v>0</v>
      </c>
      <c r="V7699" s="42" t="s">
        <v>113</v>
      </c>
      <c r="W7699" s="42">
        <v>0</v>
      </c>
      <c r="X7699" s="42">
        <v>0</v>
      </c>
    </row>
    <row r="7700" spans="1:24">
      <c r="A7700" s="27" t="s">
        <v>13870</v>
      </c>
      <c r="B7700" s="28" t="s">
        <v>12240</v>
      </c>
      <c r="C7700" s="27" t="s">
        <v>13871</v>
      </c>
      <c r="D7700" s="27" t="s">
        <v>230</v>
      </c>
      <c r="E7700" s="29">
        <v>41254</v>
      </c>
      <c r="F7700" s="27">
        <v>15</v>
      </c>
      <c r="G7700" s="18">
        <v>68780.34</v>
      </c>
      <c r="H7700" s="27">
        <f t="shared" si="240"/>
        <v>0</v>
      </c>
      <c r="I7700" s="18">
        <v>33283.550000000003</v>
      </c>
      <c r="J7700" s="27">
        <v>68780.34</v>
      </c>
      <c r="K7700" s="18">
        <f t="shared" si="241"/>
        <v>0</v>
      </c>
      <c r="L7700" s="27">
        <v>36845.519999999997</v>
      </c>
      <c r="M7700" s="36">
        <v>3561.97</v>
      </c>
      <c r="T7700" s="41">
        <v>0</v>
      </c>
      <c r="U7700" s="41">
        <v>0</v>
      </c>
      <c r="V7700" s="42" t="s">
        <v>113</v>
      </c>
      <c r="W7700" s="42">
        <v>0</v>
      </c>
      <c r="X7700" s="42">
        <v>0</v>
      </c>
    </row>
    <row r="7701" spans="1:24">
      <c r="A7701" s="27" t="s">
        <v>13872</v>
      </c>
      <c r="B7701" s="28" t="s">
        <v>12240</v>
      </c>
      <c r="C7701" s="27" t="s">
        <v>13873</v>
      </c>
      <c r="D7701" s="27" t="s">
        <v>5104</v>
      </c>
      <c r="E7701" s="29">
        <v>41254</v>
      </c>
      <c r="F7701" s="27">
        <v>15</v>
      </c>
      <c r="G7701" s="18">
        <v>44585.53</v>
      </c>
      <c r="H7701" s="27">
        <f t="shared" si="240"/>
        <v>0</v>
      </c>
      <c r="I7701" s="18">
        <v>20279.2</v>
      </c>
      <c r="J7701" s="27">
        <v>44585.53</v>
      </c>
      <c r="K7701" s="18">
        <f t="shared" si="241"/>
        <v>0</v>
      </c>
      <c r="L7701" s="27">
        <v>22732.21</v>
      </c>
      <c r="M7701" s="36">
        <v>2453.0100000000002</v>
      </c>
      <c r="T7701" s="41">
        <v>0</v>
      </c>
      <c r="U7701" s="41">
        <v>0</v>
      </c>
      <c r="V7701" s="42" t="s">
        <v>113</v>
      </c>
      <c r="W7701" s="42">
        <v>0</v>
      </c>
      <c r="X7701" s="42">
        <v>0</v>
      </c>
    </row>
    <row r="7702" spans="1:24">
      <c r="A7702" s="27" t="s">
        <v>13874</v>
      </c>
      <c r="B7702" s="28" t="s">
        <v>12240</v>
      </c>
      <c r="C7702" s="27" t="s">
        <v>13875</v>
      </c>
      <c r="D7702" s="27" t="s">
        <v>230</v>
      </c>
      <c r="E7702" s="29">
        <v>41254</v>
      </c>
      <c r="F7702" s="27">
        <v>15</v>
      </c>
      <c r="G7702" s="18">
        <v>44585.440000000002</v>
      </c>
      <c r="H7702" s="27">
        <f t="shared" si="240"/>
        <v>0</v>
      </c>
      <c r="I7702" s="18">
        <v>20279.18</v>
      </c>
      <c r="J7702" s="27">
        <v>44585.440000000002</v>
      </c>
      <c r="K7702" s="18">
        <f t="shared" si="241"/>
        <v>0</v>
      </c>
      <c r="L7702" s="27">
        <v>22732.18</v>
      </c>
      <c r="M7702" s="36">
        <v>2453</v>
      </c>
      <c r="T7702" s="41">
        <v>0</v>
      </c>
      <c r="U7702" s="41">
        <v>0</v>
      </c>
      <c r="V7702" s="42" t="s">
        <v>113</v>
      </c>
      <c r="W7702" s="42">
        <v>0</v>
      </c>
      <c r="X7702" s="42">
        <v>0</v>
      </c>
    </row>
    <row r="7703" spans="1:24">
      <c r="A7703" s="27" t="s">
        <v>13876</v>
      </c>
      <c r="B7703" s="28" t="s">
        <v>12240</v>
      </c>
      <c r="C7703" s="27" t="s">
        <v>13877</v>
      </c>
      <c r="D7703" s="27" t="s">
        <v>5104</v>
      </c>
      <c r="E7703" s="29">
        <v>41254</v>
      </c>
      <c r="F7703" s="27">
        <v>15</v>
      </c>
      <c r="G7703" s="18">
        <v>36347.5</v>
      </c>
      <c r="H7703" s="27">
        <f t="shared" si="240"/>
        <v>0</v>
      </c>
      <c r="I7703" s="18">
        <v>16532.240000000002</v>
      </c>
      <c r="J7703" s="27">
        <v>36347.5</v>
      </c>
      <c r="K7703" s="18">
        <f t="shared" si="241"/>
        <v>0</v>
      </c>
      <c r="L7703" s="27">
        <v>18532</v>
      </c>
      <c r="M7703" s="36">
        <v>1999.76</v>
      </c>
      <c r="T7703" s="41">
        <v>0</v>
      </c>
      <c r="U7703" s="41">
        <v>0</v>
      </c>
      <c r="V7703" s="42" t="s">
        <v>113</v>
      </c>
      <c r="W7703" s="42">
        <v>0</v>
      </c>
      <c r="X7703" s="42">
        <v>0</v>
      </c>
    </row>
    <row r="7704" spans="1:24">
      <c r="A7704" s="27" t="s">
        <v>13878</v>
      </c>
      <c r="B7704" s="28" t="s">
        <v>12240</v>
      </c>
      <c r="C7704" s="27" t="s">
        <v>13879</v>
      </c>
      <c r="D7704" s="27" t="s">
        <v>230</v>
      </c>
      <c r="E7704" s="29">
        <v>41254</v>
      </c>
      <c r="F7704" s="27">
        <v>15</v>
      </c>
      <c r="G7704" s="18">
        <v>50055.83</v>
      </c>
      <c r="H7704" s="27">
        <f t="shared" si="240"/>
        <v>0</v>
      </c>
      <c r="I7704" s="18">
        <v>22774.67</v>
      </c>
      <c r="J7704" s="27">
        <v>50055.83</v>
      </c>
      <c r="K7704" s="18">
        <f t="shared" si="241"/>
        <v>0</v>
      </c>
      <c r="L7704" s="27">
        <v>25527.82</v>
      </c>
      <c r="M7704" s="36">
        <v>2753.15</v>
      </c>
      <c r="T7704" s="41">
        <v>0</v>
      </c>
      <c r="U7704" s="41">
        <v>0</v>
      </c>
      <c r="V7704" s="42" t="s">
        <v>113</v>
      </c>
      <c r="W7704" s="42">
        <v>0</v>
      </c>
      <c r="X7704" s="42">
        <v>0</v>
      </c>
    </row>
    <row r="7705" spans="1:24">
      <c r="A7705" s="27" t="s">
        <v>13880</v>
      </c>
      <c r="B7705" s="28" t="s">
        <v>12240</v>
      </c>
      <c r="C7705" s="27" t="s">
        <v>13881</v>
      </c>
      <c r="D7705" s="27" t="s">
        <v>230</v>
      </c>
      <c r="E7705" s="29">
        <v>41254</v>
      </c>
      <c r="F7705" s="27">
        <v>15</v>
      </c>
      <c r="G7705" s="18">
        <v>36347.5</v>
      </c>
      <c r="H7705" s="27">
        <f t="shared" si="240"/>
        <v>0</v>
      </c>
      <c r="I7705" s="18">
        <v>16532.23</v>
      </c>
      <c r="J7705" s="27">
        <v>36347.5</v>
      </c>
      <c r="K7705" s="18">
        <f t="shared" si="241"/>
        <v>0</v>
      </c>
      <c r="L7705" s="27">
        <v>18532</v>
      </c>
      <c r="M7705" s="36">
        <v>1999.77</v>
      </c>
      <c r="T7705" s="41">
        <v>0</v>
      </c>
      <c r="U7705" s="41">
        <v>0</v>
      </c>
      <c r="V7705" s="42" t="s">
        <v>113</v>
      </c>
      <c r="W7705" s="42">
        <v>0</v>
      </c>
      <c r="X7705" s="42">
        <v>0</v>
      </c>
    </row>
    <row r="7706" spans="1:24">
      <c r="A7706" s="27" t="s">
        <v>13882</v>
      </c>
      <c r="B7706" s="28" t="s">
        <v>12240</v>
      </c>
      <c r="C7706" s="27" t="s">
        <v>13883</v>
      </c>
      <c r="D7706" s="27" t="s">
        <v>230</v>
      </c>
      <c r="E7706" s="29">
        <v>41254</v>
      </c>
      <c r="F7706" s="27">
        <v>15</v>
      </c>
      <c r="G7706" s="18">
        <v>36347.5</v>
      </c>
      <c r="H7706" s="27">
        <f t="shared" si="240"/>
        <v>0</v>
      </c>
      <c r="I7706" s="18">
        <v>16532.240000000002</v>
      </c>
      <c r="J7706" s="27">
        <v>36347.5</v>
      </c>
      <c r="K7706" s="18">
        <f t="shared" si="241"/>
        <v>0</v>
      </c>
      <c r="L7706" s="27">
        <v>18532</v>
      </c>
      <c r="M7706" s="36">
        <v>1999.76</v>
      </c>
      <c r="T7706" s="41">
        <v>0</v>
      </c>
      <c r="U7706" s="41">
        <v>0</v>
      </c>
      <c r="V7706" s="42" t="s">
        <v>113</v>
      </c>
      <c r="W7706" s="42">
        <v>0</v>
      </c>
      <c r="X7706" s="42">
        <v>0</v>
      </c>
    </row>
    <row r="7707" spans="1:24">
      <c r="A7707" s="27" t="s">
        <v>13884</v>
      </c>
      <c r="B7707" s="28" t="s">
        <v>12240</v>
      </c>
      <c r="C7707" s="27" t="s">
        <v>13885</v>
      </c>
      <c r="D7707" s="27" t="s">
        <v>230</v>
      </c>
      <c r="E7707" s="29">
        <v>41254</v>
      </c>
      <c r="F7707" s="27">
        <v>15</v>
      </c>
      <c r="G7707" s="18">
        <v>36347.5</v>
      </c>
      <c r="H7707" s="27">
        <f t="shared" si="240"/>
        <v>0</v>
      </c>
      <c r="I7707" s="18">
        <v>16532.23</v>
      </c>
      <c r="J7707" s="27">
        <v>36347.5</v>
      </c>
      <c r="K7707" s="18">
        <f t="shared" si="241"/>
        <v>0</v>
      </c>
      <c r="L7707" s="27">
        <v>18532</v>
      </c>
      <c r="M7707" s="36">
        <v>1999.77</v>
      </c>
      <c r="T7707" s="41">
        <v>0</v>
      </c>
      <c r="U7707" s="41">
        <v>0</v>
      </c>
      <c r="V7707" s="42" t="s">
        <v>113</v>
      </c>
      <c r="W7707" s="42">
        <v>0</v>
      </c>
      <c r="X7707" s="42">
        <v>0</v>
      </c>
    </row>
    <row r="7708" spans="1:24">
      <c r="A7708" s="27" t="s">
        <v>13886</v>
      </c>
      <c r="B7708" s="28" t="s">
        <v>12240</v>
      </c>
      <c r="C7708" s="27" t="s">
        <v>13887</v>
      </c>
      <c r="D7708" s="27" t="s">
        <v>230</v>
      </c>
      <c r="E7708" s="29">
        <v>41254</v>
      </c>
      <c r="F7708" s="27">
        <v>15</v>
      </c>
      <c r="G7708" s="18">
        <v>25347.5</v>
      </c>
      <c r="H7708" s="27">
        <f t="shared" si="240"/>
        <v>0</v>
      </c>
      <c r="I7708" s="18">
        <v>11529.01</v>
      </c>
      <c r="J7708" s="27">
        <v>25347.5</v>
      </c>
      <c r="K7708" s="18">
        <f t="shared" si="241"/>
        <v>0</v>
      </c>
      <c r="L7708" s="27">
        <v>12923.58</v>
      </c>
      <c r="M7708" s="36">
        <v>1394.57</v>
      </c>
      <c r="T7708" s="41">
        <v>0</v>
      </c>
      <c r="U7708" s="41">
        <v>0</v>
      </c>
      <c r="V7708" s="42" t="s">
        <v>113</v>
      </c>
      <c r="W7708" s="42">
        <v>0</v>
      </c>
      <c r="X7708" s="42">
        <v>0</v>
      </c>
    </row>
    <row r="7709" spans="1:24">
      <c r="A7709" s="27" t="s">
        <v>13888</v>
      </c>
      <c r="B7709" s="28" t="s">
        <v>12240</v>
      </c>
      <c r="C7709" s="27" t="s">
        <v>13889</v>
      </c>
      <c r="D7709" s="27" t="s">
        <v>5104</v>
      </c>
      <c r="E7709" s="29">
        <v>41254</v>
      </c>
      <c r="F7709" s="27">
        <v>15</v>
      </c>
      <c r="G7709" s="18">
        <v>50347.5</v>
      </c>
      <c r="H7709" s="27">
        <f t="shared" si="240"/>
        <v>0</v>
      </c>
      <c r="I7709" s="18">
        <v>22899.97</v>
      </c>
      <c r="J7709" s="27">
        <v>50347.5</v>
      </c>
      <c r="K7709" s="18">
        <f t="shared" si="241"/>
        <v>0</v>
      </c>
      <c r="L7709" s="27">
        <v>25669.99</v>
      </c>
      <c r="M7709" s="36">
        <v>2770.02</v>
      </c>
      <c r="T7709" s="41">
        <v>0</v>
      </c>
      <c r="U7709" s="41">
        <v>0</v>
      </c>
      <c r="V7709" s="42" t="s">
        <v>113</v>
      </c>
      <c r="W7709" s="42">
        <v>0</v>
      </c>
      <c r="X7709" s="42">
        <v>0</v>
      </c>
    </row>
    <row r="7710" spans="1:24">
      <c r="A7710" s="27" t="s">
        <v>13890</v>
      </c>
      <c r="B7710" s="28" t="s">
        <v>12240</v>
      </c>
      <c r="C7710" s="27" t="s">
        <v>13891</v>
      </c>
      <c r="D7710" s="27" t="s">
        <v>230</v>
      </c>
      <c r="E7710" s="29">
        <v>41254</v>
      </c>
      <c r="F7710" s="27">
        <v>15</v>
      </c>
      <c r="G7710" s="18">
        <v>18347.5</v>
      </c>
      <c r="H7710" s="27">
        <f t="shared" si="240"/>
        <v>0</v>
      </c>
      <c r="I7710" s="18">
        <v>8345.14</v>
      </c>
      <c r="J7710" s="27">
        <v>18347.5</v>
      </c>
      <c r="K7710" s="18">
        <f t="shared" si="241"/>
        <v>0</v>
      </c>
      <c r="L7710" s="27">
        <v>9354.58</v>
      </c>
      <c r="M7710" s="36">
        <v>1009.44</v>
      </c>
      <c r="T7710" s="41">
        <v>0</v>
      </c>
      <c r="U7710" s="41">
        <v>0</v>
      </c>
      <c r="V7710" s="42" t="s">
        <v>113</v>
      </c>
      <c r="W7710" s="42">
        <v>0</v>
      </c>
      <c r="X7710" s="42">
        <v>0</v>
      </c>
    </row>
    <row r="7711" spans="1:24">
      <c r="A7711" s="27" t="s">
        <v>13892</v>
      </c>
      <c r="B7711" s="28" t="s">
        <v>12240</v>
      </c>
      <c r="C7711" s="27" t="s">
        <v>13893</v>
      </c>
      <c r="D7711" s="27" t="s">
        <v>230</v>
      </c>
      <c r="E7711" s="29">
        <v>41254</v>
      </c>
      <c r="F7711" s="27">
        <v>15</v>
      </c>
      <c r="G7711" s="18">
        <v>36347.5</v>
      </c>
      <c r="H7711" s="27">
        <f t="shared" si="240"/>
        <v>0</v>
      </c>
      <c r="I7711" s="18">
        <v>16532.23</v>
      </c>
      <c r="J7711" s="27">
        <v>36347.5</v>
      </c>
      <c r="K7711" s="18">
        <f t="shared" si="241"/>
        <v>0</v>
      </c>
      <c r="L7711" s="27">
        <v>18532</v>
      </c>
      <c r="M7711" s="36">
        <v>1999.77</v>
      </c>
      <c r="T7711" s="41">
        <v>0</v>
      </c>
      <c r="U7711" s="41">
        <v>0</v>
      </c>
      <c r="V7711" s="42" t="s">
        <v>113</v>
      </c>
      <c r="W7711" s="42">
        <v>0</v>
      </c>
      <c r="X7711" s="42">
        <v>0</v>
      </c>
    </row>
    <row r="7712" spans="1:24">
      <c r="A7712" s="27" t="s">
        <v>13894</v>
      </c>
      <c r="B7712" s="28" t="s">
        <v>12240</v>
      </c>
      <c r="C7712" s="27" t="s">
        <v>13895</v>
      </c>
      <c r="D7712" s="27" t="s">
        <v>230</v>
      </c>
      <c r="E7712" s="29">
        <v>41254</v>
      </c>
      <c r="F7712" s="27">
        <v>15</v>
      </c>
      <c r="G7712" s="18">
        <v>18347.5</v>
      </c>
      <c r="H7712" s="27">
        <f t="shared" si="240"/>
        <v>0</v>
      </c>
      <c r="I7712" s="18">
        <v>8345.14</v>
      </c>
      <c r="J7712" s="27">
        <v>18347.5</v>
      </c>
      <c r="K7712" s="18">
        <f t="shared" si="241"/>
        <v>0</v>
      </c>
      <c r="L7712" s="27">
        <v>9354.58</v>
      </c>
      <c r="M7712" s="36">
        <v>1009.44</v>
      </c>
      <c r="T7712" s="41">
        <v>0</v>
      </c>
      <c r="U7712" s="41">
        <v>0</v>
      </c>
      <c r="V7712" s="42" t="s">
        <v>113</v>
      </c>
      <c r="W7712" s="42">
        <v>0</v>
      </c>
      <c r="X7712" s="42">
        <v>0</v>
      </c>
    </row>
    <row r="7713" spans="1:24">
      <c r="A7713" s="27" t="s">
        <v>13896</v>
      </c>
      <c r="B7713" s="28" t="s">
        <v>12240</v>
      </c>
      <c r="C7713" s="27" t="s">
        <v>13897</v>
      </c>
      <c r="D7713" s="27" t="s">
        <v>230</v>
      </c>
      <c r="E7713" s="29">
        <v>41254</v>
      </c>
      <c r="F7713" s="27">
        <v>15</v>
      </c>
      <c r="G7713" s="18">
        <v>18347.5</v>
      </c>
      <c r="H7713" s="27">
        <f t="shared" si="240"/>
        <v>0</v>
      </c>
      <c r="I7713" s="18">
        <v>8345.1299999999992</v>
      </c>
      <c r="J7713" s="27">
        <v>18347.5</v>
      </c>
      <c r="K7713" s="18">
        <f t="shared" si="241"/>
        <v>0</v>
      </c>
      <c r="L7713" s="27">
        <v>9354.57</v>
      </c>
      <c r="M7713" s="36">
        <v>1009.44</v>
      </c>
      <c r="T7713" s="41">
        <v>0</v>
      </c>
      <c r="U7713" s="41">
        <v>0</v>
      </c>
      <c r="V7713" s="42" t="s">
        <v>113</v>
      </c>
      <c r="W7713" s="42">
        <v>0</v>
      </c>
      <c r="X7713" s="42">
        <v>0</v>
      </c>
    </row>
    <row r="7714" spans="1:24">
      <c r="A7714" s="27" t="s">
        <v>13898</v>
      </c>
      <c r="B7714" s="28" t="s">
        <v>12240</v>
      </c>
      <c r="C7714" s="27" t="s">
        <v>13899</v>
      </c>
      <c r="D7714" s="27" t="s">
        <v>230</v>
      </c>
      <c r="E7714" s="29">
        <v>41254</v>
      </c>
      <c r="F7714" s="27">
        <v>15</v>
      </c>
      <c r="G7714" s="18">
        <v>50347.5</v>
      </c>
      <c r="H7714" s="27">
        <f t="shared" si="240"/>
        <v>0</v>
      </c>
      <c r="I7714" s="18">
        <v>22899.97</v>
      </c>
      <c r="J7714" s="27">
        <v>50347.5</v>
      </c>
      <c r="K7714" s="18">
        <f t="shared" si="241"/>
        <v>0</v>
      </c>
      <c r="L7714" s="27">
        <v>25669.99</v>
      </c>
      <c r="M7714" s="36">
        <v>2770.02</v>
      </c>
      <c r="T7714" s="41">
        <v>0</v>
      </c>
      <c r="U7714" s="41">
        <v>0</v>
      </c>
      <c r="V7714" s="42" t="s">
        <v>113</v>
      </c>
      <c r="W7714" s="42">
        <v>0</v>
      </c>
      <c r="X7714" s="42">
        <v>0</v>
      </c>
    </row>
    <row r="7715" spans="1:24">
      <c r="A7715" s="27" t="s">
        <v>13900</v>
      </c>
      <c r="B7715" s="28" t="s">
        <v>12240</v>
      </c>
      <c r="C7715" s="27" t="s">
        <v>13901</v>
      </c>
      <c r="D7715" s="27" t="s">
        <v>230</v>
      </c>
      <c r="E7715" s="29">
        <v>41254</v>
      </c>
      <c r="F7715" s="27">
        <v>15</v>
      </c>
      <c r="G7715" s="18">
        <v>20347.560000000001</v>
      </c>
      <c r="H7715" s="27">
        <f t="shared" si="240"/>
        <v>0</v>
      </c>
      <c r="I7715" s="18">
        <v>9254.85</v>
      </c>
      <c r="J7715" s="27">
        <v>20347.560000000001</v>
      </c>
      <c r="K7715" s="18">
        <f t="shared" si="241"/>
        <v>0</v>
      </c>
      <c r="L7715" s="27">
        <v>10374.33</v>
      </c>
      <c r="M7715" s="36">
        <v>1119.48</v>
      </c>
      <c r="T7715" s="41">
        <v>0</v>
      </c>
      <c r="U7715" s="41">
        <v>0</v>
      </c>
      <c r="V7715" s="42" t="s">
        <v>113</v>
      </c>
      <c r="W7715" s="42">
        <v>0</v>
      </c>
      <c r="X7715" s="42">
        <v>0</v>
      </c>
    </row>
    <row r="7716" spans="1:24">
      <c r="A7716" s="27" t="s">
        <v>13902</v>
      </c>
      <c r="B7716" s="28" t="s">
        <v>12240</v>
      </c>
      <c r="C7716" s="27" t="s">
        <v>13903</v>
      </c>
      <c r="D7716" s="27" t="s">
        <v>5104</v>
      </c>
      <c r="E7716" s="29">
        <v>41254</v>
      </c>
      <c r="F7716" s="27">
        <v>15</v>
      </c>
      <c r="G7716" s="18">
        <v>21868.65</v>
      </c>
      <c r="H7716" s="27">
        <f t="shared" si="240"/>
        <v>0</v>
      </c>
      <c r="I7716" s="18">
        <v>9946.69</v>
      </c>
      <c r="J7716" s="27">
        <v>21868.65</v>
      </c>
      <c r="K7716" s="18">
        <f t="shared" si="241"/>
        <v>0</v>
      </c>
      <c r="L7716" s="27">
        <v>11149.86</v>
      </c>
      <c r="M7716" s="36">
        <v>1203.17</v>
      </c>
      <c r="T7716" s="41">
        <v>0</v>
      </c>
      <c r="U7716" s="41">
        <v>0</v>
      </c>
      <c r="V7716" s="42" t="s">
        <v>113</v>
      </c>
      <c r="W7716" s="42">
        <v>0</v>
      </c>
      <c r="X7716" s="42">
        <v>0</v>
      </c>
    </row>
    <row r="7717" spans="1:24">
      <c r="A7717" s="27" t="s">
        <v>13904</v>
      </c>
      <c r="B7717" s="28" t="s">
        <v>12240</v>
      </c>
      <c r="C7717" s="27" t="s">
        <v>13905</v>
      </c>
      <c r="D7717" s="27" t="s">
        <v>230</v>
      </c>
      <c r="E7717" s="29">
        <v>41254</v>
      </c>
      <c r="F7717" s="27">
        <v>15</v>
      </c>
      <c r="G7717" s="18">
        <v>31868.65</v>
      </c>
      <c r="H7717" s="27">
        <f t="shared" si="240"/>
        <v>0</v>
      </c>
      <c r="I7717" s="18">
        <v>14495.08</v>
      </c>
      <c r="J7717" s="27">
        <v>31868.65</v>
      </c>
      <c r="K7717" s="18">
        <f t="shared" si="241"/>
        <v>0</v>
      </c>
      <c r="L7717" s="27">
        <v>16248.43</v>
      </c>
      <c r="M7717" s="36">
        <v>1753.35</v>
      </c>
      <c r="T7717" s="41">
        <v>0</v>
      </c>
      <c r="U7717" s="41">
        <v>0</v>
      </c>
      <c r="V7717" s="42" t="s">
        <v>113</v>
      </c>
      <c r="W7717" s="42">
        <v>0</v>
      </c>
      <c r="X7717" s="42">
        <v>0</v>
      </c>
    </row>
    <row r="7718" spans="1:24">
      <c r="A7718" s="27" t="s">
        <v>13906</v>
      </c>
      <c r="B7718" s="28" t="s">
        <v>12240</v>
      </c>
      <c r="C7718" s="27" t="s">
        <v>13907</v>
      </c>
      <c r="D7718" s="27" t="s">
        <v>5104</v>
      </c>
      <c r="E7718" s="29">
        <v>41254</v>
      </c>
      <c r="F7718" s="27">
        <v>15</v>
      </c>
      <c r="G7718" s="18">
        <v>31868.65</v>
      </c>
      <c r="H7718" s="27">
        <f t="shared" si="240"/>
        <v>0</v>
      </c>
      <c r="I7718" s="18">
        <v>14495.08</v>
      </c>
      <c r="J7718" s="27">
        <v>31868.65</v>
      </c>
      <c r="K7718" s="18">
        <f t="shared" si="241"/>
        <v>0</v>
      </c>
      <c r="L7718" s="27">
        <v>16248.43</v>
      </c>
      <c r="M7718" s="36">
        <v>1753.35</v>
      </c>
      <c r="T7718" s="41">
        <v>0</v>
      </c>
      <c r="U7718" s="41">
        <v>0</v>
      </c>
      <c r="V7718" s="42" t="s">
        <v>113</v>
      </c>
      <c r="W7718" s="42">
        <v>0</v>
      </c>
      <c r="X7718" s="42">
        <v>0</v>
      </c>
    </row>
    <row r="7719" spans="1:24">
      <c r="A7719" s="27" t="s">
        <v>13908</v>
      </c>
      <c r="B7719" s="28" t="s">
        <v>12240</v>
      </c>
      <c r="C7719" s="27" t="s">
        <v>13909</v>
      </c>
      <c r="D7719" s="27" t="s">
        <v>230</v>
      </c>
      <c r="E7719" s="29">
        <v>41254</v>
      </c>
      <c r="F7719" s="27">
        <v>15</v>
      </c>
      <c r="G7719" s="18">
        <v>46697.45</v>
      </c>
      <c r="H7719" s="27">
        <f t="shared" si="240"/>
        <v>0</v>
      </c>
      <c r="I7719" s="18">
        <v>21244.12</v>
      </c>
      <c r="J7719" s="27">
        <v>46697.45</v>
      </c>
      <c r="K7719" s="18">
        <f t="shared" si="241"/>
        <v>0</v>
      </c>
      <c r="L7719" s="27">
        <v>23812.84</v>
      </c>
      <c r="M7719" s="36">
        <v>2568.7199999999998</v>
      </c>
      <c r="T7719" s="41">
        <v>0</v>
      </c>
      <c r="U7719" s="41">
        <v>0</v>
      </c>
      <c r="V7719" s="42" t="s">
        <v>113</v>
      </c>
      <c r="W7719" s="42">
        <v>0</v>
      </c>
      <c r="X7719" s="42">
        <v>0</v>
      </c>
    </row>
    <row r="7720" spans="1:24">
      <c r="A7720" s="27" t="s">
        <v>13910</v>
      </c>
      <c r="B7720" s="28" t="s">
        <v>12240</v>
      </c>
      <c r="C7720" s="27" t="s">
        <v>13911</v>
      </c>
      <c r="D7720" s="27" t="s">
        <v>230</v>
      </c>
      <c r="E7720" s="29">
        <v>41254</v>
      </c>
      <c r="F7720" s="27">
        <v>15</v>
      </c>
      <c r="G7720" s="18">
        <v>21868.65</v>
      </c>
      <c r="H7720" s="27">
        <f t="shared" si="240"/>
        <v>0</v>
      </c>
      <c r="I7720" s="18">
        <v>9946.69</v>
      </c>
      <c r="J7720" s="27">
        <v>21868.65</v>
      </c>
      <c r="K7720" s="18">
        <f t="shared" si="241"/>
        <v>0</v>
      </c>
      <c r="L7720" s="27">
        <v>11149.86</v>
      </c>
      <c r="M7720" s="36">
        <v>1203.17</v>
      </c>
      <c r="T7720" s="41">
        <v>0</v>
      </c>
      <c r="U7720" s="41">
        <v>0</v>
      </c>
      <c r="V7720" s="42" t="s">
        <v>113</v>
      </c>
      <c r="W7720" s="42">
        <v>0</v>
      </c>
      <c r="X7720" s="42">
        <v>0</v>
      </c>
    </row>
    <row r="7721" spans="1:24">
      <c r="A7721" s="27" t="s">
        <v>13912</v>
      </c>
      <c r="B7721" s="28" t="s">
        <v>12240</v>
      </c>
      <c r="C7721" s="27" t="s">
        <v>13913</v>
      </c>
      <c r="D7721" s="27" t="s">
        <v>230</v>
      </c>
      <c r="E7721" s="29">
        <v>41254</v>
      </c>
      <c r="F7721" s="27">
        <v>15</v>
      </c>
      <c r="G7721" s="18">
        <v>21868.65</v>
      </c>
      <c r="H7721" s="27">
        <f t="shared" si="240"/>
        <v>0</v>
      </c>
      <c r="I7721" s="18">
        <v>9946.69</v>
      </c>
      <c r="J7721" s="27">
        <v>21868.65</v>
      </c>
      <c r="K7721" s="18">
        <f t="shared" si="241"/>
        <v>0</v>
      </c>
      <c r="L7721" s="27">
        <v>11149.86</v>
      </c>
      <c r="M7721" s="36">
        <v>1203.17</v>
      </c>
      <c r="T7721" s="41">
        <v>0</v>
      </c>
      <c r="U7721" s="41">
        <v>0</v>
      </c>
      <c r="V7721" s="42" t="s">
        <v>113</v>
      </c>
      <c r="W7721" s="42">
        <v>0</v>
      </c>
      <c r="X7721" s="42">
        <v>0</v>
      </c>
    </row>
    <row r="7722" spans="1:24">
      <c r="A7722" s="27" t="s">
        <v>13914</v>
      </c>
      <c r="B7722" s="28" t="s">
        <v>12240</v>
      </c>
      <c r="C7722" s="27" t="s">
        <v>13915</v>
      </c>
      <c r="D7722" s="27" t="s">
        <v>230</v>
      </c>
      <c r="E7722" s="29">
        <v>41254</v>
      </c>
      <c r="F7722" s="27">
        <v>15</v>
      </c>
      <c r="G7722" s="18">
        <v>46868.65</v>
      </c>
      <c r="H7722" s="27">
        <f t="shared" si="240"/>
        <v>0</v>
      </c>
      <c r="I7722" s="18">
        <v>21317.65</v>
      </c>
      <c r="J7722" s="27">
        <v>46868.65</v>
      </c>
      <c r="K7722" s="18">
        <f t="shared" si="241"/>
        <v>0</v>
      </c>
      <c r="L7722" s="27">
        <v>23896.27</v>
      </c>
      <c r="M7722" s="36">
        <v>2578.62</v>
      </c>
      <c r="T7722" s="41">
        <v>0</v>
      </c>
      <c r="U7722" s="41">
        <v>0</v>
      </c>
      <c r="V7722" s="42" t="s">
        <v>113</v>
      </c>
      <c r="W7722" s="42">
        <v>0</v>
      </c>
      <c r="X7722" s="42">
        <v>0</v>
      </c>
    </row>
    <row r="7723" spans="1:24">
      <c r="A7723" s="27" t="s">
        <v>13916</v>
      </c>
      <c r="B7723" s="28" t="s">
        <v>12240</v>
      </c>
      <c r="C7723" s="27" t="s">
        <v>13917</v>
      </c>
      <c r="D7723" s="27" t="s">
        <v>5104</v>
      </c>
      <c r="E7723" s="29">
        <v>41254</v>
      </c>
      <c r="F7723" s="27">
        <v>15</v>
      </c>
      <c r="G7723" s="18">
        <v>47868.68</v>
      </c>
      <c r="H7723" s="27">
        <f t="shared" si="240"/>
        <v>0</v>
      </c>
      <c r="I7723" s="18">
        <v>21772.5</v>
      </c>
      <c r="J7723" s="27">
        <v>47868.68</v>
      </c>
      <c r="K7723" s="18">
        <f t="shared" si="241"/>
        <v>0</v>
      </c>
      <c r="L7723" s="27">
        <v>24406.14</v>
      </c>
      <c r="M7723" s="36">
        <v>2633.64</v>
      </c>
      <c r="T7723" s="41">
        <v>0</v>
      </c>
      <c r="U7723" s="41">
        <v>0</v>
      </c>
      <c r="V7723" s="42" t="s">
        <v>113</v>
      </c>
      <c r="W7723" s="42">
        <v>0</v>
      </c>
      <c r="X7723" s="42">
        <v>0</v>
      </c>
    </row>
    <row r="7724" spans="1:24">
      <c r="A7724" s="27" t="s">
        <v>13918</v>
      </c>
      <c r="B7724" s="28" t="s">
        <v>12240</v>
      </c>
      <c r="C7724" s="27" t="s">
        <v>13919</v>
      </c>
      <c r="D7724" s="27" t="s">
        <v>230</v>
      </c>
      <c r="E7724" s="29">
        <v>41254</v>
      </c>
      <c r="F7724" s="27">
        <v>15</v>
      </c>
      <c r="G7724" s="18">
        <v>20839.650000000001</v>
      </c>
      <c r="H7724" s="27">
        <f t="shared" si="240"/>
        <v>0</v>
      </c>
      <c r="I7724" s="18">
        <v>9478.68</v>
      </c>
      <c r="J7724" s="27">
        <v>20839.650000000001</v>
      </c>
      <c r="K7724" s="18">
        <f t="shared" si="241"/>
        <v>0</v>
      </c>
      <c r="L7724" s="27">
        <v>10625.23</v>
      </c>
      <c r="M7724" s="36">
        <v>1146.55</v>
      </c>
      <c r="T7724" s="41">
        <v>0</v>
      </c>
      <c r="U7724" s="41">
        <v>0</v>
      </c>
      <c r="V7724" s="42" t="s">
        <v>113</v>
      </c>
      <c r="W7724" s="42">
        <v>0</v>
      </c>
      <c r="X7724" s="42">
        <v>0</v>
      </c>
    </row>
    <row r="7725" spans="1:24">
      <c r="A7725" s="27" t="s">
        <v>13920</v>
      </c>
      <c r="B7725" s="28" t="s">
        <v>12240</v>
      </c>
      <c r="C7725" s="27" t="s">
        <v>13921</v>
      </c>
      <c r="D7725" s="27" t="s">
        <v>230</v>
      </c>
      <c r="E7725" s="29">
        <v>41254</v>
      </c>
      <c r="F7725" s="27">
        <v>15</v>
      </c>
      <c r="G7725" s="18">
        <v>20839.650000000001</v>
      </c>
      <c r="H7725" s="27">
        <f t="shared" si="240"/>
        <v>0</v>
      </c>
      <c r="I7725" s="18">
        <v>9478.68</v>
      </c>
      <c r="J7725" s="27">
        <v>20839.650000000001</v>
      </c>
      <c r="K7725" s="18">
        <f t="shared" si="241"/>
        <v>0</v>
      </c>
      <c r="L7725" s="27">
        <v>10625.23</v>
      </c>
      <c r="M7725" s="36">
        <v>1146.55</v>
      </c>
      <c r="T7725" s="41">
        <v>0</v>
      </c>
      <c r="U7725" s="41">
        <v>0</v>
      </c>
      <c r="V7725" s="42" t="s">
        <v>113</v>
      </c>
      <c r="W7725" s="42">
        <v>0</v>
      </c>
      <c r="X7725" s="42">
        <v>0</v>
      </c>
    </row>
    <row r="7726" spans="1:24">
      <c r="A7726" s="27" t="s">
        <v>13922</v>
      </c>
      <c r="B7726" s="28" t="s">
        <v>12240</v>
      </c>
      <c r="C7726" s="27" t="s">
        <v>13923</v>
      </c>
      <c r="D7726" s="27" t="s">
        <v>230</v>
      </c>
      <c r="E7726" s="29">
        <v>41254</v>
      </c>
      <c r="F7726" s="27">
        <v>15</v>
      </c>
      <c r="G7726" s="18">
        <v>36376.94</v>
      </c>
      <c r="H7726" s="27">
        <f t="shared" si="240"/>
        <v>0</v>
      </c>
      <c r="I7726" s="18">
        <v>16557.330000000002</v>
      </c>
      <c r="J7726" s="27">
        <v>36376.94</v>
      </c>
      <c r="K7726" s="18">
        <f t="shared" si="241"/>
        <v>0</v>
      </c>
      <c r="L7726" s="27">
        <v>18557.41</v>
      </c>
      <c r="M7726" s="36">
        <v>2000.08</v>
      </c>
      <c r="T7726" s="41">
        <v>0</v>
      </c>
      <c r="U7726" s="41">
        <v>0</v>
      </c>
      <c r="V7726" s="42" t="s">
        <v>113</v>
      </c>
      <c r="W7726" s="42">
        <v>0</v>
      </c>
      <c r="X7726" s="42">
        <v>0</v>
      </c>
    </row>
    <row r="7727" spans="1:24">
      <c r="A7727" s="27" t="s">
        <v>13924</v>
      </c>
      <c r="B7727" s="28" t="s">
        <v>12240</v>
      </c>
      <c r="C7727" s="27" t="s">
        <v>13925</v>
      </c>
      <c r="D7727" s="27" t="s">
        <v>230</v>
      </c>
      <c r="E7727" s="29">
        <v>41254</v>
      </c>
      <c r="F7727" s="27">
        <v>15</v>
      </c>
      <c r="G7727" s="18">
        <v>20839.650000000001</v>
      </c>
      <c r="H7727" s="27">
        <f t="shared" si="240"/>
        <v>0</v>
      </c>
      <c r="I7727" s="18">
        <v>9478.68</v>
      </c>
      <c r="J7727" s="27">
        <v>20839.650000000001</v>
      </c>
      <c r="K7727" s="18">
        <f t="shared" si="241"/>
        <v>0</v>
      </c>
      <c r="L7727" s="27">
        <v>10625.23</v>
      </c>
      <c r="M7727" s="36">
        <v>1146.55</v>
      </c>
      <c r="T7727" s="41">
        <v>0</v>
      </c>
      <c r="U7727" s="41">
        <v>0</v>
      </c>
      <c r="V7727" s="42" t="s">
        <v>113</v>
      </c>
      <c r="W7727" s="42">
        <v>0</v>
      </c>
      <c r="X7727" s="42">
        <v>0</v>
      </c>
    </row>
    <row r="7728" spans="1:24">
      <c r="A7728" s="27" t="s">
        <v>13926</v>
      </c>
      <c r="B7728" s="28" t="s">
        <v>12240</v>
      </c>
      <c r="C7728" s="27" t="s">
        <v>13927</v>
      </c>
      <c r="D7728" s="27" t="s">
        <v>230</v>
      </c>
      <c r="E7728" s="29">
        <v>41254</v>
      </c>
      <c r="F7728" s="27">
        <v>15</v>
      </c>
      <c r="G7728" s="18">
        <v>36839.65</v>
      </c>
      <c r="H7728" s="27">
        <f t="shared" si="240"/>
        <v>0</v>
      </c>
      <c r="I7728" s="18">
        <v>16756.080000000002</v>
      </c>
      <c r="J7728" s="27">
        <v>36839.65</v>
      </c>
      <c r="K7728" s="18">
        <f t="shared" si="241"/>
        <v>0</v>
      </c>
      <c r="L7728" s="27">
        <v>18782.919999999998</v>
      </c>
      <c r="M7728" s="36">
        <v>2026.84</v>
      </c>
      <c r="T7728" s="41">
        <v>0</v>
      </c>
      <c r="U7728" s="41">
        <v>0</v>
      </c>
      <c r="V7728" s="42" t="s">
        <v>113</v>
      </c>
      <c r="W7728" s="42">
        <v>0</v>
      </c>
      <c r="X7728" s="42">
        <v>0</v>
      </c>
    </row>
    <row r="7729" spans="1:24">
      <c r="A7729" s="27" t="s">
        <v>13928</v>
      </c>
      <c r="B7729" s="28" t="s">
        <v>12240</v>
      </c>
      <c r="C7729" s="27" t="s">
        <v>13929</v>
      </c>
      <c r="D7729" s="27" t="s">
        <v>230</v>
      </c>
      <c r="E7729" s="29">
        <v>41254</v>
      </c>
      <c r="F7729" s="27">
        <v>15</v>
      </c>
      <c r="G7729" s="18">
        <v>20839.650000000001</v>
      </c>
      <c r="H7729" s="27">
        <f t="shared" si="240"/>
        <v>0</v>
      </c>
      <c r="I7729" s="18">
        <v>9478.68</v>
      </c>
      <c r="J7729" s="27">
        <v>20839.650000000001</v>
      </c>
      <c r="K7729" s="18">
        <f t="shared" si="241"/>
        <v>0</v>
      </c>
      <c r="L7729" s="27">
        <v>10625.23</v>
      </c>
      <c r="M7729" s="36">
        <v>1146.55</v>
      </c>
      <c r="T7729" s="41">
        <v>0</v>
      </c>
      <c r="U7729" s="41">
        <v>0</v>
      </c>
      <c r="V7729" s="42" t="s">
        <v>113</v>
      </c>
      <c r="W7729" s="42">
        <v>0</v>
      </c>
      <c r="X7729" s="42">
        <v>0</v>
      </c>
    </row>
    <row r="7730" spans="1:24">
      <c r="A7730" s="27" t="s">
        <v>13930</v>
      </c>
      <c r="B7730" s="28" t="s">
        <v>12240</v>
      </c>
      <c r="C7730" s="27" t="s">
        <v>13931</v>
      </c>
      <c r="D7730" s="27" t="s">
        <v>230</v>
      </c>
      <c r="E7730" s="29">
        <v>41254</v>
      </c>
      <c r="F7730" s="27">
        <v>15</v>
      </c>
      <c r="G7730" s="18">
        <v>20839.650000000001</v>
      </c>
      <c r="H7730" s="27">
        <f t="shared" si="240"/>
        <v>0</v>
      </c>
      <c r="I7730" s="18">
        <v>9478.68</v>
      </c>
      <c r="J7730" s="27">
        <v>20839.650000000001</v>
      </c>
      <c r="K7730" s="18">
        <f t="shared" si="241"/>
        <v>0</v>
      </c>
      <c r="L7730" s="27">
        <v>10625.23</v>
      </c>
      <c r="M7730" s="36">
        <v>1146.55</v>
      </c>
      <c r="T7730" s="41">
        <v>0</v>
      </c>
      <c r="U7730" s="41">
        <v>0</v>
      </c>
      <c r="V7730" s="42" t="s">
        <v>113</v>
      </c>
      <c r="W7730" s="42">
        <v>0</v>
      </c>
      <c r="X7730" s="42">
        <v>0</v>
      </c>
    </row>
    <row r="7731" spans="1:24">
      <c r="A7731" s="27" t="s">
        <v>13932</v>
      </c>
      <c r="B7731" s="28" t="s">
        <v>12240</v>
      </c>
      <c r="C7731" s="27" t="s">
        <v>13933</v>
      </c>
      <c r="D7731" s="27" t="s">
        <v>5104</v>
      </c>
      <c r="E7731" s="29">
        <v>41254</v>
      </c>
      <c r="F7731" s="27">
        <v>15</v>
      </c>
      <c r="G7731" s="18">
        <v>46839.65</v>
      </c>
      <c r="H7731" s="27">
        <f t="shared" si="240"/>
        <v>0</v>
      </c>
      <c r="I7731" s="18">
        <v>21304.45</v>
      </c>
      <c r="J7731" s="27">
        <v>46839.65</v>
      </c>
      <c r="K7731" s="18">
        <f t="shared" si="241"/>
        <v>0</v>
      </c>
      <c r="L7731" s="27">
        <v>23881.47</v>
      </c>
      <c r="M7731" s="36">
        <v>2577.02</v>
      </c>
      <c r="T7731" s="41">
        <v>0</v>
      </c>
      <c r="U7731" s="41">
        <v>0</v>
      </c>
      <c r="V7731" s="42" t="s">
        <v>113</v>
      </c>
      <c r="W7731" s="42">
        <v>0</v>
      </c>
      <c r="X7731" s="42">
        <v>0</v>
      </c>
    </row>
    <row r="7732" spans="1:24">
      <c r="A7732" s="27" t="s">
        <v>13934</v>
      </c>
      <c r="B7732" s="28" t="s">
        <v>12240</v>
      </c>
      <c r="C7732" s="27" t="s">
        <v>13935</v>
      </c>
      <c r="D7732" s="27" t="s">
        <v>230</v>
      </c>
      <c r="E7732" s="29">
        <v>41254</v>
      </c>
      <c r="F7732" s="27">
        <v>15</v>
      </c>
      <c r="G7732" s="18">
        <v>36839.65</v>
      </c>
      <c r="H7732" s="27">
        <f t="shared" si="240"/>
        <v>0</v>
      </c>
      <c r="I7732" s="18">
        <v>16756.080000000002</v>
      </c>
      <c r="J7732" s="27">
        <v>36839.65</v>
      </c>
      <c r="K7732" s="18">
        <f t="shared" si="241"/>
        <v>0</v>
      </c>
      <c r="L7732" s="27">
        <v>18782.919999999998</v>
      </c>
      <c r="M7732" s="36">
        <v>2026.84</v>
      </c>
      <c r="T7732" s="41">
        <v>0</v>
      </c>
      <c r="U7732" s="41">
        <v>0</v>
      </c>
      <c r="V7732" s="42" t="s">
        <v>113</v>
      </c>
      <c r="W7732" s="42">
        <v>0</v>
      </c>
      <c r="X7732" s="42">
        <v>0</v>
      </c>
    </row>
    <row r="7733" spans="1:24">
      <c r="A7733" s="27" t="s">
        <v>13936</v>
      </c>
      <c r="B7733" s="28" t="s">
        <v>12240</v>
      </c>
      <c r="C7733" s="27" t="s">
        <v>13937</v>
      </c>
      <c r="D7733" s="27" t="s">
        <v>230</v>
      </c>
      <c r="E7733" s="29">
        <v>41254</v>
      </c>
      <c r="F7733" s="27">
        <v>15</v>
      </c>
      <c r="G7733" s="18">
        <v>99450.21</v>
      </c>
      <c r="H7733" s="27">
        <f t="shared" si="240"/>
        <v>0</v>
      </c>
      <c r="I7733" s="18">
        <v>47257.31</v>
      </c>
      <c r="J7733" s="27">
        <v>99450.21</v>
      </c>
      <c r="K7733" s="18">
        <f t="shared" si="241"/>
        <v>0</v>
      </c>
      <c r="L7733" s="27">
        <v>52504.02</v>
      </c>
      <c r="M7733" s="36">
        <v>5246.71</v>
      </c>
      <c r="T7733" s="41">
        <v>0</v>
      </c>
      <c r="U7733" s="41">
        <v>0</v>
      </c>
      <c r="V7733" s="42" t="s">
        <v>113</v>
      </c>
      <c r="W7733" s="42">
        <v>0</v>
      </c>
      <c r="X7733" s="42">
        <v>0</v>
      </c>
    </row>
    <row r="7734" spans="1:24">
      <c r="A7734" s="27" t="s">
        <v>13938</v>
      </c>
      <c r="B7734" s="28" t="s">
        <v>12240</v>
      </c>
      <c r="C7734" s="27" t="s">
        <v>13939</v>
      </c>
      <c r="D7734" s="27" t="s">
        <v>5104</v>
      </c>
      <c r="E7734" s="29">
        <v>41254</v>
      </c>
      <c r="F7734" s="27">
        <v>15</v>
      </c>
      <c r="G7734" s="18">
        <v>36839.65</v>
      </c>
      <c r="H7734" s="27">
        <f t="shared" si="240"/>
        <v>0</v>
      </c>
      <c r="I7734" s="18">
        <v>16756.080000000002</v>
      </c>
      <c r="J7734" s="27">
        <v>36839.65</v>
      </c>
      <c r="K7734" s="18">
        <f t="shared" si="241"/>
        <v>0</v>
      </c>
      <c r="L7734" s="27">
        <v>18782.919999999998</v>
      </c>
      <c r="M7734" s="36">
        <v>2026.84</v>
      </c>
      <c r="T7734" s="41">
        <v>0</v>
      </c>
      <c r="U7734" s="41">
        <v>0</v>
      </c>
      <c r="V7734" s="42" t="s">
        <v>113</v>
      </c>
      <c r="W7734" s="42">
        <v>0</v>
      </c>
      <c r="X7734" s="42">
        <v>0</v>
      </c>
    </row>
    <row r="7735" spans="1:24">
      <c r="A7735" s="27" t="s">
        <v>13940</v>
      </c>
      <c r="B7735" s="28" t="s">
        <v>12240</v>
      </c>
      <c r="C7735" s="27" t="s">
        <v>13941</v>
      </c>
      <c r="D7735" s="27" t="s">
        <v>230</v>
      </c>
      <c r="E7735" s="29">
        <v>41254</v>
      </c>
      <c r="F7735" s="27">
        <v>15</v>
      </c>
      <c r="G7735" s="18">
        <v>20839.650000000001</v>
      </c>
      <c r="H7735" s="27">
        <f t="shared" si="240"/>
        <v>0</v>
      </c>
      <c r="I7735" s="18">
        <v>9478.68</v>
      </c>
      <c r="J7735" s="27">
        <v>20839.650000000001</v>
      </c>
      <c r="K7735" s="18">
        <f t="shared" si="241"/>
        <v>0</v>
      </c>
      <c r="L7735" s="27">
        <v>10625.23</v>
      </c>
      <c r="M7735" s="36">
        <v>1146.55</v>
      </c>
      <c r="T7735" s="41">
        <v>0</v>
      </c>
      <c r="U7735" s="41">
        <v>0</v>
      </c>
      <c r="V7735" s="42" t="s">
        <v>113</v>
      </c>
      <c r="W7735" s="42">
        <v>0</v>
      </c>
      <c r="X7735" s="42">
        <v>0</v>
      </c>
    </row>
    <row r="7736" spans="1:24">
      <c r="A7736" s="27" t="s">
        <v>13942</v>
      </c>
      <c r="B7736" s="28" t="s">
        <v>12240</v>
      </c>
      <c r="C7736" s="27" t="s">
        <v>13943</v>
      </c>
      <c r="D7736" s="27" t="s">
        <v>5104</v>
      </c>
      <c r="E7736" s="29">
        <v>41254</v>
      </c>
      <c r="F7736" s="27">
        <v>15</v>
      </c>
      <c r="G7736" s="18">
        <v>30839.65</v>
      </c>
      <c r="H7736" s="27">
        <f t="shared" si="240"/>
        <v>0</v>
      </c>
      <c r="I7736" s="18">
        <v>14027.06</v>
      </c>
      <c r="J7736" s="27">
        <v>30839.65</v>
      </c>
      <c r="K7736" s="18">
        <f t="shared" si="241"/>
        <v>0</v>
      </c>
      <c r="L7736" s="27">
        <v>15723.79</v>
      </c>
      <c r="M7736" s="36">
        <v>1696.73</v>
      </c>
      <c r="T7736" s="41">
        <v>0</v>
      </c>
      <c r="U7736" s="41">
        <v>0</v>
      </c>
      <c r="V7736" s="42" t="s">
        <v>113</v>
      </c>
      <c r="W7736" s="42">
        <v>0</v>
      </c>
      <c r="X7736" s="42">
        <v>0</v>
      </c>
    </row>
    <row r="7737" spans="1:24">
      <c r="A7737" s="27" t="s">
        <v>13944</v>
      </c>
      <c r="B7737" s="28" t="s">
        <v>12240</v>
      </c>
      <c r="C7737" s="27" t="s">
        <v>13945</v>
      </c>
      <c r="D7737" s="27" t="s">
        <v>230</v>
      </c>
      <c r="E7737" s="29">
        <v>41254</v>
      </c>
      <c r="F7737" s="27">
        <v>15</v>
      </c>
      <c r="G7737" s="18">
        <v>30839.65</v>
      </c>
      <c r="H7737" s="27">
        <f t="shared" si="240"/>
        <v>0</v>
      </c>
      <c r="I7737" s="18">
        <v>14027.06</v>
      </c>
      <c r="J7737" s="27">
        <v>30839.65</v>
      </c>
      <c r="K7737" s="18">
        <f t="shared" si="241"/>
        <v>0</v>
      </c>
      <c r="L7737" s="27">
        <v>15723.79</v>
      </c>
      <c r="M7737" s="36">
        <v>1696.73</v>
      </c>
      <c r="T7737" s="41">
        <v>0</v>
      </c>
      <c r="U7737" s="41">
        <v>0</v>
      </c>
      <c r="V7737" s="42" t="s">
        <v>113</v>
      </c>
      <c r="W7737" s="42">
        <v>0</v>
      </c>
      <c r="X7737" s="42">
        <v>0</v>
      </c>
    </row>
    <row r="7738" spans="1:24">
      <c r="A7738" s="27" t="s">
        <v>13946</v>
      </c>
      <c r="B7738" s="28" t="s">
        <v>12240</v>
      </c>
      <c r="C7738" s="27" t="s">
        <v>13947</v>
      </c>
      <c r="D7738" s="27" t="s">
        <v>230</v>
      </c>
      <c r="E7738" s="29">
        <v>41254</v>
      </c>
      <c r="F7738" s="27">
        <v>15</v>
      </c>
      <c r="G7738" s="18">
        <v>20839.650000000001</v>
      </c>
      <c r="H7738" s="27">
        <f t="shared" si="240"/>
        <v>0</v>
      </c>
      <c r="I7738" s="18">
        <v>9478.68</v>
      </c>
      <c r="J7738" s="27">
        <v>20839.650000000001</v>
      </c>
      <c r="K7738" s="18">
        <f t="shared" si="241"/>
        <v>0</v>
      </c>
      <c r="L7738" s="27">
        <v>10625.23</v>
      </c>
      <c r="M7738" s="36">
        <v>1146.55</v>
      </c>
      <c r="T7738" s="41">
        <v>0</v>
      </c>
      <c r="U7738" s="41">
        <v>0</v>
      </c>
      <c r="V7738" s="42" t="s">
        <v>113</v>
      </c>
      <c r="W7738" s="42">
        <v>0</v>
      </c>
      <c r="X7738" s="42">
        <v>0</v>
      </c>
    </row>
    <row r="7739" spans="1:24">
      <c r="A7739" s="27" t="s">
        <v>13948</v>
      </c>
      <c r="B7739" s="28" t="s">
        <v>12240</v>
      </c>
      <c r="C7739" s="27" t="s">
        <v>13949</v>
      </c>
      <c r="D7739" s="27" t="s">
        <v>230</v>
      </c>
      <c r="E7739" s="29">
        <v>41254</v>
      </c>
      <c r="F7739" s="27">
        <v>15</v>
      </c>
      <c r="G7739" s="18">
        <v>20839.650000000001</v>
      </c>
      <c r="H7739" s="27">
        <f t="shared" si="240"/>
        <v>0</v>
      </c>
      <c r="I7739" s="18">
        <v>9478.68</v>
      </c>
      <c r="J7739" s="27">
        <v>20839.650000000001</v>
      </c>
      <c r="K7739" s="18">
        <f t="shared" si="241"/>
        <v>0</v>
      </c>
      <c r="L7739" s="27">
        <v>10625.23</v>
      </c>
      <c r="M7739" s="36">
        <v>1146.55</v>
      </c>
      <c r="T7739" s="41">
        <v>0</v>
      </c>
      <c r="U7739" s="41">
        <v>0</v>
      </c>
      <c r="V7739" s="42" t="s">
        <v>113</v>
      </c>
      <c r="W7739" s="42">
        <v>0</v>
      </c>
      <c r="X7739" s="42">
        <v>0</v>
      </c>
    </row>
    <row r="7740" spans="1:24">
      <c r="A7740" s="27" t="s">
        <v>13950</v>
      </c>
      <c r="B7740" s="28" t="s">
        <v>12240</v>
      </c>
      <c r="C7740" s="27" t="s">
        <v>13951</v>
      </c>
      <c r="D7740" s="27" t="s">
        <v>230</v>
      </c>
      <c r="E7740" s="29">
        <v>41254</v>
      </c>
      <c r="F7740" s="27">
        <v>15</v>
      </c>
      <c r="G7740" s="18">
        <v>20839.650000000001</v>
      </c>
      <c r="H7740" s="27">
        <f t="shared" si="240"/>
        <v>0</v>
      </c>
      <c r="I7740" s="18">
        <v>9478.68</v>
      </c>
      <c r="J7740" s="27">
        <v>20839.650000000001</v>
      </c>
      <c r="K7740" s="18">
        <f t="shared" si="241"/>
        <v>0</v>
      </c>
      <c r="L7740" s="27">
        <v>10625.23</v>
      </c>
      <c r="M7740" s="36">
        <v>1146.55</v>
      </c>
      <c r="T7740" s="41">
        <v>0</v>
      </c>
      <c r="U7740" s="41">
        <v>0</v>
      </c>
      <c r="V7740" s="42" t="s">
        <v>113</v>
      </c>
      <c r="W7740" s="42">
        <v>0</v>
      </c>
      <c r="X7740" s="42">
        <v>0</v>
      </c>
    </row>
    <row r="7741" spans="1:24">
      <c r="A7741" s="27" t="s">
        <v>13952</v>
      </c>
      <c r="B7741" s="28" t="s">
        <v>12240</v>
      </c>
      <c r="C7741" s="27" t="s">
        <v>13953</v>
      </c>
      <c r="D7741" s="27" t="s">
        <v>230</v>
      </c>
      <c r="E7741" s="29">
        <v>41254</v>
      </c>
      <c r="F7741" s="27">
        <v>15</v>
      </c>
      <c r="G7741" s="18">
        <v>60839.65</v>
      </c>
      <c r="H7741" s="27">
        <f t="shared" si="240"/>
        <v>0</v>
      </c>
      <c r="I7741" s="18">
        <v>27672.2</v>
      </c>
      <c r="J7741" s="27">
        <v>60839.65</v>
      </c>
      <c r="K7741" s="18">
        <f t="shared" si="241"/>
        <v>0</v>
      </c>
      <c r="L7741" s="27">
        <v>31019.47</v>
      </c>
      <c r="M7741" s="36">
        <v>3347.27</v>
      </c>
      <c r="T7741" s="41">
        <v>0</v>
      </c>
      <c r="U7741" s="41">
        <v>0</v>
      </c>
      <c r="V7741" s="42" t="s">
        <v>113</v>
      </c>
      <c r="W7741" s="42">
        <v>0</v>
      </c>
      <c r="X7741" s="42">
        <v>0</v>
      </c>
    </row>
    <row r="7742" spans="1:24">
      <c r="A7742" s="27" t="s">
        <v>13954</v>
      </c>
      <c r="B7742" s="28" t="s">
        <v>12240</v>
      </c>
      <c r="C7742" s="27" t="s">
        <v>13955</v>
      </c>
      <c r="D7742" s="27" t="s">
        <v>230</v>
      </c>
      <c r="E7742" s="29">
        <v>41254</v>
      </c>
      <c r="F7742" s="27">
        <v>15</v>
      </c>
      <c r="G7742" s="18">
        <v>46839.65</v>
      </c>
      <c r="H7742" s="27">
        <f t="shared" si="240"/>
        <v>0</v>
      </c>
      <c r="I7742" s="18">
        <v>21304.45</v>
      </c>
      <c r="J7742" s="27">
        <v>46839.65</v>
      </c>
      <c r="K7742" s="18">
        <f t="shared" si="241"/>
        <v>0</v>
      </c>
      <c r="L7742" s="27">
        <v>23881.47</v>
      </c>
      <c r="M7742" s="36">
        <v>2577.02</v>
      </c>
      <c r="T7742" s="41">
        <v>0</v>
      </c>
      <c r="U7742" s="41">
        <v>0</v>
      </c>
      <c r="V7742" s="42" t="s">
        <v>113</v>
      </c>
      <c r="W7742" s="42">
        <v>0</v>
      </c>
      <c r="X7742" s="42">
        <v>0</v>
      </c>
    </row>
    <row r="7743" spans="1:24">
      <c r="A7743" s="27" t="s">
        <v>13956</v>
      </c>
      <c r="B7743" s="28" t="s">
        <v>12240</v>
      </c>
      <c r="C7743" s="27" t="s">
        <v>13957</v>
      </c>
      <c r="D7743" s="27" t="s">
        <v>5104</v>
      </c>
      <c r="E7743" s="29">
        <v>41254</v>
      </c>
      <c r="F7743" s="27">
        <v>15</v>
      </c>
      <c r="G7743" s="18">
        <v>46839.65</v>
      </c>
      <c r="H7743" s="27">
        <f t="shared" si="240"/>
        <v>0</v>
      </c>
      <c r="I7743" s="18">
        <v>21304.45</v>
      </c>
      <c r="J7743" s="27">
        <v>46839.65</v>
      </c>
      <c r="K7743" s="18">
        <f t="shared" si="241"/>
        <v>0</v>
      </c>
      <c r="L7743" s="27">
        <v>23881.47</v>
      </c>
      <c r="M7743" s="36">
        <v>2577.02</v>
      </c>
      <c r="T7743" s="41">
        <v>0</v>
      </c>
      <c r="U7743" s="41">
        <v>0</v>
      </c>
      <c r="V7743" s="42" t="s">
        <v>113</v>
      </c>
      <c r="W7743" s="42">
        <v>0</v>
      </c>
      <c r="X7743" s="42">
        <v>0</v>
      </c>
    </row>
    <row r="7744" spans="1:24">
      <c r="A7744" s="27" t="s">
        <v>13958</v>
      </c>
      <c r="B7744" s="28" t="s">
        <v>12240</v>
      </c>
      <c r="C7744" s="27" t="s">
        <v>13959</v>
      </c>
      <c r="D7744" s="27" t="s">
        <v>230</v>
      </c>
      <c r="E7744" s="29">
        <v>41254</v>
      </c>
      <c r="F7744" s="27">
        <v>15</v>
      </c>
      <c r="G7744" s="18">
        <v>46839.65</v>
      </c>
      <c r="H7744" s="27">
        <f t="shared" si="240"/>
        <v>0</v>
      </c>
      <c r="I7744" s="18">
        <v>21304.45</v>
      </c>
      <c r="J7744" s="27">
        <v>46839.65</v>
      </c>
      <c r="K7744" s="18">
        <f t="shared" si="241"/>
        <v>0</v>
      </c>
      <c r="L7744" s="27">
        <v>23881.47</v>
      </c>
      <c r="M7744" s="36">
        <v>2577.02</v>
      </c>
      <c r="T7744" s="41">
        <v>0</v>
      </c>
      <c r="U7744" s="41">
        <v>0</v>
      </c>
      <c r="V7744" s="42" t="s">
        <v>113</v>
      </c>
      <c r="W7744" s="42">
        <v>0</v>
      </c>
      <c r="X7744" s="42">
        <v>0</v>
      </c>
    </row>
    <row r="7745" spans="1:24">
      <c r="A7745" s="27" t="s">
        <v>13960</v>
      </c>
      <c r="B7745" s="28" t="s">
        <v>12240</v>
      </c>
      <c r="C7745" s="27" t="s">
        <v>13961</v>
      </c>
      <c r="D7745" s="27" t="s">
        <v>230</v>
      </c>
      <c r="E7745" s="29">
        <v>41254</v>
      </c>
      <c r="F7745" s="27">
        <v>15</v>
      </c>
      <c r="G7745" s="18">
        <v>46323.33</v>
      </c>
      <c r="H7745" s="27">
        <f t="shared" si="240"/>
        <v>0</v>
      </c>
      <c r="I7745" s="18">
        <v>21069.62</v>
      </c>
      <c r="J7745" s="27">
        <v>46323.33</v>
      </c>
      <c r="K7745" s="18">
        <f t="shared" si="241"/>
        <v>0</v>
      </c>
      <c r="L7745" s="27">
        <v>23618.240000000002</v>
      </c>
      <c r="M7745" s="36">
        <v>2548.62</v>
      </c>
      <c r="T7745" s="41">
        <v>0</v>
      </c>
      <c r="U7745" s="41">
        <v>0</v>
      </c>
      <c r="V7745" s="42" t="s">
        <v>113</v>
      </c>
      <c r="W7745" s="42">
        <v>0</v>
      </c>
      <c r="X7745" s="42">
        <v>0</v>
      </c>
    </row>
    <row r="7746" spans="1:24">
      <c r="A7746" s="27" t="s">
        <v>13962</v>
      </c>
      <c r="B7746" s="28" t="s">
        <v>12240</v>
      </c>
      <c r="C7746" s="27" t="s">
        <v>13963</v>
      </c>
      <c r="D7746" s="27" t="s">
        <v>230</v>
      </c>
      <c r="E7746" s="29">
        <v>41254</v>
      </c>
      <c r="F7746" s="27">
        <v>15</v>
      </c>
      <c r="G7746" s="18">
        <v>31488.02</v>
      </c>
      <c r="H7746" s="27">
        <f t="shared" si="240"/>
        <v>0</v>
      </c>
      <c r="I7746" s="18">
        <v>14321.96</v>
      </c>
      <c r="J7746" s="27">
        <v>31488.02</v>
      </c>
      <c r="K7746" s="18">
        <f t="shared" si="241"/>
        <v>0</v>
      </c>
      <c r="L7746" s="27">
        <v>16054.37</v>
      </c>
      <c r="M7746" s="36">
        <v>1732.41</v>
      </c>
      <c r="T7746" s="41">
        <v>0</v>
      </c>
      <c r="U7746" s="41">
        <v>0</v>
      </c>
      <c r="V7746" s="42" t="s">
        <v>113</v>
      </c>
      <c r="W7746" s="42">
        <v>0</v>
      </c>
      <c r="X7746" s="42">
        <v>0</v>
      </c>
    </row>
    <row r="7747" spans="1:24">
      <c r="A7747" s="27" t="s">
        <v>13964</v>
      </c>
      <c r="B7747" s="28" t="s">
        <v>12240</v>
      </c>
      <c r="C7747" s="27" t="s">
        <v>13965</v>
      </c>
      <c r="D7747" s="27" t="s">
        <v>230</v>
      </c>
      <c r="E7747" s="29">
        <v>41254</v>
      </c>
      <c r="F7747" s="27">
        <v>15</v>
      </c>
      <c r="G7747" s="18">
        <v>31350.41</v>
      </c>
      <c r="H7747" s="27">
        <f t="shared" si="240"/>
        <v>0</v>
      </c>
      <c r="I7747" s="18">
        <v>14262.84</v>
      </c>
      <c r="J7747" s="27">
        <v>31350.41</v>
      </c>
      <c r="K7747" s="18">
        <f t="shared" si="241"/>
        <v>0</v>
      </c>
      <c r="L7747" s="27">
        <v>15987.29</v>
      </c>
      <c r="M7747" s="36">
        <v>1724.45</v>
      </c>
      <c r="T7747" s="41">
        <v>0</v>
      </c>
      <c r="U7747" s="41">
        <v>0</v>
      </c>
      <c r="V7747" s="42" t="s">
        <v>113</v>
      </c>
      <c r="W7747" s="42">
        <v>0</v>
      </c>
      <c r="X7747" s="42">
        <v>0</v>
      </c>
    </row>
    <row r="7748" spans="1:24">
      <c r="A7748" s="27" t="s">
        <v>13966</v>
      </c>
      <c r="B7748" s="28" t="s">
        <v>12240</v>
      </c>
      <c r="C7748" s="27" t="s">
        <v>13967</v>
      </c>
      <c r="D7748" s="27" t="s">
        <v>230</v>
      </c>
      <c r="E7748" s="29">
        <v>41254</v>
      </c>
      <c r="F7748" s="27">
        <v>15</v>
      </c>
      <c r="G7748" s="18">
        <v>31488.02</v>
      </c>
      <c r="H7748" s="27">
        <f t="shared" si="240"/>
        <v>0</v>
      </c>
      <c r="I7748" s="18">
        <v>14321.96</v>
      </c>
      <c r="J7748" s="27">
        <v>31488.02</v>
      </c>
      <c r="K7748" s="18">
        <f t="shared" si="241"/>
        <v>0</v>
      </c>
      <c r="L7748" s="27">
        <v>16054.37</v>
      </c>
      <c r="M7748" s="36">
        <v>1732.41</v>
      </c>
      <c r="T7748" s="41">
        <v>0</v>
      </c>
      <c r="U7748" s="41">
        <v>0</v>
      </c>
      <c r="V7748" s="42" t="s">
        <v>113</v>
      </c>
      <c r="W7748" s="42">
        <v>0</v>
      </c>
      <c r="X7748" s="42">
        <v>0</v>
      </c>
    </row>
    <row r="7749" spans="1:24">
      <c r="A7749" s="27" t="s">
        <v>13968</v>
      </c>
      <c r="B7749" s="28" t="s">
        <v>12240</v>
      </c>
      <c r="C7749" s="27" t="s">
        <v>13969</v>
      </c>
      <c r="D7749" s="27" t="s">
        <v>230</v>
      </c>
      <c r="E7749" s="29">
        <v>41254</v>
      </c>
      <c r="F7749" s="27">
        <v>15</v>
      </c>
      <c r="G7749" s="18">
        <v>31488.02</v>
      </c>
      <c r="H7749" s="27">
        <f t="shared" si="240"/>
        <v>0</v>
      </c>
      <c r="I7749" s="18">
        <v>14321.96</v>
      </c>
      <c r="J7749" s="27">
        <v>31488.02</v>
      </c>
      <c r="K7749" s="18">
        <f t="shared" si="241"/>
        <v>0</v>
      </c>
      <c r="L7749" s="27">
        <v>16054.37</v>
      </c>
      <c r="M7749" s="36">
        <v>1732.41</v>
      </c>
      <c r="T7749" s="41">
        <v>0</v>
      </c>
      <c r="U7749" s="41">
        <v>0</v>
      </c>
      <c r="V7749" s="42" t="s">
        <v>113</v>
      </c>
      <c r="W7749" s="42">
        <v>0</v>
      </c>
      <c r="X7749" s="42">
        <v>0</v>
      </c>
    </row>
    <row r="7750" spans="1:24">
      <c r="A7750" s="27" t="s">
        <v>13970</v>
      </c>
      <c r="B7750" s="28" t="s">
        <v>12240</v>
      </c>
      <c r="C7750" s="27" t="s">
        <v>13971</v>
      </c>
      <c r="D7750" s="27" t="s">
        <v>230</v>
      </c>
      <c r="E7750" s="29">
        <v>41254</v>
      </c>
      <c r="F7750" s="27">
        <v>15</v>
      </c>
      <c r="G7750" s="18">
        <v>31488.02</v>
      </c>
      <c r="H7750" s="27">
        <f t="shared" ref="H7750:H7813" si="242">IFERROR(IF(ROUND((G7750-I7750)/G7750,2)&lt;=0.05,G7750,0),0)</f>
        <v>0</v>
      </c>
      <c r="I7750" s="18">
        <v>14321.96</v>
      </c>
      <c r="J7750" s="27">
        <v>31488.02</v>
      </c>
      <c r="K7750" s="18">
        <f t="shared" ref="K7750:K7813" si="243">IFERROR(IF(ROUND((J7750-L7750)/J7750,2)&lt;=0.05,J7750,0),0)</f>
        <v>0</v>
      </c>
      <c r="L7750" s="27">
        <v>16054.37</v>
      </c>
      <c r="M7750" s="36">
        <v>1732.41</v>
      </c>
      <c r="T7750" s="41">
        <v>0</v>
      </c>
      <c r="U7750" s="41">
        <v>0</v>
      </c>
      <c r="V7750" s="42" t="s">
        <v>113</v>
      </c>
      <c r="W7750" s="42">
        <v>0</v>
      </c>
      <c r="X7750" s="42">
        <v>0</v>
      </c>
    </row>
    <row r="7751" spans="1:24">
      <c r="A7751" s="27" t="s">
        <v>13972</v>
      </c>
      <c r="B7751" s="28" t="s">
        <v>12240</v>
      </c>
      <c r="C7751" s="27" t="s">
        <v>13973</v>
      </c>
      <c r="D7751" s="27" t="s">
        <v>230</v>
      </c>
      <c r="E7751" s="29">
        <v>41254</v>
      </c>
      <c r="F7751" s="27">
        <v>15</v>
      </c>
      <c r="G7751" s="18">
        <v>49488.02</v>
      </c>
      <c r="H7751" s="27">
        <f t="shared" si="242"/>
        <v>0</v>
      </c>
      <c r="I7751" s="18">
        <v>22509.05</v>
      </c>
      <c r="J7751" s="27">
        <v>49488.02</v>
      </c>
      <c r="K7751" s="18">
        <f t="shared" si="243"/>
        <v>0</v>
      </c>
      <c r="L7751" s="27">
        <v>25231.78</v>
      </c>
      <c r="M7751" s="36">
        <v>2722.73</v>
      </c>
      <c r="T7751" s="41">
        <v>0</v>
      </c>
      <c r="U7751" s="41">
        <v>0</v>
      </c>
      <c r="V7751" s="42" t="s">
        <v>113</v>
      </c>
      <c r="W7751" s="42">
        <v>0</v>
      </c>
      <c r="X7751" s="42">
        <v>0</v>
      </c>
    </row>
    <row r="7752" spans="1:24">
      <c r="A7752" s="27" t="s">
        <v>13974</v>
      </c>
      <c r="B7752" s="28" t="s">
        <v>12240</v>
      </c>
      <c r="C7752" s="27" t="s">
        <v>13975</v>
      </c>
      <c r="D7752" s="27" t="s">
        <v>230</v>
      </c>
      <c r="E7752" s="29">
        <v>40512</v>
      </c>
      <c r="F7752" s="27">
        <v>15</v>
      </c>
      <c r="G7752" s="18">
        <v>76590.97</v>
      </c>
      <c r="H7752" s="27">
        <f t="shared" si="242"/>
        <v>0</v>
      </c>
      <c r="I7752" s="18">
        <v>44084.55</v>
      </c>
      <c r="J7752" s="27">
        <v>76590.97</v>
      </c>
      <c r="K7752" s="18">
        <f t="shared" si="243"/>
        <v>0</v>
      </c>
      <c r="L7752" s="27">
        <v>48230.6</v>
      </c>
      <c r="M7752" s="36">
        <v>4146.05</v>
      </c>
      <c r="T7752" s="41">
        <v>0</v>
      </c>
      <c r="U7752" s="41">
        <v>0</v>
      </c>
      <c r="V7752" s="42" t="s">
        <v>113</v>
      </c>
      <c r="W7752" s="42">
        <v>0</v>
      </c>
      <c r="X7752" s="42">
        <v>0</v>
      </c>
    </row>
    <row r="7753" spans="1:24">
      <c r="A7753" s="27" t="s">
        <v>13976</v>
      </c>
      <c r="B7753" s="28" t="s">
        <v>12240</v>
      </c>
      <c r="C7753" s="27" t="s">
        <v>13977</v>
      </c>
      <c r="D7753" s="27" t="s">
        <v>230</v>
      </c>
      <c r="E7753" s="29">
        <v>40512</v>
      </c>
      <c r="F7753" s="27">
        <v>15</v>
      </c>
      <c r="G7753" s="18">
        <v>32549.48</v>
      </c>
      <c r="H7753" s="27">
        <f t="shared" si="242"/>
        <v>0</v>
      </c>
      <c r="I7753" s="18">
        <v>20209.919999999998</v>
      </c>
      <c r="J7753" s="27">
        <v>32549.48</v>
      </c>
      <c r="K7753" s="18">
        <f t="shared" si="243"/>
        <v>0</v>
      </c>
      <c r="L7753" s="27">
        <v>21758.66</v>
      </c>
      <c r="M7753" s="36">
        <v>1548.74</v>
      </c>
      <c r="T7753" s="41">
        <v>0</v>
      </c>
      <c r="U7753" s="41">
        <v>0</v>
      </c>
      <c r="V7753" s="42" t="s">
        <v>113</v>
      </c>
      <c r="W7753" s="42">
        <v>0</v>
      </c>
      <c r="X7753" s="42">
        <v>0</v>
      </c>
    </row>
    <row r="7754" spans="1:24">
      <c r="A7754" s="27" t="s">
        <v>13978</v>
      </c>
      <c r="B7754" s="28" t="s">
        <v>12240</v>
      </c>
      <c r="C7754" s="27" t="s">
        <v>13979</v>
      </c>
      <c r="D7754" s="27" t="s">
        <v>230</v>
      </c>
      <c r="E7754" s="29">
        <v>40512</v>
      </c>
      <c r="F7754" s="27">
        <v>15</v>
      </c>
      <c r="G7754" s="18">
        <v>22549.48</v>
      </c>
      <c r="H7754" s="27">
        <f t="shared" si="242"/>
        <v>0</v>
      </c>
      <c r="I7754" s="18">
        <v>14000.93</v>
      </c>
      <c r="J7754" s="27">
        <v>22549.48</v>
      </c>
      <c r="K7754" s="18">
        <f t="shared" si="243"/>
        <v>0</v>
      </c>
      <c r="L7754" s="27">
        <v>15073.86</v>
      </c>
      <c r="M7754" s="36">
        <v>1072.93</v>
      </c>
      <c r="T7754" s="41">
        <v>0</v>
      </c>
      <c r="U7754" s="41">
        <v>0</v>
      </c>
      <c r="V7754" s="42" t="s">
        <v>113</v>
      </c>
      <c r="W7754" s="42">
        <v>0</v>
      </c>
      <c r="X7754" s="42">
        <v>0</v>
      </c>
    </row>
    <row r="7755" spans="1:24">
      <c r="A7755" s="27" t="s">
        <v>13980</v>
      </c>
      <c r="B7755" s="28" t="s">
        <v>12240</v>
      </c>
      <c r="C7755" s="27" t="s">
        <v>13981</v>
      </c>
      <c r="D7755" s="27" t="s">
        <v>230</v>
      </c>
      <c r="E7755" s="29">
        <v>40512</v>
      </c>
      <c r="F7755" s="27">
        <v>15</v>
      </c>
      <c r="G7755" s="18">
        <v>32549.48</v>
      </c>
      <c r="H7755" s="27">
        <f t="shared" si="242"/>
        <v>0</v>
      </c>
      <c r="I7755" s="18">
        <v>20209.919999999998</v>
      </c>
      <c r="J7755" s="27">
        <v>32549.48</v>
      </c>
      <c r="K7755" s="18">
        <f t="shared" si="243"/>
        <v>0</v>
      </c>
      <c r="L7755" s="27">
        <v>21758.66</v>
      </c>
      <c r="M7755" s="36">
        <v>1548.74</v>
      </c>
      <c r="T7755" s="41">
        <v>0</v>
      </c>
      <c r="U7755" s="41">
        <v>0</v>
      </c>
      <c r="V7755" s="42" t="s">
        <v>113</v>
      </c>
      <c r="W7755" s="42">
        <v>0</v>
      </c>
      <c r="X7755" s="42">
        <v>0</v>
      </c>
    </row>
    <row r="7756" spans="1:24">
      <c r="A7756" s="27" t="s">
        <v>13982</v>
      </c>
      <c r="B7756" s="28" t="s">
        <v>12240</v>
      </c>
      <c r="C7756" s="27" t="s">
        <v>13983</v>
      </c>
      <c r="D7756" s="27" t="s">
        <v>230</v>
      </c>
      <c r="E7756" s="29">
        <v>40512</v>
      </c>
      <c r="F7756" s="27">
        <v>15</v>
      </c>
      <c r="G7756" s="18">
        <v>32549.48</v>
      </c>
      <c r="H7756" s="27">
        <f t="shared" si="242"/>
        <v>0</v>
      </c>
      <c r="I7756" s="18">
        <v>20209.919999999998</v>
      </c>
      <c r="J7756" s="27">
        <v>32549.48</v>
      </c>
      <c r="K7756" s="18">
        <f t="shared" si="243"/>
        <v>0</v>
      </c>
      <c r="L7756" s="27">
        <v>21758.66</v>
      </c>
      <c r="M7756" s="36">
        <v>1548.74</v>
      </c>
      <c r="T7756" s="41">
        <v>0</v>
      </c>
      <c r="U7756" s="41">
        <v>0</v>
      </c>
      <c r="V7756" s="42" t="s">
        <v>113</v>
      </c>
      <c r="W7756" s="42">
        <v>0</v>
      </c>
      <c r="X7756" s="42">
        <v>0</v>
      </c>
    </row>
    <row r="7757" spans="1:24">
      <c r="A7757" s="27" t="s">
        <v>13984</v>
      </c>
      <c r="B7757" s="28" t="s">
        <v>12240</v>
      </c>
      <c r="C7757" s="27" t="s">
        <v>13985</v>
      </c>
      <c r="D7757" s="27" t="s">
        <v>230</v>
      </c>
      <c r="E7757" s="29">
        <v>40512</v>
      </c>
      <c r="F7757" s="27">
        <v>15</v>
      </c>
      <c r="G7757" s="18">
        <v>32549.48</v>
      </c>
      <c r="H7757" s="27">
        <f t="shared" si="242"/>
        <v>0</v>
      </c>
      <c r="I7757" s="18">
        <v>20209.919999999998</v>
      </c>
      <c r="J7757" s="27">
        <v>32549.48</v>
      </c>
      <c r="K7757" s="18">
        <f t="shared" si="243"/>
        <v>0</v>
      </c>
      <c r="L7757" s="27">
        <v>21758.66</v>
      </c>
      <c r="M7757" s="36">
        <v>1548.74</v>
      </c>
      <c r="T7757" s="41">
        <v>0</v>
      </c>
      <c r="U7757" s="41">
        <v>0</v>
      </c>
      <c r="V7757" s="42" t="s">
        <v>113</v>
      </c>
      <c r="W7757" s="42">
        <v>0</v>
      </c>
      <c r="X7757" s="42">
        <v>0</v>
      </c>
    </row>
    <row r="7758" spans="1:24">
      <c r="A7758" s="27" t="s">
        <v>13986</v>
      </c>
      <c r="B7758" s="28" t="s">
        <v>12240</v>
      </c>
      <c r="C7758" s="27" t="s">
        <v>13987</v>
      </c>
      <c r="D7758" s="27" t="s">
        <v>230</v>
      </c>
      <c r="E7758" s="29">
        <v>40512</v>
      </c>
      <c r="F7758" s="27">
        <v>15</v>
      </c>
      <c r="G7758" s="18">
        <v>32549.48</v>
      </c>
      <c r="H7758" s="27">
        <f t="shared" si="242"/>
        <v>0</v>
      </c>
      <c r="I7758" s="18">
        <v>20209.919999999998</v>
      </c>
      <c r="J7758" s="27">
        <v>32549.48</v>
      </c>
      <c r="K7758" s="18">
        <f t="shared" si="243"/>
        <v>0</v>
      </c>
      <c r="L7758" s="27">
        <v>21758.66</v>
      </c>
      <c r="M7758" s="36">
        <v>1548.74</v>
      </c>
      <c r="T7758" s="41">
        <v>0</v>
      </c>
      <c r="U7758" s="41">
        <v>0</v>
      </c>
      <c r="V7758" s="42" t="s">
        <v>113</v>
      </c>
      <c r="W7758" s="42">
        <v>0</v>
      </c>
      <c r="X7758" s="42">
        <v>0</v>
      </c>
    </row>
    <row r="7759" spans="1:24">
      <c r="A7759" s="27" t="s">
        <v>13988</v>
      </c>
      <c r="B7759" s="28" t="s">
        <v>12240</v>
      </c>
      <c r="C7759" s="27" t="s">
        <v>13989</v>
      </c>
      <c r="D7759" s="27" t="s">
        <v>230</v>
      </c>
      <c r="E7759" s="29">
        <v>40512</v>
      </c>
      <c r="F7759" s="27">
        <v>15</v>
      </c>
      <c r="G7759" s="18">
        <v>42549.46</v>
      </c>
      <c r="H7759" s="27">
        <f t="shared" si="242"/>
        <v>0</v>
      </c>
      <c r="I7759" s="18">
        <v>26418.880000000001</v>
      </c>
      <c r="J7759" s="27">
        <v>42549.46</v>
      </c>
      <c r="K7759" s="18">
        <f t="shared" si="243"/>
        <v>0</v>
      </c>
      <c r="L7759" s="27">
        <v>28443.43</v>
      </c>
      <c r="M7759" s="36">
        <v>2024.55</v>
      </c>
      <c r="T7759" s="41">
        <v>0</v>
      </c>
      <c r="U7759" s="41">
        <v>0</v>
      </c>
      <c r="V7759" s="42" t="s">
        <v>113</v>
      </c>
      <c r="W7759" s="42">
        <v>0</v>
      </c>
      <c r="X7759" s="42">
        <v>0</v>
      </c>
    </row>
    <row r="7760" spans="1:24">
      <c r="A7760" s="27" t="s">
        <v>13990</v>
      </c>
      <c r="B7760" s="28" t="s">
        <v>12240</v>
      </c>
      <c r="C7760" s="27" t="s">
        <v>13991</v>
      </c>
      <c r="D7760" s="27" t="s">
        <v>230</v>
      </c>
      <c r="E7760" s="29">
        <v>40179</v>
      </c>
      <c r="F7760" s="27">
        <v>15</v>
      </c>
      <c r="G7760" s="18">
        <v>56719.92</v>
      </c>
      <c r="H7760" s="27">
        <f t="shared" si="242"/>
        <v>0</v>
      </c>
      <c r="I7760" s="18">
        <v>39595.089999999997</v>
      </c>
      <c r="J7760" s="27">
        <v>56719.92</v>
      </c>
      <c r="K7760" s="18">
        <f t="shared" si="243"/>
        <v>0</v>
      </c>
      <c r="L7760" s="27">
        <v>41976.56</v>
      </c>
      <c r="M7760" s="36">
        <v>2381.4699999999998</v>
      </c>
      <c r="T7760" s="41">
        <v>0</v>
      </c>
      <c r="U7760" s="41">
        <v>0</v>
      </c>
      <c r="V7760" s="42" t="s">
        <v>113</v>
      </c>
      <c r="W7760" s="42">
        <v>0</v>
      </c>
      <c r="X7760" s="42">
        <v>0</v>
      </c>
    </row>
    <row r="7761" spans="1:24">
      <c r="A7761" s="27" t="s">
        <v>13992</v>
      </c>
      <c r="B7761" s="28" t="s">
        <v>12240</v>
      </c>
      <c r="C7761" s="27" t="s">
        <v>13993</v>
      </c>
      <c r="D7761" s="27" t="s">
        <v>230</v>
      </c>
      <c r="E7761" s="29">
        <v>40908</v>
      </c>
      <c r="F7761" s="27">
        <v>15</v>
      </c>
      <c r="G7761" s="18">
        <v>42808.97</v>
      </c>
      <c r="H7761" s="27">
        <f t="shared" si="242"/>
        <v>0</v>
      </c>
      <c r="I7761" s="18">
        <v>22506.05</v>
      </c>
      <c r="J7761" s="27">
        <v>42808.97</v>
      </c>
      <c r="K7761" s="18">
        <f t="shared" si="243"/>
        <v>0</v>
      </c>
      <c r="L7761" s="27">
        <v>24776.36</v>
      </c>
      <c r="M7761" s="36">
        <v>2270.31</v>
      </c>
      <c r="T7761" s="41">
        <v>0</v>
      </c>
      <c r="U7761" s="41">
        <v>0</v>
      </c>
      <c r="V7761" s="42" t="s">
        <v>113</v>
      </c>
      <c r="W7761" s="42">
        <v>0</v>
      </c>
      <c r="X7761" s="42">
        <v>0</v>
      </c>
    </row>
    <row r="7762" spans="1:24">
      <c r="A7762" s="27" t="s">
        <v>13994</v>
      </c>
      <c r="B7762" s="28" t="s">
        <v>12240</v>
      </c>
      <c r="C7762" s="27" t="s">
        <v>13995</v>
      </c>
      <c r="D7762" s="27" t="s">
        <v>5104</v>
      </c>
      <c r="E7762" s="29">
        <v>40908</v>
      </c>
      <c r="F7762" s="27">
        <v>15</v>
      </c>
      <c r="G7762" s="18">
        <v>42808.959999999999</v>
      </c>
      <c r="H7762" s="27">
        <f t="shared" si="242"/>
        <v>0</v>
      </c>
      <c r="I7762" s="18">
        <v>22506.05</v>
      </c>
      <c r="J7762" s="27">
        <v>42808.959999999999</v>
      </c>
      <c r="K7762" s="18">
        <f t="shared" si="243"/>
        <v>0</v>
      </c>
      <c r="L7762" s="27">
        <v>24776.36</v>
      </c>
      <c r="M7762" s="36">
        <v>2270.31</v>
      </c>
      <c r="T7762" s="41">
        <v>0</v>
      </c>
      <c r="U7762" s="41">
        <v>0</v>
      </c>
      <c r="V7762" s="42" t="s">
        <v>113</v>
      </c>
      <c r="W7762" s="42">
        <v>0</v>
      </c>
      <c r="X7762" s="42">
        <v>0</v>
      </c>
    </row>
    <row r="7763" spans="1:24">
      <c r="A7763" s="27" t="s">
        <v>13996</v>
      </c>
      <c r="B7763" s="28" t="s">
        <v>12240</v>
      </c>
      <c r="C7763" s="27" t="s">
        <v>13997</v>
      </c>
      <c r="D7763" s="27" t="s">
        <v>230</v>
      </c>
      <c r="E7763" s="29">
        <v>40908</v>
      </c>
      <c r="F7763" s="27">
        <v>15</v>
      </c>
      <c r="G7763" s="18">
        <v>44309.599999999999</v>
      </c>
      <c r="H7763" s="27">
        <f t="shared" si="242"/>
        <v>0</v>
      </c>
      <c r="I7763" s="18">
        <v>23387.03</v>
      </c>
      <c r="J7763" s="27">
        <v>44309.599999999999</v>
      </c>
      <c r="K7763" s="18">
        <f t="shared" si="243"/>
        <v>0</v>
      </c>
      <c r="L7763" s="27">
        <v>25725.42</v>
      </c>
      <c r="M7763" s="36">
        <v>2338.39</v>
      </c>
      <c r="T7763" s="41">
        <v>0</v>
      </c>
      <c r="U7763" s="41">
        <v>0</v>
      </c>
      <c r="V7763" s="42" t="s">
        <v>113</v>
      </c>
      <c r="W7763" s="42">
        <v>0</v>
      </c>
      <c r="X7763" s="42">
        <v>0</v>
      </c>
    </row>
    <row r="7764" spans="1:24">
      <c r="A7764" s="27" t="s">
        <v>13998</v>
      </c>
      <c r="B7764" s="28" t="s">
        <v>12240</v>
      </c>
      <c r="C7764" s="27" t="s">
        <v>13999</v>
      </c>
      <c r="D7764" s="27" t="s">
        <v>230</v>
      </c>
      <c r="E7764" s="29">
        <v>40908</v>
      </c>
      <c r="F7764" s="27">
        <v>15</v>
      </c>
      <c r="G7764" s="18">
        <v>42910.26</v>
      </c>
      <c r="H7764" s="27">
        <f t="shared" si="242"/>
        <v>0</v>
      </c>
      <c r="I7764" s="18">
        <v>22559.31</v>
      </c>
      <c r="J7764" s="27">
        <v>42910.26</v>
      </c>
      <c r="K7764" s="18">
        <f t="shared" si="243"/>
        <v>0</v>
      </c>
      <c r="L7764" s="27">
        <v>24834.99</v>
      </c>
      <c r="M7764" s="36">
        <v>2275.6799999999998</v>
      </c>
      <c r="T7764" s="41">
        <v>0</v>
      </c>
      <c r="U7764" s="41">
        <v>0</v>
      </c>
      <c r="V7764" s="42" t="s">
        <v>113</v>
      </c>
      <c r="W7764" s="42">
        <v>0</v>
      </c>
      <c r="X7764" s="42">
        <v>0</v>
      </c>
    </row>
    <row r="7765" spans="1:24">
      <c r="A7765" s="27" t="s">
        <v>14000</v>
      </c>
      <c r="B7765" s="28" t="s">
        <v>12240</v>
      </c>
      <c r="C7765" s="27" t="s">
        <v>14001</v>
      </c>
      <c r="D7765" s="27" t="s">
        <v>230</v>
      </c>
      <c r="E7765" s="29">
        <v>40908</v>
      </c>
      <c r="F7765" s="27">
        <v>15</v>
      </c>
      <c r="G7765" s="18">
        <v>42910.25</v>
      </c>
      <c r="H7765" s="27">
        <f t="shared" si="242"/>
        <v>0</v>
      </c>
      <c r="I7765" s="18">
        <v>22559.31</v>
      </c>
      <c r="J7765" s="27">
        <v>42910.25</v>
      </c>
      <c r="K7765" s="18">
        <f t="shared" si="243"/>
        <v>0</v>
      </c>
      <c r="L7765" s="27">
        <v>24834.99</v>
      </c>
      <c r="M7765" s="36">
        <v>2275.6799999999998</v>
      </c>
      <c r="T7765" s="41">
        <v>0</v>
      </c>
      <c r="U7765" s="41">
        <v>0</v>
      </c>
      <c r="V7765" s="42" t="s">
        <v>113</v>
      </c>
      <c r="W7765" s="42">
        <v>0</v>
      </c>
      <c r="X7765" s="42">
        <v>0</v>
      </c>
    </row>
    <row r="7766" spans="1:24">
      <c r="A7766" s="27" t="s">
        <v>14002</v>
      </c>
      <c r="B7766" s="28" t="s">
        <v>12240</v>
      </c>
      <c r="C7766" s="27" t="s">
        <v>14003</v>
      </c>
      <c r="D7766" s="27" t="s">
        <v>230</v>
      </c>
      <c r="E7766" s="29">
        <v>40908</v>
      </c>
      <c r="F7766" s="27">
        <v>15</v>
      </c>
      <c r="G7766" s="18">
        <v>42333.07</v>
      </c>
      <c r="H7766" s="27">
        <f t="shared" si="242"/>
        <v>0</v>
      </c>
      <c r="I7766" s="18">
        <v>22255.86</v>
      </c>
      <c r="J7766" s="27">
        <v>42333.07</v>
      </c>
      <c r="K7766" s="18">
        <f t="shared" si="243"/>
        <v>0</v>
      </c>
      <c r="L7766" s="27">
        <v>24500.93</v>
      </c>
      <c r="M7766" s="36">
        <v>2245.0700000000002</v>
      </c>
      <c r="T7766" s="41">
        <v>0</v>
      </c>
      <c r="U7766" s="41">
        <v>0</v>
      </c>
      <c r="V7766" s="42" t="s">
        <v>113</v>
      </c>
      <c r="W7766" s="42">
        <v>0</v>
      </c>
      <c r="X7766" s="42">
        <v>0</v>
      </c>
    </row>
    <row r="7767" spans="1:24">
      <c r="A7767" s="27" t="s">
        <v>14004</v>
      </c>
      <c r="B7767" s="28" t="s">
        <v>12240</v>
      </c>
      <c r="C7767" s="27" t="s">
        <v>14005</v>
      </c>
      <c r="D7767" s="27" t="s">
        <v>5104</v>
      </c>
      <c r="E7767" s="29">
        <v>40908</v>
      </c>
      <c r="F7767" s="27">
        <v>15</v>
      </c>
      <c r="G7767" s="18">
        <v>58433.24</v>
      </c>
      <c r="H7767" s="27">
        <f t="shared" si="242"/>
        <v>0</v>
      </c>
      <c r="I7767" s="18">
        <v>30720.25</v>
      </c>
      <c r="J7767" s="27">
        <v>58433.24</v>
      </c>
      <c r="K7767" s="18">
        <f t="shared" si="243"/>
        <v>0</v>
      </c>
      <c r="L7767" s="27">
        <v>33819.17</v>
      </c>
      <c r="M7767" s="36">
        <v>3098.92</v>
      </c>
      <c r="T7767" s="41">
        <v>0</v>
      </c>
      <c r="U7767" s="41">
        <v>0</v>
      </c>
      <c r="V7767" s="42" t="s">
        <v>113</v>
      </c>
      <c r="W7767" s="42">
        <v>0</v>
      </c>
      <c r="X7767" s="42">
        <v>0</v>
      </c>
    </row>
    <row r="7768" spans="1:24">
      <c r="A7768" s="27" t="s">
        <v>14006</v>
      </c>
      <c r="B7768" s="28" t="s">
        <v>12240</v>
      </c>
      <c r="C7768" s="27" t="s">
        <v>14007</v>
      </c>
      <c r="D7768" s="27" t="s">
        <v>230</v>
      </c>
      <c r="E7768" s="29">
        <v>40908</v>
      </c>
      <c r="F7768" s="27">
        <v>15</v>
      </c>
      <c r="G7768" s="18">
        <v>29178.47</v>
      </c>
      <c r="H7768" s="27">
        <f t="shared" si="242"/>
        <v>0</v>
      </c>
      <c r="I7768" s="18">
        <v>15340.06</v>
      </c>
      <c r="J7768" s="27">
        <v>29178.47</v>
      </c>
      <c r="K7768" s="18">
        <f t="shared" si="243"/>
        <v>0</v>
      </c>
      <c r="L7768" s="27">
        <v>16887.5</v>
      </c>
      <c r="M7768" s="36">
        <v>1547.44</v>
      </c>
      <c r="T7768" s="41">
        <v>0</v>
      </c>
      <c r="U7768" s="41">
        <v>0</v>
      </c>
      <c r="V7768" s="42" t="s">
        <v>113</v>
      </c>
      <c r="W7768" s="42">
        <v>0</v>
      </c>
      <c r="X7768" s="42">
        <v>0</v>
      </c>
    </row>
    <row r="7769" spans="1:24">
      <c r="A7769" s="27" t="s">
        <v>14008</v>
      </c>
      <c r="B7769" s="28" t="s">
        <v>12240</v>
      </c>
      <c r="C7769" s="27" t="s">
        <v>14009</v>
      </c>
      <c r="D7769" s="27" t="s">
        <v>230</v>
      </c>
      <c r="E7769" s="29">
        <v>40908</v>
      </c>
      <c r="F7769" s="27">
        <v>15</v>
      </c>
      <c r="G7769" s="18">
        <v>48955.95</v>
      </c>
      <c r="H7769" s="27">
        <f t="shared" si="242"/>
        <v>0</v>
      </c>
      <c r="I7769" s="18">
        <v>25737.72</v>
      </c>
      <c r="J7769" s="27">
        <v>48955.95</v>
      </c>
      <c r="K7769" s="18">
        <f t="shared" si="243"/>
        <v>0</v>
      </c>
      <c r="L7769" s="27">
        <v>28334.02</v>
      </c>
      <c r="M7769" s="36">
        <v>2596.3000000000002</v>
      </c>
      <c r="T7769" s="41">
        <v>0</v>
      </c>
      <c r="U7769" s="41">
        <v>0</v>
      </c>
      <c r="V7769" s="42" t="s">
        <v>113</v>
      </c>
      <c r="W7769" s="42">
        <v>0</v>
      </c>
      <c r="X7769" s="42">
        <v>0</v>
      </c>
    </row>
    <row r="7770" spans="1:24">
      <c r="A7770" s="27" t="s">
        <v>14010</v>
      </c>
      <c r="B7770" s="28" t="s">
        <v>12240</v>
      </c>
      <c r="C7770" s="27" t="s">
        <v>14011</v>
      </c>
      <c r="D7770" s="27" t="s">
        <v>230</v>
      </c>
      <c r="E7770" s="29">
        <v>40908</v>
      </c>
      <c r="F7770" s="27">
        <v>15</v>
      </c>
      <c r="G7770" s="18">
        <v>49763.53</v>
      </c>
      <c r="H7770" s="27">
        <f t="shared" si="242"/>
        <v>0</v>
      </c>
      <c r="I7770" s="18">
        <v>26360.49</v>
      </c>
      <c r="J7770" s="27">
        <v>49763.53</v>
      </c>
      <c r="K7770" s="18">
        <f t="shared" si="243"/>
        <v>0</v>
      </c>
      <c r="L7770" s="27">
        <v>28974.85</v>
      </c>
      <c r="M7770" s="36">
        <v>2614.36</v>
      </c>
      <c r="T7770" s="41">
        <v>0</v>
      </c>
      <c r="U7770" s="41">
        <v>0</v>
      </c>
      <c r="V7770" s="42" t="s">
        <v>113</v>
      </c>
      <c r="W7770" s="42">
        <v>0</v>
      </c>
      <c r="X7770" s="42">
        <v>0</v>
      </c>
    </row>
    <row r="7771" spans="1:24">
      <c r="A7771" s="27" t="s">
        <v>14012</v>
      </c>
      <c r="B7771" s="28" t="s">
        <v>12240</v>
      </c>
      <c r="C7771" s="27" t="s">
        <v>14013</v>
      </c>
      <c r="D7771" s="27" t="s">
        <v>230</v>
      </c>
      <c r="E7771" s="29">
        <v>41182</v>
      </c>
      <c r="F7771" s="27">
        <v>15</v>
      </c>
      <c r="G7771" s="18">
        <v>132228.87</v>
      </c>
      <c r="H7771" s="27">
        <f t="shared" si="242"/>
        <v>0</v>
      </c>
      <c r="I7771" s="18">
        <v>63292.54</v>
      </c>
      <c r="J7771" s="27">
        <v>132228.87</v>
      </c>
      <c r="K7771" s="18">
        <f t="shared" si="243"/>
        <v>0</v>
      </c>
      <c r="L7771" s="27">
        <v>70415.38</v>
      </c>
      <c r="M7771" s="36">
        <v>7122.84</v>
      </c>
      <c r="T7771" s="41">
        <v>0</v>
      </c>
      <c r="U7771" s="41">
        <v>0</v>
      </c>
      <c r="V7771" s="42" t="s">
        <v>113</v>
      </c>
      <c r="W7771" s="42">
        <v>0</v>
      </c>
      <c r="X7771" s="42">
        <v>0</v>
      </c>
    </row>
    <row r="7772" spans="1:24">
      <c r="A7772" s="27" t="s">
        <v>14014</v>
      </c>
      <c r="B7772" s="28" t="s">
        <v>12240</v>
      </c>
      <c r="C7772" s="27" t="s">
        <v>14015</v>
      </c>
      <c r="D7772" s="27" t="s">
        <v>230</v>
      </c>
      <c r="E7772" s="29">
        <v>41182</v>
      </c>
      <c r="F7772" s="27">
        <v>15</v>
      </c>
      <c r="G7772" s="18">
        <v>132228.85999999999</v>
      </c>
      <c r="H7772" s="27">
        <f t="shared" si="242"/>
        <v>0</v>
      </c>
      <c r="I7772" s="18">
        <v>63292.54</v>
      </c>
      <c r="J7772" s="27">
        <v>132228.85999999999</v>
      </c>
      <c r="K7772" s="18">
        <f t="shared" si="243"/>
        <v>0</v>
      </c>
      <c r="L7772" s="27">
        <v>70415.38</v>
      </c>
      <c r="M7772" s="36">
        <v>7122.84</v>
      </c>
      <c r="T7772" s="41">
        <v>0</v>
      </c>
      <c r="U7772" s="41">
        <v>0</v>
      </c>
      <c r="V7772" s="42" t="s">
        <v>113</v>
      </c>
      <c r="W7772" s="42">
        <v>0</v>
      </c>
      <c r="X7772" s="42">
        <v>0</v>
      </c>
    </row>
    <row r="7773" spans="1:24">
      <c r="A7773" s="27" t="s">
        <v>14016</v>
      </c>
      <c r="B7773" s="28" t="s">
        <v>12240</v>
      </c>
      <c r="C7773" s="27" t="s">
        <v>14017</v>
      </c>
      <c r="D7773" s="27" t="s">
        <v>230</v>
      </c>
      <c r="E7773" s="29">
        <v>41182</v>
      </c>
      <c r="F7773" s="27">
        <v>15</v>
      </c>
      <c r="G7773" s="18">
        <v>124227.61</v>
      </c>
      <c r="H7773" s="27">
        <f t="shared" si="242"/>
        <v>0</v>
      </c>
      <c r="I7773" s="18">
        <v>59462.67</v>
      </c>
      <c r="J7773" s="27">
        <v>124227.61</v>
      </c>
      <c r="K7773" s="18">
        <f t="shared" si="243"/>
        <v>0</v>
      </c>
      <c r="L7773" s="27">
        <v>66154.509999999995</v>
      </c>
      <c r="M7773" s="36">
        <v>6691.84</v>
      </c>
      <c r="T7773" s="41">
        <v>0</v>
      </c>
      <c r="U7773" s="41">
        <v>0</v>
      </c>
      <c r="V7773" s="42" t="s">
        <v>113</v>
      </c>
      <c r="W7773" s="42">
        <v>0</v>
      </c>
      <c r="X7773" s="42">
        <v>0</v>
      </c>
    </row>
    <row r="7774" spans="1:24">
      <c r="A7774" s="27" t="s">
        <v>14018</v>
      </c>
      <c r="B7774" s="28" t="s">
        <v>12240</v>
      </c>
      <c r="C7774" s="27" t="s">
        <v>14019</v>
      </c>
      <c r="D7774" s="27" t="s">
        <v>230</v>
      </c>
      <c r="E7774" s="29">
        <v>41182</v>
      </c>
      <c r="F7774" s="27">
        <v>15</v>
      </c>
      <c r="G7774" s="18">
        <v>91531.12</v>
      </c>
      <c r="H7774" s="27">
        <f t="shared" si="242"/>
        <v>0</v>
      </c>
      <c r="I7774" s="18">
        <v>45669.84</v>
      </c>
      <c r="J7774" s="27">
        <v>91531.12</v>
      </c>
      <c r="K7774" s="18">
        <f t="shared" si="243"/>
        <v>0</v>
      </c>
      <c r="L7774" s="27">
        <v>50388.09</v>
      </c>
      <c r="M7774" s="36">
        <v>4718.25</v>
      </c>
      <c r="T7774" s="41">
        <v>0</v>
      </c>
      <c r="U7774" s="41">
        <v>0</v>
      </c>
      <c r="V7774" s="42" t="s">
        <v>113</v>
      </c>
      <c r="W7774" s="42">
        <v>0</v>
      </c>
      <c r="X7774" s="42">
        <v>0</v>
      </c>
    </row>
    <row r="7775" spans="1:24">
      <c r="A7775" s="27" t="s">
        <v>14020</v>
      </c>
      <c r="B7775" s="28" t="s">
        <v>12240</v>
      </c>
      <c r="C7775" s="27" t="s">
        <v>14021</v>
      </c>
      <c r="D7775" s="27" t="s">
        <v>230</v>
      </c>
      <c r="E7775" s="29">
        <v>41182</v>
      </c>
      <c r="F7775" s="27">
        <v>15</v>
      </c>
      <c r="G7775" s="18">
        <v>91531.12</v>
      </c>
      <c r="H7775" s="27">
        <f t="shared" si="242"/>
        <v>0</v>
      </c>
      <c r="I7775" s="18">
        <v>45669.85</v>
      </c>
      <c r="J7775" s="27">
        <v>91531.12</v>
      </c>
      <c r="K7775" s="18">
        <f t="shared" si="243"/>
        <v>0</v>
      </c>
      <c r="L7775" s="27">
        <v>50388.1</v>
      </c>
      <c r="M7775" s="36">
        <v>4718.25</v>
      </c>
      <c r="T7775" s="41">
        <v>0</v>
      </c>
      <c r="U7775" s="41">
        <v>0</v>
      </c>
      <c r="V7775" s="42" t="s">
        <v>113</v>
      </c>
      <c r="W7775" s="42">
        <v>0</v>
      </c>
      <c r="X7775" s="42">
        <v>0</v>
      </c>
    </row>
    <row r="7776" spans="1:24">
      <c r="A7776" s="27" t="s">
        <v>14022</v>
      </c>
      <c r="B7776" s="28" t="s">
        <v>12240</v>
      </c>
      <c r="C7776" s="27" t="s">
        <v>14023</v>
      </c>
      <c r="D7776" s="27" t="s">
        <v>230</v>
      </c>
      <c r="E7776" s="29">
        <v>41182</v>
      </c>
      <c r="F7776" s="27">
        <v>15</v>
      </c>
      <c r="G7776" s="18">
        <v>95204.12</v>
      </c>
      <c r="H7776" s="27">
        <f t="shared" si="242"/>
        <v>0</v>
      </c>
      <c r="I7776" s="18">
        <v>45570.31</v>
      </c>
      <c r="J7776" s="27">
        <v>95204.12</v>
      </c>
      <c r="K7776" s="18">
        <f t="shared" si="243"/>
        <v>0</v>
      </c>
      <c r="L7776" s="27">
        <v>50698.720000000001</v>
      </c>
      <c r="M7776" s="36">
        <v>5128.41</v>
      </c>
      <c r="T7776" s="41">
        <v>0</v>
      </c>
      <c r="U7776" s="41">
        <v>0</v>
      </c>
      <c r="V7776" s="42" t="s">
        <v>113</v>
      </c>
      <c r="W7776" s="42">
        <v>0</v>
      </c>
      <c r="X7776" s="42">
        <v>0</v>
      </c>
    </row>
    <row r="7777" spans="1:24">
      <c r="A7777" s="27" t="s">
        <v>14024</v>
      </c>
      <c r="B7777" s="28" t="s">
        <v>12240</v>
      </c>
      <c r="C7777" s="27" t="s">
        <v>14025</v>
      </c>
      <c r="D7777" s="27" t="s">
        <v>230</v>
      </c>
      <c r="E7777" s="29">
        <v>41182</v>
      </c>
      <c r="F7777" s="27">
        <v>15</v>
      </c>
      <c r="G7777" s="18">
        <v>82231.12</v>
      </c>
      <c r="H7777" s="27">
        <f t="shared" si="242"/>
        <v>0</v>
      </c>
      <c r="I7777" s="18">
        <v>39360.660000000003</v>
      </c>
      <c r="J7777" s="27">
        <v>82231.12</v>
      </c>
      <c r="K7777" s="18">
        <f t="shared" si="243"/>
        <v>0</v>
      </c>
      <c r="L7777" s="27">
        <v>43790.25</v>
      </c>
      <c r="M7777" s="36">
        <v>4429.59</v>
      </c>
      <c r="T7777" s="41">
        <v>0</v>
      </c>
      <c r="U7777" s="41">
        <v>0</v>
      </c>
      <c r="V7777" s="42" t="s">
        <v>113</v>
      </c>
      <c r="W7777" s="42">
        <v>0</v>
      </c>
      <c r="X7777" s="42">
        <v>0</v>
      </c>
    </row>
    <row r="7778" spans="1:24">
      <c r="A7778" s="27" t="s">
        <v>14026</v>
      </c>
      <c r="B7778" s="28" t="s">
        <v>12240</v>
      </c>
      <c r="C7778" s="27" t="s">
        <v>14027</v>
      </c>
      <c r="D7778" s="27" t="s">
        <v>230</v>
      </c>
      <c r="E7778" s="29">
        <v>41182</v>
      </c>
      <c r="F7778" s="27">
        <v>15</v>
      </c>
      <c r="G7778" s="18">
        <v>112293.92</v>
      </c>
      <c r="H7778" s="27">
        <f t="shared" si="242"/>
        <v>0</v>
      </c>
      <c r="I7778" s="18">
        <v>53750.51</v>
      </c>
      <c r="J7778" s="27">
        <v>112293.92</v>
      </c>
      <c r="K7778" s="18">
        <f t="shared" si="243"/>
        <v>0</v>
      </c>
      <c r="L7778" s="27">
        <v>59799.51</v>
      </c>
      <c r="M7778" s="36">
        <v>6049</v>
      </c>
      <c r="T7778" s="41">
        <v>0</v>
      </c>
      <c r="U7778" s="41">
        <v>0</v>
      </c>
      <c r="V7778" s="42" t="s">
        <v>113</v>
      </c>
      <c r="W7778" s="42">
        <v>0</v>
      </c>
      <c r="X7778" s="42">
        <v>0</v>
      </c>
    </row>
    <row r="7779" spans="1:24">
      <c r="A7779" s="27" t="s">
        <v>14028</v>
      </c>
      <c r="B7779" s="28" t="s">
        <v>12240</v>
      </c>
      <c r="C7779" s="27" t="s">
        <v>14029</v>
      </c>
      <c r="D7779" s="27" t="s">
        <v>230</v>
      </c>
      <c r="E7779" s="29">
        <v>41182</v>
      </c>
      <c r="F7779" s="27">
        <v>15</v>
      </c>
      <c r="G7779" s="18">
        <v>129432.51</v>
      </c>
      <c r="H7779" s="27">
        <f t="shared" si="242"/>
        <v>0</v>
      </c>
      <c r="I7779" s="18">
        <v>61954.04</v>
      </c>
      <c r="J7779" s="27">
        <v>129432.51</v>
      </c>
      <c r="K7779" s="18">
        <f t="shared" si="243"/>
        <v>0</v>
      </c>
      <c r="L7779" s="27">
        <v>68926.25</v>
      </c>
      <c r="M7779" s="36">
        <v>6972.21</v>
      </c>
      <c r="T7779" s="41">
        <v>0</v>
      </c>
      <c r="U7779" s="41">
        <v>0</v>
      </c>
      <c r="V7779" s="42" t="s">
        <v>113</v>
      </c>
      <c r="W7779" s="42">
        <v>0</v>
      </c>
      <c r="X7779" s="42">
        <v>0</v>
      </c>
    </row>
    <row r="7780" spans="1:24">
      <c r="A7780" s="27" t="s">
        <v>14030</v>
      </c>
      <c r="B7780" s="28" t="s">
        <v>12240</v>
      </c>
      <c r="C7780" s="27" t="s">
        <v>14031</v>
      </c>
      <c r="D7780" s="27" t="s">
        <v>230</v>
      </c>
      <c r="E7780" s="29">
        <v>41182</v>
      </c>
      <c r="F7780" s="27">
        <v>15</v>
      </c>
      <c r="G7780" s="18">
        <v>45849.96</v>
      </c>
      <c r="H7780" s="27">
        <f t="shared" si="242"/>
        <v>0</v>
      </c>
      <c r="I7780" s="18">
        <v>21946.49</v>
      </c>
      <c r="J7780" s="27">
        <v>45849.96</v>
      </c>
      <c r="K7780" s="18">
        <f t="shared" si="243"/>
        <v>0</v>
      </c>
      <c r="L7780" s="27">
        <v>24416.32</v>
      </c>
      <c r="M7780" s="36">
        <v>2469.83</v>
      </c>
      <c r="T7780" s="41">
        <v>0</v>
      </c>
      <c r="U7780" s="41">
        <v>0</v>
      </c>
      <c r="V7780" s="42" t="s">
        <v>113</v>
      </c>
      <c r="W7780" s="42">
        <v>0</v>
      </c>
      <c r="X7780" s="42">
        <v>0</v>
      </c>
    </row>
    <row r="7781" spans="1:24">
      <c r="A7781" s="27" t="s">
        <v>14032</v>
      </c>
      <c r="B7781" s="28" t="s">
        <v>12240</v>
      </c>
      <c r="C7781" s="27" t="s">
        <v>14033</v>
      </c>
      <c r="D7781" s="27" t="s">
        <v>230</v>
      </c>
      <c r="E7781" s="29">
        <v>41182</v>
      </c>
      <c r="F7781" s="27">
        <v>15</v>
      </c>
      <c r="G7781" s="18">
        <v>30641.8</v>
      </c>
      <c r="H7781" s="27">
        <f t="shared" si="242"/>
        <v>0</v>
      </c>
      <c r="I7781" s="18">
        <v>14666.99</v>
      </c>
      <c r="J7781" s="27">
        <v>30641.8</v>
      </c>
      <c r="K7781" s="18">
        <f t="shared" si="243"/>
        <v>0</v>
      </c>
      <c r="L7781" s="27">
        <v>16317.59</v>
      </c>
      <c r="M7781" s="36">
        <v>1650.6</v>
      </c>
      <c r="T7781" s="41">
        <v>0</v>
      </c>
      <c r="U7781" s="41">
        <v>0</v>
      </c>
      <c r="V7781" s="42" t="s">
        <v>113</v>
      </c>
      <c r="W7781" s="42">
        <v>0</v>
      </c>
      <c r="X7781" s="42">
        <v>0</v>
      </c>
    </row>
    <row r="7782" spans="1:24">
      <c r="A7782" s="27" t="s">
        <v>14034</v>
      </c>
      <c r="B7782" s="28" t="s">
        <v>12240</v>
      </c>
      <c r="C7782" s="27" t="s">
        <v>14035</v>
      </c>
      <c r="D7782" s="27" t="s">
        <v>230</v>
      </c>
      <c r="E7782" s="29">
        <v>41182</v>
      </c>
      <c r="F7782" s="27">
        <v>15</v>
      </c>
      <c r="G7782" s="18">
        <v>101763.09</v>
      </c>
      <c r="H7782" s="27">
        <f t="shared" si="242"/>
        <v>0</v>
      </c>
      <c r="I7782" s="18">
        <v>48709.83</v>
      </c>
      <c r="J7782" s="27">
        <v>101763.09</v>
      </c>
      <c r="K7782" s="18">
        <f t="shared" si="243"/>
        <v>0</v>
      </c>
      <c r="L7782" s="27">
        <v>54191.56</v>
      </c>
      <c r="M7782" s="36">
        <v>5481.73</v>
      </c>
      <c r="T7782" s="41">
        <v>0</v>
      </c>
      <c r="U7782" s="41">
        <v>0</v>
      </c>
      <c r="V7782" s="42" t="s">
        <v>113</v>
      </c>
      <c r="W7782" s="42">
        <v>0</v>
      </c>
      <c r="X7782" s="42">
        <v>0</v>
      </c>
    </row>
    <row r="7783" spans="1:24">
      <c r="A7783" s="27" t="s">
        <v>14036</v>
      </c>
      <c r="B7783" s="28" t="s">
        <v>12240</v>
      </c>
      <c r="C7783" s="27" t="s">
        <v>14037</v>
      </c>
      <c r="D7783" s="27" t="s">
        <v>230</v>
      </c>
      <c r="E7783" s="29">
        <v>41182</v>
      </c>
      <c r="F7783" s="27">
        <v>15</v>
      </c>
      <c r="G7783" s="18">
        <v>133022.67000000001</v>
      </c>
      <c r="H7783" s="27">
        <f t="shared" si="242"/>
        <v>0</v>
      </c>
      <c r="I7783" s="18">
        <v>63672.51</v>
      </c>
      <c r="J7783" s="27">
        <v>133022.67000000001</v>
      </c>
      <c r="K7783" s="18">
        <f t="shared" si="243"/>
        <v>0</v>
      </c>
      <c r="L7783" s="27">
        <v>70838.11</v>
      </c>
      <c r="M7783" s="36">
        <v>7165.6</v>
      </c>
      <c r="T7783" s="41">
        <v>0</v>
      </c>
      <c r="U7783" s="41">
        <v>0</v>
      </c>
      <c r="V7783" s="42" t="s">
        <v>113</v>
      </c>
      <c r="W7783" s="42">
        <v>0</v>
      </c>
      <c r="X7783" s="42">
        <v>0</v>
      </c>
    </row>
    <row r="7784" spans="1:24">
      <c r="A7784" s="27" t="s">
        <v>14038</v>
      </c>
      <c r="B7784" s="28" t="s">
        <v>12240</v>
      </c>
      <c r="C7784" s="27" t="s">
        <v>14039</v>
      </c>
      <c r="D7784" s="27" t="s">
        <v>230</v>
      </c>
      <c r="E7784" s="29">
        <v>41182</v>
      </c>
      <c r="F7784" s="27">
        <v>15</v>
      </c>
      <c r="G7784" s="18">
        <v>133022.67000000001</v>
      </c>
      <c r="H7784" s="27">
        <f t="shared" si="242"/>
        <v>0</v>
      </c>
      <c r="I7784" s="18">
        <v>63672.51</v>
      </c>
      <c r="J7784" s="27">
        <v>133022.67000000001</v>
      </c>
      <c r="K7784" s="18">
        <f t="shared" si="243"/>
        <v>0</v>
      </c>
      <c r="L7784" s="27">
        <v>70838.11</v>
      </c>
      <c r="M7784" s="36">
        <v>7165.6</v>
      </c>
      <c r="T7784" s="41">
        <v>0</v>
      </c>
      <c r="U7784" s="41">
        <v>0</v>
      </c>
      <c r="V7784" s="42" t="s">
        <v>113</v>
      </c>
      <c r="W7784" s="42">
        <v>0</v>
      </c>
      <c r="X7784" s="42">
        <v>0</v>
      </c>
    </row>
    <row r="7785" spans="1:24">
      <c r="A7785" s="27" t="s">
        <v>14040</v>
      </c>
      <c r="B7785" s="28" t="s">
        <v>12240</v>
      </c>
      <c r="C7785" s="27" t="s">
        <v>14041</v>
      </c>
      <c r="D7785" s="27" t="s">
        <v>230</v>
      </c>
      <c r="E7785" s="29">
        <v>41182</v>
      </c>
      <c r="F7785" s="27">
        <v>15</v>
      </c>
      <c r="G7785" s="18">
        <v>290710.24</v>
      </c>
      <c r="H7785" s="27">
        <f t="shared" si="242"/>
        <v>0</v>
      </c>
      <c r="I7785" s="18">
        <v>139151.09</v>
      </c>
      <c r="J7785" s="27">
        <v>290710.24</v>
      </c>
      <c r="K7785" s="18">
        <f t="shared" si="243"/>
        <v>0</v>
      </c>
      <c r="L7785" s="27">
        <v>154810.93</v>
      </c>
      <c r="M7785" s="36">
        <v>15659.84</v>
      </c>
      <c r="T7785" s="41">
        <v>0</v>
      </c>
      <c r="U7785" s="41">
        <v>0</v>
      </c>
      <c r="V7785" s="42" t="s">
        <v>113</v>
      </c>
      <c r="W7785" s="42">
        <v>0</v>
      </c>
      <c r="X7785" s="42">
        <v>0</v>
      </c>
    </row>
    <row r="7786" spans="1:24">
      <c r="A7786" s="27" t="s">
        <v>14042</v>
      </c>
      <c r="B7786" s="28" t="s">
        <v>12240</v>
      </c>
      <c r="C7786" s="27" t="s">
        <v>14043</v>
      </c>
      <c r="D7786" s="27" t="s">
        <v>230</v>
      </c>
      <c r="E7786" s="29">
        <v>41182</v>
      </c>
      <c r="F7786" s="27">
        <v>15</v>
      </c>
      <c r="G7786" s="18">
        <v>107885.49</v>
      </c>
      <c r="H7786" s="27">
        <f t="shared" si="242"/>
        <v>0</v>
      </c>
      <c r="I7786" s="18">
        <v>51640.38</v>
      </c>
      <c r="J7786" s="27">
        <v>107885.49</v>
      </c>
      <c r="K7786" s="18">
        <f t="shared" si="243"/>
        <v>0</v>
      </c>
      <c r="L7786" s="27">
        <v>57451.9</v>
      </c>
      <c r="M7786" s="36">
        <v>5811.52</v>
      </c>
      <c r="T7786" s="41">
        <v>0</v>
      </c>
      <c r="U7786" s="41">
        <v>0</v>
      </c>
      <c r="V7786" s="42" t="s">
        <v>113</v>
      </c>
      <c r="W7786" s="42">
        <v>0</v>
      </c>
      <c r="X7786" s="42">
        <v>0</v>
      </c>
    </row>
    <row r="7787" spans="1:24">
      <c r="A7787" s="27" t="s">
        <v>14044</v>
      </c>
      <c r="B7787" s="28" t="s">
        <v>12240</v>
      </c>
      <c r="C7787" s="27" t="s">
        <v>14045</v>
      </c>
      <c r="D7787" s="27" t="s">
        <v>230</v>
      </c>
      <c r="E7787" s="29">
        <v>41182</v>
      </c>
      <c r="F7787" s="27">
        <v>15</v>
      </c>
      <c r="G7787" s="18">
        <v>107885.49</v>
      </c>
      <c r="H7787" s="27">
        <f t="shared" si="242"/>
        <v>0</v>
      </c>
      <c r="I7787" s="18">
        <v>51640.38</v>
      </c>
      <c r="J7787" s="27">
        <v>107885.49</v>
      </c>
      <c r="K7787" s="18">
        <f t="shared" si="243"/>
        <v>0</v>
      </c>
      <c r="L7787" s="27">
        <v>57451.9</v>
      </c>
      <c r="M7787" s="36">
        <v>5811.52</v>
      </c>
      <c r="T7787" s="41">
        <v>0</v>
      </c>
      <c r="U7787" s="41">
        <v>0</v>
      </c>
      <c r="V7787" s="42" t="s">
        <v>113</v>
      </c>
      <c r="W7787" s="42">
        <v>0</v>
      </c>
      <c r="X7787" s="42">
        <v>0</v>
      </c>
    </row>
    <row r="7788" spans="1:24">
      <c r="A7788" s="27" t="s">
        <v>14046</v>
      </c>
      <c r="B7788" s="28" t="s">
        <v>12240</v>
      </c>
      <c r="C7788" s="27" t="s">
        <v>14047</v>
      </c>
      <c r="D7788" s="27" t="s">
        <v>5104</v>
      </c>
      <c r="E7788" s="29">
        <v>41182</v>
      </c>
      <c r="F7788" s="27">
        <v>15</v>
      </c>
      <c r="G7788" s="18">
        <v>558289.31000000006</v>
      </c>
      <c r="H7788" s="27">
        <f t="shared" si="242"/>
        <v>0</v>
      </c>
      <c r="I7788" s="18">
        <v>267230.23</v>
      </c>
      <c r="J7788" s="27">
        <v>558289.31000000006</v>
      </c>
      <c r="K7788" s="18">
        <f t="shared" si="243"/>
        <v>0</v>
      </c>
      <c r="L7788" s="27">
        <v>297303.90000000002</v>
      </c>
      <c r="M7788" s="36">
        <v>30073.67</v>
      </c>
      <c r="T7788" s="41">
        <v>0</v>
      </c>
      <c r="U7788" s="41">
        <v>0</v>
      </c>
      <c r="V7788" s="42" t="s">
        <v>113</v>
      </c>
      <c r="W7788" s="42">
        <v>0</v>
      </c>
      <c r="X7788" s="42">
        <v>0</v>
      </c>
    </row>
    <row r="7789" spans="1:24">
      <c r="A7789" s="27" t="s">
        <v>14048</v>
      </c>
      <c r="B7789" s="28" t="s">
        <v>12240</v>
      </c>
      <c r="C7789" s="27" t="s">
        <v>14049</v>
      </c>
      <c r="D7789" s="27" t="s">
        <v>230</v>
      </c>
      <c r="E7789" s="29">
        <v>41182</v>
      </c>
      <c r="F7789" s="27">
        <v>15</v>
      </c>
      <c r="G7789" s="18">
        <v>43528.28</v>
      </c>
      <c r="H7789" s="27">
        <f t="shared" si="242"/>
        <v>0</v>
      </c>
      <c r="I7789" s="18">
        <v>20835.21</v>
      </c>
      <c r="J7789" s="27">
        <v>43528.28</v>
      </c>
      <c r="K7789" s="18">
        <f t="shared" si="243"/>
        <v>0</v>
      </c>
      <c r="L7789" s="27">
        <v>23179.97</v>
      </c>
      <c r="M7789" s="36">
        <v>2344.7600000000002</v>
      </c>
      <c r="T7789" s="41">
        <v>0</v>
      </c>
      <c r="U7789" s="41">
        <v>0</v>
      </c>
      <c r="V7789" s="42" t="s">
        <v>113</v>
      </c>
      <c r="W7789" s="42">
        <v>0</v>
      </c>
      <c r="X7789" s="42">
        <v>0</v>
      </c>
    </row>
    <row r="7790" spans="1:24">
      <c r="A7790" s="27" t="s">
        <v>14050</v>
      </c>
      <c r="B7790" s="28" t="s">
        <v>12240</v>
      </c>
      <c r="C7790" s="27" t="s">
        <v>14051</v>
      </c>
      <c r="D7790" s="27" t="s">
        <v>230</v>
      </c>
      <c r="E7790" s="29">
        <v>41182</v>
      </c>
      <c r="F7790" s="27">
        <v>15</v>
      </c>
      <c r="G7790" s="18">
        <v>43528.28</v>
      </c>
      <c r="H7790" s="27">
        <f t="shared" si="242"/>
        <v>0</v>
      </c>
      <c r="I7790" s="18">
        <v>20835.22</v>
      </c>
      <c r="J7790" s="27">
        <v>43528.28</v>
      </c>
      <c r="K7790" s="18">
        <f t="shared" si="243"/>
        <v>0</v>
      </c>
      <c r="L7790" s="27">
        <v>23179.98</v>
      </c>
      <c r="M7790" s="36">
        <v>2344.7600000000002</v>
      </c>
      <c r="T7790" s="41">
        <v>0</v>
      </c>
      <c r="U7790" s="41">
        <v>0</v>
      </c>
      <c r="V7790" s="42" t="s">
        <v>113</v>
      </c>
      <c r="W7790" s="42">
        <v>0</v>
      </c>
      <c r="X7790" s="42">
        <v>0</v>
      </c>
    </row>
    <row r="7791" spans="1:24">
      <c r="A7791" s="27" t="s">
        <v>14052</v>
      </c>
      <c r="B7791" s="28" t="s">
        <v>12240</v>
      </c>
      <c r="C7791" s="27" t="s">
        <v>14053</v>
      </c>
      <c r="D7791" s="27" t="s">
        <v>230</v>
      </c>
      <c r="E7791" s="29">
        <v>41182</v>
      </c>
      <c r="F7791" s="27">
        <v>15</v>
      </c>
      <c r="G7791" s="18">
        <v>56800.47</v>
      </c>
      <c r="H7791" s="27">
        <f t="shared" si="242"/>
        <v>0</v>
      </c>
      <c r="I7791" s="18">
        <v>27188.06</v>
      </c>
      <c r="J7791" s="27">
        <v>56800.47</v>
      </c>
      <c r="K7791" s="18">
        <f t="shared" si="243"/>
        <v>0</v>
      </c>
      <c r="L7791" s="27">
        <v>30247.759999999998</v>
      </c>
      <c r="M7791" s="36">
        <v>3059.7</v>
      </c>
      <c r="T7791" s="41">
        <v>0</v>
      </c>
      <c r="U7791" s="41">
        <v>0</v>
      </c>
      <c r="V7791" s="42" t="s">
        <v>113</v>
      </c>
      <c r="W7791" s="42">
        <v>0</v>
      </c>
      <c r="X7791" s="42">
        <v>0</v>
      </c>
    </row>
    <row r="7792" spans="1:24">
      <c r="A7792" s="27" t="s">
        <v>14054</v>
      </c>
      <c r="B7792" s="28" t="s">
        <v>12240</v>
      </c>
      <c r="C7792" s="27" t="s">
        <v>14055</v>
      </c>
      <c r="D7792" s="27" t="s">
        <v>5104</v>
      </c>
      <c r="E7792" s="29">
        <v>41182</v>
      </c>
      <c r="F7792" s="27">
        <v>15</v>
      </c>
      <c r="G7792" s="18">
        <v>51145.89</v>
      </c>
      <c r="H7792" s="27">
        <f t="shared" si="242"/>
        <v>0</v>
      </c>
      <c r="I7792" s="18">
        <v>24481.43</v>
      </c>
      <c r="J7792" s="27">
        <v>51145.89</v>
      </c>
      <c r="K7792" s="18">
        <f t="shared" si="243"/>
        <v>0</v>
      </c>
      <c r="L7792" s="27">
        <v>27236.54</v>
      </c>
      <c r="M7792" s="36">
        <v>2755.11</v>
      </c>
      <c r="T7792" s="41">
        <v>0</v>
      </c>
      <c r="U7792" s="41">
        <v>0</v>
      </c>
      <c r="V7792" s="42" t="s">
        <v>113</v>
      </c>
      <c r="W7792" s="42">
        <v>0</v>
      </c>
      <c r="X7792" s="42">
        <v>0</v>
      </c>
    </row>
    <row r="7793" spans="1:24">
      <c r="A7793" s="27" t="s">
        <v>14056</v>
      </c>
      <c r="B7793" s="28" t="s">
        <v>12240</v>
      </c>
      <c r="C7793" s="27" t="s">
        <v>14057</v>
      </c>
      <c r="D7793" s="27" t="s">
        <v>230</v>
      </c>
      <c r="E7793" s="29">
        <v>41182</v>
      </c>
      <c r="F7793" s="27">
        <v>15</v>
      </c>
      <c r="G7793" s="18">
        <v>51145.89</v>
      </c>
      <c r="H7793" s="27">
        <f t="shared" si="242"/>
        <v>0</v>
      </c>
      <c r="I7793" s="18">
        <v>24481.43</v>
      </c>
      <c r="J7793" s="27">
        <v>51145.89</v>
      </c>
      <c r="K7793" s="18">
        <f t="shared" si="243"/>
        <v>0</v>
      </c>
      <c r="L7793" s="27">
        <v>27236.54</v>
      </c>
      <c r="M7793" s="36">
        <v>2755.11</v>
      </c>
      <c r="T7793" s="41">
        <v>0</v>
      </c>
      <c r="U7793" s="41">
        <v>0</v>
      </c>
      <c r="V7793" s="42" t="s">
        <v>113</v>
      </c>
      <c r="W7793" s="42">
        <v>0</v>
      </c>
      <c r="X7793" s="42">
        <v>0</v>
      </c>
    </row>
    <row r="7794" spans="1:24">
      <c r="A7794" s="27" t="s">
        <v>14058</v>
      </c>
      <c r="B7794" s="28" t="s">
        <v>12240</v>
      </c>
      <c r="C7794" s="27" t="s">
        <v>14059</v>
      </c>
      <c r="D7794" s="27" t="s">
        <v>230</v>
      </c>
      <c r="E7794" s="29">
        <v>41182</v>
      </c>
      <c r="F7794" s="27">
        <v>15</v>
      </c>
      <c r="G7794" s="18">
        <v>47118.38</v>
      </c>
      <c r="H7794" s="27">
        <f t="shared" si="242"/>
        <v>0</v>
      </c>
      <c r="I7794" s="18">
        <v>22553.65</v>
      </c>
      <c r="J7794" s="27">
        <v>47118.38</v>
      </c>
      <c r="K7794" s="18">
        <f t="shared" si="243"/>
        <v>0</v>
      </c>
      <c r="L7794" s="27">
        <v>25091.8</v>
      </c>
      <c r="M7794" s="36">
        <v>2538.15</v>
      </c>
      <c r="T7794" s="41">
        <v>0</v>
      </c>
      <c r="U7794" s="41">
        <v>0</v>
      </c>
      <c r="V7794" s="42" t="s">
        <v>113</v>
      </c>
      <c r="W7794" s="42">
        <v>0</v>
      </c>
      <c r="X7794" s="42">
        <v>0</v>
      </c>
    </row>
    <row r="7795" spans="1:24">
      <c r="A7795" s="27" t="s">
        <v>14060</v>
      </c>
      <c r="B7795" s="28" t="s">
        <v>12240</v>
      </c>
      <c r="C7795" s="27" t="s">
        <v>14061</v>
      </c>
      <c r="D7795" s="27" t="s">
        <v>230</v>
      </c>
      <c r="E7795" s="29">
        <v>41182</v>
      </c>
      <c r="F7795" s="27">
        <v>15</v>
      </c>
      <c r="G7795" s="18">
        <v>51145.89</v>
      </c>
      <c r="H7795" s="27">
        <f t="shared" si="242"/>
        <v>0</v>
      </c>
      <c r="I7795" s="18">
        <v>24481.43</v>
      </c>
      <c r="J7795" s="27">
        <v>51145.89</v>
      </c>
      <c r="K7795" s="18">
        <f t="shared" si="243"/>
        <v>0</v>
      </c>
      <c r="L7795" s="27">
        <v>27236.54</v>
      </c>
      <c r="M7795" s="36">
        <v>2755.11</v>
      </c>
      <c r="T7795" s="41">
        <v>0</v>
      </c>
      <c r="U7795" s="41">
        <v>0</v>
      </c>
      <c r="V7795" s="42" t="s">
        <v>113</v>
      </c>
      <c r="W7795" s="42">
        <v>0</v>
      </c>
      <c r="X7795" s="42">
        <v>0</v>
      </c>
    </row>
    <row r="7796" spans="1:24">
      <c r="A7796" s="27" t="s">
        <v>14062</v>
      </c>
      <c r="B7796" s="28" t="s">
        <v>12240</v>
      </c>
      <c r="C7796" s="27" t="s">
        <v>14063</v>
      </c>
      <c r="D7796" s="27" t="s">
        <v>230</v>
      </c>
      <c r="E7796" s="29">
        <v>41182</v>
      </c>
      <c r="F7796" s="27">
        <v>15</v>
      </c>
      <c r="G7796" s="18">
        <v>51145.89</v>
      </c>
      <c r="H7796" s="27">
        <f t="shared" si="242"/>
        <v>0</v>
      </c>
      <c r="I7796" s="18">
        <v>24481.43</v>
      </c>
      <c r="J7796" s="27">
        <v>51145.89</v>
      </c>
      <c r="K7796" s="18">
        <f t="shared" si="243"/>
        <v>0</v>
      </c>
      <c r="L7796" s="27">
        <v>27236.54</v>
      </c>
      <c r="M7796" s="36">
        <v>2755.11</v>
      </c>
      <c r="T7796" s="41">
        <v>0</v>
      </c>
      <c r="U7796" s="41">
        <v>0</v>
      </c>
      <c r="V7796" s="42" t="s">
        <v>113</v>
      </c>
      <c r="W7796" s="42">
        <v>0</v>
      </c>
      <c r="X7796" s="42">
        <v>0</v>
      </c>
    </row>
    <row r="7797" spans="1:24">
      <c r="A7797" s="27" t="s">
        <v>14064</v>
      </c>
      <c r="B7797" s="28" t="s">
        <v>12240</v>
      </c>
      <c r="C7797" s="27" t="s">
        <v>14065</v>
      </c>
      <c r="D7797" s="27" t="s">
        <v>230</v>
      </c>
      <c r="E7797" s="29">
        <v>41182</v>
      </c>
      <c r="F7797" s="27">
        <v>15</v>
      </c>
      <c r="G7797" s="18">
        <v>40554.160000000003</v>
      </c>
      <c r="H7797" s="27">
        <f t="shared" si="242"/>
        <v>0</v>
      </c>
      <c r="I7797" s="18">
        <v>19411.61</v>
      </c>
      <c r="J7797" s="27">
        <v>40554.160000000003</v>
      </c>
      <c r="K7797" s="18">
        <f t="shared" si="243"/>
        <v>0</v>
      </c>
      <c r="L7797" s="27">
        <v>21596.16</v>
      </c>
      <c r="M7797" s="36">
        <v>2184.5500000000002</v>
      </c>
      <c r="T7797" s="41">
        <v>0</v>
      </c>
      <c r="U7797" s="41">
        <v>0</v>
      </c>
      <c r="V7797" s="42" t="s">
        <v>113</v>
      </c>
      <c r="W7797" s="42">
        <v>0</v>
      </c>
      <c r="X7797" s="42">
        <v>0</v>
      </c>
    </row>
    <row r="7798" spans="1:24">
      <c r="A7798" s="27" t="s">
        <v>14066</v>
      </c>
      <c r="B7798" s="28" t="s">
        <v>12240</v>
      </c>
      <c r="C7798" s="27" t="s">
        <v>14067</v>
      </c>
      <c r="D7798" s="27" t="s">
        <v>230</v>
      </c>
      <c r="E7798" s="29">
        <v>41182</v>
      </c>
      <c r="F7798" s="27">
        <v>15</v>
      </c>
      <c r="G7798" s="18">
        <v>22602.53</v>
      </c>
      <c r="H7798" s="27">
        <f t="shared" si="242"/>
        <v>0</v>
      </c>
      <c r="I7798" s="18">
        <v>10818.89</v>
      </c>
      <c r="J7798" s="27">
        <v>22602.53</v>
      </c>
      <c r="K7798" s="18">
        <f t="shared" si="243"/>
        <v>0</v>
      </c>
      <c r="L7798" s="27">
        <v>12036.43</v>
      </c>
      <c r="M7798" s="36">
        <v>1217.54</v>
      </c>
      <c r="T7798" s="41">
        <v>0</v>
      </c>
      <c r="U7798" s="41">
        <v>0</v>
      </c>
      <c r="V7798" s="42" t="s">
        <v>113</v>
      </c>
      <c r="W7798" s="42">
        <v>0</v>
      </c>
      <c r="X7798" s="42">
        <v>0</v>
      </c>
    </row>
    <row r="7799" spans="1:24">
      <c r="A7799" s="27" t="s">
        <v>14068</v>
      </c>
      <c r="B7799" s="28" t="s">
        <v>12240</v>
      </c>
      <c r="C7799" s="27" t="s">
        <v>14069</v>
      </c>
      <c r="D7799" s="27" t="s">
        <v>230</v>
      </c>
      <c r="E7799" s="29">
        <v>41182</v>
      </c>
      <c r="F7799" s="27">
        <v>15</v>
      </c>
      <c r="G7799" s="18">
        <v>44335.71</v>
      </c>
      <c r="H7799" s="27">
        <f t="shared" si="242"/>
        <v>0</v>
      </c>
      <c r="I7799" s="18">
        <v>21221.68</v>
      </c>
      <c r="J7799" s="27">
        <v>44335.71</v>
      </c>
      <c r="K7799" s="18">
        <f t="shared" si="243"/>
        <v>0</v>
      </c>
      <c r="L7799" s="27">
        <v>23609.94</v>
      </c>
      <c r="M7799" s="36">
        <v>2388.2600000000002</v>
      </c>
      <c r="T7799" s="41">
        <v>0</v>
      </c>
      <c r="U7799" s="41">
        <v>0</v>
      </c>
      <c r="V7799" s="42" t="s">
        <v>113</v>
      </c>
      <c r="W7799" s="42">
        <v>0</v>
      </c>
      <c r="X7799" s="42">
        <v>0</v>
      </c>
    </row>
    <row r="7800" spans="1:24">
      <c r="A7800" s="27" t="s">
        <v>14070</v>
      </c>
      <c r="B7800" s="28" t="s">
        <v>12240</v>
      </c>
      <c r="C7800" s="27" t="s">
        <v>14071</v>
      </c>
      <c r="D7800" s="27" t="s">
        <v>230</v>
      </c>
      <c r="E7800" s="29">
        <v>41182</v>
      </c>
      <c r="F7800" s="27">
        <v>15</v>
      </c>
      <c r="G7800" s="18">
        <v>44335.71</v>
      </c>
      <c r="H7800" s="27">
        <f t="shared" si="242"/>
        <v>0</v>
      </c>
      <c r="I7800" s="18">
        <v>21221.68</v>
      </c>
      <c r="J7800" s="27">
        <v>44335.71</v>
      </c>
      <c r="K7800" s="18">
        <f t="shared" si="243"/>
        <v>0</v>
      </c>
      <c r="L7800" s="27">
        <v>23609.94</v>
      </c>
      <c r="M7800" s="36">
        <v>2388.2600000000002</v>
      </c>
      <c r="T7800" s="41">
        <v>0</v>
      </c>
      <c r="U7800" s="41">
        <v>0</v>
      </c>
      <c r="V7800" s="42" t="s">
        <v>113</v>
      </c>
      <c r="W7800" s="42">
        <v>0</v>
      </c>
      <c r="X7800" s="42">
        <v>0</v>
      </c>
    </row>
    <row r="7801" spans="1:24">
      <c r="A7801" s="27" t="s">
        <v>14072</v>
      </c>
      <c r="B7801" s="28" t="s">
        <v>12240</v>
      </c>
      <c r="C7801" s="27" t="s">
        <v>14073</v>
      </c>
      <c r="D7801" s="27" t="s">
        <v>230</v>
      </c>
      <c r="E7801" s="29">
        <v>41182</v>
      </c>
      <c r="F7801" s="27">
        <v>15</v>
      </c>
      <c r="G7801" s="18">
        <v>144242.16</v>
      </c>
      <c r="H7801" s="27">
        <f t="shared" si="242"/>
        <v>0</v>
      </c>
      <c r="I7801" s="18">
        <v>69042.820000000007</v>
      </c>
      <c r="J7801" s="27">
        <v>144242.16</v>
      </c>
      <c r="K7801" s="18">
        <f t="shared" si="243"/>
        <v>0</v>
      </c>
      <c r="L7801" s="27">
        <v>76812.789999999994</v>
      </c>
      <c r="M7801" s="36">
        <v>7769.97</v>
      </c>
      <c r="T7801" s="41">
        <v>0</v>
      </c>
      <c r="U7801" s="41">
        <v>0</v>
      </c>
      <c r="V7801" s="42" t="s">
        <v>113</v>
      </c>
      <c r="W7801" s="42">
        <v>0</v>
      </c>
      <c r="X7801" s="42">
        <v>0</v>
      </c>
    </row>
    <row r="7802" spans="1:24">
      <c r="A7802" s="27" t="s">
        <v>14074</v>
      </c>
      <c r="B7802" s="28" t="s">
        <v>12240</v>
      </c>
      <c r="C7802" s="27" t="s">
        <v>14075</v>
      </c>
      <c r="D7802" s="27" t="s">
        <v>230</v>
      </c>
      <c r="E7802" s="29">
        <v>41182</v>
      </c>
      <c r="F7802" s="27">
        <v>15</v>
      </c>
      <c r="G7802" s="18">
        <v>46863.43</v>
      </c>
      <c r="H7802" s="27">
        <f t="shared" si="242"/>
        <v>0</v>
      </c>
      <c r="I7802" s="18">
        <v>22431.61</v>
      </c>
      <c r="J7802" s="27">
        <v>46863.43</v>
      </c>
      <c r="K7802" s="18">
        <f t="shared" si="243"/>
        <v>0</v>
      </c>
      <c r="L7802" s="27">
        <v>24956.03</v>
      </c>
      <c r="M7802" s="36">
        <v>2524.42</v>
      </c>
      <c r="T7802" s="41">
        <v>0</v>
      </c>
      <c r="U7802" s="41">
        <v>0</v>
      </c>
      <c r="V7802" s="42" t="s">
        <v>113</v>
      </c>
      <c r="W7802" s="42">
        <v>0</v>
      </c>
      <c r="X7802" s="42">
        <v>0</v>
      </c>
    </row>
    <row r="7803" spans="1:24">
      <c r="A7803" s="27" t="s">
        <v>14076</v>
      </c>
      <c r="B7803" s="28" t="s">
        <v>12240</v>
      </c>
      <c r="C7803" s="27" t="s">
        <v>14077</v>
      </c>
      <c r="D7803" s="27" t="s">
        <v>230</v>
      </c>
      <c r="E7803" s="29">
        <v>41182</v>
      </c>
      <c r="F7803" s="27">
        <v>15</v>
      </c>
      <c r="G7803" s="18">
        <v>71523.22</v>
      </c>
      <c r="H7803" s="27">
        <f t="shared" si="242"/>
        <v>0</v>
      </c>
      <c r="I7803" s="18">
        <v>34235.25</v>
      </c>
      <c r="J7803" s="27">
        <v>71523.22</v>
      </c>
      <c r="K7803" s="18">
        <f t="shared" si="243"/>
        <v>0</v>
      </c>
      <c r="L7803" s="27">
        <v>38088.03</v>
      </c>
      <c r="M7803" s="36">
        <v>3852.78</v>
      </c>
      <c r="T7803" s="41">
        <v>0</v>
      </c>
      <c r="U7803" s="41">
        <v>0</v>
      </c>
      <c r="V7803" s="42" t="s">
        <v>113</v>
      </c>
      <c r="W7803" s="42">
        <v>0</v>
      </c>
      <c r="X7803" s="42">
        <v>0</v>
      </c>
    </row>
    <row r="7804" spans="1:24">
      <c r="A7804" s="27" t="s">
        <v>14078</v>
      </c>
      <c r="B7804" s="28" t="s">
        <v>12240</v>
      </c>
      <c r="C7804" s="27" t="s">
        <v>14079</v>
      </c>
      <c r="D7804" s="27" t="s">
        <v>230</v>
      </c>
      <c r="E7804" s="29">
        <v>41182</v>
      </c>
      <c r="F7804" s="27">
        <v>15</v>
      </c>
      <c r="G7804" s="18">
        <v>58249.43</v>
      </c>
      <c r="H7804" s="27">
        <f t="shared" si="242"/>
        <v>0</v>
      </c>
      <c r="I7804" s="18">
        <v>27881.62</v>
      </c>
      <c r="J7804" s="27">
        <v>58249.43</v>
      </c>
      <c r="K7804" s="18">
        <f t="shared" si="243"/>
        <v>0</v>
      </c>
      <c r="L7804" s="27">
        <v>31019.37</v>
      </c>
      <c r="M7804" s="36">
        <v>3137.75</v>
      </c>
      <c r="T7804" s="41">
        <v>0</v>
      </c>
      <c r="U7804" s="41">
        <v>0</v>
      </c>
      <c r="V7804" s="42" t="s">
        <v>113</v>
      </c>
      <c r="W7804" s="42">
        <v>0</v>
      </c>
      <c r="X7804" s="42">
        <v>0</v>
      </c>
    </row>
    <row r="7805" spans="1:24">
      <c r="A7805" s="27" t="s">
        <v>14080</v>
      </c>
      <c r="B7805" s="28" t="s">
        <v>12240</v>
      </c>
      <c r="C7805" s="27" t="s">
        <v>14081</v>
      </c>
      <c r="D7805" s="27" t="s">
        <v>230</v>
      </c>
      <c r="E7805" s="29">
        <v>41182</v>
      </c>
      <c r="F7805" s="27">
        <v>15</v>
      </c>
      <c r="G7805" s="18">
        <v>61974.6</v>
      </c>
      <c r="H7805" s="27">
        <f t="shared" si="242"/>
        <v>0</v>
      </c>
      <c r="I7805" s="18">
        <v>29664.7</v>
      </c>
      <c r="J7805" s="27">
        <v>61974.6</v>
      </c>
      <c r="K7805" s="18">
        <f t="shared" si="243"/>
        <v>0</v>
      </c>
      <c r="L7805" s="27">
        <v>33003.120000000003</v>
      </c>
      <c r="M7805" s="36">
        <v>3338.42</v>
      </c>
      <c r="T7805" s="41">
        <v>0</v>
      </c>
      <c r="U7805" s="41">
        <v>0</v>
      </c>
      <c r="V7805" s="42" t="s">
        <v>113</v>
      </c>
      <c r="W7805" s="42">
        <v>0</v>
      </c>
      <c r="X7805" s="42">
        <v>0</v>
      </c>
    </row>
    <row r="7806" spans="1:24">
      <c r="A7806" s="27" t="s">
        <v>14082</v>
      </c>
      <c r="B7806" s="28" t="s">
        <v>12240</v>
      </c>
      <c r="C7806" s="27" t="s">
        <v>14083</v>
      </c>
      <c r="D7806" s="27" t="s">
        <v>5104</v>
      </c>
      <c r="E7806" s="29">
        <v>40544</v>
      </c>
      <c r="F7806" s="27">
        <v>15</v>
      </c>
      <c r="G7806" s="18">
        <v>114305.99</v>
      </c>
      <c r="H7806" s="27">
        <f t="shared" si="242"/>
        <v>114305.99</v>
      </c>
      <c r="I7806" s="18">
        <v>114305.99</v>
      </c>
      <c r="J7806" s="27">
        <v>114305.99</v>
      </c>
      <c r="K7806" s="18">
        <f t="shared" si="243"/>
        <v>114305.99</v>
      </c>
      <c r="L7806" s="27">
        <v>108590.69</v>
      </c>
      <c r="M7806" s="36">
        <v>-5715.3</v>
      </c>
      <c r="T7806" s="41">
        <v>0</v>
      </c>
      <c r="U7806" s="41">
        <v>0</v>
      </c>
      <c r="V7806" s="42" t="s">
        <v>113</v>
      </c>
      <c r="W7806" s="42">
        <v>114305.99</v>
      </c>
      <c r="X7806" s="42">
        <v>114305.99</v>
      </c>
    </row>
    <row r="7807" spans="1:24">
      <c r="A7807" s="27" t="s">
        <v>14084</v>
      </c>
      <c r="B7807" s="28" t="s">
        <v>12240</v>
      </c>
      <c r="C7807" s="27" t="s">
        <v>14085</v>
      </c>
      <c r="D7807" s="27" t="s">
        <v>230</v>
      </c>
      <c r="E7807" s="29">
        <v>40544</v>
      </c>
      <c r="F7807" s="27">
        <v>15</v>
      </c>
      <c r="G7807" s="18">
        <v>38038.839999999997</v>
      </c>
      <c r="H7807" s="27">
        <f t="shared" si="242"/>
        <v>38038.839999999997</v>
      </c>
      <c r="I7807" s="18">
        <v>38038.839999999997</v>
      </c>
      <c r="J7807" s="27">
        <v>38038.839999999997</v>
      </c>
      <c r="K7807" s="18">
        <f t="shared" si="243"/>
        <v>38038.839999999997</v>
      </c>
      <c r="L7807" s="27">
        <v>36136.9</v>
      </c>
      <c r="M7807" s="36">
        <v>-1901.94</v>
      </c>
      <c r="T7807" s="41">
        <v>0</v>
      </c>
      <c r="U7807" s="41">
        <v>0</v>
      </c>
      <c r="V7807" s="42" t="s">
        <v>113</v>
      </c>
      <c r="W7807" s="42">
        <v>38038.839999999997</v>
      </c>
      <c r="X7807" s="42">
        <v>38038.839999999997</v>
      </c>
    </row>
    <row r="7808" spans="1:24">
      <c r="A7808" s="27" t="s">
        <v>14086</v>
      </c>
      <c r="B7808" s="28" t="s">
        <v>12240</v>
      </c>
      <c r="C7808" s="27" t="s">
        <v>14087</v>
      </c>
      <c r="D7808" s="27" t="s">
        <v>230</v>
      </c>
      <c r="E7808" s="29">
        <v>40544</v>
      </c>
      <c r="F7808" s="27">
        <v>15</v>
      </c>
      <c r="G7808" s="18">
        <v>62038.86</v>
      </c>
      <c r="H7808" s="27">
        <f t="shared" si="242"/>
        <v>62038.86</v>
      </c>
      <c r="I7808" s="18">
        <v>62038.86</v>
      </c>
      <c r="J7808" s="27">
        <v>62038.86</v>
      </c>
      <c r="K7808" s="18">
        <f t="shared" si="243"/>
        <v>62038.86</v>
      </c>
      <c r="L7808" s="27">
        <v>58936.92</v>
      </c>
      <c r="M7808" s="36">
        <v>-3101.94</v>
      </c>
      <c r="T7808" s="41">
        <v>0</v>
      </c>
      <c r="U7808" s="41">
        <v>0</v>
      </c>
      <c r="V7808" s="42" t="s">
        <v>113</v>
      </c>
      <c r="W7808" s="42">
        <v>62038.86</v>
      </c>
      <c r="X7808" s="42">
        <v>62038.86</v>
      </c>
    </row>
    <row r="7809" spans="1:24">
      <c r="A7809" s="27" t="s">
        <v>14088</v>
      </c>
      <c r="B7809" s="28" t="s">
        <v>12240</v>
      </c>
      <c r="C7809" s="27" t="s">
        <v>14089</v>
      </c>
      <c r="D7809" s="27" t="s">
        <v>230</v>
      </c>
      <c r="E7809" s="29">
        <v>40544</v>
      </c>
      <c r="F7809" s="27">
        <v>15</v>
      </c>
      <c r="G7809" s="18">
        <v>62038.86</v>
      </c>
      <c r="H7809" s="27">
        <f t="shared" si="242"/>
        <v>62038.86</v>
      </c>
      <c r="I7809" s="18">
        <v>62038.86</v>
      </c>
      <c r="J7809" s="27">
        <v>62038.86</v>
      </c>
      <c r="K7809" s="18">
        <f t="shared" si="243"/>
        <v>62038.86</v>
      </c>
      <c r="L7809" s="27">
        <v>58936.92</v>
      </c>
      <c r="M7809" s="36">
        <v>-3101.94</v>
      </c>
      <c r="T7809" s="41">
        <v>0</v>
      </c>
      <c r="U7809" s="41">
        <v>0</v>
      </c>
      <c r="V7809" s="42" t="s">
        <v>113</v>
      </c>
      <c r="W7809" s="42">
        <v>62038.86</v>
      </c>
      <c r="X7809" s="42">
        <v>62038.86</v>
      </c>
    </row>
    <row r="7810" spans="1:24">
      <c r="A7810" s="27" t="s">
        <v>14090</v>
      </c>
      <c r="B7810" s="28" t="s">
        <v>12240</v>
      </c>
      <c r="C7810" s="27" t="s">
        <v>14091</v>
      </c>
      <c r="D7810" s="27" t="s">
        <v>230</v>
      </c>
      <c r="E7810" s="29">
        <v>40544</v>
      </c>
      <c r="F7810" s="27">
        <v>15</v>
      </c>
      <c r="G7810" s="18">
        <v>62038.86</v>
      </c>
      <c r="H7810" s="27">
        <f t="shared" si="242"/>
        <v>62038.86</v>
      </c>
      <c r="I7810" s="18">
        <v>62038.86</v>
      </c>
      <c r="J7810" s="27">
        <v>62038.86</v>
      </c>
      <c r="K7810" s="18">
        <f t="shared" si="243"/>
        <v>62038.86</v>
      </c>
      <c r="L7810" s="27">
        <v>58936.92</v>
      </c>
      <c r="M7810" s="36">
        <v>-3101.94</v>
      </c>
      <c r="T7810" s="41">
        <v>0</v>
      </c>
      <c r="U7810" s="41">
        <v>0</v>
      </c>
      <c r="V7810" s="42" t="s">
        <v>113</v>
      </c>
      <c r="W7810" s="42">
        <v>62038.86</v>
      </c>
      <c r="X7810" s="42">
        <v>62038.86</v>
      </c>
    </row>
    <row r="7811" spans="1:24">
      <c r="A7811" s="27" t="s">
        <v>14092</v>
      </c>
      <c r="B7811" s="28" t="s">
        <v>12240</v>
      </c>
      <c r="C7811" s="27" t="s">
        <v>14093</v>
      </c>
      <c r="D7811" s="27" t="s">
        <v>230</v>
      </c>
      <c r="E7811" s="29">
        <v>40544</v>
      </c>
      <c r="F7811" s="27">
        <v>15</v>
      </c>
      <c r="G7811" s="18">
        <v>65516.12</v>
      </c>
      <c r="H7811" s="27">
        <f t="shared" si="242"/>
        <v>65516.12</v>
      </c>
      <c r="I7811" s="18">
        <v>65516.12</v>
      </c>
      <c r="J7811" s="27">
        <v>65516.12</v>
      </c>
      <c r="K7811" s="18">
        <f t="shared" si="243"/>
        <v>65516.12</v>
      </c>
      <c r="L7811" s="27">
        <v>62240.31</v>
      </c>
      <c r="M7811" s="36">
        <v>-3275.81</v>
      </c>
      <c r="T7811" s="41">
        <v>0</v>
      </c>
      <c r="U7811" s="41">
        <v>0</v>
      </c>
      <c r="V7811" s="42" t="s">
        <v>113</v>
      </c>
      <c r="W7811" s="42">
        <v>65516.12</v>
      </c>
      <c r="X7811" s="42">
        <v>65516.12</v>
      </c>
    </row>
    <row r="7812" spans="1:24">
      <c r="A7812" s="27" t="s">
        <v>14094</v>
      </c>
      <c r="B7812" s="28" t="s">
        <v>12240</v>
      </c>
      <c r="C7812" s="27" t="s">
        <v>14095</v>
      </c>
      <c r="D7812" s="27" t="s">
        <v>230</v>
      </c>
      <c r="E7812" s="29">
        <v>40544</v>
      </c>
      <c r="F7812" s="27">
        <v>15</v>
      </c>
      <c r="G7812" s="18">
        <v>65516.12</v>
      </c>
      <c r="H7812" s="27">
        <f t="shared" si="242"/>
        <v>65516.12</v>
      </c>
      <c r="I7812" s="18">
        <v>65516.12</v>
      </c>
      <c r="J7812" s="27">
        <v>65516.12</v>
      </c>
      <c r="K7812" s="18">
        <f t="shared" si="243"/>
        <v>65516.12</v>
      </c>
      <c r="L7812" s="27">
        <v>62240.31</v>
      </c>
      <c r="M7812" s="36">
        <v>-3275.81</v>
      </c>
      <c r="T7812" s="41">
        <v>0</v>
      </c>
      <c r="U7812" s="41">
        <v>0</v>
      </c>
      <c r="V7812" s="42" t="s">
        <v>113</v>
      </c>
      <c r="W7812" s="42">
        <v>65516.12</v>
      </c>
      <c r="X7812" s="42">
        <v>65516.12</v>
      </c>
    </row>
    <row r="7813" spans="1:24">
      <c r="A7813" s="27" t="s">
        <v>14096</v>
      </c>
      <c r="B7813" s="28" t="s">
        <v>12240</v>
      </c>
      <c r="C7813" s="27" t="s">
        <v>7078</v>
      </c>
      <c r="D7813" s="27" t="s">
        <v>230</v>
      </c>
      <c r="E7813" s="29">
        <v>40544</v>
      </c>
      <c r="F7813" s="27">
        <v>15</v>
      </c>
      <c r="G7813" s="18">
        <v>65516.12</v>
      </c>
      <c r="H7813" s="27">
        <f t="shared" si="242"/>
        <v>65516.12</v>
      </c>
      <c r="I7813" s="18">
        <v>65516.12</v>
      </c>
      <c r="J7813" s="27">
        <v>65516.12</v>
      </c>
      <c r="K7813" s="18">
        <f t="shared" si="243"/>
        <v>65516.12</v>
      </c>
      <c r="L7813" s="27">
        <v>62240.31</v>
      </c>
      <c r="M7813" s="36">
        <v>-3275.81</v>
      </c>
      <c r="T7813" s="41">
        <v>0</v>
      </c>
      <c r="U7813" s="41">
        <v>0</v>
      </c>
      <c r="V7813" s="42" t="s">
        <v>113</v>
      </c>
      <c r="W7813" s="42">
        <v>65516.12</v>
      </c>
      <c r="X7813" s="42">
        <v>65516.12</v>
      </c>
    </row>
    <row r="7814" spans="1:24">
      <c r="A7814" s="27" t="s">
        <v>14097</v>
      </c>
      <c r="B7814" s="28" t="s">
        <v>12240</v>
      </c>
      <c r="C7814" s="27" t="s">
        <v>14098</v>
      </c>
      <c r="D7814" s="27" t="s">
        <v>230</v>
      </c>
      <c r="E7814" s="29">
        <v>40544</v>
      </c>
      <c r="F7814" s="27">
        <v>15</v>
      </c>
      <c r="G7814" s="18">
        <v>81562.28</v>
      </c>
      <c r="H7814" s="27">
        <f t="shared" ref="H7814:H7877" si="244">IFERROR(IF(ROUND((G7814-I7814)/G7814,2)&lt;=0.05,G7814,0),0)</f>
        <v>81562.28</v>
      </c>
      <c r="I7814" s="18">
        <v>80759.97</v>
      </c>
      <c r="J7814" s="27">
        <v>81562.28</v>
      </c>
      <c r="K7814" s="18">
        <f t="shared" ref="K7814:K7877" si="245">IFERROR(IF(ROUND((J7814-L7814)/J7814,2)&lt;=0.05,J7814,0),0)</f>
        <v>81562.28</v>
      </c>
      <c r="L7814" s="27">
        <v>77484.17</v>
      </c>
      <c r="M7814" s="36">
        <v>-3275.8</v>
      </c>
      <c r="T7814" s="41">
        <v>0</v>
      </c>
      <c r="U7814" s="41">
        <v>0</v>
      </c>
      <c r="V7814" s="42" t="s">
        <v>113</v>
      </c>
      <c r="W7814" s="42">
        <v>81562.28</v>
      </c>
      <c r="X7814" s="42">
        <v>81562.28</v>
      </c>
    </row>
    <row r="7815" spans="1:24">
      <c r="A7815" s="27" t="s">
        <v>14099</v>
      </c>
      <c r="B7815" s="28" t="s">
        <v>12240</v>
      </c>
      <c r="C7815" s="27" t="s">
        <v>14100</v>
      </c>
      <c r="D7815" s="27" t="s">
        <v>230</v>
      </c>
      <c r="E7815" s="29">
        <v>40544</v>
      </c>
      <c r="F7815" s="27">
        <v>15</v>
      </c>
      <c r="G7815" s="18">
        <v>65516.12</v>
      </c>
      <c r="H7815" s="27">
        <f t="shared" si="244"/>
        <v>65516.12</v>
      </c>
      <c r="I7815" s="18">
        <v>65516.12</v>
      </c>
      <c r="J7815" s="27">
        <v>65516.12</v>
      </c>
      <c r="K7815" s="18">
        <f t="shared" si="245"/>
        <v>65516.12</v>
      </c>
      <c r="L7815" s="27">
        <v>62240.31</v>
      </c>
      <c r="M7815" s="36">
        <v>-3275.81</v>
      </c>
      <c r="T7815" s="41">
        <v>0</v>
      </c>
      <c r="U7815" s="41">
        <v>0</v>
      </c>
      <c r="V7815" s="42" t="s">
        <v>113</v>
      </c>
      <c r="W7815" s="42">
        <v>65516.12</v>
      </c>
      <c r="X7815" s="42">
        <v>65516.12</v>
      </c>
    </row>
    <row r="7816" spans="1:24">
      <c r="A7816" s="27" t="s">
        <v>14101</v>
      </c>
      <c r="B7816" s="28" t="s">
        <v>12240</v>
      </c>
      <c r="C7816" s="27" t="s">
        <v>14102</v>
      </c>
      <c r="D7816" s="27" t="s">
        <v>230</v>
      </c>
      <c r="E7816" s="29">
        <v>40544</v>
      </c>
      <c r="F7816" s="27">
        <v>15</v>
      </c>
      <c r="G7816" s="18">
        <v>65516.12</v>
      </c>
      <c r="H7816" s="27">
        <f t="shared" si="244"/>
        <v>65516.12</v>
      </c>
      <c r="I7816" s="18">
        <v>65516.12</v>
      </c>
      <c r="J7816" s="27">
        <v>65516.12</v>
      </c>
      <c r="K7816" s="18">
        <f t="shared" si="245"/>
        <v>65516.12</v>
      </c>
      <c r="L7816" s="27">
        <v>62240.31</v>
      </c>
      <c r="M7816" s="36">
        <v>-3275.81</v>
      </c>
      <c r="T7816" s="41">
        <v>0</v>
      </c>
      <c r="U7816" s="41">
        <v>0</v>
      </c>
      <c r="V7816" s="42" t="s">
        <v>113</v>
      </c>
      <c r="W7816" s="42">
        <v>65516.12</v>
      </c>
      <c r="X7816" s="42">
        <v>65516.12</v>
      </c>
    </row>
    <row r="7817" spans="1:24">
      <c r="A7817" s="27" t="s">
        <v>14103</v>
      </c>
      <c r="B7817" s="28" t="s">
        <v>12240</v>
      </c>
      <c r="C7817" s="27" t="s">
        <v>14104</v>
      </c>
      <c r="D7817" s="27" t="s">
        <v>230</v>
      </c>
      <c r="E7817" s="29">
        <v>40544</v>
      </c>
      <c r="F7817" s="27">
        <v>15</v>
      </c>
      <c r="G7817" s="18">
        <v>87011.07</v>
      </c>
      <c r="H7817" s="27">
        <f t="shared" si="244"/>
        <v>87011.07</v>
      </c>
      <c r="I7817" s="18">
        <v>85936.320000000007</v>
      </c>
      <c r="J7817" s="27">
        <v>87011.07</v>
      </c>
      <c r="K7817" s="18">
        <f t="shared" si="245"/>
        <v>87011.07</v>
      </c>
      <c r="L7817" s="27">
        <v>82660.52</v>
      </c>
      <c r="M7817" s="36">
        <v>-3275.8</v>
      </c>
      <c r="T7817" s="41">
        <v>0</v>
      </c>
      <c r="U7817" s="41">
        <v>0</v>
      </c>
      <c r="V7817" s="42" t="s">
        <v>113</v>
      </c>
      <c r="W7817" s="42">
        <v>87011.07</v>
      </c>
      <c r="X7817" s="42">
        <v>87011.07</v>
      </c>
    </row>
    <row r="7818" spans="1:24">
      <c r="A7818" s="27" t="s">
        <v>14105</v>
      </c>
      <c r="B7818" s="28" t="s">
        <v>12240</v>
      </c>
      <c r="C7818" s="27" t="s">
        <v>14106</v>
      </c>
      <c r="D7818" s="27" t="s">
        <v>5104</v>
      </c>
      <c r="E7818" s="29">
        <v>40544</v>
      </c>
      <c r="F7818" s="27">
        <v>15</v>
      </c>
      <c r="G7818" s="18">
        <v>65516.12</v>
      </c>
      <c r="H7818" s="27">
        <f t="shared" si="244"/>
        <v>65516.12</v>
      </c>
      <c r="I7818" s="18">
        <v>65516.12</v>
      </c>
      <c r="J7818" s="27">
        <v>65516.12</v>
      </c>
      <c r="K7818" s="18">
        <f t="shared" si="245"/>
        <v>65516.12</v>
      </c>
      <c r="L7818" s="27">
        <v>62240.31</v>
      </c>
      <c r="M7818" s="36">
        <v>-3275.81</v>
      </c>
      <c r="T7818" s="41">
        <v>0</v>
      </c>
      <c r="U7818" s="41">
        <v>0</v>
      </c>
      <c r="V7818" s="42" t="s">
        <v>113</v>
      </c>
      <c r="W7818" s="42">
        <v>65516.12</v>
      </c>
      <c r="X7818" s="42">
        <v>65516.12</v>
      </c>
    </row>
    <row r="7819" spans="1:24">
      <c r="A7819" s="27" t="s">
        <v>14107</v>
      </c>
      <c r="B7819" s="28" t="s">
        <v>12240</v>
      </c>
      <c r="C7819" s="27" t="s">
        <v>14108</v>
      </c>
      <c r="D7819" s="27" t="s">
        <v>5104</v>
      </c>
      <c r="E7819" s="29">
        <v>40544</v>
      </c>
      <c r="F7819" s="27">
        <v>15</v>
      </c>
      <c r="G7819" s="18">
        <v>65516.09</v>
      </c>
      <c r="H7819" s="27">
        <f t="shared" si="244"/>
        <v>65516.09</v>
      </c>
      <c r="I7819" s="18">
        <v>65516.09</v>
      </c>
      <c r="J7819" s="27">
        <v>65516.09</v>
      </c>
      <c r="K7819" s="18">
        <f t="shared" si="245"/>
        <v>65516.09</v>
      </c>
      <c r="L7819" s="27">
        <v>62240.29</v>
      </c>
      <c r="M7819" s="36">
        <v>-3275.8</v>
      </c>
      <c r="T7819" s="41">
        <v>0</v>
      </c>
      <c r="U7819" s="41">
        <v>0</v>
      </c>
      <c r="V7819" s="42" t="s">
        <v>113</v>
      </c>
      <c r="W7819" s="42">
        <v>65516.09</v>
      </c>
      <c r="X7819" s="42">
        <v>65516.09</v>
      </c>
    </row>
    <row r="7820" spans="1:24">
      <c r="A7820" s="27" t="s">
        <v>14109</v>
      </c>
      <c r="B7820" s="28" t="s">
        <v>12240</v>
      </c>
      <c r="C7820" s="27" t="s">
        <v>14110</v>
      </c>
      <c r="D7820" s="27" t="s">
        <v>230</v>
      </c>
      <c r="E7820" s="29">
        <v>40544</v>
      </c>
      <c r="F7820" s="27">
        <v>15</v>
      </c>
      <c r="G7820" s="18">
        <v>70155.509999999995</v>
      </c>
      <c r="H7820" s="27">
        <f t="shared" si="244"/>
        <v>70155.509999999995</v>
      </c>
      <c r="I7820" s="18">
        <v>70155.509999999995</v>
      </c>
      <c r="J7820" s="27">
        <v>70155.509999999995</v>
      </c>
      <c r="K7820" s="18">
        <f t="shared" si="245"/>
        <v>70155.509999999995</v>
      </c>
      <c r="L7820" s="27">
        <v>66647.73</v>
      </c>
      <c r="M7820" s="36">
        <v>-3507.78</v>
      </c>
      <c r="T7820" s="41">
        <v>0</v>
      </c>
      <c r="U7820" s="41">
        <v>0</v>
      </c>
      <c r="V7820" s="42" t="s">
        <v>113</v>
      </c>
      <c r="W7820" s="42">
        <v>70155.509999999995</v>
      </c>
      <c r="X7820" s="42">
        <v>70155.509999999995</v>
      </c>
    </row>
    <row r="7821" spans="1:24">
      <c r="A7821" s="27" t="s">
        <v>14111</v>
      </c>
      <c r="B7821" s="28" t="s">
        <v>12240</v>
      </c>
      <c r="C7821" s="27" t="s">
        <v>14112</v>
      </c>
      <c r="D7821" s="27" t="s">
        <v>230</v>
      </c>
      <c r="E7821" s="29">
        <v>40544</v>
      </c>
      <c r="F7821" s="27">
        <v>15</v>
      </c>
      <c r="G7821" s="18">
        <v>70155.509999999995</v>
      </c>
      <c r="H7821" s="27">
        <f t="shared" si="244"/>
        <v>70155.509999999995</v>
      </c>
      <c r="I7821" s="18">
        <v>70155.509999999995</v>
      </c>
      <c r="J7821" s="27">
        <v>70155.509999999995</v>
      </c>
      <c r="K7821" s="18">
        <f t="shared" si="245"/>
        <v>70155.509999999995</v>
      </c>
      <c r="L7821" s="27">
        <v>66647.73</v>
      </c>
      <c r="M7821" s="36">
        <v>-3507.78</v>
      </c>
      <c r="T7821" s="41">
        <v>0</v>
      </c>
      <c r="U7821" s="41">
        <v>0</v>
      </c>
      <c r="V7821" s="42" t="s">
        <v>113</v>
      </c>
      <c r="W7821" s="42">
        <v>70155.509999999995</v>
      </c>
      <c r="X7821" s="42">
        <v>70155.509999999995</v>
      </c>
    </row>
    <row r="7822" spans="1:24">
      <c r="A7822" s="27" t="s">
        <v>14113</v>
      </c>
      <c r="B7822" s="28" t="s">
        <v>12240</v>
      </c>
      <c r="C7822" s="27" t="s">
        <v>14114</v>
      </c>
      <c r="D7822" s="27" t="s">
        <v>230</v>
      </c>
      <c r="E7822" s="29">
        <v>40544</v>
      </c>
      <c r="F7822" s="27">
        <v>15</v>
      </c>
      <c r="G7822" s="18">
        <v>70155.509999999995</v>
      </c>
      <c r="H7822" s="27">
        <f t="shared" si="244"/>
        <v>70155.509999999995</v>
      </c>
      <c r="I7822" s="18">
        <v>70155.509999999995</v>
      </c>
      <c r="J7822" s="27">
        <v>70155.509999999995</v>
      </c>
      <c r="K7822" s="18">
        <f t="shared" si="245"/>
        <v>70155.509999999995</v>
      </c>
      <c r="L7822" s="27">
        <v>66647.73</v>
      </c>
      <c r="M7822" s="36">
        <v>-3507.78</v>
      </c>
      <c r="T7822" s="41">
        <v>0</v>
      </c>
      <c r="U7822" s="41">
        <v>0</v>
      </c>
      <c r="V7822" s="42" t="s">
        <v>113</v>
      </c>
      <c r="W7822" s="42">
        <v>70155.509999999995</v>
      </c>
      <c r="X7822" s="42">
        <v>70155.509999999995</v>
      </c>
    </row>
    <row r="7823" spans="1:24">
      <c r="A7823" s="27" t="s">
        <v>14115</v>
      </c>
      <c r="B7823" s="28" t="s">
        <v>12240</v>
      </c>
      <c r="C7823" s="27" t="s">
        <v>14116</v>
      </c>
      <c r="D7823" s="27" t="s">
        <v>230</v>
      </c>
      <c r="E7823" s="29">
        <v>40544</v>
      </c>
      <c r="F7823" s="27">
        <v>15</v>
      </c>
      <c r="G7823" s="18">
        <v>70155.509999999995</v>
      </c>
      <c r="H7823" s="27">
        <f t="shared" si="244"/>
        <v>70155.509999999995</v>
      </c>
      <c r="I7823" s="18">
        <v>70155.509999999995</v>
      </c>
      <c r="J7823" s="27">
        <v>70155.509999999995</v>
      </c>
      <c r="K7823" s="18">
        <f t="shared" si="245"/>
        <v>70155.509999999995</v>
      </c>
      <c r="L7823" s="27">
        <v>66647.73</v>
      </c>
      <c r="M7823" s="36">
        <v>-3507.78</v>
      </c>
      <c r="T7823" s="41">
        <v>0</v>
      </c>
      <c r="U7823" s="41">
        <v>0</v>
      </c>
      <c r="V7823" s="42" t="s">
        <v>113</v>
      </c>
      <c r="W7823" s="42">
        <v>70155.509999999995</v>
      </c>
      <c r="X7823" s="42">
        <v>70155.509999999995</v>
      </c>
    </row>
    <row r="7824" spans="1:24">
      <c r="A7824" s="27" t="s">
        <v>14117</v>
      </c>
      <c r="B7824" s="28" t="s">
        <v>12240</v>
      </c>
      <c r="C7824" s="27" t="s">
        <v>14118</v>
      </c>
      <c r="D7824" s="27" t="s">
        <v>230</v>
      </c>
      <c r="E7824" s="29">
        <v>40544</v>
      </c>
      <c r="F7824" s="27">
        <v>15</v>
      </c>
      <c r="G7824" s="18">
        <v>70155.509999999995</v>
      </c>
      <c r="H7824" s="27">
        <f t="shared" si="244"/>
        <v>70155.509999999995</v>
      </c>
      <c r="I7824" s="18">
        <v>70155.509999999995</v>
      </c>
      <c r="J7824" s="27">
        <v>70155.509999999995</v>
      </c>
      <c r="K7824" s="18">
        <f t="shared" si="245"/>
        <v>70155.509999999995</v>
      </c>
      <c r="L7824" s="27">
        <v>66647.73</v>
      </c>
      <c r="M7824" s="36">
        <v>-3507.78</v>
      </c>
      <c r="T7824" s="41">
        <v>0</v>
      </c>
      <c r="U7824" s="41">
        <v>0</v>
      </c>
      <c r="V7824" s="42" t="s">
        <v>113</v>
      </c>
      <c r="W7824" s="42">
        <v>70155.509999999995</v>
      </c>
      <c r="X7824" s="42">
        <v>70155.509999999995</v>
      </c>
    </row>
    <row r="7825" spans="1:24">
      <c r="A7825" s="27" t="s">
        <v>14119</v>
      </c>
      <c r="B7825" s="28" t="s">
        <v>12240</v>
      </c>
      <c r="C7825" s="27" t="s">
        <v>14120</v>
      </c>
      <c r="D7825" s="27" t="s">
        <v>230</v>
      </c>
      <c r="E7825" s="29">
        <v>40544</v>
      </c>
      <c r="F7825" s="27">
        <v>15</v>
      </c>
      <c r="G7825" s="18">
        <v>70155.509999999995</v>
      </c>
      <c r="H7825" s="27">
        <f t="shared" si="244"/>
        <v>70155.509999999995</v>
      </c>
      <c r="I7825" s="18">
        <v>70155.509999999995</v>
      </c>
      <c r="J7825" s="27">
        <v>70155.509999999995</v>
      </c>
      <c r="K7825" s="18">
        <f t="shared" si="245"/>
        <v>70155.509999999995</v>
      </c>
      <c r="L7825" s="27">
        <v>66647.73</v>
      </c>
      <c r="M7825" s="36">
        <v>-3507.78</v>
      </c>
      <c r="T7825" s="41">
        <v>0</v>
      </c>
      <c r="U7825" s="41">
        <v>0</v>
      </c>
      <c r="V7825" s="42" t="s">
        <v>113</v>
      </c>
      <c r="W7825" s="42">
        <v>70155.509999999995</v>
      </c>
      <c r="X7825" s="42">
        <v>70155.509999999995</v>
      </c>
    </row>
    <row r="7826" spans="1:24">
      <c r="A7826" s="27" t="s">
        <v>14121</v>
      </c>
      <c r="B7826" s="28" t="s">
        <v>12240</v>
      </c>
      <c r="C7826" s="27" t="s">
        <v>14122</v>
      </c>
      <c r="D7826" s="27" t="s">
        <v>230</v>
      </c>
      <c r="E7826" s="29">
        <v>40544</v>
      </c>
      <c r="F7826" s="27">
        <v>15</v>
      </c>
      <c r="G7826" s="18">
        <v>70155.48</v>
      </c>
      <c r="H7826" s="27">
        <f t="shared" si="244"/>
        <v>70155.48</v>
      </c>
      <c r="I7826" s="18">
        <v>70155.48</v>
      </c>
      <c r="J7826" s="27">
        <v>70155.48</v>
      </c>
      <c r="K7826" s="18">
        <f t="shared" si="245"/>
        <v>70155.48</v>
      </c>
      <c r="L7826" s="27">
        <v>66647.710000000006</v>
      </c>
      <c r="M7826" s="36">
        <v>-3507.77</v>
      </c>
      <c r="T7826" s="41">
        <v>0</v>
      </c>
      <c r="U7826" s="41">
        <v>0</v>
      </c>
      <c r="V7826" s="42" t="s">
        <v>113</v>
      </c>
      <c r="W7826" s="42">
        <v>70155.48</v>
      </c>
      <c r="X7826" s="42">
        <v>70155.48</v>
      </c>
    </row>
    <row r="7827" spans="1:24">
      <c r="A7827" s="27" t="s">
        <v>14123</v>
      </c>
      <c r="B7827" s="28" t="s">
        <v>12240</v>
      </c>
      <c r="C7827" s="27" t="s">
        <v>14124</v>
      </c>
      <c r="D7827" s="27" t="s">
        <v>230</v>
      </c>
      <c r="E7827" s="29">
        <v>40544</v>
      </c>
      <c r="F7827" s="27">
        <v>15</v>
      </c>
      <c r="G7827" s="18">
        <v>72292.070000000007</v>
      </c>
      <c r="H7827" s="27">
        <f t="shared" si="244"/>
        <v>72292.070000000007</v>
      </c>
      <c r="I7827" s="18">
        <v>72292.070000000007</v>
      </c>
      <c r="J7827" s="27">
        <v>72292.070000000007</v>
      </c>
      <c r="K7827" s="18">
        <f t="shared" si="245"/>
        <v>72292.070000000007</v>
      </c>
      <c r="L7827" s="27">
        <v>68677.47</v>
      </c>
      <c r="M7827" s="36">
        <v>-3614.6</v>
      </c>
      <c r="T7827" s="41">
        <v>0</v>
      </c>
      <c r="U7827" s="41">
        <v>0</v>
      </c>
      <c r="V7827" s="42" t="s">
        <v>113</v>
      </c>
      <c r="W7827" s="42">
        <v>72292.070000000007</v>
      </c>
      <c r="X7827" s="42">
        <v>72292.070000000007</v>
      </c>
    </row>
    <row r="7828" spans="1:24">
      <c r="A7828" s="27" t="s">
        <v>14125</v>
      </c>
      <c r="B7828" s="28" t="s">
        <v>12240</v>
      </c>
      <c r="C7828" s="27" t="s">
        <v>14126</v>
      </c>
      <c r="D7828" s="27" t="s">
        <v>230</v>
      </c>
      <c r="E7828" s="29">
        <v>40544</v>
      </c>
      <c r="F7828" s="27">
        <v>15</v>
      </c>
      <c r="G7828" s="18">
        <v>72292.070000000007</v>
      </c>
      <c r="H7828" s="27">
        <f t="shared" si="244"/>
        <v>72292.070000000007</v>
      </c>
      <c r="I7828" s="18">
        <v>72292.070000000007</v>
      </c>
      <c r="J7828" s="27">
        <v>72292.070000000007</v>
      </c>
      <c r="K7828" s="18">
        <f t="shared" si="245"/>
        <v>72292.070000000007</v>
      </c>
      <c r="L7828" s="27">
        <v>68677.47</v>
      </c>
      <c r="M7828" s="36">
        <v>-3614.6</v>
      </c>
      <c r="T7828" s="41">
        <v>0</v>
      </c>
      <c r="U7828" s="41">
        <v>0</v>
      </c>
      <c r="V7828" s="42" t="s">
        <v>113</v>
      </c>
      <c r="W7828" s="42">
        <v>72292.070000000007</v>
      </c>
      <c r="X7828" s="42">
        <v>72292.070000000007</v>
      </c>
    </row>
    <row r="7829" spans="1:24">
      <c r="A7829" s="27" t="s">
        <v>14127</v>
      </c>
      <c r="B7829" s="28" t="s">
        <v>12240</v>
      </c>
      <c r="C7829" s="27" t="s">
        <v>14128</v>
      </c>
      <c r="D7829" s="27" t="s">
        <v>230</v>
      </c>
      <c r="E7829" s="29">
        <v>40544</v>
      </c>
      <c r="F7829" s="27">
        <v>15</v>
      </c>
      <c r="G7829" s="18">
        <v>41981.75</v>
      </c>
      <c r="H7829" s="27">
        <f t="shared" si="244"/>
        <v>41981.75</v>
      </c>
      <c r="I7829" s="18">
        <v>41981.75</v>
      </c>
      <c r="J7829" s="27">
        <v>41981.75</v>
      </c>
      <c r="K7829" s="18">
        <f t="shared" si="245"/>
        <v>41981.75</v>
      </c>
      <c r="L7829" s="27">
        <v>39882.660000000003</v>
      </c>
      <c r="M7829" s="36">
        <v>-2099.09</v>
      </c>
      <c r="T7829" s="41">
        <v>0</v>
      </c>
      <c r="U7829" s="41">
        <v>0</v>
      </c>
      <c r="V7829" s="42" t="s">
        <v>113</v>
      </c>
      <c r="W7829" s="42">
        <v>41981.75</v>
      </c>
      <c r="X7829" s="42">
        <v>41981.75</v>
      </c>
    </row>
    <row r="7830" spans="1:24">
      <c r="A7830" s="27" t="s">
        <v>14129</v>
      </c>
      <c r="B7830" s="28" t="s">
        <v>12240</v>
      </c>
      <c r="C7830" s="27" t="s">
        <v>14130</v>
      </c>
      <c r="D7830" s="27" t="s">
        <v>230</v>
      </c>
      <c r="E7830" s="29">
        <v>40544</v>
      </c>
      <c r="F7830" s="27">
        <v>15</v>
      </c>
      <c r="G7830" s="18">
        <v>31243.47</v>
      </c>
      <c r="H7830" s="27">
        <f t="shared" si="244"/>
        <v>31243.47</v>
      </c>
      <c r="I7830" s="18">
        <v>31243.47</v>
      </c>
      <c r="J7830" s="27">
        <v>31243.47</v>
      </c>
      <c r="K7830" s="18">
        <f t="shared" si="245"/>
        <v>31243.47</v>
      </c>
      <c r="L7830" s="27">
        <v>29681.3</v>
      </c>
      <c r="M7830" s="36">
        <v>-1562.17</v>
      </c>
      <c r="T7830" s="41">
        <v>0</v>
      </c>
      <c r="U7830" s="41">
        <v>0</v>
      </c>
      <c r="V7830" s="42" t="s">
        <v>113</v>
      </c>
      <c r="W7830" s="42">
        <v>31243.47</v>
      </c>
      <c r="X7830" s="42">
        <v>31243.47</v>
      </c>
    </row>
    <row r="7831" spans="1:24">
      <c r="A7831" s="27" t="s">
        <v>14131</v>
      </c>
      <c r="B7831" s="28" t="s">
        <v>12240</v>
      </c>
      <c r="C7831" s="27" t="s">
        <v>14132</v>
      </c>
      <c r="D7831" s="27" t="s">
        <v>5104</v>
      </c>
      <c r="E7831" s="29">
        <v>40544</v>
      </c>
      <c r="F7831" s="27">
        <v>15</v>
      </c>
      <c r="G7831" s="18">
        <v>31243.47</v>
      </c>
      <c r="H7831" s="27">
        <f t="shared" si="244"/>
        <v>31243.47</v>
      </c>
      <c r="I7831" s="18">
        <v>31243.47</v>
      </c>
      <c r="J7831" s="27">
        <v>31243.47</v>
      </c>
      <c r="K7831" s="18">
        <f t="shared" si="245"/>
        <v>31243.47</v>
      </c>
      <c r="L7831" s="27">
        <v>29681.3</v>
      </c>
      <c r="M7831" s="36">
        <v>-1562.17</v>
      </c>
      <c r="T7831" s="41">
        <v>0</v>
      </c>
      <c r="U7831" s="41">
        <v>0</v>
      </c>
      <c r="V7831" s="42" t="s">
        <v>113</v>
      </c>
      <c r="W7831" s="42">
        <v>31243.47</v>
      </c>
      <c r="X7831" s="42">
        <v>31243.47</v>
      </c>
    </row>
    <row r="7832" spans="1:24">
      <c r="A7832" s="27" t="s">
        <v>14133</v>
      </c>
      <c r="B7832" s="28" t="s">
        <v>12240</v>
      </c>
      <c r="C7832" s="27" t="s">
        <v>14134</v>
      </c>
      <c r="D7832" s="27" t="s">
        <v>230</v>
      </c>
      <c r="E7832" s="29">
        <v>40544</v>
      </c>
      <c r="F7832" s="27">
        <v>15</v>
      </c>
      <c r="G7832" s="18">
        <v>31243.47</v>
      </c>
      <c r="H7832" s="27">
        <f t="shared" si="244"/>
        <v>31243.47</v>
      </c>
      <c r="I7832" s="18">
        <v>31243.47</v>
      </c>
      <c r="J7832" s="27">
        <v>31243.47</v>
      </c>
      <c r="K7832" s="18">
        <f t="shared" si="245"/>
        <v>31243.47</v>
      </c>
      <c r="L7832" s="27">
        <v>29681.3</v>
      </c>
      <c r="M7832" s="36">
        <v>-1562.17</v>
      </c>
      <c r="T7832" s="41">
        <v>0</v>
      </c>
      <c r="U7832" s="41">
        <v>0</v>
      </c>
      <c r="V7832" s="42" t="s">
        <v>113</v>
      </c>
      <c r="W7832" s="42">
        <v>31243.47</v>
      </c>
      <c r="X7832" s="42">
        <v>31243.47</v>
      </c>
    </row>
    <row r="7833" spans="1:24">
      <c r="A7833" s="27" t="s">
        <v>14135</v>
      </c>
      <c r="B7833" s="28" t="s">
        <v>12240</v>
      </c>
      <c r="C7833" s="27" t="s">
        <v>14136</v>
      </c>
      <c r="D7833" s="27" t="s">
        <v>230</v>
      </c>
      <c r="E7833" s="29">
        <v>40544</v>
      </c>
      <c r="F7833" s="27">
        <v>15</v>
      </c>
      <c r="G7833" s="18">
        <v>31243.47</v>
      </c>
      <c r="H7833" s="27">
        <f t="shared" si="244"/>
        <v>31243.47</v>
      </c>
      <c r="I7833" s="18">
        <v>31243.47</v>
      </c>
      <c r="J7833" s="27">
        <v>31243.47</v>
      </c>
      <c r="K7833" s="18">
        <f t="shared" si="245"/>
        <v>31243.47</v>
      </c>
      <c r="L7833" s="27">
        <v>29681.3</v>
      </c>
      <c r="M7833" s="36">
        <v>-1562.17</v>
      </c>
      <c r="T7833" s="41">
        <v>0</v>
      </c>
      <c r="U7833" s="41">
        <v>0</v>
      </c>
      <c r="V7833" s="42" t="s">
        <v>113</v>
      </c>
      <c r="W7833" s="42">
        <v>31243.47</v>
      </c>
      <c r="X7833" s="42">
        <v>31243.47</v>
      </c>
    </row>
    <row r="7834" spans="1:24">
      <c r="A7834" s="27" t="s">
        <v>14137</v>
      </c>
      <c r="B7834" s="28" t="s">
        <v>12240</v>
      </c>
      <c r="C7834" s="27" t="s">
        <v>14138</v>
      </c>
      <c r="D7834" s="27" t="s">
        <v>230</v>
      </c>
      <c r="E7834" s="29">
        <v>40544</v>
      </c>
      <c r="F7834" s="27">
        <v>15</v>
      </c>
      <c r="G7834" s="18">
        <v>31243.47</v>
      </c>
      <c r="H7834" s="27">
        <f t="shared" si="244"/>
        <v>31243.47</v>
      </c>
      <c r="I7834" s="18">
        <v>31243.47</v>
      </c>
      <c r="J7834" s="27">
        <v>31243.47</v>
      </c>
      <c r="K7834" s="18">
        <f t="shared" si="245"/>
        <v>31243.47</v>
      </c>
      <c r="L7834" s="27">
        <v>29681.3</v>
      </c>
      <c r="M7834" s="36">
        <v>-1562.17</v>
      </c>
      <c r="T7834" s="41">
        <v>0</v>
      </c>
      <c r="U7834" s="41">
        <v>0</v>
      </c>
      <c r="V7834" s="42" t="s">
        <v>113</v>
      </c>
      <c r="W7834" s="42">
        <v>31243.47</v>
      </c>
      <c r="X7834" s="42">
        <v>31243.47</v>
      </c>
    </row>
    <row r="7835" spans="1:24">
      <c r="A7835" s="27" t="s">
        <v>14139</v>
      </c>
      <c r="B7835" s="28" t="s">
        <v>12240</v>
      </c>
      <c r="C7835" s="27" t="s">
        <v>14140</v>
      </c>
      <c r="D7835" s="27" t="s">
        <v>230</v>
      </c>
      <c r="E7835" s="29">
        <v>40544</v>
      </c>
      <c r="F7835" s="27">
        <v>15</v>
      </c>
      <c r="G7835" s="18">
        <v>31243.47</v>
      </c>
      <c r="H7835" s="27">
        <f t="shared" si="244"/>
        <v>31243.47</v>
      </c>
      <c r="I7835" s="18">
        <v>31243.47</v>
      </c>
      <c r="J7835" s="27">
        <v>31243.47</v>
      </c>
      <c r="K7835" s="18">
        <f t="shared" si="245"/>
        <v>31243.47</v>
      </c>
      <c r="L7835" s="27">
        <v>29681.3</v>
      </c>
      <c r="M7835" s="36">
        <v>-1562.17</v>
      </c>
      <c r="T7835" s="41">
        <v>0</v>
      </c>
      <c r="U7835" s="41">
        <v>0</v>
      </c>
      <c r="V7835" s="42" t="s">
        <v>113</v>
      </c>
      <c r="W7835" s="42">
        <v>31243.47</v>
      </c>
      <c r="X7835" s="42">
        <v>31243.47</v>
      </c>
    </row>
    <row r="7836" spans="1:24">
      <c r="A7836" s="27" t="s">
        <v>14141</v>
      </c>
      <c r="B7836" s="28" t="s">
        <v>12240</v>
      </c>
      <c r="C7836" s="27" t="s">
        <v>14142</v>
      </c>
      <c r="D7836" s="27" t="s">
        <v>230</v>
      </c>
      <c r="E7836" s="29">
        <v>40544</v>
      </c>
      <c r="F7836" s="27">
        <v>15</v>
      </c>
      <c r="G7836" s="18">
        <v>31243.47</v>
      </c>
      <c r="H7836" s="27">
        <f t="shared" si="244"/>
        <v>31243.47</v>
      </c>
      <c r="I7836" s="18">
        <v>31243.47</v>
      </c>
      <c r="J7836" s="27">
        <v>31243.47</v>
      </c>
      <c r="K7836" s="18">
        <f t="shared" si="245"/>
        <v>31243.47</v>
      </c>
      <c r="L7836" s="27">
        <v>29681.3</v>
      </c>
      <c r="M7836" s="36">
        <v>-1562.17</v>
      </c>
      <c r="T7836" s="41">
        <v>0</v>
      </c>
      <c r="U7836" s="41">
        <v>0</v>
      </c>
      <c r="V7836" s="42" t="s">
        <v>113</v>
      </c>
      <c r="W7836" s="42">
        <v>31243.47</v>
      </c>
      <c r="X7836" s="42">
        <v>31243.47</v>
      </c>
    </row>
    <row r="7837" spans="1:24">
      <c r="A7837" s="27" t="s">
        <v>14143</v>
      </c>
      <c r="B7837" s="28" t="s">
        <v>12240</v>
      </c>
      <c r="C7837" s="27" t="s">
        <v>14144</v>
      </c>
      <c r="D7837" s="27" t="s">
        <v>230</v>
      </c>
      <c r="E7837" s="29">
        <v>40544</v>
      </c>
      <c r="F7837" s="27">
        <v>15</v>
      </c>
      <c r="G7837" s="18">
        <v>31243.47</v>
      </c>
      <c r="H7837" s="27">
        <f t="shared" si="244"/>
        <v>31243.47</v>
      </c>
      <c r="I7837" s="18">
        <v>31243.47</v>
      </c>
      <c r="J7837" s="27">
        <v>31243.47</v>
      </c>
      <c r="K7837" s="18">
        <f t="shared" si="245"/>
        <v>31243.47</v>
      </c>
      <c r="L7837" s="27">
        <v>29681.3</v>
      </c>
      <c r="M7837" s="36">
        <v>-1562.17</v>
      </c>
      <c r="T7837" s="41">
        <v>0</v>
      </c>
      <c r="U7837" s="41">
        <v>0</v>
      </c>
      <c r="V7837" s="42" t="s">
        <v>113</v>
      </c>
      <c r="W7837" s="42">
        <v>31243.47</v>
      </c>
      <c r="X7837" s="42">
        <v>31243.47</v>
      </c>
    </row>
    <row r="7838" spans="1:24">
      <c r="A7838" s="27" t="s">
        <v>14145</v>
      </c>
      <c r="B7838" s="28" t="s">
        <v>12240</v>
      </c>
      <c r="C7838" s="27" t="s">
        <v>14146</v>
      </c>
      <c r="D7838" s="27" t="s">
        <v>230</v>
      </c>
      <c r="E7838" s="29">
        <v>40544</v>
      </c>
      <c r="F7838" s="27">
        <v>15</v>
      </c>
      <c r="G7838" s="18">
        <v>31243.47</v>
      </c>
      <c r="H7838" s="27">
        <f t="shared" si="244"/>
        <v>31243.47</v>
      </c>
      <c r="I7838" s="18">
        <v>31243.47</v>
      </c>
      <c r="J7838" s="27">
        <v>31243.47</v>
      </c>
      <c r="K7838" s="18">
        <f t="shared" si="245"/>
        <v>31243.47</v>
      </c>
      <c r="L7838" s="27">
        <v>29681.3</v>
      </c>
      <c r="M7838" s="36">
        <v>-1562.17</v>
      </c>
      <c r="T7838" s="41">
        <v>0</v>
      </c>
      <c r="U7838" s="41">
        <v>0</v>
      </c>
      <c r="V7838" s="42" t="s">
        <v>113</v>
      </c>
      <c r="W7838" s="42">
        <v>31243.47</v>
      </c>
      <c r="X7838" s="42">
        <v>31243.47</v>
      </c>
    </row>
    <row r="7839" spans="1:24">
      <c r="A7839" s="27" t="s">
        <v>14147</v>
      </c>
      <c r="B7839" s="28" t="s">
        <v>12240</v>
      </c>
      <c r="C7839" s="27" t="s">
        <v>14148</v>
      </c>
      <c r="D7839" s="27" t="s">
        <v>230</v>
      </c>
      <c r="E7839" s="29">
        <v>40544</v>
      </c>
      <c r="F7839" s="27">
        <v>15</v>
      </c>
      <c r="G7839" s="18">
        <v>31243.47</v>
      </c>
      <c r="H7839" s="27">
        <f t="shared" si="244"/>
        <v>31243.47</v>
      </c>
      <c r="I7839" s="18">
        <v>31243.47</v>
      </c>
      <c r="J7839" s="27">
        <v>31243.47</v>
      </c>
      <c r="K7839" s="18">
        <f t="shared" si="245"/>
        <v>31243.47</v>
      </c>
      <c r="L7839" s="27">
        <v>29681.3</v>
      </c>
      <c r="M7839" s="36">
        <v>-1562.17</v>
      </c>
      <c r="T7839" s="41">
        <v>0</v>
      </c>
      <c r="U7839" s="41">
        <v>0</v>
      </c>
      <c r="V7839" s="42" t="s">
        <v>113</v>
      </c>
      <c r="W7839" s="42">
        <v>31243.47</v>
      </c>
      <c r="X7839" s="42">
        <v>31243.47</v>
      </c>
    </row>
    <row r="7840" spans="1:24">
      <c r="A7840" s="27" t="s">
        <v>14149</v>
      </c>
      <c r="B7840" s="28" t="s">
        <v>12240</v>
      </c>
      <c r="C7840" s="27" t="s">
        <v>14150</v>
      </c>
      <c r="D7840" s="27" t="s">
        <v>230</v>
      </c>
      <c r="E7840" s="29">
        <v>40544</v>
      </c>
      <c r="F7840" s="27">
        <v>15</v>
      </c>
      <c r="G7840" s="18">
        <v>31243.47</v>
      </c>
      <c r="H7840" s="27">
        <f t="shared" si="244"/>
        <v>31243.47</v>
      </c>
      <c r="I7840" s="18">
        <v>31243.47</v>
      </c>
      <c r="J7840" s="27">
        <v>31243.47</v>
      </c>
      <c r="K7840" s="18">
        <f t="shared" si="245"/>
        <v>31243.47</v>
      </c>
      <c r="L7840" s="27">
        <v>29681.3</v>
      </c>
      <c r="M7840" s="36">
        <v>-1562.17</v>
      </c>
      <c r="T7840" s="41">
        <v>0</v>
      </c>
      <c r="U7840" s="41">
        <v>0</v>
      </c>
      <c r="V7840" s="42" t="s">
        <v>113</v>
      </c>
      <c r="W7840" s="42">
        <v>31243.47</v>
      </c>
      <c r="X7840" s="42">
        <v>31243.47</v>
      </c>
    </row>
    <row r="7841" spans="1:24">
      <c r="A7841" s="27" t="s">
        <v>14151</v>
      </c>
      <c r="B7841" s="28" t="s">
        <v>12240</v>
      </c>
      <c r="C7841" s="27" t="s">
        <v>14152</v>
      </c>
      <c r="D7841" s="27" t="s">
        <v>230</v>
      </c>
      <c r="E7841" s="29">
        <v>40544</v>
      </c>
      <c r="F7841" s="27">
        <v>15</v>
      </c>
      <c r="G7841" s="18">
        <v>31243.47</v>
      </c>
      <c r="H7841" s="27">
        <f t="shared" si="244"/>
        <v>31243.47</v>
      </c>
      <c r="I7841" s="18">
        <v>31243.47</v>
      </c>
      <c r="J7841" s="27">
        <v>31243.47</v>
      </c>
      <c r="K7841" s="18">
        <f t="shared" si="245"/>
        <v>31243.47</v>
      </c>
      <c r="L7841" s="27">
        <v>29681.3</v>
      </c>
      <c r="M7841" s="36">
        <v>-1562.17</v>
      </c>
      <c r="T7841" s="41">
        <v>0</v>
      </c>
      <c r="U7841" s="41">
        <v>0</v>
      </c>
      <c r="V7841" s="42" t="s">
        <v>113</v>
      </c>
      <c r="W7841" s="42">
        <v>31243.47</v>
      </c>
      <c r="X7841" s="42">
        <v>31243.47</v>
      </c>
    </row>
    <row r="7842" spans="1:24">
      <c r="A7842" s="27" t="s">
        <v>14153</v>
      </c>
      <c r="B7842" s="28" t="s">
        <v>12240</v>
      </c>
      <c r="C7842" s="27" t="s">
        <v>14154</v>
      </c>
      <c r="D7842" s="27" t="s">
        <v>230</v>
      </c>
      <c r="E7842" s="29">
        <v>40544</v>
      </c>
      <c r="F7842" s="27">
        <v>15</v>
      </c>
      <c r="G7842" s="18">
        <v>31243.47</v>
      </c>
      <c r="H7842" s="27">
        <f t="shared" si="244"/>
        <v>31243.47</v>
      </c>
      <c r="I7842" s="18">
        <v>31243.47</v>
      </c>
      <c r="J7842" s="27">
        <v>31243.47</v>
      </c>
      <c r="K7842" s="18">
        <f t="shared" si="245"/>
        <v>31243.47</v>
      </c>
      <c r="L7842" s="27">
        <v>29681.3</v>
      </c>
      <c r="M7842" s="36">
        <v>-1562.17</v>
      </c>
      <c r="T7842" s="41">
        <v>0</v>
      </c>
      <c r="U7842" s="41">
        <v>0</v>
      </c>
      <c r="V7842" s="42" t="s">
        <v>113</v>
      </c>
      <c r="W7842" s="42">
        <v>31243.47</v>
      </c>
      <c r="X7842" s="42">
        <v>31243.47</v>
      </c>
    </row>
    <row r="7843" spans="1:24">
      <c r="A7843" s="27" t="s">
        <v>14155</v>
      </c>
      <c r="B7843" s="28" t="s">
        <v>12240</v>
      </c>
      <c r="C7843" s="27" t="s">
        <v>14156</v>
      </c>
      <c r="D7843" s="27" t="s">
        <v>230</v>
      </c>
      <c r="E7843" s="29">
        <v>40544</v>
      </c>
      <c r="F7843" s="27">
        <v>15</v>
      </c>
      <c r="G7843" s="18">
        <v>31243.47</v>
      </c>
      <c r="H7843" s="27">
        <f t="shared" si="244"/>
        <v>31243.47</v>
      </c>
      <c r="I7843" s="18">
        <v>31243.47</v>
      </c>
      <c r="J7843" s="27">
        <v>31243.47</v>
      </c>
      <c r="K7843" s="18">
        <f t="shared" si="245"/>
        <v>31243.47</v>
      </c>
      <c r="L7843" s="27">
        <v>29681.3</v>
      </c>
      <c r="M7843" s="36">
        <v>-1562.17</v>
      </c>
      <c r="T7843" s="41">
        <v>0</v>
      </c>
      <c r="U7843" s="41">
        <v>0</v>
      </c>
      <c r="V7843" s="42" t="s">
        <v>113</v>
      </c>
      <c r="W7843" s="42">
        <v>31243.47</v>
      </c>
      <c r="X7843" s="42">
        <v>31243.47</v>
      </c>
    </row>
    <row r="7844" spans="1:24">
      <c r="A7844" s="27" t="s">
        <v>14157</v>
      </c>
      <c r="B7844" s="28" t="s">
        <v>12240</v>
      </c>
      <c r="C7844" s="27" t="s">
        <v>14158</v>
      </c>
      <c r="D7844" s="27" t="s">
        <v>230</v>
      </c>
      <c r="E7844" s="29">
        <v>40544</v>
      </c>
      <c r="F7844" s="27">
        <v>15</v>
      </c>
      <c r="G7844" s="18">
        <v>31243.47</v>
      </c>
      <c r="H7844" s="27">
        <f t="shared" si="244"/>
        <v>31243.47</v>
      </c>
      <c r="I7844" s="18">
        <v>31243.47</v>
      </c>
      <c r="J7844" s="27">
        <v>31243.47</v>
      </c>
      <c r="K7844" s="18">
        <f t="shared" si="245"/>
        <v>31243.47</v>
      </c>
      <c r="L7844" s="27">
        <v>29681.3</v>
      </c>
      <c r="M7844" s="36">
        <v>-1562.17</v>
      </c>
      <c r="T7844" s="41">
        <v>0</v>
      </c>
      <c r="U7844" s="41">
        <v>0</v>
      </c>
      <c r="V7844" s="42" t="s">
        <v>113</v>
      </c>
      <c r="W7844" s="42">
        <v>31243.47</v>
      </c>
      <c r="X7844" s="42">
        <v>31243.47</v>
      </c>
    </row>
    <row r="7845" spans="1:24">
      <c r="A7845" s="27" t="s">
        <v>14159</v>
      </c>
      <c r="B7845" s="28" t="s">
        <v>12240</v>
      </c>
      <c r="C7845" s="27" t="s">
        <v>14160</v>
      </c>
      <c r="D7845" s="27" t="s">
        <v>230</v>
      </c>
      <c r="E7845" s="29">
        <v>40544</v>
      </c>
      <c r="F7845" s="27">
        <v>15</v>
      </c>
      <c r="G7845" s="18">
        <v>31243.39</v>
      </c>
      <c r="H7845" s="27">
        <f t="shared" si="244"/>
        <v>31243.39</v>
      </c>
      <c r="I7845" s="18">
        <v>31243.39</v>
      </c>
      <c r="J7845" s="27">
        <v>31243.39</v>
      </c>
      <c r="K7845" s="18">
        <f t="shared" si="245"/>
        <v>31243.39</v>
      </c>
      <c r="L7845" s="27">
        <v>29681.22</v>
      </c>
      <c r="M7845" s="36">
        <v>-1562.17</v>
      </c>
      <c r="T7845" s="41">
        <v>0</v>
      </c>
      <c r="U7845" s="41">
        <v>0</v>
      </c>
      <c r="V7845" s="42" t="s">
        <v>113</v>
      </c>
      <c r="W7845" s="42">
        <v>31243.39</v>
      </c>
      <c r="X7845" s="42">
        <v>31243.39</v>
      </c>
    </row>
    <row r="7846" spans="1:24">
      <c r="A7846" s="27" t="s">
        <v>14161</v>
      </c>
      <c r="B7846" s="28" t="s">
        <v>12240</v>
      </c>
      <c r="C7846" s="27" t="s">
        <v>14162</v>
      </c>
      <c r="D7846" s="27" t="s">
        <v>5104</v>
      </c>
      <c r="E7846" s="29">
        <v>40544</v>
      </c>
      <c r="F7846" s="27">
        <v>15</v>
      </c>
      <c r="G7846" s="18">
        <v>69891.199999999997</v>
      </c>
      <c r="H7846" s="27">
        <f t="shared" si="244"/>
        <v>69891.199999999997</v>
      </c>
      <c r="I7846" s="18">
        <v>69891.199999999997</v>
      </c>
      <c r="J7846" s="27">
        <v>69891.199999999997</v>
      </c>
      <c r="K7846" s="18">
        <f t="shared" si="245"/>
        <v>69891.199999999997</v>
      </c>
      <c r="L7846" s="27">
        <v>66396.639999999999</v>
      </c>
      <c r="M7846" s="36">
        <v>-3494.56</v>
      </c>
      <c r="T7846" s="41">
        <v>0</v>
      </c>
      <c r="U7846" s="41">
        <v>0</v>
      </c>
      <c r="V7846" s="42" t="s">
        <v>113</v>
      </c>
      <c r="W7846" s="42">
        <v>69891.199999999997</v>
      </c>
      <c r="X7846" s="42">
        <v>69891.199999999997</v>
      </c>
    </row>
    <row r="7847" spans="1:24">
      <c r="A7847" s="27" t="s">
        <v>14163</v>
      </c>
      <c r="B7847" s="28" t="s">
        <v>12240</v>
      </c>
      <c r="C7847" s="27" t="s">
        <v>14164</v>
      </c>
      <c r="D7847" s="27" t="s">
        <v>5104</v>
      </c>
      <c r="E7847" s="29">
        <v>40544</v>
      </c>
      <c r="F7847" s="27">
        <v>15</v>
      </c>
      <c r="G7847" s="18">
        <v>69891.199999999997</v>
      </c>
      <c r="H7847" s="27">
        <f t="shared" si="244"/>
        <v>69891.199999999997</v>
      </c>
      <c r="I7847" s="18">
        <v>69891.199999999997</v>
      </c>
      <c r="J7847" s="27">
        <v>69891.199999999997</v>
      </c>
      <c r="K7847" s="18">
        <f t="shared" si="245"/>
        <v>69891.199999999997</v>
      </c>
      <c r="L7847" s="27">
        <v>66396.639999999999</v>
      </c>
      <c r="M7847" s="36">
        <v>-3494.56</v>
      </c>
      <c r="T7847" s="41">
        <v>0</v>
      </c>
      <c r="U7847" s="41">
        <v>0</v>
      </c>
      <c r="V7847" s="42" t="s">
        <v>113</v>
      </c>
      <c r="W7847" s="42">
        <v>69891.199999999997</v>
      </c>
      <c r="X7847" s="42">
        <v>69891.199999999997</v>
      </c>
    </row>
    <row r="7848" spans="1:24">
      <c r="A7848" s="27" t="s">
        <v>14165</v>
      </c>
      <c r="B7848" s="28" t="s">
        <v>12240</v>
      </c>
      <c r="C7848" s="27" t="s">
        <v>14166</v>
      </c>
      <c r="D7848" s="27" t="s">
        <v>230</v>
      </c>
      <c r="E7848" s="29">
        <v>40544</v>
      </c>
      <c r="F7848" s="27">
        <v>15</v>
      </c>
      <c r="G7848" s="18">
        <v>69891.199999999997</v>
      </c>
      <c r="H7848" s="27">
        <f t="shared" si="244"/>
        <v>69891.199999999997</v>
      </c>
      <c r="I7848" s="18">
        <v>69891.199999999997</v>
      </c>
      <c r="J7848" s="27">
        <v>69891.199999999997</v>
      </c>
      <c r="K7848" s="18">
        <f t="shared" si="245"/>
        <v>69891.199999999997</v>
      </c>
      <c r="L7848" s="27">
        <v>66396.639999999999</v>
      </c>
      <c r="M7848" s="36">
        <v>-3494.56</v>
      </c>
      <c r="T7848" s="41">
        <v>0</v>
      </c>
      <c r="U7848" s="41">
        <v>0</v>
      </c>
      <c r="V7848" s="42" t="s">
        <v>113</v>
      </c>
      <c r="W7848" s="42">
        <v>69891.199999999997</v>
      </c>
      <c r="X7848" s="42">
        <v>69891.199999999997</v>
      </c>
    </row>
    <row r="7849" spans="1:24">
      <c r="A7849" s="27" t="s">
        <v>14167</v>
      </c>
      <c r="B7849" s="28" t="s">
        <v>12240</v>
      </c>
      <c r="C7849" s="27" t="s">
        <v>14168</v>
      </c>
      <c r="D7849" s="27" t="s">
        <v>230</v>
      </c>
      <c r="E7849" s="29">
        <v>40544</v>
      </c>
      <c r="F7849" s="27">
        <v>15</v>
      </c>
      <c r="G7849" s="18">
        <v>69891.199999999997</v>
      </c>
      <c r="H7849" s="27">
        <f t="shared" si="244"/>
        <v>69891.199999999997</v>
      </c>
      <c r="I7849" s="18">
        <v>69891.199999999997</v>
      </c>
      <c r="J7849" s="27">
        <v>69891.199999999997</v>
      </c>
      <c r="K7849" s="18">
        <f t="shared" si="245"/>
        <v>69891.199999999997</v>
      </c>
      <c r="L7849" s="27">
        <v>66396.639999999999</v>
      </c>
      <c r="M7849" s="36">
        <v>-3494.56</v>
      </c>
      <c r="T7849" s="41">
        <v>0</v>
      </c>
      <c r="U7849" s="41">
        <v>0</v>
      </c>
      <c r="V7849" s="42" t="s">
        <v>113</v>
      </c>
      <c r="W7849" s="42">
        <v>69891.199999999997</v>
      </c>
      <c r="X7849" s="42">
        <v>69891.199999999997</v>
      </c>
    </row>
    <row r="7850" spans="1:24">
      <c r="A7850" s="27" t="s">
        <v>14169</v>
      </c>
      <c r="B7850" s="28" t="s">
        <v>12240</v>
      </c>
      <c r="C7850" s="27" t="s">
        <v>14170</v>
      </c>
      <c r="D7850" s="27" t="s">
        <v>230</v>
      </c>
      <c r="E7850" s="29">
        <v>40544</v>
      </c>
      <c r="F7850" s="27">
        <v>15</v>
      </c>
      <c r="G7850" s="18">
        <v>8031.65</v>
      </c>
      <c r="H7850" s="27">
        <f t="shared" si="244"/>
        <v>8031.65</v>
      </c>
      <c r="I7850" s="18">
        <v>8031.65</v>
      </c>
      <c r="J7850" s="27">
        <v>8031.65</v>
      </c>
      <c r="K7850" s="18">
        <f t="shared" si="245"/>
        <v>8031.65</v>
      </c>
      <c r="L7850" s="27">
        <v>7630.07</v>
      </c>
      <c r="M7850" s="36">
        <v>-401.58</v>
      </c>
      <c r="T7850" s="41">
        <v>0</v>
      </c>
      <c r="U7850" s="41">
        <v>0</v>
      </c>
      <c r="V7850" s="42" t="s">
        <v>113</v>
      </c>
      <c r="W7850" s="42">
        <v>8031.65</v>
      </c>
      <c r="X7850" s="42">
        <v>8031.65</v>
      </c>
    </row>
    <row r="7851" spans="1:24">
      <c r="A7851" s="27" t="s">
        <v>14171</v>
      </c>
      <c r="B7851" s="28" t="s">
        <v>12240</v>
      </c>
      <c r="C7851" s="27" t="s">
        <v>14172</v>
      </c>
      <c r="D7851" s="27" t="s">
        <v>230</v>
      </c>
      <c r="E7851" s="29">
        <v>40544</v>
      </c>
      <c r="F7851" s="27">
        <v>15</v>
      </c>
      <c r="G7851" s="18">
        <v>8031.64</v>
      </c>
      <c r="H7851" s="27">
        <f t="shared" si="244"/>
        <v>8031.64</v>
      </c>
      <c r="I7851" s="18">
        <v>8031.64</v>
      </c>
      <c r="J7851" s="27">
        <v>8031.64</v>
      </c>
      <c r="K7851" s="18">
        <f t="shared" si="245"/>
        <v>8031.64</v>
      </c>
      <c r="L7851" s="27">
        <v>7630.06</v>
      </c>
      <c r="M7851" s="36">
        <v>-401.58</v>
      </c>
      <c r="T7851" s="41">
        <v>0</v>
      </c>
      <c r="U7851" s="41">
        <v>0</v>
      </c>
      <c r="V7851" s="42" t="s">
        <v>113</v>
      </c>
      <c r="W7851" s="42">
        <v>8031.64</v>
      </c>
      <c r="X7851" s="42">
        <v>8031.64</v>
      </c>
    </row>
    <row r="7852" spans="1:24">
      <c r="A7852" s="27" t="s">
        <v>14173</v>
      </c>
      <c r="B7852" s="28" t="s">
        <v>12240</v>
      </c>
      <c r="C7852" s="27" t="s">
        <v>14174</v>
      </c>
      <c r="D7852" s="27" t="s">
        <v>5104</v>
      </c>
      <c r="E7852" s="29">
        <v>40544</v>
      </c>
      <c r="F7852" s="27">
        <v>15</v>
      </c>
      <c r="G7852" s="18">
        <v>34829.050000000003</v>
      </c>
      <c r="H7852" s="27">
        <f t="shared" si="244"/>
        <v>34829.050000000003</v>
      </c>
      <c r="I7852" s="18">
        <v>34829.050000000003</v>
      </c>
      <c r="J7852" s="27">
        <v>34829.050000000003</v>
      </c>
      <c r="K7852" s="18">
        <f t="shared" si="245"/>
        <v>34829.050000000003</v>
      </c>
      <c r="L7852" s="27">
        <v>33087.599999999999</v>
      </c>
      <c r="M7852" s="36">
        <v>-1741.45</v>
      </c>
      <c r="T7852" s="41">
        <v>0</v>
      </c>
      <c r="U7852" s="41">
        <v>0</v>
      </c>
      <c r="V7852" s="42" t="s">
        <v>113</v>
      </c>
      <c r="W7852" s="42">
        <v>34829.050000000003</v>
      </c>
      <c r="X7852" s="42">
        <v>34829.050000000003</v>
      </c>
    </row>
    <row r="7853" spans="1:24">
      <c r="A7853" s="27" t="s">
        <v>14175</v>
      </c>
      <c r="B7853" s="28" t="s">
        <v>12240</v>
      </c>
      <c r="C7853" s="27" t="s">
        <v>14176</v>
      </c>
      <c r="D7853" s="27" t="s">
        <v>230</v>
      </c>
      <c r="E7853" s="29">
        <v>40544</v>
      </c>
      <c r="F7853" s="27">
        <v>15</v>
      </c>
      <c r="G7853" s="18">
        <v>34829.050000000003</v>
      </c>
      <c r="H7853" s="27">
        <f t="shared" si="244"/>
        <v>34829.050000000003</v>
      </c>
      <c r="I7853" s="18">
        <v>34829.050000000003</v>
      </c>
      <c r="J7853" s="27">
        <v>34829.050000000003</v>
      </c>
      <c r="K7853" s="18">
        <f t="shared" si="245"/>
        <v>34829.050000000003</v>
      </c>
      <c r="L7853" s="27">
        <v>33087.599999999999</v>
      </c>
      <c r="M7853" s="36">
        <v>-1741.45</v>
      </c>
      <c r="T7853" s="41">
        <v>0</v>
      </c>
      <c r="U7853" s="41">
        <v>0</v>
      </c>
      <c r="V7853" s="42" t="s">
        <v>113</v>
      </c>
      <c r="W7853" s="42">
        <v>34829.050000000003</v>
      </c>
      <c r="X7853" s="42">
        <v>34829.050000000003</v>
      </c>
    </row>
    <row r="7854" spans="1:24">
      <c r="A7854" s="27" t="s">
        <v>14177</v>
      </c>
      <c r="B7854" s="28" t="s">
        <v>12240</v>
      </c>
      <c r="C7854" s="27" t="s">
        <v>14178</v>
      </c>
      <c r="D7854" s="27" t="s">
        <v>5104</v>
      </c>
      <c r="E7854" s="29">
        <v>40544</v>
      </c>
      <c r="F7854" s="27">
        <v>15</v>
      </c>
      <c r="G7854" s="18">
        <v>34829.050000000003</v>
      </c>
      <c r="H7854" s="27">
        <f t="shared" si="244"/>
        <v>34829.050000000003</v>
      </c>
      <c r="I7854" s="18">
        <v>34829.050000000003</v>
      </c>
      <c r="J7854" s="27">
        <v>34829.050000000003</v>
      </c>
      <c r="K7854" s="18">
        <f t="shared" si="245"/>
        <v>34829.050000000003</v>
      </c>
      <c r="L7854" s="27">
        <v>33087.599999999999</v>
      </c>
      <c r="M7854" s="36">
        <v>-1741.45</v>
      </c>
      <c r="T7854" s="41">
        <v>0</v>
      </c>
      <c r="U7854" s="41">
        <v>0</v>
      </c>
      <c r="V7854" s="42" t="s">
        <v>113</v>
      </c>
      <c r="W7854" s="42">
        <v>34829.050000000003</v>
      </c>
      <c r="X7854" s="42">
        <v>34829.050000000003</v>
      </c>
    </row>
    <row r="7855" spans="1:24">
      <c r="A7855" s="27" t="s">
        <v>14179</v>
      </c>
      <c r="B7855" s="28" t="s">
        <v>12240</v>
      </c>
      <c r="C7855" s="27" t="s">
        <v>14180</v>
      </c>
      <c r="D7855" s="27" t="s">
        <v>5104</v>
      </c>
      <c r="E7855" s="29">
        <v>40544</v>
      </c>
      <c r="F7855" s="27">
        <v>15</v>
      </c>
      <c r="G7855" s="18">
        <v>34829.050000000003</v>
      </c>
      <c r="H7855" s="27">
        <f t="shared" si="244"/>
        <v>34829.050000000003</v>
      </c>
      <c r="I7855" s="18">
        <v>34829.050000000003</v>
      </c>
      <c r="J7855" s="27">
        <v>34829.050000000003</v>
      </c>
      <c r="K7855" s="18">
        <f t="shared" si="245"/>
        <v>34829.050000000003</v>
      </c>
      <c r="L7855" s="27">
        <v>33087.599999999999</v>
      </c>
      <c r="M7855" s="36">
        <v>-1741.45</v>
      </c>
      <c r="T7855" s="41">
        <v>0</v>
      </c>
      <c r="U7855" s="41">
        <v>0</v>
      </c>
      <c r="V7855" s="42" t="s">
        <v>113</v>
      </c>
      <c r="W7855" s="42">
        <v>34829.050000000003</v>
      </c>
      <c r="X7855" s="42">
        <v>34829.050000000003</v>
      </c>
    </row>
    <row r="7856" spans="1:24">
      <c r="A7856" s="27" t="s">
        <v>14181</v>
      </c>
      <c r="B7856" s="28" t="s">
        <v>12240</v>
      </c>
      <c r="C7856" s="27" t="s">
        <v>14182</v>
      </c>
      <c r="D7856" s="27" t="s">
        <v>230</v>
      </c>
      <c r="E7856" s="29">
        <v>40544</v>
      </c>
      <c r="F7856" s="27">
        <v>15</v>
      </c>
      <c r="G7856" s="18">
        <v>34829.050000000003</v>
      </c>
      <c r="H7856" s="27">
        <f t="shared" si="244"/>
        <v>34829.050000000003</v>
      </c>
      <c r="I7856" s="18">
        <v>34829.050000000003</v>
      </c>
      <c r="J7856" s="27">
        <v>34829.050000000003</v>
      </c>
      <c r="K7856" s="18">
        <f t="shared" si="245"/>
        <v>34829.050000000003</v>
      </c>
      <c r="L7856" s="27">
        <v>33087.599999999999</v>
      </c>
      <c r="M7856" s="36">
        <v>-1741.45</v>
      </c>
      <c r="T7856" s="41">
        <v>0</v>
      </c>
      <c r="U7856" s="41">
        <v>0</v>
      </c>
      <c r="V7856" s="42" t="s">
        <v>113</v>
      </c>
      <c r="W7856" s="42">
        <v>34829.050000000003</v>
      </c>
      <c r="X7856" s="42">
        <v>34829.050000000003</v>
      </c>
    </row>
    <row r="7857" spans="1:24">
      <c r="A7857" s="27" t="s">
        <v>14183</v>
      </c>
      <c r="B7857" s="28" t="s">
        <v>12240</v>
      </c>
      <c r="C7857" s="27" t="s">
        <v>14184</v>
      </c>
      <c r="D7857" s="27" t="s">
        <v>5104</v>
      </c>
      <c r="E7857" s="29">
        <v>40544</v>
      </c>
      <c r="F7857" s="27">
        <v>15</v>
      </c>
      <c r="G7857" s="18">
        <v>34829.050000000003</v>
      </c>
      <c r="H7857" s="27">
        <f t="shared" si="244"/>
        <v>34829.050000000003</v>
      </c>
      <c r="I7857" s="18">
        <v>34829.050000000003</v>
      </c>
      <c r="J7857" s="27">
        <v>34829.050000000003</v>
      </c>
      <c r="K7857" s="18">
        <f t="shared" si="245"/>
        <v>34829.050000000003</v>
      </c>
      <c r="L7857" s="27">
        <v>33087.599999999999</v>
      </c>
      <c r="M7857" s="36">
        <v>-1741.45</v>
      </c>
      <c r="T7857" s="41">
        <v>0</v>
      </c>
      <c r="U7857" s="41">
        <v>0</v>
      </c>
      <c r="V7857" s="42" t="s">
        <v>113</v>
      </c>
      <c r="W7857" s="42">
        <v>34829.050000000003</v>
      </c>
      <c r="X7857" s="42">
        <v>34829.050000000003</v>
      </c>
    </row>
    <row r="7858" spans="1:24">
      <c r="A7858" s="27" t="s">
        <v>14185</v>
      </c>
      <c r="B7858" s="28" t="s">
        <v>12240</v>
      </c>
      <c r="C7858" s="27" t="s">
        <v>14186</v>
      </c>
      <c r="D7858" s="27" t="s">
        <v>230</v>
      </c>
      <c r="E7858" s="29">
        <v>40544</v>
      </c>
      <c r="F7858" s="27">
        <v>15</v>
      </c>
      <c r="G7858" s="18">
        <v>34829.050000000003</v>
      </c>
      <c r="H7858" s="27">
        <f t="shared" si="244"/>
        <v>34829.050000000003</v>
      </c>
      <c r="I7858" s="18">
        <v>34829.050000000003</v>
      </c>
      <c r="J7858" s="27">
        <v>34829.050000000003</v>
      </c>
      <c r="K7858" s="18">
        <f t="shared" si="245"/>
        <v>34829.050000000003</v>
      </c>
      <c r="L7858" s="27">
        <v>33087.599999999999</v>
      </c>
      <c r="M7858" s="36">
        <v>-1741.45</v>
      </c>
      <c r="T7858" s="41">
        <v>0</v>
      </c>
      <c r="U7858" s="41">
        <v>0</v>
      </c>
      <c r="V7858" s="42" t="s">
        <v>113</v>
      </c>
      <c r="W7858" s="42">
        <v>34829.050000000003</v>
      </c>
      <c r="X7858" s="42">
        <v>34829.050000000003</v>
      </c>
    </row>
    <row r="7859" spans="1:24">
      <c r="A7859" s="27" t="s">
        <v>14187</v>
      </c>
      <c r="B7859" s="28" t="s">
        <v>12240</v>
      </c>
      <c r="C7859" s="27" t="s">
        <v>14188</v>
      </c>
      <c r="D7859" s="27" t="s">
        <v>5104</v>
      </c>
      <c r="E7859" s="29">
        <v>40544</v>
      </c>
      <c r="F7859" s="27">
        <v>15</v>
      </c>
      <c r="G7859" s="18">
        <v>34829.050000000003</v>
      </c>
      <c r="H7859" s="27">
        <f t="shared" si="244"/>
        <v>34829.050000000003</v>
      </c>
      <c r="I7859" s="18">
        <v>34829.050000000003</v>
      </c>
      <c r="J7859" s="27">
        <v>34829.050000000003</v>
      </c>
      <c r="K7859" s="18">
        <f t="shared" si="245"/>
        <v>34829.050000000003</v>
      </c>
      <c r="L7859" s="27">
        <v>33087.599999999999</v>
      </c>
      <c r="M7859" s="36">
        <v>-1741.45</v>
      </c>
      <c r="T7859" s="41">
        <v>0</v>
      </c>
      <c r="U7859" s="41">
        <v>0</v>
      </c>
      <c r="V7859" s="42" t="s">
        <v>113</v>
      </c>
      <c r="W7859" s="42">
        <v>34829.050000000003</v>
      </c>
      <c r="X7859" s="42">
        <v>34829.050000000003</v>
      </c>
    </row>
    <row r="7860" spans="1:24">
      <c r="A7860" s="27" t="s">
        <v>14189</v>
      </c>
      <c r="B7860" s="28" t="s">
        <v>12240</v>
      </c>
      <c r="C7860" s="27" t="s">
        <v>14190</v>
      </c>
      <c r="D7860" s="27" t="s">
        <v>230</v>
      </c>
      <c r="E7860" s="29">
        <v>40544</v>
      </c>
      <c r="F7860" s="27">
        <v>15</v>
      </c>
      <c r="G7860" s="18">
        <v>34829.050000000003</v>
      </c>
      <c r="H7860" s="27">
        <f t="shared" si="244"/>
        <v>34829.050000000003</v>
      </c>
      <c r="I7860" s="18">
        <v>34829.050000000003</v>
      </c>
      <c r="J7860" s="27">
        <v>34829.050000000003</v>
      </c>
      <c r="K7860" s="18">
        <f t="shared" si="245"/>
        <v>34829.050000000003</v>
      </c>
      <c r="L7860" s="27">
        <v>33087.599999999999</v>
      </c>
      <c r="M7860" s="36">
        <v>-1741.45</v>
      </c>
      <c r="T7860" s="41">
        <v>0</v>
      </c>
      <c r="U7860" s="41">
        <v>0</v>
      </c>
      <c r="V7860" s="42" t="s">
        <v>113</v>
      </c>
      <c r="W7860" s="42">
        <v>34829.050000000003</v>
      </c>
      <c r="X7860" s="42">
        <v>34829.050000000003</v>
      </c>
    </row>
    <row r="7861" spans="1:24">
      <c r="A7861" s="27" t="s">
        <v>14191</v>
      </c>
      <c r="B7861" s="28" t="s">
        <v>12240</v>
      </c>
      <c r="C7861" s="27" t="s">
        <v>14192</v>
      </c>
      <c r="D7861" s="27" t="s">
        <v>230</v>
      </c>
      <c r="E7861" s="29">
        <v>40544</v>
      </c>
      <c r="F7861" s="27">
        <v>15</v>
      </c>
      <c r="G7861" s="18">
        <v>34829.050000000003</v>
      </c>
      <c r="H7861" s="27">
        <f t="shared" si="244"/>
        <v>34829.050000000003</v>
      </c>
      <c r="I7861" s="18">
        <v>34829.050000000003</v>
      </c>
      <c r="J7861" s="27">
        <v>34829.050000000003</v>
      </c>
      <c r="K7861" s="18">
        <f t="shared" si="245"/>
        <v>34829.050000000003</v>
      </c>
      <c r="L7861" s="27">
        <v>33087.599999999999</v>
      </c>
      <c r="M7861" s="36">
        <v>-1741.45</v>
      </c>
      <c r="T7861" s="41">
        <v>0</v>
      </c>
      <c r="U7861" s="41">
        <v>0</v>
      </c>
      <c r="V7861" s="42" t="s">
        <v>113</v>
      </c>
      <c r="W7861" s="42">
        <v>34829.050000000003</v>
      </c>
      <c r="X7861" s="42">
        <v>34829.050000000003</v>
      </c>
    </row>
    <row r="7862" spans="1:24">
      <c r="A7862" s="27" t="s">
        <v>14193</v>
      </c>
      <c r="B7862" s="28" t="s">
        <v>12240</v>
      </c>
      <c r="C7862" s="27" t="s">
        <v>14194</v>
      </c>
      <c r="D7862" s="27" t="s">
        <v>230</v>
      </c>
      <c r="E7862" s="29">
        <v>40544</v>
      </c>
      <c r="F7862" s="27">
        <v>15</v>
      </c>
      <c r="G7862" s="18">
        <v>34829.050000000003</v>
      </c>
      <c r="H7862" s="27">
        <f t="shared" si="244"/>
        <v>34829.050000000003</v>
      </c>
      <c r="I7862" s="18">
        <v>34829.050000000003</v>
      </c>
      <c r="J7862" s="27">
        <v>34829.050000000003</v>
      </c>
      <c r="K7862" s="18">
        <f t="shared" si="245"/>
        <v>34829.050000000003</v>
      </c>
      <c r="L7862" s="27">
        <v>33087.599999999999</v>
      </c>
      <c r="M7862" s="36">
        <v>-1741.45</v>
      </c>
      <c r="T7862" s="41">
        <v>0</v>
      </c>
      <c r="U7862" s="41">
        <v>0</v>
      </c>
      <c r="V7862" s="42" t="s">
        <v>113</v>
      </c>
      <c r="W7862" s="42">
        <v>34829.050000000003</v>
      </c>
      <c r="X7862" s="42">
        <v>34829.050000000003</v>
      </c>
    </row>
    <row r="7863" spans="1:24">
      <c r="A7863" s="27" t="s">
        <v>14195</v>
      </c>
      <c r="B7863" s="28" t="s">
        <v>12240</v>
      </c>
      <c r="C7863" s="27" t="s">
        <v>14196</v>
      </c>
      <c r="D7863" s="27" t="s">
        <v>230</v>
      </c>
      <c r="E7863" s="29">
        <v>40544</v>
      </c>
      <c r="F7863" s="27">
        <v>15</v>
      </c>
      <c r="G7863" s="18">
        <v>34829.050000000003</v>
      </c>
      <c r="H7863" s="27">
        <f t="shared" si="244"/>
        <v>34829.050000000003</v>
      </c>
      <c r="I7863" s="18">
        <v>34829.050000000003</v>
      </c>
      <c r="J7863" s="27">
        <v>34829.050000000003</v>
      </c>
      <c r="K7863" s="18">
        <f t="shared" si="245"/>
        <v>34829.050000000003</v>
      </c>
      <c r="L7863" s="27">
        <v>33087.599999999999</v>
      </c>
      <c r="M7863" s="36">
        <v>-1741.45</v>
      </c>
      <c r="T7863" s="41">
        <v>0</v>
      </c>
      <c r="U7863" s="41">
        <v>0</v>
      </c>
      <c r="V7863" s="42" t="s">
        <v>113</v>
      </c>
      <c r="W7863" s="42">
        <v>34829.050000000003</v>
      </c>
      <c r="X7863" s="42">
        <v>34829.050000000003</v>
      </c>
    </row>
    <row r="7864" spans="1:24">
      <c r="A7864" s="27" t="s">
        <v>14197</v>
      </c>
      <c r="B7864" s="28" t="s">
        <v>12240</v>
      </c>
      <c r="C7864" s="27" t="s">
        <v>14198</v>
      </c>
      <c r="D7864" s="27" t="s">
        <v>230</v>
      </c>
      <c r="E7864" s="29">
        <v>40544</v>
      </c>
      <c r="F7864" s="27">
        <v>15</v>
      </c>
      <c r="G7864" s="18">
        <v>34829.050000000003</v>
      </c>
      <c r="H7864" s="27">
        <f t="shared" si="244"/>
        <v>34829.050000000003</v>
      </c>
      <c r="I7864" s="18">
        <v>34829.050000000003</v>
      </c>
      <c r="J7864" s="27">
        <v>34829.050000000003</v>
      </c>
      <c r="K7864" s="18">
        <f t="shared" si="245"/>
        <v>34829.050000000003</v>
      </c>
      <c r="L7864" s="27">
        <v>33087.599999999999</v>
      </c>
      <c r="M7864" s="36">
        <v>-1741.45</v>
      </c>
      <c r="T7864" s="41">
        <v>0</v>
      </c>
      <c r="U7864" s="41">
        <v>0</v>
      </c>
      <c r="V7864" s="42" t="s">
        <v>113</v>
      </c>
      <c r="W7864" s="42">
        <v>34829.050000000003</v>
      </c>
      <c r="X7864" s="42">
        <v>34829.050000000003</v>
      </c>
    </row>
    <row r="7865" spans="1:24">
      <c r="A7865" s="27" t="s">
        <v>14199</v>
      </c>
      <c r="B7865" s="28" t="s">
        <v>12240</v>
      </c>
      <c r="C7865" s="27" t="s">
        <v>14200</v>
      </c>
      <c r="D7865" s="27" t="s">
        <v>230</v>
      </c>
      <c r="E7865" s="29">
        <v>40544</v>
      </c>
      <c r="F7865" s="27">
        <v>15</v>
      </c>
      <c r="G7865" s="18">
        <v>61461.41</v>
      </c>
      <c r="H7865" s="27">
        <f t="shared" si="244"/>
        <v>0</v>
      </c>
      <c r="I7865" s="18">
        <v>45361.05</v>
      </c>
      <c r="J7865" s="27">
        <v>61461.41</v>
      </c>
      <c r="K7865" s="18">
        <f t="shared" si="245"/>
        <v>0</v>
      </c>
      <c r="L7865" s="27">
        <v>47200.2</v>
      </c>
      <c r="M7865" s="36">
        <v>1839.15</v>
      </c>
      <c r="T7865" s="41">
        <v>0</v>
      </c>
      <c r="U7865" s="41">
        <v>0</v>
      </c>
      <c r="V7865" s="42" t="s">
        <v>113</v>
      </c>
      <c r="W7865" s="42">
        <v>0</v>
      </c>
      <c r="X7865" s="42">
        <v>0</v>
      </c>
    </row>
    <row r="7866" spans="1:24">
      <c r="A7866" s="27" t="s">
        <v>14201</v>
      </c>
      <c r="B7866" s="28" t="s">
        <v>12240</v>
      </c>
      <c r="C7866" s="27" t="s">
        <v>14202</v>
      </c>
      <c r="D7866" s="27" t="s">
        <v>230</v>
      </c>
      <c r="E7866" s="29">
        <v>40544</v>
      </c>
      <c r="F7866" s="27">
        <v>15</v>
      </c>
      <c r="G7866" s="18">
        <v>48936.639999999999</v>
      </c>
      <c r="H7866" s="27">
        <f t="shared" si="244"/>
        <v>48936.639999999999</v>
      </c>
      <c r="I7866" s="18">
        <v>48936.639999999999</v>
      </c>
      <c r="J7866" s="27">
        <v>48936.639999999999</v>
      </c>
      <c r="K7866" s="18">
        <f t="shared" si="245"/>
        <v>48936.639999999999</v>
      </c>
      <c r="L7866" s="27">
        <v>46489.81</v>
      </c>
      <c r="M7866" s="36">
        <v>-2446.83</v>
      </c>
      <c r="T7866" s="41">
        <v>0</v>
      </c>
      <c r="U7866" s="41">
        <v>0</v>
      </c>
      <c r="V7866" s="42" t="s">
        <v>113</v>
      </c>
      <c r="W7866" s="42">
        <v>48936.639999999999</v>
      </c>
      <c r="X7866" s="42">
        <v>48936.639999999999</v>
      </c>
    </row>
    <row r="7867" spans="1:24">
      <c r="A7867" s="27" t="s">
        <v>14203</v>
      </c>
      <c r="B7867" s="28" t="s">
        <v>12240</v>
      </c>
      <c r="C7867" s="27" t="s">
        <v>14204</v>
      </c>
      <c r="D7867" s="27" t="s">
        <v>5104</v>
      </c>
      <c r="E7867" s="29">
        <v>40544</v>
      </c>
      <c r="F7867" s="27">
        <v>15</v>
      </c>
      <c r="G7867" s="18">
        <v>40205.129999999997</v>
      </c>
      <c r="H7867" s="27">
        <f t="shared" si="244"/>
        <v>40205.129999999997</v>
      </c>
      <c r="I7867" s="18">
        <v>40205.129999999997</v>
      </c>
      <c r="J7867" s="27">
        <v>40205.129999999997</v>
      </c>
      <c r="K7867" s="18">
        <f t="shared" si="245"/>
        <v>40205.129999999997</v>
      </c>
      <c r="L7867" s="27">
        <v>38194.870000000003</v>
      </c>
      <c r="M7867" s="36">
        <v>-2010.26</v>
      </c>
      <c r="T7867" s="41">
        <v>0</v>
      </c>
      <c r="U7867" s="41">
        <v>0</v>
      </c>
      <c r="V7867" s="42" t="s">
        <v>113</v>
      </c>
      <c r="W7867" s="42">
        <v>40205.129999999997</v>
      </c>
      <c r="X7867" s="42">
        <v>40205.129999999997</v>
      </c>
    </row>
    <row r="7868" spans="1:24">
      <c r="A7868" s="27" t="s">
        <v>14205</v>
      </c>
      <c r="B7868" s="28" t="s">
        <v>12240</v>
      </c>
      <c r="C7868" s="27" t="s">
        <v>14206</v>
      </c>
      <c r="D7868" s="27" t="s">
        <v>230</v>
      </c>
      <c r="E7868" s="29">
        <v>40544</v>
      </c>
      <c r="F7868" s="27">
        <v>15</v>
      </c>
      <c r="G7868" s="18">
        <v>40205.129999999997</v>
      </c>
      <c r="H7868" s="27">
        <f t="shared" si="244"/>
        <v>40205.129999999997</v>
      </c>
      <c r="I7868" s="18">
        <v>40205.129999999997</v>
      </c>
      <c r="J7868" s="27">
        <v>40205.129999999997</v>
      </c>
      <c r="K7868" s="18">
        <f t="shared" si="245"/>
        <v>40205.129999999997</v>
      </c>
      <c r="L7868" s="27">
        <v>38194.870000000003</v>
      </c>
      <c r="M7868" s="36">
        <v>-2010.26</v>
      </c>
      <c r="T7868" s="41">
        <v>0</v>
      </c>
      <c r="U7868" s="41">
        <v>0</v>
      </c>
      <c r="V7868" s="42" t="s">
        <v>113</v>
      </c>
      <c r="W7868" s="42">
        <v>40205.129999999997</v>
      </c>
      <c r="X7868" s="42">
        <v>40205.129999999997</v>
      </c>
    </row>
    <row r="7869" spans="1:24">
      <c r="A7869" s="27" t="s">
        <v>14207</v>
      </c>
      <c r="B7869" s="28" t="s">
        <v>12240</v>
      </c>
      <c r="C7869" s="27" t="s">
        <v>14208</v>
      </c>
      <c r="D7869" s="27" t="s">
        <v>230</v>
      </c>
      <c r="E7869" s="29">
        <v>40544</v>
      </c>
      <c r="F7869" s="27">
        <v>15</v>
      </c>
      <c r="G7869" s="18">
        <v>40205.129999999997</v>
      </c>
      <c r="H7869" s="27">
        <f t="shared" si="244"/>
        <v>40205.129999999997</v>
      </c>
      <c r="I7869" s="18">
        <v>40205.129999999997</v>
      </c>
      <c r="J7869" s="27">
        <v>40205.129999999997</v>
      </c>
      <c r="K7869" s="18">
        <f t="shared" si="245"/>
        <v>40205.129999999997</v>
      </c>
      <c r="L7869" s="27">
        <v>38194.870000000003</v>
      </c>
      <c r="M7869" s="36">
        <v>-2010.26</v>
      </c>
      <c r="T7869" s="41">
        <v>0</v>
      </c>
      <c r="U7869" s="41">
        <v>0</v>
      </c>
      <c r="V7869" s="42" t="s">
        <v>113</v>
      </c>
      <c r="W7869" s="42">
        <v>40205.129999999997</v>
      </c>
      <c r="X7869" s="42">
        <v>40205.129999999997</v>
      </c>
    </row>
    <row r="7870" spans="1:24">
      <c r="A7870" s="27" t="s">
        <v>14209</v>
      </c>
      <c r="B7870" s="28" t="s">
        <v>12240</v>
      </c>
      <c r="C7870" s="27" t="s">
        <v>14210</v>
      </c>
      <c r="D7870" s="27" t="s">
        <v>230</v>
      </c>
      <c r="E7870" s="29">
        <v>40544</v>
      </c>
      <c r="F7870" s="27">
        <v>15</v>
      </c>
      <c r="G7870" s="18">
        <v>40205.129999999997</v>
      </c>
      <c r="H7870" s="27">
        <f t="shared" si="244"/>
        <v>40205.129999999997</v>
      </c>
      <c r="I7870" s="18">
        <v>40205.129999999997</v>
      </c>
      <c r="J7870" s="27">
        <v>40205.129999999997</v>
      </c>
      <c r="K7870" s="18">
        <f t="shared" si="245"/>
        <v>40205.129999999997</v>
      </c>
      <c r="L7870" s="27">
        <v>38194.870000000003</v>
      </c>
      <c r="M7870" s="36">
        <v>-2010.26</v>
      </c>
      <c r="T7870" s="41">
        <v>0</v>
      </c>
      <c r="U7870" s="41">
        <v>0</v>
      </c>
      <c r="V7870" s="42" t="s">
        <v>113</v>
      </c>
      <c r="W7870" s="42">
        <v>40205.129999999997</v>
      </c>
      <c r="X7870" s="42">
        <v>40205.129999999997</v>
      </c>
    </row>
    <row r="7871" spans="1:24">
      <c r="A7871" s="27" t="s">
        <v>14211</v>
      </c>
      <c r="B7871" s="28" t="s">
        <v>12240</v>
      </c>
      <c r="C7871" s="27" t="s">
        <v>14212</v>
      </c>
      <c r="D7871" s="27" t="s">
        <v>230</v>
      </c>
      <c r="E7871" s="29">
        <v>40544</v>
      </c>
      <c r="F7871" s="27">
        <v>15</v>
      </c>
      <c r="G7871" s="18">
        <v>40205.129999999997</v>
      </c>
      <c r="H7871" s="27">
        <f t="shared" si="244"/>
        <v>40205.129999999997</v>
      </c>
      <c r="I7871" s="18">
        <v>40205.129999999997</v>
      </c>
      <c r="J7871" s="27">
        <v>40205.129999999997</v>
      </c>
      <c r="K7871" s="18">
        <f t="shared" si="245"/>
        <v>40205.129999999997</v>
      </c>
      <c r="L7871" s="27">
        <v>38194.870000000003</v>
      </c>
      <c r="M7871" s="36">
        <v>-2010.26</v>
      </c>
      <c r="T7871" s="41">
        <v>0</v>
      </c>
      <c r="U7871" s="41">
        <v>0</v>
      </c>
      <c r="V7871" s="42" t="s">
        <v>113</v>
      </c>
      <c r="W7871" s="42">
        <v>40205.129999999997</v>
      </c>
      <c r="X7871" s="42">
        <v>40205.129999999997</v>
      </c>
    </row>
    <row r="7872" spans="1:24">
      <c r="A7872" s="27" t="s">
        <v>14213</v>
      </c>
      <c r="B7872" s="28" t="s">
        <v>12240</v>
      </c>
      <c r="C7872" s="27" t="s">
        <v>14214</v>
      </c>
      <c r="D7872" s="27" t="s">
        <v>230</v>
      </c>
      <c r="E7872" s="29">
        <v>40544</v>
      </c>
      <c r="F7872" s="27">
        <v>15</v>
      </c>
      <c r="G7872" s="18">
        <v>40205.14</v>
      </c>
      <c r="H7872" s="27">
        <f t="shared" si="244"/>
        <v>40205.14</v>
      </c>
      <c r="I7872" s="18">
        <v>40205.14</v>
      </c>
      <c r="J7872" s="27">
        <v>40205.14</v>
      </c>
      <c r="K7872" s="18">
        <f t="shared" si="245"/>
        <v>40205.14</v>
      </c>
      <c r="L7872" s="27">
        <v>38194.879999999997</v>
      </c>
      <c r="M7872" s="36">
        <v>-2010.26</v>
      </c>
      <c r="T7872" s="41">
        <v>0</v>
      </c>
      <c r="U7872" s="41">
        <v>0</v>
      </c>
      <c r="V7872" s="42" t="s">
        <v>113</v>
      </c>
      <c r="W7872" s="42">
        <v>40205.14</v>
      </c>
      <c r="X7872" s="42">
        <v>40205.14</v>
      </c>
    </row>
    <row r="7873" spans="1:24">
      <c r="A7873" s="27" t="s">
        <v>14215</v>
      </c>
      <c r="B7873" s="28" t="s">
        <v>12240</v>
      </c>
      <c r="C7873" s="27" t="s">
        <v>14216</v>
      </c>
      <c r="D7873" s="27" t="s">
        <v>230</v>
      </c>
      <c r="E7873" s="29">
        <v>40544</v>
      </c>
      <c r="F7873" s="27">
        <v>15</v>
      </c>
      <c r="G7873" s="18">
        <v>50769.61</v>
      </c>
      <c r="H7873" s="27">
        <f t="shared" si="244"/>
        <v>50769.61</v>
      </c>
      <c r="I7873" s="18">
        <v>50769.61</v>
      </c>
      <c r="J7873" s="27">
        <v>50769.61</v>
      </c>
      <c r="K7873" s="18">
        <f t="shared" si="245"/>
        <v>50769.61</v>
      </c>
      <c r="L7873" s="27">
        <v>48231.13</v>
      </c>
      <c r="M7873" s="36">
        <v>-2538.48</v>
      </c>
      <c r="T7873" s="41">
        <v>0</v>
      </c>
      <c r="U7873" s="41">
        <v>0</v>
      </c>
      <c r="V7873" s="42" t="s">
        <v>113</v>
      </c>
      <c r="W7873" s="42">
        <v>50769.61</v>
      </c>
      <c r="X7873" s="42">
        <v>50769.61</v>
      </c>
    </row>
    <row r="7874" spans="1:24">
      <c r="A7874" s="27" t="s">
        <v>14217</v>
      </c>
      <c r="B7874" s="28" t="s">
        <v>12240</v>
      </c>
      <c r="C7874" s="27" t="s">
        <v>14218</v>
      </c>
      <c r="D7874" s="27" t="s">
        <v>5104</v>
      </c>
      <c r="E7874" s="29">
        <v>40544</v>
      </c>
      <c r="F7874" s="27">
        <v>15</v>
      </c>
      <c r="G7874" s="18">
        <v>50769.61</v>
      </c>
      <c r="H7874" s="27">
        <f t="shared" si="244"/>
        <v>50769.61</v>
      </c>
      <c r="I7874" s="18">
        <v>50769.61</v>
      </c>
      <c r="J7874" s="27">
        <v>50769.61</v>
      </c>
      <c r="K7874" s="18">
        <f t="shared" si="245"/>
        <v>50769.61</v>
      </c>
      <c r="L7874" s="27">
        <v>48231.13</v>
      </c>
      <c r="M7874" s="36">
        <v>-2538.48</v>
      </c>
      <c r="T7874" s="41">
        <v>0</v>
      </c>
      <c r="U7874" s="41">
        <v>0</v>
      </c>
      <c r="V7874" s="42" t="s">
        <v>113</v>
      </c>
      <c r="W7874" s="42">
        <v>50769.61</v>
      </c>
      <c r="X7874" s="42">
        <v>50769.61</v>
      </c>
    </row>
    <row r="7875" spans="1:24">
      <c r="A7875" s="27" t="s">
        <v>14219</v>
      </c>
      <c r="B7875" s="28" t="s">
        <v>12240</v>
      </c>
      <c r="C7875" s="27" t="s">
        <v>14220</v>
      </c>
      <c r="D7875" s="27" t="s">
        <v>230</v>
      </c>
      <c r="E7875" s="29">
        <v>40544</v>
      </c>
      <c r="F7875" s="27">
        <v>15</v>
      </c>
      <c r="G7875" s="18">
        <v>50769.61</v>
      </c>
      <c r="H7875" s="27">
        <f t="shared" si="244"/>
        <v>50769.61</v>
      </c>
      <c r="I7875" s="18">
        <v>50769.61</v>
      </c>
      <c r="J7875" s="27">
        <v>50769.61</v>
      </c>
      <c r="K7875" s="18">
        <f t="shared" si="245"/>
        <v>50769.61</v>
      </c>
      <c r="L7875" s="27">
        <v>48231.13</v>
      </c>
      <c r="M7875" s="36">
        <v>-2538.48</v>
      </c>
      <c r="T7875" s="41">
        <v>0</v>
      </c>
      <c r="U7875" s="41">
        <v>0</v>
      </c>
      <c r="V7875" s="42" t="s">
        <v>113</v>
      </c>
      <c r="W7875" s="42">
        <v>50769.61</v>
      </c>
      <c r="X7875" s="42">
        <v>50769.61</v>
      </c>
    </row>
    <row r="7876" spans="1:24">
      <c r="A7876" s="27" t="s">
        <v>14221</v>
      </c>
      <c r="B7876" s="28" t="s">
        <v>12240</v>
      </c>
      <c r="C7876" s="27" t="s">
        <v>14222</v>
      </c>
      <c r="D7876" s="27" t="s">
        <v>230</v>
      </c>
      <c r="E7876" s="29">
        <v>40544</v>
      </c>
      <c r="F7876" s="27">
        <v>15</v>
      </c>
      <c r="G7876" s="18">
        <v>66818.59</v>
      </c>
      <c r="H7876" s="27">
        <f t="shared" si="244"/>
        <v>66818.59</v>
      </c>
      <c r="I7876" s="18">
        <v>66016.14</v>
      </c>
      <c r="J7876" s="27">
        <v>66818.59</v>
      </c>
      <c r="K7876" s="18">
        <f t="shared" si="245"/>
        <v>66818.59</v>
      </c>
      <c r="L7876" s="27">
        <v>63477.66</v>
      </c>
      <c r="M7876" s="36">
        <v>-2538.48</v>
      </c>
      <c r="T7876" s="41">
        <v>0</v>
      </c>
      <c r="U7876" s="41">
        <v>0</v>
      </c>
      <c r="V7876" s="42" t="s">
        <v>113</v>
      </c>
      <c r="W7876" s="42">
        <v>66818.59</v>
      </c>
      <c r="X7876" s="42">
        <v>66818.59</v>
      </c>
    </row>
    <row r="7877" spans="1:24">
      <c r="A7877" s="27" t="s">
        <v>14223</v>
      </c>
      <c r="B7877" s="28" t="s">
        <v>12240</v>
      </c>
      <c r="C7877" s="27" t="s">
        <v>14224</v>
      </c>
      <c r="D7877" s="27" t="s">
        <v>230</v>
      </c>
      <c r="E7877" s="29">
        <v>40544</v>
      </c>
      <c r="F7877" s="27">
        <v>15</v>
      </c>
      <c r="G7877" s="18">
        <v>50769.61</v>
      </c>
      <c r="H7877" s="27">
        <f t="shared" si="244"/>
        <v>50769.61</v>
      </c>
      <c r="I7877" s="18">
        <v>50769.61</v>
      </c>
      <c r="J7877" s="27">
        <v>50769.61</v>
      </c>
      <c r="K7877" s="18">
        <f t="shared" si="245"/>
        <v>50769.61</v>
      </c>
      <c r="L7877" s="27">
        <v>48231.13</v>
      </c>
      <c r="M7877" s="36">
        <v>-2538.48</v>
      </c>
      <c r="T7877" s="41">
        <v>0</v>
      </c>
      <c r="U7877" s="41">
        <v>0</v>
      </c>
      <c r="V7877" s="42" t="s">
        <v>113</v>
      </c>
      <c r="W7877" s="42">
        <v>50769.61</v>
      </c>
      <c r="X7877" s="42">
        <v>50769.61</v>
      </c>
    </row>
    <row r="7878" spans="1:24">
      <c r="A7878" s="27" t="s">
        <v>14225</v>
      </c>
      <c r="B7878" s="28" t="s">
        <v>12240</v>
      </c>
      <c r="C7878" s="27" t="s">
        <v>14226</v>
      </c>
      <c r="D7878" s="27" t="s">
        <v>230</v>
      </c>
      <c r="E7878" s="29">
        <v>40544</v>
      </c>
      <c r="F7878" s="27">
        <v>15</v>
      </c>
      <c r="G7878" s="18">
        <v>50769.61</v>
      </c>
      <c r="H7878" s="27">
        <f t="shared" ref="H7878:H7941" si="246">IFERROR(IF(ROUND((G7878-I7878)/G7878,2)&lt;=0.05,G7878,0),0)</f>
        <v>50769.61</v>
      </c>
      <c r="I7878" s="18">
        <v>50769.61</v>
      </c>
      <c r="J7878" s="27">
        <v>50769.61</v>
      </c>
      <c r="K7878" s="18">
        <f t="shared" ref="K7878:K7941" si="247">IFERROR(IF(ROUND((J7878-L7878)/J7878,2)&lt;=0.05,J7878,0),0)</f>
        <v>50769.61</v>
      </c>
      <c r="L7878" s="27">
        <v>48231.13</v>
      </c>
      <c r="M7878" s="36">
        <v>-2538.48</v>
      </c>
      <c r="T7878" s="41">
        <v>0</v>
      </c>
      <c r="U7878" s="41">
        <v>0</v>
      </c>
      <c r="V7878" s="42" t="s">
        <v>113</v>
      </c>
      <c r="W7878" s="42">
        <v>50769.61</v>
      </c>
      <c r="X7878" s="42">
        <v>50769.61</v>
      </c>
    </row>
    <row r="7879" spans="1:24">
      <c r="A7879" s="27" t="s">
        <v>14227</v>
      </c>
      <c r="B7879" s="28" t="s">
        <v>12240</v>
      </c>
      <c r="C7879" s="27" t="s">
        <v>14228</v>
      </c>
      <c r="D7879" s="27" t="s">
        <v>230</v>
      </c>
      <c r="E7879" s="29">
        <v>40544</v>
      </c>
      <c r="F7879" s="27">
        <v>15</v>
      </c>
      <c r="G7879" s="18">
        <v>44000.02</v>
      </c>
      <c r="H7879" s="27">
        <f t="shared" si="246"/>
        <v>44000.02</v>
      </c>
      <c r="I7879" s="18">
        <v>44000.02</v>
      </c>
      <c r="J7879" s="27">
        <v>44000.02</v>
      </c>
      <c r="K7879" s="18">
        <f t="shared" si="247"/>
        <v>44000.02</v>
      </c>
      <c r="L7879" s="27">
        <v>41800.019999999997</v>
      </c>
      <c r="M7879" s="36">
        <v>-2200</v>
      </c>
      <c r="T7879" s="41">
        <v>0</v>
      </c>
      <c r="U7879" s="41">
        <v>0</v>
      </c>
      <c r="V7879" s="42" t="s">
        <v>113</v>
      </c>
      <c r="W7879" s="42">
        <v>44000.02</v>
      </c>
      <c r="X7879" s="42">
        <v>44000.02</v>
      </c>
    </row>
    <row r="7880" spans="1:24">
      <c r="A7880" s="27" t="s">
        <v>14229</v>
      </c>
      <c r="B7880" s="28" t="s">
        <v>12240</v>
      </c>
      <c r="C7880" s="27" t="s">
        <v>14230</v>
      </c>
      <c r="D7880" s="27" t="s">
        <v>230</v>
      </c>
      <c r="E7880" s="29">
        <v>40544</v>
      </c>
      <c r="F7880" s="27">
        <v>15</v>
      </c>
      <c r="G7880" s="18">
        <v>82123.22</v>
      </c>
      <c r="H7880" s="27">
        <f t="shared" si="246"/>
        <v>82123.22</v>
      </c>
      <c r="I7880" s="18">
        <v>82123.22</v>
      </c>
      <c r="J7880" s="27">
        <v>82123.22</v>
      </c>
      <c r="K7880" s="18">
        <f t="shared" si="247"/>
        <v>82123.22</v>
      </c>
      <c r="L7880" s="27">
        <v>78017.06</v>
      </c>
      <c r="M7880" s="36">
        <v>-4106.16</v>
      </c>
      <c r="T7880" s="41">
        <v>0</v>
      </c>
      <c r="U7880" s="41">
        <v>0</v>
      </c>
      <c r="V7880" s="42" t="s">
        <v>113</v>
      </c>
      <c r="W7880" s="42">
        <v>82123.22</v>
      </c>
      <c r="X7880" s="42">
        <v>82123.22</v>
      </c>
    </row>
    <row r="7881" spans="1:24">
      <c r="A7881" s="27" t="s">
        <v>14231</v>
      </c>
      <c r="B7881" s="28" t="s">
        <v>12240</v>
      </c>
      <c r="C7881" s="27" t="s">
        <v>14232</v>
      </c>
      <c r="D7881" s="27" t="s">
        <v>230</v>
      </c>
      <c r="E7881" s="29">
        <v>40544</v>
      </c>
      <c r="F7881" s="27">
        <v>15</v>
      </c>
      <c r="G7881" s="18">
        <v>82123.22</v>
      </c>
      <c r="H7881" s="27">
        <f t="shared" si="246"/>
        <v>82123.22</v>
      </c>
      <c r="I7881" s="18">
        <v>82123.22</v>
      </c>
      <c r="J7881" s="27">
        <v>82123.22</v>
      </c>
      <c r="K7881" s="18">
        <f t="shared" si="247"/>
        <v>82123.22</v>
      </c>
      <c r="L7881" s="27">
        <v>78017.06</v>
      </c>
      <c r="M7881" s="36">
        <v>-4106.16</v>
      </c>
      <c r="T7881" s="41">
        <v>0</v>
      </c>
      <c r="U7881" s="41">
        <v>0</v>
      </c>
      <c r="V7881" s="42" t="s">
        <v>113</v>
      </c>
      <c r="W7881" s="42">
        <v>82123.22</v>
      </c>
      <c r="X7881" s="42">
        <v>82123.22</v>
      </c>
    </row>
    <row r="7882" spans="1:24">
      <c r="A7882" s="27" t="s">
        <v>14233</v>
      </c>
      <c r="B7882" s="28" t="s">
        <v>12240</v>
      </c>
      <c r="C7882" s="27" t="s">
        <v>14234</v>
      </c>
      <c r="D7882" s="27" t="s">
        <v>230</v>
      </c>
      <c r="E7882" s="29">
        <v>40544</v>
      </c>
      <c r="F7882" s="27">
        <v>15</v>
      </c>
      <c r="G7882" s="18">
        <v>159344.22</v>
      </c>
      <c r="H7882" s="27">
        <f t="shared" si="246"/>
        <v>0</v>
      </c>
      <c r="I7882" s="18">
        <v>107344.87</v>
      </c>
      <c r="J7882" s="27">
        <v>159344.22</v>
      </c>
      <c r="K7882" s="18">
        <f t="shared" si="247"/>
        <v>0</v>
      </c>
      <c r="L7882" s="27">
        <v>113561.17</v>
      </c>
      <c r="M7882" s="36">
        <v>6216.3</v>
      </c>
      <c r="T7882" s="41">
        <v>0</v>
      </c>
      <c r="U7882" s="41">
        <v>0</v>
      </c>
      <c r="V7882" s="42" t="s">
        <v>113</v>
      </c>
      <c r="W7882" s="42">
        <v>0</v>
      </c>
      <c r="X7882" s="42">
        <v>0</v>
      </c>
    </row>
    <row r="7883" spans="1:24">
      <c r="A7883" s="27" t="s">
        <v>14235</v>
      </c>
      <c r="B7883" s="28" t="s">
        <v>12240</v>
      </c>
      <c r="C7883" s="27" t="s">
        <v>14236</v>
      </c>
      <c r="D7883" s="27" t="s">
        <v>230</v>
      </c>
      <c r="E7883" s="29">
        <v>40544</v>
      </c>
      <c r="F7883" s="27">
        <v>15</v>
      </c>
      <c r="G7883" s="18">
        <v>87898.72</v>
      </c>
      <c r="H7883" s="27">
        <f t="shared" si="246"/>
        <v>87898.72</v>
      </c>
      <c r="I7883" s="18">
        <v>87898.72</v>
      </c>
      <c r="J7883" s="27">
        <v>87898.72</v>
      </c>
      <c r="K7883" s="18">
        <f t="shared" si="247"/>
        <v>87898.72</v>
      </c>
      <c r="L7883" s="27">
        <v>83503.78</v>
      </c>
      <c r="M7883" s="36">
        <v>-4394.9399999999996</v>
      </c>
      <c r="T7883" s="41">
        <v>0</v>
      </c>
      <c r="U7883" s="41">
        <v>0</v>
      </c>
      <c r="V7883" s="42" t="s">
        <v>113</v>
      </c>
      <c r="W7883" s="42">
        <v>87898.72</v>
      </c>
      <c r="X7883" s="42">
        <v>87898.72</v>
      </c>
    </row>
    <row r="7884" spans="1:24">
      <c r="A7884" s="27" t="s">
        <v>14237</v>
      </c>
      <c r="B7884" s="28" t="s">
        <v>12240</v>
      </c>
      <c r="C7884" s="27" t="s">
        <v>14238</v>
      </c>
      <c r="D7884" s="27" t="s">
        <v>230</v>
      </c>
      <c r="E7884" s="29">
        <v>40544</v>
      </c>
      <c r="F7884" s="27">
        <v>15</v>
      </c>
      <c r="G7884" s="18">
        <v>87898.72</v>
      </c>
      <c r="H7884" s="27">
        <f t="shared" si="246"/>
        <v>87898.72</v>
      </c>
      <c r="I7884" s="18">
        <v>87898.72</v>
      </c>
      <c r="J7884" s="27">
        <v>87898.72</v>
      </c>
      <c r="K7884" s="18">
        <f t="shared" si="247"/>
        <v>87898.72</v>
      </c>
      <c r="L7884" s="27">
        <v>83503.78</v>
      </c>
      <c r="M7884" s="36">
        <v>-4394.9399999999996</v>
      </c>
      <c r="T7884" s="41">
        <v>0</v>
      </c>
      <c r="U7884" s="41">
        <v>0</v>
      </c>
      <c r="V7884" s="42" t="s">
        <v>113</v>
      </c>
      <c r="W7884" s="42">
        <v>87898.72</v>
      </c>
      <c r="X7884" s="42">
        <v>87898.72</v>
      </c>
    </row>
    <row r="7885" spans="1:24">
      <c r="A7885" s="27" t="s">
        <v>14239</v>
      </c>
      <c r="B7885" s="28" t="s">
        <v>12240</v>
      </c>
      <c r="C7885" s="27" t="s">
        <v>14240</v>
      </c>
      <c r="D7885" s="27" t="s">
        <v>230</v>
      </c>
      <c r="E7885" s="29">
        <v>40544</v>
      </c>
      <c r="F7885" s="27">
        <v>15</v>
      </c>
      <c r="G7885" s="18">
        <v>87898.72</v>
      </c>
      <c r="H7885" s="27">
        <f t="shared" si="246"/>
        <v>87898.72</v>
      </c>
      <c r="I7885" s="18">
        <v>87898.72</v>
      </c>
      <c r="J7885" s="27">
        <v>87898.72</v>
      </c>
      <c r="K7885" s="18">
        <f t="shared" si="247"/>
        <v>87898.72</v>
      </c>
      <c r="L7885" s="27">
        <v>83503.78</v>
      </c>
      <c r="M7885" s="36">
        <v>-4394.9399999999996</v>
      </c>
      <c r="T7885" s="41">
        <v>0</v>
      </c>
      <c r="U7885" s="41">
        <v>0</v>
      </c>
      <c r="V7885" s="42" t="s">
        <v>113</v>
      </c>
      <c r="W7885" s="42">
        <v>87898.72</v>
      </c>
      <c r="X7885" s="42">
        <v>87898.72</v>
      </c>
    </row>
    <row r="7886" spans="1:24">
      <c r="A7886" s="27" t="s">
        <v>14241</v>
      </c>
      <c r="B7886" s="28" t="s">
        <v>12240</v>
      </c>
      <c r="C7886" s="27" t="s">
        <v>14242</v>
      </c>
      <c r="D7886" s="27" t="s">
        <v>230</v>
      </c>
      <c r="E7886" s="29">
        <v>40544</v>
      </c>
      <c r="F7886" s="27">
        <v>15</v>
      </c>
      <c r="G7886" s="18">
        <v>23083.01</v>
      </c>
      <c r="H7886" s="27">
        <f t="shared" si="246"/>
        <v>23083.01</v>
      </c>
      <c r="I7886" s="18">
        <v>23083.01</v>
      </c>
      <c r="J7886" s="27">
        <v>23083.01</v>
      </c>
      <c r="K7886" s="18">
        <f t="shared" si="247"/>
        <v>23083.01</v>
      </c>
      <c r="L7886" s="27">
        <v>21928.86</v>
      </c>
      <c r="M7886" s="36">
        <v>-1154.1500000000001</v>
      </c>
      <c r="T7886" s="41">
        <v>0</v>
      </c>
      <c r="U7886" s="41">
        <v>0</v>
      </c>
      <c r="V7886" s="42" t="s">
        <v>113</v>
      </c>
      <c r="W7886" s="42">
        <v>23083.01</v>
      </c>
      <c r="X7886" s="42">
        <v>23083.01</v>
      </c>
    </row>
    <row r="7887" spans="1:24">
      <c r="A7887" s="27" t="s">
        <v>14243</v>
      </c>
      <c r="B7887" s="28" t="s">
        <v>12240</v>
      </c>
      <c r="C7887" s="27" t="s">
        <v>14244</v>
      </c>
      <c r="D7887" s="27" t="s">
        <v>230</v>
      </c>
      <c r="E7887" s="29">
        <v>40544</v>
      </c>
      <c r="F7887" s="27">
        <v>15</v>
      </c>
      <c r="G7887" s="18">
        <v>23083.01</v>
      </c>
      <c r="H7887" s="27">
        <f t="shared" si="246"/>
        <v>23083.01</v>
      </c>
      <c r="I7887" s="18">
        <v>23083.01</v>
      </c>
      <c r="J7887" s="27">
        <v>23083.01</v>
      </c>
      <c r="K7887" s="18">
        <f t="shared" si="247"/>
        <v>23083.01</v>
      </c>
      <c r="L7887" s="27">
        <v>21928.86</v>
      </c>
      <c r="M7887" s="36">
        <v>-1154.1500000000001</v>
      </c>
      <c r="T7887" s="41">
        <v>0</v>
      </c>
      <c r="U7887" s="41">
        <v>0</v>
      </c>
      <c r="V7887" s="42" t="s">
        <v>113</v>
      </c>
      <c r="W7887" s="42">
        <v>23083.01</v>
      </c>
      <c r="X7887" s="42">
        <v>23083.01</v>
      </c>
    </row>
    <row r="7888" spans="1:24">
      <c r="A7888" s="27" t="s">
        <v>14245</v>
      </c>
      <c r="B7888" s="28" t="s">
        <v>12240</v>
      </c>
      <c r="C7888" s="27" t="s">
        <v>14246</v>
      </c>
      <c r="D7888" s="27" t="s">
        <v>230</v>
      </c>
      <c r="E7888" s="29">
        <v>40544</v>
      </c>
      <c r="F7888" s="27">
        <v>15</v>
      </c>
      <c r="G7888" s="18">
        <v>23083.01</v>
      </c>
      <c r="H7888" s="27">
        <f t="shared" si="246"/>
        <v>23083.01</v>
      </c>
      <c r="I7888" s="18">
        <v>23083.01</v>
      </c>
      <c r="J7888" s="27">
        <v>23083.01</v>
      </c>
      <c r="K7888" s="18">
        <f t="shared" si="247"/>
        <v>23083.01</v>
      </c>
      <c r="L7888" s="27">
        <v>21928.86</v>
      </c>
      <c r="M7888" s="36">
        <v>-1154.1500000000001</v>
      </c>
      <c r="T7888" s="41">
        <v>0</v>
      </c>
      <c r="U7888" s="41">
        <v>0</v>
      </c>
      <c r="V7888" s="42" t="s">
        <v>113</v>
      </c>
      <c r="W7888" s="42">
        <v>23083.01</v>
      </c>
      <c r="X7888" s="42">
        <v>23083.01</v>
      </c>
    </row>
    <row r="7889" spans="1:24">
      <c r="A7889" s="27" t="s">
        <v>14247</v>
      </c>
      <c r="B7889" s="28" t="s">
        <v>12240</v>
      </c>
      <c r="C7889" s="27" t="s">
        <v>14248</v>
      </c>
      <c r="D7889" s="27" t="s">
        <v>230</v>
      </c>
      <c r="E7889" s="29">
        <v>40544</v>
      </c>
      <c r="F7889" s="27">
        <v>15</v>
      </c>
      <c r="G7889" s="18">
        <v>23083.01</v>
      </c>
      <c r="H7889" s="27">
        <f t="shared" si="246"/>
        <v>23083.01</v>
      </c>
      <c r="I7889" s="18">
        <v>23083.01</v>
      </c>
      <c r="J7889" s="27">
        <v>23083.01</v>
      </c>
      <c r="K7889" s="18">
        <f t="shared" si="247"/>
        <v>23083.01</v>
      </c>
      <c r="L7889" s="27">
        <v>21928.86</v>
      </c>
      <c r="M7889" s="36">
        <v>-1154.1500000000001</v>
      </c>
      <c r="T7889" s="41">
        <v>0</v>
      </c>
      <c r="U7889" s="41">
        <v>0</v>
      </c>
      <c r="V7889" s="42" t="s">
        <v>113</v>
      </c>
      <c r="W7889" s="42">
        <v>23083.01</v>
      </c>
      <c r="X7889" s="42">
        <v>23083.01</v>
      </c>
    </row>
    <row r="7890" spans="1:24">
      <c r="A7890" s="27" t="s">
        <v>14249</v>
      </c>
      <c r="B7890" s="28" t="s">
        <v>12240</v>
      </c>
      <c r="C7890" s="27" t="s">
        <v>14250</v>
      </c>
      <c r="D7890" s="27" t="s">
        <v>5104</v>
      </c>
      <c r="E7890" s="29">
        <v>40544</v>
      </c>
      <c r="F7890" s="27">
        <v>15</v>
      </c>
      <c r="G7890" s="18">
        <v>23083.01</v>
      </c>
      <c r="H7890" s="27">
        <f t="shared" si="246"/>
        <v>23083.01</v>
      </c>
      <c r="I7890" s="18">
        <v>23083.01</v>
      </c>
      <c r="J7890" s="27">
        <v>23083.01</v>
      </c>
      <c r="K7890" s="18">
        <f t="shared" si="247"/>
        <v>23083.01</v>
      </c>
      <c r="L7890" s="27">
        <v>21928.86</v>
      </c>
      <c r="M7890" s="36">
        <v>-1154.1500000000001</v>
      </c>
      <c r="T7890" s="41">
        <v>0</v>
      </c>
      <c r="U7890" s="41">
        <v>0</v>
      </c>
      <c r="V7890" s="42" t="s">
        <v>113</v>
      </c>
      <c r="W7890" s="42">
        <v>23083.01</v>
      </c>
      <c r="X7890" s="42">
        <v>23083.01</v>
      </c>
    </row>
    <row r="7891" spans="1:24">
      <c r="A7891" s="27" t="s">
        <v>14251</v>
      </c>
      <c r="B7891" s="28" t="s">
        <v>12240</v>
      </c>
      <c r="C7891" s="27" t="s">
        <v>14252</v>
      </c>
      <c r="D7891" s="27" t="s">
        <v>5104</v>
      </c>
      <c r="E7891" s="29">
        <v>40544</v>
      </c>
      <c r="F7891" s="27">
        <v>15</v>
      </c>
      <c r="G7891" s="18">
        <v>23083.01</v>
      </c>
      <c r="H7891" s="27">
        <f t="shared" si="246"/>
        <v>23083.01</v>
      </c>
      <c r="I7891" s="18">
        <v>23083.01</v>
      </c>
      <c r="J7891" s="27">
        <v>23083.01</v>
      </c>
      <c r="K7891" s="18">
        <f t="shared" si="247"/>
        <v>23083.01</v>
      </c>
      <c r="L7891" s="27">
        <v>21928.86</v>
      </c>
      <c r="M7891" s="36">
        <v>-1154.1500000000001</v>
      </c>
      <c r="T7891" s="41">
        <v>0</v>
      </c>
      <c r="U7891" s="41">
        <v>0</v>
      </c>
      <c r="V7891" s="42" t="s">
        <v>113</v>
      </c>
      <c r="W7891" s="42">
        <v>23083.01</v>
      </c>
      <c r="X7891" s="42">
        <v>23083.01</v>
      </c>
    </row>
    <row r="7892" spans="1:24">
      <c r="A7892" s="27" t="s">
        <v>14253</v>
      </c>
      <c r="B7892" s="28" t="s">
        <v>12240</v>
      </c>
      <c r="C7892" s="27" t="s">
        <v>14254</v>
      </c>
      <c r="D7892" s="27" t="s">
        <v>230</v>
      </c>
      <c r="E7892" s="29">
        <v>40544</v>
      </c>
      <c r="F7892" s="27">
        <v>15</v>
      </c>
      <c r="G7892" s="18">
        <v>23083.01</v>
      </c>
      <c r="H7892" s="27">
        <f t="shared" si="246"/>
        <v>23083.01</v>
      </c>
      <c r="I7892" s="18">
        <v>23083.01</v>
      </c>
      <c r="J7892" s="27">
        <v>23083.01</v>
      </c>
      <c r="K7892" s="18">
        <f t="shared" si="247"/>
        <v>23083.01</v>
      </c>
      <c r="L7892" s="27">
        <v>21928.86</v>
      </c>
      <c r="M7892" s="36">
        <v>-1154.1500000000001</v>
      </c>
      <c r="T7892" s="41">
        <v>0</v>
      </c>
      <c r="U7892" s="41">
        <v>0</v>
      </c>
      <c r="V7892" s="42" t="s">
        <v>113</v>
      </c>
      <c r="W7892" s="42">
        <v>23083.01</v>
      </c>
      <c r="X7892" s="42">
        <v>23083.01</v>
      </c>
    </row>
    <row r="7893" spans="1:24">
      <c r="A7893" s="27" t="s">
        <v>14255</v>
      </c>
      <c r="B7893" s="28" t="s">
        <v>12240</v>
      </c>
      <c r="C7893" s="27" t="s">
        <v>14256</v>
      </c>
      <c r="D7893" s="27" t="s">
        <v>230</v>
      </c>
      <c r="E7893" s="29">
        <v>40544</v>
      </c>
      <c r="F7893" s="27">
        <v>15</v>
      </c>
      <c r="G7893" s="18">
        <v>16801.759999999998</v>
      </c>
      <c r="H7893" s="27">
        <f t="shared" si="246"/>
        <v>16801.759999999998</v>
      </c>
      <c r="I7893" s="18">
        <v>16801.759999999998</v>
      </c>
      <c r="J7893" s="27">
        <v>16801.759999999998</v>
      </c>
      <c r="K7893" s="18">
        <f t="shared" si="247"/>
        <v>16801.759999999998</v>
      </c>
      <c r="L7893" s="27">
        <v>15961.67</v>
      </c>
      <c r="M7893" s="36">
        <v>-840.09</v>
      </c>
      <c r="T7893" s="41">
        <v>0</v>
      </c>
      <c r="U7893" s="41">
        <v>0</v>
      </c>
      <c r="V7893" s="42" t="s">
        <v>113</v>
      </c>
      <c r="W7893" s="42">
        <v>16801.759999999998</v>
      </c>
      <c r="X7893" s="42">
        <v>16801.759999999998</v>
      </c>
    </row>
    <row r="7894" spans="1:24">
      <c r="A7894" s="27" t="s">
        <v>14257</v>
      </c>
      <c r="B7894" s="28" t="s">
        <v>12240</v>
      </c>
      <c r="C7894" s="27" t="s">
        <v>14258</v>
      </c>
      <c r="D7894" s="27" t="s">
        <v>230</v>
      </c>
      <c r="E7894" s="29">
        <v>40544</v>
      </c>
      <c r="F7894" s="27">
        <v>15</v>
      </c>
      <c r="G7894" s="18">
        <v>16801.759999999998</v>
      </c>
      <c r="H7894" s="27">
        <f t="shared" si="246"/>
        <v>16801.759999999998</v>
      </c>
      <c r="I7894" s="18">
        <v>16801.759999999998</v>
      </c>
      <c r="J7894" s="27">
        <v>16801.759999999998</v>
      </c>
      <c r="K7894" s="18">
        <f t="shared" si="247"/>
        <v>16801.759999999998</v>
      </c>
      <c r="L7894" s="27">
        <v>15961.67</v>
      </c>
      <c r="M7894" s="36">
        <v>-840.09</v>
      </c>
      <c r="T7894" s="41">
        <v>0</v>
      </c>
      <c r="U7894" s="41">
        <v>0</v>
      </c>
      <c r="V7894" s="42" t="s">
        <v>113</v>
      </c>
      <c r="W7894" s="42">
        <v>16801.759999999998</v>
      </c>
      <c r="X7894" s="42">
        <v>16801.759999999998</v>
      </c>
    </row>
    <row r="7895" spans="1:24">
      <c r="A7895" s="27" t="s">
        <v>14259</v>
      </c>
      <c r="B7895" s="28" t="s">
        <v>12240</v>
      </c>
      <c r="C7895" s="27" t="s">
        <v>14260</v>
      </c>
      <c r="D7895" s="27" t="s">
        <v>230</v>
      </c>
      <c r="E7895" s="29">
        <v>40544</v>
      </c>
      <c r="F7895" s="27">
        <v>15</v>
      </c>
      <c r="G7895" s="18">
        <v>16801.759999999998</v>
      </c>
      <c r="H7895" s="27">
        <f t="shared" si="246"/>
        <v>16801.759999999998</v>
      </c>
      <c r="I7895" s="18">
        <v>16801.759999999998</v>
      </c>
      <c r="J7895" s="27">
        <v>16801.759999999998</v>
      </c>
      <c r="K7895" s="18">
        <f t="shared" si="247"/>
        <v>16801.759999999998</v>
      </c>
      <c r="L7895" s="27">
        <v>15961.67</v>
      </c>
      <c r="M7895" s="36">
        <v>-840.09</v>
      </c>
      <c r="T7895" s="41">
        <v>0</v>
      </c>
      <c r="U7895" s="41">
        <v>0</v>
      </c>
      <c r="V7895" s="42" t="s">
        <v>113</v>
      </c>
      <c r="W7895" s="42">
        <v>16801.759999999998</v>
      </c>
      <c r="X7895" s="42">
        <v>16801.759999999998</v>
      </c>
    </row>
    <row r="7896" spans="1:24">
      <c r="A7896" s="27" t="s">
        <v>14261</v>
      </c>
      <c r="B7896" s="28" t="s">
        <v>12240</v>
      </c>
      <c r="C7896" s="27" t="s">
        <v>14262</v>
      </c>
      <c r="D7896" s="27" t="s">
        <v>230</v>
      </c>
      <c r="E7896" s="29">
        <v>40544</v>
      </c>
      <c r="F7896" s="27">
        <v>15</v>
      </c>
      <c r="G7896" s="18">
        <v>16801.759999999998</v>
      </c>
      <c r="H7896" s="27">
        <f t="shared" si="246"/>
        <v>16801.759999999998</v>
      </c>
      <c r="I7896" s="18">
        <v>16801.759999999998</v>
      </c>
      <c r="J7896" s="27">
        <v>16801.759999999998</v>
      </c>
      <c r="K7896" s="18">
        <f t="shared" si="247"/>
        <v>16801.759999999998</v>
      </c>
      <c r="L7896" s="27">
        <v>15961.67</v>
      </c>
      <c r="M7896" s="36">
        <v>-840.09</v>
      </c>
      <c r="T7896" s="41">
        <v>0</v>
      </c>
      <c r="U7896" s="41">
        <v>0</v>
      </c>
      <c r="V7896" s="42" t="s">
        <v>113</v>
      </c>
      <c r="W7896" s="42">
        <v>16801.759999999998</v>
      </c>
      <c r="X7896" s="42">
        <v>16801.759999999998</v>
      </c>
    </row>
    <row r="7897" spans="1:24">
      <c r="A7897" s="27" t="s">
        <v>14263</v>
      </c>
      <c r="B7897" s="28" t="s">
        <v>12240</v>
      </c>
      <c r="C7897" s="27" t="s">
        <v>14264</v>
      </c>
      <c r="D7897" s="27" t="s">
        <v>230</v>
      </c>
      <c r="E7897" s="29">
        <v>40544</v>
      </c>
      <c r="F7897" s="27">
        <v>15</v>
      </c>
      <c r="G7897" s="18">
        <v>16801.759999999998</v>
      </c>
      <c r="H7897" s="27">
        <f t="shared" si="246"/>
        <v>16801.759999999998</v>
      </c>
      <c r="I7897" s="18">
        <v>16801.759999999998</v>
      </c>
      <c r="J7897" s="27">
        <v>16801.759999999998</v>
      </c>
      <c r="K7897" s="18">
        <f t="shared" si="247"/>
        <v>16801.759999999998</v>
      </c>
      <c r="L7897" s="27">
        <v>15961.67</v>
      </c>
      <c r="M7897" s="36">
        <v>-840.09</v>
      </c>
      <c r="T7897" s="41">
        <v>0</v>
      </c>
      <c r="U7897" s="41">
        <v>0</v>
      </c>
      <c r="V7897" s="42" t="s">
        <v>113</v>
      </c>
      <c r="W7897" s="42">
        <v>16801.759999999998</v>
      </c>
      <c r="X7897" s="42">
        <v>16801.759999999998</v>
      </c>
    </row>
    <row r="7898" spans="1:24">
      <c r="A7898" s="27" t="s">
        <v>14265</v>
      </c>
      <c r="B7898" s="28" t="s">
        <v>12240</v>
      </c>
      <c r="C7898" s="27" t="s">
        <v>14266</v>
      </c>
      <c r="D7898" s="27" t="s">
        <v>230</v>
      </c>
      <c r="E7898" s="29">
        <v>40544</v>
      </c>
      <c r="F7898" s="27">
        <v>15</v>
      </c>
      <c r="G7898" s="18">
        <v>42682.03</v>
      </c>
      <c r="H7898" s="27">
        <f t="shared" si="246"/>
        <v>42682.03</v>
      </c>
      <c r="I7898" s="18">
        <v>42682.03</v>
      </c>
      <c r="J7898" s="27">
        <v>42682.03</v>
      </c>
      <c r="K7898" s="18">
        <f t="shared" si="247"/>
        <v>42682.03</v>
      </c>
      <c r="L7898" s="27">
        <v>40547.93</v>
      </c>
      <c r="M7898" s="36">
        <v>-2134.1</v>
      </c>
      <c r="T7898" s="41">
        <v>0</v>
      </c>
      <c r="U7898" s="41">
        <v>0</v>
      </c>
      <c r="V7898" s="42" t="s">
        <v>113</v>
      </c>
      <c r="W7898" s="42">
        <v>42682.03</v>
      </c>
      <c r="X7898" s="42">
        <v>42682.03</v>
      </c>
    </row>
    <row r="7899" spans="1:24">
      <c r="A7899" s="27" t="s">
        <v>14267</v>
      </c>
      <c r="B7899" s="28" t="s">
        <v>12240</v>
      </c>
      <c r="C7899" s="27" t="s">
        <v>14268</v>
      </c>
      <c r="D7899" s="27" t="s">
        <v>230</v>
      </c>
      <c r="E7899" s="29">
        <v>40544</v>
      </c>
      <c r="F7899" s="27">
        <v>15</v>
      </c>
      <c r="G7899" s="18">
        <v>42682.03</v>
      </c>
      <c r="H7899" s="27">
        <f t="shared" si="246"/>
        <v>42682.03</v>
      </c>
      <c r="I7899" s="18">
        <v>42682.03</v>
      </c>
      <c r="J7899" s="27">
        <v>42682.03</v>
      </c>
      <c r="K7899" s="18">
        <f t="shared" si="247"/>
        <v>42682.03</v>
      </c>
      <c r="L7899" s="27">
        <v>40547.93</v>
      </c>
      <c r="M7899" s="36">
        <v>-2134.1</v>
      </c>
      <c r="T7899" s="41">
        <v>0</v>
      </c>
      <c r="U7899" s="41">
        <v>0</v>
      </c>
      <c r="V7899" s="42" t="s">
        <v>113</v>
      </c>
      <c r="W7899" s="42">
        <v>42682.03</v>
      </c>
      <c r="X7899" s="42">
        <v>42682.03</v>
      </c>
    </row>
    <row r="7900" spans="1:24">
      <c r="A7900" s="27" t="s">
        <v>14269</v>
      </c>
      <c r="B7900" s="28" t="s">
        <v>12240</v>
      </c>
      <c r="C7900" s="27" t="s">
        <v>14270</v>
      </c>
      <c r="D7900" s="27" t="s">
        <v>230</v>
      </c>
      <c r="E7900" s="29">
        <v>40544</v>
      </c>
      <c r="F7900" s="27">
        <v>15</v>
      </c>
      <c r="G7900" s="18">
        <v>42682.03</v>
      </c>
      <c r="H7900" s="27">
        <f t="shared" si="246"/>
        <v>42682.03</v>
      </c>
      <c r="I7900" s="18">
        <v>42682.03</v>
      </c>
      <c r="J7900" s="27">
        <v>42682.03</v>
      </c>
      <c r="K7900" s="18">
        <f t="shared" si="247"/>
        <v>42682.03</v>
      </c>
      <c r="L7900" s="27">
        <v>40547.93</v>
      </c>
      <c r="M7900" s="36">
        <v>-2134.1</v>
      </c>
      <c r="T7900" s="41">
        <v>0</v>
      </c>
      <c r="U7900" s="41">
        <v>0</v>
      </c>
      <c r="V7900" s="42" t="s">
        <v>113</v>
      </c>
      <c r="W7900" s="42">
        <v>42682.03</v>
      </c>
      <c r="X7900" s="42">
        <v>42682.03</v>
      </c>
    </row>
    <row r="7901" spans="1:24">
      <c r="A7901" s="27" t="s">
        <v>14271</v>
      </c>
      <c r="B7901" s="28" t="s">
        <v>12240</v>
      </c>
      <c r="C7901" s="27" t="s">
        <v>14272</v>
      </c>
      <c r="D7901" s="27" t="s">
        <v>230</v>
      </c>
      <c r="E7901" s="29">
        <v>40544</v>
      </c>
      <c r="F7901" s="27">
        <v>15</v>
      </c>
      <c r="G7901" s="18">
        <v>42682.03</v>
      </c>
      <c r="H7901" s="27">
        <f t="shared" si="246"/>
        <v>42682.03</v>
      </c>
      <c r="I7901" s="18">
        <v>42682.03</v>
      </c>
      <c r="J7901" s="27">
        <v>42682.03</v>
      </c>
      <c r="K7901" s="18">
        <f t="shared" si="247"/>
        <v>42682.03</v>
      </c>
      <c r="L7901" s="27">
        <v>40547.93</v>
      </c>
      <c r="M7901" s="36">
        <v>-2134.1</v>
      </c>
      <c r="T7901" s="41">
        <v>0</v>
      </c>
      <c r="U7901" s="41">
        <v>0</v>
      </c>
      <c r="V7901" s="42" t="s">
        <v>113</v>
      </c>
      <c r="W7901" s="42">
        <v>42682.03</v>
      </c>
      <c r="X7901" s="42">
        <v>42682.03</v>
      </c>
    </row>
    <row r="7902" spans="1:24">
      <c r="A7902" s="27" t="s">
        <v>14273</v>
      </c>
      <c r="B7902" s="28" t="s">
        <v>12240</v>
      </c>
      <c r="C7902" s="27" t="s">
        <v>14274</v>
      </c>
      <c r="D7902" s="27" t="s">
        <v>230</v>
      </c>
      <c r="E7902" s="29">
        <v>40544</v>
      </c>
      <c r="F7902" s="27">
        <v>15</v>
      </c>
      <c r="G7902" s="18">
        <v>42682.03</v>
      </c>
      <c r="H7902" s="27">
        <f t="shared" si="246"/>
        <v>42682.03</v>
      </c>
      <c r="I7902" s="18">
        <v>42682.03</v>
      </c>
      <c r="J7902" s="27">
        <v>42682.03</v>
      </c>
      <c r="K7902" s="18">
        <f t="shared" si="247"/>
        <v>42682.03</v>
      </c>
      <c r="L7902" s="27">
        <v>40547.93</v>
      </c>
      <c r="M7902" s="36">
        <v>-2134.1</v>
      </c>
      <c r="T7902" s="41">
        <v>0</v>
      </c>
      <c r="U7902" s="41">
        <v>0</v>
      </c>
      <c r="V7902" s="42" t="s">
        <v>113</v>
      </c>
      <c r="W7902" s="42">
        <v>42682.03</v>
      </c>
      <c r="X7902" s="42">
        <v>42682.03</v>
      </c>
    </row>
    <row r="7903" spans="1:24">
      <c r="A7903" s="27" t="s">
        <v>14275</v>
      </c>
      <c r="B7903" s="28" t="s">
        <v>12240</v>
      </c>
      <c r="C7903" s="27" t="s">
        <v>14276</v>
      </c>
      <c r="D7903" s="27" t="s">
        <v>5104</v>
      </c>
      <c r="E7903" s="29">
        <v>40544</v>
      </c>
      <c r="F7903" s="27">
        <v>15</v>
      </c>
      <c r="G7903" s="18">
        <v>42682.03</v>
      </c>
      <c r="H7903" s="27">
        <f t="shared" si="246"/>
        <v>42682.03</v>
      </c>
      <c r="I7903" s="18">
        <v>42682.03</v>
      </c>
      <c r="J7903" s="27">
        <v>42682.03</v>
      </c>
      <c r="K7903" s="18">
        <f t="shared" si="247"/>
        <v>42682.03</v>
      </c>
      <c r="L7903" s="27">
        <v>40547.93</v>
      </c>
      <c r="M7903" s="36">
        <v>-2134.1</v>
      </c>
      <c r="T7903" s="41">
        <v>0</v>
      </c>
      <c r="U7903" s="41">
        <v>0</v>
      </c>
      <c r="V7903" s="42" t="s">
        <v>113</v>
      </c>
      <c r="W7903" s="42">
        <v>42682.03</v>
      </c>
      <c r="X7903" s="42">
        <v>42682.03</v>
      </c>
    </row>
    <row r="7904" spans="1:24">
      <c r="A7904" s="27" t="s">
        <v>14277</v>
      </c>
      <c r="B7904" s="28" t="s">
        <v>12240</v>
      </c>
      <c r="C7904" s="27" t="s">
        <v>14278</v>
      </c>
      <c r="D7904" s="27" t="s">
        <v>230</v>
      </c>
      <c r="E7904" s="29">
        <v>40544</v>
      </c>
      <c r="F7904" s="27">
        <v>15</v>
      </c>
      <c r="G7904" s="18">
        <v>42682.03</v>
      </c>
      <c r="H7904" s="27">
        <f t="shared" si="246"/>
        <v>42682.03</v>
      </c>
      <c r="I7904" s="18">
        <v>42682.03</v>
      </c>
      <c r="J7904" s="27">
        <v>42682.03</v>
      </c>
      <c r="K7904" s="18">
        <f t="shared" si="247"/>
        <v>42682.03</v>
      </c>
      <c r="L7904" s="27">
        <v>40547.93</v>
      </c>
      <c r="M7904" s="36">
        <v>-2134.1</v>
      </c>
      <c r="T7904" s="41">
        <v>0</v>
      </c>
      <c r="U7904" s="41">
        <v>0</v>
      </c>
      <c r="V7904" s="42" t="s">
        <v>113</v>
      </c>
      <c r="W7904" s="42">
        <v>42682.03</v>
      </c>
      <c r="X7904" s="42">
        <v>42682.03</v>
      </c>
    </row>
    <row r="7905" spans="1:24">
      <c r="A7905" s="27" t="s">
        <v>14279</v>
      </c>
      <c r="B7905" s="28" t="s">
        <v>12240</v>
      </c>
      <c r="C7905" s="27" t="s">
        <v>14280</v>
      </c>
      <c r="D7905" s="27" t="s">
        <v>230</v>
      </c>
      <c r="E7905" s="29">
        <v>40544</v>
      </c>
      <c r="F7905" s="27">
        <v>15</v>
      </c>
      <c r="G7905" s="18">
        <v>42682.01</v>
      </c>
      <c r="H7905" s="27">
        <f t="shared" si="246"/>
        <v>42682.01</v>
      </c>
      <c r="I7905" s="18">
        <v>42682.01</v>
      </c>
      <c r="J7905" s="27">
        <v>42682.01</v>
      </c>
      <c r="K7905" s="18">
        <f t="shared" si="247"/>
        <v>42682.01</v>
      </c>
      <c r="L7905" s="27">
        <v>40547.910000000003</v>
      </c>
      <c r="M7905" s="36">
        <v>-2134.1</v>
      </c>
      <c r="T7905" s="41">
        <v>0</v>
      </c>
      <c r="U7905" s="41">
        <v>0</v>
      </c>
      <c r="V7905" s="42" t="s">
        <v>113</v>
      </c>
      <c r="W7905" s="42">
        <v>42682.01</v>
      </c>
      <c r="X7905" s="42">
        <v>42682.01</v>
      </c>
    </row>
    <row r="7906" spans="1:24">
      <c r="A7906" s="27" t="s">
        <v>14281</v>
      </c>
      <c r="B7906" s="28" t="s">
        <v>12240</v>
      </c>
      <c r="C7906" s="27" t="s">
        <v>14282</v>
      </c>
      <c r="D7906" s="27" t="s">
        <v>230</v>
      </c>
      <c r="E7906" s="29">
        <v>40544</v>
      </c>
      <c r="F7906" s="27">
        <v>15</v>
      </c>
      <c r="G7906" s="18">
        <v>33106.660000000003</v>
      </c>
      <c r="H7906" s="27">
        <f t="shared" si="246"/>
        <v>33106.660000000003</v>
      </c>
      <c r="I7906" s="18">
        <v>33106.660000000003</v>
      </c>
      <c r="J7906" s="27">
        <v>33106.660000000003</v>
      </c>
      <c r="K7906" s="18">
        <f t="shared" si="247"/>
        <v>33106.660000000003</v>
      </c>
      <c r="L7906" s="27">
        <v>31451.33</v>
      </c>
      <c r="M7906" s="36">
        <v>-1655.33</v>
      </c>
      <c r="T7906" s="41">
        <v>0</v>
      </c>
      <c r="U7906" s="41">
        <v>0</v>
      </c>
      <c r="V7906" s="42" t="s">
        <v>113</v>
      </c>
      <c r="W7906" s="42">
        <v>33106.660000000003</v>
      </c>
      <c r="X7906" s="42">
        <v>33106.660000000003</v>
      </c>
    </row>
    <row r="7907" spans="1:24">
      <c r="A7907" s="27" t="s">
        <v>14283</v>
      </c>
      <c r="B7907" s="28" t="s">
        <v>12240</v>
      </c>
      <c r="C7907" s="27" t="s">
        <v>14284</v>
      </c>
      <c r="D7907" s="27" t="s">
        <v>230</v>
      </c>
      <c r="E7907" s="29">
        <v>40544</v>
      </c>
      <c r="F7907" s="27">
        <v>15</v>
      </c>
      <c r="G7907" s="18">
        <v>33106.660000000003</v>
      </c>
      <c r="H7907" s="27">
        <f t="shared" si="246"/>
        <v>33106.660000000003</v>
      </c>
      <c r="I7907" s="18">
        <v>33106.660000000003</v>
      </c>
      <c r="J7907" s="27">
        <v>33106.660000000003</v>
      </c>
      <c r="K7907" s="18">
        <f t="shared" si="247"/>
        <v>33106.660000000003</v>
      </c>
      <c r="L7907" s="27">
        <v>31451.33</v>
      </c>
      <c r="M7907" s="36">
        <v>-1655.33</v>
      </c>
      <c r="T7907" s="41">
        <v>0</v>
      </c>
      <c r="U7907" s="41">
        <v>0</v>
      </c>
      <c r="V7907" s="42" t="s">
        <v>113</v>
      </c>
      <c r="W7907" s="42">
        <v>33106.660000000003</v>
      </c>
      <c r="X7907" s="42">
        <v>33106.660000000003</v>
      </c>
    </row>
    <row r="7908" spans="1:24">
      <c r="A7908" s="27" t="s">
        <v>14285</v>
      </c>
      <c r="B7908" s="28" t="s">
        <v>12240</v>
      </c>
      <c r="C7908" s="27" t="s">
        <v>14286</v>
      </c>
      <c r="D7908" s="27" t="s">
        <v>230</v>
      </c>
      <c r="E7908" s="29">
        <v>40544</v>
      </c>
      <c r="F7908" s="27">
        <v>15</v>
      </c>
      <c r="G7908" s="18">
        <v>52060.59</v>
      </c>
      <c r="H7908" s="27">
        <f t="shared" si="246"/>
        <v>52060.59</v>
      </c>
      <c r="I7908" s="18">
        <v>52060.59</v>
      </c>
      <c r="J7908" s="27">
        <v>52060.59</v>
      </c>
      <c r="K7908" s="18">
        <f t="shared" si="247"/>
        <v>52060.59</v>
      </c>
      <c r="L7908" s="27">
        <v>49457.56</v>
      </c>
      <c r="M7908" s="36">
        <v>-2603.0300000000002</v>
      </c>
      <c r="T7908" s="41">
        <v>0</v>
      </c>
      <c r="U7908" s="41">
        <v>0</v>
      </c>
      <c r="V7908" s="42" t="s">
        <v>113</v>
      </c>
      <c r="W7908" s="42">
        <v>52060.59</v>
      </c>
      <c r="X7908" s="42">
        <v>52060.59</v>
      </c>
    </row>
    <row r="7909" spans="1:24">
      <c r="A7909" s="27" t="s">
        <v>14287</v>
      </c>
      <c r="B7909" s="28" t="s">
        <v>12240</v>
      </c>
      <c r="C7909" s="27" t="s">
        <v>14288</v>
      </c>
      <c r="D7909" s="27" t="s">
        <v>230</v>
      </c>
      <c r="E7909" s="29">
        <v>40544</v>
      </c>
      <c r="F7909" s="27">
        <v>15</v>
      </c>
      <c r="G7909" s="18">
        <v>52060.59</v>
      </c>
      <c r="H7909" s="27">
        <f t="shared" si="246"/>
        <v>52060.59</v>
      </c>
      <c r="I7909" s="18">
        <v>52060.59</v>
      </c>
      <c r="J7909" s="27">
        <v>52060.59</v>
      </c>
      <c r="K7909" s="18">
        <f t="shared" si="247"/>
        <v>52060.59</v>
      </c>
      <c r="L7909" s="27">
        <v>49457.56</v>
      </c>
      <c r="M7909" s="36">
        <v>-2603.0300000000002</v>
      </c>
      <c r="T7909" s="41">
        <v>0</v>
      </c>
      <c r="U7909" s="41">
        <v>0</v>
      </c>
      <c r="V7909" s="42" t="s">
        <v>113</v>
      </c>
      <c r="W7909" s="42">
        <v>52060.59</v>
      </c>
      <c r="X7909" s="42">
        <v>52060.59</v>
      </c>
    </row>
    <row r="7910" spans="1:24">
      <c r="A7910" s="27" t="s">
        <v>14289</v>
      </c>
      <c r="B7910" s="28" t="s">
        <v>12240</v>
      </c>
      <c r="C7910" s="27" t="s">
        <v>14290</v>
      </c>
      <c r="D7910" s="27" t="s">
        <v>5104</v>
      </c>
      <c r="E7910" s="29">
        <v>40544</v>
      </c>
      <c r="F7910" s="27">
        <v>15</v>
      </c>
      <c r="G7910" s="18">
        <v>52060.59</v>
      </c>
      <c r="H7910" s="27">
        <f t="shared" si="246"/>
        <v>52060.59</v>
      </c>
      <c r="I7910" s="18">
        <v>52060.59</v>
      </c>
      <c r="J7910" s="27">
        <v>52060.59</v>
      </c>
      <c r="K7910" s="18">
        <f t="shared" si="247"/>
        <v>52060.59</v>
      </c>
      <c r="L7910" s="27">
        <v>49457.56</v>
      </c>
      <c r="M7910" s="36">
        <v>-2603.0300000000002</v>
      </c>
      <c r="T7910" s="41">
        <v>0</v>
      </c>
      <c r="U7910" s="41">
        <v>0</v>
      </c>
      <c r="V7910" s="42" t="s">
        <v>113</v>
      </c>
      <c r="W7910" s="42">
        <v>52060.59</v>
      </c>
      <c r="X7910" s="42">
        <v>52060.59</v>
      </c>
    </row>
    <row r="7911" spans="1:24">
      <c r="A7911" s="27" t="s">
        <v>14291</v>
      </c>
      <c r="B7911" s="28" t="s">
        <v>12240</v>
      </c>
      <c r="C7911" s="27" t="s">
        <v>14292</v>
      </c>
      <c r="D7911" s="27" t="s">
        <v>230</v>
      </c>
      <c r="E7911" s="29">
        <v>40544</v>
      </c>
      <c r="F7911" s="27">
        <v>15</v>
      </c>
      <c r="G7911" s="18">
        <v>52060.59</v>
      </c>
      <c r="H7911" s="27">
        <f t="shared" si="246"/>
        <v>52060.59</v>
      </c>
      <c r="I7911" s="18">
        <v>52060.59</v>
      </c>
      <c r="J7911" s="27">
        <v>52060.59</v>
      </c>
      <c r="K7911" s="18">
        <f t="shared" si="247"/>
        <v>52060.59</v>
      </c>
      <c r="L7911" s="27">
        <v>49457.56</v>
      </c>
      <c r="M7911" s="36">
        <v>-2603.0300000000002</v>
      </c>
      <c r="T7911" s="41">
        <v>0</v>
      </c>
      <c r="U7911" s="41">
        <v>0</v>
      </c>
      <c r="V7911" s="42" t="s">
        <v>113</v>
      </c>
      <c r="W7911" s="42">
        <v>52060.59</v>
      </c>
      <c r="X7911" s="42">
        <v>52060.59</v>
      </c>
    </row>
    <row r="7912" spans="1:24">
      <c r="A7912" s="27" t="s">
        <v>14293</v>
      </c>
      <c r="B7912" s="28" t="s">
        <v>12240</v>
      </c>
      <c r="C7912" s="27" t="s">
        <v>14294</v>
      </c>
      <c r="D7912" s="27" t="s">
        <v>230</v>
      </c>
      <c r="E7912" s="29">
        <v>40544</v>
      </c>
      <c r="F7912" s="27">
        <v>15</v>
      </c>
      <c r="G7912" s="18">
        <v>52060.59</v>
      </c>
      <c r="H7912" s="27">
        <f t="shared" si="246"/>
        <v>52060.59</v>
      </c>
      <c r="I7912" s="18">
        <v>52060.59</v>
      </c>
      <c r="J7912" s="27">
        <v>52060.59</v>
      </c>
      <c r="K7912" s="18">
        <f t="shared" si="247"/>
        <v>52060.59</v>
      </c>
      <c r="L7912" s="27">
        <v>49457.56</v>
      </c>
      <c r="M7912" s="36">
        <v>-2603.0300000000002</v>
      </c>
      <c r="T7912" s="41">
        <v>0</v>
      </c>
      <c r="U7912" s="41">
        <v>0</v>
      </c>
      <c r="V7912" s="42" t="s">
        <v>113</v>
      </c>
      <c r="W7912" s="42">
        <v>52060.59</v>
      </c>
      <c r="X7912" s="42">
        <v>52060.59</v>
      </c>
    </row>
    <row r="7913" spans="1:24">
      <c r="A7913" s="27" t="s">
        <v>14295</v>
      </c>
      <c r="B7913" s="28" t="s">
        <v>12240</v>
      </c>
      <c r="C7913" s="27" t="s">
        <v>14296</v>
      </c>
      <c r="D7913" s="27" t="s">
        <v>5104</v>
      </c>
      <c r="E7913" s="29">
        <v>40544</v>
      </c>
      <c r="F7913" s="27">
        <v>15</v>
      </c>
      <c r="G7913" s="18">
        <v>52878.05</v>
      </c>
      <c r="H7913" s="27">
        <f t="shared" si="246"/>
        <v>52878.05</v>
      </c>
      <c r="I7913" s="18">
        <v>52878.05</v>
      </c>
      <c r="J7913" s="27">
        <v>52878.05</v>
      </c>
      <c r="K7913" s="18">
        <f t="shared" si="247"/>
        <v>52878.05</v>
      </c>
      <c r="L7913" s="27">
        <v>50234.15</v>
      </c>
      <c r="M7913" s="36">
        <v>-2643.9</v>
      </c>
      <c r="T7913" s="41">
        <v>0</v>
      </c>
      <c r="U7913" s="41">
        <v>0</v>
      </c>
      <c r="V7913" s="42" t="s">
        <v>113</v>
      </c>
      <c r="W7913" s="42">
        <v>52878.05</v>
      </c>
      <c r="X7913" s="42">
        <v>52878.05</v>
      </c>
    </row>
    <row r="7914" spans="1:24">
      <c r="A7914" s="27" t="s">
        <v>14297</v>
      </c>
      <c r="B7914" s="28" t="s">
        <v>12240</v>
      </c>
      <c r="C7914" s="27" t="s">
        <v>14298</v>
      </c>
      <c r="D7914" s="27" t="s">
        <v>5104</v>
      </c>
      <c r="E7914" s="29">
        <v>40544</v>
      </c>
      <c r="F7914" s="27">
        <v>15</v>
      </c>
      <c r="G7914" s="18">
        <v>22332</v>
      </c>
      <c r="H7914" s="27">
        <f t="shared" si="246"/>
        <v>22332</v>
      </c>
      <c r="I7914" s="18">
        <v>22332</v>
      </c>
      <c r="J7914" s="27">
        <v>22332</v>
      </c>
      <c r="K7914" s="18">
        <f t="shared" si="247"/>
        <v>22332</v>
      </c>
      <c r="L7914" s="27">
        <v>21215.4</v>
      </c>
      <c r="M7914" s="36">
        <v>-1116.5999999999999</v>
      </c>
      <c r="T7914" s="41">
        <v>0</v>
      </c>
      <c r="U7914" s="41">
        <v>0</v>
      </c>
      <c r="V7914" s="42" t="s">
        <v>113</v>
      </c>
      <c r="W7914" s="42">
        <v>22332</v>
      </c>
      <c r="X7914" s="42">
        <v>22332</v>
      </c>
    </row>
    <row r="7915" spans="1:24">
      <c r="A7915" s="27" t="s">
        <v>14299</v>
      </c>
      <c r="B7915" s="28" t="s">
        <v>12240</v>
      </c>
      <c r="C7915" s="27" t="s">
        <v>14300</v>
      </c>
      <c r="D7915" s="27" t="s">
        <v>230</v>
      </c>
      <c r="E7915" s="29">
        <v>40544</v>
      </c>
      <c r="F7915" s="27">
        <v>15</v>
      </c>
      <c r="G7915" s="18">
        <v>69891.210000000006</v>
      </c>
      <c r="H7915" s="27">
        <f t="shared" si="246"/>
        <v>69891.210000000006</v>
      </c>
      <c r="I7915" s="18">
        <v>69891.210000000006</v>
      </c>
      <c r="J7915" s="27">
        <v>69891.210000000006</v>
      </c>
      <c r="K7915" s="18">
        <f t="shared" si="247"/>
        <v>69891.210000000006</v>
      </c>
      <c r="L7915" s="27">
        <v>66396.649999999994</v>
      </c>
      <c r="M7915" s="36">
        <v>-3494.56</v>
      </c>
      <c r="T7915" s="41">
        <v>0</v>
      </c>
      <c r="U7915" s="41">
        <v>0</v>
      </c>
      <c r="V7915" s="42" t="s">
        <v>113</v>
      </c>
      <c r="W7915" s="42">
        <v>69891.210000000006</v>
      </c>
      <c r="X7915" s="42">
        <v>69891.210000000006</v>
      </c>
    </row>
    <row r="7916" spans="1:24">
      <c r="A7916" s="27" t="s">
        <v>14301</v>
      </c>
      <c r="B7916" s="28" t="s">
        <v>12240</v>
      </c>
      <c r="C7916" s="27" t="s">
        <v>14302</v>
      </c>
      <c r="D7916" s="27" t="s">
        <v>230</v>
      </c>
      <c r="E7916" s="29">
        <v>41225</v>
      </c>
      <c r="F7916" s="27">
        <v>15</v>
      </c>
      <c r="G7916" s="18">
        <v>106913.13</v>
      </c>
      <c r="H7916" s="27">
        <f t="shared" si="246"/>
        <v>0</v>
      </c>
      <c r="I7916" s="18">
        <v>50621.78</v>
      </c>
      <c r="J7916" s="27">
        <v>106913.13</v>
      </c>
      <c r="K7916" s="18">
        <f t="shared" si="247"/>
        <v>0</v>
      </c>
      <c r="L7916" s="27">
        <v>56335.32</v>
      </c>
      <c r="M7916" s="36">
        <v>5713.54</v>
      </c>
      <c r="T7916" s="41">
        <v>0</v>
      </c>
      <c r="U7916" s="41">
        <v>0</v>
      </c>
      <c r="V7916" s="42" t="s">
        <v>113</v>
      </c>
      <c r="W7916" s="42">
        <v>0</v>
      </c>
      <c r="X7916" s="42">
        <v>0</v>
      </c>
    </row>
    <row r="7917" spans="1:24">
      <c r="A7917" s="27" t="s">
        <v>14303</v>
      </c>
      <c r="B7917" s="28" t="s">
        <v>12240</v>
      </c>
      <c r="C7917" s="27" t="s">
        <v>14304</v>
      </c>
      <c r="D7917" s="27" t="s">
        <v>230</v>
      </c>
      <c r="E7917" s="29">
        <v>41225</v>
      </c>
      <c r="F7917" s="27">
        <v>15</v>
      </c>
      <c r="G7917" s="18">
        <v>6056.87</v>
      </c>
      <c r="H7917" s="27">
        <f t="shared" si="246"/>
        <v>0</v>
      </c>
      <c r="I7917" s="18">
        <v>2865.87</v>
      </c>
      <c r="J7917" s="27">
        <v>6056.87</v>
      </c>
      <c r="K7917" s="18">
        <f t="shared" si="247"/>
        <v>0</v>
      </c>
      <c r="L7917" s="27">
        <v>3189.78</v>
      </c>
      <c r="M7917" s="36">
        <v>323.91000000000003</v>
      </c>
      <c r="T7917" s="41">
        <v>0</v>
      </c>
      <c r="U7917" s="41">
        <v>0</v>
      </c>
      <c r="V7917" s="42" t="s">
        <v>113</v>
      </c>
      <c r="W7917" s="42">
        <v>0</v>
      </c>
      <c r="X7917" s="42">
        <v>0</v>
      </c>
    </row>
    <row r="7918" spans="1:24">
      <c r="A7918" s="27" t="s">
        <v>14305</v>
      </c>
      <c r="B7918" s="28" t="s">
        <v>12240</v>
      </c>
      <c r="C7918" s="27" t="s">
        <v>14306</v>
      </c>
      <c r="D7918" s="27" t="s">
        <v>230</v>
      </c>
      <c r="E7918" s="29">
        <v>41225</v>
      </c>
      <c r="F7918" s="27">
        <v>15</v>
      </c>
      <c r="G7918" s="18">
        <v>32349.25</v>
      </c>
      <c r="H7918" s="27">
        <f t="shared" si="246"/>
        <v>0</v>
      </c>
      <c r="I7918" s="18">
        <v>15306.31</v>
      </c>
      <c r="J7918" s="27">
        <v>32349.25</v>
      </c>
      <c r="K7918" s="18">
        <f t="shared" si="247"/>
        <v>0</v>
      </c>
      <c r="L7918" s="27">
        <v>17036.27</v>
      </c>
      <c r="M7918" s="36">
        <v>1729.96</v>
      </c>
      <c r="T7918" s="41">
        <v>0</v>
      </c>
      <c r="U7918" s="41">
        <v>0</v>
      </c>
      <c r="V7918" s="42" t="s">
        <v>113</v>
      </c>
      <c r="W7918" s="42">
        <v>0</v>
      </c>
      <c r="X7918" s="42">
        <v>0</v>
      </c>
    </row>
    <row r="7919" spans="1:24">
      <c r="A7919" s="27" t="s">
        <v>14307</v>
      </c>
      <c r="B7919" s="28" t="s">
        <v>12240</v>
      </c>
      <c r="C7919" s="27" t="s">
        <v>14308</v>
      </c>
      <c r="D7919" s="27" t="s">
        <v>230</v>
      </c>
      <c r="E7919" s="29">
        <v>41225</v>
      </c>
      <c r="F7919" s="27">
        <v>15</v>
      </c>
      <c r="G7919" s="18">
        <v>42298.64</v>
      </c>
      <c r="H7919" s="27">
        <f t="shared" si="246"/>
        <v>0</v>
      </c>
      <c r="I7919" s="18">
        <v>20013.919999999998</v>
      </c>
      <c r="J7919" s="27">
        <v>42298.64</v>
      </c>
      <c r="K7919" s="18">
        <f t="shared" si="247"/>
        <v>0</v>
      </c>
      <c r="L7919" s="27">
        <v>22275.95</v>
      </c>
      <c r="M7919" s="36">
        <v>2262.0300000000002</v>
      </c>
      <c r="T7919" s="41">
        <v>0</v>
      </c>
      <c r="U7919" s="41">
        <v>0</v>
      </c>
      <c r="V7919" s="42" t="s">
        <v>113</v>
      </c>
      <c r="W7919" s="42">
        <v>0</v>
      </c>
      <c r="X7919" s="42">
        <v>0</v>
      </c>
    </row>
    <row r="7920" spans="1:24">
      <c r="A7920" s="27" t="s">
        <v>14309</v>
      </c>
      <c r="B7920" s="28" t="s">
        <v>12240</v>
      </c>
      <c r="C7920" s="27" t="s">
        <v>14308</v>
      </c>
      <c r="D7920" s="27" t="s">
        <v>230</v>
      </c>
      <c r="E7920" s="29">
        <v>41225</v>
      </c>
      <c r="F7920" s="27">
        <v>15</v>
      </c>
      <c r="G7920" s="18">
        <v>8459.74</v>
      </c>
      <c r="H7920" s="27">
        <f t="shared" si="246"/>
        <v>0</v>
      </c>
      <c r="I7920" s="18">
        <v>4002.79</v>
      </c>
      <c r="J7920" s="27">
        <v>8459.74</v>
      </c>
      <c r="K7920" s="18">
        <f t="shared" si="247"/>
        <v>0</v>
      </c>
      <c r="L7920" s="27">
        <v>4455.2</v>
      </c>
      <c r="M7920" s="36">
        <v>452.41</v>
      </c>
      <c r="T7920" s="41">
        <v>0</v>
      </c>
      <c r="U7920" s="41">
        <v>0</v>
      </c>
      <c r="V7920" s="42" t="s">
        <v>113</v>
      </c>
      <c r="W7920" s="42">
        <v>0</v>
      </c>
      <c r="X7920" s="42">
        <v>0</v>
      </c>
    </row>
    <row r="7921" spans="1:24">
      <c r="A7921" s="27" t="s">
        <v>14310</v>
      </c>
      <c r="B7921" s="28" t="s">
        <v>12240</v>
      </c>
      <c r="C7921" s="27" t="s">
        <v>14311</v>
      </c>
      <c r="D7921" s="27" t="s">
        <v>230</v>
      </c>
      <c r="E7921" s="29">
        <v>41225</v>
      </c>
      <c r="F7921" s="27">
        <v>15</v>
      </c>
      <c r="G7921" s="18">
        <v>139795.49</v>
      </c>
      <c r="H7921" s="27">
        <f t="shared" si="246"/>
        <v>0</v>
      </c>
      <c r="I7921" s="18">
        <v>66145.31</v>
      </c>
      <c r="J7921" s="27">
        <v>139795.49</v>
      </c>
      <c r="K7921" s="18">
        <f t="shared" si="247"/>
        <v>0</v>
      </c>
      <c r="L7921" s="27">
        <v>73621.240000000005</v>
      </c>
      <c r="M7921" s="36">
        <v>7475.93</v>
      </c>
      <c r="T7921" s="41">
        <v>0</v>
      </c>
      <c r="U7921" s="41">
        <v>0</v>
      </c>
      <c r="V7921" s="42" t="s">
        <v>113</v>
      </c>
      <c r="W7921" s="42">
        <v>0</v>
      </c>
      <c r="X7921" s="42">
        <v>0</v>
      </c>
    </row>
    <row r="7922" spans="1:24">
      <c r="A7922" s="27" t="s">
        <v>14312</v>
      </c>
      <c r="B7922" s="28" t="s">
        <v>12240</v>
      </c>
      <c r="C7922" s="27" t="s">
        <v>14313</v>
      </c>
      <c r="D7922" s="27" t="s">
        <v>230</v>
      </c>
      <c r="E7922" s="29">
        <v>41225</v>
      </c>
      <c r="F7922" s="27">
        <v>15</v>
      </c>
      <c r="G7922" s="18">
        <v>7919.75</v>
      </c>
      <c r="H7922" s="27">
        <f t="shared" si="246"/>
        <v>0</v>
      </c>
      <c r="I7922" s="18">
        <v>3747.29</v>
      </c>
      <c r="J7922" s="27">
        <v>7919.75</v>
      </c>
      <c r="K7922" s="18">
        <f t="shared" si="247"/>
        <v>0</v>
      </c>
      <c r="L7922" s="27">
        <v>4170.82</v>
      </c>
      <c r="M7922" s="36">
        <v>423.53</v>
      </c>
      <c r="T7922" s="41">
        <v>0</v>
      </c>
      <c r="U7922" s="41">
        <v>0</v>
      </c>
      <c r="V7922" s="42" t="s">
        <v>113</v>
      </c>
      <c r="W7922" s="42">
        <v>0</v>
      </c>
      <c r="X7922" s="42">
        <v>0</v>
      </c>
    </row>
    <row r="7923" spans="1:24">
      <c r="A7923" s="27" t="s">
        <v>14314</v>
      </c>
      <c r="B7923" s="28" t="s">
        <v>12240</v>
      </c>
      <c r="C7923" s="27" t="s">
        <v>14304</v>
      </c>
      <c r="D7923" s="27" t="s">
        <v>230</v>
      </c>
      <c r="E7923" s="29">
        <v>41225</v>
      </c>
      <c r="F7923" s="27">
        <v>15</v>
      </c>
      <c r="G7923" s="18">
        <v>8556.5300000000007</v>
      </c>
      <c r="H7923" s="27">
        <f t="shared" si="246"/>
        <v>0</v>
      </c>
      <c r="I7923" s="18">
        <v>4048.58</v>
      </c>
      <c r="J7923" s="27">
        <v>8556.5300000000007</v>
      </c>
      <c r="K7923" s="18">
        <f t="shared" si="247"/>
        <v>0</v>
      </c>
      <c r="L7923" s="27">
        <v>4506.16</v>
      </c>
      <c r="M7923" s="36">
        <v>457.58</v>
      </c>
      <c r="T7923" s="41">
        <v>0</v>
      </c>
      <c r="U7923" s="41">
        <v>0</v>
      </c>
      <c r="V7923" s="42" t="s">
        <v>113</v>
      </c>
      <c r="W7923" s="42">
        <v>0</v>
      </c>
      <c r="X7923" s="42">
        <v>0</v>
      </c>
    </row>
    <row r="7924" spans="1:24">
      <c r="A7924" s="27" t="s">
        <v>14315</v>
      </c>
      <c r="B7924" s="28" t="s">
        <v>12240</v>
      </c>
      <c r="C7924" s="27" t="s">
        <v>14306</v>
      </c>
      <c r="D7924" s="27" t="s">
        <v>230</v>
      </c>
      <c r="E7924" s="29">
        <v>41225</v>
      </c>
      <c r="F7924" s="27">
        <v>15</v>
      </c>
      <c r="G7924" s="18">
        <v>43523.199999999997</v>
      </c>
      <c r="H7924" s="27">
        <f t="shared" si="246"/>
        <v>0</v>
      </c>
      <c r="I7924" s="18">
        <v>20593.330000000002</v>
      </c>
      <c r="J7924" s="27">
        <v>43523.199999999997</v>
      </c>
      <c r="K7924" s="18">
        <f t="shared" si="247"/>
        <v>0</v>
      </c>
      <c r="L7924" s="27">
        <v>22920.85</v>
      </c>
      <c r="M7924" s="36">
        <v>2327.52</v>
      </c>
      <c r="T7924" s="41">
        <v>0</v>
      </c>
      <c r="U7924" s="41">
        <v>0</v>
      </c>
      <c r="V7924" s="42" t="s">
        <v>113</v>
      </c>
      <c r="W7924" s="42">
        <v>0</v>
      </c>
      <c r="X7924" s="42">
        <v>0</v>
      </c>
    </row>
    <row r="7925" spans="1:24">
      <c r="A7925" s="27" t="s">
        <v>14316</v>
      </c>
      <c r="B7925" s="28" t="s">
        <v>12240</v>
      </c>
      <c r="C7925" s="27" t="s">
        <v>14302</v>
      </c>
      <c r="D7925" s="27" t="s">
        <v>230</v>
      </c>
      <c r="E7925" s="29">
        <v>41225</v>
      </c>
      <c r="F7925" s="27">
        <v>15</v>
      </c>
      <c r="G7925" s="18">
        <v>86305.56</v>
      </c>
      <c r="H7925" s="27">
        <f t="shared" si="246"/>
        <v>0</v>
      </c>
      <c r="I7925" s="18">
        <v>40836.14</v>
      </c>
      <c r="J7925" s="27">
        <v>86305.56</v>
      </c>
      <c r="K7925" s="18">
        <f t="shared" si="247"/>
        <v>0</v>
      </c>
      <c r="L7925" s="27">
        <v>45451.56</v>
      </c>
      <c r="M7925" s="36">
        <v>4615.42</v>
      </c>
      <c r="T7925" s="41">
        <v>0</v>
      </c>
      <c r="U7925" s="41">
        <v>0</v>
      </c>
      <c r="V7925" s="42" t="s">
        <v>113</v>
      </c>
      <c r="W7925" s="42">
        <v>0</v>
      </c>
      <c r="X7925" s="42">
        <v>0</v>
      </c>
    </row>
    <row r="7926" spans="1:24">
      <c r="A7926" s="27" t="s">
        <v>14317</v>
      </c>
      <c r="B7926" s="28" t="s">
        <v>12240</v>
      </c>
      <c r="C7926" s="27" t="s">
        <v>14306</v>
      </c>
      <c r="D7926" s="27" t="s">
        <v>230</v>
      </c>
      <c r="E7926" s="29">
        <v>41225</v>
      </c>
      <c r="F7926" s="27">
        <v>15</v>
      </c>
      <c r="G7926" s="18">
        <v>11467.39</v>
      </c>
      <c r="H7926" s="27">
        <f t="shared" si="246"/>
        <v>0</v>
      </c>
      <c r="I7926" s="18">
        <v>5425.89</v>
      </c>
      <c r="J7926" s="27">
        <v>11467.39</v>
      </c>
      <c r="K7926" s="18">
        <f t="shared" si="247"/>
        <v>0</v>
      </c>
      <c r="L7926" s="27">
        <v>6039.14</v>
      </c>
      <c r="M7926" s="36">
        <v>613.25</v>
      </c>
      <c r="T7926" s="41">
        <v>0</v>
      </c>
      <c r="U7926" s="41">
        <v>0</v>
      </c>
      <c r="V7926" s="42" t="s">
        <v>113</v>
      </c>
      <c r="W7926" s="42">
        <v>0</v>
      </c>
      <c r="X7926" s="42">
        <v>0</v>
      </c>
    </row>
    <row r="7927" spans="1:24">
      <c r="A7927" s="27" t="s">
        <v>14318</v>
      </c>
      <c r="B7927" s="28" t="s">
        <v>12240</v>
      </c>
      <c r="C7927" s="27" t="s">
        <v>14302</v>
      </c>
      <c r="D7927" s="27" t="s">
        <v>230</v>
      </c>
      <c r="E7927" s="29">
        <v>41225</v>
      </c>
      <c r="F7927" s="27">
        <v>15</v>
      </c>
      <c r="G7927" s="18">
        <v>37899.31</v>
      </c>
      <c r="H7927" s="27">
        <f t="shared" si="246"/>
        <v>0</v>
      </c>
      <c r="I7927" s="18">
        <v>17932.349999999999</v>
      </c>
      <c r="J7927" s="27">
        <v>37899.31</v>
      </c>
      <c r="K7927" s="18">
        <f t="shared" si="247"/>
        <v>0</v>
      </c>
      <c r="L7927" s="27">
        <v>19959.12</v>
      </c>
      <c r="M7927" s="36">
        <v>2026.77</v>
      </c>
      <c r="T7927" s="41">
        <v>0</v>
      </c>
      <c r="U7927" s="41">
        <v>0</v>
      </c>
      <c r="V7927" s="42" t="s">
        <v>113</v>
      </c>
      <c r="W7927" s="42">
        <v>0</v>
      </c>
      <c r="X7927" s="42">
        <v>0</v>
      </c>
    </row>
    <row r="7928" spans="1:24">
      <c r="A7928" s="27" t="s">
        <v>14319</v>
      </c>
      <c r="B7928" s="28" t="s">
        <v>12240</v>
      </c>
      <c r="C7928" s="27" t="s">
        <v>14320</v>
      </c>
      <c r="D7928" s="27" t="s">
        <v>5104</v>
      </c>
      <c r="E7928" s="29">
        <v>41451</v>
      </c>
      <c r="F7928" s="27">
        <v>15</v>
      </c>
      <c r="G7928" s="18">
        <v>8324.1</v>
      </c>
      <c r="H7928" s="27">
        <f t="shared" si="246"/>
        <v>0</v>
      </c>
      <c r="I7928" s="18">
        <v>3436.17</v>
      </c>
      <c r="J7928" s="27">
        <v>8324.1</v>
      </c>
      <c r="K7928" s="18">
        <f t="shared" si="247"/>
        <v>0</v>
      </c>
      <c r="L7928" s="27">
        <v>3906.88</v>
      </c>
      <c r="M7928" s="36">
        <v>470.71</v>
      </c>
      <c r="T7928" s="41">
        <v>0</v>
      </c>
      <c r="U7928" s="41">
        <v>0</v>
      </c>
      <c r="V7928" s="42" t="s">
        <v>113</v>
      </c>
      <c r="W7928" s="42">
        <v>0</v>
      </c>
      <c r="X7928" s="42">
        <v>0</v>
      </c>
    </row>
    <row r="7929" spans="1:24">
      <c r="A7929" s="27" t="s">
        <v>14321</v>
      </c>
      <c r="B7929" s="28" t="s">
        <v>12240</v>
      </c>
      <c r="C7929" s="27" t="s">
        <v>14322</v>
      </c>
      <c r="D7929" s="27" t="s">
        <v>5104</v>
      </c>
      <c r="E7929" s="29">
        <v>41451</v>
      </c>
      <c r="F7929" s="27">
        <v>15</v>
      </c>
      <c r="G7929" s="18">
        <v>5106.63</v>
      </c>
      <c r="H7929" s="27">
        <f t="shared" si="246"/>
        <v>0</v>
      </c>
      <c r="I7929" s="18">
        <v>2107.48</v>
      </c>
      <c r="J7929" s="27">
        <v>5106.63</v>
      </c>
      <c r="K7929" s="18">
        <f t="shared" si="247"/>
        <v>0</v>
      </c>
      <c r="L7929" s="27">
        <v>2396.3000000000002</v>
      </c>
      <c r="M7929" s="36">
        <v>288.82</v>
      </c>
      <c r="T7929" s="41">
        <v>0</v>
      </c>
      <c r="U7929" s="41">
        <v>0</v>
      </c>
      <c r="V7929" s="42" t="s">
        <v>113</v>
      </c>
      <c r="W7929" s="42">
        <v>0</v>
      </c>
      <c r="X7929" s="42">
        <v>0</v>
      </c>
    </row>
    <row r="7930" spans="1:24">
      <c r="A7930" s="27" t="s">
        <v>14323</v>
      </c>
      <c r="B7930" s="28" t="s">
        <v>12240</v>
      </c>
      <c r="C7930" s="27" t="s">
        <v>14324</v>
      </c>
      <c r="D7930" s="27" t="s">
        <v>5104</v>
      </c>
      <c r="E7930" s="29">
        <v>41451</v>
      </c>
      <c r="F7930" s="27">
        <v>15</v>
      </c>
      <c r="G7930" s="18">
        <v>6299.21</v>
      </c>
      <c r="H7930" s="27">
        <f t="shared" si="246"/>
        <v>0</v>
      </c>
      <c r="I7930" s="18">
        <v>2600.3000000000002</v>
      </c>
      <c r="J7930" s="27">
        <v>6299.21</v>
      </c>
      <c r="K7930" s="18">
        <f t="shared" si="247"/>
        <v>0</v>
      </c>
      <c r="L7930" s="27">
        <v>2956.51</v>
      </c>
      <c r="M7930" s="36">
        <v>356.21</v>
      </c>
      <c r="T7930" s="41">
        <v>0</v>
      </c>
      <c r="U7930" s="41">
        <v>0</v>
      </c>
      <c r="V7930" s="42" t="s">
        <v>113</v>
      </c>
      <c r="W7930" s="42">
        <v>0</v>
      </c>
      <c r="X7930" s="42">
        <v>0</v>
      </c>
    </row>
    <row r="7931" spans="1:24">
      <c r="A7931" s="27" t="s">
        <v>14325</v>
      </c>
      <c r="B7931" s="28" t="s">
        <v>12240</v>
      </c>
      <c r="C7931" s="27" t="s">
        <v>14326</v>
      </c>
      <c r="D7931" s="27" t="s">
        <v>230</v>
      </c>
      <c r="E7931" s="29">
        <v>41451</v>
      </c>
      <c r="F7931" s="27">
        <v>15</v>
      </c>
      <c r="G7931" s="18">
        <v>6891.82</v>
      </c>
      <c r="H7931" s="27">
        <f t="shared" si="246"/>
        <v>0</v>
      </c>
      <c r="I7931" s="18">
        <v>2844.92</v>
      </c>
      <c r="J7931" s="27">
        <v>6891.82</v>
      </c>
      <c r="K7931" s="18">
        <f t="shared" si="247"/>
        <v>0</v>
      </c>
      <c r="L7931" s="27">
        <v>3234.64</v>
      </c>
      <c r="M7931" s="36">
        <v>389.72</v>
      </c>
      <c r="T7931" s="41">
        <v>0</v>
      </c>
      <c r="U7931" s="41">
        <v>0</v>
      </c>
      <c r="V7931" s="42" t="s">
        <v>113</v>
      </c>
      <c r="W7931" s="42">
        <v>0</v>
      </c>
      <c r="X7931" s="42">
        <v>0</v>
      </c>
    </row>
    <row r="7932" spans="1:24">
      <c r="A7932" s="27" t="s">
        <v>14327</v>
      </c>
      <c r="B7932" s="28" t="s">
        <v>12240</v>
      </c>
      <c r="C7932" s="27" t="s">
        <v>14328</v>
      </c>
      <c r="D7932" s="27" t="s">
        <v>5104</v>
      </c>
      <c r="E7932" s="29">
        <v>41451</v>
      </c>
      <c r="F7932" s="27">
        <v>15</v>
      </c>
      <c r="G7932" s="18">
        <v>6044.08</v>
      </c>
      <c r="H7932" s="27">
        <f t="shared" si="246"/>
        <v>0</v>
      </c>
      <c r="I7932" s="18">
        <v>2589.14</v>
      </c>
      <c r="J7932" s="27">
        <v>6044.08</v>
      </c>
      <c r="K7932" s="18">
        <f t="shared" si="247"/>
        <v>0</v>
      </c>
      <c r="L7932" s="27">
        <v>2921.01</v>
      </c>
      <c r="M7932" s="36">
        <v>331.87</v>
      </c>
      <c r="T7932" s="41">
        <v>0</v>
      </c>
      <c r="U7932" s="41">
        <v>0</v>
      </c>
      <c r="V7932" s="42" t="s">
        <v>113</v>
      </c>
      <c r="W7932" s="42">
        <v>0</v>
      </c>
      <c r="X7932" s="42">
        <v>0</v>
      </c>
    </row>
    <row r="7933" spans="1:24">
      <c r="A7933" s="27" t="s">
        <v>14329</v>
      </c>
      <c r="B7933" s="28" t="s">
        <v>12240</v>
      </c>
      <c r="C7933" s="27" t="s">
        <v>14330</v>
      </c>
      <c r="D7933" s="27" t="s">
        <v>5104</v>
      </c>
      <c r="E7933" s="29">
        <v>41451</v>
      </c>
      <c r="F7933" s="27">
        <v>15</v>
      </c>
      <c r="G7933" s="18">
        <v>5541.19</v>
      </c>
      <c r="H7933" s="27">
        <f t="shared" si="246"/>
        <v>0</v>
      </c>
      <c r="I7933" s="18">
        <v>2286.79</v>
      </c>
      <c r="J7933" s="27">
        <v>5541.19</v>
      </c>
      <c r="K7933" s="18">
        <f t="shared" si="247"/>
        <v>0</v>
      </c>
      <c r="L7933" s="27">
        <v>2600.19</v>
      </c>
      <c r="M7933" s="36">
        <v>313.39999999999998</v>
      </c>
      <c r="T7933" s="41">
        <v>0</v>
      </c>
      <c r="U7933" s="41">
        <v>0</v>
      </c>
      <c r="V7933" s="42" t="s">
        <v>113</v>
      </c>
      <c r="W7933" s="42">
        <v>0</v>
      </c>
      <c r="X7933" s="42">
        <v>0</v>
      </c>
    </row>
    <row r="7934" spans="1:24">
      <c r="A7934" s="27" t="s">
        <v>14331</v>
      </c>
      <c r="B7934" s="28" t="s">
        <v>12240</v>
      </c>
      <c r="C7934" s="27" t="s">
        <v>14332</v>
      </c>
      <c r="D7934" s="27" t="s">
        <v>230</v>
      </c>
      <c r="E7934" s="29">
        <v>41452</v>
      </c>
      <c r="F7934" s="27">
        <v>15</v>
      </c>
      <c r="G7934" s="18">
        <v>9592.41</v>
      </c>
      <c r="H7934" s="27">
        <f t="shared" si="246"/>
        <v>0</v>
      </c>
      <c r="I7934" s="18">
        <v>3959.73</v>
      </c>
      <c r="J7934" s="27">
        <v>9592.41</v>
      </c>
      <c r="K7934" s="18">
        <f t="shared" si="247"/>
        <v>0</v>
      </c>
      <c r="L7934" s="27">
        <v>4502.16</v>
      </c>
      <c r="M7934" s="36">
        <v>542.42999999999995</v>
      </c>
      <c r="T7934" s="41">
        <v>0</v>
      </c>
      <c r="U7934" s="41">
        <v>0</v>
      </c>
      <c r="V7934" s="42" t="s">
        <v>113</v>
      </c>
      <c r="W7934" s="42">
        <v>0</v>
      </c>
      <c r="X7934" s="42">
        <v>0</v>
      </c>
    </row>
    <row r="7935" spans="1:24">
      <c r="A7935" s="27" t="s">
        <v>14333</v>
      </c>
      <c r="B7935" s="28" t="s">
        <v>12240</v>
      </c>
      <c r="C7935" s="27" t="s">
        <v>14334</v>
      </c>
      <c r="D7935" s="27" t="s">
        <v>230</v>
      </c>
      <c r="E7935" s="29">
        <v>41452</v>
      </c>
      <c r="F7935" s="27">
        <v>15</v>
      </c>
      <c r="G7935" s="18">
        <v>42572.21</v>
      </c>
      <c r="H7935" s="27">
        <f t="shared" si="246"/>
        <v>0</v>
      </c>
      <c r="I7935" s="18">
        <v>17572.72</v>
      </c>
      <c r="J7935" s="27">
        <v>42572.21</v>
      </c>
      <c r="K7935" s="18">
        <f t="shared" si="247"/>
        <v>0</v>
      </c>
      <c r="L7935" s="27">
        <v>19980.18</v>
      </c>
      <c r="M7935" s="36">
        <v>2407.46</v>
      </c>
      <c r="T7935" s="41">
        <v>0</v>
      </c>
      <c r="U7935" s="41">
        <v>0</v>
      </c>
      <c r="V7935" s="42" t="s">
        <v>113</v>
      </c>
      <c r="W7935" s="42">
        <v>0</v>
      </c>
      <c r="X7935" s="42">
        <v>0</v>
      </c>
    </row>
    <row r="7936" spans="1:24">
      <c r="A7936" s="27" t="s">
        <v>14335</v>
      </c>
      <c r="B7936" s="28" t="s">
        <v>12240</v>
      </c>
      <c r="C7936" s="27" t="s">
        <v>14336</v>
      </c>
      <c r="D7936" s="27" t="s">
        <v>230</v>
      </c>
      <c r="E7936" s="29">
        <v>41452</v>
      </c>
      <c r="F7936" s="27">
        <v>15</v>
      </c>
      <c r="G7936" s="18">
        <v>9592.41</v>
      </c>
      <c r="H7936" s="27">
        <f t="shared" si="246"/>
        <v>0</v>
      </c>
      <c r="I7936" s="18">
        <v>3959.73</v>
      </c>
      <c r="J7936" s="27">
        <v>9592.41</v>
      </c>
      <c r="K7936" s="18">
        <f t="shared" si="247"/>
        <v>0</v>
      </c>
      <c r="L7936" s="27">
        <v>4502.16</v>
      </c>
      <c r="M7936" s="36">
        <v>542.42999999999995</v>
      </c>
      <c r="T7936" s="41">
        <v>0</v>
      </c>
      <c r="U7936" s="41">
        <v>0</v>
      </c>
      <c r="V7936" s="42" t="s">
        <v>113</v>
      </c>
      <c r="W7936" s="42">
        <v>0</v>
      </c>
      <c r="X7936" s="42">
        <v>0</v>
      </c>
    </row>
    <row r="7937" spans="1:24">
      <c r="A7937" s="27" t="s">
        <v>14337</v>
      </c>
      <c r="B7937" s="28" t="s">
        <v>12240</v>
      </c>
      <c r="C7937" s="27" t="s">
        <v>14338</v>
      </c>
      <c r="D7937" s="27" t="s">
        <v>230</v>
      </c>
      <c r="E7937" s="29">
        <v>41452</v>
      </c>
      <c r="F7937" s="27">
        <v>15</v>
      </c>
      <c r="G7937" s="18">
        <v>42572.21</v>
      </c>
      <c r="H7937" s="27">
        <f t="shared" si="246"/>
        <v>0</v>
      </c>
      <c r="I7937" s="18">
        <v>17572.72</v>
      </c>
      <c r="J7937" s="27">
        <v>42572.21</v>
      </c>
      <c r="K7937" s="18">
        <f t="shared" si="247"/>
        <v>0</v>
      </c>
      <c r="L7937" s="27">
        <v>19980.18</v>
      </c>
      <c r="M7937" s="36">
        <v>2407.46</v>
      </c>
      <c r="T7937" s="41">
        <v>0</v>
      </c>
      <c r="U7937" s="41">
        <v>0</v>
      </c>
      <c r="V7937" s="42" t="s">
        <v>113</v>
      </c>
      <c r="W7937" s="42">
        <v>0</v>
      </c>
      <c r="X7937" s="42">
        <v>0</v>
      </c>
    </row>
    <row r="7938" spans="1:24">
      <c r="A7938" s="27" t="s">
        <v>14339</v>
      </c>
      <c r="B7938" s="28" t="s">
        <v>12240</v>
      </c>
      <c r="C7938" s="27" t="s">
        <v>14340</v>
      </c>
      <c r="D7938" s="27" t="s">
        <v>230</v>
      </c>
      <c r="E7938" s="29">
        <v>41452</v>
      </c>
      <c r="F7938" s="27">
        <v>15</v>
      </c>
      <c r="G7938" s="18">
        <v>9592.41</v>
      </c>
      <c r="H7938" s="27">
        <f t="shared" si="246"/>
        <v>0</v>
      </c>
      <c r="I7938" s="18">
        <v>3959.73</v>
      </c>
      <c r="J7938" s="27">
        <v>9592.41</v>
      </c>
      <c r="K7938" s="18">
        <f t="shared" si="247"/>
        <v>0</v>
      </c>
      <c r="L7938" s="27">
        <v>4502.16</v>
      </c>
      <c r="M7938" s="36">
        <v>542.42999999999995</v>
      </c>
      <c r="T7938" s="41">
        <v>0</v>
      </c>
      <c r="U7938" s="41">
        <v>0</v>
      </c>
      <c r="V7938" s="42" t="s">
        <v>113</v>
      </c>
      <c r="W7938" s="42">
        <v>0</v>
      </c>
      <c r="X7938" s="42">
        <v>0</v>
      </c>
    </row>
    <row r="7939" spans="1:24">
      <c r="A7939" s="27" t="s">
        <v>14341</v>
      </c>
      <c r="B7939" s="28" t="s">
        <v>12240</v>
      </c>
      <c r="C7939" s="27" t="s">
        <v>14342</v>
      </c>
      <c r="D7939" s="27" t="s">
        <v>230</v>
      </c>
      <c r="E7939" s="29">
        <v>41452</v>
      </c>
      <c r="F7939" s="27">
        <v>15</v>
      </c>
      <c r="G7939" s="18">
        <v>42572.22</v>
      </c>
      <c r="H7939" s="27">
        <f t="shared" si="246"/>
        <v>0</v>
      </c>
      <c r="I7939" s="18">
        <v>17572.73</v>
      </c>
      <c r="J7939" s="27">
        <v>42572.22</v>
      </c>
      <c r="K7939" s="18">
        <f t="shared" si="247"/>
        <v>0</v>
      </c>
      <c r="L7939" s="27">
        <v>19980.189999999999</v>
      </c>
      <c r="M7939" s="36">
        <v>2407.46</v>
      </c>
      <c r="T7939" s="41">
        <v>0</v>
      </c>
      <c r="U7939" s="41">
        <v>0</v>
      </c>
      <c r="V7939" s="42" t="s">
        <v>113</v>
      </c>
      <c r="W7939" s="42">
        <v>0</v>
      </c>
      <c r="X7939" s="42">
        <v>0</v>
      </c>
    </row>
    <row r="7940" spans="1:24">
      <c r="A7940" s="27" t="s">
        <v>14343</v>
      </c>
      <c r="B7940" s="28" t="s">
        <v>12240</v>
      </c>
      <c r="C7940" s="27" t="s">
        <v>14344</v>
      </c>
      <c r="D7940" s="27" t="s">
        <v>5104</v>
      </c>
      <c r="E7940" s="29">
        <v>41452</v>
      </c>
      <c r="F7940" s="27">
        <v>15</v>
      </c>
      <c r="G7940" s="18">
        <v>9592.41</v>
      </c>
      <c r="H7940" s="27">
        <f t="shared" si="246"/>
        <v>0</v>
      </c>
      <c r="I7940" s="18">
        <v>3959.73</v>
      </c>
      <c r="J7940" s="27">
        <v>9592.41</v>
      </c>
      <c r="K7940" s="18">
        <f t="shared" si="247"/>
        <v>0</v>
      </c>
      <c r="L7940" s="27">
        <v>4502.16</v>
      </c>
      <c r="M7940" s="36">
        <v>542.42999999999995</v>
      </c>
      <c r="T7940" s="41">
        <v>0</v>
      </c>
      <c r="U7940" s="41">
        <v>0</v>
      </c>
      <c r="V7940" s="42" t="s">
        <v>113</v>
      </c>
      <c r="W7940" s="42">
        <v>0</v>
      </c>
      <c r="X7940" s="42">
        <v>0</v>
      </c>
    </row>
    <row r="7941" spans="1:24">
      <c r="A7941" s="27" t="s">
        <v>14345</v>
      </c>
      <c r="B7941" s="28" t="s">
        <v>12240</v>
      </c>
      <c r="C7941" s="27" t="s">
        <v>14346</v>
      </c>
      <c r="D7941" s="27" t="s">
        <v>5104</v>
      </c>
      <c r="E7941" s="29">
        <v>41452</v>
      </c>
      <c r="F7941" s="27">
        <v>15</v>
      </c>
      <c r="G7941" s="18">
        <v>42572.22</v>
      </c>
      <c r="H7941" s="27">
        <f t="shared" si="246"/>
        <v>0</v>
      </c>
      <c r="I7941" s="18">
        <v>17572.73</v>
      </c>
      <c r="J7941" s="27">
        <v>42572.22</v>
      </c>
      <c r="K7941" s="18">
        <f t="shared" si="247"/>
        <v>0</v>
      </c>
      <c r="L7941" s="27">
        <v>19980.189999999999</v>
      </c>
      <c r="M7941" s="36">
        <v>2407.46</v>
      </c>
      <c r="T7941" s="41">
        <v>0</v>
      </c>
      <c r="U7941" s="41">
        <v>0</v>
      </c>
      <c r="V7941" s="42" t="s">
        <v>113</v>
      </c>
      <c r="W7941" s="42">
        <v>0</v>
      </c>
      <c r="X7941" s="42">
        <v>0</v>
      </c>
    </row>
    <row r="7942" spans="1:24">
      <c r="A7942" s="27" t="s">
        <v>14347</v>
      </c>
      <c r="B7942" s="28" t="s">
        <v>12240</v>
      </c>
      <c r="C7942" s="27" t="s">
        <v>14348</v>
      </c>
      <c r="D7942" s="27" t="s">
        <v>230</v>
      </c>
      <c r="E7942" s="29">
        <v>41452</v>
      </c>
      <c r="F7942" s="27">
        <v>15</v>
      </c>
      <c r="G7942" s="18">
        <v>9592.41</v>
      </c>
      <c r="H7942" s="27">
        <f t="shared" ref="H7942:H8005" si="248">IFERROR(IF(ROUND((G7942-I7942)/G7942,2)&lt;=0.05,G7942,0),0)</f>
        <v>0</v>
      </c>
      <c r="I7942" s="18">
        <v>3959.73</v>
      </c>
      <c r="J7942" s="27">
        <v>9592.41</v>
      </c>
      <c r="K7942" s="18">
        <f t="shared" ref="K7942:K8005" si="249">IFERROR(IF(ROUND((J7942-L7942)/J7942,2)&lt;=0.05,J7942,0),0)</f>
        <v>0</v>
      </c>
      <c r="L7942" s="27">
        <v>4502.16</v>
      </c>
      <c r="M7942" s="36">
        <v>542.42999999999995</v>
      </c>
      <c r="T7942" s="41">
        <v>0</v>
      </c>
      <c r="U7942" s="41">
        <v>0</v>
      </c>
      <c r="V7942" s="42" t="s">
        <v>113</v>
      </c>
      <c r="W7942" s="42">
        <v>0</v>
      </c>
      <c r="X7942" s="42">
        <v>0</v>
      </c>
    </row>
    <row r="7943" spans="1:24">
      <c r="A7943" s="27" t="s">
        <v>14349</v>
      </c>
      <c r="B7943" s="28" t="s">
        <v>12240</v>
      </c>
      <c r="C7943" s="27" t="s">
        <v>14350</v>
      </c>
      <c r="D7943" s="27" t="s">
        <v>230</v>
      </c>
      <c r="E7943" s="29">
        <v>41452</v>
      </c>
      <c r="F7943" s="27">
        <v>15</v>
      </c>
      <c r="G7943" s="18">
        <v>42507.519999999997</v>
      </c>
      <c r="H7943" s="27">
        <f t="shared" si="248"/>
        <v>0</v>
      </c>
      <c r="I7943" s="18">
        <v>17547.009999999998</v>
      </c>
      <c r="J7943" s="27">
        <v>42507.519999999997</v>
      </c>
      <c r="K7943" s="18">
        <f t="shared" si="249"/>
        <v>0</v>
      </c>
      <c r="L7943" s="27">
        <v>19950.71</v>
      </c>
      <c r="M7943" s="36">
        <v>2403.6999999999998</v>
      </c>
      <c r="T7943" s="41">
        <v>0</v>
      </c>
      <c r="U7943" s="41">
        <v>0</v>
      </c>
      <c r="V7943" s="42" t="s">
        <v>113</v>
      </c>
      <c r="W7943" s="42">
        <v>0</v>
      </c>
      <c r="X7943" s="42">
        <v>0</v>
      </c>
    </row>
    <row r="7944" spans="1:24">
      <c r="A7944" s="27" t="s">
        <v>14351</v>
      </c>
      <c r="B7944" s="28" t="s">
        <v>12240</v>
      </c>
      <c r="C7944" s="27" t="s">
        <v>14352</v>
      </c>
      <c r="D7944" s="27" t="s">
        <v>230</v>
      </c>
      <c r="E7944" s="29">
        <v>41452</v>
      </c>
      <c r="F7944" s="27">
        <v>15</v>
      </c>
      <c r="G7944" s="18">
        <v>9592.41</v>
      </c>
      <c r="H7944" s="27">
        <f t="shared" si="248"/>
        <v>0</v>
      </c>
      <c r="I7944" s="18">
        <v>3959.73</v>
      </c>
      <c r="J7944" s="27">
        <v>9592.41</v>
      </c>
      <c r="K7944" s="18">
        <f t="shared" si="249"/>
        <v>0</v>
      </c>
      <c r="L7944" s="27">
        <v>4502.16</v>
      </c>
      <c r="M7944" s="36">
        <v>542.42999999999995</v>
      </c>
      <c r="T7944" s="41">
        <v>0</v>
      </c>
      <c r="U7944" s="41">
        <v>0</v>
      </c>
      <c r="V7944" s="42" t="s">
        <v>113</v>
      </c>
      <c r="W7944" s="42">
        <v>0</v>
      </c>
      <c r="X7944" s="42">
        <v>0</v>
      </c>
    </row>
    <row r="7945" spans="1:24">
      <c r="A7945" s="27" t="s">
        <v>14353</v>
      </c>
      <c r="B7945" s="28" t="s">
        <v>12240</v>
      </c>
      <c r="C7945" s="27" t="s">
        <v>14354</v>
      </c>
      <c r="D7945" s="27" t="s">
        <v>230</v>
      </c>
      <c r="E7945" s="29">
        <v>41452</v>
      </c>
      <c r="F7945" s="27">
        <v>15</v>
      </c>
      <c r="G7945" s="18">
        <v>42507.519999999997</v>
      </c>
      <c r="H7945" s="27">
        <f t="shared" si="248"/>
        <v>0</v>
      </c>
      <c r="I7945" s="18">
        <v>17547.009999999998</v>
      </c>
      <c r="J7945" s="27">
        <v>42507.519999999997</v>
      </c>
      <c r="K7945" s="18">
        <f t="shared" si="249"/>
        <v>0</v>
      </c>
      <c r="L7945" s="27">
        <v>19950.71</v>
      </c>
      <c r="M7945" s="36">
        <v>2403.6999999999998</v>
      </c>
      <c r="T7945" s="41">
        <v>0</v>
      </c>
      <c r="U7945" s="41">
        <v>0</v>
      </c>
      <c r="V7945" s="42" t="s">
        <v>113</v>
      </c>
      <c r="W7945" s="42">
        <v>0</v>
      </c>
      <c r="X7945" s="42">
        <v>0</v>
      </c>
    </row>
    <row r="7946" spans="1:24">
      <c r="A7946" s="27" t="s">
        <v>14355</v>
      </c>
      <c r="B7946" s="28" t="s">
        <v>12240</v>
      </c>
      <c r="C7946" s="27" t="s">
        <v>14356</v>
      </c>
      <c r="D7946" s="27" t="s">
        <v>230</v>
      </c>
      <c r="E7946" s="29">
        <v>41452</v>
      </c>
      <c r="F7946" s="27">
        <v>15</v>
      </c>
      <c r="G7946" s="18">
        <v>9592.41</v>
      </c>
      <c r="H7946" s="27">
        <f t="shared" si="248"/>
        <v>0</v>
      </c>
      <c r="I7946" s="18">
        <v>3959.73</v>
      </c>
      <c r="J7946" s="27">
        <v>9592.41</v>
      </c>
      <c r="K7946" s="18">
        <f t="shared" si="249"/>
        <v>0</v>
      </c>
      <c r="L7946" s="27">
        <v>4502.16</v>
      </c>
      <c r="M7946" s="36">
        <v>542.42999999999995</v>
      </c>
      <c r="T7946" s="41">
        <v>0</v>
      </c>
      <c r="U7946" s="41">
        <v>0</v>
      </c>
      <c r="V7946" s="42" t="s">
        <v>113</v>
      </c>
      <c r="W7946" s="42">
        <v>0</v>
      </c>
      <c r="X7946" s="42">
        <v>0</v>
      </c>
    </row>
    <row r="7947" spans="1:24">
      <c r="A7947" s="27" t="s">
        <v>14357</v>
      </c>
      <c r="B7947" s="28" t="s">
        <v>12240</v>
      </c>
      <c r="C7947" s="27" t="s">
        <v>14358</v>
      </c>
      <c r="D7947" s="27" t="s">
        <v>230</v>
      </c>
      <c r="E7947" s="29">
        <v>41452</v>
      </c>
      <c r="F7947" s="27">
        <v>15</v>
      </c>
      <c r="G7947" s="18">
        <v>42507.519999999997</v>
      </c>
      <c r="H7947" s="27">
        <f t="shared" si="248"/>
        <v>0</v>
      </c>
      <c r="I7947" s="18">
        <v>17547.009999999998</v>
      </c>
      <c r="J7947" s="27">
        <v>42507.519999999997</v>
      </c>
      <c r="K7947" s="18">
        <f t="shared" si="249"/>
        <v>0</v>
      </c>
      <c r="L7947" s="27">
        <v>19950.71</v>
      </c>
      <c r="M7947" s="36">
        <v>2403.6999999999998</v>
      </c>
      <c r="T7947" s="41">
        <v>0</v>
      </c>
      <c r="U7947" s="41">
        <v>0</v>
      </c>
      <c r="V7947" s="42" t="s">
        <v>113</v>
      </c>
      <c r="W7947" s="42">
        <v>0</v>
      </c>
      <c r="X7947" s="42">
        <v>0</v>
      </c>
    </row>
    <row r="7948" spans="1:24">
      <c r="A7948" s="27" t="s">
        <v>14359</v>
      </c>
      <c r="B7948" s="28" t="s">
        <v>12240</v>
      </c>
      <c r="C7948" s="27" t="s">
        <v>14360</v>
      </c>
      <c r="D7948" s="27" t="s">
        <v>230</v>
      </c>
      <c r="E7948" s="29">
        <v>41452</v>
      </c>
      <c r="F7948" s="27">
        <v>15</v>
      </c>
      <c r="G7948" s="18">
        <v>9592.41</v>
      </c>
      <c r="H7948" s="27">
        <f t="shared" si="248"/>
        <v>0</v>
      </c>
      <c r="I7948" s="18">
        <v>3959.73</v>
      </c>
      <c r="J7948" s="27">
        <v>9592.41</v>
      </c>
      <c r="K7948" s="18">
        <f t="shared" si="249"/>
        <v>0</v>
      </c>
      <c r="L7948" s="27">
        <v>4502.16</v>
      </c>
      <c r="M7948" s="36">
        <v>542.42999999999995</v>
      </c>
      <c r="T7948" s="41">
        <v>0</v>
      </c>
      <c r="U7948" s="41">
        <v>0</v>
      </c>
      <c r="V7948" s="42" t="s">
        <v>113</v>
      </c>
      <c r="W7948" s="42">
        <v>0</v>
      </c>
      <c r="X7948" s="42">
        <v>0</v>
      </c>
    </row>
    <row r="7949" spans="1:24">
      <c r="A7949" s="27" t="s">
        <v>14361</v>
      </c>
      <c r="B7949" s="28" t="s">
        <v>12240</v>
      </c>
      <c r="C7949" s="27" t="s">
        <v>14362</v>
      </c>
      <c r="D7949" s="27" t="s">
        <v>230</v>
      </c>
      <c r="E7949" s="29">
        <v>41452</v>
      </c>
      <c r="F7949" s="27">
        <v>15</v>
      </c>
      <c r="G7949" s="18">
        <v>42507.519999999997</v>
      </c>
      <c r="H7949" s="27">
        <f t="shared" si="248"/>
        <v>0</v>
      </c>
      <c r="I7949" s="18">
        <v>17547.009999999998</v>
      </c>
      <c r="J7949" s="27">
        <v>42507.519999999997</v>
      </c>
      <c r="K7949" s="18">
        <f t="shared" si="249"/>
        <v>0</v>
      </c>
      <c r="L7949" s="27">
        <v>19950.71</v>
      </c>
      <c r="M7949" s="36">
        <v>2403.6999999999998</v>
      </c>
      <c r="T7949" s="41">
        <v>0</v>
      </c>
      <c r="U7949" s="41">
        <v>0</v>
      </c>
      <c r="V7949" s="42" t="s">
        <v>113</v>
      </c>
      <c r="W7949" s="42">
        <v>0</v>
      </c>
      <c r="X7949" s="42">
        <v>0</v>
      </c>
    </row>
    <row r="7950" spans="1:24">
      <c r="A7950" s="27" t="s">
        <v>14363</v>
      </c>
      <c r="B7950" s="28" t="s">
        <v>12240</v>
      </c>
      <c r="C7950" s="27" t="s">
        <v>14364</v>
      </c>
      <c r="D7950" s="27" t="s">
        <v>230</v>
      </c>
      <c r="E7950" s="29">
        <v>41452</v>
      </c>
      <c r="F7950" s="27">
        <v>15</v>
      </c>
      <c r="G7950" s="18">
        <v>9592.41</v>
      </c>
      <c r="H7950" s="27">
        <f t="shared" si="248"/>
        <v>0</v>
      </c>
      <c r="I7950" s="18">
        <v>3959.73</v>
      </c>
      <c r="J7950" s="27">
        <v>9592.41</v>
      </c>
      <c r="K7950" s="18">
        <f t="shared" si="249"/>
        <v>0</v>
      </c>
      <c r="L7950" s="27">
        <v>4502.16</v>
      </c>
      <c r="M7950" s="36">
        <v>542.42999999999995</v>
      </c>
      <c r="T7950" s="41">
        <v>0</v>
      </c>
      <c r="U7950" s="41">
        <v>0</v>
      </c>
      <c r="V7950" s="42" t="s">
        <v>113</v>
      </c>
      <c r="W7950" s="42">
        <v>0</v>
      </c>
      <c r="X7950" s="42">
        <v>0</v>
      </c>
    </row>
    <row r="7951" spans="1:24">
      <c r="A7951" s="27" t="s">
        <v>14365</v>
      </c>
      <c r="B7951" s="28" t="s">
        <v>12240</v>
      </c>
      <c r="C7951" s="27" t="s">
        <v>14366</v>
      </c>
      <c r="D7951" s="27" t="s">
        <v>230</v>
      </c>
      <c r="E7951" s="29">
        <v>41452</v>
      </c>
      <c r="F7951" s="27">
        <v>15</v>
      </c>
      <c r="G7951" s="18">
        <v>42507.519999999997</v>
      </c>
      <c r="H7951" s="27">
        <f t="shared" si="248"/>
        <v>0</v>
      </c>
      <c r="I7951" s="18">
        <v>17547.009999999998</v>
      </c>
      <c r="J7951" s="27">
        <v>42507.519999999997</v>
      </c>
      <c r="K7951" s="18">
        <f t="shared" si="249"/>
        <v>0</v>
      </c>
      <c r="L7951" s="27">
        <v>19950.71</v>
      </c>
      <c r="M7951" s="36">
        <v>2403.6999999999998</v>
      </c>
      <c r="T7951" s="41">
        <v>0</v>
      </c>
      <c r="U7951" s="41">
        <v>0</v>
      </c>
      <c r="V7951" s="42" t="s">
        <v>113</v>
      </c>
      <c r="W7951" s="42">
        <v>0</v>
      </c>
      <c r="X7951" s="42">
        <v>0</v>
      </c>
    </row>
    <row r="7952" spans="1:24">
      <c r="A7952" s="27" t="s">
        <v>14367</v>
      </c>
      <c r="B7952" s="28" t="s">
        <v>12240</v>
      </c>
      <c r="C7952" s="27" t="s">
        <v>14368</v>
      </c>
      <c r="D7952" s="27" t="s">
        <v>230</v>
      </c>
      <c r="E7952" s="29">
        <v>41452</v>
      </c>
      <c r="F7952" s="27">
        <v>15</v>
      </c>
      <c r="G7952" s="18">
        <v>9592.41</v>
      </c>
      <c r="H7952" s="27">
        <f t="shared" si="248"/>
        <v>0</v>
      </c>
      <c r="I7952" s="18">
        <v>3959.73</v>
      </c>
      <c r="J7952" s="27">
        <v>9592.41</v>
      </c>
      <c r="K7952" s="18">
        <f t="shared" si="249"/>
        <v>0</v>
      </c>
      <c r="L7952" s="27">
        <v>4502.16</v>
      </c>
      <c r="M7952" s="36">
        <v>542.42999999999995</v>
      </c>
      <c r="T7952" s="41">
        <v>0</v>
      </c>
      <c r="U7952" s="41">
        <v>0</v>
      </c>
      <c r="V7952" s="42" t="s">
        <v>113</v>
      </c>
      <c r="W7952" s="42">
        <v>0</v>
      </c>
      <c r="X7952" s="42">
        <v>0</v>
      </c>
    </row>
    <row r="7953" spans="1:24">
      <c r="A7953" s="27" t="s">
        <v>14369</v>
      </c>
      <c r="B7953" s="28" t="s">
        <v>12240</v>
      </c>
      <c r="C7953" s="27" t="s">
        <v>14370</v>
      </c>
      <c r="D7953" s="27" t="s">
        <v>230</v>
      </c>
      <c r="E7953" s="29">
        <v>41452</v>
      </c>
      <c r="F7953" s="27">
        <v>15</v>
      </c>
      <c r="G7953" s="18">
        <v>42507.519999999997</v>
      </c>
      <c r="H7953" s="27">
        <f t="shared" si="248"/>
        <v>0</v>
      </c>
      <c r="I7953" s="18">
        <v>17547.009999999998</v>
      </c>
      <c r="J7953" s="27">
        <v>42507.519999999997</v>
      </c>
      <c r="K7953" s="18">
        <f t="shared" si="249"/>
        <v>0</v>
      </c>
      <c r="L7953" s="27">
        <v>19950.71</v>
      </c>
      <c r="M7953" s="36">
        <v>2403.6999999999998</v>
      </c>
      <c r="T7953" s="41">
        <v>0</v>
      </c>
      <c r="U7953" s="41">
        <v>0</v>
      </c>
      <c r="V7953" s="42" t="s">
        <v>113</v>
      </c>
      <c r="W7953" s="42">
        <v>0</v>
      </c>
      <c r="X7953" s="42">
        <v>0</v>
      </c>
    </row>
    <row r="7954" spans="1:24">
      <c r="A7954" s="27" t="s">
        <v>14371</v>
      </c>
      <c r="B7954" s="28" t="s">
        <v>12240</v>
      </c>
      <c r="C7954" s="27" t="s">
        <v>14372</v>
      </c>
      <c r="D7954" s="27" t="s">
        <v>230</v>
      </c>
      <c r="E7954" s="29">
        <v>41452</v>
      </c>
      <c r="F7954" s="27">
        <v>15</v>
      </c>
      <c r="G7954" s="18">
        <v>9592.41</v>
      </c>
      <c r="H7954" s="27">
        <f t="shared" si="248"/>
        <v>0</v>
      </c>
      <c r="I7954" s="18">
        <v>3959.73</v>
      </c>
      <c r="J7954" s="27">
        <v>9592.41</v>
      </c>
      <c r="K7954" s="18">
        <f t="shared" si="249"/>
        <v>0</v>
      </c>
      <c r="L7954" s="27">
        <v>4502.16</v>
      </c>
      <c r="M7954" s="36">
        <v>542.42999999999995</v>
      </c>
      <c r="T7954" s="41">
        <v>0</v>
      </c>
      <c r="U7954" s="41">
        <v>0</v>
      </c>
      <c r="V7954" s="42" t="s">
        <v>113</v>
      </c>
      <c r="W7954" s="42">
        <v>0</v>
      </c>
      <c r="X7954" s="42">
        <v>0</v>
      </c>
    </row>
    <row r="7955" spans="1:24">
      <c r="A7955" s="27" t="s">
        <v>14373</v>
      </c>
      <c r="B7955" s="28" t="s">
        <v>12240</v>
      </c>
      <c r="C7955" s="27" t="s">
        <v>14374</v>
      </c>
      <c r="D7955" s="27" t="s">
        <v>230</v>
      </c>
      <c r="E7955" s="29">
        <v>41452</v>
      </c>
      <c r="F7955" s="27">
        <v>15</v>
      </c>
      <c r="G7955" s="18">
        <v>42507.519999999997</v>
      </c>
      <c r="H7955" s="27">
        <f t="shared" si="248"/>
        <v>0</v>
      </c>
      <c r="I7955" s="18">
        <v>17547.009999999998</v>
      </c>
      <c r="J7955" s="27">
        <v>42507.519999999997</v>
      </c>
      <c r="K7955" s="18">
        <f t="shared" si="249"/>
        <v>0</v>
      </c>
      <c r="L7955" s="27">
        <v>19950.71</v>
      </c>
      <c r="M7955" s="36">
        <v>2403.6999999999998</v>
      </c>
      <c r="T7955" s="41">
        <v>0</v>
      </c>
      <c r="U7955" s="41">
        <v>0</v>
      </c>
      <c r="V7955" s="42" t="s">
        <v>113</v>
      </c>
      <c r="W7955" s="42">
        <v>0</v>
      </c>
      <c r="X7955" s="42">
        <v>0</v>
      </c>
    </row>
    <row r="7956" spans="1:24">
      <c r="A7956" s="27" t="s">
        <v>14375</v>
      </c>
      <c r="B7956" s="28" t="s">
        <v>12240</v>
      </c>
      <c r="C7956" s="27" t="s">
        <v>14376</v>
      </c>
      <c r="D7956" s="27" t="s">
        <v>230</v>
      </c>
      <c r="E7956" s="29">
        <v>41452</v>
      </c>
      <c r="F7956" s="27">
        <v>15</v>
      </c>
      <c r="G7956" s="18">
        <v>9592.41</v>
      </c>
      <c r="H7956" s="27">
        <f t="shared" si="248"/>
        <v>0</v>
      </c>
      <c r="I7956" s="18">
        <v>3959.73</v>
      </c>
      <c r="J7956" s="27">
        <v>9592.41</v>
      </c>
      <c r="K7956" s="18">
        <f t="shared" si="249"/>
        <v>0</v>
      </c>
      <c r="L7956" s="27">
        <v>4502.16</v>
      </c>
      <c r="M7956" s="36">
        <v>542.42999999999995</v>
      </c>
      <c r="T7956" s="41">
        <v>0</v>
      </c>
      <c r="U7956" s="41">
        <v>0</v>
      </c>
      <c r="V7956" s="42" t="s">
        <v>113</v>
      </c>
      <c r="W7956" s="42">
        <v>0</v>
      </c>
      <c r="X7956" s="42">
        <v>0</v>
      </c>
    </row>
    <row r="7957" spans="1:24">
      <c r="A7957" s="27" t="s">
        <v>14377</v>
      </c>
      <c r="B7957" s="28" t="s">
        <v>12240</v>
      </c>
      <c r="C7957" s="27" t="s">
        <v>14378</v>
      </c>
      <c r="D7957" s="27" t="s">
        <v>230</v>
      </c>
      <c r="E7957" s="29">
        <v>41452</v>
      </c>
      <c r="F7957" s="27">
        <v>15</v>
      </c>
      <c r="G7957" s="18">
        <v>42507.519999999997</v>
      </c>
      <c r="H7957" s="27">
        <f t="shared" si="248"/>
        <v>0</v>
      </c>
      <c r="I7957" s="18">
        <v>17547.009999999998</v>
      </c>
      <c r="J7957" s="27">
        <v>42507.519999999997</v>
      </c>
      <c r="K7957" s="18">
        <f t="shared" si="249"/>
        <v>0</v>
      </c>
      <c r="L7957" s="27">
        <v>19950.71</v>
      </c>
      <c r="M7957" s="36">
        <v>2403.6999999999998</v>
      </c>
      <c r="T7957" s="41">
        <v>0</v>
      </c>
      <c r="U7957" s="41">
        <v>0</v>
      </c>
      <c r="V7957" s="42" t="s">
        <v>113</v>
      </c>
      <c r="W7957" s="42">
        <v>0</v>
      </c>
      <c r="X7957" s="42">
        <v>0</v>
      </c>
    </row>
    <row r="7958" spans="1:24">
      <c r="A7958" s="27" t="s">
        <v>14379</v>
      </c>
      <c r="B7958" s="28" t="s">
        <v>12240</v>
      </c>
      <c r="C7958" s="27" t="s">
        <v>14380</v>
      </c>
      <c r="D7958" s="27" t="s">
        <v>230</v>
      </c>
      <c r="E7958" s="29">
        <v>41452</v>
      </c>
      <c r="F7958" s="27">
        <v>15</v>
      </c>
      <c r="G7958" s="18">
        <v>9592.4</v>
      </c>
      <c r="H7958" s="27">
        <f t="shared" si="248"/>
        <v>0</v>
      </c>
      <c r="I7958" s="18">
        <v>3959.73</v>
      </c>
      <c r="J7958" s="27">
        <v>9592.4</v>
      </c>
      <c r="K7958" s="18">
        <f t="shared" si="249"/>
        <v>0</v>
      </c>
      <c r="L7958" s="27">
        <v>4502.16</v>
      </c>
      <c r="M7958" s="36">
        <v>542.42999999999995</v>
      </c>
      <c r="T7958" s="41">
        <v>0</v>
      </c>
      <c r="U7958" s="41">
        <v>0</v>
      </c>
      <c r="V7958" s="42" t="s">
        <v>113</v>
      </c>
      <c r="W7958" s="42">
        <v>0</v>
      </c>
      <c r="X7958" s="42">
        <v>0</v>
      </c>
    </row>
    <row r="7959" spans="1:24">
      <c r="A7959" s="27" t="s">
        <v>14381</v>
      </c>
      <c r="B7959" s="28" t="s">
        <v>12240</v>
      </c>
      <c r="C7959" s="27" t="s">
        <v>14382</v>
      </c>
      <c r="D7959" s="27" t="s">
        <v>230</v>
      </c>
      <c r="E7959" s="29">
        <v>41452</v>
      </c>
      <c r="F7959" s="27">
        <v>15</v>
      </c>
      <c r="G7959" s="18">
        <v>42507.519999999997</v>
      </c>
      <c r="H7959" s="27">
        <f t="shared" si="248"/>
        <v>0</v>
      </c>
      <c r="I7959" s="18">
        <v>17547.009999999998</v>
      </c>
      <c r="J7959" s="27">
        <v>42507.519999999997</v>
      </c>
      <c r="K7959" s="18">
        <f t="shared" si="249"/>
        <v>0</v>
      </c>
      <c r="L7959" s="27">
        <v>19950.71</v>
      </c>
      <c r="M7959" s="36">
        <v>2403.6999999999998</v>
      </c>
      <c r="T7959" s="41">
        <v>0</v>
      </c>
      <c r="U7959" s="41">
        <v>0</v>
      </c>
      <c r="V7959" s="42" t="s">
        <v>113</v>
      </c>
      <c r="W7959" s="42">
        <v>0</v>
      </c>
      <c r="X7959" s="42">
        <v>0</v>
      </c>
    </row>
    <row r="7960" spans="1:24">
      <c r="A7960" s="27" t="s">
        <v>14383</v>
      </c>
      <c r="B7960" s="28" t="s">
        <v>12240</v>
      </c>
      <c r="C7960" s="27" t="s">
        <v>14384</v>
      </c>
      <c r="D7960" s="27" t="s">
        <v>230</v>
      </c>
      <c r="E7960" s="29">
        <v>41452</v>
      </c>
      <c r="F7960" s="27">
        <v>15</v>
      </c>
      <c r="G7960" s="18">
        <v>9592.4</v>
      </c>
      <c r="H7960" s="27">
        <f t="shared" si="248"/>
        <v>0</v>
      </c>
      <c r="I7960" s="18">
        <v>3959.73</v>
      </c>
      <c r="J7960" s="27">
        <v>9592.4</v>
      </c>
      <c r="K7960" s="18">
        <f t="shared" si="249"/>
        <v>0</v>
      </c>
      <c r="L7960" s="27">
        <v>4502.16</v>
      </c>
      <c r="M7960" s="36">
        <v>542.42999999999995</v>
      </c>
      <c r="T7960" s="41">
        <v>0</v>
      </c>
      <c r="U7960" s="41">
        <v>0</v>
      </c>
      <c r="V7960" s="42" t="s">
        <v>113</v>
      </c>
      <c r="W7960" s="42">
        <v>0</v>
      </c>
      <c r="X7960" s="42">
        <v>0</v>
      </c>
    </row>
    <row r="7961" spans="1:24">
      <c r="A7961" s="27" t="s">
        <v>14385</v>
      </c>
      <c r="B7961" s="28" t="s">
        <v>12240</v>
      </c>
      <c r="C7961" s="27" t="s">
        <v>14386</v>
      </c>
      <c r="D7961" s="27" t="s">
        <v>230</v>
      </c>
      <c r="E7961" s="29">
        <v>41452</v>
      </c>
      <c r="F7961" s="27">
        <v>15</v>
      </c>
      <c r="G7961" s="18">
        <v>42507.519999999997</v>
      </c>
      <c r="H7961" s="27">
        <f t="shared" si="248"/>
        <v>0</v>
      </c>
      <c r="I7961" s="18">
        <v>17547.009999999998</v>
      </c>
      <c r="J7961" s="27">
        <v>42507.519999999997</v>
      </c>
      <c r="K7961" s="18">
        <f t="shared" si="249"/>
        <v>0</v>
      </c>
      <c r="L7961" s="27">
        <v>19950.71</v>
      </c>
      <c r="M7961" s="36">
        <v>2403.6999999999998</v>
      </c>
      <c r="T7961" s="41">
        <v>0</v>
      </c>
      <c r="U7961" s="41">
        <v>0</v>
      </c>
      <c r="V7961" s="42" t="s">
        <v>113</v>
      </c>
      <c r="W7961" s="42">
        <v>0</v>
      </c>
      <c r="X7961" s="42">
        <v>0</v>
      </c>
    </row>
    <row r="7962" spans="1:24">
      <c r="A7962" s="27" t="s">
        <v>14387</v>
      </c>
      <c r="B7962" s="28" t="s">
        <v>12240</v>
      </c>
      <c r="C7962" s="27" t="s">
        <v>14388</v>
      </c>
      <c r="D7962" s="27" t="s">
        <v>5104</v>
      </c>
      <c r="E7962" s="29">
        <v>41452</v>
      </c>
      <c r="F7962" s="27">
        <v>15</v>
      </c>
      <c r="G7962" s="18">
        <v>40541.58</v>
      </c>
      <c r="H7962" s="27">
        <f t="shared" si="248"/>
        <v>0</v>
      </c>
      <c r="I7962" s="18">
        <v>16735.46</v>
      </c>
      <c r="J7962" s="27">
        <v>40541.58</v>
      </c>
      <c r="K7962" s="18">
        <f t="shared" si="249"/>
        <v>0</v>
      </c>
      <c r="L7962" s="27">
        <v>19027.990000000002</v>
      </c>
      <c r="M7962" s="36">
        <v>2292.5300000000002</v>
      </c>
      <c r="T7962" s="41">
        <v>0</v>
      </c>
      <c r="U7962" s="41">
        <v>0</v>
      </c>
      <c r="V7962" s="42" t="s">
        <v>113</v>
      </c>
      <c r="W7962" s="42">
        <v>0</v>
      </c>
      <c r="X7962" s="42">
        <v>0</v>
      </c>
    </row>
    <row r="7963" spans="1:24">
      <c r="A7963" s="27" t="s">
        <v>14389</v>
      </c>
      <c r="B7963" s="28" t="s">
        <v>12240</v>
      </c>
      <c r="C7963" s="27" t="s">
        <v>14390</v>
      </c>
      <c r="D7963" s="27" t="s">
        <v>230</v>
      </c>
      <c r="E7963" s="29">
        <v>41452</v>
      </c>
      <c r="F7963" s="27">
        <v>15</v>
      </c>
      <c r="G7963" s="18">
        <v>57392.62</v>
      </c>
      <c r="H7963" s="27">
        <f t="shared" si="248"/>
        <v>0</v>
      </c>
      <c r="I7963" s="18">
        <v>23662</v>
      </c>
      <c r="J7963" s="27">
        <v>57392.62</v>
      </c>
      <c r="K7963" s="18">
        <f t="shared" si="249"/>
        <v>0</v>
      </c>
      <c r="L7963" s="27">
        <v>26910.53</v>
      </c>
      <c r="M7963" s="36">
        <v>3248.53</v>
      </c>
      <c r="T7963" s="41">
        <v>0</v>
      </c>
      <c r="U7963" s="41">
        <v>0</v>
      </c>
      <c r="V7963" s="42" t="s">
        <v>113</v>
      </c>
      <c r="W7963" s="42">
        <v>0</v>
      </c>
      <c r="X7963" s="42">
        <v>0</v>
      </c>
    </row>
    <row r="7964" spans="1:24">
      <c r="A7964" s="27" t="s">
        <v>14391</v>
      </c>
      <c r="B7964" s="28" t="s">
        <v>12240</v>
      </c>
      <c r="C7964" s="27" t="s">
        <v>14392</v>
      </c>
      <c r="D7964" s="27" t="s">
        <v>230</v>
      </c>
      <c r="E7964" s="29">
        <v>41452</v>
      </c>
      <c r="F7964" s="27">
        <v>15</v>
      </c>
      <c r="G7964" s="18">
        <v>52803.97</v>
      </c>
      <c r="H7964" s="27">
        <f t="shared" si="248"/>
        <v>0</v>
      </c>
      <c r="I7964" s="18">
        <v>21910.53</v>
      </c>
      <c r="J7964" s="27">
        <v>52803.97</v>
      </c>
      <c r="K7964" s="18">
        <f t="shared" si="249"/>
        <v>0</v>
      </c>
      <c r="L7964" s="27">
        <v>24884.560000000001</v>
      </c>
      <c r="M7964" s="36">
        <v>2974.03</v>
      </c>
      <c r="T7964" s="41">
        <v>0</v>
      </c>
      <c r="U7964" s="41">
        <v>0</v>
      </c>
      <c r="V7964" s="42" t="s">
        <v>113</v>
      </c>
      <c r="W7964" s="42">
        <v>0</v>
      </c>
      <c r="X7964" s="42">
        <v>0</v>
      </c>
    </row>
    <row r="7965" spans="1:24">
      <c r="A7965" s="27" t="s">
        <v>14393</v>
      </c>
      <c r="B7965" s="28" t="s">
        <v>12240</v>
      </c>
      <c r="C7965" s="27" t="s">
        <v>14394</v>
      </c>
      <c r="D7965" s="27" t="s">
        <v>5104</v>
      </c>
      <c r="E7965" s="29">
        <v>40544</v>
      </c>
      <c r="F7965" s="27">
        <v>15</v>
      </c>
      <c r="G7965" s="18">
        <v>16908.09</v>
      </c>
      <c r="H7965" s="27">
        <f t="shared" si="248"/>
        <v>16908.09</v>
      </c>
      <c r="I7965" s="18">
        <v>16908.09</v>
      </c>
      <c r="J7965" s="27">
        <v>16908.09</v>
      </c>
      <c r="K7965" s="18">
        <f t="shared" si="249"/>
        <v>16908.09</v>
      </c>
      <c r="L7965" s="27">
        <v>16062.69</v>
      </c>
      <c r="M7965" s="36">
        <v>-845.4</v>
      </c>
      <c r="T7965" s="41">
        <v>0</v>
      </c>
      <c r="U7965" s="41">
        <v>0</v>
      </c>
      <c r="V7965" s="42" t="s">
        <v>113</v>
      </c>
      <c r="W7965" s="42">
        <v>16908.09</v>
      </c>
      <c r="X7965" s="42">
        <v>16908.09</v>
      </c>
    </row>
    <row r="7966" spans="1:24">
      <c r="A7966" s="27" t="s">
        <v>14395</v>
      </c>
      <c r="B7966" s="28" t="s">
        <v>12240</v>
      </c>
      <c r="C7966" s="27" t="s">
        <v>14396</v>
      </c>
      <c r="D7966" s="27" t="s">
        <v>5104</v>
      </c>
      <c r="E7966" s="29">
        <v>40544</v>
      </c>
      <c r="F7966" s="27">
        <v>15</v>
      </c>
      <c r="G7966" s="18">
        <v>16908.09</v>
      </c>
      <c r="H7966" s="27">
        <f t="shared" si="248"/>
        <v>16908.09</v>
      </c>
      <c r="I7966" s="18">
        <v>16908.09</v>
      </c>
      <c r="J7966" s="27">
        <v>16908.09</v>
      </c>
      <c r="K7966" s="18">
        <f t="shared" si="249"/>
        <v>16908.09</v>
      </c>
      <c r="L7966" s="27">
        <v>16062.69</v>
      </c>
      <c r="M7966" s="36">
        <v>-845.4</v>
      </c>
      <c r="T7966" s="41">
        <v>0</v>
      </c>
      <c r="U7966" s="41">
        <v>0</v>
      </c>
      <c r="V7966" s="42" t="s">
        <v>113</v>
      </c>
      <c r="W7966" s="42">
        <v>16908.09</v>
      </c>
      <c r="X7966" s="42">
        <v>16908.09</v>
      </c>
    </row>
    <row r="7967" spans="1:24">
      <c r="A7967" s="27" t="s">
        <v>14397</v>
      </c>
      <c r="B7967" s="28" t="s">
        <v>12240</v>
      </c>
      <c r="C7967" s="27" t="s">
        <v>14398</v>
      </c>
      <c r="D7967" s="27" t="s">
        <v>5104</v>
      </c>
      <c r="E7967" s="29">
        <v>40544</v>
      </c>
      <c r="F7967" s="27">
        <v>15</v>
      </c>
      <c r="G7967" s="18">
        <v>16908.099999999999</v>
      </c>
      <c r="H7967" s="27">
        <f t="shared" si="248"/>
        <v>16908.099999999999</v>
      </c>
      <c r="I7967" s="18">
        <v>16908.099999999999</v>
      </c>
      <c r="J7967" s="27">
        <v>16908.099999999999</v>
      </c>
      <c r="K7967" s="18">
        <f t="shared" si="249"/>
        <v>16908.099999999999</v>
      </c>
      <c r="L7967" s="27">
        <v>16062.69</v>
      </c>
      <c r="M7967" s="36">
        <v>-845.41</v>
      </c>
      <c r="T7967" s="41">
        <v>0</v>
      </c>
      <c r="U7967" s="41">
        <v>0</v>
      </c>
      <c r="V7967" s="42" t="s">
        <v>113</v>
      </c>
      <c r="W7967" s="42">
        <v>16908.099999999999</v>
      </c>
      <c r="X7967" s="42">
        <v>16908.099999999999</v>
      </c>
    </row>
    <row r="7968" spans="1:24">
      <c r="A7968" s="27" t="s">
        <v>14399</v>
      </c>
      <c r="B7968" s="28" t="s">
        <v>12240</v>
      </c>
      <c r="C7968" s="27" t="s">
        <v>14400</v>
      </c>
      <c r="D7968" s="27" t="s">
        <v>5104</v>
      </c>
      <c r="E7968" s="29">
        <v>40544</v>
      </c>
      <c r="F7968" s="27">
        <v>15</v>
      </c>
      <c r="G7968" s="18">
        <v>16913.75</v>
      </c>
      <c r="H7968" s="27">
        <f t="shared" si="248"/>
        <v>16913.75</v>
      </c>
      <c r="I7968" s="18">
        <v>16913.75</v>
      </c>
      <c r="J7968" s="27">
        <v>16913.75</v>
      </c>
      <c r="K7968" s="18">
        <f t="shared" si="249"/>
        <v>16913.75</v>
      </c>
      <c r="L7968" s="27">
        <v>16068.06</v>
      </c>
      <c r="M7968" s="36">
        <v>-845.69</v>
      </c>
      <c r="T7968" s="41">
        <v>0</v>
      </c>
      <c r="U7968" s="41">
        <v>0</v>
      </c>
      <c r="V7968" s="42" t="s">
        <v>113</v>
      </c>
      <c r="W7968" s="42">
        <v>16913.75</v>
      </c>
      <c r="X7968" s="42">
        <v>16913.75</v>
      </c>
    </row>
    <row r="7969" spans="1:24">
      <c r="A7969" s="27" t="s">
        <v>14401</v>
      </c>
      <c r="B7969" s="28" t="s">
        <v>12240</v>
      </c>
      <c r="C7969" s="27" t="s">
        <v>14402</v>
      </c>
      <c r="D7969" s="27" t="s">
        <v>5104</v>
      </c>
      <c r="E7969" s="29">
        <v>40544</v>
      </c>
      <c r="F7969" s="27">
        <v>15</v>
      </c>
      <c r="G7969" s="18">
        <v>16913.75</v>
      </c>
      <c r="H7969" s="27">
        <f t="shared" si="248"/>
        <v>16913.75</v>
      </c>
      <c r="I7969" s="18">
        <v>16913.75</v>
      </c>
      <c r="J7969" s="27">
        <v>16913.75</v>
      </c>
      <c r="K7969" s="18">
        <f t="shared" si="249"/>
        <v>16913.75</v>
      </c>
      <c r="L7969" s="27">
        <v>16068.06</v>
      </c>
      <c r="M7969" s="36">
        <v>-845.69</v>
      </c>
      <c r="T7969" s="41">
        <v>0</v>
      </c>
      <c r="U7969" s="41">
        <v>0</v>
      </c>
      <c r="V7969" s="42" t="s">
        <v>113</v>
      </c>
      <c r="W7969" s="42">
        <v>16913.75</v>
      </c>
      <c r="X7969" s="42">
        <v>16913.75</v>
      </c>
    </row>
    <row r="7970" spans="1:24">
      <c r="A7970" s="27" t="s">
        <v>14403</v>
      </c>
      <c r="B7970" s="28" t="s">
        <v>12240</v>
      </c>
      <c r="C7970" s="27" t="s">
        <v>14404</v>
      </c>
      <c r="D7970" s="27" t="s">
        <v>5104</v>
      </c>
      <c r="E7970" s="29">
        <v>40544</v>
      </c>
      <c r="F7970" s="27">
        <v>15</v>
      </c>
      <c r="G7970" s="18">
        <v>18713.43</v>
      </c>
      <c r="H7970" s="27">
        <f t="shared" si="248"/>
        <v>18713.43</v>
      </c>
      <c r="I7970" s="18">
        <v>18713.43</v>
      </c>
      <c r="J7970" s="27">
        <v>18713.43</v>
      </c>
      <c r="K7970" s="18">
        <f t="shared" si="249"/>
        <v>18713.43</v>
      </c>
      <c r="L7970" s="27">
        <v>17777.759999999998</v>
      </c>
      <c r="M7970" s="36">
        <v>-935.67</v>
      </c>
      <c r="T7970" s="41">
        <v>0</v>
      </c>
      <c r="U7970" s="41">
        <v>0</v>
      </c>
      <c r="V7970" s="42" t="s">
        <v>113</v>
      </c>
      <c r="W7970" s="42">
        <v>18713.43</v>
      </c>
      <c r="X7970" s="42">
        <v>18713.43</v>
      </c>
    </row>
    <row r="7971" spans="1:24">
      <c r="A7971" s="27" t="s">
        <v>14405</v>
      </c>
      <c r="B7971" s="28" t="s">
        <v>12240</v>
      </c>
      <c r="C7971" s="27" t="s">
        <v>14406</v>
      </c>
      <c r="D7971" s="27" t="s">
        <v>5104</v>
      </c>
      <c r="E7971" s="29">
        <v>40544</v>
      </c>
      <c r="F7971" s="27">
        <v>15</v>
      </c>
      <c r="G7971" s="18">
        <v>18713.43</v>
      </c>
      <c r="H7971" s="27">
        <f t="shared" si="248"/>
        <v>18713.43</v>
      </c>
      <c r="I7971" s="18">
        <v>18713.43</v>
      </c>
      <c r="J7971" s="27">
        <v>18713.43</v>
      </c>
      <c r="K7971" s="18">
        <f t="shared" si="249"/>
        <v>18713.43</v>
      </c>
      <c r="L7971" s="27">
        <v>17777.759999999998</v>
      </c>
      <c r="M7971" s="36">
        <v>-935.67</v>
      </c>
      <c r="T7971" s="41">
        <v>0</v>
      </c>
      <c r="U7971" s="41">
        <v>0</v>
      </c>
      <c r="V7971" s="42" t="s">
        <v>113</v>
      </c>
      <c r="W7971" s="42">
        <v>18713.43</v>
      </c>
      <c r="X7971" s="42">
        <v>18713.43</v>
      </c>
    </row>
    <row r="7972" spans="1:24">
      <c r="A7972" s="27" t="s">
        <v>14407</v>
      </c>
      <c r="B7972" s="28" t="s">
        <v>12240</v>
      </c>
      <c r="C7972" s="27" t="s">
        <v>14408</v>
      </c>
      <c r="D7972" s="27" t="s">
        <v>230</v>
      </c>
      <c r="E7972" s="29">
        <v>40544</v>
      </c>
      <c r="F7972" s="27">
        <v>15</v>
      </c>
      <c r="G7972" s="18">
        <v>16922.830000000002</v>
      </c>
      <c r="H7972" s="27">
        <f t="shared" si="248"/>
        <v>16922.830000000002</v>
      </c>
      <c r="I7972" s="18">
        <v>16922.830000000002</v>
      </c>
      <c r="J7972" s="27">
        <v>16922.830000000002</v>
      </c>
      <c r="K7972" s="18">
        <f t="shared" si="249"/>
        <v>16922.830000000002</v>
      </c>
      <c r="L7972" s="27">
        <v>16076.69</v>
      </c>
      <c r="M7972" s="36">
        <v>-846.14</v>
      </c>
      <c r="T7972" s="41">
        <v>0</v>
      </c>
      <c r="U7972" s="41">
        <v>0</v>
      </c>
      <c r="V7972" s="42" t="s">
        <v>113</v>
      </c>
      <c r="W7972" s="42">
        <v>16922.830000000002</v>
      </c>
      <c r="X7972" s="42">
        <v>16922.830000000002</v>
      </c>
    </row>
    <row r="7973" spans="1:24">
      <c r="A7973" s="27" t="s">
        <v>14409</v>
      </c>
      <c r="B7973" s="28" t="s">
        <v>12240</v>
      </c>
      <c r="C7973" s="27" t="s">
        <v>14410</v>
      </c>
      <c r="D7973" s="27" t="s">
        <v>5104</v>
      </c>
      <c r="E7973" s="29">
        <v>40544</v>
      </c>
      <c r="F7973" s="27">
        <v>15</v>
      </c>
      <c r="G7973" s="18">
        <v>16922.830000000002</v>
      </c>
      <c r="H7973" s="27">
        <f t="shared" si="248"/>
        <v>16922.830000000002</v>
      </c>
      <c r="I7973" s="18">
        <v>16922.830000000002</v>
      </c>
      <c r="J7973" s="27">
        <v>16922.830000000002</v>
      </c>
      <c r="K7973" s="18">
        <f t="shared" si="249"/>
        <v>16922.830000000002</v>
      </c>
      <c r="L7973" s="27">
        <v>16076.69</v>
      </c>
      <c r="M7973" s="36">
        <v>-846.14</v>
      </c>
      <c r="T7973" s="41">
        <v>0</v>
      </c>
      <c r="U7973" s="41">
        <v>0</v>
      </c>
      <c r="V7973" s="42" t="s">
        <v>113</v>
      </c>
      <c r="W7973" s="42">
        <v>16922.830000000002</v>
      </c>
      <c r="X7973" s="42">
        <v>16922.830000000002</v>
      </c>
    </row>
    <row r="7974" spans="1:24">
      <c r="A7974" s="27" t="s">
        <v>14411</v>
      </c>
      <c r="B7974" s="28" t="s">
        <v>12240</v>
      </c>
      <c r="C7974" s="27" t="s">
        <v>14412</v>
      </c>
      <c r="D7974" s="27" t="s">
        <v>5104</v>
      </c>
      <c r="E7974" s="29">
        <v>40544</v>
      </c>
      <c r="F7974" s="27">
        <v>15</v>
      </c>
      <c r="G7974" s="18">
        <v>12178.69</v>
      </c>
      <c r="H7974" s="27">
        <f t="shared" si="248"/>
        <v>12178.69</v>
      </c>
      <c r="I7974" s="18">
        <v>12178.69</v>
      </c>
      <c r="J7974" s="27">
        <v>12178.69</v>
      </c>
      <c r="K7974" s="18">
        <f t="shared" si="249"/>
        <v>12178.69</v>
      </c>
      <c r="L7974" s="27">
        <v>11569.76</v>
      </c>
      <c r="M7974" s="36">
        <v>-608.92999999999995</v>
      </c>
      <c r="T7974" s="41">
        <v>0</v>
      </c>
      <c r="U7974" s="41">
        <v>0</v>
      </c>
      <c r="V7974" s="42" t="s">
        <v>113</v>
      </c>
      <c r="W7974" s="42">
        <v>12178.69</v>
      </c>
      <c r="X7974" s="42">
        <v>12178.69</v>
      </c>
    </row>
    <row r="7975" spans="1:24">
      <c r="A7975" s="27" t="s">
        <v>14413</v>
      </c>
      <c r="B7975" s="28" t="s">
        <v>12240</v>
      </c>
      <c r="C7975" s="27" t="s">
        <v>14414</v>
      </c>
      <c r="D7975" s="27" t="s">
        <v>5104</v>
      </c>
      <c r="E7975" s="29">
        <v>40544</v>
      </c>
      <c r="F7975" s="27">
        <v>15</v>
      </c>
      <c r="G7975" s="18">
        <v>12178.69</v>
      </c>
      <c r="H7975" s="27">
        <f t="shared" si="248"/>
        <v>12178.69</v>
      </c>
      <c r="I7975" s="18">
        <v>12178.69</v>
      </c>
      <c r="J7975" s="27">
        <v>12178.69</v>
      </c>
      <c r="K7975" s="18">
        <f t="shared" si="249"/>
        <v>12178.69</v>
      </c>
      <c r="L7975" s="27">
        <v>11569.76</v>
      </c>
      <c r="M7975" s="36">
        <v>-608.92999999999995</v>
      </c>
      <c r="T7975" s="41">
        <v>0</v>
      </c>
      <c r="U7975" s="41">
        <v>0</v>
      </c>
      <c r="V7975" s="42" t="s">
        <v>113</v>
      </c>
      <c r="W7975" s="42">
        <v>12178.69</v>
      </c>
      <c r="X7975" s="42">
        <v>12178.69</v>
      </c>
    </row>
    <row r="7976" spans="1:24">
      <c r="A7976" s="27" t="s">
        <v>14415</v>
      </c>
      <c r="B7976" s="28" t="s">
        <v>12240</v>
      </c>
      <c r="C7976" s="27" t="s">
        <v>14416</v>
      </c>
      <c r="D7976" s="27" t="s">
        <v>5104</v>
      </c>
      <c r="E7976" s="29">
        <v>40544</v>
      </c>
      <c r="F7976" s="27">
        <v>15</v>
      </c>
      <c r="G7976" s="18">
        <v>12178.69</v>
      </c>
      <c r="H7976" s="27">
        <f t="shared" si="248"/>
        <v>12178.69</v>
      </c>
      <c r="I7976" s="18">
        <v>12178.69</v>
      </c>
      <c r="J7976" s="27">
        <v>12178.69</v>
      </c>
      <c r="K7976" s="18">
        <f t="shared" si="249"/>
        <v>12178.69</v>
      </c>
      <c r="L7976" s="27">
        <v>11569.76</v>
      </c>
      <c r="M7976" s="36">
        <v>-608.92999999999995</v>
      </c>
      <c r="T7976" s="41">
        <v>0</v>
      </c>
      <c r="U7976" s="41">
        <v>0</v>
      </c>
      <c r="V7976" s="42" t="s">
        <v>113</v>
      </c>
      <c r="W7976" s="42">
        <v>12178.69</v>
      </c>
      <c r="X7976" s="42">
        <v>12178.69</v>
      </c>
    </row>
    <row r="7977" spans="1:24">
      <c r="A7977" s="27" t="s">
        <v>14417</v>
      </c>
      <c r="B7977" s="28" t="s">
        <v>12240</v>
      </c>
      <c r="C7977" s="27" t="s">
        <v>14418</v>
      </c>
      <c r="D7977" s="27" t="s">
        <v>5104</v>
      </c>
      <c r="E7977" s="29">
        <v>40544</v>
      </c>
      <c r="F7977" s="27">
        <v>15</v>
      </c>
      <c r="G7977" s="18">
        <v>12178.69</v>
      </c>
      <c r="H7977" s="27">
        <f t="shared" si="248"/>
        <v>12178.69</v>
      </c>
      <c r="I7977" s="18">
        <v>12178.69</v>
      </c>
      <c r="J7977" s="27">
        <v>12178.69</v>
      </c>
      <c r="K7977" s="18">
        <f t="shared" si="249"/>
        <v>12178.69</v>
      </c>
      <c r="L7977" s="27">
        <v>11569.76</v>
      </c>
      <c r="M7977" s="36">
        <v>-608.92999999999995</v>
      </c>
      <c r="T7977" s="41">
        <v>0</v>
      </c>
      <c r="U7977" s="41">
        <v>0</v>
      </c>
      <c r="V7977" s="42" t="s">
        <v>113</v>
      </c>
      <c r="W7977" s="42">
        <v>12178.69</v>
      </c>
      <c r="X7977" s="42">
        <v>12178.69</v>
      </c>
    </row>
    <row r="7978" spans="1:24">
      <c r="A7978" s="27" t="s">
        <v>14419</v>
      </c>
      <c r="B7978" s="28" t="s">
        <v>12240</v>
      </c>
      <c r="C7978" s="27" t="s">
        <v>14420</v>
      </c>
      <c r="D7978" s="27" t="s">
        <v>5104</v>
      </c>
      <c r="E7978" s="29">
        <v>40544</v>
      </c>
      <c r="F7978" s="27">
        <v>15</v>
      </c>
      <c r="G7978" s="18">
        <v>12178.69</v>
      </c>
      <c r="H7978" s="27">
        <f t="shared" si="248"/>
        <v>12178.69</v>
      </c>
      <c r="I7978" s="18">
        <v>12178.69</v>
      </c>
      <c r="J7978" s="27">
        <v>12178.69</v>
      </c>
      <c r="K7978" s="18">
        <f t="shared" si="249"/>
        <v>12178.69</v>
      </c>
      <c r="L7978" s="27">
        <v>11569.76</v>
      </c>
      <c r="M7978" s="36">
        <v>-608.92999999999995</v>
      </c>
      <c r="T7978" s="41">
        <v>0</v>
      </c>
      <c r="U7978" s="41">
        <v>0</v>
      </c>
      <c r="V7978" s="42" t="s">
        <v>113</v>
      </c>
      <c r="W7978" s="42">
        <v>12178.69</v>
      </c>
      <c r="X7978" s="42">
        <v>12178.69</v>
      </c>
    </row>
    <row r="7979" spans="1:24">
      <c r="A7979" s="27" t="s">
        <v>14421</v>
      </c>
      <c r="B7979" s="28" t="s">
        <v>12240</v>
      </c>
      <c r="C7979" s="27" t="s">
        <v>14422</v>
      </c>
      <c r="D7979" s="27" t="s">
        <v>5104</v>
      </c>
      <c r="E7979" s="29">
        <v>40544</v>
      </c>
      <c r="F7979" s="27">
        <v>15</v>
      </c>
      <c r="G7979" s="18">
        <v>12178.67</v>
      </c>
      <c r="H7979" s="27">
        <f t="shared" si="248"/>
        <v>12178.67</v>
      </c>
      <c r="I7979" s="18">
        <v>12178.67</v>
      </c>
      <c r="J7979" s="27">
        <v>12178.67</v>
      </c>
      <c r="K7979" s="18">
        <f t="shared" si="249"/>
        <v>12178.67</v>
      </c>
      <c r="L7979" s="27">
        <v>11569.74</v>
      </c>
      <c r="M7979" s="36">
        <v>-608.92999999999995</v>
      </c>
      <c r="T7979" s="41">
        <v>0</v>
      </c>
      <c r="U7979" s="41">
        <v>0</v>
      </c>
      <c r="V7979" s="42" t="s">
        <v>113</v>
      </c>
      <c r="W7979" s="42">
        <v>12178.67</v>
      </c>
      <c r="X7979" s="42">
        <v>12178.67</v>
      </c>
    </row>
    <row r="7980" spans="1:24">
      <c r="A7980" s="27" t="s">
        <v>14423</v>
      </c>
      <c r="B7980" s="28" t="s">
        <v>12240</v>
      </c>
      <c r="C7980" s="27" t="s">
        <v>14424</v>
      </c>
      <c r="D7980" s="27" t="s">
        <v>5104</v>
      </c>
      <c r="E7980" s="29">
        <v>40544</v>
      </c>
      <c r="F7980" s="27">
        <v>15</v>
      </c>
      <c r="G7980" s="18">
        <v>12721.07</v>
      </c>
      <c r="H7980" s="27">
        <f t="shared" si="248"/>
        <v>12721.07</v>
      </c>
      <c r="I7980" s="18">
        <v>12721.07</v>
      </c>
      <c r="J7980" s="27">
        <v>12721.07</v>
      </c>
      <c r="K7980" s="18">
        <f t="shared" si="249"/>
        <v>12721.07</v>
      </c>
      <c r="L7980" s="27">
        <v>12085.02</v>
      </c>
      <c r="M7980" s="36">
        <v>-636.04999999999995</v>
      </c>
      <c r="T7980" s="41">
        <v>0</v>
      </c>
      <c r="U7980" s="41">
        <v>0</v>
      </c>
      <c r="V7980" s="42" t="s">
        <v>113</v>
      </c>
      <c r="W7980" s="42">
        <v>12721.07</v>
      </c>
      <c r="X7980" s="42">
        <v>12721.07</v>
      </c>
    </row>
    <row r="7981" spans="1:24">
      <c r="A7981" s="27" t="s">
        <v>14425</v>
      </c>
      <c r="B7981" s="28" t="s">
        <v>12240</v>
      </c>
      <c r="C7981" s="27" t="s">
        <v>14426</v>
      </c>
      <c r="D7981" s="27" t="s">
        <v>5104</v>
      </c>
      <c r="E7981" s="29">
        <v>40544</v>
      </c>
      <c r="F7981" s="27">
        <v>15</v>
      </c>
      <c r="G7981" s="18">
        <v>12721.07</v>
      </c>
      <c r="H7981" s="27">
        <f t="shared" si="248"/>
        <v>12721.07</v>
      </c>
      <c r="I7981" s="18">
        <v>12721.07</v>
      </c>
      <c r="J7981" s="27">
        <v>12721.07</v>
      </c>
      <c r="K7981" s="18">
        <f t="shared" si="249"/>
        <v>12721.07</v>
      </c>
      <c r="L7981" s="27">
        <v>12085.02</v>
      </c>
      <c r="M7981" s="36">
        <v>-636.04999999999995</v>
      </c>
      <c r="T7981" s="41">
        <v>0</v>
      </c>
      <c r="U7981" s="41">
        <v>0</v>
      </c>
      <c r="V7981" s="42" t="s">
        <v>113</v>
      </c>
      <c r="W7981" s="42">
        <v>12721.07</v>
      </c>
      <c r="X7981" s="42">
        <v>12721.07</v>
      </c>
    </row>
    <row r="7982" spans="1:24">
      <c r="A7982" s="27" t="s">
        <v>14427</v>
      </c>
      <c r="B7982" s="28" t="s">
        <v>12240</v>
      </c>
      <c r="C7982" s="27" t="s">
        <v>14428</v>
      </c>
      <c r="D7982" s="27" t="s">
        <v>5104</v>
      </c>
      <c r="E7982" s="29">
        <v>40544</v>
      </c>
      <c r="F7982" s="27">
        <v>15</v>
      </c>
      <c r="G7982" s="18">
        <v>12721.07</v>
      </c>
      <c r="H7982" s="27">
        <f t="shared" si="248"/>
        <v>12721.07</v>
      </c>
      <c r="I7982" s="18">
        <v>12721.07</v>
      </c>
      <c r="J7982" s="27">
        <v>12721.07</v>
      </c>
      <c r="K7982" s="18">
        <f t="shared" si="249"/>
        <v>12721.07</v>
      </c>
      <c r="L7982" s="27">
        <v>12085.02</v>
      </c>
      <c r="M7982" s="36">
        <v>-636.04999999999995</v>
      </c>
      <c r="T7982" s="41">
        <v>0</v>
      </c>
      <c r="U7982" s="41">
        <v>0</v>
      </c>
      <c r="V7982" s="42" t="s">
        <v>113</v>
      </c>
      <c r="W7982" s="42">
        <v>12721.07</v>
      </c>
      <c r="X7982" s="42">
        <v>12721.07</v>
      </c>
    </row>
    <row r="7983" spans="1:24">
      <c r="A7983" s="27" t="s">
        <v>14429</v>
      </c>
      <c r="B7983" s="28" t="s">
        <v>12240</v>
      </c>
      <c r="C7983" s="27" t="s">
        <v>14430</v>
      </c>
      <c r="D7983" s="27" t="s">
        <v>5104</v>
      </c>
      <c r="E7983" s="29">
        <v>40544</v>
      </c>
      <c r="F7983" s="27">
        <v>15</v>
      </c>
      <c r="G7983" s="18">
        <v>12721.07</v>
      </c>
      <c r="H7983" s="27">
        <f t="shared" si="248"/>
        <v>12721.07</v>
      </c>
      <c r="I7983" s="18">
        <v>12721.07</v>
      </c>
      <c r="J7983" s="27">
        <v>12721.07</v>
      </c>
      <c r="K7983" s="18">
        <f t="shared" si="249"/>
        <v>12721.07</v>
      </c>
      <c r="L7983" s="27">
        <v>12085.02</v>
      </c>
      <c r="M7983" s="36">
        <v>-636.04999999999995</v>
      </c>
      <c r="T7983" s="41">
        <v>0</v>
      </c>
      <c r="U7983" s="41">
        <v>0</v>
      </c>
      <c r="V7983" s="42" t="s">
        <v>113</v>
      </c>
      <c r="W7983" s="42">
        <v>12721.07</v>
      </c>
      <c r="X7983" s="42">
        <v>12721.07</v>
      </c>
    </row>
    <row r="7984" spans="1:24">
      <c r="A7984" s="27" t="s">
        <v>14431</v>
      </c>
      <c r="B7984" s="28" t="s">
        <v>12240</v>
      </c>
      <c r="C7984" s="27" t="s">
        <v>14432</v>
      </c>
      <c r="D7984" s="27" t="s">
        <v>5104</v>
      </c>
      <c r="E7984" s="29">
        <v>40544</v>
      </c>
      <c r="F7984" s="27">
        <v>15</v>
      </c>
      <c r="G7984" s="18">
        <v>12721.07</v>
      </c>
      <c r="H7984" s="27">
        <f t="shared" si="248"/>
        <v>12721.07</v>
      </c>
      <c r="I7984" s="18">
        <v>12721.07</v>
      </c>
      <c r="J7984" s="27">
        <v>12721.07</v>
      </c>
      <c r="K7984" s="18">
        <f t="shared" si="249"/>
        <v>12721.07</v>
      </c>
      <c r="L7984" s="27">
        <v>12085.02</v>
      </c>
      <c r="M7984" s="36">
        <v>-636.04999999999995</v>
      </c>
      <c r="T7984" s="41">
        <v>0</v>
      </c>
      <c r="U7984" s="41">
        <v>0</v>
      </c>
      <c r="V7984" s="42" t="s">
        <v>113</v>
      </c>
      <c r="W7984" s="42">
        <v>12721.07</v>
      </c>
      <c r="X7984" s="42">
        <v>12721.07</v>
      </c>
    </row>
    <row r="7985" spans="1:24">
      <c r="A7985" s="27" t="s">
        <v>14433</v>
      </c>
      <c r="B7985" s="28" t="s">
        <v>12240</v>
      </c>
      <c r="C7985" s="27" t="s">
        <v>14434</v>
      </c>
      <c r="D7985" s="27" t="s">
        <v>5104</v>
      </c>
      <c r="E7985" s="29">
        <v>40544</v>
      </c>
      <c r="F7985" s="27">
        <v>15</v>
      </c>
      <c r="G7985" s="18">
        <v>12721.07</v>
      </c>
      <c r="H7985" s="27">
        <f t="shared" si="248"/>
        <v>12721.07</v>
      </c>
      <c r="I7985" s="18">
        <v>12721.07</v>
      </c>
      <c r="J7985" s="27">
        <v>12721.07</v>
      </c>
      <c r="K7985" s="18">
        <f t="shared" si="249"/>
        <v>12721.07</v>
      </c>
      <c r="L7985" s="27">
        <v>12085.02</v>
      </c>
      <c r="M7985" s="36">
        <v>-636.04999999999995</v>
      </c>
      <c r="T7985" s="41">
        <v>0</v>
      </c>
      <c r="U7985" s="41">
        <v>0</v>
      </c>
      <c r="V7985" s="42" t="s">
        <v>113</v>
      </c>
      <c r="W7985" s="42">
        <v>12721.07</v>
      </c>
      <c r="X7985" s="42">
        <v>12721.07</v>
      </c>
    </row>
    <row r="7986" spans="1:24">
      <c r="A7986" s="27" t="s">
        <v>14435</v>
      </c>
      <c r="B7986" s="28" t="s">
        <v>12240</v>
      </c>
      <c r="C7986" s="27" t="s">
        <v>14436</v>
      </c>
      <c r="D7986" s="27" t="s">
        <v>5104</v>
      </c>
      <c r="E7986" s="29">
        <v>40544</v>
      </c>
      <c r="F7986" s="27">
        <v>15</v>
      </c>
      <c r="G7986" s="18">
        <v>12721.07</v>
      </c>
      <c r="H7986" s="27">
        <f t="shared" si="248"/>
        <v>12721.07</v>
      </c>
      <c r="I7986" s="18">
        <v>12721.07</v>
      </c>
      <c r="J7986" s="27">
        <v>12721.07</v>
      </c>
      <c r="K7986" s="18">
        <f t="shared" si="249"/>
        <v>12721.07</v>
      </c>
      <c r="L7986" s="27">
        <v>12085.02</v>
      </c>
      <c r="M7986" s="36">
        <v>-636.04999999999995</v>
      </c>
      <c r="T7986" s="41">
        <v>0</v>
      </c>
      <c r="U7986" s="41">
        <v>0</v>
      </c>
      <c r="V7986" s="42" t="s">
        <v>113</v>
      </c>
      <c r="W7986" s="42">
        <v>12721.07</v>
      </c>
      <c r="X7986" s="42">
        <v>12721.07</v>
      </c>
    </row>
    <row r="7987" spans="1:24">
      <c r="A7987" s="27" t="s">
        <v>14437</v>
      </c>
      <c r="B7987" s="28" t="s">
        <v>12240</v>
      </c>
      <c r="C7987" s="27" t="s">
        <v>14438</v>
      </c>
      <c r="D7987" s="27" t="s">
        <v>5104</v>
      </c>
      <c r="E7987" s="29">
        <v>40544</v>
      </c>
      <c r="F7987" s="27">
        <v>15</v>
      </c>
      <c r="G7987" s="18">
        <v>12721.07</v>
      </c>
      <c r="H7987" s="27">
        <f t="shared" si="248"/>
        <v>12721.07</v>
      </c>
      <c r="I7987" s="18">
        <v>12721.07</v>
      </c>
      <c r="J7987" s="27">
        <v>12721.07</v>
      </c>
      <c r="K7987" s="18">
        <f t="shared" si="249"/>
        <v>12721.07</v>
      </c>
      <c r="L7987" s="27">
        <v>12085.02</v>
      </c>
      <c r="M7987" s="36">
        <v>-636.04999999999995</v>
      </c>
      <c r="T7987" s="41">
        <v>0</v>
      </c>
      <c r="U7987" s="41">
        <v>0</v>
      </c>
      <c r="V7987" s="42" t="s">
        <v>113</v>
      </c>
      <c r="W7987" s="42">
        <v>12721.07</v>
      </c>
      <c r="X7987" s="42">
        <v>12721.07</v>
      </c>
    </row>
    <row r="7988" spans="1:24">
      <c r="A7988" s="27" t="s">
        <v>14439</v>
      </c>
      <c r="B7988" s="28" t="s">
        <v>12240</v>
      </c>
      <c r="C7988" s="27" t="s">
        <v>14440</v>
      </c>
      <c r="D7988" s="27" t="s">
        <v>5104</v>
      </c>
      <c r="E7988" s="29">
        <v>40544</v>
      </c>
      <c r="F7988" s="27">
        <v>15</v>
      </c>
      <c r="G7988" s="18">
        <v>12721.07</v>
      </c>
      <c r="H7988" s="27">
        <f t="shared" si="248"/>
        <v>12721.07</v>
      </c>
      <c r="I7988" s="18">
        <v>12721.07</v>
      </c>
      <c r="J7988" s="27">
        <v>12721.07</v>
      </c>
      <c r="K7988" s="18">
        <f t="shared" si="249"/>
        <v>12721.07</v>
      </c>
      <c r="L7988" s="27">
        <v>12085.02</v>
      </c>
      <c r="M7988" s="36">
        <v>-636.04999999999995</v>
      </c>
      <c r="T7988" s="41">
        <v>0</v>
      </c>
      <c r="U7988" s="41">
        <v>0</v>
      </c>
      <c r="V7988" s="42" t="s">
        <v>113</v>
      </c>
      <c r="W7988" s="42">
        <v>12721.07</v>
      </c>
      <c r="X7988" s="42">
        <v>12721.07</v>
      </c>
    </row>
    <row r="7989" spans="1:24">
      <c r="A7989" s="27" t="s">
        <v>14441</v>
      </c>
      <c r="B7989" s="28" t="s">
        <v>12240</v>
      </c>
      <c r="C7989" s="27" t="s">
        <v>14442</v>
      </c>
      <c r="D7989" s="27" t="s">
        <v>5104</v>
      </c>
      <c r="E7989" s="29">
        <v>40544</v>
      </c>
      <c r="F7989" s="27">
        <v>15</v>
      </c>
      <c r="G7989" s="18">
        <v>12721.07</v>
      </c>
      <c r="H7989" s="27">
        <f t="shared" si="248"/>
        <v>12721.07</v>
      </c>
      <c r="I7989" s="18">
        <v>12721.07</v>
      </c>
      <c r="J7989" s="27">
        <v>12721.07</v>
      </c>
      <c r="K7989" s="18">
        <f t="shared" si="249"/>
        <v>12721.07</v>
      </c>
      <c r="L7989" s="27">
        <v>12085.02</v>
      </c>
      <c r="M7989" s="36">
        <v>-636.04999999999995</v>
      </c>
      <c r="T7989" s="41">
        <v>0</v>
      </c>
      <c r="U7989" s="41">
        <v>0</v>
      </c>
      <c r="V7989" s="42" t="s">
        <v>113</v>
      </c>
      <c r="W7989" s="42">
        <v>12721.07</v>
      </c>
      <c r="X7989" s="42">
        <v>12721.07</v>
      </c>
    </row>
    <row r="7990" spans="1:24">
      <c r="A7990" s="27" t="s">
        <v>14443</v>
      </c>
      <c r="B7990" s="28" t="s">
        <v>12240</v>
      </c>
      <c r="C7990" s="27" t="s">
        <v>14444</v>
      </c>
      <c r="D7990" s="27" t="s">
        <v>5104</v>
      </c>
      <c r="E7990" s="29">
        <v>40544</v>
      </c>
      <c r="F7990" s="27">
        <v>15</v>
      </c>
      <c r="G7990" s="18">
        <v>12721.07</v>
      </c>
      <c r="H7990" s="27">
        <f t="shared" si="248"/>
        <v>12721.07</v>
      </c>
      <c r="I7990" s="18">
        <v>12721.07</v>
      </c>
      <c r="J7990" s="27">
        <v>12721.07</v>
      </c>
      <c r="K7990" s="18">
        <f t="shared" si="249"/>
        <v>12721.07</v>
      </c>
      <c r="L7990" s="27">
        <v>12085.02</v>
      </c>
      <c r="M7990" s="36">
        <v>-636.04999999999995</v>
      </c>
      <c r="T7990" s="41">
        <v>0</v>
      </c>
      <c r="U7990" s="41">
        <v>0</v>
      </c>
      <c r="V7990" s="42" t="s">
        <v>113</v>
      </c>
      <c r="W7990" s="42">
        <v>12721.07</v>
      </c>
      <c r="X7990" s="42">
        <v>12721.07</v>
      </c>
    </row>
    <row r="7991" spans="1:24">
      <c r="A7991" s="27" t="s">
        <v>14445</v>
      </c>
      <c r="B7991" s="28" t="s">
        <v>12240</v>
      </c>
      <c r="C7991" s="27" t="s">
        <v>14446</v>
      </c>
      <c r="D7991" s="27" t="s">
        <v>5104</v>
      </c>
      <c r="E7991" s="29">
        <v>40544</v>
      </c>
      <c r="F7991" s="27">
        <v>15</v>
      </c>
      <c r="G7991" s="18">
        <v>12721.07</v>
      </c>
      <c r="H7991" s="27">
        <f t="shared" si="248"/>
        <v>12721.07</v>
      </c>
      <c r="I7991" s="18">
        <v>12721.07</v>
      </c>
      <c r="J7991" s="27">
        <v>12721.07</v>
      </c>
      <c r="K7991" s="18">
        <f t="shared" si="249"/>
        <v>12721.07</v>
      </c>
      <c r="L7991" s="27">
        <v>12085.02</v>
      </c>
      <c r="M7991" s="36">
        <v>-636.04999999999995</v>
      </c>
      <c r="T7991" s="41">
        <v>0</v>
      </c>
      <c r="U7991" s="41">
        <v>0</v>
      </c>
      <c r="V7991" s="42" t="s">
        <v>113</v>
      </c>
      <c r="W7991" s="42">
        <v>12721.07</v>
      </c>
      <c r="X7991" s="42">
        <v>12721.07</v>
      </c>
    </row>
    <row r="7992" spans="1:24">
      <c r="A7992" s="27" t="s">
        <v>14447</v>
      </c>
      <c r="B7992" s="28" t="s">
        <v>12240</v>
      </c>
      <c r="C7992" s="27" t="s">
        <v>14448</v>
      </c>
      <c r="D7992" s="27" t="s">
        <v>5104</v>
      </c>
      <c r="E7992" s="29">
        <v>40544</v>
      </c>
      <c r="F7992" s="27">
        <v>15</v>
      </c>
      <c r="G7992" s="18">
        <v>12721.07</v>
      </c>
      <c r="H7992" s="27">
        <f t="shared" si="248"/>
        <v>12721.07</v>
      </c>
      <c r="I7992" s="18">
        <v>12721.07</v>
      </c>
      <c r="J7992" s="27">
        <v>12721.07</v>
      </c>
      <c r="K7992" s="18">
        <f t="shared" si="249"/>
        <v>12721.07</v>
      </c>
      <c r="L7992" s="27">
        <v>12085.02</v>
      </c>
      <c r="M7992" s="36">
        <v>-636.04999999999995</v>
      </c>
      <c r="T7992" s="41">
        <v>0</v>
      </c>
      <c r="U7992" s="41">
        <v>0</v>
      </c>
      <c r="V7992" s="42" t="s">
        <v>113</v>
      </c>
      <c r="W7992" s="42">
        <v>12721.07</v>
      </c>
      <c r="X7992" s="42">
        <v>12721.07</v>
      </c>
    </row>
    <row r="7993" spans="1:24">
      <c r="A7993" s="27" t="s">
        <v>14449</v>
      </c>
      <c r="B7993" s="28" t="s">
        <v>12240</v>
      </c>
      <c r="C7993" s="27" t="s">
        <v>14450</v>
      </c>
      <c r="D7993" s="27" t="s">
        <v>5104</v>
      </c>
      <c r="E7993" s="29">
        <v>40544</v>
      </c>
      <c r="F7993" s="27">
        <v>15</v>
      </c>
      <c r="G7993" s="18">
        <v>12721.07</v>
      </c>
      <c r="H7993" s="27">
        <f t="shared" si="248"/>
        <v>12721.07</v>
      </c>
      <c r="I7993" s="18">
        <v>12721.07</v>
      </c>
      <c r="J7993" s="27">
        <v>12721.07</v>
      </c>
      <c r="K7993" s="18">
        <f t="shared" si="249"/>
        <v>12721.07</v>
      </c>
      <c r="L7993" s="27">
        <v>12085.02</v>
      </c>
      <c r="M7993" s="36">
        <v>-636.04999999999995</v>
      </c>
      <c r="T7993" s="41">
        <v>0</v>
      </c>
      <c r="U7993" s="41">
        <v>0</v>
      </c>
      <c r="V7993" s="42" t="s">
        <v>113</v>
      </c>
      <c r="W7993" s="42">
        <v>12721.07</v>
      </c>
      <c r="X7993" s="42">
        <v>12721.07</v>
      </c>
    </row>
    <row r="7994" spans="1:24">
      <c r="A7994" s="27" t="s">
        <v>14451</v>
      </c>
      <c r="B7994" s="28" t="s">
        <v>12240</v>
      </c>
      <c r="C7994" s="27" t="s">
        <v>14452</v>
      </c>
      <c r="D7994" s="27" t="s">
        <v>5104</v>
      </c>
      <c r="E7994" s="29">
        <v>40544</v>
      </c>
      <c r="F7994" s="27">
        <v>15</v>
      </c>
      <c r="G7994" s="18">
        <v>12721.07</v>
      </c>
      <c r="H7994" s="27">
        <f t="shared" si="248"/>
        <v>12721.07</v>
      </c>
      <c r="I7994" s="18">
        <v>12721.07</v>
      </c>
      <c r="J7994" s="27">
        <v>12721.07</v>
      </c>
      <c r="K7994" s="18">
        <f t="shared" si="249"/>
        <v>12721.07</v>
      </c>
      <c r="L7994" s="27">
        <v>12085.02</v>
      </c>
      <c r="M7994" s="36">
        <v>-636.04999999999995</v>
      </c>
      <c r="T7994" s="41">
        <v>0</v>
      </c>
      <c r="U7994" s="41">
        <v>0</v>
      </c>
      <c r="V7994" s="42" t="s">
        <v>113</v>
      </c>
      <c r="W7994" s="42">
        <v>12721.07</v>
      </c>
      <c r="X7994" s="42">
        <v>12721.07</v>
      </c>
    </row>
    <row r="7995" spans="1:24">
      <c r="A7995" s="27" t="s">
        <v>14453</v>
      </c>
      <c r="B7995" s="28" t="s">
        <v>12240</v>
      </c>
      <c r="C7995" s="27" t="s">
        <v>14454</v>
      </c>
      <c r="D7995" s="27" t="s">
        <v>5104</v>
      </c>
      <c r="E7995" s="29">
        <v>40544</v>
      </c>
      <c r="F7995" s="27">
        <v>15</v>
      </c>
      <c r="G7995" s="18">
        <v>12721.07</v>
      </c>
      <c r="H7995" s="27">
        <f t="shared" si="248"/>
        <v>12721.07</v>
      </c>
      <c r="I7995" s="18">
        <v>12721.07</v>
      </c>
      <c r="J7995" s="27">
        <v>12721.07</v>
      </c>
      <c r="K7995" s="18">
        <f t="shared" si="249"/>
        <v>12721.07</v>
      </c>
      <c r="L7995" s="27">
        <v>12085.02</v>
      </c>
      <c r="M7995" s="36">
        <v>-636.04999999999995</v>
      </c>
      <c r="T7995" s="41">
        <v>0</v>
      </c>
      <c r="U7995" s="41">
        <v>0</v>
      </c>
      <c r="V7995" s="42" t="s">
        <v>113</v>
      </c>
      <c r="W7995" s="42">
        <v>12721.07</v>
      </c>
      <c r="X7995" s="42">
        <v>12721.07</v>
      </c>
    </row>
    <row r="7996" spans="1:24">
      <c r="A7996" s="27" t="s">
        <v>14455</v>
      </c>
      <c r="B7996" s="28" t="s">
        <v>12240</v>
      </c>
      <c r="C7996" s="27" t="s">
        <v>14456</v>
      </c>
      <c r="D7996" s="27" t="s">
        <v>5104</v>
      </c>
      <c r="E7996" s="29">
        <v>40544</v>
      </c>
      <c r="F7996" s="27">
        <v>15</v>
      </c>
      <c r="G7996" s="18">
        <v>12721.07</v>
      </c>
      <c r="H7996" s="27">
        <f t="shared" si="248"/>
        <v>12721.07</v>
      </c>
      <c r="I7996" s="18">
        <v>12721.07</v>
      </c>
      <c r="J7996" s="27">
        <v>12721.07</v>
      </c>
      <c r="K7996" s="18">
        <f t="shared" si="249"/>
        <v>12721.07</v>
      </c>
      <c r="L7996" s="27">
        <v>12085.02</v>
      </c>
      <c r="M7996" s="36">
        <v>-636.04999999999995</v>
      </c>
      <c r="T7996" s="41">
        <v>0</v>
      </c>
      <c r="U7996" s="41">
        <v>0</v>
      </c>
      <c r="V7996" s="42" t="s">
        <v>113</v>
      </c>
      <c r="W7996" s="42">
        <v>12721.07</v>
      </c>
      <c r="X7996" s="42">
        <v>12721.07</v>
      </c>
    </row>
    <row r="7997" spans="1:24">
      <c r="A7997" s="27" t="s">
        <v>14457</v>
      </c>
      <c r="B7997" s="28" t="s">
        <v>12240</v>
      </c>
      <c r="C7997" s="27" t="s">
        <v>14458</v>
      </c>
      <c r="D7997" s="27" t="s">
        <v>5104</v>
      </c>
      <c r="E7997" s="29">
        <v>40544</v>
      </c>
      <c r="F7997" s="27">
        <v>15</v>
      </c>
      <c r="G7997" s="18">
        <v>12721.07</v>
      </c>
      <c r="H7997" s="27">
        <f t="shared" si="248"/>
        <v>12721.07</v>
      </c>
      <c r="I7997" s="18">
        <v>12721.07</v>
      </c>
      <c r="J7997" s="27">
        <v>12721.07</v>
      </c>
      <c r="K7997" s="18">
        <f t="shared" si="249"/>
        <v>12721.07</v>
      </c>
      <c r="L7997" s="27">
        <v>12085.02</v>
      </c>
      <c r="M7997" s="36">
        <v>-636.04999999999995</v>
      </c>
      <c r="T7997" s="41">
        <v>0</v>
      </c>
      <c r="U7997" s="41">
        <v>0</v>
      </c>
      <c r="V7997" s="42" t="s">
        <v>113</v>
      </c>
      <c r="W7997" s="42">
        <v>12721.07</v>
      </c>
      <c r="X7997" s="42">
        <v>12721.07</v>
      </c>
    </row>
    <row r="7998" spans="1:24">
      <c r="A7998" s="27" t="s">
        <v>14459</v>
      </c>
      <c r="B7998" s="28" t="s">
        <v>12240</v>
      </c>
      <c r="C7998" s="27" t="s">
        <v>14460</v>
      </c>
      <c r="D7998" s="27" t="s">
        <v>5104</v>
      </c>
      <c r="E7998" s="29">
        <v>40544</v>
      </c>
      <c r="F7998" s="27">
        <v>15</v>
      </c>
      <c r="G7998" s="18">
        <v>12721.07</v>
      </c>
      <c r="H7998" s="27">
        <f t="shared" si="248"/>
        <v>12721.07</v>
      </c>
      <c r="I7998" s="18">
        <v>12721.07</v>
      </c>
      <c r="J7998" s="27">
        <v>12721.07</v>
      </c>
      <c r="K7998" s="18">
        <f t="shared" si="249"/>
        <v>12721.07</v>
      </c>
      <c r="L7998" s="27">
        <v>12085.02</v>
      </c>
      <c r="M7998" s="36">
        <v>-636.04999999999995</v>
      </c>
      <c r="T7998" s="41">
        <v>0</v>
      </c>
      <c r="U7998" s="41">
        <v>0</v>
      </c>
      <c r="V7998" s="42" t="s">
        <v>113</v>
      </c>
      <c r="W7998" s="42">
        <v>12721.07</v>
      </c>
      <c r="X7998" s="42">
        <v>12721.07</v>
      </c>
    </row>
    <row r="7999" spans="1:24">
      <c r="A7999" s="27" t="s">
        <v>14461</v>
      </c>
      <c r="B7999" s="28" t="s">
        <v>12240</v>
      </c>
      <c r="C7999" s="27" t="s">
        <v>14462</v>
      </c>
      <c r="D7999" s="27" t="s">
        <v>5104</v>
      </c>
      <c r="E7999" s="29">
        <v>40544</v>
      </c>
      <c r="F7999" s="27">
        <v>15</v>
      </c>
      <c r="G7999" s="18">
        <v>12721.07</v>
      </c>
      <c r="H7999" s="27">
        <f t="shared" si="248"/>
        <v>12721.07</v>
      </c>
      <c r="I7999" s="18">
        <v>12721.07</v>
      </c>
      <c r="J7999" s="27">
        <v>12721.07</v>
      </c>
      <c r="K7999" s="18">
        <f t="shared" si="249"/>
        <v>12721.07</v>
      </c>
      <c r="L7999" s="27">
        <v>12085.02</v>
      </c>
      <c r="M7999" s="36">
        <v>-636.04999999999995</v>
      </c>
      <c r="T7999" s="41">
        <v>0</v>
      </c>
      <c r="U7999" s="41">
        <v>0</v>
      </c>
      <c r="V7999" s="42" t="s">
        <v>113</v>
      </c>
      <c r="W7999" s="42">
        <v>12721.07</v>
      </c>
      <c r="X7999" s="42">
        <v>12721.07</v>
      </c>
    </row>
    <row r="8000" spans="1:24">
      <c r="A8000" s="27" t="s">
        <v>14463</v>
      </c>
      <c r="B8000" s="28" t="s">
        <v>12240</v>
      </c>
      <c r="C8000" s="27" t="s">
        <v>14464</v>
      </c>
      <c r="D8000" s="27" t="s">
        <v>5104</v>
      </c>
      <c r="E8000" s="29">
        <v>40544</v>
      </c>
      <c r="F8000" s="27">
        <v>15</v>
      </c>
      <c r="G8000" s="18">
        <v>12721.07</v>
      </c>
      <c r="H8000" s="27">
        <f t="shared" si="248"/>
        <v>12721.07</v>
      </c>
      <c r="I8000" s="18">
        <v>12721.07</v>
      </c>
      <c r="J8000" s="27">
        <v>12721.07</v>
      </c>
      <c r="K8000" s="18">
        <f t="shared" si="249"/>
        <v>12721.07</v>
      </c>
      <c r="L8000" s="27">
        <v>12085.02</v>
      </c>
      <c r="M8000" s="36">
        <v>-636.04999999999995</v>
      </c>
      <c r="T8000" s="41">
        <v>0</v>
      </c>
      <c r="U8000" s="41">
        <v>0</v>
      </c>
      <c r="V8000" s="42" t="s">
        <v>113</v>
      </c>
      <c r="W8000" s="42">
        <v>12721.07</v>
      </c>
      <c r="X8000" s="42">
        <v>12721.07</v>
      </c>
    </row>
    <row r="8001" spans="1:24">
      <c r="A8001" s="27" t="s">
        <v>14465</v>
      </c>
      <c r="B8001" s="28" t="s">
        <v>12240</v>
      </c>
      <c r="C8001" s="27" t="s">
        <v>14466</v>
      </c>
      <c r="D8001" s="27" t="s">
        <v>5104</v>
      </c>
      <c r="E8001" s="29">
        <v>40544</v>
      </c>
      <c r="F8001" s="27">
        <v>15</v>
      </c>
      <c r="G8001" s="18">
        <v>12721.07</v>
      </c>
      <c r="H8001" s="27">
        <f t="shared" si="248"/>
        <v>12721.07</v>
      </c>
      <c r="I8001" s="18">
        <v>12721.07</v>
      </c>
      <c r="J8001" s="27">
        <v>12721.07</v>
      </c>
      <c r="K8001" s="18">
        <f t="shared" si="249"/>
        <v>12721.07</v>
      </c>
      <c r="L8001" s="27">
        <v>12085.02</v>
      </c>
      <c r="M8001" s="36">
        <v>-636.04999999999995</v>
      </c>
      <c r="T8001" s="41">
        <v>0</v>
      </c>
      <c r="U8001" s="41">
        <v>0</v>
      </c>
      <c r="V8001" s="42" t="s">
        <v>113</v>
      </c>
      <c r="W8001" s="42">
        <v>12721.07</v>
      </c>
      <c r="X8001" s="42">
        <v>12721.07</v>
      </c>
    </row>
    <row r="8002" spans="1:24">
      <c r="A8002" s="27" t="s">
        <v>14467</v>
      </c>
      <c r="B8002" s="28" t="s">
        <v>12240</v>
      </c>
      <c r="C8002" s="27" t="s">
        <v>14468</v>
      </c>
      <c r="D8002" s="27" t="s">
        <v>5104</v>
      </c>
      <c r="E8002" s="29">
        <v>40544</v>
      </c>
      <c r="F8002" s="27">
        <v>15</v>
      </c>
      <c r="G8002" s="18">
        <v>12721.07</v>
      </c>
      <c r="H8002" s="27">
        <f t="shared" si="248"/>
        <v>12721.07</v>
      </c>
      <c r="I8002" s="18">
        <v>12721.07</v>
      </c>
      <c r="J8002" s="27">
        <v>12721.07</v>
      </c>
      <c r="K8002" s="18">
        <f t="shared" si="249"/>
        <v>12721.07</v>
      </c>
      <c r="L8002" s="27">
        <v>12085.02</v>
      </c>
      <c r="M8002" s="36">
        <v>-636.04999999999995</v>
      </c>
      <c r="T8002" s="41">
        <v>0</v>
      </c>
      <c r="U8002" s="41">
        <v>0</v>
      </c>
      <c r="V8002" s="42" t="s">
        <v>113</v>
      </c>
      <c r="W8002" s="42">
        <v>12721.07</v>
      </c>
      <c r="X8002" s="42">
        <v>12721.07</v>
      </c>
    </row>
    <row r="8003" spans="1:24">
      <c r="A8003" s="27" t="s">
        <v>14469</v>
      </c>
      <c r="B8003" s="28" t="s">
        <v>12240</v>
      </c>
      <c r="C8003" s="27" t="s">
        <v>14470</v>
      </c>
      <c r="D8003" s="27" t="s">
        <v>5104</v>
      </c>
      <c r="E8003" s="29">
        <v>40544</v>
      </c>
      <c r="F8003" s="27">
        <v>15</v>
      </c>
      <c r="G8003" s="18">
        <v>12721.07</v>
      </c>
      <c r="H8003" s="27">
        <f t="shared" si="248"/>
        <v>12721.07</v>
      </c>
      <c r="I8003" s="18">
        <v>12721.07</v>
      </c>
      <c r="J8003" s="27">
        <v>12721.07</v>
      </c>
      <c r="K8003" s="18">
        <f t="shared" si="249"/>
        <v>12721.07</v>
      </c>
      <c r="L8003" s="27">
        <v>12085.02</v>
      </c>
      <c r="M8003" s="36">
        <v>-636.04999999999995</v>
      </c>
      <c r="T8003" s="41">
        <v>0</v>
      </c>
      <c r="U8003" s="41">
        <v>0</v>
      </c>
      <c r="V8003" s="42" t="s">
        <v>113</v>
      </c>
      <c r="W8003" s="42">
        <v>12721.07</v>
      </c>
      <c r="X8003" s="42">
        <v>12721.07</v>
      </c>
    </row>
    <row r="8004" spans="1:24">
      <c r="A8004" s="27" t="s">
        <v>14471</v>
      </c>
      <c r="B8004" s="28" t="s">
        <v>12240</v>
      </c>
      <c r="C8004" s="27" t="s">
        <v>14472</v>
      </c>
      <c r="D8004" s="27" t="s">
        <v>5104</v>
      </c>
      <c r="E8004" s="29">
        <v>40544</v>
      </c>
      <c r="F8004" s="27">
        <v>15</v>
      </c>
      <c r="G8004" s="18">
        <v>12721.07</v>
      </c>
      <c r="H8004" s="27">
        <f t="shared" si="248"/>
        <v>12721.07</v>
      </c>
      <c r="I8004" s="18">
        <v>12721.07</v>
      </c>
      <c r="J8004" s="27">
        <v>12721.07</v>
      </c>
      <c r="K8004" s="18">
        <f t="shared" si="249"/>
        <v>12721.07</v>
      </c>
      <c r="L8004" s="27">
        <v>12085.02</v>
      </c>
      <c r="M8004" s="36">
        <v>-636.04999999999995</v>
      </c>
      <c r="T8004" s="41">
        <v>0</v>
      </c>
      <c r="U8004" s="41">
        <v>0</v>
      </c>
      <c r="V8004" s="42" t="s">
        <v>113</v>
      </c>
      <c r="W8004" s="42">
        <v>12721.07</v>
      </c>
      <c r="X8004" s="42">
        <v>12721.07</v>
      </c>
    </row>
    <row r="8005" spans="1:24">
      <c r="A8005" s="27" t="s">
        <v>14473</v>
      </c>
      <c r="B8005" s="28" t="s">
        <v>12240</v>
      </c>
      <c r="C8005" s="27" t="s">
        <v>14474</v>
      </c>
      <c r="D8005" s="27" t="s">
        <v>5104</v>
      </c>
      <c r="E8005" s="29">
        <v>40544</v>
      </c>
      <c r="F8005" s="27">
        <v>15</v>
      </c>
      <c r="G8005" s="18">
        <v>12721.07</v>
      </c>
      <c r="H8005" s="27">
        <f t="shared" si="248"/>
        <v>12721.07</v>
      </c>
      <c r="I8005" s="18">
        <v>12721.07</v>
      </c>
      <c r="J8005" s="27">
        <v>12721.07</v>
      </c>
      <c r="K8005" s="18">
        <f t="shared" si="249"/>
        <v>12721.07</v>
      </c>
      <c r="L8005" s="27">
        <v>12085.02</v>
      </c>
      <c r="M8005" s="36">
        <v>-636.04999999999995</v>
      </c>
      <c r="T8005" s="41">
        <v>0</v>
      </c>
      <c r="U8005" s="41">
        <v>0</v>
      </c>
      <c r="V8005" s="42" t="s">
        <v>113</v>
      </c>
      <c r="W8005" s="42">
        <v>12721.07</v>
      </c>
      <c r="X8005" s="42">
        <v>12721.07</v>
      </c>
    </row>
    <row r="8006" spans="1:24">
      <c r="A8006" s="27" t="s">
        <v>14475</v>
      </c>
      <c r="B8006" s="28" t="s">
        <v>12240</v>
      </c>
      <c r="C8006" s="27" t="s">
        <v>14476</v>
      </c>
      <c r="D8006" s="27" t="s">
        <v>5104</v>
      </c>
      <c r="E8006" s="29">
        <v>40544</v>
      </c>
      <c r="F8006" s="27">
        <v>15</v>
      </c>
      <c r="G8006" s="18">
        <v>12721.16</v>
      </c>
      <c r="H8006" s="27">
        <f t="shared" ref="H8006:H8069" si="250">IFERROR(IF(ROUND((G8006-I8006)/G8006,2)&lt;=0.05,G8006,0),0)</f>
        <v>12721.16</v>
      </c>
      <c r="I8006" s="18">
        <v>12721.16</v>
      </c>
      <c r="J8006" s="27">
        <v>12721.16</v>
      </c>
      <c r="K8006" s="18">
        <f t="shared" ref="K8006:K8069" si="251">IFERROR(IF(ROUND((J8006-L8006)/J8006,2)&lt;=0.05,J8006,0),0)</f>
        <v>12721.16</v>
      </c>
      <c r="L8006" s="27">
        <v>12085.1</v>
      </c>
      <c r="M8006" s="36">
        <v>-636.05999999999995</v>
      </c>
      <c r="T8006" s="41">
        <v>0</v>
      </c>
      <c r="U8006" s="41">
        <v>0</v>
      </c>
      <c r="V8006" s="42" t="s">
        <v>113</v>
      </c>
      <c r="W8006" s="42">
        <v>12721.16</v>
      </c>
      <c r="X8006" s="42">
        <v>12721.16</v>
      </c>
    </row>
    <row r="8007" spans="1:24">
      <c r="A8007" s="27" t="s">
        <v>14477</v>
      </c>
      <c r="B8007" s="28" t="s">
        <v>12240</v>
      </c>
      <c r="C8007" s="27" t="s">
        <v>14478</v>
      </c>
      <c r="D8007" s="27" t="s">
        <v>230</v>
      </c>
      <c r="E8007" s="29">
        <v>40843</v>
      </c>
      <c r="F8007" s="27">
        <v>15</v>
      </c>
      <c r="G8007" s="18">
        <v>990292.7</v>
      </c>
      <c r="H8007" s="27">
        <f t="shared" si="250"/>
        <v>0</v>
      </c>
      <c r="I8007" s="18">
        <v>573107.6</v>
      </c>
      <c r="J8007" s="27">
        <v>990292.7</v>
      </c>
      <c r="K8007" s="18">
        <f t="shared" si="251"/>
        <v>0</v>
      </c>
      <c r="L8007" s="27">
        <v>620044.25</v>
      </c>
      <c r="M8007" s="36">
        <v>46936.65</v>
      </c>
      <c r="T8007" s="41">
        <v>0</v>
      </c>
      <c r="U8007" s="41">
        <v>0</v>
      </c>
      <c r="V8007" s="42" t="s">
        <v>113</v>
      </c>
      <c r="W8007" s="42">
        <v>0</v>
      </c>
      <c r="X8007" s="42">
        <v>0</v>
      </c>
    </row>
    <row r="8008" spans="1:24">
      <c r="A8008" s="27" t="s">
        <v>14479</v>
      </c>
      <c r="B8008" s="28" t="s">
        <v>12240</v>
      </c>
      <c r="C8008" s="27" t="s">
        <v>14480</v>
      </c>
      <c r="D8008" s="27" t="s">
        <v>230</v>
      </c>
      <c r="E8008" s="29">
        <v>40843</v>
      </c>
      <c r="F8008" s="27">
        <v>15</v>
      </c>
      <c r="G8008" s="18">
        <v>833418.83</v>
      </c>
      <c r="H8008" s="27">
        <f t="shared" si="250"/>
        <v>0</v>
      </c>
      <c r="I8008" s="18">
        <v>482574.7</v>
      </c>
      <c r="J8008" s="27">
        <v>833418.83</v>
      </c>
      <c r="K8008" s="18">
        <f t="shared" si="251"/>
        <v>0</v>
      </c>
      <c r="L8008" s="27">
        <v>522043.62</v>
      </c>
      <c r="M8008" s="36">
        <v>39468.92</v>
      </c>
      <c r="T8008" s="41">
        <v>0</v>
      </c>
      <c r="U8008" s="41">
        <v>0</v>
      </c>
      <c r="V8008" s="42" t="s">
        <v>113</v>
      </c>
      <c r="W8008" s="42">
        <v>0</v>
      </c>
      <c r="X8008" s="42">
        <v>0</v>
      </c>
    </row>
    <row r="8009" spans="1:24">
      <c r="A8009" s="27" t="s">
        <v>14481</v>
      </c>
      <c r="B8009" s="28" t="s">
        <v>12240</v>
      </c>
      <c r="C8009" s="27" t="s">
        <v>14482</v>
      </c>
      <c r="D8009" s="27" t="s">
        <v>230</v>
      </c>
      <c r="E8009" s="29">
        <v>40843</v>
      </c>
      <c r="F8009" s="27">
        <v>15</v>
      </c>
      <c r="G8009" s="18">
        <v>46268.959999999999</v>
      </c>
      <c r="H8009" s="27">
        <f t="shared" si="250"/>
        <v>0</v>
      </c>
      <c r="I8009" s="18">
        <v>26790.22</v>
      </c>
      <c r="J8009" s="27">
        <v>46268.959999999999</v>
      </c>
      <c r="K8009" s="18">
        <f t="shared" si="251"/>
        <v>0</v>
      </c>
      <c r="L8009" s="27">
        <v>28981.53</v>
      </c>
      <c r="M8009" s="36">
        <v>2191.31</v>
      </c>
      <c r="T8009" s="41">
        <v>0</v>
      </c>
      <c r="U8009" s="41">
        <v>0</v>
      </c>
      <c r="V8009" s="42" t="s">
        <v>113</v>
      </c>
      <c r="W8009" s="42">
        <v>0</v>
      </c>
      <c r="X8009" s="42">
        <v>0</v>
      </c>
    </row>
    <row r="8010" spans="1:24">
      <c r="A8010" s="27" t="s">
        <v>14483</v>
      </c>
      <c r="B8010" s="28" t="s">
        <v>12240</v>
      </c>
      <c r="C8010" s="27" t="s">
        <v>14484</v>
      </c>
      <c r="D8010" s="27" t="s">
        <v>5104</v>
      </c>
      <c r="E8010" s="29">
        <v>40843</v>
      </c>
      <c r="F8010" s="27">
        <v>15</v>
      </c>
      <c r="G8010" s="18">
        <v>46268.94</v>
      </c>
      <c r="H8010" s="27">
        <f t="shared" si="250"/>
        <v>0</v>
      </c>
      <c r="I8010" s="18">
        <v>26790.21</v>
      </c>
      <c r="J8010" s="27">
        <v>46268.94</v>
      </c>
      <c r="K8010" s="18">
        <f t="shared" si="251"/>
        <v>0</v>
      </c>
      <c r="L8010" s="27">
        <v>28981.52</v>
      </c>
      <c r="M8010" s="36">
        <v>2191.31</v>
      </c>
      <c r="T8010" s="41">
        <v>0</v>
      </c>
      <c r="U8010" s="41">
        <v>0</v>
      </c>
      <c r="V8010" s="42" t="s">
        <v>113</v>
      </c>
      <c r="W8010" s="42">
        <v>0</v>
      </c>
      <c r="X8010" s="42">
        <v>0</v>
      </c>
    </row>
    <row r="8011" spans="1:24">
      <c r="A8011" s="27" t="s">
        <v>14485</v>
      </c>
      <c r="B8011" s="28" t="s">
        <v>12240</v>
      </c>
      <c r="C8011" s="27" t="s">
        <v>14486</v>
      </c>
      <c r="D8011" s="27" t="s">
        <v>230</v>
      </c>
      <c r="E8011" s="29">
        <v>40843</v>
      </c>
      <c r="F8011" s="27">
        <v>15</v>
      </c>
      <c r="G8011" s="18">
        <v>49559.92</v>
      </c>
      <c r="H8011" s="27">
        <f t="shared" si="250"/>
        <v>0</v>
      </c>
      <c r="I8011" s="18">
        <v>28696.69</v>
      </c>
      <c r="J8011" s="27">
        <v>49559.92</v>
      </c>
      <c r="K8011" s="18">
        <f t="shared" si="251"/>
        <v>0</v>
      </c>
      <c r="L8011" s="27">
        <v>31043.74</v>
      </c>
      <c r="M8011" s="36">
        <v>2347.0500000000002</v>
      </c>
      <c r="T8011" s="41">
        <v>0</v>
      </c>
      <c r="U8011" s="41">
        <v>0</v>
      </c>
      <c r="V8011" s="42" t="s">
        <v>113</v>
      </c>
      <c r="W8011" s="42">
        <v>0</v>
      </c>
      <c r="X8011" s="42">
        <v>0</v>
      </c>
    </row>
    <row r="8012" spans="1:24">
      <c r="A8012" s="27" t="s">
        <v>14487</v>
      </c>
      <c r="B8012" s="28" t="s">
        <v>12240</v>
      </c>
      <c r="C8012" s="27" t="s">
        <v>14488</v>
      </c>
      <c r="D8012" s="27" t="s">
        <v>230</v>
      </c>
      <c r="E8012" s="29">
        <v>40843</v>
      </c>
      <c r="F8012" s="27">
        <v>15</v>
      </c>
      <c r="G8012" s="18">
        <v>43661.98</v>
      </c>
      <c r="H8012" s="27">
        <f t="shared" si="250"/>
        <v>0</v>
      </c>
      <c r="I8012" s="18">
        <v>25281.61</v>
      </c>
      <c r="J8012" s="27">
        <v>43661.98</v>
      </c>
      <c r="K8012" s="18">
        <f t="shared" si="251"/>
        <v>0</v>
      </c>
      <c r="L8012" s="27">
        <v>27349.35</v>
      </c>
      <c r="M8012" s="36">
        <v>2067.7399999999998</v>
      </c>
      <c r="T8012" s="41">
        <v>0</v>
      </c>
      <c r="U8012" s="41">
        <v>0</v>
      </c>
      <c r="V8012" s="42" t="s">
        <v>113</v>
      </c>
      <c r="W8012" s="42">
        <v>0</v>
      </c>
      <c r="X8012" s="42">
        <v>0</v>
      </c>
    </row>
    <row r="8013" spans="1:24">
      <c r="A8013" s="27" t="s">
        <v>14489</v>
      </c>
      <c r="B8013" s="28" t="s">
        <v>12240</v>
      </c>
      <c r="C8013" s="27" t="s">
        <v>14490</v>
      </c>
      <c r="D8013" s="27" t="s">
        <v>230</v>
      </c>
      <c r="E8013" s="29">
        <v>40843</v>
      </c>
      <c r="F8013" s="27">
        <v>15</v>
      </c>
      <c r="G8013" s="18">
        <v>49314.36</v>
      </c>
      <c r="H8013" s="27">
        <f t="shared" si="250"/>
        <v>0</v>
      </c>
      <c r="I8013" s="18">
        <v>28554.51</v>
      </c>
      <c r="J8013" s="27">
        <v>49314.36</v>
      </c>
      <c r="K8013" s="18">
        <f t="shared" si="251"/>
        <v>0</v>
      </c>
      <c r="L8013" s="27">
        <v>30889.93</v>
      </c>
      <c r="M8013" s="36">
        <v>2335.42</v>
      </c>
      <c r="T8013" s="41">
        <v>0</v>
      </c>
      <c r="U8013" s="41">
        <v>0</v>
      </c>
      <c r="V8013" s="42" t="s">
        <v>113</v>
      </c>
      <c r="W8013" s="42">
        <v>0</v>
      </c>
      <c r="X8013" s="42">
        <v>0</v>
      </c>
    </row>
    <row r="8014" spans="1:24">
      <c r="A8014" s="27" t="s">
        <v>14491</v>
      </c>
      <c r="B8014" s="28" t="s">
        <v>12240</v>
      </c>
      <c r="C8014" s="27" t="s">
        <v>14492</v>
      </c>
      <c r="D8014" s="27" t="s">
        <v>230</v>
      </c>
      <c r="E8014" s="29">
        <v>40843</v>
      </c>
      <c r="F8014" s="27">
        <v>15</v>
      </c>
      <c r="G8014" s="18">
        <v>49314.36</v>
      </c>
      <c r="H8014" s="27">
        <f t="shared" si="250"/>
        <v>0</v>
      </c>
      <c r="I8014" s="18">
        <v>28554.51</v>
      </c>
      <c r="J8014" s="27">
        <v>49314.36</v>
      </c>
      <c r="K8014" s="18">
        <f t="shared" si="251"/>
        <v>0</v>
      </c>
      <c r="L8014" s="27">
        <v>30889.93</v>
      </c>
      <c r="M8014" s="36">
        <v>2335.42</v>
      </c>
      <c r="T8014" s="41">
        <v>0</v>
      </c>
      <c r="U8014" s="41">
        <v>0</v>
      </c>
      <c r="V8014" s="42" t="s">
        <v>113</v>
      </c>
      <c r="W8014" s="42">
        <v>0</v>
      </c>
      <c r="X8014" s="42">
        <v>0</v>
      </c>
    </row>
    <row r="8015" spans="1:24">
      <c r="A8015" s="27" t="s">
        <v>14493</v>
      </c>
      <c r="B8015" s="28" t="s">
        <v>12240</v>
      </c>
      <c r="C8015" s="27" t="s">
        <v>14494</v>
      </c>
      <c r="D8015" s="27" t="s">
        <v>230</v>
      </c>
      <c r="E8015" s="29">
        <v>40843</v>
      </c>
      <c r="F8015" s="27">
        <v>15</v>
      </c>
      <c r="G8015" s="18">
        <v>160820.79</v>
      </c>
      <c r="H8015" s="27">
        <f t="shared" si="250"/>
        <v>0</v>
      </c>
      <c r="I8015" s="18">
        <v>93120.1</v>
      </c>
      <c r="J8015" s="27">
        <v>160820.79</v>
      </c>
      <c r="K8015" s="18">
        <f t="shared" si="251"/>
        <v>0</v>
      </c>
      <c r="L8015" s="27">
        <v>100736.23</v>
      </c>
      <c r="M8015" s="36">
        <v>7616.13</v>
      </c>
      <c r="T8015" s="41">
        <v>0</v>
      </c>
      <c r="U8015" s="41">
        <v>0</v>
      </c>
      <c r="V8015" s="42" t="s">
        <v>113</v>
      </c>
      <c r="W8015" s="42">
        <v>0</v>
      </c>
      <c r="X8015" s="42">
        <v>0</v>
      </c>
    </row>
    <row r="8016" spans="1:24">
      <c r="A8016" s="27" t="s">
        <v>14495</v>
      </c>
      <c r="B8016" s="28" t="s">
        <v>12240</v>
      </c>
      <c r="C8016" s="27" t="s">
        <v>14496</v>
      </c>
      <c r="D8016" s="27" t="s">
        <v>230</v>
      </c>
      <c r="E8016" s="29">
        <v>40843</v>
      </c>
      <c r="F8016" s="27">
        <v>15</v>
      </c>
      <c r="G8016" s="18">
        <v>160820.79</v>
      </c>
      <c r="H8016" s="27">
        <f t="shared" si="250"/>
        <v>0</v>
      </c>
      <c r="I8016" s="18">
        <v>93120.1</v>
      </c>
      <c r="J8016" s="27">
        <v>160820.79</v>
      </c>
      <c r="K8016" s="18">
        <f t="shared" si="251"/>
        <v>0</v>
      </c>
      <c r="L8016" s="27">
        <v>100736.23</v>
      </c>
      <c r="M8016" s="36">
        <v>7616.13</v>
      </c>
      <c r="T8016" s="41">
        <v>0</v>
      </c>
      <c r="U8016" s="41">
        <v>0</v>
      </c>
      <c r="V8016" s="42" t="s">
        <v>113</v>
      </c>
      <c r="W8016" s="42">
        <v>0</v>
      </c>
      <c r="X8016" s="42">
        <v>0</v>
      </c>
    </row>
    <row r="8017" spans="1:24">
      <c r="A8017" s="27" t="s">
        <v>14497</v>
      </c>
      <c r="B8017" s="28" t="s">
        <v>12240</v>
      </c>
      <c r="C8017" s="27" t="s">
        <v>14498</v>
      </c>
      <c r="D8017" s="27" t="s">
        <v>5104</v>
      </c>
      <c r="E8017" s="29">
        <v>40843</v>
      </c>
      <c r="F8017" s="27">
        <v>15</v>
      </c>
      <c r="G8017" s="18">
        <v>160820.79</v>
      </c>
      <c r="H8017" s="27">
        <f t="shared" si="250"/>
        <v>0</v>
      </c>
      <c r="I8017" s="18">
        <v>93120.1</v>
      </c>
      <c r="J8017" s="27">
        <v>160820.79</v>
      </c>
      <c r="K8017" s="18">
        <f t="shared" si="251"/>
        <v>0</v>
      </c>
      <c r="L8017" s="27">
        <v>100736.23</v>
      </c>
      <c r="M8017" s="36">
        <v>7616.13</v>
      </c>
      <c r="T8017" s="41">
        <v>0</v>
      </c>
      <c r="U8017" s="41">
        <v>0</v>
      </c>
      <c r="V8017" s="42" t="s">
        <v>113</v>
      </c>
      <c r="W8017" s="42">
        <v>0</v>
      </c>
      <c r="X8017" s="42">
        <v>0</v>
      </c>
    </row>
    <row r="8018" spans="1:24">
      <c r="A8018" s="27" t="s">
        <v>14499</v>
      </c>
      <c r="B8018" s="28" t="s">
        <v>12240</v>
      </c>
      <c r="C8018" s="27" t="s">
        <v>14500</v>
      </c>
      <c r="D8018" s="27" t="s">
        <v>230</v>
      </c>
      <c r="E8018" s="29">
        <v>40843</v>
      </c>
      <c r="F8018" s="27">
        <v>15</v>
      </c>
      <c r="G8018" s="18">
        <v>47120.97</v>
      </c>
      <c r="H8018" s="27">
        <f t="shared" si="250"/>
        <v>0</v>
      </c>
      <c r="I8018" s="18">
        <v>27283.53</v>
      </c>
      <c r="J8018" s="27">
        <v>47120.97</v>
      </c>
      <c r="K8018" s="18">
        <f t="shared" si="251"/>
        <v>0</v>
      </c>
      <c r="L8018" s="27">
        <v>29515.200000000001</v>
      </c>
      <c r="M8018" s="36">
        <v>2231.67</v>
      </c>
      <c r="T8018" s="41">
        <v>0</v>
      </c>
      <c r="U8018" s="41">
        <v>0</v>
      </c>
      <c r="V8018" s="42" t="s">
        <v>113</v>
      </c>
      <c r="W8018" s="42">
        <v>0</v>
      </c>
      <c r="X8018" s="42">
        <v>0</v>
      </c>
    </row>
    <row r="8019" spans="1:24">
      <c r="A8019" s="27" t="s">
        <v>14501</v>
      </c>
      <c r="B8019" s="28" t="s">
        <v>12240</v>
      </c>
      <c r="C8019" s="27" t="s">
        <v>14502</v>
      </c>
      <c r="D8019" s="27" t="s">
        <v>230</v>
      </c>
      <c r="E8019" s="29">
        <v>40843</v>
      </c>
      <c r="F8019" s="27">
        <v>15</v>
      </c>
      <c r="G8019" s="18">
        <v>149558.75</v>
      </c>
      <c r="H8019" s="27">
        <f t="shared" si="250"/>
        <v>0</v>
      </c>
      <c r="I8019" s="18">
        <v>86599.039999999994</v>
      </c>
      <c r="J8019" s="27">
        <v>149558.75</v>
      </c>
      <c r="K8019" s="18">
        <f t="shared" si="251"/>
        <v>0</v>
      </c>
      <c r="L8019" s="27">
        <v>93681.82</v>
      </c>
      <c r="M8019" s="36">
        <v>7082.78</v>
      </c>
      <c r="T8019" s="41">
        <v>0</v>
      </c>
      <c r="U8019" s="41">
        <v>0</v>
      </c>
      <c r="V8019" s="42" t="s">
        <v>113</v>
      </c>
      <c r="W8019" s="42">
        <v>0</v>
      </c>
      <c r="X8019" s="42">
        <v>0</v>
      </c>
    </row>
    <row r="8020" spans="1:24">
      <c r="A8020" s="27" t="s">
        <v>14503</v>
      </c>
      <c r="B8020" s="28" t="s">
        <v>12240</v>
      </c>
      <c r="C8020" s="27" t="s">
        <v>14504</v>
      </c>
      <c r="D8020" s="27" t="s">
        <v>5104</v>
      </c>
      <c r="E8020" s="29">
        <v>40843</v>
      </c>
      <c r="F8020" s="27">
        <v>15</v>
      </c>
      <c r="G8020" s="18">
        <v>149558.75</v>
      </c>
      <c r="H8020" s="27">
        <f t="shared" si="250"/>
        <v>0</v>
      </c>
      <c r="I8020" s="18">
        <v>86599.039999999994</v>
      </c>
      <c r="J8020" s="27">
        <v>149558.75</v>
      </c>
      <c r="K8020" s="18">
        <f t="shared" si="251"/>
        <v>0</v>
      </c>
      <c r="L8020" s="27">
        <v>93681.82</v>
      </c>
      <c r="M8020" s="36">
        <v>7082.78</v>
      </c>
      <c r="T8020" s="41">
        <v>0</v>
      </c>
      <c r="U8020" s="41">
        <v>0</v>
      </c>
      <c r="V8020" s="42" t="s">
        <v>113</v>
      </c>
      <c r="W8020" s="42">
        <v>0</v>
      </c>
      <c r="X8020" s="42">
        <v>0</v>
      </c>
    </row>
    <row r="8021" spans="1:24">
      <c r="A8021" s="27" t="s">
        <v>14505</v>
      </c>
      <c r="B8021" s="28" t="s">
        <v>12240</v>
      </c>
      <c r="C8021" s="27" t="s">
        <v>14506</v>
      </c>
      <c r="D8021" s="27" t="s">
        <v>230</v>
      </c>
      <c r="E8021" s="29">
        <v>40843</v>
      </c>
      <c r="F8021" s="27">
        <v>15</v>
      </c>
      <c r="G8021" s="18">
        <v>149558.75</v>
      </c>
      <c r="H8021" s="27">
        <f t="shared" si="250"/>
        <v>0</v>
      </c>
      <c r="I8021" s="18">
        <v>86599.039999999994</v>
      </c>
      <c r="J8021" s="27">
        <v>149558.75</v>
      </c>
      <c r="K8021" s="18">
        <f t="shared" si="251"/>
        <v>0</v>
      </c>
      <c r="L8021" s="27">
        <v>93681.82</v>
      </c>
      <c r="M8021" s="36">
        <v>7082.78</v>
      </c>
      <c r="T8021" s="41">
        <v>0</v>
      </c>
      <c r="U8021" s="41">
        <v>0</v>
      </c>
      <c r="V8021" s="42" t="s">
        <v>113</v>
      </c>
      <c r="W8021" s="42">
        <v>0</v>
      </c>
      <c r="X8021" s="42">
        <v>0</v>
      </c>
    </row>
    <row r="8022" spans="1:24">
      <c r="A8022" s="27" t="s">
        <v>14507</v>
      </c>
      <c r="B8022" s="28" t="s">
        <v>12240</v>
      </c>
      <c r="C8022" s="27" t="s">
        <v>14508</v>
      </c>
      <c r="D8022" s="27" t="s">
        <v>230</v>
      </c>
      <c r="E8022" s="29">
        <v>40843</v>
      </c>
      <c r="F8022" s="27">
        <v>15</v>
      </c>
      <c r="G8022" s="18">
        <v>59364.86</v>
      </c>
      <c r="H8022" s="27">
        <f t="shared" si="250"/>
        <v>0</v>
      </c>
      <c r="I8022" s="18">
        <v>34371.65</v>
      </c>
      <c r="J8022" s="27">
        <v>59364.86</v>
      </c>
      <c r="K8022" s="18">
        <f t="shared" si="251"/>
        <v>0</v>
      </c>
      <c r="L8022" s="27">
        <v>37183.35</v>
      </c>
      <c r="M8022" s="36">
        <v>2811.7</v>
      </c>
      <c r="T8022" s="41">
        <v>0</v>
      </c>
      <c r="U8022" s="41">
        <v>0</v>
      </c>
      <c r="V8022" s="42" t="s">
        <v>113</v>
      </c>
      <c r="W8022" s="42">
        <v>0</v>
      </c>
      <c r="X8022" s="42">
        <v>0</v>
      </c>
    </row>
    <row r="8023" spans="1:24">
      <c r="A8023" s="27" t="s">
        <v>14509</v>
      </c>
      <c r="B8023" s="28" t="s">
        <v>12240</v>
      </c>
      <c r="C8023" s="27" t="s">
        <v>14510</v>
      </c>
      <c r="D8023" s="27" t="s">
        <v>230</v>
      </c>
      <c r="E8023" s="29">
        <v>40843</v>
      </c>
      <c r="F8023" s="27">
        <v>15</v>
      </c>
      <c r="G8023" s="18">
        <v>59364.86</v>
      </c>
      <c r="H8023" s="27">
        <f t="shared" si="250"/>
        <v>0</v>
      </c>
      <c r="I8023" s="18">
        <v>34371.65</v>
      </c>
      <c r="J8023" s="27">
        <v>59364.86</v>
      </c>
      <c r="K8023" s="18">
        <f t="shared" si="251"/>
        <v>0</v>
      </c>
      <c r="L8023" s="27">
        <v>37183.35</v>
      </c>
      <c r="M8023" s="36">
        <v>2811.7</v>
      </c>
      <c r="T8023" s="41">
        <v>0</v>
      </c>
      <c r="U8023" s="41">
        <v>0</v>
      </c>
      <c r="V8023" s="42" t="s">
        <v>113</v>
      </c>
      <c r="W8023" s="42">
        <v>0</v>
      </c>
      <c r="X8023" s="42">
        <v>0</v>
      </c>
    </row>
    <row r="8024" spans="1:24">
      <c r="A8024" s="27" t="s">
        <v>14511</v>
      </c>
      <c r="B8024" s="28" t="s">
        <v>12240</v>
      </c>
      <c r="C8024" s="27" t="s">
        <v>14512</v>
      </c>
      <c r="D8024" s="27" t="s">
        <v>230</v>
      </c>
      <c r="E8024" s="29">
        <v>40843</v>
      </c>
      <c r="F8024" s="27">
        <v>15</v>
      </c>
      <c r="G8024" s="18">
        <v>68993.31</v>
      </c>
      <c r="H8024" s="27">
        <f t="shared" si="250"/>
        <v>0</v>
      </c>
      <c r="I8024" s="18">
        <v>39949.199999999997</v>
      </c>
      <c r="J8024" s="27">
        <v>68993.31</v>
      </c>
      <c r="K8024" s="18">
        <f t="shared" si="251"/>
        <v>0</v>
      </c>
      <c r="L8024" s="27">
        <v>43216.58</v>
      </c>
      <c r="M8024" s="36">
        <v>3267.38</v>
      </c>
      <c r="T8024" s="41">
        <v>0</v>
      </c>
      <c r="U8024" s="41">
        <v>0</v>
      </c>
      <c r="V8024" s="42" t="s">
        <v>113</v>
      </c>
      <c r="W8024" s="42">
        <v>0</v>
      </c>
      <c r="X8024" s="42">
        <v>0</v>
      </c>
    </row>
    <row r="8025" spans="1:24">
      <c r="A8025" s="27" t="s">
        <v>14513</v>
      </c>
      <c r="B8025" s="28" t="s">
        <v>12240</v>
      </c>
      <c r="C8025" s="27" t="s">
        <v>14514</v>
      </c>
      <c r="D8025" s="27" t="s">
        <v>230</v>
      </c>
      <c r="E8025" s="29">
        <v>40843</v>
      </c>
      <c r="F8025" s="27">
        <v>15</v>
      </c>
      <c r="G8025" s="18">
        <v>57156</v>
      </c>
      <c r="H8025" s="27">
        <f t="shared" si="250"/>
        <v>0</v>
      </c>
      <c r="I8025" s="18">
        <v>33095.050000000003</v>
      </c>
      <c r="J8025" s="27">
        <v>57156</v>
      </c>
      <c r="K8025" s="18">
        <f t="shared" si="251"/>
        <v>0</v>
      </c>
      <c r="L8025" s="27">
        <v>35801.839999999997</v>
      </c>
      <c r="M8025" s="36">
        <v>2706.79</v>
      </c>
      <c r="T8025" s="41">
        <v>0</v>
      </c>
      <c r="U8025" s="41">
        <v>0</v>
      </c>
      <c r="V8025" s="42" t="s">
        <v>113</v>
      </c>
      <c r="W8025" s="42">
        <v>0</v>
      </c>
      <c r="X8025" s="42">
        <v>0</v>
      </c>
    </row>
    <row r="8026" spans="1:24">
      <c r="A8026" s="27" t="s">
        <v>14515</v>
      </c>
      <c r="B8026" s="28" t="s">
        <v>12240</v>
      </c>
      <c r="C8026" s="27" t="s">
        <v>14516</v>
      </c>
      <c r="D8026" s="27" t="s">
        <v>230</v>
      </c>
      <c r="E8026" s="29">
        <v>40843</v>
      </c>
      <c r="F8026" s="27">
        <v>15</v>
      </c>
      <c r="G8026" s="18">
        <v>56629.21</v>
      </c>
      <c r="H8026" s="27">
        <f t="shared" si="250"/>
        <v>0</v>
      </c>
      <c r="I8026" s="18">
        <v>32785.800000000003</v>
      </c>
      <c r="J8026" s="27">
        <v>56629.21</v>
      </c>
      <c r="K8026" s="18">
        <f t="shared" si="251"/>
        <v>0</v>
      </c>
      <c r="L8026" s="27">
        <v>35468.18</v>
      </c>
      <c r="M8026" s="36">
        <v>2682.38</v>
      </c>
      <c r="T8026" s="41">
        <v>0</v>
      </c>
      <c r="U8026" s="41">
        <v>0</v>
      </c>
      <c r="V8026" s="42" t="s">
        <v>113</v>
      </c>
      <c r="W8026" s="42">
        <v>0</v>
      </c>
      <c r="X8026" s="42">
        <v>0</v>
      </c>
    </row>
    <row r="8027" spans="1:24">
      <c r="A8027" s="27" t="s">
        <v>14517</v>
      </c>
      <c r="B8027" s="28" t="s">
        <v>12240</v>
      </c>
      <c r="C8027" s="27" t="s">
        <v>14518</v>
      </c>
      <c r="D8027" s="27" t="s">
        <v>230</v>
      </c>
      <c r="E8027" s="29">
        <v>40843</v>
      </c>
      <c r="F8027" s="27">
        <v>15</v>
      </c>
      <c r="G8027" s="18">
        <v>62450.559999999998</v>
      </c>
      <c r="H8027" s="27">
        <f t="shared" si="250"/>
        <v>0</v>
      </c>
      <c r="I8027" s="18">
        <v>36158.660000000003</v>
      </c>
      <c r="J8027" s="27">
        <v>62450.559999999998</v>
      </c>
      <c r="K8027" s="18">
        <f t="shared" si="251"/>
        <v>0</v>
      </c>
      <c r="L8027" s="27">
        <v>39116.449999999997</v>
      </c>
      <c r="M8027" s="36">
        <v>2957.79</v>
      </c>
      <c r="T8027" s="41">
        <v>0</v>
      </c>
      <c r="U8027" s="41">
        <v>0</v>
      </c>
      <c r="V8027" s="42" t="s">
        <v>113</v>
      </c>
      <c r="W8027" s="42">
        <v>0</v>
      </c>
      <c r="X8027" s="42">
        <v>0</v>
      </c>
    </row>
    <row r="8028" spans="1:24">
      <c r="A8028" s="27" t="s">
        <v>14519</v>
      </c>
      <c r="B8028" s="28" t="s">
        <v>12240</v>
      </c>
      <c r="C8028" s="27" t="s">
        <v>14520</v>
      </c>
      <c r="D8028" s="27" t="s">
        <v>230</v>
      </c>
      <c r="E8028" s="29">
        <v>40843</v>
      </c>
      <c r="F8028" s="27">
        <v>15</v>
      </c>
      <c r="G8028" s="18">
        <v>62450.559999999998</v>
      </c>
      <c r="H8028" s="27">
        <f t="shared" si="250"/>
        <v>0</v>
      </c>
      <c r="I8028" s="18">
        <v>36158.660000000003</v>
      </c>
      <c r="J8028" s="27">
        <v>62450.559999999998</v>
      </c>
      <c r="K8028" s="18">
        <f t="shared" si="251"/>
        <v>0</v>
      </c>
      <c r="L8028" s="27">
        <v>39116.449999999997</v>
      </c>
      <c r="M8028" s="36">
        <v>2957.79</v>
      </c>
      <c r="T8028" s="41">
        <v>0</v>
      </c>
      <c r="U8028" s="41">
        <v>0</v>
      </c>
      <c r="V8028" s="42" t="s">
        <v>113</v>
      </c>
      <c r="W8028" s="42">
        <v>0</v>
      </c>
      <c r="X8028" s="42">
        <v>0</v>
      </c>
    </row>
    <row r="8029" spans="1:24">
      <c r="A8029" s="27" t="s">
        <v>14521</v>
      </c>
      <c r="B8029" s="28" t="s">
        <v>12240</v>
      </c>
      <c r="C8029" s="27" t="s">
        <v>14522</v>
      </c>
      <c r="D8029" s="27" t="s">
        <v>230</v>
      </c>
      <c r="E8029" s="29">
        <v>40843</v>
      </c>
      <c r="F8029" s="27">
        <v>15</v>
      </c>
      <c r="G8029" s="18">
        <v>62450.559999999998</v>
      </c>
      <c r="H8029" s="27">
        <f t="shared" si="250"/>
        <v>0</v>
      </c>
      <c r="I8029" s="18">
        <v>36158.660000000003</v>
      </c>
      <c r="J8029" s="27">
        <v>62450.559999999998</v>
      </c>
      <c r="K8029" s="18">
        <f t="shared" si="251"/>
        <v>0</v>
      </c>
      <c r="L8029" s="27">
        <v>39116.449999999997</v>
      </c>
      <c r="M8029" s="36">
        <v>2957.79</v>
      </c>
      <c r="T8029" s="41">
        <v>0</v>
      </c>
      <c r="U8029" s="41">
        <v>0</v>
      </c>
      <c r="V8029" s="42" t="s">
        <v>113</v>
      </c>
      <c r="W8029" s="42">
        <v>0</v>
      </c>
      <c r="X8029" s="42">
        <v>0</v>
      </c>
    </row>
    <row r="8030" spans="1:24">
      <c r="A8030" s="27" t="s">
        <v>14523</v>
      </c>
      <c r="B8030" s="28" t="s">
        <v>12240</v>
      </c>
      <c r="C8030" s="27" t="s">
        <v>14524</v>
      </c>
      <c r="D8030" s="27" t="s">
        <v>230</v>
      </c>
      <c r="E8030" s="29">
        <v>40843</v>
      </c>
      <c r="F8030" s="27">
        <v>15</v>
      </c>
      <c r="G8030" s="18">
        <v>62450.57</v>
      </c>
      <c r="H8030" s="27">
        <f t="shared" si="250"/>
        <v>0</v>
      </c>
      <c r="I8030" s="18">
        <v>36158.660000000003</v>
      </c>
      <c r="J8030" s="27">
        <v>62450.57</v>
      </c>
      <c r="K8030" s="18">
        <f t="shared" si="251"/>
        <v>0</v>
      </c>
      <c r="L8030" s="27">
        <v>39116.449999999997</v>
      </c>
      <c r="M8030" s="36">
        <v>2957.79</v>
      </c>
      <c r="T8030" s="41">
        <v>0</v>
      </c>
      <c r="U8030" s="41">
        <v>0</v>
      </c>
      <c r="V8030" s="42" t="s">
        <v>113</v>
      </c>
      <c r="W8030" s="42">
        <v>0</v>
      </c>
      <c r="X8030" s="42">
        <v>0</v>
      </c>
    </row>
    <row r="8031" spans="1:24">
      <c r="A8031" s="27" t="s">
        <v>14525</v>
      </c>
      <c r="B8031" s="28" t="s">
        <v>12240</v>
      </c>
      <c r="C8031" s="27" t="s">
        <v>14526</v>
      </c>
      <c r="D8031" s="27" t="s">
        <v>230</v>
      </c>
      <c r="E8031" s="29">
        <v>40843</v>
      </c>
      <c r="F8031" s="27">
        <v>15</v>
      </c>
      <c r="G8031" s="18">
        <v>56276.3</v>
      </c>
      <c r="H8031" s="27">
        <f t="shared" si="250"/>
        <v>0</v>
      </c>
      <c r="I8031" s="18">
        <v>32583.79</v>
      </c>
      <c r="J8031" s="27">
        <v>56276.3</v>
      </c>
      <c r="K8031" s="18">
        <f t="shared" si="251"/>
        <v>0</v>
      </c>
      <c r="L8031" s="27">
        <v>35249.15</v>
      </c>
      <c r="M8031" s="36">
        <v>2665.36</v>
      </c>
      <c r="T8031" s="41">
        <v>0</v>
      </c>
      <c r="U8031" s="41">
        <v>0</v>
      </c>
      <c r="V8031" s="42" t="s">
        <v>113</v>
      </c>
      <c r="W8031" s="42">
        <v>0</v>
      </c>
      <c r="X8031" s="42">
        <v>0</v>
      </c>
    </row>
    <row r="8032" spans="1:24">
      <c r="A8032" s="27" t="s">
        <v>14527</v>
      </c>
      <c r="B8032" s="28" t="s">
        <v>12240</v>
      </c>
      <c r="C8032" s="27" t="s">
        <v>14528</v>
      </c>
      <c r="D8032" s="27" t="s">
        <v>230</v>
      </c>
      <c r="E8032" s="29">
        <v>40843</v>
      </c>
      <c r="F8032" s="27">
        <v>15</v>
      </c>
      <c r="G8032" s="18">
        <v>53923.31</v>
      </c>
      <c r="H8032" s="27">
        <f t="shared" si="250"/>
        <v>0</v>
      </c>
      <c r="I8032" s="18">
        <v>31221.49</v>
      </c>
      <c r="J8032" s="27">
        <v>53923.31</v>
      </c>
      <c r="K8032" s="18">
        <f t="shared" si="251"/>
        <v>0</v>
      </c>
      <c r="L8032" s="27">
        <v>33775.4</v>
      </c>
      <c r="M8032" s="36">
        <v>2553.91</v>
      </c>
      <c r="T8032" s="41">
        <v>0</v>
      </c>
      <c r="U8032" s="41">
        <v>0</v>
      </c>
      <c r="V8032" s="42" t="s">
        <v>113</v>
      </c>
      <c r="W8032" s="42">
        <v>0</v>
      </c>
      <c r="X8032" s="42">
        <v>0</v>
      </c>
    </row>
    <row r="8033" spans="1:24">
      <c r="A8033" s="27" t="s">
        <v>14529</v>
      </c>
      <c r="B8033" s="28" t="s">
        <v>12240</v>
      </c>
      <c r="C8033" s="27" t="s">
        <v>14530</v>
      </c>
      <c r="D8033" s="27" t="s">
        <v>230</v>
      </c>
      <c r="E8033" s="29">
        <v>40843</v>
      </c>
      <c r="F8033" s="27">
        <v>15</v>
      </c>
      <c r="G8033" s="18">
        <v>48972.02</v>
      </c>
      <c r="H8033" s="27">
        <f t="shared" si="250"/>
        <v>0</v>
      </c>
      <c r="I8033" s="18">
        <v>28354.73</v>
      </c>
      <c r="J8033" s="27">
        <v>48972.02</v>
      </c>
      <c r="K8033" s="18">
        <f t="shared" si="251"/>
        <v>0</v>
      </c>
      <c r="L8033" s="27">
        <v>30674.14</v>
      </c>
      <c r="M8033" s="36">
        <v>2319.41</v>
      </c>
      <c r="T8033" s="41">
        <v>0</v>
      </c>
      <c r="U8033" s="41">
        <v>0</v>
      </c>
      <c r="V8033" s="42" t="s">
        <v>113</v>
      </c>
      <c r="W8033" s="42">
        <v>0</v>
      </c>
      <c r="X8033" s="42">
        <v>0</v>
      </c>
    </row>
    <row r="8034" spans="1:24">
      <c r="A8034" s="27" t="s">
        <v>14531</v>
      </c>
      <c r="B8034" s="28" t="s">
        <v>12240</v>
      </c>
      <c r="C8034" s="27" t="s">
        <v>14532</v>
      </c>
      <c r="D8034" s="27" t="s">
        <v>230</v>
      </c>
      <c r="E8034" s="29">
        <v>40843</v>
      </c>
      <c r="F8034" s="27">
        <v>15</v>
      </c>
      <c r="G8034" s="18">
        <v>48972.02</v>
      </c>
      <c r="H8034" s="27">
        <f t="shared" si="250"/>
        <v>0</v>
      </c>
      <c r="I8034" s="18">
        <v>28354.73</v>
      </c>
      <c r="J8034" s="27">
        <v>48972.02</v>
      </c>
      <c r="K8034" s="18">
        <f t="shared" si="251"/>
        <v>0</v>
      </c>
      <c r="L8034" s="27">
        <v>30674.14</v>
      </c>
      <c r="M8034" s="36">
        <v>2319.41</v>
      </c>
      <c r="T8034" s="41">
        <v>0</v>
      </c>
      <c r="U8034" s="41">
        <v>0</v>
      </c>
      <c r="V8034" s="42" t="s">
        <v>113</v>
      </c>
      <c r="W8034" s="42">
        <v>0</v>
      </c>
      <c r="X8034" s="42">
        <v>0</v>
      </c>
    </row>
    <row r="8035" spans="1:24">
      <c r="A8035" s="27" t="s">
        <v>14533</v>
      </c>
      <c r="B8035" s="28" t="s">
        <v>12240</v>
      </c>
      <c r="C8035" s="27" t="s">
        <v>14534</v>
      </c>
      <c r="D8035" s="27" t="s">
        <v>5104</v>
      </c>
      <c r="E8035" s="29">
        <v>40843</v>
      </c>
      <c r="F8035" s="27">
        <v>15</v>
      </c>
      <c r="G8035" s="18">
        <v>48972</v>
      </c>
      <c r="H8035" s="27">
        <f t="shared" si="250"/>
        <v>0</v>
      </c>
      <c r="I8035" s="18">
        <v>28354.71</v>
      </c>
      <c r="J8035" s="27">
        <v>48972</v>
      </c>
      <c r="K8035" s="18">
        <f t="shared" si="251"/>
        <v>0</v>
      </c>
      <c r="L8035" s="27">
        <v>30674.12</v>
      </c>
      <c r="M8035" s="36">
        <v>2319.41</v>
      </c>
      <c r="T8035" s="41">
        <v>0</v>
      </c>
      <c r="U8035" s="41">
        <v>0</v>
      </c>
      <c r="V8035" s="42" t="s">
        <v>113</v>
      </c>
      <c r="W8035" s="42">
        <v>0</v>
      </c>
      <c r="X8035" s="42">
        <v>0</v>
      </c>
    </row>
    <row r="8036" spans="1:24">
      <c r="A8036" s="27" t="s">
        <v>14535</v>
      </c>
      <c r="B8036" s="28" t="s">
        <v>12240</v>
      </c>
      <c r="C8036" s="27" t="s">
        <v>14536</v>
      </c>
      <c r="D8036" s="27" t="s">
        <v>230</v>
      </c>
      <c r="E8036" s="29">
        <v>40843</v>
      </c>
      <c r="F8036" s="27">
        <v>15</v>
      </c>
      <c r="G8036" s="18">
        <v>52354.61</v>
      </c>
      <c r="H8036" s="27">
        <f t="shared" si="250"/>
        <v>0</v>
      </c>
      <c r="I8036" s="18">
        <v>30310.09</v>
      </c>
      <c r="J8036" s="27">
        <v>52354.61</v>
      </c>
      <c r="K8036" s="18">
        <f t="shared" si="251"/>
        <v>0</v>
      </c>
      <c r="L8036" s="27">
        <v>32790.11</v>
      </c>
      <c r="M8036" s="36">
        <v>2480.02</v>
      </c>
      <c r="T8036" s="41">
        <v>0</v>
      </c>
      <c r="U8036" s="41">
        <v>0</v>
      </c>
      <c r="V8036" s="42" t="s">
        <v>113</v>
      </c>
      <c r="W8036" s="42">
        <v>0</v>
      </c>
      <c r="X8036" s="42">
        <v>0</v>
      </c>
    </row>
    <row r="8037" spans="1:24">
      <c r="A8037" s="27" t="s">
        <v>14537</v>
      </c>
      <c r="B8037" s="28" t="s">
        <v>12240</v>
      </c>
      <c r="C8037" s="27" t="s">
        <v>14538</v>
      </c>
      <c r="D8037" s="27" t="s">
        <v>230</v>
      </c>
      <c r="E8037" s="29">
        <v>40843</v>
      </c>
      <c r="F8037" s="27">
        <v>15</v>
      </c>
      <c r="G8037" s="18">
        <v>58929.82</v>
      </c>
      <c r="H8037" s="27">
        <f t="shared" si="250"/>
        <v>0</v>
      </c>
      <c r="I8037" s="18">
        <v>34116.730000000003</v>
      </c>
      <c r="J8037" s="27">
        <v>58929.82</v>
      </c>
      <c r="K8037" s="18">
        <f t="shared" si="251"/>
        <v>0</v>
      </c>
      <c r="L8037" s="27">
        <v>36908.21</v>
      </c>
      <c r="M8037" s="36">
        <v>2791.48</v>
      </c>
      <c r="T8037" s="41">
        <v>0</v>
      </c>
      <c r="U8037" s="41">
        <v>0</v>
      </c>
      <c r="V8037" s="42" t="s">
        <v>113</v>
      </c>
      <c r="W8037" s="42">
        <v>0</v>
      </c>
      <c r="X8037" s="42">
        <v>0</v>
      </c>
    </row>
    <row r="8038" spans="1:24">
      <c r="A8038" s="27" t="s">
        <v>14539</v>
      </c>
      <c r="B8038" s="28" t="s">
        <v>12240</v>
      </c>
      <c r="C8038" s="27" t="s">
        <v>14540</v>
      </c>
      <c r="D8038" s="27" t="s">
        <v>230</v>
      </c>
      <c r="E8038" s="29">
        <v>40843</v>
      </c>
      <c r="F8038" s="27">
        <v>15</v>
      </c>
      <c r="G8038" s="18">
        <v>58929.83</v>
      </c>
      <c r="H8038" s="27">
        <f t="shared" si="250"/>
        <v>0</v>
      </c>
      <c r="I8038" s="18">
        <v>34116.730000000003</v>
      </c>
      <c r="J8038" s="27">
        <v>58929.83</v>
      </c>
      <c r="K8038" s="18">
        <f t="shared" si="251"/>
        <v>0</v>
      </c>
      <c r="L8038" s="27">
        <v>36908.21</v>
      </c>
      <c r="M8038" s="36">
        <v>2791.48</v>
      </c>
      <c r="T8038" s="41">
        <v>0</v>
      </c>
      <c r="U8038" s="41">
        <v>0</v>
      </c>
      <c r="V8038" s="42" t="s">
        <v>113</v>
      </c>
      <c r="W8038" s="42">
        <v>0</v>
      </c>
      <c r="X8038" s="42">
        <v>0</v>
      </c>
    </row>
    <row r="8039" spans="1:24">
      <c r="A8039" s="27" t="s">
        <v>14541</v>
      </c>
      <c r="B8039" s="28" t="s">
        <v>12240</v>
      </c>
      <c r="C8039" s="27" t="s">
        <v>14542</v>
      </c>
      <c r="D8039" s="27" t="s">
        <v>230</v>
      </c>
      <c r="E8039" s="29">
        <v>40843</v>
      </c>
      <c r="F8039" s="27">
        <v>15</v>
      </c>
      <c r="G8039" s="18">
        <v>68497.19</v>
      </c>
      <c r="H8039" s="27">
        <f t="shared" si="250"/>
        <v>0</v>
      </c>
      <c r="I8039" s="18">
        <v>39661.82</v>
      </c>
      <c r="J8039" s="27">
        <v>68497.19</v>
      </c>
      <c r="K8039" s="18">
        <f t="shared" si="251"/>
        <v>0</v>
      </c>
      <c r="L8039" s="27">
        <v>42905.71</v>
      </c>
      <c r="M8039" s="36">
        <v>3243.89</v>
      </c>
      <c r="T8039" s="41">
        <v>0</v>
      </c>
      <c r="U8039" s="41">
        <v>0</v>
      </c>
      <c r="V8039" s="42" t="s">
        <v>113</v>
      </c>
      <c r="W8039" s="42">
        <v>0</v>
      </c>
      <c r="X8039" s="42">
        <v>0</v>
      </c>
    </row>
    <row r="8040" spans="1:24">
      <c r="A8040" s="27" t="s">
        <v>14543</v>
      </c>
      <c r="B8040" s="28" t="s">
        <v>12240</v>
      </c>
      <c r="C8040" s="27" t="s">
        <v>14544</v>
      </c>
      <c r="D8040" s="27" t="s">
        <v>230</v>
      </c>
      <c r="E8040" s="29">
        <v>40843</v>
      </c>
      <c r="F8040" s="27">
        <v>15</v>
      </c>
      <c r="G8040" s="18">
        <v>1052294.95</v>
      </c>
      <c r="H8040" s="27">
        <f t="shared" si="250"/>
        <v>0</v>
      </c>
      <c r="I8040" s="18">
        <v>608761.41</v>
      </c>
      <c r="J8040" s="27">
        <v>1052294.95</v>
      </c>
      <c r="K8040" s="18">
        <f t="shared" si="251"/>
        <v>0</v>
      </c>
      <c r="L8040" s="27">
        <v>658665.93999999994</v>
      </c>
      <c r="M8040" s="36">
        <v>49904.53</v>
      </c>
      <c r="T8040" s="41">
        <v>0</v>
      </c>
      <c r="U8040" s="41">
        <v>0</v>
      </c>
      <c r="V8040" s="42" t="s">
        <v>113</v>
      </c>
      <c r="W8040" s="42">
        <v>0</v>
      </c>
      <c r="X8040" s="42">
        <v>0</v>
      </c>
    </row>
    <row r="8041" spans="1:24">
      <c r="A8041" s="27" t="s">
        <v>14545</v>
      </c>
      <c r="B8041" s="28" t="s">
        <v>12240</v>
      </c>
      <c r="C8041" s="27" t="s">
        <v>14546</v>
      </c>
      <c r="D8041" s="27" t="s">
        <v>230</v>
      </c>
      <c r="E8041" s="29">
        <v>40843</v>
      </c>
      <c r="F8041" s="27">
        <v>15</v>
      </c>
      <c r="G8041" s="18">
        <v>161057.5</v>
      </c>
      <c r="H8041" s="27">
        <f t="shared" si="250"/>
        <v>0</v>
      </c>
      <c r="I8041" s="18">
        <v>93257.16</v>
      </c>
      <c r="J8041" s="27">
        <v>161057.5</v>
      </c>
      <c r="K8041" s="18">
        <f t="shared" si="251"/>
        <v>0</v>
      </c>
      <c r="L8041" s="27">
        <v>100884.5</v>
      </c>
      <c r="M8041" s="36">
        <v>7627.34</v>
      </c>
      <c r="T8041" s="41">
        <v>0</v>
      </c>
      <c r="U8041" s="41">
        <v>0</v>
      </c>
      <c r="V8041" s="42" t="s">
        <v>113</v>
      </c>
      <c r="W8041" s="42">
        <v>0</v>
      </c>
      <c r="X8041" s="42">
        <v>0</v>
      </c>
    </row>
    <row r="8042" spans="1:24">
      <c r="A8042" s="27" t="s">
        <v>14547</v>
      </c>
      <c r="B8042" s="28" t="s">
        <v>12240</v>
      </c>
      <c r="C8042" s="27" t="s">
        <v>14548</v>
      </c>
      <c r="D8042" s="27" t="s">
        <v>5104</v>
      </c>
      <c r="E8042" s="29">
        <v>40843</v>
      </c>
      <c r="F8042" s="27">
        <v>15</v>
      </c>
      <c r="G8042" s="18">
        <v>51772.2</v>
      </c>
      <c r="H8042" s="27">
        <f t="shared" si="250"/>
        <v>0</v>
      </c>
      <c r="I8042" s="18">
        <v>29975.58</v>
      </c>
      <c r="J8042" s="27">
        <v>51772.2</v>
      </c>
      <c r="K8042" s="18">
        <f t="shared" si="251"/>
        <v>0</v>
      </c>
      <c r="L8042" s="27">
        <v>32427.67</v>
      </c>
      <c r="M8042" s="36">
        <v>2452.09</v>
      </c>
      <c r="T8042" s="41">
        <v>0</v>
      </c>
      <c r="U8042" s="41">
        <v>0</v>
      </c>
      <c r="V8042" s="42" t="s">
        <v>113</v>
      </c>
      <c r="W8042" s="42">
        <v>0</v>
      </c>
      <c r="X8042" s="42">
        <v>0</v>
      </c>
    </row>
    <row r="8043" spans="1:24">
      <c r="A8043" s="27" t="s">
        <v>14549</v>
      </c>
      <c r="B8043" s="28" t="s">
        <v>12240</v>
      </c>
      <c r="C8043" s="27" t="s">
        <v>14550</v>
      </c>
      <c r="D8043" s="27" t="s">
        <v>5104</v>
      </c>
      <c r="E8043" s="29">
        <v>40843</v>
      </c>
      <c r="F8043" s="27">
        <v>15</v>
      </c>
      <c r="G8043" s="18">
        <v>51772.19</v>
      </c>
      <c r="H8043" s="27">
        <f t="shared" si="250"/>
        <v>0</v>
      </c>
      <c r="I8043" s="18">
        <v>29975.58</v>
      </c>
      <c r="J8043" s="27">
        <v>51772.19</v>
      </c>
      <c r="K8043" s="18">
        <f t="shared" si="251"/>
        <v>0</v>
      </c>
      <c r="L8043" s="27">
        <v>32427.67</v>
      </c>
      <c r="M8043" s="36">
        <v>2452.09</v>
      </c>
      <c r="T8043" s="41">
        <v>0</v>
      </c>
      <c r="U8043" s="41">
        <v>0</v>
      </c>
      <c r="V8043" s="42" t="s">
        <v>113</v>
      </c>
      <c r="W8043" s="42">
        <v>0</v>
      </c>
      <c r="X8043" s="42">
        <v>0</v>
      </c>
    </row>
    <row r="8044" spans="1:24">
      <c r="A8044" s="27" t="s">
        <v>14551</v>
      </c>
      <c r="B8044" s="28" t="s">
        <v>12240</v>
      </c>
      <c r="C8044" s="27" t="s">
        <v>14552</v>
      </c>
      <c r="D8044" s="27" t="s">
        <v>5104</v>
      </c>
      <c r="E8044" s="29">
        <v>40843</v>
      </c>
      <c r="F8044" s="27">
        <v>15</v>
      </c>
      <c r="G8044" s="18">
        <v>46304.49</v>
      </c>
      <c r="H8044" s="27">
        <f t="shared" si="250"/>
        <v>0</v>
      </c>
      <c r="I8044" s="18">
        <v>26809.84</v>
      </c>
      <c r="J8044" s="27">
        <v>46304.49</v>
      </c>
      <c r="K8044" s="18">
        <f t="shared" si="251"/>
        <v>0</v>
      </c>
      <c r="L8044" s="27">
        <v>29002.959999999999</v>
      </c>
      <c r="M8044" s="36">
        <v>2193.12</v>
      </c>
      <c r="T8044" s="41">
        <v>0</v>
      </c>
      <c r="U8044" s="41">
        <v>0</v>
      </c>
      <c r="V8044" s="42" t="s">
        <v>113</v>
      </c>
      <c r="W8044" s="42">
        <v>0</v>
      </c>
      <c r="X8044" s="42">
        <v>0</v>
      </c>
    </row>
    <row r="8045" spans="1:24">
      <c r="A8045" s="27" t="s">
        <v>14553</v>
      </c>
      <c r="B8045" s="28" t="s">
        <v>12240</v>
      </c>
      <c r="C8045" s="27" t="s">
        <v>14554</v>
      </c>
      <c r="D8045" s="27" t="s">
        <v>5104</v>
      </c>
      <c r="E8045" s="29">
        <v>40843</v>
      </c>
      <c r="F8045" s="27">
        <v>15</v>
      </c>
      <c r="G8045" s="18">
        <v>1051357.06</v>
      </c>
      <c r="H8045" s="27">
        <f t="shared" si="250"/>
        <v>0</v>
      </c>
      <c r="I8045" s="18">
        <v>608767.52</v>
      </c>
      <c r="J8045" s="27">
        <v>1051357.06</v>
      </c>
      <c r="K8045" s="18">
        <f t="shared" si="251"/>
        <v>0</v>
      </c>
      <c r="L8045" s="27">
        <v>658557.52</v>
      </c>
      <c r="M8045" s="36">
        <v>49790</v>
      </c>
      <c r="T8045" s="41">
        <v>0</v>
      </c>
      <c r="U8045" s="41">
        <v>0</v>
      </c>
      <c r="V8045" s="42" t="s">
        <v>113</v>
      </c>
      <c r="W8045" s="42">
        <v>0</v>
      </c>
      <c r="X8045" s="42">
        <v>0</v>
      </c>
    </row>
    <row r="8046" spans="1:24">
      <c r="A8046" s="27" t="s">
        <v>14555</v>
      </c>
      <c r="B8046" s="28" t="s">
        <v>12240</v>
      </c>
      <c r="C8046" s="27" t="s">
        <v>14556</v>
      </c>
      <c r="D8046" s="27" t="s">
        <v>230</v>
      </c>
      <c r="E8046" s="29">
        <v>40843</v>
      </c>
      <c r="F8046" s="27">
        <v>15</v>
      </c>
      <c r="G8046" s="18">
        <v>55063.360000000001</v>
      </c>
      <c r="H8046" s="27">
        <f t="shared" si="250"/>
        <v>0</v>
      </c>
      <c r="I8046" s="18">
        <v>31883.35</v>
      </c>
      <c r="J8046" s="27">
        <v>55063.360000000001</v>
      </c>
      <c r="K8046" s="18">
        <f t="shared" si="251"/>
        <v>0</v>
      </c>
      <c r="L8046" s="27">
        <v>34491.03</v>
      </c>
      <c r="M8046" s="36">
        <v>2607.6799999999998</v>
      </c>
      <c r="T8046" s="41">
        <v>0</v>
      </c>
      <c r="U8046" s="41">
        <v>0</v>
      </c>
      <c r="V8046" s="42" t="s">
        <v>113</v>
      </c>
      <c r="W8046" s="42">
        <v>0</v>
      </c>
      <c r="X8046" s="42">
        <v>0</v>
      </c>
    </row>
    <row r="8047" spans="1:24">
      <c r="A8047" s="27" t="s">
        <v>14557</v>
      </c>
      <c r="B8047" s="28" t="s">
        <v>12240</v>
      </c>
      <c r="C8047" s="27" t="s">
        <v>14558</v>
      </c>
      <c r="D8047" s="27" t="s">
        <v>5104</v>
      </c>
      <c r="E8047" s="29">
        <v>40843</v>
      </c>
      <c r="F8047" s="27">
        <v>15</v>
      </c>
      <c r="G8047" s="18">
        <v>48409.25</v>
      </c>
      <c r="H8047" s="27">
        <f t="shared" si="250"/>
        <v>0</v>
      </c>
      <c r="I8047" s="18">
        <v>28029.22</v>
      </c>
      <c r="J8047" s="27">
        <v>48409.25</v>
      </c>
      <c r="K8047" s="18">
        <f t="shared" si="251"/>
        <v>0</v>
      </c>
      <c r="L8047" s="27">
        <v>30321.93</v>
      </c>
      <c r="M8047" s="36">
        <v>2292.71</v>
      </c>
      <c r="T8047" s="41">
        <v>0</v>
      </c>
      <c r="U8047" s="41">
        <v>0</v>
      </c>
      <c r="V8047" s="42" t="s">
        <v>113</v>
      </c>
      <c r="W8047" s="42">
        <v>0</v>
      </c>
      <c r="X8047" s="42">
        <v>0</v>
      </c>
    </row>
    <row r="8048" spans="1:24">
      <c r="A8048" s="27" t="s">
        <v>14559</v>
      </c>
      <c r="B8048" s="28" t="s">
        <v>12240</v>
      </c>
      <c r="C8048" s="27" t="s">
        <v>14560</v>
      </c>
      <c r="D8048" s="27" t="s">
        <v>5104</v>
      </c>
      <c r="E8048" s="29">
        <v>40843</v>
      </c>
      <c r="F8048" s="27">
        <v>15</v>
      </c>
      <c r="G8048" s="18">
        <v>48409.25</v>
      </c>
      <c r="H8048" s="27">
        <f t="shared" si="250"/>
        <v>0</v>
      </c>
      <c r="I8048" s="18">
        <v>28029.22</v>
      </c>
      <c r="J8048" s="27">
        <v>48409.25</v>
      </c>
      <c r="K8048" s="18">
        <f t="shared" si="251"/>
        <v>0</v>
      </c>
      <c r="L8048" s="27">
        <v>30321.93</v>
      </c>
      <c r="M8048" s="36">
        <v>2292.71</v>
      </c>
      <c r="T8048" s="41">
        <v>0</v>
      </c>
      <c r="U8048" s="41">
        <v>0</v>
      </c>
      <c r="V8048" s="42" t="s">
        <v>113</v>
      </c>
      <c r="W8048" s="42">
        <v>0</v>
      </c>
      <c r="X8048" s="42">
        <v>0</v>
      </c>
    </row>
    <row r="8049" spans="1:24">
      <c r="A8049" s="27" t="s">
        <v>14561</v>
      </c>
      <c r="B8049" s="28" t="s">
        <v>12240</v>
      </c>
      <c r="C8049" s="27" t="s">
        <v>14562</v>
      </c>
      <c r="D8049" s="27" t="s">
        <v>5104</v>
      </c>
      <c r="E8049" s="29">
        <v>40843</v>
      </c>
      <c r="F8049" s="27">
        <v>15</v>
      </c>
      <c r="G8049" s="18">
        <v>32474.84</v>
      </c>
      <c r="H8049" s="27">
        <f t="shared" si="250"/>
        <v>0</v>
      </c>
      <c r="I8049" s="18">
        <v>18803.099999999999</v>
      </c>
      <c r="J8049" s="27">
        <v>32474.84</v>
      </c>
      <c r="K8049" s="18">
        <f t="shared" si="251"/>
        <v>0</v>
      </c>
      <c r="L8049" s="27">
        <v>20341.14</v>
      </c>
      <c r="M8049" s="36">
        <v>1538.04</v>
      </c>
      <c r="T8049" s="41">
        <v>0</v>
      </c>
      <c r="U8049" s="41">
        <v>0</v>
      </c>
      <c r="V8049" s="42" t="s">
        <v>113</v>
      </c>
      <c r="W8049" s="42">
        <v>0</v>
      </c>
      <c r="X8049" s="42">
        <v>0</v>
      </c>
    </row>
    <row r="8050" spans="1:24">
      <c r="A8050" s="27" t="s">
        <v>14563</v>
      </c>
      <c r="B8050" s="28" t="s">
        <v>12240</v>
      </c>
      <c r="C8050" s="27" t="s">
        <v>14564</v>
      </c>
      <c r="D8050" s="27" t="s">
        <v>230</v>
      </c>
      <c r="E8050" s="29">
        <v>40843</v>
      </c>
      <c r="F8050" s="27">
        <v>15</v>
      </c>
      <c r="G8050" s="18">
        <v>66264.009999999995</v>
      </c>
      <c r="H8050" s="27">
        <f t="shared" si="250"/>
        <v>0</v>
      </c>
      <c r="I8050" s="18">
        <v>38366.93</v>
      </c>
      <c r="J8050" s="27">
        <v>66264.009999999995</v>
      </c>
      <c r="K8050" s="18">
        <f t="shared" si="251"/>
        <v>0</v>
      </c>
      <c r="L8050" s="27">
        <v>41505.300000000003</v>
      </c>
      <c r="M8050" s="36">
        <v>3138.37</v>
      </c>
      <c r="T8050" s="41">
        <v>0</v>
      </c>
      <c r="U8050" s="41">
        <v>0</v>
      </c>
      <c r="V8050" s="42" t="s">
        <v>113</v>
      </c>
      <c r="W8050" s="42">
        <v>0</v>
      </c>
      <c r="X8050" s="42">
        <v>0</v>
      </c>
    </row>
    <row r="8051" spans="1:24">
      <c r="A8051" s="27" t="s">
        <v>14565</v>
      </c>
      <c r="B8051" s="28" t="s">
        <v>12240</v>
      </c>
      <c r="C8051" s="27" t="s">
        <v>14566</v>
      </c>
      <c r="D8051" s="27" t="s">
        <v>5104</v>
      </c>
      <c r="E8051" s="29">
        <v>40843</v>
      </c>
      <c r="F8051" s="27">
        <v>15</v>
      </c>
      <c r="G8051" s="18">
        <v>60858.73</v>
      </c>
      <c r="H8051" s="27">
        <f t="shared" si="250"/>
        <v>0</v>
      </c>
      <c r="I8051" s="18">
        <v>35239.050000000003</v>
      </c>
      <c r="J8051" s="27">
        <v>60858.73</v>
      </c>
      <c r="K8051" s="18">
        <f t="shared" si="251"/>
        <v>0</v>
      </c>
      <c r="L8051" s="27">
        <v>38121.19</v>
      </c>
      <c r="M8051" s="36">
        <v>2882.14</v>
      </c>
      <c r="T8051" s="41">
        <v>0</v>
      </c>
      <c r="U8051" s="41">
        <v>0</v>
      </c>
      <c r="V8051" s="42" t="s">
        <v>113</v>
      </c>
      <c r="W8051" s="42">
        <v>0</v>
      </c>
      <c r="X8051" s="42">
        <v>0</v>
      </c>
    </row>
    <row r="8052" spans="1:24">
      <c r="A8052" s="27" t="s">
        <v>14567</v>
      </c>
      <c r="B8052" s="28" t="s">
        <v>12240</v>
      </c>
      <c r="C8052" s="27" t="s">
        <v>14568</v>
      </c>
      <c r="D8052" s="27" t="s">
        <v>230</v>
      </c>
      <c r="E8052" s="29">
        <v>40843</v>
      </c>
      <c r="F8052" s="27">
        <v>15</v>
      </c>
      <c r="G8052" s="18">
        <v>55337.27</v>
      </c>
      <c r="H8052" s="27">
        <f t="shared" si="250"/>
        <v>0</v>
      </c>
      <c r="I8052" s="18">
        <v>32041.95</v>
      </c>
      <c r="J8052" s="27">
        <v>55337.27</v>
      </c>
      <c r="K8052" s="18">
        <f t="shared" si="251"/>
        <v>0</v>
      </c>
      <c r="L8052" s="27">
        <v>34662.6</v>
      </c>
      <c r="M8052" s="36">
        <v>2620.65</v>
      </c>
      <c r="T8052" s="41">
        <v>0</v>
      </c>
      <c r="U8052" s="41">
        <v>0</v>
      </c>
      <c r="V8052" s="42" t="s">
        <v>113</v>
      </c>
      <c r="W8052" s="42">
        <v>0</v>
      </c>
      <c r="X8052" s="42">
        <v>0</v>
      </c>
    </row>
    <row r="8053" spans="1:24">
      <c r="A8053" s="27" t="s">
        <v>14569</v>
      </c>
      <c r="B8053" s="28" t="s">
        <v>12240</v>
      </c>
      <c r="C8053" s="27" t="s">
        <v>14570</v>
      </c>
      <c r="D8053" s="27" t="s">
        <v>5104</v>
      </c>
      <c r="E8053" s="29">
        <v>40843</v>
      </c>
      <c r="F8053" s="27">
        <v>15</v>
      </c>
      <c r="G8053" s="18">
        <v>49696.94</v>
      </c>
      <c r="H8053" s="27">
        <f t="shared" si="250"/>
        <v>0</v>
      </c>
      <c r="I8053" s="18">
        <v>28775.67</v>
      </c>
      <c r="J8053" s="27">
        <v>49696.94</v>
      </c>
      <c r="K8053" s="18">
        <f t="shared" si="251"/>
        <v>0</v>
      </c>
      <c r="L8053" s="27">
        <v>31129.26</v>
      </c>
      <c r="M8053" s="36">
        <v>2353.59</v>
      </c>
      <c r="T8053" s="41">
        <v>0</v>
      </c>
      <c r="U8053" s="41">
        <v>0</v>
      </c>
      <c r="V8053" s="42" t="s">
        <v>113</v>
      </c>
      <c r="W8053" s="42">
        <v>0</v>
      </c>
      <c r="X8053" s="42">
        <v>0</v>
      </c>
    </row>
    <row r="8054" spans="1:24">
      <c r="A8054" s="27" t="s">
        <v>14571</v>
      </c>
      <c r="B8054" s="28" t="s">
        <v>12240</v>
      </c>
      <c r="C8054" s="27" t="s">
        <v>14572</v>
      </c>
      <c r="D8054" s="27" t="s">
        <v>230</v>
      </c>
      <c r="E8054" s="29">
        <v>40843</v>
      </c>
      <c r="F8054" s="27">
        <v>15</v>
      </c>
      <c r="G8054" s="18">
        <v>492572.19</v>
      </c>
      <c r="H8054" s="27">
        <f t="shared" si="250"/>
        <v>0</v>
      </c>
      <c r="I8054" s="18">
        <v>285214.19</v>
      </c>
      <c r="J8054" s="27">
        <v>492572.19</v>
      </c>
      <c r="K8054" s="18">
        <f t="shared" si="251"/>
        <v>0</v>
      </c>
      <c r="L8054" s="27">
        <v>308541.34999999998</v>
      </c>
      <c r="M8054" s="36">
        <v>23327.16</v>
      </c>
      <c r="T8054" s="41">
        <v>0</v>
      </c>
      <c r="U8054" s="41">
        <v>0</v>
      </c>
      <c r="V8054" s="42" t="s">
        <v>113</v>
      </c>
      <c r="W8054" s="42">
        <v>0</v>
      </c>
      <c r="X8054" s="42">
        <v>0</v>
      </c>
    </row>
    <row r="8055" spans="1:24">
      <c r="A8055" s="27" t="s">
        <v>14573</v>
      </c>
      <c r="B8055" s="28" t="s">
        <v>12240</v>
      </c>
      <c r="C8055" s="27" t="s">
        <v>14574</v>
      </c>
      <c r="D8055" s="27" t="s">
        <v>230</v>
      </c>
      <c r="E8055" s="29">
        <v>40843</v>
      </c>
      <c r="F8055" s="27">
        <v>15</v>
      </c>
      <c r="G8055" s="18">
        <v>499894.11</v>
      </c>
      <c r="H8055" s="27">
        <f t="shared" si="250"/>
        <v>0</v>
      </c>
      <c r="I8055" s="18">
        <v>289453.81</v>
      </c>
      <c r="J8055" s="27">
        <v>499894.11</v>
      </c>
      <c r="K8055" s="18">
        <f t="shared" si="251"/>
        <v>0</v>
      </c>
      <c r="L8055" s="27">
        <v>313127.71999999997</v>
      </c>
      <c r="M8055" s="36">
        <v>23673.91</v>
      </c>
      <c r="T8055" s="41">
        <v>0</v>
      </c>
      <c r="U8055" s="41">
        <v>0</v>
      </c>
      <c r="V8055" s="42" t="s">
        <v>113</v>
      </c>
      <c r="W8055" s="42">
        <v>0</v>
      </c>
      <c r="X8055" s="42">
        <v>0</v>
      </c>
    </row>
    <row r="8056" spans="1:24">
      <c r="A8056" s="27" t="s">
        <v>14575</v>
      </c>
      <c r="B8056" s="28" t="s">
        <v>12240</v>
      </c>
      <c r="C8056" s="27" t="s">
        <v>14576</v>
      </c>
      <c r="D8056" s="27" t="s">
        <v>5104</v>
      </c>
      <c r="E8056" s="29">
        <v>40843</v>
      </c>
      <c r="F8056" s="27">
        <v>15</v>
      </c>
      <c r="G8056" s="18">
        <v>68175.429999999993</v>
      </c>
      <c r="H8056" s="27">
        <f t="shared" si="250"/>
        <v>0</v>
      </c>
      <c r="I8056" s="18">
        <v>39475.64</v>
      </c>
      <c r="J8056" s="27">
        <v>68175.429999999993</v>
      </c>
      <c r="K8056" s="18">
        <f t="shared" si="251"/>
        <v>0</v>
      </c>
      <c r="L8056" s="27">
        <v>42704.28</v>
      </c>
      <c r="M8056" s="36">
        <v>3228.64</v>
      </c>
      <c r="T8056" s="41">
        <v>0</v>
      </c>
      <c r="U8056" s="41">
        <v>0</v>
      </c>
      <c r="V8056" s="42" t="s">
        <v>113</v>
      </c>
      <c r="W8056" s="42">
        <v>0</v>
      </c>
      <c r="X8056" s="42">
        <v>0</v>
      </c>
    </row>
    <row r="8057" spans="1:24">
      <c r="A8057" s="27" t="s">
        <v>14577</v>
      </c>
      <c r="B8057" s="28" t="s">
        <v>12240</v>
      </c>
      <c r="C8057" s="27" t="s">
        <v>14578</v>
      </c>
      <c r="D8057" s="27" t="s">
        <v>5104</v>
      </c>
      <c r="E8057" s="29">
        <v>40843</v>
      </c>
      <c r="F8057" s="27">
        <v>15</v>
      </c>
      <c r="G8057" s="18">
        <v>51003.54</v>
      </c>
      <c r="H8057" s="27">
        <f t="shared" si="250"/>
        <v>0</v>
      </c>
      <c r="I8057" s="18">
        <v>29532.59</v>
      </c>
      <c r="J8057" s="27">
        <v>51003.54</v>
      </c>
      <c r="K8057" s="18">
        <f t="shared" si="251"/>
        <v>0</v>
      </c>
      <c r="L8057" s="27">
        <v>31948.01</v>
      </c>
      <c r="M8057" s="36">
        <v>2415.42</v>
      </c>
      <c r="T8057" s="41">
        <v>0</v>
      </c>
      <c r="U8057" s="41">
        <v>0</v>
      </c>
      <c r="V8057" s="42" t="s">
        <v>113</v>
      </c>
      <c r="W8057" s="42">
        <v>0</v>
      </c>
      <c r="X8057" s="42">
        <v>0</v>
      </c>
    </row>
    <row r="8058" spans="1:24">
      <c r="A8058" s="27" t="s">
        <v>14579</v>
      </c>
      <c r="B8058" s="28" t="s">
        <v>12240</v>
      </c>
      <c r="C8058" s="27" t="s">
        <v>14580</v>
      </c>
      <c r="D8058" s="27" t="s">
        <v>5104</v>
      </c>
      <c r="E8058" s="29">
        <v>40843</v>
      </c>
      <c r="F8058" s="27">
        <v>15</v>
      </c>
      <c r="G8058" s="18">
        <v>35587.919999999998</v>
      </c>
      <c r="H8058" s="27">
        <f t="shared" si="250"/>
        <v>0</v>
      </c>
      <c r="I8058" s="18">
        <v>20606.490000000002</v>
      </c>
      <c r="J8058" s="27">
        <v>35587.919999999998</v>
      </c>
      <c r="K8058" s="18">
        <f t="shared" si="251"/>
        <v>0</v>
      </c>
      <c r="L8058" s="27">
        <v>22291.86</v>
      </c>
      <c r="M8058" s="36">
        <v>1685.37</v>
      </c>
      <c r="T8058" s="41">
        <v>0</v>
      </c>
      <c r="U8058" s="41">
        <v>0</v>
      </c>
      <c r="V8058" s="42" t="s">
        <v>113</v>
      </c>
      <c r="W8058" s="42">
        <v>0</v>
      </c>
      <c r="X8058" s="42">
        <v>0</v>
      </c>
    </row>
    <row r="8059" spans="1:24">
      <c r="A8059" s="27" t="s">
        <v>14581</v>
      </c>
      <c r="B8059" s="28" t="s">
        <v>12240</v>
      </c>
      <c r="C8059" s="27" t="s">
        <v>14582</v>
      </c>
      <c r="D8059" s="27" t="s">
        <v>230</v>
      </c>
      <c r="E8059" s="29">
        <v>40843</v>
      </c>
      <c r="F8059" s="27">
        <v>15</v>
      </c>
      <c r="G8059" s="18">
        <v>39235.51</v>
      </c>
      <c r="H8059" s="27">
        <f t="shared" si="250"/>
        <v>0</v>
      </c>
      <c r="I8059" s="18">
        <v>22718.560000000001</v>
      </c>
      <c r="J8059" s="27">
        <v>39235.51</v>
      </c>
      <c r="K8059" s="18">
        <f t="shared" si="251"/>
        <v>0</v>
      </c>
      <c r="L8059" s="27">
        <v>24576.67</v>
      </c>
      <c r="M8059" s="36">
        <v>1858.11</v>
      </c>
      <c r="T8059" s="41">
        <v>0</v>
      </c>
      <c r="U8059" s="41">
        <v>0</v>
      </c>
      <c r="V8059" s="42" t="s">
        <v>113</v>
      </c>
      <c r="W8059" s="42">
        <v>0</v>
      </c>
      <c r="X8059" s="42">
        <v>0</v>
      </c>
    </row>
    <row r="8060" spans="1:24">
      <c r="A8060" s="27" t="s">
        <v>14583</v>
      </c>
      <c r="B8060" s="28" t="s">
        <v>12240</v>
      </c>
      <c r="C8060" s="27" t="s">
        <v>14584</v>
      </c>
      <c r="D8060" s="27" t="s">
        <v>5104</v>
      </c>
      <c r="E8060" s="29">
        <v>40843</v>
      </c>
      <c r="F8060" s="27">
        <v>15</v>
      </c>
      <c r="G8060" s="18">
        <v>39235.51</v>
      </c>
      <c r="H8060" s="27">
        <f t="shared" si="250"/>
        <v>0</v>
      </c>
      <c r="I8060" s="18">
        <v>22718.560000000001</v>
      </c>
      <c r="J8060" s="27">
        <v>39235.51</v>
      </c>
      <c r="K8060" s="18">
        <f t="shared" si="251"/>
        <v>0</v>
      </c>
      <c r="L8060" s="27">
        <v>24576.67</v>
      </c>
      <c r="M8060" s="36">
        <v>1858.11</v>
      </c>
      <c r="T8060" s="41">
        <v>0</v>
      </c>
      <c r="U8060" s="41">
        <v>0</v>
      </c>
      <c r="V8060" s="42" t="s">
        <v>113</v>
      </c>
      <c r="W8060" s="42">
        <v>0</v>
      </c>
      <c r="X8060" s="42">
        <v>0</v>
      </c>
    </row>
    <row r="8061" spans="1:24">
      <c r="A8061" s="27" t="s">
        <v>14585</v>
      </c>
      <c r="B8061" s="28" t="s">
        <v>12240</v>
      </c>
      <c r="C8061" s="27" t="s">
        <v>14586</v>
      </c>
      <c r="D8061" s="27" t="s">
        <v>230</v>
      </c>
      <c r="E8061" s="29">
        <v>40843</v>
      </c>
      <c r="F8061" s="27">
        <v>15</v>
      </c>
      <c r="G8061" s="18">
        <v>114174.78</v>
      </c>
      <c r="H8061" s="27">
        <f t="shared" si="250"/>
        <v>0</v>
      </c>
      <c r="I8061" s="18">
        <v>66110.649999999994</v>
      </c>
      <c r="J8061" s="27">
        <v>114174.78</v>
      </c>
      <c r="K8061" s="18">
        <f t="shared" si="251"/>
        <v>0</v>
      </c>
      <c r="L8061" s="27">
        <v>71517.72</v>
      </c>
      <c r="M8061" s="36">
        <v>5407.07</v>
      </c>
      <c r="T8061" s="41">
        <v>0</v>
      </c>
      <c r="U8061" s="41">
        <v>0</v>
      </c>
      <c r="V8061" s="42" t="s">
        <v>113</v>
      </c>
      <c r="W8061" s="42">
        <v>0</v>
      </c>
      <c r="X8061" s="42">
        <v>0</v>
      </c>
    </row>
    <row r="8062" spans="1:24">
      <c r="A8062" s="27" t="s">
        <v>14587</v>
      </c>
      <c r="B8062" s="28" t="s">
        <v>12240</v>
      </c>
      <c r="C8062" s="27" t="s">
        <v>14588</v>
      </c>
      <c r="D8062" s="27" t="s">
        <v>230</v>
      </c>
      <c r="E8062" s="29">
        <v>40843</v>
      </c>
      <c r="F8062" s="27">
        <v>15</v>
      </c>
      <c r="G8062" s="18">
        <v>114174.8</v>
      </c>
      <c r="H8062" s="27">
        <f t="shared" si="250"/>
        <v>0</v>
      </c>
      <c r="I8062" s="18">
        <v>66110.66</v>
      </c>
      <c r="J8062" s="27">
        <v>114174.8</v>
      </c>
      <c r="K8062" s="18">
        <f t="shared" si="251"/>
        <v>0</v>
      </c>
      <c r="L8062" s="27">
        <v>71517.73</v>
      </c>
      <c r="M8062" s="36">
        <v>5407.07</v>
      </c>
      <c r="T8062" s="41">
        <v>0</v>
      </c>
      <c r="U8062" s="41">
        <v>0</v>
      </c>
      <c r="V8062" s="42" t="s">
        <v>113</v>
      </c>
      <c r="W8062" s="42">
        <v>0</v>
      </c>
      <c r="X8062" s="42">
        <v>0</v>
      </c>
    </row>
    <row r="8063" spans="1:24">
      <c r="A8063" s="27" t="s">
        <v>14589</v>
      </c>
      <c r="B8063" s="28" t="s">
        <v>12240</v>
      </c>
      <c r="C8063" s="27" t="s">
        <v>14590</v>
      </c>
      <c r="D8063" s="27" t="s">
        <v>230</v>
      </c>
      <c r="E8063" s="29">
        <v>40843</v>
      </c>
      <c r="F8063" s="27">
        <v>15</v>
      </c>
      <c r="G8063" s="18">
        <v>153550.48000000001</v>
      </c>
      <c r="H8063" s="27">
        <f t="shared" si="250"/>
        <v>0</v>
      </c>
      <c r="I8063" s="18">
        <v>88910.36</v>
      </c>
      <c r="J8063" s="27">
        <v>153550.48000000001</v>
      </c>
      <c r="K8063" s="18">
        <f t="shared" si="251"/>
        <v>0</v>
      </c>
      <c r="L8063" s="27">
        <v>96182.18</v>
      </c>
      <c r="M8063" s="36">
        <v>7271.82</v>
      </c>
      <c r="T8063" s="41">
        <v>0</v>
      </c>
      <c r="U8063" s="41">
        <v>0</v>
      </c>
      <c r="V8063" s="42" t="s">
        <v>113</v>
      </c>
      <c r="W8063" s="42">
        <v>0</v>
      </c>
      <c r="X8063" s="42">
        <v>0</v>
      </c>
    </row>
    <row r="8064" spans="1:24">
      <c r="A8064" s="27" t="s">
        <v>14591</v>
      </c>
      <c r="B8064" s="28" t="s">
        <v>12240</v>
      </c>
      <c r="C8064" s="27" t="s">
        <v>14592</v>
      </c>
      <c r="D8064" s="27" t="s">
        <v>230</v>
      </c>
      <c r="E8064" s="29">
        <v>40843</v>
      </c>
      <c r="F8064" s="27">
        <v>15</v>
      </c>
      <c r="G8064" s="18">
        <v>15191.42</v>
      </c>
      <c r="H8064" s="27">
        <f t="shared" si="250"/>
        <v>0</v>
      </c>
      <c r="I8064" s="18">
        <v>8796.2999999999993</v>
      </c>
      <c r="J8064" s="27">
        <v>15191.42</v>
      </c>
      <c r="K8064" s="18">
        <f t="shared" si="251"/>
        <v>0</v>
      </c>
      <c r="L8064" s="27">
        <v>9515.73</v>
      </c>
      <c r="M8064" s="36">
        <v>719.43</v>
      </c>
      <c r="T8064" s="41">
        <v>0</v>
      </c>
      <c r="U8064" s="41">
        <v>0</v>
      </c>
      <c r="V8064" s="42" t="s">
        <v>113</v>
      </c>
      <c r="W8064" s="42">
        <v>0</v>
      </c>
      <c r="X8064" s="42">
        <v>0</v>
      </c>
    </row>
    <row r="8065" spans="1:24">
      <c r="A8065" s="27" t="s">
        <v>14593</v>
      </c>
      <c r="B8065" s="28" t="s">
        <v>12240</v>
      </c>
      <c r="C8065" s="27" t="s">
        <v>14594</v>
      </c>
      <c r="D8065" s="27" t="s">
        <v>5104</v>
      </c>
      <c r="E8065" s="29">
        <v>40843</v>
      </c>
      <c r="F8065" s="27">
        <v>15</v>
      </c>
      <c r="G8065" s="18">
        <v>15191.42</v>
      </c>
      <c r="H8065" s="27">
        <f t="shared" si="250"/>
        <v>0</v>
      </c>
      <c r="I8065" s="18">
        <v>8796.2999999999993</v>
      </c>
      <c r="J8065" s="27">
        <v>15191.42</v>
      </c>
      <c r="K8065" s="18">
        <f t="shared" si="251"/>
        <v>0</v>
      </c>
      <c r="L8065" s="27">
        <v>9515.73</v>
      </c>
      <c r="M8065" s="36">
        <v>719.43</v>
      </c>
      <c r="T8065" s="41">
        <v>0</v>
      </c>
      <c r="U8065" s="41">
        <v>0</v>
      </c>
      <c r="V8065" s="42" t="s">
        <v>113</v>
      </c>
      <c r="W8065" s="42">
        <v>0</v>
      </c>
      <c r="X8065" s="42">
        <v>0</v>
      </c>
    </row>
    <row r="8066" spans="1:24">
      <c r="A8066" s="27" t="s">
        <v>14595</v>
      </c>
      <c r="B8066" s="28" t="s">
        <v>12240</v>
      </c>
      <c r="C8066" s="27" t="s">
        <v>14596</v>
      </c>
      <c r="D8066" s="27" t="s">
        <v>230</v>
      </c>
      <c r="E8066" s="29">
        <v>40843</v>
      </c>
      <c r="F8066" s="27">
        <v>15</v>
      </c>
      <c r="G8066" s="18">
        <v>9263.11</v>
      </c>
      <c r="H8066" s="27">
        <f t="shared" si="250"/>
        <v>0</v>
      </c>
      <c r="I8066" s="18">
        <v>5363.62</v>
      </c>
      <c r="J8066" s="27">
        <v>9263.11</v>
      </c>
      <c r="K8066" s="18">
        <f t="shared" si="251"/>
        <v>0</v>
      </c>
      <c r="L8066" s="27">
        <v>5802.3</v>
      </c>
      <c r="M8066" s="36">
        <v>438.68</v>
      </c>
      <c r="T8066" s="41">
        <v>0</v>
      </c>
      <c r="U8066" s="41">
        <v>0</v>
      </c>
      <c r="V8066" s="42" t="s">
        <v>113</v>
      </c>
      <c r="W8066" s="42">
        <v>0</v>
      </c>
      <c r="X8066" s="42">
        <v>0</v>
      </c>
    </row>
    <row r="8067" spans="1:24">
      <c r="A8067" s="27" t="s">
        <v>14597</v>
      </c>
      <c r="B8067" s="28" t="s">
        <v>12240</v>
      </c>
      <c r="C8067" s="27" t="s">
        <v>14598</v>
      </c>
      <c r="D8067" s="27" t="s">
        <v>230</v>
      </c>
      <c r="E8067" s="29">
        <v>40843</v>
      </c>
      <c r="F8067" s="27">
        <v>15</v>
      </c>
      <c r="G8067" s="18">
        <v>9263.11</v>
      </c>
      <c r="H8067" s="27">
        <f t="shared" si="250"/>
        <v>0</v>
      </c>
      <c r="I8067" s="18">
        <v>5363.62</v>
      </c>
      <c r="J8067" s="27">
        <v>9263.11</v>
      </c>
      <c r="K8067" s="18">
        <f t="shared" si="251"/>
        <v>0</v>
      </c>
      <c r="L8067" s="27">
        <v>5802.3</v>
      </c>
      <c r="M8067" s="36">
        <v>438.68</v>
      </c>
      <c r="T8067" s="41">
        <v>0</v>
      </c>
      <c r="U8067" s="41">
        <v>0</v>
      </c>
      <c r="V8067" s="42" t="s">
        <v>113</v>
      </c>
      <c r="W8067" s="42">
        <v>0</v>
      </c>
      <c r="X8067" s="42">
        <v>0</v>
      </c>
    </row>
    <row r="8068" spans="1:24">
      <c r="A8068" s="27" t="s">
        <v>14599</v>
      </c>
      <c r="B8068" s="28" t="s">
        <v>12240</v>
      </c>
      <c r="C8068" s="27" t="s">
        <v>14600</v>
      </c>
      <c r="D8068" s="27" t="s">
        <v>230</v>
      </c>
      <c r="E8068" s="29">
        <v>40843</v>
      </c>
      <c r="F8068" s="27">
        <v>15</v>
      </c>
      <c r="G8068" s="18">
        <v>29591.19</v>
      </c>
      <c r="H8068" s="27">
        <f t="shared" si="250"/>
        <v>0</v>
      </c>
      <c r="I8068" s="18">
        <v>17134.189999999999</v>
      </c>
      <c r="J8068" s="27">
        <v>29591.19</v>
      </c>
      <c r="K8068" s="18">
        <f t="shared" si="251"/>
        <v>0</v>
      </c>
      <c r="L8068" s="27">
        <v>18535.57</v>
      </c>
      <c r="M8068" s="36">
        <v>1401.38</v>
      </c>
      <c r="T8068" s="41">
        <v>0</v>
      </c>
      <c r="U8068" s="41">
        <v>0</v>
      </c>
      <c r="V8068" s="42" t="s">
        <v>113</v>
      </c>
      <c r="W8068" s="42">
        <v>0</v>
      </c>
      <c r="X8068" s="42">
        <v>0</v>
      </c>
    </row>
    <row r="8069" spans="1:24">
      <c r="A8069" s="27" t="s">
        <v>14601</v>
      </c>
      <c r="B8069" s="28" t="s">
        <v>12240</v>
      </c>
      <c r="C8069" s="27" t="s">
        <v>14602</v>
      </c>
      <c r="D8069" s="27" t="s">
        <v>230</v>
      </c>
      <c r="E8069" s="29">
        <v>40843</v>
      </c>
      <c r="F8069" s="27">
        <v>15</v>
      </c>
      <c r="G8069" s="18">
        <v>23679.43</v>
      </c>
      <c r="H8069" s="27">
        <f t="shared" si="250"/>
        <v>0</v>
      </c>
      <c r="I8069" s="18">
        <v>13711.11</v>
      </c>
      <c r="J8069" s="27">
        <v>23679.43</v>
      </c>
      <c r="K8069" s="18">
        <f t="shared" si="251"/>
        <v>0</v>
      </c>
      <c r="L8069" s="27">
        <v>14832.52</v>
      </c>
      <c r="M8069" s="36">
        <v>1121.4100000000001</v>
      </c>
      <c r="T8069" s="41">
        <v>0</v>
      </c>
      <c r="U8069" s="41">
        <v>0</v>
      </c>
      <c r="V8069" s="42" t="s">
        <v>113</v>
      </c>
      <c r="W8069" s="42">
        <v>0</v>
      </c>
      <c r="X8069" s="42">
        <v>0</v>
      </c>
    </row>
    <row r="8070" spans="1:24">
      <c r="A8070" s="27" t="s">
        <v>14603</v>
      </c>
      <c r="B8070" s="28" t="s">
        <v>12240</v>
      </c>
      <c r="C8070" s="27" t="s">
        <v>14604</v>
      </c>
      <c r="D8070" s="27" t="s">
        <v>230</v>
      </c>
      <c r="E8070" s="29">
        <v>40843</v>
      </c>
      <c r="F8070" s="27">
        <v>15</v>
      </c>
      <c r="G8070" s="18">
        <v>39979.300000000003</v>
      </c>
      <c r="H8070" s="27">
        <f t="shared" ref="H8070:H8133" si="252">IFERROR(IF(ROUND((G8070-I8070)/G8070,2)&lt;=0.05,G8070,0),0)</f>
        <v>0</v>
      </c>
      <c r="I8070" s="18">
        <v>23149.23</v>
      </c>
      <c r="J8070" s="27">
        <v>39979.300000000003</v>
      </c>
      <c r="K8070" s="18">
        <f t="shared" ref="K8070:K8133" si="253">IFERROR(IF(ROUND((J8070-L8070)/J8070,2)&lt;=0.05,J8070,0),0)</f>
        <v>0</v>
      </c>
      <c r="L8070" s="27">
        <v>25042.560000000001</v>
      </c>
      <c r="M8070" s="36">
        <v>1893.33</v>
      </c>
      <c r="T8070" s="41">
        <v>0</v>
      </c>
      <c r="U8070" s="41">
        <v>0</v>
      </c>
      <c r="V8070" s="42" t="s">
        <v>113</v>
      </c>
      <c r="W8070" s="42">
        <v>0</v>
      </c>
      <c r="X8070" s="42">
        <v>0</v>
      </c>
    </row>
    <row r="8071" spans="1:24">
      <c r="A8071" s="27" t="s">
        <v>14605</v>
      </c>
      <c r="B8071" s="28" t="s">
        <v>12240</v>
      </c>
      <c r="C8071" s="27" t="s">
        <v>14606</v>
      </c>
      <c r="D8071" s="27" t="s">
        <v>230</v>
      </c>
      <c r="E8071" s="29">
        <v>40843</v>
      </c>
      <c r="F8071" s="27">
        <v>15</v>
      </c>
      <c r="G8071" s="18">
        <v>24078.55</v>
      </c>
      <c r="H8071" s="27">
        <f t="shared" si="252"/>
        <v>0</v>
      </c>
      <c r="I8071" s="18">
        <v>13942.2</v>
      </c>
      <c r="J8071" s="27">
        <v>24078.55</v>
      </c>
      <c r="K8071" s="18">
        <f t="shared" si="253"/>
        <v>0</v>
      </c>
      <c r="L8071" s="27">
        <v>15082.51</v>
      </c>
      <c r="M8071" s="36">
        <v>1140.31</v>
      </c>
      <c r="T8071" s="41">
        <v>0</v>
      </c>
      <c r="U8071" s="41">
        <v>0</v>
      </c>
      <c r="V8071" s="42" t="s">
        <v>113</v>
      </c>
      <c r="W8071" s="42">
        <v>0</v>
      </c>
      <c r="X8071" s="42">
        <v>0</v>
      </c>
    </row>
    <row r="8072" spans="1:24">
      <c r="A8072" s="27" t="s">
        <v>14607</v>
      </c>
      <c r="B8072" s="28" t="s">
        <v>12240</v>
      </c>
      <c r="C8072" s="27" t="s">
        <v>14608</v>
      </c>
      <c r="D8072" s="27" t="s">
        <v>230</v>
      </c>
      <c r="E8072" s="29">
        <v>40843</v>
      </c>
      <c r="F8072" s="27">
        <v>15</v>
      </c>
      <c r="G8072" s="18">
        <v>40026.81</v>
      </c>
      <c r="H8072" s="27">
        <f t="shared" si="252"/>
        <v>0</v>
      </c>
      <c r="I8072" s="18">
        <v>23176.73</v>
      </c>
      <c r="J8072" s="27">
        <v>40026.81</v>
      </c>
      <c r="K8072" s="18">
        <f t="shared" si="253"/>
        <v>0</v>
      </c>
      <c r="L8072" s="27">
        <v>25072.31</v>
      </c>
      <c r="M8072" s="36">
        <v>1895.58</v>
      </c>
      <c r="T8072" s="41">
        <v>0</v>
      </c>
      <c r="U8072" s="41">
        <v>0</v>
      </c>
      <c r="V8072" s="42" t="s">
        <v>113</v>
      </c>
      <c r="W8072" s="42">
        <v>0</v>
      </c>
      <c r="X8072" s="42">
        <v>0</v>
      </c>
    </row>
    <row r="8073" spans="1:24">
      <c r="A8073" s="27" t="s">
        <v>14609</v>
      </c>
      <c r="B8073" s="28" t="s">
        <v>12240</v>
      </c>
      <c r="C8073" s="27" t="s">
        <v>14610</v>
      </c>
      <c r="D8073" s="27" t="s">
        <v>230</v>
      </c>
      <c r="E8073" s="29">
        <v>40843</v>
      </c>
      <c r="F8073" s="27">
        <v>15</v>
      </c>
      <c r="G8073" s="18">
        <v>24274.27</v>
      </c>
      <c r="H8073" s="27">
        <f t="shared" si="252"/>
        <v>0</v>
      </c>
      <c r="I8073" s="18">
        <v>14055.54</v>
      </c>
      <c r="J8073" s="27">
        <v>24274.27</v>
      </c>
      <c r="K8073" s="18">
        <f t="shared" si="253"/>
        <v>0</v>
      </c>
      <c r="L8073" s="27">
        <v>15205.12</v>
      </c>
      <c r="M8073" s="36">
        <v>1149.58</v>
      </c>
      <c r="T8073" s="41">
        <v>0</v>
      </c>
      <c r="U8073" s="41">
        <v>0</v>
      </c>
      <c r="V8073" s="42" t="s">
        <v>113</v>
      </c>
      <c r="W8073" s="42">
        <v>0</v>
      </c>
      <c r="X8073" s="42">
        <v>0</v>
      </c>
    </row>
    <row r="8074" spans="1:24">
      <c r="A8074" s="27" t="s">
        <v>14611</v>
      </c>
      <c r="B8074" s="28" t="s">
        <v>12240</v>
      </c>
      <c r="C8074" s="27" t="s">
        <v>14612</v>
      </c>
      <c r="D8074" s="27" t="s">
        <v>230</v>
      </c>
      <c r="E8074" s="29">
        <v>40843</v>
      </c>
      <c r="F8074" s="27">
        <v>15</v>
      </c>
      <c r="G8074" s="18">
        <v>36775.64</v>
      </c>
      <c r="H8074" s="27">
        <f t="shared" si="252"/>
        <v>0</v>
      </c>
      <c r="I8074" s="18">
        <v>21294.2</v>
      </c>
      <c r="J8074" s="27">
        <v>36775.64</v>
      </c>
      <c r="K8074" s="18">
        <f t="shared" si="253"/>
        <v>0</v>
      </c>
      <c r="L8074" s="27">
        <v>23035.82</v>
      </c>
      <c r="M8074" s="36">
        <v>1741.62</v>
      </c>
      <c r="T8074" s="41">
        <v>0</v>
      </c>
      <c r="U8074" s="41">
        <v>0</v>
      </c>
      <c r="V8074" s="42" t="s">
        <v>113</v>
      </c>
      <c r="W8074" s="42">
        <v>0</v>
      </c>
      <c r="X8074" s="42">
        <v>0</v>
      </c>
    </row>
    <row r="8075" spans="1:24">
      <c r="A8075" s="27" t="s">
        <v>14613</v>
      </c>
      <c r="B8075" s="28" t="s">
        <v>12240</v>
      </c>
      <c r="C8075" s="27" t="s">
        <v>14614</v>
      </c>
      <c r="D8075" s="27" t="s">
        <v>230</v>
      </c>
      <c r="E8075" s="29">
        <v>40843</v>
      </c>
      <c r="F8075" s="27">
        <v>15</v>
      </c>
      <c r="G8075" s="18">
        <v>24274.28</v>
      </c>
      <c r="H8075" s="27">
        <f t="shared" si="252"/>
        <v>0</v>
      </c>
      <c r="I8075" s="18">
        <v>14055.55</v>
      </c>
      <c r="J8075" s="27">
        <v>24274.28</v>
      </c>
      <c r="K8075" s="18">
        <f t="shared" si="253"/>
        <v>0</v>
      </c>
      <c r="L8075" s="27">
        <v>15205.13</v>
      </c>
      <c r="M8075" s="36">
        <v>1149.58</v>
      </c>
      <c r="T8075" s="41">
        <v>0</v>
      </c>
      <c r="U8075" s="41">
        <v>0</v>
      </c>
      <c r="V8075" s="42" t="s">
        <v>113</v>
      </c>
      <c r="W8075" s="42">
        <v>0</v>
      </c>
      <c r="X8075" s="42">
        <v>0</v>
      </c>
    </row>
    <row r="8076" spans="1:24">
      <c r="A8076" s="27" t="s">
        <v>14615</v>
      </c>
      <c r="B8076" s="28" t="s">
        <v>12240</v>
      </c>
      <c r="C8076" s="27" t="s">
        <v>14616</v>
      </c>
      <c r="D8076" s="27" t="s">
        <v>230</v>
      </c>
      <c r="E8076" s="29">
        <v>40843</v>
      </c>
      <c r="F8076" s="27">
        <v>15</v>
      </c>
      <c r="G8076" s="18">
        <v>43591.49</v>
      </c>
      <c r="H8076" s="27">
        <f t="shared" si="252"/>
        <v>0</v>
      </c>
      <c r="I8076" s="18">
        <v>25240.799999999999</v>
      </c>
      <c r="J8076" s="27">
        <v>43591.49</v>
      </c>
      <c r="K8076" s="18">
        <f t="shared" si="253"/>
        <v>0</v>
      </c>
      <c r="L8076" s="27">
        <v>27305.200000000001</v>
      </c>
      <c r="M8076" s="36">
        <v>2064.4</v>
      </c>
      <c r="T8076" s="41">
        <v>0</v>
      </c>
      <c r="U8076" s="41">
        <v>0</v>
      </c>
      <c r="V8076" s="42" t="s">
        <v>113</v>
      </c>
      <c r="W8076" s="42">
        <v>0</v>
      </c>
      <c r="X8076" s="42">
        <v>0</v>
      </c>
    </row>
    <row r="8077" spans="1:24">
      <c r="A8077" s="27" t="s">
        <v>14617</v>
      </c>
      <c r="B8077" s="28" t="s">
        <v>12240</v>
      </c>
      <c r="C8077" s="27" t="s">
        <v>14618</v>
      </c>
      <c r="D8077" s="27" t="s">
        <v>230</v>
      </c>
      <c r="E8077" s="29">
        <v>40843</v>
      </c>
      <c r="F8077" s="27">
        <v>15</v>
      </c>
      <c r="G8077" s="18">
        <v>101773.19</v>
      </c>
      <c r="H8077" s="27">
        <f t="shared" si="252"/>
        <v>0</v>
      </c>
      <c r="I8077" s="18">
        <v>66388.37</v>
      </c>
      <c r="J8077" s="27">
        <v>101773.19</v>
      </c>
      <c r="K8077" s="18">
        <f t="shared" si="253"/>
        <v>0</v>
      </c>
      <c r="L8077" s="27">
        <v>70255.960000000006</v>
      </c>
      <c r="M8077" s="36">
        <v>3867.59</v>
      </c>
      <c r="T8077" s="41">
        <v>0</v>
      </c>
      <c r="U8077" s="41">
        <v>0</v>
      </c>
      <c r="V8077" s="42" t="s">
        <v>113</v>
      </c>
      <c r="W8077" s="42">
        <v>0</v>
      </c>
      <c r="X8077" s="42">
        <v>0</v>
      </c>
    </row>
    <row r="8078" spans="1:24">
      <c r="A8078" s="27" t="s">
        <v>14619</v>
      </c>
      <c r="B8078" s="28" t="s">
        <v>12240</v>
      </c>
      <c r="C8078" s="27" t="s">
        <v>14620</v>
      </c>
      <c r="D8078" s="27" t="s">
        <v>230</v>
      </c>
      <c r="E8078" s="29">
        <v>40843</v>
      </c>
      <c r="F8078" s="27">
        <v>15</v>
      </c>
      <c r="G8078" s="18">
        <v>38673</v>
      </c>
      <c r="H8078" s="27">
        <f t="shared" si="252"/>
        <v>0</v>
      </c>
      <c r="I8078" s="18">
        <v>22392.84</v>
      </c>
      <c r="J8078" s="27">
        <v>38673</v>
      </c>
      <c r="K8078" s="18">
        <f t="shared" si="253"/>
        <v>0</v>
      </c>
      <c r="L8078" s="27">
        <v>24224.31</v>
      </c>
      <c r="M8078" s="36">
        <v>1831.47</v>
      </c>
      <c r="T8078" s="41">
        <v>0</v>
      </c>
      <c r="U8078" s="41">
        <v>0</v>
      </c>
      <c r="V8078" s="42" t="s">
        <v>113</v>
      </c>
      <c r="W8078" s="42">
        <v>0</v>
      </c>
      <c r="X8078" s="42">
        <v>0</v>
      </c>
    </row>
    <row r="8079" spans="1:24">
      <c r="A8079" s="27" t="s">
        <v>14621</v>
      </c>
      <c r="B8079" s="28" t="s">
        <v>12240</v>
      </c>
      <c r="C8079" s="27" t="s">
        <v>14622</v>
      </c>
      <c r="D8079" s="27" t="s">
        <v>230</v>
      </c>
      <c r="E8079" s="29">
        <v>40843</v>
      </c>
      <c r="F8079" s="27">
        <v>15</v>
      </c>
      <c r="G8079" s="18">
        <v>64195.29</v>
      </c>
      <c r="H8079" s="27">
        <f t="shared" si="252"/>
        <v>0</v>
      </c>
      <c r="I8079" s="18">
        <v>37171.019999999997</v>
      </c>
      <c r="J8079" s="27">
        <v>64195.29</v>
      </c>
      <c r="K8079" s="18">
        <f t="shared" si="253"/>
        <v>0</v>
      </c>
      <c r="L8079" s="27">
        <v>40211.17</v>
      </c>
      <c r="M8079" s="36">
        <v>3040.15</v>
      </c>
      <c r="T8079" s="41">
        <v>0</v>
      </c>
      <c r="U8079" s="41">
        <v>0</v>
      </c>
      <c r="V8079" s="42" t="s">
        <v>113</v>
      </c>
      <c r="W8079" s="42">
        <v>0</v>
      </c>
      <c r="X8079" s="42">
        <v>0</v>
      </c>
    </row>
    <row r="8080" spans="1:24">
      <c r="A8080" s="27" t="s">
        <v>14623</v>
      </c>
      <c r="B8080" s="28" t="s">
        <v>12240</v>
      </c>
      <c r="C8080" s="27" t="s">
        <v>14624</v>
      </c>
      <c r="D8080" s="27" t="s">
        <v>5104</v>
      </c>
      <c r="E8080" s="29">
        <v>40843</v>
      </c>
      <c r="F8080" s="27">
        <v>15</v>
      </c>
      <c r="G8080" s="18">
        <v>64195.3</v>
      </c>
      <c r="H8080" s="27">
        <f t="shared" si="252"/>
        <v>0</v>
      </c>
      <c r="I8080" s="18">
        <v>37171.03</v>
      </c>
      <c r="J8080" s="27">
        <v>64195.3</v>
      </c>
      <c r="K8080" s="18">
        <f t="shared" si="253"/>
        <v>0</v>
      </c>
      <c r="L8080" s="27">
        <v>40211.18</v>
      </c>
      <c r="M8080" s="36">
        <v>3040.15</v>
      </c>
      <c r="T8080" s="41">
        <v>0</v>
      </c>
      <c r="U8080" s="41">
        <v>0</v>
      </c>
      <c r="V8080" s="42" t="s">
        <v>113</v>
      </c>
      <c r="W8080" s="42">
        <v>0</v>
      </c>
      <c r="X8080" s="42">
        <v>0</v>
      </c>
    </row>
    <row r="8081" spans="1:24">
      <c r="A8081" s="27" t="s">
        <v>14625</v>
      </c>
      <c r="B8081" s="28" t="s">
        <v>12240</v>
      </c>
      <c r="C8081" s="27" t="s">
        <v>14626</v>
      </c>
      <c r="D8081" s="27" t="s">
        <v>230</v>
      </c>
      <c r="E8081" s="29">
        <v>40843</v>
      </c>
      <c r="F8081" s="27">
        <v>15</v>
      </c>
      <c r="G8081" s="18">
        <v>32129.8</v>
      </c>
      <c r="H8081" s="27">
        <f t="shared" si="252"/>
        <v>0</v>
      </c>
      <c r="I8081" s="18">
        <v>18604.12</v>
      </c>
      <c r="J8081" s="27">
        <v>32129.8</v>
      </c>
      <c r="K8081" s="18">
        <f t="shared" si="253"/>
        <v>0</v>
      </c>
      <c r="L8081" s="27">
        <v>20125.72</v>
      </c>
      <c r="M8081" s="36">
        <v>1521.6</v>
      </c>
      <c r="T8081" s="41">
        <v>0</v>
      </c>
      <c r="U8081" s="41">
        <v>0</v>
      </c>
      <c r="V8081" s="42" t="s">
        <v>113</v>
      </c>
      <c r="W8081" s="42">
        <v>0</v>
      </c>
      <c r="X8081" s="42">
        <v>0</v>
      </c>
    </row>
    <row r="8082" spans="1:24">
      <c r="A8082" s="27" t="s">
        <v>14627</v>
      </c>
      <c r="B8082" s="28" t="s">
        <v>12240</v>
      </c>
      <c r="C8082" s="27" t="s">
        <v>14628</v>
      </c>
      <c r="D8082" s="27" t="s">
        <v>5104</v>
      </c>
      <c r="E8082" s="29">
        <v>40843</v>
      </c>
      <c r="F8082" s="27">
        <v>15</v>
      </c>
      <c r="G8082" s="18">
        <v>32129.8</v>
      </c>
      <c r="H8082" s="27">
        <f t="shared" si="252"/>
        <v>0</v>
      </c>
      <c r="I8082" s="18">
        <v>18604.12</v>
      </c>
      <c r="J8082" s="27">
        <v>32129.8</v>
      </c>
      <c r="K8082" s="18">
        <f t="shared" si="253"/>
        <v>0</v>
      </c>
      <c r="L8082" s="27">
        <v>20125.72</v>
      </c>
      <c r="M8082" s="36">
        <v>1521.6</v>
      </c>
      <c r="T8082" s="41">
        <v>0</v>
      </c>
      <c r="U8082" s="41">
        <v>0</v>
      </c>
      <c r="V8082" s="42" t="s">
        <v>113</v>
      </c>
      <c r="W8082" s="42">
        <v>0</v>
      </c>
      <c r="X8082" s="42">
        <v>0</v>
      </c>
    </row>
    <row r="8083" spans="1:24">
      <c r="A8083" s="27" t="s">
        <v>14629</v>
      </c>
      <c r="B8083" s="28" t="s">
        <v>12240</v>
      </c>
      <c r="C8083" s="27" t="s">
        <v>14630</v>
      </c>
      <c r="D8083" s="27" t="s">
        <v>230</v>
      </c>
      <c r="E8083" s="29">
        <v>40843</v>
      </c>
      <c r="F8083" s="27">
        <v>15</v>
      </c>
      <c r="G8083" s="18">
        <v>35463.47</v>
      </c>
      <c r="H8083" s="27">
        <f t="shared" si="252"/>
        <v>0</v>
      </c>
      <c r="I8083" s="18">
        <v>20534.41</v>
      </c>
      <c r="J8083" s="27">
        <v>35463.47</v>
      </c>
      <c r="K8083" s="18">
        <f t="shared" si="253"/>
        <v>0</v>
      </c>
      <c r="L8083" s="27">
        <v>22213.89</v>
      </c>
      <c r="M8083" s="36">
        <v>1679.48</v>
      </c>
      <c r="T8083" s="41">
        <v>0</v>
      </c>
      <c r="U8083" s="41">
        <v>0</v>
      </c>
      <c r="V8083" s="42" t="s">
        <v>113</v>
      </c>
      <c r="W8083" s="42">
        <v>0</v>
      </c>
      <c r="X8083" s="42">
        <v>0</v>
      </c>
    </row>
    <row r="8084" spans="1:24">
      <c r="A8084" s="27" t="s">
        <v>14631</v>
      </c>
      <c r="B8084" s="28" t="s">
        <v>12240</v>
      </c>
      <c r="C8084" s="27" t="s">
        <v>14632</v>
      </c>
      <c r="D8084" s="27" t="s">
        <v>230</v>
      </c>
      <c r="E8084" s="29">
        <v>40843</v>
      </c>
      <c r="F8084" s="27">
        <v>15</v>
      </c>
      <c r="G8084" s="18">
        <v>32129.8</v>
      </c>
      <c r="H8084" s="27">
        <f t="shared" si="252"/>
        <v>0</v>
      </c>
      <c r="I8084" s="18">
        <v>18604.12</v>
      </c>
      <c r="J8084" s="27">
        <v>32129.8</v>
      </c>
      <c r="K8084" s="18">
        <f t="shared" si="253"/>
        <v>0</v>
      </c>
      <c r="L8084" s="27">
        <v>20125.72</v>
      </c>
      <c r="M8084" s="36">
        <v>1521.6</v>
      </c>
      <c r="T8084" s="41">
        <v>0</v>
      </c>
      <c r="U8084" s="41">
        <v>0</v>
      </c>
      <c r="V8084" s="42" t="s">
        <v>113</v>
      </c>
      <c r="W8084" s="42">
        <v>0</v>
      </c>
      <c r="X8084" s="42">
        <v>0</v>
      </c>
    </row>
    <row r="8085" spans="1:24">
      <c r="A8085" s="27" t="s">
        <v>14633</v>
      </c>
      <c r="B8085" s="28" t="s">
        <v>12240</v>
      </c>
      <c r="C8085" s="27" t="s">
        <v>14634</v>
      </c>
      <c r="D8085" s="27" t="s">
        <v>230</v>
      </c>
      <c r="E8085" s="29">
        <v>40843</v>
      </c>
      <c r="F8085" s="27">
        <v>15</v>
      </c>
      <c r="G8085" s="18">
        <v>32129.8</v>
      </c>
      <c r="H8085" s="27">
        <f t="shared" si="252"/>
        <v>0</v>
      </c>
      <c r="I8085" s="18">
        <v>18604.12</v>
      </c>
      <c r="J8085" s="27">
        <v>32129.8</v>
      </c>
      <c r="K8085" s="18">
        <f t="shared" si="253"/>
        <v>0</v>
      </c>
      <c r="L8085" s="27">
        <v>20125.72</v>
      </c>
      <c r="M8085" s="36">
        <v>1521.6</v>
      </c>
      <c r="T8085" s="41">
        <v>0</v>
      </c>
      <c r="U8085" s="41">
        <v>0</v>
      </c>
      <c r="V8085" s="42" t="s">
        <v>113</v>
      </c>
      <c r="W8085" s="42">
        <v>0</v>
      </c>
      <c r="X8085" s="42">
        <v>0</v>
      </c>
    </row>
    <row r="8086" spans="1:24">
      <c r="A8086" s="27" t="s">
        <v>14635</v>
      </c>
      <c r="B8086" s="28" t="s">
        <v>12240</v>
      </c>
      <c r="C8086" s="27" t="s">
        <v>14636</v>
      </c>
      <c r="D8086" s="27" t="s">
        <v>230</v>
      </c>
      <c r="E8086" s="29">
        <v>40843</v>
      </c>
      <c r="F8086" s="27">
        <v>15</v>
      </c>
      <c r="G8086" s="18">
        <v>32129.8</v>
      </c>
      <c r="H8086" s="27">
        <f t="shared" si="252"/>
        <v>0</v>
      </c>
      <c r="I8086" s="18">
        <v>18604.12</v>
      </c>
      <c r="J8086" s="27">
        <v>71940.3</v>
      </c>
      <c r="K8086" s="18">
        <f t="shared" si="253"/>
        <v>0</v>
      </c>
      <c r="L8086" s="27">
        <v>20125.72</v>
      </c>
      <c r="M8086" s="36">
        <v>1521.6</v>
      </c>
      <c r="N8086" s="18" t="s">
        <v>14637</v>
      </c>
      <c r="O8086" s="19">
        <v>39810.5</v>
      </c>
      <c r="T8086" s="41">
        <v>0</v>
      </c>
      <c r="U8086" s="41">
        <v>0</v>
      </c>
      <c r="V8086" s="42" t="s">
        <v>113</v>
      </c>
      <c r="W8086" s="42">
        <v>0</v>
      </c>
      <c r="X8086" s="42">
        <v>0</v>
      </c>
    </row>
    <row r="8087" spans="1:24">
      <c r="A8087" s="27" t="s">
        <v>14638</v>
      </c>
      <c r="B8087" s="28" t="s">
        <v>12240</v>
      </c>
      <c r="C8087" s="27" t="s">
        <v>14639</v>
      </c>
      <c r="D8087" s="27" t="s">
        <v>230</v>
      </c>
      <c r="E8087" s="29">
        <v>40843</v>
      </c>
      <c r="F8087" s="27">
        <v>15</v>
      </c>
      <c r="G8087" s="18">
        <v>32501.47</v>
      </c>
      <c r="H8087" s="27">
        <f t="shared" si="252"/>
        <v>0</v>
      </c>
      <c r="I8087" s="18">
        <v>18819.34</v>
      </c>
      <c r="J8087" s="27">
        <v>32501.47</v>
      </c>
      <c r="K8087" s="18">
        <f t="shared" si="253"/>
        <v>0</v>
      </c>
      <c r="L8087" s="27">
        <v>20358.54</v>
      </c>
      <c r="M8087" s="36">
        <v>1539.2</v>
      </c>
      <c r="T8087" s="41">
        <v>0</v>
      </c>
      <c r="U8087" s="41">
        <v>0</v>
      </c>
      <c r="V8087" s="42" t="s">
        <v>113</v>
      </c>
      <c r="W8087" s="42">
        <v>0</v>
      </c>
      <c r="X8087" s="42">
        <v>0</v>
      </c>
    </row>
    <row r="8088" spans="1:24">
      <c r="A8088" s="27" t="s">
        <v>14640</v>
      </c>
      <c r="B8088" s="28" t="s">
        <v>12240</v>
      </c>
      <c r="C8088" s="27" t="s">
        <v>14641</v>
      </c>
      <c r="D8088" s="27" t="s">
        <v>230</v>
      </c>
      <c r="E8088" s="29">
        <v>40843</v>
      </c>
      <c r="F8088" s="27">
        <v>15</v>
      </c>
      <c r="G8088" s="18">
        <v>48523.99</v>
      </c>
      <c r="H8088" s="27">
        <f t="shared" si="252"/>
        <v>0</v>
      </c>
      <c r="I8088" s="18">
        <v>28096.86</v>
      </c>
      <c r="J8088" s="27">
        <v>48523.99</v>
      </c>
      <c r="K8088" s="18">
        <f t="shared" si="253"/>
        <v>0</v>
      </c>
      <c r="L8088" s="27">
        <v>30394.85</v>
      </c>
      <c r="M8088" s="36">
        <v>2297.9899999999998</v>
      </c>
      <c r="T8088" s="41">
        <v>0</v>
      </c>
      <c r="U8088" s="41">
        <v>0</v>
      </c>
      <c r="V8088" s="42" t="s">
        <v>113</v>
      </c>
      <c r="W8088" s="42">
        <v>0</v>
      </c>
      <c r="X8088" s="42">
        <v>0</v>
      </c>
    </row>
    <row r="8089" spans="1:24">
      <c r="A8089" s="27" t="s">
        <v>14642</v>
      </c>
      <c r="B8089" s="28" t="s">
        <v>12240</v>
      </c>
      <c r="C8089" s="27" t="s">
        <v>14643</v>
      </c>
      <c r="D8089" s="27" t="s">
        <v>230</v>
      </c>
      <c r="E8089" s="29">
        <v>40843</v>
      </c>
      <c r="F8089" s="27">
        <v>15</v>
      </c>
      <c r="G8089" s="18">
        <v>32501.47</v>
      </c>
      <c r="H8089" s="27">
        <f t="shared" si="252"/>
        <v>0</v>
      </c>
      <c r="I8089" s="18">
        <v>18819.34</v>
      </c>
      <c r="J8089" s="27">
        <v>32501.47</v>
      </c>
      <c r="K8089" s="18">
        <f t="shared" si="253"/>
        <v>0</v>
      </c>
      <c r="L8089" s="27">
        <v>20358.54</v>
      </c>
      <c r="M8089" s="36">
        <v>1539.2</v>
      </c>
      <c r="T8089" s="41">
        <v>0</v>
      </c>
      <c r="U8089" s="41">
        <v>0</v>
      </c>
      <c r="V8089" s="42" t="s">
        <v>113</v>
      </c>
      <c r="W8089" s="42">
        <v>0</v>
      </c>
      <c r="X8089" s="42">
        <v>0</v>
      </c>
    </row>
    <row r="8090" spans="1:24">
      <c r="A8090" s="27" t="s">
        <v>14644</v>
      </c>
      <c r="B8090" s="28" t="s">
        <v>12240</v>
      </c>
      <c r="C8090" s="27" t="s">
        <v>14645</v>
      </c>
      <c r="D8090" s="27" t="s">
        <v>230</v>
      </c>
      <c r="E8090" s="29">
        <v>40843</v>
      </c>
      <c r="F8090" s="27">
        <v>15</v>
      </c>
      <c r="G8090" s="18">
        <v>32501.47</v>
      </c>
      <c r="H8090" s="27">
        <f t="shared" si="252"/>
        <v>0</v>
      </c>
      <c r="I8090" s="18">
        <v>18819.34</v>
      </c>
      <c r="J8090" s="27">
        <v>32501.47</v>
      </c>
      <c r="K8090" s="18">
        <f t="shared" si="253"/>
        <v>0</v>
      </c>
      <c r="L8090" s="27">
        <v>20358.54</v>
      </c>
      <c r="M8090" s="36">
        <v>1539.2</v>
      </c>
      <c r="T8090" s="41">
        <v>0</v>
      </c>
      <c r="U8090" s="41">
        <v>0</v>
      </c>
      <c r="V8090" s="42" t="s">
        <v>113</v>
      </c>
      <c r="W8090" s="42">
        <v>0</v>
      </c>
      <c r="X8090" s="42">
        <v>0</v>
      </c>
    </row>
    <row r="8091" spans="1:24">
      <c r="A8091" s="27" t="s">
        <v>14646</v>
      </c>
      <c r="B8091" s="28" t="s">
        <v>12240</v>
      </c>
      <c r="C8091" s="27" t="s">
        <v>14647</v>
      </c>
      <c r="D8091" s="27" t="s">
        <v>230</v>
      </c>
      <c r="E8091" s="29">
        <v>40843</v>
      </c>
      <c r="F8091" s="27">
        <v>15</v>
      </c>
      <c r="G8091" s="18">
        <v>32501.46</v>
      </c>
      <c r="H8091" s="27">
        <f t="shared" si="252"/>
        <v>0</v>
      </c>
      <c r="I8091" s="18">
        <v>18819.34</v>
      </c>
      <c r="J8091" s="27">
        <v>32501.46</v>
      </c>
      <c r="K8091" s="18">
        <f t="shared" si="253"/>
        <v>0</v>
      </c>
      <c r="L8091" s="27">
        <v>20358.54</v>
      </c>
      <c r="M8091" s="36">
        <v>1539.2</v>
      </c>
      <c r="T8091" s="41">
        <v>0</v>
      </c>
      <c r="U8091" s="41">
        <v>0</v>
      </c>
      <c r="V8091" s="42" t="s">
        <v>113</v>
      </c>
      <c r="W8091" s="42">
        <v>0</v>
      </c>
      <c r="X8091" s="42">
        <v>0</v>
      </c>
    </row>
    <row r="8092" spans="1:24">
      <c r="A8092" s="27" t="s">
        <v>14648</v>
      </c>
      <c r="B8092" s="28" t="s">
        <v>12240</v>
      </c>
      <c r="C8092" s="27" t="s">
        <v>14188</v>
      </c>
      <c r="D8092" s="27" t="s">
        <v>230</v>
      </c>
      <c r="E8092" s="29">
        <v>40843</v>
      </c>
      <c r="F8092" s="27">
        <v>15</v>
      </c>
      <c r="G8092" s="18">
        <v>32501.46</v>
      </c>
      <c r="H8092" s="27">
        <f t="shared" si="252"/>
        <v>0</v>
      </c>
      <c r="I8092" s="18">
        <v>18819.34</v>
      </c>
      <c r="J8092" s="27">
        <v>32501.46</v>
      </c>
      <c r="K8092" s="18">
        <f t="shared" si="253"/>
        <v>0</v>
      </c>
      <c r="L8092" s="27">
        <v>20358.54</v>
      </c>
      <c r="M8092" s="36">
        <v>1539.2</v>
      </c>
      <c r="T8092" s="41">
        <v>0</v>
      </c>
      <c r="U8092" s="41">
        <v>0</v>
      </c>
      <c r="V8092" s="42" t="s">
        <v>113</v>
      </c>
      <c r="W8092" s="42">
        <v>0</v>
      </c>
      <c r="X8092" s="42">
        <v>0</v>
      </c>
    </row>
    <row r="8093" spans="1:24">
      <c r="A8093" s="27" t="s">
        <v>14649</v>
      </c>
      <c r="B8093" s="28" t="s">
        <v>12240</v>
      </c>
      <c r="C8093" s="27" t="s">
        <v>14650</v>
      </c>
      <c r="D8093" s="27" t="s">
        <v>230</v>
      </c>
      <c r="E8093" s="29">
        <v>40843</v>
      </c>
      <c r="F8093" s="27">
        <v>15</v>
      </c>
      <c r="G8093" s="18">
        <v>32501.47</v>
      </c>
      <c r="H8093" s="27">
        <f t="shared" si="252"/>
        <v>0</v>
      </c>
      <c r="I8093" s="18">
        <v>18819.34</v>
      </c>
      <c r="J8093" s="27">
        <v>32501.47</v>
      </c>
      <c r="K8093" s="18">
        <f t="shared" si="253"/>
        <v>0</v>
      </c>
      <c r="L8093" s="27">
        <v>20358.54</v>
      </c>
      <c r="M8093" s="36">
        <v>1539.2</v>
      </c>
      <c r="T8093" s="41">
        <v>0</v>
      </c>
      <c r="U8093" s="41">
        <v>0</v>
      </c>
      <c r="V8093" s="42" t="s">
        <v>113</v>
      </c>
      <c r="W8093" s="42">
        <v>0</v>
      </c>
      <c r="X8093" s="42">
        <v>0</v>
      </c>
    </row>
    <row r="8094" spans="1:24">
      <c r="A8094" s="27" t="s">
        <v>14651</v>
      </c>
      <c r="B8094" s="28" t="s">
        <v>12240</v>
      </c>
      <c r="C8094" s="27" t="s">
        <v>14652</v>
      </c>
      <c r="D8094" s="27" t="s">
        <v>230</v>
      </c>
      <c r="E8094" s="29">
        <v>40843</v>
      </c>
      <c r="F8094" s="27">
        <v>15</v>
      </c>
      <c r="G8094" s="18">
        <v>96239.34</v>
      </c>
      <c r="H8094" s="27">
        <f t="shared" si="252"/>
        <v>0</v>
      </c>
      <c r="I8094" s="18">
        <v>53675.23</v>
      </c>
      <c r="J8094" s="27">
        <v>96239.34</v>
      </c>
      <c r="K8094" s="18">
        <f t="shared" si="253"/>
        <v>0</v>
      </c>
      <c r="L8094" s="27">
        <v>58494.65</v>
      </c>
      <c r="M8094" s="36">
        <v>4819.42</v>
      </c>
      <c r="T8094" s="41">
        <v>0</v>
      </c>
      <c r="U8094" s="41">
        <v>0</v>
      </c>
      <c r="V8094" s="42" t="s">
        <v>113</v>
      </c>
      <c r="W8094" s="42">
        <v>0</v>
      </c>
      <c r="X8094" s="42">
        <v>0</v>
      </c>
    </row>
    <row r="8095" spans="1:24">
      <c r="A8095" s="27" t="s">
        <v>14653</v>
      </c>
      <c r="B8095" s="28" t="s">
        <v>12240</v>
      </c>
      <c r="C8095" s="27" t="s">
        <v>14654</v>
      </c>
      <c r="D8095" s="27" t="s">
        <v>230</v>
      </c>
      <c r="E8095" s="29">
        <v>40843</v>
      </c>
      <c r="F8095" s="27">
        <v>15</v>
      </c>
      <c r="G8095" s="18">
        <v>72211</v>
      </c>
      <c r="H8095" s="27">
        <f t="shared" si="252"/>
        <v>0</v>
      </c>
      <c r="I8095" s="18">
        <v>41810.120000000003</v>
      </c>
      <c r="J8095" s="27">
        <v>72211</v>
      </c>
      <c r="K8095" s="18">
        <f t="shared" si="253"/>
        <v>0</v>
      </c>
      <c r="L8095" s="27">
        <v>45230.16</v>
      </c>
      <c r="M8095" s="36">
        <v>3420.04</v>
      </c>
      <c r="T8095" s="41">
        <v>0</v>
      </c>
      <c r="U8095" s="41">
        <v>0</v>
      </c>
      <c r="V8095" s="42" t="s">
        <v>113</v>
      </c>
      <c r="W8095" s="42">
        <v>0</v>
      </c>
      <c r="X8095" s="42">
        <v>0</v>
      </c>
    </row>
    <row r="8096" spans="1:24">
      <c r="A8096" s="27" t="s">
        <v>14655</v>
      </c>
      <c r="B8096" s="28" t="s">
        <v>12240</v>
      </c>
      <c r="C8096" s="27" t="s">
        <v>14656</v>
      </c>
      <c r="D8096" s="27" t="s">
        <v>230</v>
      </c>
      <c r="E8096" s="29">
        <v>40843</v>
      </c>
      <c r="F8096" s="27">
        <v>15</v>
      </c>
      <c r="G8096" s="18">
        <v>47692.22</v>
      </c>
      <c r="H8096" s="27">
        <f t="shared" si="252"/>
        <v>0</v>
      </c>
      <c r="I8096" s="18">
        <v>27615.24</v>
      </c>
      <c r="J8096" s="27">
        <v>47692.22</v>
      </c>
      <c r="K8096" s="18">
        <f t="shared" si="253"/>
        <v>0</v>
      </c>
      <c r="L8096" s="27">
        <v>29873.84</v>
      </c>
      <c r="M8096" s="36">
        <v>2258.6</v>
      </c>
      <c r="T8096" s="41">
        <v>0</v>
      </c>
      <c r="U8096" s="41">
        <v>0</v>
      </c>
      <c r="V8096" s="42" t="s">
        <v>113</v>
      </c>
      <c r="W8096" s="42">
        <v>0</v>
      </c>
      <c r="X8096" s="42">
        <v>0</v>
      </c>
    </row>
    <row r="8097" spans="1:24">
      <c r="A8097" s="27" t="s">
        <v>14657</v>
      </c>
      <c r="B8097" s="28" t="s">
        <v>12240</v>
      </c>
      <c r="C8097" s="27" t="s">
        <v>14658</v>
      </c>
      <c r="D8097" s="27" t="s">
        <v>230</v>
      </c>
      <c r="E8097" s="29">
        <v>40843</v>
      </c>
      <c r="F8097" s="27">
        <v>15</v>
      </c>
      <c r="G8097" s="18">
        <v>112198.64</v>
      </c>
      <c r="H8097" s="27">
        <f t="shared" si="252"/>
        <v>0</v>
      </c>
      <c r="I8097" s="18">
        <v>63155.03</v>
      </c>
      <c r="J8097" s="27">
        <v>112198.64</v>
      </c>
      <c r="K8097" s="18">
        <f t="shared" si="253"/>
        <v>0</v>
      </c>
      <c r="L8097" s="27">
        <v>68699.759999999995</v>
      </c>
      <c r="M8097" s="36">
        <v>5544.73</v>
      </c>
      <c r="T8097" s="41">
        <v>0</v>
      </c>
      <c r="U8097" s="41">
        <v>0</v>
      </c>
      <c r="V8097" s="42" t="s">
        <v>113</v>
      </c>
      <c r="W8097" s="42">
        <v>0</v>
      </c>
      <c r="X8097" s="42">
        <v>0</v>
      </c>
    </row>
    <row r="8098" spans="1:24">
      <c r="A8098" s="27" t="s">
        <v>14659</v>
      </c>
      <c r="B8098" s="28" t="s">
        <v>12240</v>
      </c>
      <c r="C8098" s="27" t="s">
        <v>14660</v>
      </c>
      <c r="D8098" s="27" t="s">
        <v>230</v>
      </c>
      <c r="E8098" s="29">
        <v>40843</v>
      </c>
      <c r="F8098" s="27">
        <v>15</v>
      </c>
      <c r="G8098" s="18">
        <v>47692.21</v>
      </c>
      <c r="H8098" s="27">
        <f t="shared" si="252"/>
        <v>0</v>
      </c>
      <c r="I8098" s="18">
        <v>27615.24</v>
      </c>
      <c r="J8098" s="27">
        <v>47692.21</v>
      </c>
      <c r="K8098" s="18">
        <f t="shared" si="253"/>
        <v>0</v>
      </c>
      <c r="L8098" s="27">
        <v>29873.84</v>
      </c>
      <c r="M8098" s="36">
        <v>2258.6</v>
      </c>
      <c r="T8098" s="41">
        <v>0</v>
      </c>
      <c r="U8098" s="41">
        <v>0</v>
      </c>
      <c r="V8098" s="42" t="s">
        <v>113</v>
      </c>
      <c r="W8098" s="42">
        <v>0</v>
      </c>
      <c r="X8098" s="42">
        <v>0</v>
      </c>
    </row>
    <row r="8099" spans="1:24">
      <c r="A8099" s="27" t="s">
        <v>14661</v>
      </c>
      <c r="B8099" s="28" t="s">
        <v>12240</v>
      </c>
      <c r="C8099" s="27" t="s">
        <v>14662</v>
      </c>
      <c r="D8099" s="27" t="s">
        <v>230</v>
      </c>
      <c r="E8099" s="29">
        <v>40843</v>
      </c>
      <c r="F8099" s="27">
        <v>15</v>
      </c>
      <c r="G8099" s="18">
        <v>74068.55</v>
      </c>
      <c r="H8099" s="27">
        <f t="shared" si="252"/>
        <v>0</v>
      </c>
      <c r="I8099" s="18">
        <v>30178.23</v>
      </c>
      <c r="J8099" s="27">
        <v>74068.55</v>
      </c>
      <c r="K8099" s="18">
        <f t="shared" si="253"/>
        <v>0</v>
      </c>
      <c r="L8099" s="27">
        <v>35308.47</v>
      </c>
      <c r="M8099" s="36">
        <v>5130.24</v>
      </c>
      <c r="T8099" s="41">
        <v>0</v>
      </c>
      <c r="U8099" s="41">
        <v>0</v>
      </c>
      <c r="V8099" s="42" t="s">
        <v>113</v>
      </c>
      <c r="W8099" s="42">
        <v>0</v>
      </c>
      <c r="X8099" s="42">
        <v>0</v>
      </c>
    </row>
    <row r="8100" spans="1:24">
      <c r="A8100" s="27" t="s">
        <v>14663</v>
      </c>
      <c r="B8100" s="28" t="s">
        <v>12240</v>
      </c>
      <c r="C8100" s="27" t="s">
        <v>14664</v>
      </c>
      <c r="D8100" s="27" t="s">
        <v>230</v>
      </c>
      <c r="E8100" s="29">
        <v>40843</v>
      </c>
      <c r="F8100" s="27">
        <v>15</v>
      </c>
      <c r="G8100" s="18">
        <v>64562.25</v>
      </c>
      <c r="H8100" s="27">
        <f t="shared" si="252"/>
        <v>0</v>
      </c>
      <c r="I8100" s="18">
        <v>43888.01</v>
      </c>
      <c r="J8100" s="27">
        <v>64562.25</v>
      </c>
      <c r="K8100" s="18">
        <f t="shared" si="253"/>
        <v>0</v>
      </c>
      <c r="L8100" s="27">
        <v>46115.18</v>
      </c>
      <c r="M8100" s="36">
        <v>2227.17</v>
      </c>
      <c r="T8100" s="41">
        <v>0</v>
      </c>
      <c r="U8100" s="41">
        <v>0</v>
      </c>
      <c r="V8100" s="42" t="s">
        <v>113</v>
      </c>
      <c r="W8100" s="42">
        <v>0</v>
      </c>
      <c r="X8100" s="42">
        <v>0</v>
      </c>
    </row>
    <row r="8101" spans="1:24">
      <c r="A8101" s="27" t="s">
        <v>14665</v>
      </c>
      <c r="B8101" s="28" t="s">
        <v>12240</v>
      </c>
      <c r="C8101" s="27" t="s">
        <v>14666</v>
      </c>
      <c r="D8101" s="27" t="s">
        <v>230</v>
      </c>
      <c r="E8101" s="29">
        <v>40843</v>
      </c>
      <c r="F8101" s="27">
        <v>15</v>
      </c>
      <c r="G8101" s="18">
        <v>47692.22</v>
      </c>
      <c r="H8101" s="27">
        <f t="shared" si="252"/>
        <v>0</v>
      </c>
      <c r="I8101" s="18">
        <v>27615.24</v>
      </c>
      <c r="J8101" s="27">
        <v>47692.22</v>
      </c>
      <c r="K8101" s="18">
        <f t="shared" si="253"/>
        <v>0</v>
      </c>
      <c r="L8101" s="27">
        <v>29873.84</v>
      </c>
      <c r="M8101" s="36">
        <v>2258.6</v>
      </c>
      <c r="T8101" s="41">
        <v>0</v>
      </c>
      <c r="U8101" s="41">
        <v>0</v>
      </c>
      <c r="V8101" s="42" t="s">
        <v>113</v>
      </c>
      <c r="W8101" s="42">
        <v>0</v>
      </c>
      <c r="X8101" s="42">
        <v>0</v>
      </c>
    </row>
    <row r="8102" spans="1:24">
      <c r="A8102" s="27" t="s">
        <v>14667</v>
      </c>
      <c r="B8102" s="28" t="s">
        <v>12240</v>
      </c>
      <c r="C8102" s="27" t="s">
        <v>14668</v>
      </c>
      <c r="D8102" s="27" t="s">
        <v>230</v>
      </c>
      <c r="E8102" s="29">
        <v>40843</v>
      </c>
      <c r="F8102" s="27">
        <v>15</v>
      </c>
      <c r="G8102" s="18">
        <v>58002.33</v>
      </c>
      <c r="H8102" s="27">
        <f t="shared" si="252"/>
        <v>0</v>
      </c>
      <c r="I8102" s="18">
        <v>33585.1</v>
      </c>
      <c r="J8102" s="27">
        <v>58002.33</v>
      </c>
      <c r="K8102" s="18">
        <f t="shared" si="253"/>
        <v>0</v>
      </c>
      <c r="L8102" s="27">
        <v>36331.97</v>
      </c>
      <c r="M8102" s="36">
        <v>2746.87</v>
      </c>
      <c r="T8102" s="41">
        <v>0</v>
      </c>
      <c r="U8102" s="41">
        <v>0</v>
      </c>
      <c r="V8102" s="42" t="s">
        <v>113</v>
      </c>
      <c r="W8102" s="42">
        <v>0</v>
      </c>
      <c r="X8102" s="42">
        <v>0</v>
      </c>
    </row>
    <row r="8103" spans="1:24">
      <c r="A8103" s="27" t="s">
        <v>14669</v>
      </c>
      <c r="B8103" s="28" t="s">
        <v>12240</v>
      </c>
      <c r="C8103" s="27" t="s">
        <v>14670</v>
      </c>
      <c r="D8103" s="27" t="s">
        <v>230</v>
      </c>
      <c r="E8103" s="29">
        <v>40843</v>
      </c>
      <c r="F8103" s="27">
        <v>15</v>
      </c>
      <c r="G8103" s="18">
        <v>68600.100000000006</v>
      </c>
      <c r="H8103" s="27">
        <f t="shared" si="252"/>
        <v>0</v>
      </c>
      <c r="I8103" s="18">
        <v>39721.53</v>
      </c>
      <c r="J8103" s="27">
        <v>68600.100000000006</v>
      </c>
      <c r="K8103" s="18">
        <f t="shared" si="253"/>
        <v>0</v>
      </c>
      <c r="L8103" s="27">
        <v>42970.28</v>
      </c>
      <c r="M8103" s="36">
        <v>3248.75</v>
      </c>
      <c r="T8103" s="41">
        <v>0</v>
      </c>
      <c r="U8103" s="41">
        <v>0</v>
      </c>
      <c r="V8103" s="42" t="s">
        <v>113</v>
      </c>
      <c r="W8103" s="42">
        <v>0</v>
      </c>
      <c r="X8103" s="42">
        <v>0</v>
      </c>
    </row>
    <row r="8104" spans="1:24">
      <c r="A8104" s="27" t="s">
        <v>14671</v>
      </c>
      <c r="B8104" s="28" t="s">
        <v>12240</v>
      </c>
      <c r="C8104" s="27" t="s">
        <v>14672</v>
      </c>
      <c r="D8104" s="27" t="s">
        <v>230</v>
      </c>
      <c r="E8104" s="29">
        <v>40843</v>
      </c>
      <c r="F8104" s="27">
        <v>15</v>
      </c>
      <c r="G8104" s="18">
        <v>21721.37</v>
      </c>
      <c r="H8104" s="27">
        <f t="shared" si="252"/>
        <v>0</v>
      </c>
      <c r="I8104" s="18">
        <v>12577.33</v>
      </c>
      <c r="J8104" s="27">
        <v>21721.37</v>
      </c>
      <c r="K8104" s="18">
        <f t="shared" si="253"/>
        <v>0</v>
      </c>
      <c r="L8104" s="27">
        <v>13606.01</v>
      </c>
      <c r="M8104" s="36">
        <v>1028.68</v>
      </c>
      <c r="T8104" s="41">
        <v>0</v>
      </c>
      <c r="U8104" s="41">
        <v>0</v>
      </c>
      <c r="V8104" s="42" t="s">
        <v>113</v>
      </c>
      <c r="W8104" s="42">
        <v>0</v>
      </c>
      <c r="X8104" s="42">
        <v>0</v>
      </c>
    </row>
    <row r="8105" spans="1:24">
      <c r="A8105" s="27" t="s">
        <v>14673</v>
      </c>
      <c r="B8105" s="28" t="s">
        <v>12240</v>
      </c>
      <c r="C8105" s="27" t="s">
        <v>14674</v>
      </c>
      <c r="D8105" s="27" t="s">
        <v>230</v>
      </c>
      <c r="E8105" s="29">
        <v>40843</v>
      </c>
      <c r="F8105" s="27">
        <v>15</v>
      </c>
      <c r="G8105" s="18">
        <v>38986.21</v>
      </c>
      <c r="H8105" s="27">
        <f t="shared" si="252"/>
        <v>0</v>
      </c>
      <c r="I8105" s="18">
        <v>22574.2</v>
      </c>
      <c r="J8105" s="27">
        <v>38986.21</v>
      </c>
      <c r="K8105" s="18">
        <f t="shared" si="253"/>
        <v>0</v>
      </c>
      <c r="L8105" s="27">
        <v>24420.5</v>
      </c>
      <c r="M8105" s="36">
        <v>1846.3</v>
      </c>
      <c r="T8105" s="41">
        <v>0</v>
      </c>
      <c r="U8105" s="41">
        <v>0</v>
      </c>
      <c r="V8105" s="42" t="s">
        <v>113</v>
      </c>
      <c r="W8105" s="42">
        <v>0</v>
      </c>
      <c r="X8105" s="42">
        <v>0</v>
      </c>
    </row>
    <row r="8106" spans="1:24">
      <c r="A8106" s="27" t="s">
        <v>14675</v>
      </c>
      <c r="B8106" s="28" t="s">
        <v>12240</v>
      </c>
      <c r="C8106" s="27" t="s">
        <v>14676</v>
      </c>
      <c r="D8106" s="27" t="s">
        <v>230</v>
      </c>
      <c r="E8106" s="29">
        <v>40843</v>
      </c>
      <c r="F8106" s="27">
        <v>15</v>
      </c>
      <c r="G8106" s="18">
        <v>46560.39</v>
      </c>
      <c r="H8106" s="27">
        <f t="shared" si="252"/>
        <v>0</v>
      </c>
      <c r="I8106" s="18">
        <v>26959.87</v>
      </c>
      <c r="J8106" s="27">
        <v>46560.39</v>
      </c>
      <c r="K8106" s="18">
        <f t="shared" si="253"/>
        <v>0</v>
      </c>
      <c r="L8106" s="27">
        <v>29164.87</v>
      </c>
      <c r="M8106" s="36">
        <v>2205</v>
      </c>
      <c r="T8106" s="41">
        <v>0</v>
      </c>
      <c r="U8106" s="41">
        <v>0</v>
      </c>
      <c r="V8106" s="42" t="s">
        <v>113</v>
      </c>
      <c r="W8106" s="42">
        <v>0</v>
      </c>
      <c r="X8106" s="42">
        <v>0</v>
      </c>
    </row>
    <row r="8107" spans="1:24">
      <c r="A8107" s="27" t="s">
        <v>14677</v>
      </c>
      <c r="B8107" s="28" t="s">
        <v>12240</v>
      </c>
      <c r="C8107" s="27" t="s">
        <v>14678</v>
      </c>
      <c r="D8107" s="27" t="s">
        <v>230</v>
      </c>
      <c r="E8107" s="29">
        <v>40843</v>
      </c>
      <c r="F8107" s="27">
        <v>15</v>
      </c>
      <c r="G8107" s="18">
        <v>92196.45</v>
      </c>
      <c r="H8107" s="27">
        <f t="shared" si="252"/>
        <v>0</v>
      </c>
      <c r="I8107" s="18">
        <v>63906.7</v>
      </c>
      <c r="J8107" s="27">
        <v>92196.45</v>
      </c>
      <c r="K8107" s="18">
        <f t="shared" si="253"/>
        <v>0</v>
      </c>
      <c r="L8107" s="27">
        <v>66929.67</v>
      </c>
      <c r="M8107" s="36">
        <v>3022.97</v>
      </c>
      <c r="T8107" s="41">
        <v>0</v>
      </c>
      <c r="U8107" s="41">
        <v>0</v>
      </c>
      <c r="V8107" s="42" t="s">
        <v>113</v>
      </c>
      <c r="W8107" s="42">
        <v>0</v>
      </c>
      <c r="X8107" s="42">
        <v>0</v>
      </c>
    </row>
    <row r="8108" spans="1:24">
      <c r="A8108" s="27" t="s">
        <v>14679</v>
      </c>
      <c r="B8108" s="28" t="s">
        <v>12240</v>
      </c>
      <c r="C8108" s="27" t="s">
        <v>14680</v>
      </c>
      <c r="D8108" s="27" t="s">
        <v>230</v>
      </c>
      <c r="E8108" s="29">
        <v>40843</v>
      </c>
      <c r="F8108" s="27">
        <v>15</v>
      </c>
      <c r="G8108" s="18">
        <v>38787.68</v>
      </c>
      <c r="H8108" s="27">
        <f t="shared" si="252"/>
        <v>0</v>
      </c>
      <c r="I8108" s="18">
        <v>22459.23</v>
      </c>
      <c r="J8108" s="27">
        <v>38787.68</v>
      </c>
      <c r="K8108" s="18">
        <f t="shared" si="253"/>
        <v>0</v>
      </c>
      <c r="L8108" s="27">
        <v>24296.13</v>
      </c>
      <c r="M8108" s="36">
        <v>1836.9</v>
      </c>
      <c r="T8108" s="41">
        <v>0</v>
      </c>
      <c r="U8108" s="41">
        <v>0</v>
      </c>
      <c r="V8108" s="42" t="s">
        <v>113</v>
      </c>
      <c r="W8108" s="42">
        <v>0</v>
      </c>
      <c r="X8108" s="42">
        <v>0</v>
      </c>
    </row>
    <row r="8109" spans="1:24">
      <c r="A8109" s="27" t="s">
        <v>14681</v>
      </c>
      <c r="B8109" s="28" t="s">
        <v>12240</v>
      </c>
      <c r="C8109" s="27" t="s">
        <v>14682</v>
      </c>
      <c r="D8109" s="27" t="s">
        <v>230</v>
      </c>
      <c r="E8109" s="29">
        <v>40843</v>
      </c>
      <c r="F8109" s="27">
        <v>15</v>
      </c>
      <c r="G8109" s="18">
        <v>38787.68</v>
      </c>
      <c r="H8109" s="27">
        <f t="shared" si="252"/>
        <v>0</v>
      </c>
      <c r="I8109" s="18">
        <v>22459.23</v>
      </c>
      <c r="J8109" s="27">
        <v>38787.68</v>
      </c>
      <c r="K8109" s="18">
        <f t="shared" si="253"/>
        <v>0</v>
      </c>
      <c r="L8109" s="27">
        <v>24296.13</v>
      </c>
      <c r="M8109" s="36">
        <v>1836.9</v>
      </c>
      <c r="T8109" s="41">
        <v>0</v>
      </c>
      <c r="U8109" s="41">
        <v>0</v>
      </c>
      <c r="V8109" s="42" t="s">
        <v>113</v>
      </c>
      <c r="W8109" s="42">
        <v>0</v>
      </c>
      <c r="X8109" s="42">
        <v>0</v>
      </c>
    </row>
    <row r="8110" spans="1:24">
      <c r="A8110" s="27" t="s">
        <v>14683</v>
      </c>
      <c r="B8110" s="28" t="s">
        <v>12240</v>
      </c>
      <c r="C8110" s="27" t="s">
        <v>14684</v>
      </c>
      <c r="D8110" s="27" t="s">
        <v>230</v>
      </c>
      <c r="E8110" s="29">
        <v>40843</v>
      </c>
      <c r="F8110" s="27">
        <v>15</v>
      </c>
      <c r="G8110" s="18">
        <v>43154.83</v>
      </c>
      <c r="H8110" s="27">
        <f t="shared" si="252"/>
        <v>0</v>
      </c>
      <c r="I8110" s="18">
        <v>24987.96</v>
      </c>
      <c r="J8110" s="27">
        <v>43154.83</v>
      </c>
      <c r="K8110" s="18">
        <f t="shared" si="253"/>
        <v>0</v>
      </c>
      <c r="L8110" s="27">
        <v>27031.68</v>
      </c>
      <c r="M8110" s="36">
        <v>2043.72</v>
      </c>
      <c r="T8110" s="41">
        <v>0</v>
      </c>
      <c r="U8110" s="41">
        <v>0</v>
      </c>
      <c r="V8110" s="42" t="s">
        <v>113</v>
      </c>
      <c r="W8110" s="42">
        <v>0</v>
      </c>
      <c r="X8110" s="42">
        <v>0</v>
      </c>
    </row>
    <row r="8111" spans="1:24">
      <c r="A8111" s="27" t="s">
        <v>14685</v>
      </c>
      <c r="B8111" s="28" t="s">
        <v>12240</v>
      </c>
      <c r="C8111" s="27" t="s">
        <v>14686</v>
      </c>
      <c r="D8111" s="27" t="s">
        <v>230</v>
      </c>
      <c r="E8111" s="29">
        <v>40843</v>
      </c>
      <c r="F8111" s="27">
        <v>15</v>
      </c>
      <c r="G8111" s="18">
        <v>43154.83</v>
      </c>
      <c r="H8111" s="27">
        <f t="shared" si="252"/>
        <v>0</v>
      </c>
      <c r="I8111" s="18">
        <v>24987.96</v>
      </c>
      <c r="J8111" s="27">
        <v>43154.83</v>
      </c>
      <c r="K8111" s="18">
        <f t="shared" si="253"/>
        <v>0</v>
      </c>
      <c r="L8111" s="27">
        <v>27031.68</v>
      </c>
      <c r="M8111" s="36">
        <v>2043.72</v>
      </c>
      <c r="T8111" s="41">
        <v>0</v>
      </c>
      <c r="U8111" s="41">
        <v>0</v>
      </c>
      <c r="V8111" s="42" t="s">
        <v>113</v>
      </c>
      <c r="W8111" s="42">
        <v>0</v>
      </c>
      <c r="X8111" s="42">
        <v>0</v>
      </c>
    </row>
    <row r="8112" spans="1:24">
      <c r="A8112" s="27" t="s">
        <v>14687</v>
      </c>
      <c r="B8112" s="28" t="s">
        <v>12240</v>
      </c>
      <c r="C8112" s="27" t="s">
        <v>14688</v>
      </c>
      <c r="D8112" s="27" t="s">
        <v>230</v>
      </c>
      <c r="E8112" s="29">
        <v>40843</v>
      </c>
      <c r="F8112" s="27">
        <v>15</v>
      </c>
      <c r="G8112" s="18">
        <v>43154.83</v>
      </c>
      <c r="H8112" s="27">
        <f t="shared" si="252"/>
        <v>0</v>
      </c>
      <c r="I8112" s="18">
        <v>24987.96</v>
      </c>
      <c r="J8112" s="27">
        <v>43154.83</v>
      </c>
      <c r="K8112" s="18">
        <f t="shared" si="253"/>
        <v>0</v>
      </c>
      <c r="L8112" s="27">
        <v>27031.68</v>
      </c>
      <c r="M8112" s="36">
        <v>2043.72</v>
      </c>
      <c r="T8112" s="41">
        <v>0</v>
      </c>
      <c r="U8112" s="41">
        <v>0</v>
      </c>
      <c r="V8112" s="42" t="s">
        <v>113</v>
      </c>
      <c r="W8112" s="42">
        <v>0</v>
      </c>
      <c r="X8112" s="42">
        <v>0</v>
      </c>
    </row>
    <row r="8113" spans="1:24">
      <c r="A8113" s="27" t="s">
        <v>14689</v>
      </c>
      <c r="B8113" s="28" t="s">
        <v>12240</v>
      </c>
      <c r="C8113" s="27" t="s">
        <v>14690</v>
      </c>
      <c r="D8113" s="27" t="s">
        <v>230</v>
      </c>
      <c r="E8113" s="29">
        <v>40843</v>
      </c>
      <c r="F8113" s="27">
        <v>15</v>
      </c>
      <c r="G8113" s="18">
        <v>43154.83</v>
      </c>
      <c r="H8113" s="27">
        <f t="shared" si="252"/>
        <v>0</v>
      </c>
      <c r="I8113" s="18">
        <v>24987.96</v>
      </c>
      <c r="J8113" s="27">
        <v>43154.83</v>
      </c>
      <c r="K8113" s="18">
        <f t="shared" si="253"/>
        <v>0</v>
      </c>
      <c r="L8113" s="27">
        <v>27031.68</v>
      </c>
      <c r="M8113" s="36">
        <v>2043.72</v>
      </c>
      <c r="T8113" s="41">
        <v>0</v>
      </c>
      <c r="U8113" s="41">
        <v>0</v>
      </c>
      <c r="V8113" s="42" t="s">
        <v>113</v>
      </c>
      <c r="W8113" s="42">
        <v>0</v>
      </c>
      <c r="X8113" s="42">
        <v>0</v>
      </c>
    </row>
    <row r="8114" spans="1:24">
      <c r="A8114" s="27" t="s">
        <v>14691</v>
      </c>
      <c r="B8114" s="28" t="s">
        <v>12240</v>
      </c>
      <c r="C8114" s="27" t="s">
        <v>14692</v>
      </c>
      <c r="D8114" s="27" t="s">
        <v>230</v>
      </c>
      <c r="E8114" s="29">
        <v>40843</v>
      </c>
      <c r="F8114" s="27">
        <v>15</v>
      </c>
      <c r="G8114" s="18">
        <v>43154.83</v>
      </c>
      <c r="H8114" s="27">
        <f t="shared" si="252"/>
        <v>0</v>
      </c>
      <c r="I8114" s="18">
        <v>24987.96</v>
      </c>
      <c r="J8114" s="27">
        <v>43154.83</v>
      </c>
      <c r="K8114" s="18">
        <f t="shared" si="253"/>
        <v>0</v>
      </c>
      <c r="L8114" s="27">
        <v>27031.68</v>
      </c>
      <c r="M8114" s="36">
        <v>2043.72</v>
      </c>
      <c r="T8114" s="41">
        <v>0</v>
      </c>
      <c r="U8114" s="41">
        <v>0</v>
      </c>
      <c r="V8114" s="42" t="s">
        <v>113</v>
      </c>
      <c r="W8114" s="42">
        <v>0</v>
      </c>
      <c r="X8114" s="42">
        <v>0</v>
      </c>
    </row>
    <row r="8115" spans="1:24">
      <c r="A8115" s="27" t="s">
        <v>14693</v>
      </c>
      <c r="B8115" s="28" t="s">
        <v>12240</v>
      </c>
      <c r="C8115" s="27" t="s">
        <v>14694</v>
      </c>
      <c r="D8115" s="27" t="s">
        <v>230</v>
      </c>
      <c r="E8115" s="29">
        <v>40843</v>
      </c>
      <c r="F8115" s="27">
        <v>15</v>
      </c>
      <c r="G8115" s="18">
        <v>43154.83</v>
      </c>
      <c r="H8115" s="27">
        <f t="shared" si="252"/>
        <v>0</v>
      </c>
      <c r="I8115" s="18">
        <v>24987.96</v>
      </c>
      <c r="J8115" s="27">
        <v>43154.83</v>
      </c>
      <c r="K8115" s="18">
        <f t="shared" si="253"/>
        <v>0</v>
      </c>
      <c r="L8115" s="27">
        <v>27031.68</v>
      </c>
      <c r="M8115" s="36">
        <v>2043.72</v>
      </c>
      <c r="T8115" s="41">
        <v>0</v>
      </c>
      <c r="U8115" s="41">
        <v>0</v>
      </c>
      <c r="V8115" s="42" t="s">
        <v>113</v>
      </c>
      <c r="W8115" s="42">
        <v>0</v>
      </c>
      <c r="X8115" s="42">
        <v>0</v>
      </c>
    </row>
    <row r="8116" spans="1:24">
      <c r="A8116" s="27" t="s">
        <v>14695</v>
      </c>
      <c r="B8116" s="28" t="s">
        <v>12240</v>
      </c>
      <c r="C8116" s="27" t="s">
        <v>14696</v>
      </c>
      <c r="D8116" s="27" t="s">
        <v>230</v>
      </c>
      <c r="E8116" s="29">
        <v>40843</v>
      </c>
      <c r="F8116" s="27">
        <v>15</v>
      </c>
      <c r="G8116" s="18">
        <v>43154.83</v>
      </c>
      <c r="H8116" s="27">
        <f t="shared" si="252"/>
        <v>0</v>
      </c>
      <c r="I8116" s="18">
        <v>24987.96</v>
      </c>
      <c r="J8116" s="27">
        <v>43154.83</v>
      </c>
      <c r="K8116" s="18">
        <f t="shared" si="253"/>
        <v>0</v>
      </c>
      <c r="L8116" s="27">
        <v>27031.68</v>
      </c>
      <c r="M8116" s="36">
        <v>2043.72</v>
      </c>
      <c r="T8116" s="41">
        <v>0</v>
      </c>
      <c r="U8116" s="41">
        <v>0</v>
      </c>
      <c r="V8116" s="42" t="s">
        <v>113</v>
      </c>
      <c r="W8116" s="42">
        <v>0</v>
      </c>
      <c r="X8116" s="42">
        <v>0</v>
      </c>
    </row>
    <row r="8117" spans="1:24">
      <c r="A8117" s="27" t="s">
        <v>14697</v>
      </c>
      <c r="B8117" s="28" t="s">
        <v>12240</v>
      </c>
      <c r="C8117" s="27" t="s">
        <v>14698</v>
      </c>
      <c r="D8117" s="27" t="s">
        <v>230</v>
      </c>
      <c r="E8117" s="29">
        <v>40843</v>
      </c>
      <c r="F8117" s="27">
        <v>15</v>
      </c>
      <c r="G8117" s="18">
        <v>43154.83</v>
      </c>
      <c r="H8117" s="27">
        <f t="shared" si="252"/>
        <v>0</v>
      </c>
      <c r="I8117" s="18">
        <v>24987.96</v>
      </c>
      <c r="J8117" s="27">
        <v>43154.83</v>
      </c>
      <c r="K8117" s="18">
        <f t="shared" si="253"/>
        <v>0</v>
      </c>
      <c r="L8117" s="27">
        <v>27031.68</v>
      </c>
      <c r="M8117" s="36">
        <v>2043.72</v>
      </c>
      <c r="T8117" s="41">
        <v>0</v>
      </c>
      <c r="U8117" s="41">
        <v>0</v>
      </c>
      <c r="V8117" s="42" t="s">
        <v>113</v>
      </c>
      <c r="W8117" s="42">
        <v>0</v>
      </c>
      <c r="X8117" s="42">
        <v>0</v>
      </c>
    </row>
    <row r="8118" spans="1:24">
      <c r="A8118" s="27" t="s">
        <v>14699</v>
      </c>
      <c r="B8118" s="28" t="s">
        <v>12240</v>
      </c>
      <c r="C8118" s="27" t="s">
        <v>14700</v>
      </c>
      <c r="D8118" s="27" t="s">
        <v>230</v>
      </c>
      <c r="E8118" s="29">
        <v>40843</v>
      </c>
      <c r="F8118" s="27">
        <v>15</v>
      </c>
      <c r="G8118" s="18">
        <v>43154.82</v>
      </c>
      <c r="H8118" s="27">
        <f t="shared" si="252"/>
        <v>0</v>
      </c>
      <c r="I8118" s="18">
        <v>24987.95</v>
      </c>
      <c r="J8118" s="27">
        <v>43154.82</v>
      </c>
      <c r="K8118" s="18">
        <f t="shared" si="253"/>
        <v>0</v>
      </c>
      <c r="L8118" s="27">
        <v>27031.67</v>
      </c>
      <c r="M8118" s="36">
        <v>2043.72</v>
      </c>
      <c r="T8118" s="41">
        <v>0</v>
      </c>
      <c r="U8118" s="41">
        <v>0</v>
      </c>
      <c r="V8118" s="42" t="s">
        <v>113</v>
      </c>
      <c r="W8118" s="42">
        <v>0</v>
      </c>
      <c r="X8118" s="42">
        <v>0</v>
      </c>
    </row>
    <row r="8119" spans="1:24">
      <c r="A8119" s="27" t="s">
        <v>14701</v>
      </c>
      <c r="B8119" s="28" t="s">
        <v>12240</v>
      </c>
      <c r="C8119" s="27" t="s">
        <v>14302</v>
      </c>
      <c r="D8119" s="27" t="s">
        <v>230</v>
      </c>
      <c r="E8119" s="29">
        <v>40843</v>
      </c>
      <c r="F8119" s="27">
        <v>15</v>
      </c>
      <c r="G8119" s="18">
        <v>24098.94</v>
      </c>
      <c r="H8119" s="27">
        <f t="shared" si="252"/>
        <v>0</v>
      </c>
      <c r="I8119" s="18">
        <v>13956.45</v>
      </c>
      <c r="J8119" s="27">
        <v>24098.94</v>
      </c>
      <c r="K8119" s="18">
        <f t="shared" si="253"/>
        <v>0</v>
      </c>
      <c r="L8119" s="27">
        <v>15097.41</v>
      </c>
      <c r="M8119" s="36">
        <v>1140.96</v>
      </c>
      <c r="T8119" s="41">
        <v>0</v>
      </c>
      <c r="U8119" s="41">
        <v>0</v>
      </c>
      <c r="V8119" s="42" t="s">
        <v>113</v>
      </c>
      <c r="W8119" s="42">
        <v>0</v>
      </c>
      <c r="X8119" s="42">
        <v>0</v>
      </c>
    </row>
    <row r="8120" spans="1:24">
      <c r="A8120" s="27" t="s">
        <v>14702</v>
      </c>
      <c r="B8120" s="28" t="s">
        <v>12240</v>
      </c>
      <c r="C8120" s="27" t="s">
        <v>14306</v>
      </c>
      <c r="D8120" s="27" t="s">
        <v>230</v>
      </c>
      <c r="E8120" s="29">
        <v>40843</v>
      </c>
      <c r="F8120" s="27">
        <v>15</v>
      </c>
      <c r="G8120" s="18">
        <v>7561.1</v>
      </c>
      <c r="H8120" s="27">
        <f t="shared" si="252"/>
        <v>0</v>
      </c>
      <c r="I8120" s="18">
        <v>4378.87</v>
      </c>
      <c r="J8120" s="27">
        <v>7561.1</v>
      </c>
      <c r="K8120" s="18">
        <f t="shared" si="253"/>
        <v>0</v>
      </c>
      <c r="L8120" s="27">
        <v>4736.8500000000004</v>
      </c>
      <c r="M8120" s="36">
        <v>357.98</v>
      </c>
      <c r="T8120" s="41">
        <v>0</v>
      </c>
      <c r="U8120" s="41">
        <v>0</v>
      </c>
      <c r="V8120" s="42" t="s">
        <v>113</v>
      </c>
      <c r="W8120" s="42">
        <v>0</v>
      </c>
      <c r="X8120" s="42">
        <v>0</v>
      </c>
    </row>
    <row r="8121" spans="1:24">
      <c r="A8121" s="27" t="s">
        <v>14703</v>
      </c>
      <c r="B8121" s="28" t="s">
        <v>12240</v>
      </c>
      <c r="C8121" s="27" t="s">
        <v>14302</v>
      </c>
      <c r="D8121" s="27" t="s">
        <v>230</v>
      </c>
      <c r="E8121" s="29">
        <v>40843</v>
      </c>
      <c r="F8121" s="27">
        <v>15</v>
      </c>
      <c r="G8121" s="18">
        <v>96274.82</v>
      </c>
      <c r="H8121" s="27">
        <f t="shared" si="252"/>
        <v>0</v>
      </c>
      <c r="I8121" s="18">
        <v>55755.77</v>
      </c>
      <c r="J8121" s="27">
        <v>96274.82</v>
      </c>
      <c r="K8121" s="18">
        <f t="shared" si="253"/>
        <v>0</v>
      </c>
      <c r="L8121" s="27">
        <v>60313.89</v>
      </c>
      <c r="M8121" s="36">
        <v>4558.12</v>
      </c>
      <c r="T8121" s="41">
        <v>0</v>
      </c>
      <c r="U8121" s="41">
        <v>0</v>
      </c>
      <c r="V8121" s="42" t="s">
        <v>113</v>
      </c>
      <c r="W8121" s="42">
        <v>0</v>
      </c>
      <c r="X8121" s="42">
        <v>0</v>
      </c>
    </row>
    <row r="8122" spans="1:24">
      <c r="A8122" s="27" t="s">
        <v>14704</v>
      </c>
      <c r="B8122" s="28" t="s">
        <v>12240</v>
      </c>
      <c r="C8122" s="27" t="s">
        <v>14306</v>
      </c>
      <c r="D8122" s="27" t="s">
        <v>230</v>
      </c>
      <c r="E8122" s="29">
        <v>40843</v>
      </c>
      <c r="F8122" s="27">
        <v>15</v>
      </c>
      <c r="G8122" s="18">
        <v>6226.93</v>
      </c>
      <c r="H8122" s="27">
        <f t="shared" si="252"/>
        <v>0</v>
      </c>
      <c r="I8122" s="18">
        <v>3606.21</v>
      </c>
      <c r="J8122" s="27">
        <v>6226.93</v>
      </c>
      <c r="K8122" s="18">
        <f t="shared" si="253"/>
        <v>0</v>
      </c>
      <c r="L8122" s="27">
        <v>3901.02</v>
      </c>
      <c r="M8122" s="36">
        <v>294.81</v>
      </c>
      <c r="T8122" s="41">
        <v>0</v>
      </c>
      <c r="U8122" s="41">
        <v>0</v>
      </c>
      <c r="V8122" s="42" t="s">
        <v>113</v>
      </c>
      <c r="W8122" s="42">
        <v>0</v>
      </c>
      <c r="X8122" s="42">
        <v>0</v>
      </c>
    </row>
    <row r="8123" spans="1:24">
      <c r="A8123" s="27" t="s">
        <v>14705</v>
      </c>
      <c r="B8123" s="28" t="s">
        <v>12240</v>
      </c>
      <c r="C8123" s="27" t="s">
        <v>14302</v>
      </c>
      <c r="D8123" s="27" t="s">
        <v>230</v>
      </c>
      <c r="E8123" s="29">
        <v>40843</v>
      </c>
      <c r="F8123" s="27">
        <v>15</v>
      </c>
      <c r="G8123" s="18">
        <v>56440.23</v>
      </c>
      <c r="H8123" s="27">
        <f t="shared" si="252"/>
        <v>0</v>
      </c>
      <c r="I8123" s="18">
        <v>32686.31</v>
      </c>
      <c r="J8123" s="27">
        <v>56440.23</v>
      </c>
      <c r="K8123" s="18">
        <f t="shared" si="253"/>
        <v>0</v>
      </c>
      <c r="L8123" s="27">
        <v>35358.47</v>
      </c>
      <c r="M8123" s="36">
        <v>2672.16</v>
      </c>
      <c r="T8123" s="41">
        <v>0</v>
      </c>
      <c r="U8123" s="41">
        <v>0</v>
      </c>
      <c r="V8123" s="42" t="s">
        <v>113</v>
      </c>
      <c r="W8123" s="42">
        <v>0</v>
      </c>
      <c r="X8123" s="42">
        <v>0</v>
      </c>
    </row>
    <row r="8124" spans="1:24">
      <c r="A8124" s="27" t="s">
        <v>14706</v>
      </c>
      <c r="B8124" s="28" t="s">
        <v>12240</v>
      </c>
      <c r="C8124" s="27" t="s">
        <v>14302</v>
      </c>
      <c r="D8124" s="27" t="s">
        <v>230</v>
      </c>
      <c r="E8124" s="29">
        <v>40843</v>
      </c>
      <c r="F8124" s="27">
        <v>15</v>
      </c>
      <c r="G8124" s="18">
        <v>93177.22</v>
      </c>
      <c r="H8124" s="27">
        <f t="shared" si="252"/>
        <v>0</v>
      </c>
      <c r="I8124" s="18">
        <v>53961.85</v>
      </c>
      <c r="J8124" s="27">
        <v>93177.22</v>
      </c>
      <c r="K8124" s="18">
        <f t="shared" si="253"/>
        <v>0</v>
      </c>
      <c r="L8124" s="27">
        <v>58373.32</v>
      </c>
      <c r="M8124" s="36">
        <v>4411.47</v>
      </c>
      <c r="T8124" s="41">
        <v>0</v>
      </c>
      <c r="U8124" s="41">
        <v>0</v>
      </c>
      <c r="V8124" s="42" t="s">
        <v>113</v>
      </c>
      <c r="W8124" s="42">
        <v>0</v>
      </c>
      <c r="X8124" s="42">
        <v>0</v>
      </c>
    </row>
    <row r="8125" spans="1:24">
      <c r="A8125" s="27" t="s">
        <v>14707</v>
      </c>
      <c r="B8125" s="28" t="s">
        <v>12240</v>
      </c>
      <c r="C8125" s="27" t="s">
        <v>14708</v>
      </c>
      <c r="D8125" s="27" t="s">
        <v>5104</v>
      </c>
      <c r="E8125" s="29">
        <v>41365</v>
      </c>
      <c r="F8125" s="27">
        <v>15</v>
      </c>
      <c r="G8125" s="18">
        <v>19304.169999999998</v>
      </c>
      <c r="H8125" s="27">
        <f t="shared" si="252"/>
        <v>0</v>
      </c>
      <c r="I8125" s="18">
        <v>8216.3799999999992</v>
      </c>
      <c r="J8125" s="27">
        <v>19304.169999999998</v>
      </c>
      <c r="K8125" s="18">
        <f t="shared" si="253"/>
        <v>0</v>
      </c>
      <c r="L8125" s="27">
        <v>9300.94</v>
      </c>
      <c r="M8125" s="36">
        <v>1084.56</v>
      </c>
      <c r="T8125" s="41">
        <v>0</v>
      </c>
      <c r="U8125" s="41">
        <v>0</v>
      </c>
      <c r="V8125" s="42" t="s">
        <v>113</v>
      </c>
      <c r="W8125" s="42">
        <v>0</v>
      </c>
      <c r="X8125" s="42">
        <v>0</v>
      </c>
    </row>
    <row r="8126" spans="1:24">
      <c r="A8126" s="27" t="s">
        <v>14709</v>
      </c>
      <c r="B8126" s="28" t="s">
        <v>12240</v>
      </c>
      <c r="C8126" s="27" t="s">
        <v>14710</v>
      </c>
      <c r="D8126" s="27" t="s">
        <v>5104</v>
      </c>
      <c r="E8126" s="29">
        <v>41365</v>
      </c>
      <c r="F8126" s="27">
        <v>15</v>
      </c>
      <c r="G8126" s="18">
        <v>19304.18</v>
      </c>
      <c r="H8126" s="27">
        <f t="shared" si="252"/>
        <v>0</v>
      </c>
      <c r="I8126" s="18">
        <v>8216.39</v>
      </c>
      <c r="J8126" s="27">
        <v>19304.18</v>
      </c>
      <c r="K8126" s="18">
        <f t="shared" si="253"/>
        <v>0</v>
      </c>
      <c r="L8126" s="27">
        <v>9300.9500000000007</v>
      </c>
      <c r="M8126" s="36">
        <v>1084.56</v>
      </c>
      <c r="T8126" s="41">
        <v>0</v>
      </c>
      <c r="U8126" s="41">
        <v>0</v>
      </c>
      <c r="V8126" s="42" t="s">
        <v>113</v>
      </c>
      <c r="W8126" s="42">
        <v>0</v>
      </c>
      <c r="X8126" s="42">
        <v>0</v>
      </c>
    </row>
    <row r="8127" spans="1:24">
      <c r="A8127" s="27" t="s">
        <v>14711</v>
      </c>
      <c r="B8127" s="28" t="s">
        <v>12240</v>
      </c>
      <c r="C8127" s="27" t="s">
        <v>14712</v>
      </c>
      <c r="D8127" s="27" t="s">
        <v>5104</v>
      </c>
      <c r="E8127" s="29">
        <v>41365</v>
      </c>
      <c r="F8127" s="27">
        <v>15</v>
      </c>
      <c r="G8127" s="18">
        <v>6318.83</v>
      </c>
      <c r="H8127" s="27">
        <f t="shared" si="252"/>
        <v>0</v>
      </c>
      <c r="I8127" s="18">
        <v>2689.46</v>
      </c>
      <c r="J8127" s="27">
        <v>6318.83</v>
      </c>
      <c r="K8127" s="18">
        <f t="shared" si="253"/>
        <v>0</v>
      </c>
      <c r="L8127" s="27">
        <v>3044.47</v>
      </c>
      <c r="M8127" s="36">
        <v>355.01</v>
      </c>
      <c r="T8127" s="41">
        <v>0</v>
      </c>
      <c r="U8127" s="41">
        <v>0</v>
      </c>
      <c r="V8127" s="42" t="s">
        <v>113</v>
      </c>
      <c r="W8127" s="42">
        <v>0</v>
      </c>
      <c r="X8127" s="42">
        <v>0</v>
      </c>
    </row>
    <row r="8128" spans="1:24">
      <c r="A8128" s="27" t="s">
        <v>14713</v>
      </c>
      <c r="B8128" s="28" t="s">
        <v>12240</v>
      </c>
      <c r="C8128" s="27" t="s">
        <v>14714</v>
      </c>
      <c r="D8128" s="27" t="s">
        <v>230</v>
      </c>
      <c r="E8128" s="29">
        <v>41365</v>
      </c>
      <c r="F8128" s="27">
        <v>15</v>
      </c>
      <c r="G8128" s="18">
        <v>9206.31</v>
      </c>
      <c r="H8128" s="27">
        <f t="shared" si="252"/>
        <v>0</v>
      </c>
      <c r="I8128" s="18">
        <v>3918.44</v>
      </c>
      <c r="J8128" s="27">
        <v>9206.31</v>
      </c>
      <c r="K8128" s="18">
        <f t="shared" si="253"/>
        <v>0</v>
      </c>
      <c r="L8128" s="27">
        <v>4435.68</v>
      </c>
      <c r="M8128" s="36">
        <v>517.24</v>
      </c>
      <c r="T8128" s="41">
        <v>0</v>
      </c>
      <c r="U8128" s="41">
        <v>0</v>
      </c>
      <c r="V8128" s="42" t="s">
        <v>113</v>
      </c>
      <c r="W8128" s="42">
        <v>0</v>
      </c>
      <c r="X8128" s="42">
        <v>0</v>
      </c>
    </row>
    <row r="8129" spans="1:24">
      <c r="A8129" s="27" t="s">
        <v>14715</v>
      </c>
      <c r="B8129" s="28" t="s">
        <v>12240</v>
      </c>
      <c r="C8129" s="27" t="s">
        <v>14716</v>
      </c>
      <c r="D8129" s="27" t="s">
        <v>230</v>
      </c>
      <c r="E8129" s="29">
        <v>41365</v>
      </c>
      <c r="F8129" s="27">
        <v>15</v>
      </c>
      <c r="G8129" s="18">
        <v>38850.5</v>
      </c>
      <c r="H8129" s="27">
        <f t="shared" si="252"/>
        <v>0</v>
      </c>
      <c r="I8129" s="18">
        <v>16535.82</v>
      </c>
      <c r="J8129" s="27">
        <v>38850.5</v>
      </c>
      <c r="K8129" s="18">
        <f t="shared" si="253"/>
        <v>0</v>
      </c>
      <c r="L8129" s="27">
        <v>18718.55</v>
      </c>
      <c r="M8129" s="36">
        <v>2182.73</v>
      </c>
      <c r="T8129" s="41">
        <v>0</v>
      </c>
      <c r="U8129" s="41">
        <v>0</v>
      </c>
      <c r="V8129" s="42" t="s">
        <v>113</v>
      </c>
      <c r="W8129" s="42">
        <v>0</v>
      </c>
      <c r="X8129" s="42">
        <v>0</v>
      </c>
    </row>
    <row r="8130" spans="1:24">
      <c r="A8130" s="27" t="s">
        <v>14717</v>
      </c>
      <c r="B8130" s="28" t="s">
        <v>12240</v>
      </c>
      <c r="C8130" s="27" t="s">
        <v>14718</v>
      </c>
      <c r="D8130" s="27" t="s">
        <v>230</v>
      </c>
      <c r="E8130" s="29">
        <v>40297</v>
      </c>
      <c r="F8130" s="27">
        <v>15</v>
      </c>
      <c r="G8130" s="18">
        <v>20549.16</v>
      </c>
      <c r="H8130" s="27">
        <f t="shared" si="252"/>
        <v>0</v>
      </c>
      <c r="I8130" s="18">
        <v>14234.36</v>
      </c>
      <c r="J8130" s="27">
        <v>20549.16</v>
      </c>
      <c r="K8130" s="18">
        <f t="shared" si="253"/>
        <v>0</v>
      </c>
      <c r="L8130" s="27">
        <v>15127.99</v>
      </c>
      <c r="M8130" s="36">
        <v>893.63</v>
      </c>
      <c r="T8130" s="41">
        <v>0</v>
      </c>
      <c r="U8130" s="41">
        <v>0</v>
      </c>
      <c r="V8130" s="42" t="s">
        <v>113</v>
      </c>
      <c r="W8130" s="42">
        <v>0</v>
      </c>
      <c r="X8130" s="42">
        <v>0</v>
      </c>
    </row>
    <row r="8131" spans="1:24">
      <c r="A8131" s="27" t="s">
        <v>14719</v>
      </c>
      <c r="B8131" s="28" t="s">
        <v>12240</v>
      </c>
      <c r="C8131" s="27" t="s">
        <v>14720</v>
      </c>
      <c r="D8131" s="27" t="s">
        <v>230</v>
      </c>
      <c r="E8131" s="29">
        <v>40297</v>
      </c>
      <c r="F8131" s="27">
        <v>15</v>
      </c>
      <c r="G8131" s="18">
        <v>82748.56</v>
      </c>
      <c r="H8131" s="27">
        <f t="shared" si="252"/>
        <v>0</v>
      </c>
      <c r="I8131" s="18">
        <v>57305.78</v>
      </c>
      <c r="J8131" s="27">
        <v>82748.56</v>
      </c>
      <c r="K8131" s="18">
        <f t="shared" si="253"/>
        <v>0</v>
      </c>
      <c r="L8131" s="27">
        <v>60906.68</v>
      </c>
      <c r="M8131" s="36">
        <v>3600.9</v>
      </c>
      <c r="T8131" s="41">
        <v>0</v>
      </c>
      <c r="U8131" s="41">
        <v>0</v>
      </c>
      <c r="V8131" s="42" t="s">
        <v>113</v>
      </c>
      <c r="W8131" s="42">
        <v>0</v>
      </c>
      <c r="X8131" s="42">
        <v>0</v>
      </c>
    </row>
    <row r="8132" spans="1:24">
      <c r="A8132" s="27" t="s">
        <v>14721</v>
      </c>
      <c r="B8132" s="28" t="s">
        <v>12240</v>
      </c>
      <c r="C8132" s="27" t="s">
        <v>14722</v>
      </c>
      <c r="D8132" s="27" t="s">
        <v>230</v>
      </c>
      <c r="E8132" s="29">
        <v>40843</v>
      </c>
      <c r="F8132" s="27">
        <v>15</v>
      </c>
      <c r="G8132" s="18">
        <v>19405.259999999998</v>
      </c>
      <c r="H8132" s="27">
        <f t="shared" si="252"/>
        <v>0</v>
      </c>
      <c r="I8132" s="18">
        <v>11236.24</v>
      </c>
      <c r="J8132" s="27">
        <v>19405.259999999998</v>
      </c>
      <c r="K8132" s="18">
        <f t="shared" si="253"/>
        <v>0</v>
      </c>
      <c r="L8132" s="27">
        <v>12155.23</v>
      </c>
      <c r="M8132" s="36">
        <v>918.99</v>
      </c>
      <c r="T8132" s="41">
        <v>0</v>
      </c>
      <c r="U8132" s="41">
        <v>0</v>
      </c>
      <c r="V8132" s="42" t="s">
        <v>113</v>
      </c>
      <c r="W8132" s="42">
        <v>0</v>
      </c>
      <c r="X8132" s="42">
        <v>0</v>
      </c>
    </row>
    <row r="8133" spans="1:24">
      <c r="A8133" s="27" t="s">
        <v>14723</v>
      </c>
      <c r="B8133" s="28" t="s">
        <v>12240</v>
      </c>
      <c r="C8133" s="27" t="s">
        <v>14724</v>
      </c>
      <c r="D8133" s="27" t="s">
        <v>230</v>
      </c>
      <c r="E8133" s="29">
        <v>40843</v>
      </c>
      <c r="F8133" s="27">
        <v>15</v>
      </c>
      <c r="G8133" s="18">
        <v>19405.259999999998</v>
      </c>
      <c r="H8133" s="27">
        <f t="shared" si="252"/>
        <v>0</v>
      </c>
      <c r="I8133" s="18">
        <v>11236.24</v>
      </c>
      <c r="J8133" s="27">
        <v>19405.259999999998</v>
      </c>
      <c r="K8133" s="18">
        <f t="shared" si="253"/>
        <v>0</v>
      </c>
      <c r="L8133" s="27">
        <v>12155.23</v>
      </c>
      <c r="M8133" s="36">
        <v>918.99</v>
      </c>
      <c r="T8133" s="41">
        <v>0</v>
      </c>
      <c r="U8133" s="41">
        <v>0</v>
      </c>
      <c r="V8133" s="42" t="s">
        <v>113</v>
      </c>
      <c r="W8133" s="42">
        <v>0</v>
      </c>
      <c r="X8133" s="42">
        <v>0</v>
      </c>
    </row>
    <row r="8134" spans="1:24">
      <c r="A8134" s="27" t="s">
        <v>14725</v>
      </c>
      <c r="B8134" s="28" t="s">
        <v>12240</v>
      </c>
      <c r="C8134" s="27" t="s">
        <v>14726</v>
      </c>
      <c r="D8134" s="27" t="s">
        <v>230</v>
      </c>
      <c r="E8134" s="29">
        <v>40843</v>
      </c>
      <c r="F8134" s="27">
        <v>15</v>
      </c>
      <c r="G8134" s="18">
        <v>19405.259999999998</v>
      </c>
      <c r="H8134" s="27">
        <f t="shared" ref="H8134:H8197" si="254">IFERROR(IF(ROUND((G8134-I8134)/G8134,2)&lt;=0.05,G8134,0),0)</f>
        <v>0</v>
      </c>
      <c r="I8134" s="18">
        <v>11236.24</v>
      </c>
      <c r="J8134" s="27">
        <v>19405.259999999998</v>
      </c>
      <c r="K8134" s="18">
        <f t="shared" ref="K8134:K8197" si="255">IFERROR(IF(ROUND((J8134-L8134)/J8134,2)&lt;=0.05,J8134,0),0)</f>
        <v>0</v>
      </c>
      <c r="L8134" s="27">
        <v>12155.23</v>
      </c>
      <c r="M8134" s="36">
        <v>918.99</v>
      </c>
      <c r="T8134" s="41">
        <v>0</v>
      </c>
      <c r="U8134" s="41">
        <v>0</v>
      </c>
      <c r="V8134" s="42" t="s">
        <v>113</v>
      </c>
      <c r="W8134" s="42">
        <v>0</v>
      </c>
      <c r="X8134" s="42">
        <v>0</v>
      </c>
    </row>
    <row r="8135" spans="1:24">
      <c r="A8135" s="27" t="s">
        <v>14727</v>
      </c>
      <c r="B8135" s="28" t="s">
        <v>12240</v>
      </c>
      <c r="C8135" s="27" t="s">
        <v>14728</v>
      </c>
      <c r="D8135" s="27" t="s">
        <v>230</v>
      </c>
      <c r="E8135" s="29">
        <v>40843</v>
      </c>
      <c r="F8135" s="27">
        <v>15</v>
      </c>
      <c r="G8135" s="18">
        <v>19405.259999999998</v>
      </c>
      <c r="H8135" s="27">
        <f t="shared" si="254"/>
        <v>0</v>
      </c>
      <c r="I8135" s="18">
        <v>11236.24</v>
      </c>
      <c r="J8135" s="27">
        <v>19405.259999999998</v>
      </c>
      <c r="K8135" s="18">
        <f t="shared" si="255"/>
        <v>0</v>
      </c>
      <c r="L8135" s="27">
        <v>12155.23</v>
      </c>
      <c r="M8135" s="36">
        <v>918.99</v>
      </c>
      <c r="T8135" s="41">
        <v>0</v>
      </c>
      <c r="U8135" s="41">
        <v>0</v>
      </c>
      <c r="V8135" s="42" t="s">
        <v>113</v>
      </c>
      <c r="W8135" s="42">
        <v>0</v>
      </c>
      <c r="X8135" s="42">
        <v>0</v>
      </c>
    </row>
    <row r="8136" spans="1:24">
      <c r="A8136" s="27" t="s">
        <v>14729</v>
      </c>
      <c r="B8136" s="28" t="s">
        <v>12240</v>
      </c>
      <c r="C8136" s="27" t="s">
        <v>14730</v>
      </c>
      <c r="D8136" s="27" t="s">
        <v>230</v>
      </c>
      <c r="E8136" s="29">
        <v>40843</v>
      </c>
      <c r="F8136" s="27">
        <v>15</v>
      </c>
      <c r="G8136" s="18">
        <v>562836.36</v>
      </c>
      <c r="H8136" s="27">
        <f t="shared" si="254"/>
        <v>0</v>
      </c>
      <c r="I8136" s="18">
        <v>339049.05</v>
      </c>
      <c r="J8136" s="27">
        <v>562836.36</v>
      </c>
      <c r="K8136" s="18">
        <f t="shared" si="255"/>
        <v>0</v>
      </c>
      <c r="L8136" s="27">
        <v>364025.07</v>
      </c>
      <c r="M8136" s="36">
        <v>24976.02</v>
      </c>
      <c r="T8136" s="41">
        <v>0</v>
      </c>
      <c r="U8136" s="41">
        <v>0</v>
      </c>
      <c r="V8136" s="42" t="s">
        <v>113</v>
      </c>
      <c r="W8136" s="42">
        <v>0</v>
      </c>
      <c r="X8136" s="42">
        <v>0</v>
      </c>
    </row>
    <row r="8137" spans="1:24">
      <c r="A8137" s="27" t="s">
        <v>14731</v>
      </c>
      <c r="B8137" s="28" t="s">
        <v>12240</v>
      </c>
      <c r="C8137" s="27" t="s">
        <v>14732</v>
      </c>
      <c r="D8137" s="27" t="s">
        <v>5104</v>
      </c>
      <c r="E8137" s="29">
        <v>40843</v>
      </c>
      <c r="F8137" s="27">
        <v>15</v>
      </c>
      <c r="G8137" s="18">
        <v>37529.550000000003</v>
      </c>
      <c r="H8137" s="27">
        <f t="shared" si="254"/>
        <v>0</v>
      </c>
      <c r="I8137" s="18">
        <v>21730.74</v>
      </c>
      <c r="J8137" s="27">
        <v>37529.550000000003</v>
      </c>
      <c r="K8137" s="18">
        <f t="shared" si="255"/>
        <v>0</v>
      </c>
      <c r="L8137" s="27">
        <v>23508.06</v>
      </c>
      <c r="M8137" s="36">
        <v>1777.32</v>
      </c>
      <c r="T8137" s="41">
        <v>0</v>
      </c>
      <c r="U8137" s="41">
        <v>0</v>
      </c>
      <c r="V8137" s="42" t="s">
        <v>113</v>
      </c>
      <c r="W8137" s="42">
        <v>0</v>
      </c>
      <c r="X8137" s="42">
        <v>0</v>
      </c>
    </row>
    <row r="8138" spans="1:24">
      <c r="A8138" s="27" t="s">
        <v>14733</v>
      </c>
      <c r="B8138" s="28" t="s">
        <v>12240</v>
      </c>
      <c r="C8138" s="27" t="s">
        <v>14734</v>
      </c>
      <c r="D8138" s="27" t="s">
        <v>5104</v>
      </c>
      <c r="E8138" s="29">
        <v>40843</v>
      </c>
      <c r="F8138" s="27">
        <v>15</v>
      </c>
      <c r="G8138" s="18">
        <v>136501.37</v>
      </c>
      <c r="H8138" s="27">
        <f t="shared" si="254"/>
        <v>0</v>
      </c>
      <c r="I8138" s="18">
        <v>79038.42</v>
      </c>
      <c r="J8138" s="27">
        <v>136501.37</v>
      </c>
      <c r="K8138" s="18">
        <f t="shared" si="255"/>
        <v>0</v>
      </c>
      <c r="L8138" s="27">
        <v>85502.83</v>
      </c>
      <c r="M8138" s="36">
        <v>6464.41</v>
      </c>
      <c r="T8138" s="41">
        <v>0</v>
      </c>
      <c r="U8138" s="41">
        <v>0</v>
      </c>
      <c r="V8138" s="42" t="s">
        <v>113</v>
      </c>
      <c r="W8138" s="42">
        <v>0</v>
      </c>
      <c r="X8138" s="42">
        <v>0</v>
      </c>
    </row>
    <row r="8139" spans="1:24">
      <c r="A8139" s="27" t="s">
        <v>14735</v>
      </c>
      <c r="B8139" s="28" t="s">
        <v>12240</v>
      </c>
      <c r="C8139" s="27" t="s">
        <v>14736</v>
      </c>
      <c r="D8139" s="27" t="s">
        <v>230</v>
      </c>
      <c r="E8139" s="29">
        <v>40843</v>
      </c>
      <c r="F8139" s="27">
        <v>15</v>
      </c>
      <c r="G8139" s="18">
        <v>37204.080000000002</v>
      </c>
      <c r="H8139" s="27">
        <f t="shared" si="254"/>
        <v>0</v>
      </c>
      <c r="I8139" s="18">
        <v>21542.29</v>
      </c>
      <c r="J8139" s="27">
        <v>37204.080000000002</v>
      </c>
      <c r="K8139" s="18">
        <f t="shared" si="255"/>
        <v>0</v>
      </c>
      <c r="L8139" s="27">
        <v>23304.2</v>
      </c>
      <c r="M8139" s="36">
        <v>1761.91</v>
      </c>
      <c r="T8139" s="41">
        <v>0</v>
      </c>
      <c r="U8139" s="41">
        <v>0</v>
      </c>
      <c r="V8139" s="42" t="s">
        <v>113</v>
      </c>
      <c r="W8139" s="42">
        <v>0</v>
      </c>
      <c r="X8139" s="42">
        <v>0</v>
      </c>
    </row>
    <row r="8140" spans="1:24">
      <c r="A8140" s="27" t="s">
        <v>14737</v>
      </c>
      <c r="B8140" s="28" t="s">
        <v>12240</v>
      </c>
      <c r="C8140" s="27" t="s">
        <v>14148</v>
      </c>
      <c r="D8140" s="27" t="s">
        <v>230</v>
      </c>
      <c r="E8140" s="29">
        <v>40843</v>
      </c>
      <c r="F8140" s="27">
        <v>15</v>
      </c>
      <c r="G8140" s="18">
        <v>8711.7099999999991</v>
      </c>
      <c r="H8140" s="27">
        <f t="shared" si="254"/>
        <v>0</v>
      </c>
      <c r="I8140" s="18">
        <v>5044.34</v>
      </c>
      <c r="J8140" s="27">
        <v>8711.7099999999991</v>
      </c>
      <c r="K8140" s="18">
        <f t="shared" si="255"/>
        <v>0</v>
      </c>
      <c r="L8140" s="27">
        <v>5456.91</v>
      </c>
      <c r="M8140" s="36">
        <v>412.57</v>
      </c>
      <c r="T8140" s="41">
        <v>0</v>
      </c>
      <c r="U8140" s="41">
        <v>0</v>
      </c>
      <c r="V8140" s="42" t="s">
        <v>113</v>
      </c>
      <c r="W8140" s="42">
        <v>0</v>
      </c>
      <c r="X8140" s="42">
        <v>0</v>
      </c>
    </row>
    <row r="8141" spans="1:24">
      <c r="A8141" s="27" t="s">
        <v>14738</v>
      </c>
      <c r="B8141" s="28" t="s">
        <v>12240</v>
      </c>
      <c r="C8141" s="27" t="s">
        <v>8696</v>
      </c>
      <c r="D8141" s="27" t="s">
        <v>230</v>
      </c>
      <c r="E8141" s="29">
        <v>40843</v>
      </c>
      <c r="F8141" s="27">
        <v>15</v>
      </c>
      <c r="G8141" s="18">
        <v>8962.59</v>
      </c>
      <c r="H8141" s="27">
        <f t="shared" si="254"/>
        <v>0</v>
      </c>
      <c r="I8141" s="18">
        <v>5189.62</v>
      </c>
      <c r="J8141" s="27">
        <v>8962.59</v>
      </c>
      <c r="K8141" s="18">
        <f t="shared" si="255"/>
        <v>0</v>
      </c>
      <c r="L8141" s="27">
        <v>5614.07</v>
      </c>
      <c r="M8141" s="36">
        <v>424.45</v>
      </c>
      <c r="T8141" s="41">
        <v>0</v>
      </c>
      <c r="U8141" s="41">
        <v>0</v>
      </c>
      <c r="V8141" s="42" t="s">
        <v>113</v>
      </c>
      <c r="W8141" s="42">
        <v>0</v>
      </c>
      <c r="X8141" s="42">
        <v>0</v>
      </c>
    </row>
    <row r="8142" spans="1:24">
      <c r="A8142" s="27" t="s">
        <v>14739</v>
      </c>
      <c r="B8142" s="28" t="s">
        <v>12240</v>
      </c>
      <c r="C8142" s="27" t="s">
        <v>14740</v>
      </c>
      <c r="D8142" s="27" t="s">
        <v>230</v>
      </c>
      <c r="E8142" s="29">
        <v>40843</v>
      </c>
      <c r="F8142" s="27">
        <v>15</v>
      </c>
      <c r="G8142" s="18">
        <v>8962.6</v>
      </c>
      <c r="H8142" s="27">
        <f t="shared" si="254"/>
        <v>0</v>
      </c>
      <c r="I8142" s="18">
        <v>5189.62</v>
      </c>
      <c r="J8142" s="27">
        <v>8962.6</v>
      </c>
      <c r="K8142" s="18">
        <f t="shared" si="255"/>
        <v>0</v>
      </c>
      <c r="L8142" s="27">
        <v>5614.07</v>
      </c>
      <c r="M8142" s="36">
        <v>424.45</v>
      </c>
      <c r="T8142" s="41">
        <v>0</v>
      </c>
      <c r="U8142" s="41">
        <v>0</v>
      </c>
      <c r="V8142" s="42" t="s">
        <v>113</v>
      </c>
      <c r="W8142" s="42">
        <v>0</v>
      </c>
      <c r="X8142" s="42">
        <v>0</v>
      </c>
    </row>
    <row r="8143" spans="1:24">
      <c r="A8143" s="27" t="s">
        <v>14741</v>
      </c>
      <c r="B8143" s="28" t="s">
        <v>12240</v>
      </c>
      <c r="C8143" s="27" t="s">
        <v>14742</v>
      </c>
      <c r="D8143" s="27" t="s">
        <v>230</v>
      </c>
      <c r="E8143" s="29">
        <v>40843</v>
      </c>
      <c r="F8143" s="27">
        <v>15</v>
      </c>
      <c r="G8143" s="18">
        <v>35392.769999999997</v>
      </c>
      <c r="H8143" s="27">
        <f t="shared" si="254"/>
        <v>0</v>
      </c>
      <c r="I8143" s="18">
        <v>20493.48</v>
      </c>
      <c r="J8143" s="27">
        <v>35392.769999999997</v>
      </c>
      <c r="K8143" s="18">
        <f t="shared" si="255"/>
        <v>0</v>
      </c>
      <c r="L8143" s="27">
        <v>22169.61</v>
      </c>
      <c r="M8143" s="36">
        <v>1676.13</v>
      </c>
      <c r="T8143" s="41">
        <v>0</v>
      </c>
      <c r="U8143" s="41">
        <v>0</v>
      </c>
      <c r="V8143" s="42" t="s">
        <v>113</v>
      </c>
      <c r="W8143" s="42">
        <v>0</v>
      </c>
      <c r="X8143" s="42">
        <v>0</v>
      </c>
    </row>
    <row r="8144" spans="1:24">
      <c r="A8144" s="27" t="s">
        <v>14743</v>
      </c>
      <c r="B8144" s="28" t="s">
        <v>12240</v>
      </c>
      <c r="C8144" s="27" t="s">
        <v>14744</v>
      </c>
      <c r="D8144" s="27" t="s">
        <v>230</v>
      </c>
      <c r="E8144" s="29">
        <v>40843</v>
      </c>
      <c r="F8144" s="27">
        <v>15</v>
      </c>
      <c r="G8144" s="18">
        <v>7023.89</v>
      </c>
      <c r="H8144" s="27">
        <f t="shared" si="254"/>
        <v>0</v>
      </c>
      <c r="I8144" s="18">
        <v>4067.06</v>
      </c>
      <c r="J8144" s="27">
        <v>7023.89</v>
      </c>
      <c r="K8144" s="18">
        <f t="shared" si="255"/>
        <v>0</v>
      </c>
      <c r="L8144" s="27">
        <v>4399.6899999999996</v>
      </c>
      <c r="M8144" s="36">
        <v>332.63</v>
      </c>
      <c r="T8144" s="41">
        <v>0</v>
      </c>
      <c r="U8144" s="41">
        <v>0</v>
      </c>
      <c r="V8144" s="42" t="s">
        <v>113</v>
      </c>
      <c r="W8144" s="42">
        <v>0</v>
      </c>
      <c r="X8144" s="42">
        <v>0</v>
      </c>
    </row>
    <row r="8145" spans="1:24">
      <c r="A8145" s="27" t="s">
        <v>14745</v>
      </c>
      <c r="B8145" s="28" t="s">
        <v>12240</v>
      </c>
      <c r="C8145" s="27" t="s">
        <v>14746</v>
      </c>
      <c r="D8145" s="27" t="s">
        <v>230</v>
      </c>
      <c r="E8145" s="29">
        <v>40843</v>
      </c>
      <c r="F8145" s="27">
        <v>15</v>
      </c>
      <c r="G8145" s="18">
        <v>54359.08</v>
      </c>
      <c r="H8145" s="27">
        <f t="shared" si="254"/>
        <v>0</v>
      </c>
      <c r="I8145" s="18">
        <v>31475.56</v>
      </c>
      <c r="J8145" s="27">
        <v>54359.08</v>
      </c>
      <c r="K8145" s="18">
        <f t="shared" si="255"/>
        <v>0</v>
      </c>
      <c r="L8145" s="27">
        <v>34049.89</v>
      </c>
      <c r="M8145" s="36">
        <v>2574.33</v>
      </c>
      <c r="T8145" s="41">
        <v>0</v>
      </c>
      <c r="U8145" s="41">
        <v>0</v>
      </c>
      <c r="V8145" s="42" t="s">
        <v>113</v>
      </c>
      <c r="W8145" s="42">
        <v>0</v>
      </c>
      <c r="X8145" s="42">
        <v>0</v>
      </c>
    </row>
    <row r="8146" spans="1:24">
      <c r="A8146" s="27" t="s">
        <v>14747</v>
      </c>
      <c r="B8146" s="28" t="s">
        <v>12240</v>
      </c>
      <c r="C8146" s="27" t="s">
        <v>14748</v>
      </c>
      <c r="D8146" s="27" t="s">
        <v>5104</v>
      </c>
      <c r="E8146" s="29">
        <v>40843</v>
      </c>
      <c r="F8146" s="27">
        <v>15</v>
      </c>
      <c r="G8146" s="18">
        <v>54359.08</v>
      </c>
      <c r="H8146" s="27">
        <f t="shared" si="254"/>
        <v>0</v>
      </c>
      <c r="I8146" s="18">
        <v>31475.56</v>
      </c>
      <c r="J8146" s="27">
        <v>54359.08</v>
      </c>
      <c r="K8146" s="18">
        <f t="shared" si="255"/>
        <v>0</v>
      </c>
      <c r="L8146" s="27">
        <v>34049.89</v>
      </c>
      <c r="M8146" s="36">
        <v>2574.33</v>
      </c>
      <c r="T8146" s="41">
        <v>0</v>
      </c>
      <c r="U8146" s="41">
        <v>0</v>
      </c>
      <c r="V8146" s="42" t="s">
        <v>113</v>
      </c>
      <c r="W8146" s="42">
        <v>0</v>
      </c>
      <c r="X8146" s="42">
        <v>0</v>
      </c>
    </row>
    <row r="8147" spans="1:24">
      <c r="A8147" s="27" t="s">
        <v>14749</v>
      </c>
      <c r="B8147" s="28" t="s">
        <v>12240</v>
      </c>
      <c r="C8147" s="27" t="s">
        <v>14750</v>
      </c>
      <c r="D8147" s="27" t="s">
        <v>230</v>
      </c>
      <c r="E8147" s="29">
        <v>40843</v>
      </c>
      <c r="F8147" s="27">
        <v>15</v>
      </c>
      <c r="G8147" s="18">
        <v>32048.46</v>
      </c>
      <c r="H8147" s="27">
        <f t="shared" si="254"/>
        <v>0</v>
      </c>
      <c r="I8147" s="18">
        <v>18557.03</v>
      </c>
      <c r="J8147" s="27">
        <v>32048.46</v>
      </c>
      <c r="K8147" s="18">
        <f t="shared" si="255"/>
        <v>0</v>
      </c>
      <c r="L8147" s="27">
        <v>20074.78</v>
      </c>
      <c r="M8147" s="36">
        <v>1517.75</v>
      </c>
      <c r="T8147" s="41">
        <v>0</v>
      </c>
      <c r="U8147" s="41">
        <v>0</v>
      </c>
      <c r="V8147" s="42" t="s">
        <v>113</v>
      </c>
      <c r="W8147" s="42">
        <v>0</v>
      </c>
      <c r="X8147" s="42">
        <v>0</v>
      </c>
    </row>
    <row r="8148" spans="1:24">
      <c r="A8148" s="27" t="s">
        <v>14751</v>
      </c>
      <c r="B8148" s="28" t="s">
        <v>12240</v>
      </c>
      <c r="C8148" s="27" t="s">
        <v>14752</v>
      </c>
      <c r="D8148" s="27" t="s">
        <v>230</v>
      </c>
      <c r="E8148" s="29">
        <v>40843</v>
      </c>
      <c r="F8148" s="27">
        <v>15</v>
      </c>
      <c r="G8148" s="18">
        <v>32048.46</v>
      </c>
      <c r="H8148" s="27">
        <f t="shared" si="254"/>
        <v>0</v>
      </c>
      <c r="I8148" s="18">
        <v>18557.03</v>
      </c>
      <c r="J8148" s="27">
        <v>32048.46</v>
      </c>
      <c r="K8148" s="18">
        <f t="shared" si="255"/>
        <v>0</v>
      </c>
      <c r="L8148" s="27">
        <v>20074.78</v>
      </c>
      <c r="M8148" s="36">
        <v>1517.75</v>
      </c>
      <c r="T8148" s="41">
        <v>0</v>
      </c>
      <c r="U8148" s="41">
        <v>0</v>
      </c>
      <c r="V8148" s="42" t="s">
        <v>113</v>
      </c>
      <c r="W8148" s="42">
        <v>0</v>
      </c>
      <c r="X8148" s="42">
        <v>0</v>
      </c>
    </row>
    <row r="8149" spans="1:24">
      <c r="A8149" s="27" t="s">
        <v>14753</v>
      </c>
      <c r="B8149" s="28" t="s">
        <v>12240</v>
      </c>
      <c r="C8149" s="27" t="s">
        <v>14754</v>
      </c>
      <c r="D8149" s="27" t="s">
        <v>230</v>
      </c>
      <c r="E8149" s="29">
        <v>40843</v>
      </c>
      <c r="F8149" s="27">
        <v>15</v>
      </c>
      <c r="G8149" s="18">
        <v>32217.51</v>
      </c>
      <c r="H8149" s="27">
        <f t="shared" si="254"/>
        <v>0</v>
      </c>
      <c r="I8149" s="18">
        <v>18654.900000000001</v>
      </c>
      <c r="J8149" s="27">
        <v>32217.51</v>
      </c>
      <c r="K8149" s="18">
        <f t="shared" si="255"/>
        <v>0</v>
      </c>
      <c r="L8149" s="27">
        <v>20180.650000000001</v>
      </c>
      <c r="M8149" s="36">
        <v>1525.75</v>
      </c>
      <c r="T8149" s="41">
        <v>0</v>
      </c>
      <c r="U8149" s="41">
        <v>0</v>
      </c>
      <c r="V8149" s="42" t="s">
        <v>113</v>
      </c>
      <c r="W8149" s="42">
        <v>0</v>
      </c>
      <c r="X8149" s="42">
        <v>0</v>
      </c>
    </row>
    <row r="8150" spans="1:24">
      <c r="A8150" s="27" t="s">
        <v>14755</v>
      </c>
      <c r="B8150" s="28" t="s">
        <v>12240</v>
      </c>
      <c r="C8150" s="27" t="s">
        <v>14756</v>
      </c>
      <c r="D8150" s="27" t="s">
        <v>230</v>
      </c>
      <c r="E8150" s="29">
        <v>40843</v>
      </c>
      <c r="F8150" s="27">
        <v>15</v>
      </c>
      <c r="G8150" s="18">
        <v>60806.09</v>
      </c>
      <c r="H8150" s="27">
        <f t="shared" si="254"/>
        <v>0</v>
      </c>
      <c r="I8150" s="18">
        <v>35208.57</v>
      </c>
      <c r="J8150" s="27">
        <v>60806.09</v>
      </c>
      <c r="K8150" s="18">
        <f t="shared" si="255"/>
        <v>0</v>
      </c>
      <c r="L8150" s="27">
        <v>38088.22</v>
      </c>
      <c r="M8150" s="36">
        <v>2879.65</v>
      </c>
      <c r="T8150" s="41">
        <v>0</v>
      </c>
      <c r="U8150" s="41">
        <v>0</v>
      </c>
      <c r="V8150" s="42" t="s">
        <v>113</v>
      </c>
      <c r="W8150" s="42">
        <v>0</v>
      </c>
      <c r="X8150" s="42">
        <v>0</v>
      </c>
    </row>
    <row r="8151" spans="1:24">
      <c r="A8151" s="27" t="s">
        <v>14757</v>
      </c>
      <c r="B8151" s="28" t="s">
        <v>12240</v>
      </c>
      <c r="C8151" s="27" t="s">
        <v>14758</v>
      </c>
      <c r="D8151" s="27" t="s">
        <v>230</v>
      </c>
      <c r="E8151" s="29">
        <v>40843</v>
      </c>
      <c r="F8151" s="27">
        <v>15</v>
      </c>
      <c r="G8151" s="18">
        <v>71197.55</v>
      </c>
      <c r="H8151" s="27">
        <f t="shared" si="254"/>
        <v>0</v>
      </c>
      <c r="I8151" s="18">
        <v>41225.53</v>
      </c>
      <c r="J8151" s="27">
        <v>71197.55</v>
      </c>
      <c r="K8151" s="18">
        <f t="shared" si="255"/>
        <v>0</v>
      </c>
      <c r="L8151" s="27">
        <v>44597.29</v>
      </c>
      <c r="M8151" s="36">
        <v>3371.76</v>
      </c>
      <c r="T8151" s="41">
        <v>0</v>
      </c>
      <c r="U8151" s="41">
        <v>0</v>
      </c>
      <c r="V8151" s="42" t="s">
        <v>113</v>
      </c>
      <c r="W8151" s="42">
        <v>0</v>
      </c>
      <c r="X8151" s="42">
        <v>0</v>
      </c>
    </row>
    <row r="8152" spans="1:24">
      <c r="A8152" s="27" t="s">
        <v>14759</v>
      </c>
      <c r="B8152" s="28" t="s">
        <v>12240</v>
      </c>
      <c r="C8152" s="27" t="s">
        <v>14760</v>
      </c>
      <c r="D8152" s="27" t="s">
        <v>5104</v>
      </c>
      <c r="E8152" s="29">
        <v>40843</v>
      </c>
      <c r="F8152" s="27">
        <v>15</v>
      </c>
      <c r="G8152" s="18">
        <v>33206.6</v>
      </c>
      <c r="H8152" s="27">
        <f t="shared" si="254"/>
        <v>0</v>
      </c>
      <c r="I8152" s="18">
        <v>19227.62</v>
      </c>
      <c r="J8152" s="27">
        <v>33206.6</v>
      </c>
      <c r="K8152" s="18">
        <f t="shared" si="255"/>
        <v>0</v>
      </c>
      <c r="L8152" s="27">
        <v>20800.21</v>
      </c>
      <c r="M8152" s="36">
        <v>1572.59</v>
      </c>
      <c r="T8152" s="41">
        <v>0</v>
      </c>
      <c r="U8152" s="41">
        <v>0</v>
      </c>
      <c r="V8152" s="42" t="s">
        <v>113</v>
      </c>
      <c r="W8152" s="42">
        <v>0</v>
      </c>
      <c r="X8152" s="42">
        <v>0</v>
      </c>
    </row>
    <row r="8153" spans="1:24">
      <c r="A8153" s="27" t="s">
        <v>14761</v>
      </c>
      <c r="B8153" s="28" t="s">
        <v>12240</v>
      </c>
      <c r="C8153" s="27" t="s">
        <v>14762</v>
      </c>
      <c r="D8153" s="27" t="s">
        <v>230</v>
      </c>
      <c r="E8153" s="29">
        <v>40843</v>
      </c>
      <c r="F8153" s="27">
        <v>15</v>
      </c>
      <c r="G8153" s="18">
        <v>66924.87</v>
      </c>
      <c r="H8153" s="27">
        <f t="shared" si="254"/>
        <v>0</v>
      </c>
      <c r="I8153" s="18">
        <v>38751.519999999997</v>
      </c>
      <c r="J8153" s="27">
        <v>66924.87</v>
      </c>
      <c r="K8153" s="18">
        <f t="shared" si="255"/>
        <v>0</v>
      </c>
      <c r="L8153" s="27">
        <v>41920.94</v>
      </c>
      <c r="M8153" s="36">
        <v>3169.42</v>
      </c>
      <c r="T8153" s="41">
        <v>0</v>
      </c>
      <c r="U8153" s="41">
        <v>0</v>
      </c>
      <c r="V8153" s="42" t="s">
        <v>113</v>
      </c>
      <c r="W8153" s="42">
        <v>0</v>
      </c>
      <c r="X8153" s="42">
        <v>0</v>
      </c>
    </row>
    <row r="8154" spans="1:24">
      <c r="A8154" s="27" t="s">
        <v>14763</v>
      </c>
      <c r="B8154" s="28" t="s">
        <v>12240</v>
      </c>
      <c r="C8154" s="27" t="s">
        <v>14764</v>
      </c>
      <c r="D8154" s="27" t="s">
        <v>230</v>
      </c>
      <c r="E8154" s="29">
        <v>40843</v>
      </c>
      <c r="F8154" s="27">
        <v>15</v>
      </c>
      <c r="G8154" s="18">
        <v>33206.6</v>
      </c>
      <c r="H8154" s="27">
        <f t="shared" si="254"/>
        <v>0</v>
      </c>
      <c r="I8154" s="18">
        <v>19227.62</v>
      </c>
      <c r="J8154" s="27">
        <v>33206.6</v>
      </c>
      <c r="K8154" s="18">
        <f t="shared" si="255"/>
        <v>0</v>
      </c>
      <c r="L8154" s="27">
        <v>20800.21</v>
      </c>
      <c r="M8154" s="36">
        <v>1572.59</v>
      </c>
      <c r="T8154" s="41">
        <v>0</v>
      </c>
      <c r="U8154" s="41">
        <v>0</v>
      </c>
      <c r="V8154" s="42" t="s">
        <v>113</v>
      </c>
      <c r="W8154" s="42">
        <v>0</v>
      </c>
      <c r="X8154" s="42">
        <v>0</v>
      </c>
    </row>
    <row r="8155" spans="1:24">
      <c r="A8155" s="27" t="s">
        <v>14765</v>
      </c>
      <c r="B8155" s="28" t="s">
        <v>12240</v>
      </c>
      <c r="C8155" s="27" t="s">
        <v>14766</v>
      </c>
      <c r="D8155" s="27" t="s">
        <v>230</v>
      </c>
      <c r="E8155" s="29">
        <v>40843</v>
      </c>
      <c r="F8155" s="27">
        <v>15</v>
      </c>
      <c r="G8155" s="18">
        <v>66924.86</v>
      </c>
      <c r="H8155" s="27">
        <f t="shared" si="254"/>
        <v>0</v>
      </c>
      <c r="I8155" s="18">
        <v>38751.51</v>
      </c>
      <c r="J8155" s="27">
        <v>66924.86</v>
      </c>
      <c r="K8155" s="18">
        <f t="shared" si="255"/>
        <v>0</v>
      </c>
      <c r="L8155" s="27">
        <v>41920.93</v>
      </c>
      <c r="M8155" s="36">
        <v>3169.42</v>
      </c>
      <c r="T8155" s="41">
        <v>0</v>
      </c>
      <c r="U8155" s="41">
        <v>0</v>
      </c>
      <c r="V8155" s="42" t="s">
        <v>113</v>
      </c>
      <c r="W8155" s="42">
        <v>0</v>
      </c>
      <c r="X8155" s="42">
        <v>0</v>
      </c>
    </row>
    <row r="8156" spans="1:24">
      <c r="A8156" s="27" t="s">
        <v>14767</v>
      </c>
      <c r="B8156" s="28" t="s">
        <v>12240</v>
      </c>
      <c r="C8156" s="27" t="s">
        <v>14768</v>
      </c>
      <c r="D8156" s="27" t="s">
        <v>230</v>
      </c>
      <c r="E8156" s="29">
        <v>40843</v>
      </c>
      <c r="F8156" s="27">
        <v>15</v>
      </c>
      <c r="G8156" s="18">
        <v>33206.6</v>
      </c>
      <c r="H8156" s="27">
        <f t="shared" si="254"/>
        <v>0</v>
      </c>
      <c r="I8156" s="18">
        <v>19227.62</v>
      </c>
      <c r="J8156" s="27">
        <v>33206.6</v>
      </c>
      <c r="K8156" s="18">
        <f t="shared" si="255"/>
        <v>0</v>
      </c>
      <c r="L8156" s="27">
        <v>20800.21</v>
      </c>
      <c r="M8156" s="36">
        <v>1572.59</v>
      </c>
      <c r="T8156" s="41">
        <v>0</v>
      </c>
      <c r="U8156" s="41">
        <v>0</v>
      </c>
      <c r="V8156" s="42" t="s">
        <v>113</v>
      </c>
      <c r="W8156" s="42">
        <v>0</v>
      </c>
      <c r="X8156" s="42">
        <v>0</v>
      </c>
    </row>
    <row r="8157" spans="1:24">
      <c r="A8157" s="27" t="s">
        <v>14769</v>
      </c>
      <c r="B8157" s="28" t="s">
        <v>12240</v>
      </c>
      <c r="C8157" s="27" t="s">
        <v>14770</v>
      </c>
      <c r="D8157" s="27" t="s">
        <v>230</v>
      </c>
      <c r="E8157" s="29">
        <v>40843</v>
      </c>
      <c r="F8157" s="27">
        <v>15</v>
      </c>
      <c r="G8157" s="18">
        <v>9504.27</v>
      </c>
      <c r="H8157" s="27">
        <f t="shared" si="254"/>
        <v>0</v>
      </c>
      <c r="I8157" s="18">
        <v>5503.25</v>
      </c>
      <c r="J8157" s="27">
        <v>9504.27</v>
      </c>
      <c r="K8157" s="18">
        <f t="shared" si="255"/>
        <v>0</v>
      </c>
      <c r="L8157" s="27">
        <v>5953.35</v>
      </c>
      <c r="M8157" s="36">
        <v>450.1</v>
      </c>
      <c r="T8157" s="41">
        <v>0</v>
      </c>
      <c r="U8157" s="41">
        <v>0</v>
      </c>
      <c r="V8157" s="42" t="s">
        <v>113</v>
      </c>
      <c r="W8157" s="42">
        <v>0</v>
      </c>
      <c r="X8157" s="42">
        <v>0</v>
      </c>
    </row>
    <row r="8158" spans="1:24">
      <c r="A8158" s="27" t="s">
        <v>14771</v>
      </c>
      <c r="B8158" s="28" t="s">
        <v>12240</v>
      </c>
      <c r="C8158" s="27" t="s">
        <v>14772</v>
      </c>
      <c r="D8158" s="27" t="s">
        <v>230</v>
      </c>
      <c r="E8158" s="29">
        <v>40843</v>
      </c>
      <c r="F8158" s="27">
        <v>15</v>
      </c>
      <c r="G8158" s="18">
        <v>9504.27</v>
      </c>
      <c r="H8158" s="27">
        <f t="shared" si="254"/>
        <v>0</v>
      </c>
      <c r="I8158" s="18">
        <v>5503.25</v>
      </c>
      <c r="J8158" s="27">
        <v>9504.27</v>
      </c>
      <c r="K8158" s="18">
        <f t="shared" si="255"/>
        <v>0</v>
      </c>
      <c r="L8158" s="27">
        <v>5953.35</v>
      </c>
      <c r="M8158" s="36">
        <v>450.1</v>
      </c>
      <c r="T8158" s="41">
        <v>0</v>
      </c>
      <c r="U8158" s="41">
        <v>0</v>
      </c>
      <c r="V8158" s="42" t="s">
        <v>113</v>
      </c>
      <c r="W8158" s="42">
        <v>0</v>
      </c>
      <c r="X8158" s="42">
        <v>0</v>
      </c>
    </row>
    <row r="8159" spans="1:24">
      <c r="A8159" s="27" t="s">
        <v>14773</v>
      </c>
      <c r="B8159" s="28" t="s">
        <v>12240</v>
      </c>
      <c r="C8159" s="27" t="s">
        <v>14774</v>
      </c>
      <c r="D8159" s="27" t="s">
        <v>230</v>
      </c>
      <c r="E8159" s="29">
        <v>40843</v>
      </c>
      <c r="F8159" s="27">
        <v>15</v>
      </c>
      <c r="G8159" s="18">
        <v>10023.66</v>
      </c>
      <c r="H8159" s="27">
        <f t="shared" si="254"/>
        <v>0</v>
      </c>
      <c r="I8159" s="18">
        <v>5804</v>
      </c>
      <c r="J8159" s="27">
        <v>10023.66</v>
      </c>
      <c r="K8159" s="18">
        <f t="shared" si="255"/>
        <v>0</v>
      </c>
      <c r="L8159" s="27">
        <v>6278.7</v>
      </c>
      <c r="M8159" s="36">
        <v>474.7</v>
      </c>
      <c r="T8159" s="41">
        <v>0</v>
      </c>
      <c r="U8159" s="41">
        <v>0</v>
      </c>
      <c r="V8159" s="42" t="s">
        <v>113</v>
      </c>
      <c r="W8159" s="42">
        <v>0</v>
      </c>
      <c r="X8159" s="42">
        <v>0</v>
      </c>
    </row>
    <row r="8160" spans="1:24">
      <c r="A8160" s="27" t="s">
        <v>14775</v>
      </c>
      <c r="B8160" s="28" t="s">
        <v>12240</v>
      </c>
      <c r="C8160" s="27" t="s">
        <v>14776</v>
      </c>
      <c r="D8160" s="27" t="s">
        <v>230</v>
      </c>
      <c r="E8160" s="29">
        <v>40843</v>
      </c>
      <c r="F8160" s="27">
        <v>15</v>
      </c>
      <c r="G8160" s="18">
        <v>38790.01</v>
      </c>
      <c r="H8160" s="27">
        <f t="shared" si="254"/>
        <v>0</v>
      </c>
      <c r="I8160" s="18">
        <v>22460.59</v>
      </c>
      <c r="J8160" s="27">
        <v>38790.01</v>
      </c>
      <c r="K8160" s="18">
        <f t="shared" si="255"/>
        <v>0</v>
      </c>
      <c r="L8160" s="27">
        <v>24297.599999999999</v>
      </c>
      <c r="M8160" s="36">
        <v>1837.01</v>
      </c>
      <c r="T8160" s="41">
        <v>0</v>
      </c>
      <c r="U8160" s="41">
        <v>0</v>
      </c>
      <c r="V8160" s="42" t="s">
        <v>113</v>
      </c>
      <c r="W8160" s="42">
        <v>0</v>
      </c>
      <c r="X8160" s="42">
        <v>0</v>
      </c>
    </row>
    <row r="8161" spans="1:24">
      <c r="A8161" s="27" t="s">
        <v>14777</v>
      </c>
      <c r="B8161" s="28" t="s">
        <v>12240</v>
      </c>
      <c r="C8161" s="27" t="s">
        <v>14778</v>
      </c>
      <c r="D8161" s="27" t="s">
        <v>5104</v>
      </c>
      <c r="E8161" s="29">
        <v>40843</v>
      </c>
      <c r="F8161" s="27">
        <v>15</v>
      </c>
      <c r="G8161" s="18">
        <v>38790.01</v>
      </c>
      <c r="H8161" s="27">
        <f t="shared" si="254"/>
        <v>0</v>
      </c>
      <c r="I8161" s="18">
        <v>22460.59</v>
      </c>
      <c r="J8161" s="27">
        <v>38790.01</v>
      </c>
      <c r="K8161" s="18">
        <f t="shared" si="255"/>
        <v>0</v>
      </c>
      <c r="L8161" s="27">
        <v>24297.599999999999</v>
      </c>
      <c r="M8161" s="36">
        <v>1837.01</v>
      </c>
      <c r="T8161" s="41">
        <v>0</v>
      </c>
      <c r="U8161" s="41">
        <v>0</v>
      </c>
      <c r="V8161" s="42" t="s">
        <v>113</v>
      </c>
      <c r="W8161" s="42">
        <v>0</v>
      </c>
      <c r="X8161" s="42">
        <v>0</v>
      </c>
    </row>
    <row r="8162" spans="1:24">
      <c r="A8162" s="27" t="s">
        <v>14779</v>
      </c>
      <c r="B8162" s="28" t="s">
        <v>12240</v>
      </c>
      <c r="C8162" s="27" t="s">
        <v>14780</v>
      </c>
      <c r="D8162" s="27" t="s">
        <v>5104</v>
      </c>
      <c r="E8162" s="29">
        <v>40843</v>
      </c>
      <c r="F8162" s="27">
        <v>15</v>
      </c>
      <c r="G8162" s="18">
        <v>38790.01</v>
      </c>
      <c r="H8162" s="27">
        <f t="shared" si="254"/>
        <v>0</v>
      </c>
      <c r="I8162" s="18">
        <v>22460.59</v>
      </c>
      <c r="J8162" s="27">
        <v>38790.01</v>
      </c>
      <c r="K8162" s="18">
        <f t="shared" si="255"/>
        <v>0</v>
      </c>
      <c r="L8162" s="27">
        <v>24297.599999999999</v>
      </c>
      <c r="M8162" s="36">
        <v>1837.01</v>
      </c>
      <c r="T8162" s="41">
        <v>0</v>
      </c>
      <c r="U8162" s="41">
        <v>0</v>
      </c>
      <c r="V8162" s="42" t="s">
        <v>113</v>
      </c>
      <c r="W8162" s="42">
        <v>0</v>
      </c>
      <c r="X8162" s="42">
        <v>0</v>
      </c>
    </row>
    <row r="8163" spans="1:24">
      <c r="A8163" s="27" t="s">
        <v>14781</v>
      </c>
      <c r="B8163" s="28" t="s">
        <v>12240</v>
      </c>
      <c r="C8163" s="27" t="s">
        <v>14782</v>
      </c>
      <c r="D8163" s="27" t="s">
        <v>230</v>
      </c>
      <c r="E8163" s="29">
        <v>40843</v>
      </c>
      <c r="F8163" s="27">
        <v>15</v>
      </c>
      <c r="G8163" s="18">
        <v>38790</v>
      </c>
      <c r="H8163" s="27">
        <f t="shared" si="254"/>
        <v>0</v>
      </c>
      <c r="I8163" s="18">
        <v>22460.59</v>
      </c>
      <c r="J8163" s="27">
        <v>38790</v>
      </c>
      <c r="K8163" s="18">
        <f t="shared" si="255"/>
        <v>0</v>
      </c>
      <c r="L8163" s="27">
        <v>24297.599999999999</v>
      </c>
      <c r="M8163" s="36">
        <v>1837.01</v>
      </c>
      <c r="T8163" s="41">
        <v>0</v>
      </c>
      <c r="U8163" s="41">
        <v>0</v>
      </c>
      <c r="V8163" s="42" t="s">
        <v>113</v>
      </c>
      <c r="W8163" s="42">
        <v>0</v>
      </c>
      <c r="X8163" s="42">
        <v>0</v>
      </c>
    </row>
    <row r="8164" spans="1:24">
      <c r="A8164" s="27" t="s">
        <v>14783</v>
      </c>
      <c r="B8164" s="28" t="s">
        <v>12240</v>
      </c>
      <c r="C8164" s="27" t="s">
        <v>14784</v>
      </c>
      <c r="D8164" s="27" t="s">
        <v>230</v>
      </c>
      <c r="E8164" s="29">
        <v>40843</v>
      </c>
      <c r="F8164" s="27">
        <v>15</v>
      </c>
      <c r="G8164" s="18">
        <v>38790</v>
      </c>
      <c r="H8164" s="27">
        <f t="shared" si="254"/>
        <v>0</v>
      </c>
      <c r="I8164" s="18">
        <v>22460.59</v>
      </c>
      <c r="J8164" s="27">
        <v>38790</v>
      </c>
      <c r="K8164" s="18">
        <f t="shared" si="255"/>
        <v>0</v>
      </c>
      <c r="L8164" s="27">
        <v>24297.599999999999</v>
      </c>
      <c r="M8164" s="36">
        <v>1837.01</v>
      </c>
      <c r="T8164" s="41">
        <v>0</v>
      </c>
      <c r="U8164" s="41">
        <v>0</v>
      </c>
      <c r="V8164" s="42" t="s">
        <v>113</v>
      </c>
      <c r="W8164" s="42">
        <v>0</v>
      </c>
      <c r="X8164" s="42">
        <v>0</v>
      </c>
    </row>
    <row r="8165" spans="1:24">
      <c r="A8165" s="27" t="s">
        <v>14785</v>
      </c>
      <c r="B8165" s="28" t="s">
        <v>12240</v>
      </c>
      <c r="C8165" s="27" t="s">
        <v>14786</v>
      </c>
      <c r="D8165" s="27" t="s">
        <v>230</v>
      </c>
      <c r="E8165" s="29">
        <v>40843</v>
      </c>
      <c r="F8165" s="27">
        <v>15</v>
      </c>
      <c r="G8165" s="18">
        <v>61636.160000000003</v>
      </c>
      <c r="H8165" s="27">
        <f t="shared" si="254"/>
        <v>0</v>
      </c>
      <c r="I8165" s="18">
        <v>35689.199999999997</v>
      </c>
      <c r="J8165" s="27">
        <v>61636.160000000003</v>
      </c>
      <c r="K8165" s="18">
        <f t="shared" si="255"/>
        <v>0</v>
      </c>
      <c r="L8165" s="27">
        <v>38608.160000000003</v>
      </c>
      <c r="M8165" s="36">
        <v>2918.96</v>
      </c>
      <c r="T8165" s="41">
        <v>0</v>
      </c>
      <c r="U8165" s="41">
        <v>0</v>
      </c>
      <c r="V8165" s="42" t="s">
        <v>113</v>
      </c>
      <c r="W8165" s="42">
        <v>0</v>
      </c>
      <c r="X8165" s="42">
        <v>0</v>
      </c>
    </row>
    <row r="8166" spans="1:24">
      <c r="A8166" s="27" t="s">
        <v>14787</v>
      </c>
      <c r="B8166" s="28" t="s">
        <v>12240</v>
      </c>
      <c r="C8166" s="27" t="s">
        <v>14788</v>
      </c>
      <c r="D8166" s="27" t="s">
        <v>230</v>
      </c>
      <c r="E8166" s="29">
        <v>40843</v>
      </c>
      <c r="F8166" s="27">
        <v>15</v>
      </c>
      <c r="G8166" s="18">
        <v>46102.15</v>
      </c>
      <c r="H8166" s="27">
        <f t="shared" si="254"/>
        <v>0</v>
      </c>
      <c r="I8166" s="18">
        <v>26694.55</v>
      </c>
      <c r="J8166" s="27">
        <v>46102.15</v>
      </c>
      <c r="K8166" s="18">
        <f t="shared" si="255"/>
        <v>0</v>
      </c>
      <c r="L8166" s="27">
        <v>28877.85</v>
      </c>
      <c r="M8166" s="36">
        <v>2183.3000000000002</v>
      </c>
      <c r="T8166" s="41">
        <v>0</v>
      </c>
      <c r="U8166" s="41">
        <v>0</v>
      </c>
      <c r="V8166" s="42" t="s">
        <v>113</v>
      </c>
      <c r="W8166" s="42">
        <v>0</v>
      </c>
      <c r="X8166" s="42">
        <v>0</v>
      </c>
    </row>
    <row r="8167" spans="1:24">
      <c r="A8167" s="27" t="s">
        <v>14789</v>
      </c>
      <c r="B8167" s="28" t="s">
        <v>12240</v>
      </c>
      <c r="C8167" s="27" t="s">
        <v>14790</v>
      </c>
      <c r="D8167" s="27" t="s">
        <v>230</v>
      </c>
      <c r="E8167" s="29">
        <v>40843</v>
      </c>
      <c r="F8167" s="27">
        <v>15</v>
      </c>
      <c r="G8167" s="18">
        <v>9169.51</v>
      </c>
      <c r="H8167" s="27">
        <f t="shared" si="254"/>
        <v>0</v>
      </c>
      <c r="I8167" s="18">
        <v>5309.43</v>
      </c>
      <c r="J8167" s="27">
        <v>9169.51</v>
      </c>
      <c r="K8167" s="18">
        <f t="shared" si="255"/>
        <v>0</v>
      </c>
      <c r="L8167" s="27">
        <v>5743.68</v>
      </c>
      <c r="M8167" s="36">
        <v>434.25</v>
      </c>
      <c r="T8167" s="41">
        <v>0</v>
      </c>
      <c r="U8167" s="41">
        <v>0</v>
      </c>
      <c r="V8167" s="42" t="s">
        <v>113</v>
      </c>
      <c r="W8167" s="42">
        <v>0</v>
      </c>
      <c r="X8167" s="42">
        <v>0</v>
      </c>
    </row>
    <row r="8168" spans="1:24">
      <c r="A8168" s="27" t="s">
        <v>14791</v>
      </c>
      <c r="B8168" s="28" t="s">
        <v>12240</v>
      </c>
      <c r="C8168" s="27" t="s">
        <v>14792</v>
      </c>
      <c r="D8168" s="27" t="s">
        <v>230</v>
      </c>
      <c r="E8168" s="29">
        <v>40843</v>
      </c>
      <c r="F8168" s="27">
        <v>15</v>
      </c>
      <c r="G8168" s="18">
        <v>9169.51</v>
      </c>
      <c r="H8168" s="27">
        <f t="shared" si="254"/>
        <v>0</v>
      </c>
      <c r="I8168" s="18">
        <v>5309.43</v>
      </c>
      <c r="J8168" s="27">
        <v>9169.51</v>
      </c>
      <c r="K8168" s="18">
        <f t="shared" si="255"/>
        <v>0</v>
      </c>
      <c r="L8168" s="27">
        <v>5743.68</v>
      </c>
      <c r="M8168" s="36">
        <v>434.25</v>
      </c>
      <c r="T8168" s="41">
        <v>0</v>
      </c>
      <c r="U8168" s="41">
        <v>0</v>
      </c>
      <c r="V8168" s="42" t="s">
        <v>113</v>
      </c>
      <c r="W8168" s="42">
        <v>0</v>
      </c>
      <c r="X8168" s="42">
        <v>0</v>
      </c>
    </row>
    <row r="8169" spans="1:24">
      <c r="A8169" s="27" t="s">
        <v>14793</v>
      </c>
      <c r="B8169" s="28" t="s">
        <v>12240</v>
      </c>
      <c r="C8169" s="27" t="s">
        <v>8452</v>
      </c>
      <c r="D8169" s="27" t="s">
        <v>230</v>
      </c>
      <c r="E8169" s="29">
        <v>40843</v>
      </c>
      <c r="F8169" s="27">
        <v>15</v>
      </c>
      <c r="G8169" s="18">
        <v>9169.51</v>
      </c>
      <c r="H8169" s="27">
        <f t="shared" si="254"/>
        <v>0</v>
      </c>
      <c r="I8169" s="18">
        <v>5309.43</v>
      </c>
      <c r="J8169" s="27">
        <v>9169.51</v>
      </c>
      <c r="K8169" s="18">
        <f t="shared" si="255"/>
        <v>0</v>
      </c>
      <c r="L8169" s="27">
        <v>5743.68</v>
      </c>
      <c r="M8169" s="36">
        <v>434.25</v>
      </c>
      <c r="T8169" s="41">
        <v>0</v>
      </c>
      <c r="U8169" s="41">
        <v>0</v>
      </c>
      <c r="V8169" s="42" t="s">
        <v>113</v>
      </c>
      <c r="W8169" s="42">
        <v>0</v>
      </c>
      <c r="X8169" s="42">
        <v>0</v>
      </c>
    </row>
    <row r="8170" spans="1:24">
      <c r="A8170" s="27" t="s">
        <v>14794</v>
      </c>
      <c r="B8170" s="28" t="s">
        <v>12240</v>
      </c>
      <c r="C8170" s="27" t="s">
        <v>14795</v>
      </c>
      <c r="D8170" s="27" t="s">
        <v>230</v>
      </c>
      <c r="E8170" s="29">
        <v>40843</v>
      </c>
      <c r="F8170" s="27">
        <v>15</v>
      </c>
      <c r="G8170" s="18">
        <v>93321.11</v>
      </c>
      <c r="H8170" s="27">
        <f t="shared" si="254"/>
        <v>0</v>
      </c>
      <c r="I8170" s="18">
        <v>54035.74</v>
      </c>
      <c r="J8170" s="27">
        <v>93321.11</v>
      </c>
      <c r="K8170" s="18">
        <f t="shared" si="255"/>
        <v>0</v>
      </c>
      <c r="L8170" s="27">
        <v>58455.23</v>
      </c>
      <c r="M8170" s="36">
        <v>4419.49</v>
      </c>
      <c r="T8170" s="41">
        <v>0</v>
      </c>
      <c r="U8170" s="41">
        <v>0</v>
      </c>
      <c r="V8170" s="42" t="s">
        <v>113</v>
      </c>
      <c r="W8170" s="42">
        <v>0</v>
      </c>
      <c r="X8170" s="42">
        <v>0</v>
      </c>
    </row>
    <row r="8171" spans="1:24">
      <c r="A8171" s="27" t="s">
        <v>14796</v>
      </c>
      <c r="B8171" s="28" t="s">
        <v>12240</v>
      </c>
      <c r="C8171" s="27" t="s">
        <v>14797</v>
      </c>
      <c r="D8171" s="27" t="s">
        <v>230</v>
      </c>
      <c r="E8171" s="29">
        <v>40843</v>
      </c>
      <c r="F8171" s="27">
        <v>15</v>
      </c>
      <c r="G8171" s="18">
        <v>76325.22</v>
      </c>
      <c r="H8171" s="27">
        <f t="shared" si="254"/>
        <v>0</v>
      </c>
      <c r="I8171" s="18">
        <v>44194.61</v>
      </c>
      <c r="J8171" s="27">
        <v>76325.22</v>
      </c>
      <c r="K8171" s="18">
        <f t="shared" si="255"/>
        <v>0</v>
      </c>
      <c r="L8171" s="27">
        <v>47809.21</v>
      </c>
      <c r="M8171" s="36">
        <v>3614.6</v>
      </c>
      <c r="T8171" s="41">
        <v>0</v>
      </c>
      <c r="U8171" s="41">
        <v>0</v>
      </c>
      <c r="V8171" s="42" t="s">
        <v>113</v>
      </c>
      <c r="W8171" s="42">
        <v>0</v>
      </c>
      <c r="X8171" s="42">
        <v>0</v>
      </c>
    </row>
    <row r="8172" spans="1:24">
      <c r="A8172" s="27" t="s">
        <v>14798</v>
      </c>
      <c r="B8172" s="28" t="s">
        <v>12240</v>
      </c>
      <c r="C8172" s="27" t="s">
        <v>14799</v>
      </c>
      <c r="D8172" s="27" t="s">
        <v>230</v>
      </c>
      <c r="E8172" s="29">
        <v>40843</v>
      </c>
      <c r="F8172" s="27">
        <v>15</v>
      </c>
      <c r="G8172" s="18">
        <v>8780.7199999999993</v>
      </c>
      <c r="H8172" s="27">
        <f t="shared" si="254"/>
        <v>0</v>
      </c>
      <c r="I8172" s="18">
        <v>5084.3</v>
      </c>
      <c r="J8172" s="27">
        <v>8780.7199999999993</v>
      </c>
      <c r="K8172" s="18">
        <f t="shared" si="255"/>
        <v>0</v>
      </c>
      <c r="L8172" s="27">
        <v>5500.14</v>
      </c>
      <c r="M8172" s="36">
        <v>415.84</v>
      </c>
      <c r="T8172" s="41">
        <v>0</v>
      </c>
      <c r="U8172" s="41">
        <v>0</v>
      </c>
      <c r="V8172" s="42" t="s">
        <v>113</v>
      </c>
      <c r="W8172" s="42">
        <v>0</v>
      </c>
      <c r="X8172" s="42">
        <v>0</v>
      </c>
    </row>
    <row r="8173" spans="1:24">
      <c r="A8173" s="27" t="s">
        <v>14800</v>
      </c>
      <c r="B8173" s="28" t="s">
        <v>12240</v>
      </c>
      <c r="C8173" s="27" t="s">
        <v>14801</v>
      </c>
      <c r="D8173" s="27" t="s">
        <v>230</v>
      </c>
      <c r="E8173" s="29">
        <v>40843</v>
      </c>
      <c r="F8173" s="27">
        <v>15</v>
      </c>
      <c r="G8173" s="18">
        <v>69088.84</v>
      </c>
      <c r="H8173" s="27">
        <f t="shared" si="254"/>
        <v>0</v>
      </c>
      <c r="I8173" s="18">
        <v>40004.53</v>
      </c>
      <c r="J8173" s="27">
        <v>69088.84</v>
      </c>
      <c r="K8173" s="18">
        <f t="shared" si="255"/>
        <v>0</v>
      </c>
      <c r="L8173" s="27">
        <v>43276.43</v>
      </c>
      <c r="M8173" s="36">
        <v>3271.9</v>
      </c>
      <c r="T8173" s="41">
        <v>0</v>
      </c>
      <c r="U8173" s="41">
        <v>0</v>
      </c>
      <c r="V8173" s="42" t="s">
        <v>113</v>
      </c>
      <c r="W8173" s="42">
        <v>0</v>
      </c>
      <c r="X8173" s="42">
        <v>0</v>
      </c>
    </row>
    <row r="8174" spans="1:24">
      <c r="A8174" s="27" t="s">
        <v>14802</v>
      </c>
      <c r="B8174" s="28" t="s">
        <v>12240</v>
      </c>
      <c r="C8174" s="27" t="s">
        <v>14803</v>
      </c>
      <c r="D8174" s="27" t="s">
        <v>230</v>
      </c>
      <c r="E8174" s="29">
        <v>40843</v>
      </c>
      <c r="F8174" s="27">
        <v>15</v>
      </c>
      <c r="G8174" s="18">
        <v>69088.850000000006</v>
      </c>
      <c r="H8174" s="27">
        <f t="shared" si="254"/>
        <v>0</v>
      </c>
      <c r="I8174" s="18">
        <v>40004.53</v>
      </c>
      <c r="J8174" s="27">
        <v>69088.850000000006</v>
      </c>
      <c r="K8174" s="18">
        <f t="shared" si="255"/>
        <v>0</v>
      </c>
      <c r="L8174" s="27">
        <v>43276.43</v>
      </c>
      <c r="M8174" s="36">
        <v>3271.9</v>
      </c>
      <c r="T8174" s="41">
        <v>0</v>
      </c>
      <c r="U8174" s="41">
        <v>0</v>
      </c>
      <c r="V8174" s="42" t="s">
        <v>113</v>
      </c>
      <c r="W8174" s="42">
        <v>0</v>
      </c>
      <c r="X8174" s="42">
        <v>0</v>
      </c>
    </row>
    <row r="8175" spans="1:24">
      <c r="A8175" s="27" t="s">
        <v>14804</v>
      </c>
      <c r="B8175" s="28" t="s">
        <v>12240</v>
      </c>
      <c r="C8175" s="27" t="s">
        <v>14805</v>
      </c>
      <c r="D8175" s="27" t="s">
        <v>230</v>
      </c>
      <c r="E8175" s="29">
        <v>40843</v>
      </c>
      <c r="F8175" s="27">
        <v>15</v>
      </c>
      <c r="G8175" s="18">
        <v>51802.57</v>
      </c>
      <c r="H8175" s="27">
        <f t="shared" si="254"/>
        <v>0</v>
      </c>
      <c r="I8175" s="18">
        <v>29995.25</v>
      </c>
      <c r="J8175" s="27">
        <v>51802.57</v>
      </c>
      <c r="K8175" s="18">
        <f t="shared" si="255"/>
        <v>0</v>
      </c>
      <c r="L8175" s="27">
        <v>32448.51</v>
      </c>
      <c r="M8175" s="36">
        <v>2453.2600000000002</v>
      </c>
      <c r="T8175" s="41">
        <v>0</v>
      </c>
      <c r="U8175" s="41">
        <v>0</v>
      </c>
      <c r="V8175" s="42" t="s">
        <v>113</v>
      </c>
      <c r="W8175" s="42">
        <v>0</v>
      </c>
      <c r="X8175" s="42">
        <v>0</v>
      </c>
    </row>
    <row r="8176" spans="1:24">
      <c r="A8176" s="27" t="s">
        <v>14806</v>
      </c>
      <c r="B8176" s="28" t="s">
        <v>12240</v>
      </c>
      <c r="C8176" s="27" t="s">
        <v>14807</v>
      </c>
      <c r="D8176" s="27" t="s">
        <v>230</v>
      </c>
      <c r="E8176" s="29">
        <v>40843</v>
      </c>
      <c r="F8176" s="27">
        <v>15</v>
      </c>
      <c r="G8176" s="18">
        <v>69088.850000000006</v>
      </c>
      <c r="H8176" s="27">
        <f t="shared" si="254"/>
        <v>0</v>
      </c>
      <c r="I8176" s="18">
        <v>40004.53</v>
      </c>
      <c r="J8176" s="27">
        <v>69088.850000000006</v>
      </c>
      <c r="K8176" s="18">
        <f t="shared" si="255"/>
        <v>0</v>
      </c>
      <c r="L8176" s="27">
        <v>43276.43</v>
      </c>
      <c r="M8176" s="36">
        <v>3271.9</v>
      </c>
      <c r="T8176" s="41">
        <v>0</v>
      </c>
      <c r="U8176" s="41">
        <v>0</v>
      </c>
      <c r="V8176" s="42" t="s">
        <v>113</v>
      </c>
      <c r="W8176" s="42">
        <v>0</v>
      </c>
      <c r="X8176" s="42">
        <v>0</v>
      </c>
    </row>
    <row r="8177" spans="1:24">
      <c r="A8177" s="27" t="s">
        <v>14808</v>
      </c>
      <c r="B8177" s="28" t="s">
        <v>12240</v>
      </c>
      <c r="C8177" s="27" t="s">
        <v>14809</v>
      </c>
      <c r="D8177" s="27" t="s">
        <v>230</v>
      </c>
      <c r="E8177" s="29">
        <v>40843</v>
      </c>
      <c r="F8177" s="27">
        <v>15</v>
      </c>
      <c r="G8177" s="18">
        <v>51802.57</v>
      </c>
      <c r="H8177" s="27">
        <f t="shared" si="254"/>
        <v>0</v>
      </c>
      <c r="I8177" s="18">
        <v>29995.25</v>
      </c>
      <c r="J8177" s="27">
        <v>51802.57</v>
      </c>
      <c r="K8177" s="18">
        <f t="shared" si="255"/>
        <v>0</v>
      </c>
      <c r="L8177" s="27">
        <v>32448.51</v>
      </c>
      <c r="M8177" s="36">
        <v>2453.2600000000002</v>
      </c>
      <c r="T8177" s="41">
        <v>0</v>
      </c>
      <c r="U8177" s="41">
        <v>0</v>
      </c>
      <c r="V8177" s="42" t="s">
        <v>113</v>
      </c>
      <c r="W8177" s="42">
        <v>0</v>
      </c>
      <c r="X8177" s="42">
        <v>0</v>
      </c>
    </row>
    <row r="8178" spans="1:24">
      <c r="A8178" s="27" t="s">
        <v>14810</v>
      </c>
      <c r="B8178" s="28" t="s">
        <v>12240</v>
      </c>
      <c r="C8178" s="27" t="s">
        <v>14811</v>
      </c>
      <c r="D8178" s="27" t="s">
        <v>230</v>
      </c>
      <c r="E8178" s="29">
        <v>40843</v>
      </c>
      <c r="F8178" s="27">
        <v>15</v>
      </c>
      <c r="G8178" s="18">
        <v>51802.57</v>
      </c>
      <c r="H8178" s="27">
        <f t="shared" si="254"/>
        <v>0</v>
      </c>
      <c r="I8178" s="18">
        <v>29995.25</v>
      </c>
      <c r="J8178" s="27">
        <v>51802.57</v>
      </c>
      <c r="K8178" s="18">
        <f t="shared" si="255"/>
        <v>0</v>
      </c>
      <c r="L8178" s="27">
        <v>32448.51</v>
      </c>
      <c r="M8178" s="36">
        <v>2453.2600000000002</v>
      </c>
      <c r="T8178" s="41">
        <v>0</v>
      </c>
      <c r="U8178" s="41">
        <v>0</v>
      </c>
      <c r="V8178" s="42" t="s">
        <v>113</v>
      </c>
      <c r="W8178" s="42">
        <v>0</v>
      </c>
      <c r="X8178" s="42">
        <v>0</v>
      </c>
    </row>
    <row r="8179" spans="1:24">
      <c r="A8179" s="27" t="s">
        <v>14812</v>
      </c>
      <c r="B8179" s="28" t="s">
        <v>12240</v>
      </c>
      <c r="C8179" s="27" t="s">
        <v>14813</v>
      </c>
      <c r="D8179" s="27" t="s">
        <v>5104</v>
      </c>
      <c r="E8179" s="29">
        <v>40843</v>
      </c>
      <c r="F8179" s="27">
        <v>15</v>
      </c>
      <c r="G8179" s="18">
        <v>54947.49</v>
      </c>
      <c r="H8179" s="27">
        <f t="shared" si="254"/>
        <v>0</v>
      </c>
      <c r="I8179" s="18">
        <v>31816.26</v>
      </c>
      <c r="J8179" s="27">
        <v>54947.49</v>
      </c>
      <c r="K8179" s="18">
        <f t="shared" si="255"/>
        <v>0</v>
      </c>
      <c r="L8179" s="27">
        <v>34418.449999999997</v>
      </c>
      <c r="M8179" s="36">
        <v>2602.19</v>
      </c>
      <c r="T8179" s="41">
        <v>0</v>
      </c>
      <c r="U8179" s="41">
        <v>0</v>
      </c>
      <c r="V8179" s="42" t="s">
        <v>113</v>
      </c>
      <c r="W8179" s="42">
        <v>0</v>
      </c>
      <c r="X8179" s="42">
        <v>0</v>
      </c>
    </row>
    <row r="8180" spans="1:24">
      <c r="A8180" s="27" t="s">
        <v>14814</v>
      </c>
      <c r="B8180" s="28" t="s">
        <v>12240</v>
      </c>
      <c r="C8180" s="27" t="s">
        <v>14815</v>
      </c>
      <c r="D8180" s="27" t="s">
        <v>230</v>
      </c>
      <c r="E8180" s="29">
        <v>40843</v>
      </c>
      <c r="F8180" s="27">
        <v>15</v>
      </c>
      <c r="G8180" s="18">
        <v>66137.03</v>
      </c>
      <c r="H8180" s="27">
        <f t="shared" si="254"/>
        <v>0</v>
      </c>
      <c r="I8180" s="18">
        <v>38295.339999999997</v>
      </c>
      <c r="J8180" s="27">
        <v>66137.03</v>
      </c>
      <c r="K8180" s="18">
        <f t="shared" si="255"/>
        <v>0</v>
      </c>
      <c r="L8180" s="27">
        <v>41427.449999999997</v>
      </c>
      <c r="M8180" s="36">
        <v>3132.11</v>
      </c>
      <c r="T8180" s="41">
        <v>0</v>
      </c>
      <c r="U8180" s="41">
        <v>0</v>
      </c>
      <c r="V8180" s="42" t="s">
        <v>113</v>
      </c>
      <c r="W8180" s="42">
        <v>0</v>
      </c>
      <c r="X8180" s="42">
        <v>0</v>
      </c>
    </row>
    <row r="8181" spans="1:24">
      <c r="A8181" s="27" t="s">
        <v>14816</v>
      </c>
      <c r="B8181" s="28" t="s">
        <v>12240</v>
      </c>
      <c r="C8181" s="27" t="s">
        <v>14817</v>
      </c>
      <c r="D8181" s="27" t="s">
        <v>230</v>
      </c>
      <c r="E8181" s="29">
        <v>40843</v>
      </c>
      <c r="F8181" s="27">
        <v>15</v>
      </c>
      <c r="G8181" s="18">
        <v>54947.49</v>
      </c>
      <c r="H8181" s="27">
        <f t="shared" si="254"/>
        <v>0</v>
      </c>
      <c r="I8181" s="18">
        <v>31816.26</v>
      </c>
      <c r="J8181" s="27">
        <v>54947.49</v>
      </c>
      <c r="K8181" s="18">
        <f t="shared" si="255"/>
        <v>0</v>
      </c>
      <c r="L8181" s="27">
        <v>34418.449999999997</v>
      </c>
      <c r="M8181" s="36">
        <v>2602.19</v>
      </c>
      <c r="T8181" s="41">
        <v>0</v>
      </c>
      <c r="U8181" s="41">
        <v>0</v>
      </c>
      <c r="V8181" s="42" t="s">
        <v>113</v>
      </c>
      <c r="W8181" s="42">
        <v>0</v>
      </c>
      <c r="X8181" s="42">
        <v>0</v>
      </c>
    </row>
    <row r="8182" spans="1:24">
      <c r="A8182" s="27" t="s">
        <v>14818</v>
      </c>
      <c r="B8182" s="28" t="s">
        <v>12240</v>
      </c>
      <c r="C8182" s="27" t="s">
        <v>14819</v>
      </c>
      <c r="D8182" s="27" t="s">
        <v>230</v>
      </c>
      <c r="E8182" s="29">
        <v>40843</v>
      </c>
      <c r="F8182" s="27">
        <v>15</v>
      </c>
      <c r="G8182" s="18">
        <v>54947.49</v>
      </c>
      <c r="H8182" s="27">
        <f t="shared" si="254"/>
        <v>0</v>
      </c>
      <c r="I8182" s="18">
        <v>31816.26</v>
      </c>
      <c r="J8182" s="27">
        <v>54947.49</v>
      </c>
      <c r="K8182" s="18">
        <f t="shared" si="255"/>
        <v>0</v>
      </c>
      <c r="L8182" s="27">
        <v>34418.449999999997</v>
      </c>
      <c r="M8182" s="36">
        <v>2602.19</v>
      </c>
      <c r="T8182" s="41">
        <v>0</v>
      </c>
      <c r="U8182" s="41">
        <v>0</v>
      </c>
      <c r="V8182" s="42" t="s">
        <v>113</v>
      </c>
      <c r="W8182" s="42">
        <v>0</v>
      </c>
      <c r="X8182" s="42">
        <v>0</v>
      </c>
    </row>
    <row r="8183" spans="1:24">
      <c r="A8183" s="27" t="s">
        <v>14820</v>
      </c>
      <c r="B8183" s="28" t="s">
        <v>12240</v>
      </c>
      <c r="C8183" s="27" t="s">
        <v>14821</v>
      </c>
      <c r="D8183" s="27" t="s">
        <v>230</v>
      </c>
      <c r="E8183" s="29">
        <v>40843</v>
      </c>
      <c r="F8183" s="27">
        <v>15</v>
      </c>
      <c r="G8183" s="18">
        <v>8375.26</v>
      </c>
      <c r="H8183" s="27">
        <f t="shared" si="254"/>
        <v>0</v>
      </c>
      <c r="I8183" s="18">
        <v>4849.53</v>
      </c>
      <c r="J8183" s="27">
        <v>8375.26</v>
      </c>
      <c r="K8183" s="18">
        <f t="shared" si="255"/>
        <v>0</v>
      </c>
      <c r="L8183" s="27">
        <v>5246.16</v>
      </c>
      <c r="M8183" s="36">
        <v>396.63</v>
      </c>
      <c r="T8183" s="41">
        <v>0</v>
      </c>
      <c r="U8183" s="41">
        <v>0</v>
      </c>
      <c r="V8183" s="42" t="s">
        <v>113</v>
      </c>
      <c r="W8183" s="42">
        <v>0</v>
      </c>
      <c r="X8183" s="42">
        <v>0</v>
      </c>
    </row>
    <row r="8184" spans="1:24">
      <c r="A8184" s="27" t="s">
        <v>14822</v>
      </c>
      <c r="B8184" s="28" t="s">
        <v>12240</v>
      </c>
      <c r="C8184" s="27" t="s">
        <v>14823</v>
      </c>
      <c r="D8184" s="27" t="s">
        <v>230</v>
      </c>
      <c r="E8184" s="29">
        <v>40843</v>
      </c>
      <c r="F8184" s="27">
        <v>15</v>
      </c>
      <c r="G8184" s="18">
        <v>47419.28</v>
      </c>
      <c r="H8184" s="27">
        <f t="shared" si="254"/>
        <v>0</v>
      </c>
      <c r="I8184" s="18">
        <v>27457.200000000001</v>
      </c>
      <c r="J8184" s="27">
        <v>47419.28</v>
      </c>
      <c r="K8184" s="18">
        <f t="shared" si="255"/>
        <v>0</v>
      </c>
      <c r="L8184" s="27">
        <v>29702.87</v>
      </c>
      <c r="M8184" s="36">
        <v>2245.67</v>
      </c>
      <c r="T8184" s="41">
        <v>0</v>
      </c>
      <c r="U8184" s="41">
        <v>0</v>
      </c>
      <c r="V8184" s="42" t="s">
        <v>113</v>
      </c>
      <c r="W8184" s="42">
        <v>0</v>
      </c>
      <c r="X8184" s="42">
        <v>0</v>
      </c>
    </row>
    <row r="8185" spans="1:24">
      <c r="A8185" s="27" t="s">
        <v>14824</v>
      </c>
      <c r="B8185" s="28" t="s">
        <v>12240</v>
      </c>
      <c r="C8185" s="27" t="s">
        <v>14825</v>
      </c>
      <c r="D8185" s="27" t="s">
        <v>230</v>
      </c>
      <c r="E8185" s="29">
        <v>40843</v>
      </c>
      <c r="F8185" s="27">
        <v>15</v>
      </c>
      <c r="G8185" s="18">
        <v>47419.29</v>
      </c>
      <c r="H8185" s="27">
        <f t="shared" si="254"/>
        <v>0</v>
      </c>
      <c r="I8185" s="18">
        <v>27457.21</v>
      </c>
      <c r="J8185" s="27">
        <v>47419.29</v>
      </c>
      <c r="K8185" s="18">
        <f t="shared" si="255"/>
        <v>0</v>
      </c>
      <c r="L8185" s="27">
        <v>29702.880000000001</v>
      </c>
      <c r="M8185" s="36">
        <v>2245.67</v>
      </c>
      <c r="T8185" s="41">
        <v>0</v>
      </c>
      <c r="U8185" s="41">
        <v>0</v>
      </c>
      <c r="V8185" s="42" t="s">
        <v>113</v>
      </c>
      <c r="W8185" s="42">
        <v>0</v>
      </c>
      <c r="X8185" s="42">
        <v>0</v>
      </c>
    </row>
    <row r="8186" spans="1:24">
      <c r="A8186" s="27" t="s">
        <v>14826</v>
      </c>
      <c r="B8186" s="28" t="s">
        <v>12240</v>
      </c>
      <c r="C8186" s="27" t="s">
        <v>14827</v>
      </c>
      <c r="D8186" s="27" t="s">
        <v>5104</v>
      </c>
      <c r="E8186" s="29">
        <v>40843</v>
      </c>
      <c r="F8186" s="27">
        <v>15</v>
      </c>
      <c r="G8186" s="18">
        <v>42175.14</v>
      </c>
      <c r="H8186" s="27">
        <f t="shared" si="254"/>
        <v>0</v>
      </c>
      <c r="I8186" s="18">
        <v>24420.69</v>
      </c>
      <c r="J8186" s="27">
        <v>42175.14</v>
      </c>
      <c r="K8186" s="18">
        <f t="shared" si="255"/>
        <v>0</v>
      </c>
      <c r="L8186" s="27">
        <v>26418.01</v>
      </c>
      <c r="M8186" s="36">
        <v>1997.32</v>
      </c>
      <c r="T8186" s="41">
        <v>0</v>
      </c>
      <c r="U8186" s="41">
        <v>0</v>
      </c>
      <c r="V8186" s="42" t="s">
        <v>113</v>
      </c>
      <c r="W8186" s="42">
        <v>0</v>
      </c>
      <c r="X8186" s="42">
        <v>0</v>
      </c>
    </row>
    <row r="8187" spans="1:24">
      <c r="A8187" s="27" t="s">
        <v>14828</v>
      </c>
      <c r="B8187" s="28" t="s">
        <v>12240</v>
      </c>
      <c r="C8187" s="27" t="s">
        <v>14829</v>
      </c>
      <c r="D8187" s="27" t="s">
        <v>230</v>
      </c>
      <c r="E8187" s="29">
        <v>40843</v>
      </c>
      <c r="F8187" s="27">
        <v>15</v>
      </c>
      <c r="G8187" s="18">
        <v>42175.14</v>
      </c>
      <c r="H8187" s="27">
        <f t="shared" si="254"/>
        <v>0</v>
      </c>
      <c r="I8187" s="18">
        <v>24420.69</v>
      </c>
      <c r="J8187" s="27">
        <v>42175.14</v>
      </c>
      <c r="K8187" s="18">
        <f t="shared" si="255"/>
        <v>0</v>
      </c>
      <c r="L8187" s="27">
        <v>26418.01</v>
      </c>
      <c r="M8187" s="36">
        <v>1997.32</v>
      </c>
      <c r="T8187" s="41">
        <v>0</v>
      </c>
      <c r="U8187" s="41">
        <v>0</v>
      </c>
      <c r="V8187" s="42" t="s">
        <v>113</v>
      </c>
      <c r="W8187" s="42">
        <v>0</v>
      </c>
      <c r="X8187" s="42">
        <v>0</v>
      </c>
    </row>
    <row r="8188" spans="1:24">
      <c r="A8188" s="27" t="s">
        <v>14830</v>
      </c>
      <c r="B8188" s="28" t="s">
        <v>12240</v>
      </c>
      <c r="C8188" s="27" t="s">
        <v>14831</v>
      </c>
      <c r="D8188" s="27" t="s">
        <v>230</v>
      </c>
      <c r="E8188" s="29">
        <v>40843</v>
      </c>
      <c r="F8188" s="27">
        <v>15</v>
      </c>
      <c r="G8188" s="18">
        <v>42175.14</v>
      </c>
      <c r="H8188" s="27">
        <f t="shared" si="254"/>
        <v>0</v>
      </c>
      <c r="I8188" s="18">
        <v>24420.69</v>
      </c>
      <c r="J8188" s="27">
        <v>42175.14</v>
      </c>
      <c r="K8188" s="18">
        <f t="shared" si="255"/>
        <v>0</v>
      </c>
      <c r="L8188" s="27">
        <v>26418.01</v>
      </c>
      <c r="M8188" s="36">
        <v>1997.32</v>
      </c>
      <c r="T8188" s="41">
        <v>0</v>
      </c>
      <c r="U8188" s="41">
        <v>0</v>
      </c>
      <c r="V8188" s="42" t="s">
        <v>113</v>
      </c>
      <c r="W8188" s="42">
        <v>0</v>
      </c>
      <c r="X8188" s="42">
        <v>0</v>
      </c>
    </row>
    <row r="8189" spans="1:24">
      <c r="A8189" s="27" t="s">
        <v>14832</v>
      </c>
      <c r="B8189" s="28" t="s">
        <v>12240</v>
      </c>
      <c r="C8189" s="27" t="s">
        <v>14833</v>
      </c>
      <c r="D8189" s="27" t="s">
        <v>230</v>
      </c>
      <c r="E8189" s="29">
        <v>40843</v>
      </c>
      <c r="F8189" s="27">
        <v>15</v>
      </c>
      <c r="G8189" s="18">
        <v>42175.14</v>
      </c>
      <c r="H8189" s="27">
        <f t="shared" si="254"/>
        <v>0</v>
      </c>
      <c r="I8189" s="18">
        <v>24420.69</v>
      </c>
      <c r="J8189" s="27">
        <v>42175.14</v>
      </c>
      <c r="K8189" s="18">
        <f t="shared" si="255"/>
        <v>0</v>
      </c>
      <c r="L8189" s="27">
        <v>26418.01</v>
      </c>
      <c r="M8189" s="36">
        <v>1997.32</v>
      </c>
      <c r="T8189" s="41">
        <v>0</v>
      </c>
      <c r="U8189" s="41">
        <v>0</v>
      </c>
      <c r="V8189" s="42" t="s">
        <v>113</v>
      </c>
      <c r="W8189" s="42">
        <v>0</v>
      </c>
      <c r="X8189" s="42">
        <v>0</v>
      </c>
    </row>
    <row r="8190" spans="1:24">
      <c r="A8190" s="27" t="s">
        <v>14834</v>
      </c>
      <c r="B8190" s="28" t="s">
        <v>12240</v>
      </c>
      <c r="C8190" s="27" t="s">
        <v>14835</v>
      </c>
      <c r="D8190" s="27" t="s">
        <v>230</v>
      </c>
      <c r="E8190" s="29">
        <v>40843</v>
      </c>
      <c r="F8190" s="27">
        <v>15</v>
      </c>
      <c r="G8190" s="18">
        <v>42175.14</v>
      </c>
      <c r="H8190" s="27">
        <f t="shared" si="254"/>
        <v>0</v>
      </c>
      <c r="I8190" s="18">
        <v>24420.69</v>
      </c>
      <c r="J8190" s="27">
        <v>42175.14</v>
      </c>
      <c r="K8190" s="18">
        <f t="shared" si="255"/>
        <v>0</v>
      </c>
      <c r="L8190" s="27">
        <v>26418.01</v>
      </c>
      <c r="M8190" s="36">
        <v>1997.32</v>
      </c>
      <c r="T8190" s="41">
        <v>0</v>
      </c>
      <c r="U8190" s="41">
        <v>0</v>
      </c>
      <c r="V8190" s="42" t="s">
        <v>113</v>
      </c>
      <c r="W8190" s="42">
        <v>0</v>
      </c>
      <c r="X8190" s="42">
        <v>0</v>
      </c>
    </row>
    <row r="8191" spans="1:24">
      <c r="A8191" s="27" t="s">
        <v>14836</v>
      </c>
      <c r="B8191" s="28" t="s">
        <v>12240</v>
      </c>
      <c r="C8191" s="27" t="s">
        <v>14837</v>
      </c>
      <c r="D8191" s="27" t="s">
        <v>230</v>
      </c>
      <c r="E8191" s="29">
        <v>40843</v>
      </c>
      <c r="F8191" s="27">
        <v>15</v>
      </c>
      <c r="G8191" s="18">
        <v>42175.14</v>
      </c>
      <c r="H8191" s="27">
        <f t="shared" si="254"/>
        <v>0</v>
      </c>
      <c r="I8191" s="18">
        <v>24420.69</v>
      </c>
      <c r="J8191" s="27">
        <v>42175.14</v>
      </c>
      <c r="K8191" s="18">
        <f t="shared" si="255"/>
        <v>0</v>
      </c>
      <c r="L8191" s="27">
        <v>26418.01</v>
      </c>
      <c r="M8191" s="36">
        <v>1997.32</v>
      </c>
      <c r="T8191" s="41">
        <v>0</v>
      </c>
      <c r="U8191" s="41">
        <v>0</v>
      </c>
      <c r="V8191" s="42" t="s">
        <v>113</v>
      </c>
      <c r="W8191" s="42">
        <v>0</v>
      </c>
      <c r="X8191" s="42">
        <v>0</v>
      </c>
    </row>
    <row r="8192" spans="1:24">
      <c r="A8192" s="27" t="s">
        <v>14838</v>
      </c>
      <c r="B8192" s="28" t="s">
        <v>12240</v>
      </c>
      <c r="C8192" s="27" t="s">
        <v>14839</v>
      </c>
      <c r="D8192" s="27" t="s">
        <v>230</v>
      </c>
      <c r="E8192" s="29">
        <v>40843</v>
      </c>
      <c r="F8192" s="27">
        <v>15</v>
      </c>
      <c r="G8192" s="18">
        <v>42175.15</v>
      </c>
      <c r="H8192" s="27">
        <f t="shared" si="254"/>
        <v>0</v>
      </c>
      <c r="I8192" s="18">
        <v>24420.69</v>
      </c>
      <c r="J8192" s="27">
        <v>42175.15</v>
      </c>
      <c r="K8192" s="18">
        <f t="shared" si="255"/>
        <v>0</v>
      </c>
      <c r="L8192" s="27">
        <v>26418.01</v>
      </c>
      <c r="M8192" s="36">
        <v>1997.32</v>
      </c>
      <c r="T8192" s="41">
        <v>0</v>
      </c>
      <c r="U8192" s="41">
        <v>0</v>
      </c>
      <c r="V8192" s="42" t="s">
        <v>113</v>
      </c>
      <c r="W8192" s="42">
        <v>0</v>
      </c>
      <c r="X8192" s="42">
        <v>0</v>
      </c>
    </row>
    <row r="8193" spans="1:24">
      <c r="A8193" s="27" t="s">
        <v>14840</v>
      </c>
      <c r="B8193" s="28" t="s">
        <v>12240</v>
      </c>
      <c r="C8193" s="27" t="s">
        <v>14841</v>
      </c>
      <c r="D8193" s="27" t="s">
        <v>5104</v>
      </c>
      <c r="E8193" s="29">
        <v>40843</v>
      </c>
      <c r="F8193" s="27">
        <v>15</v>
      </c>
      <c r="G8193" s="18">
        <v>38842.25</v>
      </c>
      <c r="H8193" s="27">
        <f t="shared" si="254"/>
        <v>0</v>
      </c>
      <c r="I8193" s="18">
        <v>22490.84</v>
      </c>
      <c r="J8193" s="27">
        <v>38842.25</v>
      </c>
      <c r="K8193" s="18">
        <f t="shared" si="255"/>
        <v>0</v>
      </c>
      <c r="L8193" s="27">
        <v>24330.33</v>
      </c>
      <c r="M8193" s="36">
        <v>1839.49</v>
      </c>
      <c r="T8193" s="41">
        <v>0</v>
      </c>
      <c r="U8193" s="41">
        <v>0</v>
      </c>
      <c r="V8193" s="42" t="s">
        <v>113</v>
      </c>
      <c r="W8193" s="42">
        <v>0</v>
      </c>
      <c r="X8193" s="42">
        <v>0</v>
      </c>
    </row>
    <row r="8194" spans="1:24">
      <c r="A8194" s="27" t="s">
        <v>14842</v>
      </c>
      <c r="B8194" s="28" t="s">
        <v>12240</v>
      </c>
      <c r="C8194" s="27" t="s">
        <v>12417</v>
      </c>
      <c r="D8194" s="27" t="s">
        <v>5104</v>
      </c>
      <c r="E8194" s="29">
        <v>40843</v>
      </c>
      <c r="F8194" s="27">
        <v>15</v>
      </c>
      <c r="G8194" s="18">
        <v>50364.22</v>
      </c>
      <c r="H8194" s="27">
        <f t="shared" si="254"/>
        <v>0</v>
      </c>
      <c r="I8194" s="18">
        <v>29162.400000000001</v>
      </c>
      <c r="J8194" s="27">
        <v>50364.22</v>
      </c>
      <c r="K8194" s="18">
        <f t="shared" si="255"/>
        <v>0</v>
      </c>
      <c r="L8194" s="27">
        <v>31547.54</v>
      </c>
      <c r="M8194" s="36">
        <v>2385.14</v>
      </c>
      <c r="T8194" s="41">
        <v>0</v>
      </c>
      <c r="U8194" s="41">
        <v>0</v>
      </c>
      <c r="V8194" s="42" t="s">
        <v>113</v>
      </c>
      <c r="W8194" s="42">
        <v>0</v>
      </c>
      <c r="X8194" s="42">
        <v>0</v>
      </c>
    </row>
    <row r="8195" spans="1:24">
      <c r="A8195" s="27" t="s">
        <v>14843</v>
      </c>
      <c r="B8195" s="28" t="s">
        <v>12240</v>
      </c>
      <c r="C8195" s="27" t="s">
        <v>14844</v>
      </c>
      <c r="D8195" s="27" t="s">
        <v>230</v>
      </c>
      <c r="E8195" s="29">
        <v>40843</v>
      </c>
      <c r="F8195" s="27">
        <v>15</v>
      </c>
      <c r="G8195" s="18">
        <v>105364.27</v>
      </c>
      <c r="H8195" s="27">
        <f t="shared" si="254"/>
        <v>0</v>
      </c>
      <c r="I8195" s="18">
        <v>61009.1</v>
      </c>
      <c r="J8195" s="27">
        <v>105364.27</v>
      </c>
      <c r="K8195" s="18">
        <f t="shared" si="255"/>
        <v>0</v>
      </c>
      <c r="L8195" s="27">
        <v>65998.92</v>
      </c>
      <c r="M8195" s="36">
        <v>4989.82</v>
      </c>
      <c r="T8195" s="41">
        <v>0</v>
      </c>
      <c r="U8195" s="41">
        <v>0</v>
      </c>
      <c r="V8195" s="42" t="s">
        <v>113</v>
      </c>
      <c r="W8195" s="42">
        <v>0</v>
      </c>
      <c r="X8195" s="42">
        <v>0</v>
      </c>
    </row>
    <row r="8196" spans="1:24">
      <c r="A8196" s="27" t="s">
        <v>14845</v>
      </c>
      <c r="B8196" s="28" t="s">
        <v>12240</v>
      </c>
      <c r="C8196" s="27" t="s">
        <v>14846</v>
      </c>
      <c r="D8196" s="27" t="s">
        <v>230</v>
      </c>
      <c r="E8196" s="29">
        <v>40843</v>
      </c>
      <c r="F8196" s="27">
        <v>15</v>
      </c>
      <c r="G8196" s="18">
        <v>105364.27</v>
      </c>
      <c r="H8196" s="27">
        <f t="shared" si="254"/>
        <v>0</v>
      </c>
      <c r="I8196" s="18">
        <v>61009.1</v>
      </c>
      <c r="J8196" s="27">
        <v>105364.27</v>
      </c>
      <c r="K8196" s="18">
        <f t="shared" si="255"/>
        <v>0</v>
      </c>
      <c r="L8196" s="27">
        <v>65998.92</v>
      </c>
      <c r="M8196" s="36">
        <v>4989.82</v>
      </c>
      <c r="T8196" s="41">
        <v>0</v>
      </c>
      <c r="U8196" s="41">
        <v>0</v>
      </c>
      <c r="V8196" s="42" t="s">
        <v>113</v>
      </c>
      <c r="W8196" s="42">
        <v>0</v>
      </c>
      <c r="X8196" s="42">
        <v>0</v>
      </c>
    </row>
    <row r="8197" spans="1:24">
      <c r="A8197" s="27" t="s">
        <v>14847</v>
      </c>
      <c r="B8197" s="28" t="s">
        <v>12240</v>
      </c>
      <c r="C8197" s="27" t="s">
        <v>14848</v>
      </c>
      <c r="D8197" s="27" t="s">
        <v>5104</v>
      </c>
      <c r="E8197" s="29">
        <v>40843</v>
      </c>
      <c r="F8197" s="27">
        <v>15</v>
      </c>
      <c r="G8197" s="18">
        <v>105364.27</v>
      </c>
      <c r="H8197" s="27">
        <f t="shared" si="254"/>
        <v>0</v>
      </c>
      <c r="I8197" s="18">
        <v>61009.1</v>
      </c>
      <c r="J8197" s="27">
        <v>105364.27</v>
      </c>
      <c r="K8197" s="18">
        <f t="shared" si="255"/>
        <v>0</v>
      </c>
      <c r="L8197" s="27">
        <v>65998.92</v>
      </c>
      <c r="M8197" s="36">
        <v>4989.82</v>
      </c>
      <c r="T8197" s="41">
        <v>0</v>
      </c>
      <c r="U8197" s="41">
        <v>0</v>
      </c>
      <c r="V8197" s="42" t="s">
        <v>113</v>
      </c>
      <c r="W8197" s="42">
        <v>0</v>
      </c>
      <c r="X8197" s="42">
        <v>0</v>
      </c>
    </row>
    <row r="8198" spans="1:24">
      <c r="A8198" s="27" t="s">
        <v>14849</v>
      </c>
      <c r="B8198" s="28" t="s">
        <v>12240</v>
      </c>
      <c r="C8198" s="27" t="s">
        <v>14850</v>
      </c>
      <c r="D8198" s="27" t="s">
        <v>5104</v>
      </c>
      <c r="E8198" s="29">
        <v>40843</v>
      </c>
      <c r="F8198" s="27">
        <v>15</v>
      </c>
      <c r="G8198" s="18">
        <v>105364.27</v>
      </c>
      <c r="H8198" s="27">
        <f t="shared" ref="H8198:H8261" si="256">IFERROR(IF(ROUND((G8198-I8198)/G8198,2)&lt;=0.05,G8198,0),0)</f>
        <v>0</v>
      </c>
      <c r="I8198" s="18">
        <v>61009.1</v>
      </c>
      <c r="J8198" s="27">
        <v>105364.27</v>
      </c>
      <c r="K8198" s="18">
        <f t="shared" ref="K8198:K8261" si="257">IFERROR(IF(ROUND((J8198-L8198)/J8198,2)&lt;=0.05,J8198,0),0)</f>
        <v>0</v>
      </c>
      <c r="L8198" s="27">
        <v>65998.92</v>
      </c>
      <c r="M8198" s="36">
        <v>4989.82</v>
      </c>
      <c r="T8198" s="41">
        <v>0</v>
      </c>
      <c r="U8198" s="41">
        <v>0</v>
      </c>
      <c r="V8198" s="42" t="s">
        <v>113</v>
      </c>
      <c r="W8198" s="42">
        <v>0</v>
      </c>
      <c r="X8198" s="42">
        <v>0</v>
      </c>
    </row>
    <row r="8199" spans="1:24">
      <c r="A8199" s="27" t="s">
        <v>14851</v>
      </c>
      <c r="B8199" s="28" t="s">
        <v>12240</v>
      </c>
      <c r="C8199" s="27" t="s">
        <v>14852</v>
      </c>
      <c r="D8199" s="27" t="s">
        <v>230</v>
      </c>
      <c r="E8199" s="29">
        <v>40843</v>
      </c>
      <c r="F8199" s="27">
        <v>15</v>
      </c>
      <c r="G8199" s="18">
        <v>105364.27</v>
      </c>
      <c r="H8199" s="27">
        <f t="shared" si="256"/>
        <v>0</v>
      </c>
      <c r="I8199" s="18">
        <v>61009.1</v>
      </c>
      <c r="J8199" s="27">
        <v>105364.27</v>
      </c>
      <c r="K8199" s="18">
        <f t="shared" si="257"/>
        <v>0</v>
      </c>
      <c r="L8199" s="27">
        <v>65998.92</v>
      </c>
      <c r="M8199" s="36">
        <v>4989.82</v>
      </c>
      <c r="T8199" s="41">
        <v>0</v>
      </c>
      <c r="U8199" s="41">
        <v>0</v>
      </c>
      <c r="V8199" s="42" t="s">
        <v>113</v>
      </c>
      <c r="W8199" s="42">
        <v>0</v>
      </c>
      <c r="X8199" s="42">
        <v>0</v>
      </c>
    </row>
    <row r="8200" spans="1:24">
      <c r="A8200" s="27" t="s">
        <v>14853</v>
      </c>
      <c r="B8200" s="28" t="s">
        <v>12240</v>
      </c>
      <c r="C8200" s="27" t="s">
        <v>14854</v>
      </c>
      <c r="D8200" s="27" t="s">
        <v>5104</v>
      </c>
      <c r="E8200" s="29">
        <v>40843</v>
      </c>
      <c r="F8200" s="27">
        <v>15</v>
      </c>
      <c r="G8200" s="18">
        <v>110931.23</v>
      </c>
      <c r="H8200" s="27">
        <f t="shared" si="256"/>
        <v>0</v>
      </c>
      <c r="I8200" s="18">
        <v>64232.53</v>
      </c>
      <c r="J8200" s="27">
        <v>110931.23</v>
      </c>
      <c r="K8200" s="18">
        <f t="shared" si="257"/>
        <v>0</v>
      </c>
      <c r="L8200" s="27">
        <v>69485.990000000005</v>
      </c>
      <c r="M8200" s="36">
        <v>5253.46</v>
      </c>
      <c r="T8200" s="41">
        <v>0</v>
      </c>
      <c r="U8200" s="41">
        <v>0</v>
      </c>
      <c r="V8200" s="42" t="s">
        <v>113</v>
      </c>
      <c r="W8200" s="42">
        <v>0</v>
      </c>
      <c r="X8200" s="42">
        <v>0</v>
      </c>
    </row>
    <row r="8201" spans="1:24">
      <c r="A8201" s="27" t="s">
        <v>14855</v>
      </c>
      <c r="B8201" s="28" t="s">
        <v>12240</v>
      </c>
      <c r="C8201" s="27" t="s">
        <v>14856</v>
      </c>
      <c r="D8201" s="27" t="s">
        <v>5104</v>
      </c>
      <c r="E8201" s="29">
        <v>40843</v>
      </c>
      <c r="F8201" s="27">
        <v>15</v>
      </c>
      <c r="G8201" s="18">
        <v>61105.98</v>
      </c>
      <c r="H8201" s="27">
        <f t="shared" si="256"/>
        <v>0</v>
      </c>
      <c r="I8201" s="18">
        <v>35382.199999999997</v>
      </c>
      <c r="J8201" s="27">
        <v>61105.98</v>
      </c>
      <c r="K8201" s="18">
        <f t="shared" si="257"/>
        <v>0</v>
      </c>
      <c r="L8201" s="27">
        <v>38276.050000000003</v>
      </c>
      <c r="M8201" s="36">
        <v>2893.85</v>
      </c>
      <c r="T8201" s="41">
        <v>0</v>
      </c>
      <c r="U8201" s="41">
        <v>0</v>
      </c>
      <c r="V8201" s="42" t="s">
        <v>113</v>
      </c>
      <c r="W8201" s="42">
        <v>0</v>
      </c>
      <c r="X8201" s="42">
        <v>0</v>
      </c>
    </row>
    <row r="8202" spans="1:24">
      <c r="A8202" s="27" t="s">
        <v>14857</v>
      </c>
      <c r="B8202" s="28" t="s">
        <v>12240</v>
      </c>
      <c r="C8202" s="27" t="s">
        <v>14858</v>
      </c>
      <c r="D8202" s="27" t="s">
        <v>230</v>
      </c>
      <c r="E8202" s="29">
        <v>40843</v>
      </c>
      <c r="F8202" s="27">
        <v>15</v>
      </c>
      <c r="G8202" s="18">
        <v>70732.69</v>
      </c>
      <c r="H8202" s="27">
        <f t="shared" si="256"/>
        <v>0</v>
      </c>
      <c r="I8202" s="18">
        <v>40956.370000000003</v>
      </c>
      <c r="J8202" s="27">
        <v>70732.69</v>
      </c>
      <c r="K8202" s="18">
        <f t="shared" si="257"/>
        <v>0</v>
      </c>
      <c r="L8202" s="27">
        <v>44306.12</v>
      </c>
      <c r="M8202" s="36">
        <v>3349.75</v>
      </c>
      <c r="T8202" s="41">
        <v>0</v>
      </c>
      <c r="U8202" s="41">
        <v>0</v>
      </c>
      <c r="V8202" s="42" t="s">
        <v>113</v>
      </c>
      <c r="W8202" s="42">
        <v>0</v>
      </c>
      <c r="X8202" s="42">
        <v>0</v>
      </c>
    </row>
    <row r="8203" spans="1:24">
      <c r="A8203" s="27" t="s">
        <v>14859</v>
      </c>
      <c r="B8203" s="28" t="s">
        <v>12240</v>
      </c>
      <c r="C8203" s="27" t="s">
        <v>14860</v>
      </c>
      <c r="D8203" s="27" t="s">
        <v>230</v>
      </c>
      <c r="E8203" s="29">
        <v>40843</v>
      </c>
      <c r="F8203" s="27">
        <v>15</v>
      </c>
      <c r="G8203" s="18">
        <v>810349.8</v>
      </c>
      <c r="H8203" s="27">
        <f t="shared" si="256"/>
        <v>0</v>
      </c>
      <c r="I8203" s="18">
        <v>469217.02</v>
      </c>
      <c r="J8203" s="27">
        <v>810349.8</v>
      </c>
      <c r="K8203" s="18">
        <f t="shared" si="257"/>
        <v>0</v>
      </c>
      <c r="L8203" s="27">
        <v>507593.44</v>
      </c>
      <c r="M8203" s="36">
        <v>38376.42</v>
      </c>
      <c r="T8203" s="41">
        <v>0</v>
      </c>
      <c r="U8203" s="41">
        <v>0</v>
      </c>
      <c r="V8203" s="42" t="s">
        <v>113</v>
      </c>
      <c r="W8203" s="42">
        <v>0</v>
      </c>
      <c r="X8203" s="42">
        <v>0</v>
      </c>
    </row>
    <row r="8204" spans="1:24">
      <c r="A8204" s="27" t="s">
        <v>14861</v>
      </c>
      <c r="B8204" s="28" t="s">
        <v>12240</v>
      </c>
      <c r="C8204" s="27" t="s">
        <v>14862</v>
      </c>
      <c r="D8204" s="27" t="s">
        <v>230</v>
      </c>
      <c r="E8204" s="29">
        <v>40843</v>
      </c>
      <c r="F8204" s="27">
        <v>15</v>
      </c>
      <c r="G8204" s="18">
        <v>784234.67</v>
      </c>
      <c r="H8204" s="27">
        <f t="shared" si="256"/>
        <v>0</v>
      </c>
      <c r="I8204" s="18">
        <v>454095.57</v>
      </c>
      <c r="J8204" s="27">
        <v>784234.67</v>
      </c>
      <c r="K8204" s="18">
        <f t="shared" si="257"/>
        <v>0</v>
      </c>
      <c r="L8204" s="27">
        <v>491235.23</v>
      </c>
      <c r="M8204" s="36">
        <v>37139.660000000003</v>
      </c>
      <c r="T8204" s="41">
        <v>0</v>
      </c>
      <c r="U8204" s="41">
        <v>0</v>
      </c>
      <c r="V8204" s="42" t="s">
        <v>113</v>
      </c>
      <c r="W8204" s="42">
        <v>0</v>
      </c>
      <c r="X8204" s="42">
        <v>0</v>
      </c>
    </row>
    <row r="8205" spans="1:24">
      <c r="A8205" s="27" t="s">
        <v>14863</v>
      </c>
      <c r="B8205" s="28" t="s">
        <v>12240</v>
      </c>
      <c r="C8205" s="27" t="s">
        <v>14864</v>
      </c>
      <c r="D8205" s="27" t="s">
        <v>230</v>
      </c>
      <c r="E8205" s="29">
        <v>40843</v>
      </c>
      <c r="F8205" s="27">
        <v>15</v>
      </c>
      <c r="G8205" s="18">
        <v>611436.31999999995</v>
      </c>
      <c r="H8205" s="27">
        <f t="shared" si="256"/>
        <v>0</v>
      </c>
      <c r="I8205" s="18">
        <v>354040.12</v>
      </c>
      <c r="J8205" s="27">
        <v>611436.31999999995</v>
      </c>
      <c r="K8205" s="18">
        <f t="shared" si="257"/>
        <v>0</v>
      </c>
      <c r="L8205" s="27">
        <v>382996.42</v>
      </c>
      <c r="M8205" s="36">
        <v>28956.3</v>
      </c>
      <c r="T8205" s="41">
        <v>0</v>
      </c>
      <c r="U8205" s="41">
        <v>0</v>
      </c>
      <c r="V8205" s="42" t="s">
        <v>113</v>
      </c>
      <c r="W8205" s="42">
        <v>0</v>
      </c>
      <c r="X8205" s="42">
        <v>0</v>
      </c>
    </row>
    <row r="8206" spans="1:24">
      <c r="A8206" s="27" t="s">
        <v>14865</v>
      </c>
      <c r="B8206" s="28" t="s">
        <v>12240</v>
      </c>
      <c r="C8206" s="27" t="s">
        <v>14866</v>
      </c>
      <c r="D8206" s="27" t="s">
        <v>230</v>
      </c>
      <c r="E8206" s="29">
        <v>40843</v>
      </c>
      <c r="F8206" s="27">
        <v>15</v>
      </c>
      <c r="G8206" s="18">
        <v>610848.84</v>
      </c>
      <c r="H8206" s="27">
        <f t="shared" si="256"/>
        <v>0</v>
      </c>
      <c r="I8206" s="18">
        <v>353699.95</v>
      </c>
      <c r="J8206" s="27">
        <v>610848.84</v>
      </c>
      <c r="K8206" s="18">
        <f t="shared" si="257"/>
        <v>0</v>
      </c>
      <c r="L8206" s="27">
        <v>382628.43</v>
      </c>
      <c r="M8206" s="36">
        <v>28928.48</v>
      </c>
      <c r="T8206" s="41">
        <v>0</v>
      </c>
      <c r="U8206" s="41">
        <v>0</v>
      </c>
      <c r="V8206" s="42" t="s">
        <v>113</v>
      </c>
      <c r="W8206" s="42">
        <v>0</v>
      </c>
      <c r="X8206" s="42">
        <v>0</v>
      </c>
    </row>
    <row r="8207" spans="1:24">
      <c r="A8207" s="27" t="s">
        <v>14867</v>
      </c>
      <c r="B8207" s="28" t="s">
        <v>12240</v>
      </c>
      <c r="C8207" s="27" t="s">
        <v>14868</v>
      </c>
      <c r="D8207" s="27" t="s">
        <v>230</v>
      </c>
      <c r="E8207" s="29">
        <v>40843</v>
      </c>
      <c r="F8207" s="27">
        <v>15</v>
      </c>
      <c r="G8207" s="18">
        <v>614403.24</v>
      </c>
      <c r="H8207" s="27">
        <f t="shared" si="256"/>
        <v>0</v>
      </c>
      <c r="I8207" s="18">
        <v>355758.06</v>
      </c>
      <c r="J8207" s="27">
        <v>614403.24</v>
      </c>
      <c r="K8207" s="18">
        <f t="shared" si="257"/>
        <v>0</v>
      </c>
      <c r="L8207" s="27">
        <v>384854.87</v>
      </c>
      <c r="M8207" s="36">
        <v>29096.81</v>
      </c>
      <c r="T8207" s="41">
        <v>0</v>
      </c>
      <c r="U8207" s="41">
        <v>0</v>
      </c>
      <c r="V8207" s="42" t="s">
        <v>113</v>
      </c>
      <c r="W8207" s="42">
        <v>0</v>
      </c>
      <c r="X8207" s="42">
        <v>0</v>
      </c>
    </row>
    <row r="8208" spans="1:24">
      <c r="A8208" s="27" t="s">
        <v>14869</v>
      </c>
      <c r="B8208" s="28" t="s">
        <v>12240</v>
      </c>
      <c r="C8208" s="27" t="s">
        <v>14870</v>
      </c>
      <c r="D8208" s="27" t="s">
        <v>230</v>
      </c>
      <c r="E8208" s="29">
        <v>40843</v>
      </c>
      <c r="F8208" s="27">
        <v>15</v>
      </c>
      <c r="G8208" s="18">
        <v>232301.03</v>
      </c>
      <c r="H8208" s="27">
        <f t="shared" si="256"/>
        <v>0</v>
      </c>
      <c r="I8208" s="18">
        <v>134509.32</v>
      </c>
      <c r="J8208" s="27">
        <v>232301.03</v>
      </c>
      <c r="K8208" s="18">
        <f t="shared" si="257"/>
        <v>0</v>
      </c>
      <c r="L8208" s="27">
        <v>145510.6</v>
      </c>
      <c r="M8208" s="36">
        <v>11001.28</v>
      </c>
      <c r="T8208" s="41">
        <v>0</v>
      </c>
      <c r="U8208" s="41">
        <v>0</v>
      </c>
      <c r="V8208" s="42" t="s">
        <v>113</v>
      </c>
      <c r="W8208" s="42">
        <v>0</v>
      </c>
      <c r="X8208" s="42">
        <v>0</v>
      </c>
    </row>
    <row r="8209" spans="1:24">
      <c r="A8209" s="27" t="s">
        <v>14871</v>
      </c>
      <c r="B8209" s="28" t="s">
        <v>12240</v>
      </c>
      <c r="C8209" s="27" t="s">
        <v>14872</v>
      </c>
      <c r="D8209" s="27" t="s">
        <v>230</v>
      </c>
      <c r="E8209" s="29">
        <v>40843</v>
      </c>
      <c r="F8209" s="27">
        <v>15</v>
      </c>
      <c r="G8209" s="18">
        <v>227070.54</v>
      </c>
      <c r="H8209" s="27">
        <f t="shared" si="256"/>
        <v>0</v>
      </c>
      <c r="I8209" s="18">
        <v>131480.70000000001</v>
      </c>
      <c r="J8209" s="27">
        <v>227070.54</v>
      </c>
      <c r="K8209" s="18">
        <f t="shared" si="257"/>
        <v>0</v>
      </c>
      <c r="L8209" s="27">
        <v>142234.26999999999</v>
      </c>
      <c r="M8209" s="36">
        <v>10753.57</v>
      </c>
      <c r="T8209" s="41">
        <v>0</v>
      </c>
      <c r="U8209" s="41">
        <v>0</v>
      </c>
      <c r="V8209" s="42" t="s">
        <v>113</v>
      </c>
      <c r="W8209" s="42">
        <v>0</v>
      </c>
      <c r="X8209" s="42">
        <v>0</v>
      </c>
    </row>
    <row r="8210" spans="1:24">
      <c r="A8210" s="27" t="s">
        <v>14873</v>
      </c>
      <c r="B8210" s="28" t="s">
        <v>12240</v>
      </c>
      <c r="C8210" s="27" t="s">
        <v>14874</v>
      </c>
      <c r="D8210" s="27" t="s">
        <v>230</v>
      </c>
      <c r="E8210" s="29">
        <v>40843</v>
      </c>
      <c r="F8210" s="27">
        <v>15</v>
      </c>
      <c r="G8210" s="18">
        <v>51817.25</v>
      </c>
      <c r="H8210" s="27">
        <f t="shared" si="256"/>
        <v>0</v>
      </c>
      <c r="I8210" s="18">
        <v>30003.759999999998</v>
      </c>
      <c r="J8210" s="27">
        <v>51817.25</v>
      </c>
      <c r="K8210" s="18">
        <f t="shared" si="257"/>
        <v>0</v>
      </c>
      <c r="L8210" s="27">
        <v>32457.71</v>
      </c>
      <c r="M8210" s="36">
        <v>2453.9499999999998</v>
      </c>
      <c r="T8210" s="41">
        <v>0</v>
      </c>
      <c r="U8210" s="41">
        <v>0</v>
      </c>
      <c r="V8210" s="42" t="s">
        <v>113</v>
      </c>
      <c r="W8210" s="42">
        <v>0</v>
      </c>
      <c r="X8210" s="42">
        <v>0</v>
      </c>
    </row>
    <row r="8211" spans="1:24">
      <c r="A8211" s="27" t="s">
        <v>14875</v>
      </c>
      <c r="B8211" s="28" t="s">
        <v>12240</v>
      </c>
      <c r="C8211" s="27" t="s">
        <v>14876</v>
      </c>
      <c r="D8211" s="27" t="s">
        <v>230</v>
      </c>
      <c r="E8211" s="29">
        <v>40843</v>
      </c>
      <c r="F8211" s="27">
        <v>15</v>
      </c>
      <c r="G8211" s="18">
        <v>620029.07999999996</v>
      </c>
      <c r="H8211" s="27">
        <f t="shared" si="256"/>
        <v>0</v>
      </c>
      <c r="I8211" s="18">
        <v>359015.58</v>
      </c>
      <c r="J8211" s="27">
        <v>620029.07999999996</v>
      </c>
      <c r="K8211" s="18">
        <f t="shared" si="257"/>
        <v>0</v>
      </c>
      <c r="L8211" s="27">
        <v>388378.82</v>
      </c>
      <c r="M8211" s="36">
        <v>29363.24</v>
      </c>
      <c r="T8211" s="41">
        <v>0</v>
      </c>
      <c r="U8211" s="41">
        <v>0</v>
      </c>
      <c r="V8211" s="42" t="s">
        <v>113</v>
      </c>
      <c r="W8211" s="42">
        <v>0</v>
      </c>
      <c r="X8211" s="42">
        <v>0</v>
      </c>
    </row>
    <row r="8212" spans="1:24">
      <c r="A8212" s="27" t="s">
        <v>14877</v>
      </c>
      <c r="B8212" s="28" t="s">
        <v>12240</v>
      </c>
      <c r="C8212" s="27" t="s">
        <v>14878</v>
      </c>
      <c r="D8212" s="27" t="s">
        <v>230</v>
      </c>
      <c r="E8212" s="29">
        <v>40843</v>
      </c>
      <c r="F8212" s="27">
        <v>15</v>
      </c>
      <c r="G8212" s="18">
        <v>810349.8</v>
      </c>
      <c r="H8212" s="27">
        <f t="shared" si="256"/>
        <v>0</v>
      </c>
      <c r="I8212" s="18">
        <v>469217.02</v>
      </c>
      <c r="J8212" s="27">
        <v>810349.8</v>
      </c>
      <c r="K8212" s="18">
        <f t="shared" si="257"/>
        <v>0</v>
      </c>
      <c r="L8212" s="27">
        <v>507593.44</v>
      </c>
      <c r="M8212" s="36">
        <v>38376.42</v>
      </c>
      <c r="T8212" s="41">
        <v>0</v>
      </c>
      <c r="U8212" s="41">
        <v>0</v>
      </c>
      <c r="V8212" s="42" t="s">
        <v>113</v>
      </c>
      <c r="W8212" s="42">
        <v>0</v>
      </c>
      <c r="X8212" s="42">
        <v>0</v>
      </c>
    </row>
    <row r="8213" spans="1:24">
      <c r="A8213" s="27" t="s">
        <v>14879</v>
      </c>
      <c r="B8213" s="28" t="s">
        <v>12240</v>
      </c>
      <c r="C8213" s="27" t="s">
        <v>14880</v>
      </c>
      <c r="D8213" s="27" t="s">
        <v>230</v>
      </c>
      <c r="E8213" s="29">
        <v>40843</v>
      </c>
      <c r="F8213" s="27">
        <v>15</v>
      </c>
      <c r="G8213" s="18">
        <v>232301.03</v>
      </c>
      <c r="H8213" s="27">
        <f t="shared" si="256"/>
        <v>0</v>
      </c>
      <c r="I8213" s="18">
        <v>134509.32</v>
      </c>
      <c r="J8213" s="27">
        <v>232301.03</v>
      </c>
      <c r="K8213" s="18">
        <f t="shared" si="257"/>
        <v>0</v>
      </c>
      <c r="L8213" s="27">
        <v>145510.6</v>
      </c>
      <c r="M8213" s="36">
        <v>11001.28</v>
      </c>
      <c r="T8213" s="41">
        <v>0</v>
      </c>
      <c r="U8213" s="41">
        <v>0</v>
      </c>
      <c r="V8213" s="42" t="s">
        <v>113</v>
      </c>
      <c r="W8213" s="42">
        <v>0</v>
      </c>
      <c r="X8213" s="42">
        <v>0</v>
      </c>
    </row>
    <row r="8214" spans="1:24">
      <c r="A8214" s="27" t="s">
        <v>14881</v>
      </c>
      <c r="B8214" s="28" t="s">
        <v>12240</v>
      </c>
      <c r="C8214" s="27" t="s">
        <v>14882</v>
      </c>
      <c r="D8214" s="27" t="s">
        <v>5104</v>
      </c>
      <c r="E8214" s="29">
        <v>40843</v>
      </c>
      <c r="F8214" s="27">
        <v>15</v>
      </c>
      <c r="G8214" s="18">
        <v>65443.28</v>
      </c>
      <c r="H8214" s="27">
        <f t="shared" si="256"/>
        <v>0</v>
      </c>
      <c r="I8214" s="18">
        <v>37893.629999999997</v>
      </c>
      <c r="J8214" s="27">
        <v>65443.28</v>
      </c>
      <c r="K8214" s="18">
        <f t="shared" si="257"/>
        <v>0</v>
      </c>
      <c r="L8214" s="27">
        <v>40992.879999999997</v>
      </c>
      <c r="M8214" s="36">
        <v>3099.25</v>
      </c>
      <c r="T8214" s="41">
        <v>0</v>
      </c>
      <c r="U8214" s="41">
        <v>0</v>
      </c>
      <c r="V8214" s="42" t="s">
        <v>113</v>
      </c>
      <c r="W8214" s="42">
        <v>0</v>
      </c>
      <c r="X8214" s="42">
        <v>0</v>
      </c>
    </row>
    <row r="8215" spans="1:24">
      <c r="A8215" s="27" t="s">
        <v>14883</v>
      </c>
      <c r="B8215" s="28" t="s">
        <v>12240</v>
      </c>
      <c r="C8215" s="27" t="s">
        <v>14884</v>
      </c>
      <c r="D8215" s="27" t="s">
        <v>5104</v>
      </c>
      <c r="E8215" s="29">
        <v>40843</v>
      </c>
      <c r="F8215" s="27">
        <v>15</v>
      </c>
      <c r="G8215" s="18">
        <v>65443.28</v>
      </c>
      <c r="H8215" s="27">
        <f t="shared" si="256"/>
        <v>0</v>
      </c>
      <c r="I8215" s="18">
        <v>37893.629999999997</v>
      </c>
      <c r="J8215" s="27">
        <v>65443.28</v>
      </c>
      <c r="K8215" s="18">
        <f t="shared" si="257"/>
        <v>0</v>
      </c>
      <c r="L8215" s="27">
        <v>40992.879999999997</v>
      </c>
      <c r="M8215" s="36">
        <v>3099.25</v>
      </c>
      <c r="T8215" s="41">
        <v>0</v>
      </c>
      <c r="U8215" s="41">
        <v>0</v>
      </c>
      <c r="V8215" s="42" t="s">
        <v>113</v>
      </c>
      <c r="W8215" s="42">
        <v>0</v>
      </c>
      <c r="X8215" s="42">
        <v>0</v>
      </c>
    </row>
    <row r="8216" spans="1:24">
      <c r="A8216" s="27" t="s">
        <v>14885</v>
      </c>
      <c r="B8216" s="28" t="s">
        <v>12240</v>
      </c>
      <c r="C8216" s="27" t="s">
        <v>14886</v>
      </c>
      <c r="D8216" s="27" t="s">
        <v>230</v>
      </c>
      <c r="E8216" s="29">
        <v>40843</v>
      </c>
      <c r="F8216" s="27">
        <v>15</v>
      </c>
      <c r="G8216" s="18">
        <v>65443.28</v>
      </c>
      <c r="H8216" s="27">
        <f t="shared" si="256"/>
        <v>0</v>
      </c>
      <c r="I8216" s="18">
        <v>37893.629999999997</v>
      </c>
      <c r="J8216" s="27">
        <v>65443.28</v>
      </c>
      <c r="K8216" s="18">
        <f t="shared" si="257"/>
        <v>0</v>
      </c>
      <c r="L8216" s="27">
        <v>40992.879999999997</v>
      </c>
      <c r="M8216" s="36">
        <v>3099.25</v>
      </c>
      <c r="T8216" s="41">
        <v>0</v>
      </c>
      <c r="U8216" s="41">
        <v>0</v>
      </c>
      <c r="V8216" s="42" t="s">
        <v>113</v>
      </c>
      <c r="W8216" s="42">
        <v>0</v>
      </c>
      <c r="X8216" s="42">
        <v>0</v>
      </c>
    </row>
    <row r="8217" spans="1:24">
      <c r="A8217" s="27" t="s">
        <v>14887</v>
      </c>
      <c r="B8217" s="28" t="s">
        <v>12240</v>
      </c>
      <c r="C8217" s="27" t="s">
        <v>14888</v>
      </c>
      <c r="D8217" s="27" t="s">
        <v>230</v>
      </c>
      <c r="E8217" s="29">
        <v>40843</v>
      </c>
      <c r="F8217" s="27">
        <v>15</v>
      </c>
      <c r="G8217" s="18">
        <v>69388.62</v>
      </c>
      <c r="H8217" s="27">
        <f t="shared" si="256"/>
        <v>0</v>
      </c>
      <c r="I8217" s="18">
        <v>40178.11</v>
      </c>
      <c r="J8217" s="27">
        <v>69388.62</v>
      </c>
      <c r="K8217" s="18">
        <f t="shared" si="257"/>
        <v>0</v>
      </c>
      <c r="L8217" s="27">
        <v>43464.21</v>
      </c>
      <c r="M8217" s="36">
        <v>3286.1</v>
      </c>
      <c r="T8217" s="41">
        <v>0</v>
      </c>
      <c r="U8217" s="41">
        <v>0</v>
      </c>
      <c r="V8217" s="42" t="s">
        <v>113</v>
      </c>
      <c r="W8217" s="42">
        <v>0</v>
      </c>
      <c r="X8217" s="42">
        <v>0</v>
      </c>
    </row>
    <row r="8218" spans="1:24">
      <c r="A8218" s="27" t="s">
        <v>14889</v>
      </c>
      <c r="B8218" s="28" t="s">
        <v>12240</v>
      </c>
      <c r="C8218" s="27" t="s">
        <v>14890</v>
      </c>
      <c r="D8218" s="27" t="s">
        <v>230</v>
      </c>
      <c r="E8218" s="29">
        <v>40843</v>
      </c>
      <c r="F8218" s="27">
        <v>15</v>
      </c>
      <c r="G8218" s="18">
        <v>67826.27</v>
      </c>
      <c r="H8218" s="27">
        <f t="shared" si="256"/>
        <v>0</v>
      </c>
      <c r="I8218" s="18">
        <v>39273.47</v>
      </c>
      <c r="J8218" s="27">
        <v>67826.27</v>
      </c>
      <c r="K8218" s="18">
        <f t="shared" si="257"/>
        <v>0</v>
      </c>
      <c r="L8218" s="27">
        <v>42485.58</v>
      </c>
      <c r="M8218" s="36">
        <v>3212.11</v>
      </c>
      <c r="T8218" s="41">
        <v>0</v>
      </c>
      <c r="U8218" s="41">
        <v>0</v>
      </c>
      <c r="V8218" s="42" t="s">
        <v>113</v>
      </c>
      <c r="W8218" s="42">
        <v>0</v>
      </c>
      <c r="X8218" s="42">
        <v>0</v>
      </c>
    </row>
    <row r="8219" spans="1:24">
      <c r="A8219" s="27" t="s">
        <v>14891</v>
      </c>
      <c r="B8219" s="28" t="s">
        <v>12240</v>
      </c>
      <c r="C8219" s="27" t="s">
        <v>14892</v>
      </c>
      <c r="D8219" s="27" t="s">
        <v>230</v>
      </c>
      <c r="E8219" s="29">
        <v>40843</v>
      </c>
      <c r="F8219" s="27">
        <v>15</v>
      </c>
      <c r="G8219" s="18">
        <v>69388.62</v>
      </c>
      <c r="H8219" s="27">
        <f t="shared" si="256"/>
        <v>0</v>
      </c>
      <c r="I8219" s="18">
        <v>40178.11</v>
      </c>
      <c r="J8219" s="27">
        <v>69388.62</v>
      </c>
      <c r="K8219" s="18">
        <f t="shared" si="257"/>
        <v>0</v>
      </c>
      <c r="L8219" s="27">
        <v>43464.21</v>
      </c>
      <c r="M8219" s="36">
        <v>3286.1</v>
      </c>
      <c r="T8219" s="41">
        <v>0</v>
      </c>
      <c r="U8219" s="41">
        <v>0</v>
      </c>
      <c r="V8219" s="42" t="s">
        <v>113</v>
      </c>
      <c r="W8219" s="42">
        <v>0</v>
      </c>
      <c r="X8219" s="42">
        <v>0</v>
      </c>
    </row>
    <row r="8220" spans="1:24">
      <c r="A8220" s="27" t="s">
        <v>14893</v>
      </c>
      <c r="B8220" s="28" t="s">
        <v>12240</v>
      </c>
      <c r="C8220" s="27" t="s">
        <v>14894</v>
      </c>
      <c r="D8220" s="27" t="s">
        <v>230</v>
      </c>
      <c r="E8220" s="29">
        <v>40843</v>
      </c>
      <c r="F8220" s="27">
        <v>15</v>
      </c>
      <c r="G8220" s="18">
        <v>69388.62</v>
      </c>
      <c r="H8220" s="27">
        <f t="shared" si="256"/>
        <v>0</v>
      </c>
      <c r="I8220" s="18">
        <v>40178.11</v>
      </c>
      <c r="J8220" s="27">
        <v>69388.62</v>
      </c>
      <c r="K8220" s="18">
        <f t="shared" si="257"/>
        <v>0</v>
      </c>
      <c r="L8220" s="27">
        <v>43464.21</v>
      </c>
      <c r="M8220" s="36">
        <v>3286.1</v>
      </c>
      <c r="T8220" s="41">
        <v>0</v>
      </c>
      <c r="U8220" s="41">
        <v>0</v>
      </c>
      <c r="V8220" s="42" t="s">
        <v>113</v>
      </c>
      <c r="W8220" s="42">
        <v>0</v>
      </c>
      <c r="X8220" s="42">
        <v>0</v>
      </c>
    </row>
    <row r="8221" spans="1:24">
      <c r="A8221" s="27" t="s">
        <v>14895</v>
      </c>
      <c r="B8221" s="28" t="s">
        <v>12240</v>
      </c>
      <c r="C8221" s="27" t="s">
        <v>14896</v>
      </c>
      <c r="D8221" s="27" t="s">
        <v>230</v>
      </c>
      <c r="E8221" s="29">
        <v>40843</v>
      </c>
      <c r="F8221" s="27">
        <v>15</v>
      </c>
      <c r="G8221" s="18">
        <v>31817.25</v>
      </c>
      <c r="H8221" s="27">
        <f t="shared" si="256"/>
        <v>0</v>
      </c>
      <c r="I8221" s="18">
        <v>18423.16</v>
      </c>
      <c r="J8221" s="27">
        <v>31817.25</v>
      </c>
      <c r="K8221" s="18">
        <f t="shared" si="257"/>
        <v>0</v>
      </c>
      <c r="L8221" s="27">
        <v>19929.96</v>
      </c>
      <c r="M8221" s="36">
        <v>1506.8</v>
      </c>
      <c r="T8221" s="41">
        <v>0</v>
      </c>
      <c r="U8221" s="41">
        <v>0</v>
      </c>
      <c r="V8221" s="42" t="s">
        <v>113</v>
      </c>
      <c r="W8221" s="42">
        <v>0</v>
      </c>
      <c r="X8221" s="42">
        <v>0</v>
      </c>
    </row>
    <row r="8222" spans="1:24">
      <c r="A8222" s="27" t="s">
        <v>14897</v>
      </c>
      <c r="B8222" s="28" t="s">
        <v>12240</v>
      </c>
      <c r="C8222" s="27" t="s">
        <v>14898</v>
      </c>
      <c r="D8222" s="27" t="s">
        <v>230</v>
      </c>
      <c r="E8222" s="29">
        <v>40843</v>
      </c>
      <c r="F8222" s="27">
        <v>15</v>
      </c>
      <c r="G8222" s="18">
        <v>31817.25</v>
      </c>
      <c r="H8222" s="27">
        <f t="shared" si="256"/>
        <v>0</v>
      </c>
      <c r="I8222" s="18">
        <v>18423.16</v>
      </c>
      <c r="J8222" s="27">
        <v>31817.25</v>
      </c>
      <c r="K8222" s="18">
        <f t="shared" si="257"/>
        <v>0</v>
      </c>
      <c r="L8222" s="27">
        <v>19929.96</v>
      </c>
      <c r="M8222" s="36">
        <v>1506.8</v>
      </c>
      <c r="T8222" s="41">
        <v>0</v>
      </c>
      <c r="U8222" s="41">
        <v>0</v>
      </c>
      <c r="V8222" s="42" t="s">
        <v>113</v>
      </c>
      <c r="W8222" s="42">
        <v>0</v>
      </c>
      <c r="X8222" s="42">
        <v>0</v>
      </c>
    </row>
    <row r="8223" spans="1:24">
      <c r="A8223" s="27" t="s">
        <v>14899</v>
      </c>
      <c r="B8223" s="28" t="s">
        <v>12240</v>
      </c>
      <c r="C8223" s="27" t="s">
        <v>14900</v>
      </c>
      <c r="D8223" s="27" t="s">
        <v>230</v>
      </c>
      <c r="E8223" s="29">
        <v>40843</v>
      </c>
      <c r="F8223" s="27">
        <v>15</v>
      </c>
      <c r="G8223" s="18">
        <v>31817.25</v>
      </c>
      <c r="H8223" s="27">
        <f t="shared" si="256"/>
        <v>0</v>
      </c>
      <c r="I8223" s="18">
        <v>18423.16</v>
      </c>
      <c r="J8223" s="27">
        <v>31817.25</v>
      </c>
      <c r="K8223" s="18">
        <f t="shared" si="257"/>
        <v>0</v>
      </c>
      <c r="L8223" s="27">
        <v>19929.96</v>
      </c>
      <c r="M8223" s="36">
        <v>1506.8</v>
      </c>
      <c r="T8223" s="41">
        <v>0</v>
      </c>
      <c r="U8223" s="41">
        <v>0</v>
      </c>
      <c r="V8223" s="42" t="s">
        <v>113</v>
      </c>
      <c r="W8223" s="42">
        <v>0</v>
      </c>
      <c r="X8223" s="42">
        <v>0</v>
      </c>
    </row>
    <row r="8224" spans="1:24">
      <c r="A8224" s="27" t="s">
        <v>14901</v>
      </c>
      <c r="B8224" s="28" t="s">
        <v>12240</v>
      </c>
      <c r="C8224" s="27" t="s">
        <v>14902</v>
      </c>
      <c r="D8224" s="27" t="s">
        <v>230</v>
      </c>
      <c r="E8224" s="29">
        <v>40843</v>
      </c>
      <c r="F8224" s="27">
        <v>15</v>
      </c>
      <c r="G8224" s="18">
        <v>31817.25</v>
      </c>
      <c r="H8224" s="27">
        <f t="shared" si="256"/>
        <v>0</v>
      </c>
      <c r="I8224" s="18">
        <v>18423.16</v>
      </c>
      <c r="J8224" s="27">
        <v>31817.25</v>
      </c>
      <c r="K8224" s="18">
        <f t="shared" si="257"/>
        <v>0</v>
      </c>
      <c r="L8224" s="27">
        <v>19929.96</v>
      </c>
      <c r="M8224" s="36">
        <v>1506.8</v>
      </c>
      <c r="T8224" s="41">
        <v>0</v>
      </c>
      <c r="U8224" s="41">
        <v>0</v>
      </c>
      <c r="V8224" s="42" t="s">
        <v>113</v>
      </c>
      <c r="W8224" s="42">
        <v>0</v>
      </c>
      <c r="X8224" s="42">
        <v>0</v>
      </c>
    </row>
    <row r="8225" spans="1:24">
      <c r="A8225" s="27" t="s">
        <v>14903</v>
      </c>
      <c r="B8225" s="28" t="s">
        <v>12240</v>
      </c>
      <c r="C8225" s="27" t="s">
        <v>14904</v>
      </c>
      <c r="D8225" s="27" t="s">
        <v>230</v>
      </c>
      <c r="E8225" s="29">
        <v>40843</v>
      </c>
      <c r="F8225" s="27">
        <v>15</v>
      </c>
      <c r="G8225" s="18">
        <v>31817.25</v>
      </c>
      <c r="H8225" s="27">
        <f t="shared" si="256"/>
        <v>0</v>
      </c>
      <c r="I8225" s="18">
        <v>18423.16</v>
      </c>
      <c r="J8225" s="27">
        <v>31817.25</v>
      </c>
      <c r="K8225" s="18">
        <f t="shared" si="257"/>
        <v>0</v>
      </c>
      <c r="L8225" s="27">
        <v>19929.96</v>
      </c>
      <c r="M8225" s="36">
        <v>1506.8</v>
      </c>
      <c r="T8225" s="41">
        <v>0</v>
      </c>
      <c r="U8225" s="41">
        <v>0</v>
      </c>
      <c r="V8225" s="42" t="s">
        <v>113</v>
      </c>
      <c r="W8225" s="42">
        <v>0</v>
      </c>
      <c r="X8225" s="42">
        <v>0</v>
      </c>
    </row>
    <row r="8226" spans="1:24">
      <c r="A8226" s="27" t="s">
        <v>14905</v>
      </c>
      <c r="B8226" s="28" t="s">
        <v>12240</v>
      </c>
      <c r="C8226" s="27" t="s">
        <v>14906</v>
      </c>
      <c r="D8226" s="27" t="s">
        <v>230</v>
      </c>
      <c r="E8226" s="29">
        <v>40843</v>
      </c>
      <c r="F8226" s="27">
        <v>15</v>
      </c>
      <c r="G8226" s="18">
        <v>31817.25</v>
      </c>
      <c r="H8226" s="27">
        <f t="shared" si="256"/>
        <v>0</v>
      </c>
      <c r="I8226" s="18">
        <v>18423.16</v>
      </c>
      <c r="J8226" s="27">
        <v>31817.25</v>
      </c>
      <c r="K8226" s="18">
        <f t="shared" si="257"/>
        <v>0</v>
      </c>
      <c r="L8226" s="27">
        <v>19929.96</v>
      </c>
      <c r="M8226" s="36">
        <v>1506.8</v>
      </c>
      <c r="T8226" s="41">
        <v>0</v>
      </c>
      <c r="U8226" s="41">
        <v>0</v>
      </c>
      <c r="V8226" s="42" t="s">
        <v>113</v>
      </c>
      <c r="W8226" s="42">
        <v>0</v>
      </c>
      <c r="X8226" s="42">
        <v>0</v>
      </c>
    </row>
    <row r="8227" spans="1:24">
      <c r="A8227" s="27" t="s">
        <v>14907</v>
      </c>
      <c r="B8227" s="28" t="s">
        <v>12240</v>
      </c>
      <c r="C8227" s="27" t="s">
        <v>14908</v>
      </c>
      <c r="D8227" s="27" t="s">
        <v>230</v>
      </c>
      <c r="E8227" s="29">
        <v>40843</v>
      </c>
      <c r="F8227" s="27">
        <v>15</v>
      </c>
      <c r="G8227" s="18">
        <v>31817.25</v>
      </c>
      <c r="H8227" s="27">
        <f t="shared" si="256"/>
        <v>0</v>
      </c>
      <c r="I8227" s="18">
        <v>18423.16</v>
      </c>
      <c r="J8227" s="27">
        <v>31817.25</v>
      </c>
      <c r="K8227" s="18">
        <f t="shared" si="257"/>
        <v>0</v>
      </c>
      <c r="L8227" s="27">
        <v>19929.96</v>
      </c>
      <c r="M8227" s="36">
        <v>1506.8</v>
      </c>
      <c r="T8227" s="41">
        <v>0</v>
      </c>
      <c r="U8227" s="41">
        <v>0</v>
      </c>
      <c r="V8227" s="42" t="s">
        <v>113</v>
      </c>
      <c r="W8227" s="42">
        <v>0</v>
      </c>
      <c r="X8227" s="42">
        <v>0</v>
      </c>
    </row>
    <row r="8228" spans="1:24">
      <c r="A8228" s="27" t="s">
        <v>14909</v>
      </c>
      <c r="B8228" s="28" t="s">
        <v>12240</v>
      </c>
      <c r="C8228" s="27" t="s">
        <v>14910</v>
      </c>
      <c r="D8228" s="27" t="s">
        <v>230</v>
      </c>
      <c r="E8228" s="29">
        <v>40843</v>
      </c>
      <c r="F8228" s="27">
        <v>15</v>
      </c>
      <c r="G8228" s="18">
        <v>41313.089999999997</v>
      </c>
      <c r="H8228" s="27">
        <f t="shared" si="256"/>
        <v>0</v>
      </c>
      <c r="I8228" s="18">
        <v>23921.54</v>
      </c>
      <c r="J8228" s="27">
        <v>41313.089999999997</v>
      </c>
      <c r="K8228" s="18">
        <f t="shared" si="257"/>
        <v>0</v>
      </c>
      <c r="L8228" s="27">
        <v>25878.04</v>
      </c>
      <c r="M8228" s="36">
        <v>1956.5</v>
      </c>
      <c r="T8228" s="41">
        <v>0</v>
      </c>
      <c r="U8228" s="41">
        <v>0</v>
      </c>
      <c r="V8228" s="42" t="s">
        <v>113</v>
      </c>
      <c r="W8228" s="42">
        <v>0</v>
      </c>
      <c r="X8228" s="42">
        <v>0</v>
      </c>
    </row>
    <row r="8229" spans="1:24">
      <c r="A8229" s="27" t="s">
        <v>14911</v>
      </c>
      <c r="B8229" s="28" t="s">
        <v>12240</v>
      </c>
      <c r="C8229" s="27" t="s">
        <v>14912</v>
      </c>
      <c r="D8229" s="27" t="s">
        <v>230</v>
      </c>
      <c r="E8229" s="29">
        <v>41710</v>
      </c>
      <c r="F8229" s="27">
        <v>15</v>
      </c>
      <c r="G8229" s="18">
        <v>38546.92</v>
      </c>
      <c r="H8229" s="27">
        <f t="shared" si="256"/>
        <v>0</v>
      </c>
      <c r="I8229" s="18">
        <v>13681.47</v>
      </c>
      <c r="J8229" s="27">
        <v>38546.92</v>
      </c>
      <c r="K8229" s="18">
        <f t="shared" si="257"/>
        <v>0</v>
      </c>
      <c r="L8229" s="27">
        <v>15919.33</v>
      </c>
      <c r="M8229" s="36">
        <v>2237.86</v>
      </c>
      <c r="T8229" s="41">
        <v>0</v>
      </c>
      <c r="U8229" s="41">
        <v>0</v>
      </c>
      <c r="V8229" s="42" t="s">
        <v>113</v>
      </c>
      <c r="W8229" s="42">
        <v>0</v>
      </c>
      <c r="X8229" s="42">
        <v>0</v>
      </c>
    </row>
    <row r="8230" spans="1:24">
      <c r="A8230" s="27" t="s">
        <v>14913</v>
      </c>
      <c r="B8230" s="28" t="s">
        <v>12240</v>
      </c>
      <c r="C8230" s="27" t="s">
        <v>14914</v>
      </c>
      <c r="D8230" s="27" t="s">
        <v>230</v>
      </c>
      <c r="E8230" s="29">
        <v>41711</v>
      </c>
      <c r="F8230" s="27">
        <v>15</v>
      </c>
      <c r="G8230" s="18">
        <v>205560.6</v>
      </c>
      <c r="H8230" s="27">
        <f t="shared" si="256"/>
        <v>0</v>
      </c>
      <c r="I8230" s="18">
        <v>111780.65</v>
      </c>
      <c r="J8230" s="27">
        <v>205560.6</v>
      </c>
      <c r="K8230" s="18">
        <f t="shared" si="257"/>
        <v>0</v>
      </c>
      <c r="L8230" s="27">
        <v>119927.18</v>
      </c>
      <c r="M8230" s="36">
        <v>8146.53</v>
      </c>
      <c r="T8230" s="41">
        <v>0</v>
      </c>
      <c r="U8230" s="41">
        <v>0</v>
      </c>
      <c r="V8230" s="42" t="s">
        <v>113</v>
      </c>
      <c r="W8230" s="42">
        <v>0</v>
      </c>
      <c r="X8230" s="42">
        <v>0</v>
      </c>
    </row>
    <row r="8231" spans="1:24">
      <c r="A8231" s="27" t="s">
        <v>14915</v>
      </c>
      <c r="B8231" s="28" t="s">
        <v>12240</v>
      </c>
      <c r="C8231" s="27" t="s">
        <v>14916</v>
      </c>
      <c r="D8231" s="27" t="s">
        <v>230</v>
      </c>
      <c r="E8231" s="29">
        <v>41973</v>
      </c>
      <c r="F8231" s="27">
        <v>15</v>
      </c>
      <c r="G8231" s="18">
        <v>52146.98</v>
      </c>
      <c r="H8231" s="27">
        <f t="shared" si="256"/>
        <v>0</v>
      </c>
      <c r="I8231" s="18">
        <v>15817.94</v>
      </c>
      <c r="J8231" s="27">
        <v>52146.98</v>
      </c>
      <c r="K8231" s="18">
        <f t="shared" si="257"/>
        <v>0</v>
      </c>
      <c r="L8231" s="27">
        <v>18906.95</v>
      </c>
      <c r="M8231" s="36">
        <v>3089.01</v>
      </c>
      <c r="T8231" s="41">
        <v>0</v>
      </c>
      <c r="U8231" s="41">
        <v>0</v>
      </c>
      <c r="V8231" s="42" t="s">
        <v>113</v>
      </c>
      <c r="W8231" s="42">
        <v>0</v>
      </c>
      <c r="X8231" s="42">
        <v>0</v>
      </c>
    </row>
    <row r="8232" spans="1:24">
      <c r="A8232" s="27" t="s">
        <v>14917</v>
      </c>
      <c r="B8232" s="28" t="s">
        <v>12240</v>
      </c>
      <c r="C8232" s="27" t="s">
        <v>14918</v>
      </c>
      <c r="D8232" s="27" t="s">
        <v>230</v>
      </c>
      <c r="E8232" s="29">
        <v>41973</v>
      </c>
      <c r="F8232" s="27">
        <v>15</v>
      </c>
      <c r="G8232" s="18">
        <v>5431.45</v>
      </c>
      <c r="H8232" s="27">
        <f t="shared" si="256"/>
        <v>5431.45</v>
      </c>
      <c r="I8232" s="18">
        <v>5431.45</v>
      </c>
      <c r="J8232" s="27">
        <v>5431.45</v>
      </c>
      <c r="K8232" s="18">
        <f t="shared" si="257"/>
        <v>5431.45</v>
      </c>
      <c r="L8232" s="27">
        <v>5159.88</v>
      </c>
      <c r="M8232" s="36">
        <v>-271.57</v>
      </c>
      <c r="T8232" s="41">
        <v>0</v>
      </c>
      <c r="U8232" s="41">
        <v>0</v>
      </c>
      <c r="V8232" s="42" t="s">
        <v>113</v>
      </c>
      <c r="W8232" s="42">
        <v>5431.45</v>
      </c>
      <c r="X8232" s="42">
        <v>5431.45</v>
      </c>
    </row>
    <row r="8233" spans="1:24">
      <c r="A8233" s="27" t="s">
        <v>14919</v>
      </c>
      <c r="B8233" s="28" t="s">
        <v>12240</v>
      </c>
      <c r="C8233" s="27" t="s">
        <v>14920</v>
      </c>
      <c r="D8233" s="27" t="s">
        <v>230</v>
      </c>
      <c r="E8233" s="29">
        <v>41975</v>
      </c>
      <c r="F8233" s="27">
        <v>15</v>
      </c>
      <c r="G8233" s="18">
        <v>62378.84</v>
      </c>
      <c r="H8233" s="27">
        <f t="shared" si="256"/>
        <v>0</v>
      </c>
      <c r="I8233" s="18">
        <v>18515.5</v>
      </c>
      <c r="J8233" s="27">
        <v>62378.84</v>
      </c>
      <c r="K8233" s="18">
        <f t="shared" si="257"/>
        <v>0</v>
      </c>
      <c r="L8233" s="27">
        <v>22219.54</v>
      </c>
      <c r="M8233" s="36">
        <v>3704.04</v>
      </c>
      <c r="T8233" s="41">
        <v>0</v>
      </c>
      <c r="U8233" s="41">
        <v>0</v>
      </c>
      <c r="V8233" s="42" t="s">
        <v>113</v>
      </c>
      <c r="W8233" s="42">
        <v>0</v>
      </c>
      <c r="X8233" s="42">
        <v>0</v>
      </c>
    </row>
    <row r="8234" spans="1:24">
      <c r="A8234" s="27" t="s">
        <v>14921</v>
      </c>
      <c r="B8234" s="28" t="s">
        <v>12240</v>
      </c>
      <c r="C8234" s="27" t="s">
        <v>14922</v>
      </c>
      <c r="D8234" s="27" t="s">
        <v>230</v>
      </c>
      <c r="E8234" s="29">
        <v>41975</v>
      </c>
      <c r="F8234" s="27">
        <v>15</v>
      </c>
      <c r="G8234" s="18">
        <v>62378.83</v>
      </c>
      <c r="H8234" s="27">
        <f t="shared" si="256"/>
        <v>0</v>
      </c>
      <c r="I8234" s="18">
        <v>18515.5</v>
      </c>
      <c r="J8234" s="27">
        <v>62378.83</v>
      </c>
      <c r="K8234" s="18">
        <f t="shared" si="257"/>
        <v>0</v>
      </c>
      <c r="L8234" s="27">
        <v>22219.54</v>
      </c>
      <c r="M8234" s="36">
        <v>3704.04</v>
      </c>
      <c r="T8234" s="41">
        <v>0</v>
      </c>
      <c r="U8234" s="41">
        <v>0</v>
      </c>
      <c r="V8234" s="42" t="s">
        <v>113</v>
      </c>
      <c r="W8234" s="42">
        <v>0</v>
      </c>
      <c r="X8234" s="42">
        <v>0</v>
      </c>
    </row>
    <row r="8235" spans="1:24">
      <c r="A8235" s="27" t="s">
        <v>14923</v>
      </c>
      <c r="B8235" s="28" t="s">
        <v>12240</v>
      </c>
      <c r="C8235" s="27" t="s">
        <v>14924</v>
      </c>
      <c r="D8235" s="27" t="s">
        <v>230</v>
      </c>
      <c r="E8235" s="29">
        <v>41975</v>
      </c>
      <c r="F8235" s="27">
        <v>15</v>
      </c>
      <c r="G8235" s="18">
        <v>77559.839999999997</v>
      </c>
      <c r="H8235" s="27">
        <f t="shared" si="256"/>
        <v>0</v>
      </c>
      <c r="I8235" s="18">
        <v>23021.56</v>
      </c>
      <c r="J8235" s="27">
        <v>77559.839999999997</v>
      </c>
      <c r="K8235" s="18">
        <f t="shared" si="257"/>
        <v>0</v>
      </c>
      <c r="L8235" s="27">
        <v>27627.040000000001</v>
      </c>
      <c r="M8235" s="36">
        <v>4605.4799999999996</v>
      </c>
      <c r="T8235" s="41">
        <v>0</v>
      </c>
      <c r="U8235" s="41">
        <v>0</v>
      </c>
      <c r="V8235" s="42" t="s">
        <v>113</v>
      </c>
      <c r="W8235" s="42">
        <v>0</v>
      </c>
      <c r="X8235" s="42">
        <v>0</v>
      </c>
    </row>
    <row r="8236" spans="1:24">
      <c r="A8236" s="27" t="s">
        <v>14925</v>
      </c>
      <c r="B8236" s="28" t="s">
        <v>12240</v>
      </c>
      <c r="C8236" s="27" t="s">
        <v>14926</v>
      </c>
      <c r="D8236" s="27" t="s">
        <v>230</v>
      </c>
      <c r="E8236" s="29">
        <v>41975</v>
      </c>
      <c r="F8236" s="27">
        <v>15</v>
      </c>
      <c r="G8236" s="18">
        <v>87897.62</v>
      </c>
      <c r="H8236" s="27">
        <f t="shared" si="256"/>
        <v>0</v>
      </c>
      <c r="I8236" s="18">
        <v>26473.91</v>
      </c>
      <c r="J8236" s="27">
        <v>87897.62</v>
      </c>
      <c r="K8236" s="18">
        <f t="shared" si="257"/>
        <v>0</v>
      </c>
      <c r="L8236" s="27">
        <v>31658.35</v>
      </c>
      <c r="M8236" s="36">
        <v>5184.4399999999996</v>
      </c>
      <c r="T8236" s="41">
        <v>0</v>
      </c>
      <c r="U8236" s="41">
        <v>0</v>
      </c>
      <c r="V8236" s="42" t="s">
        <v>113</v>
      </c>
      <c r="W8236" s="42">
        <v>0</v>
      </c>
      <c r="X8236" s="42">
        <v>0</v>
      </c>
    </row>
    <row r="8237" spans="1:24">
      <c r="A8237" s="27" t="s">
        <v>14927</v>
      </c>
      <c r="B8237" s="28" t="s">
        <v>12240</v>
      </c>
      <c r="C8237" s="27" t="s">
        <v>14928</v>
      </c>
      <c r="D8237" s="27" t="s">
        <v>230</v>
      </c>
      <c r="E8237" s="29">
        <v>41975</v>
      </c>
      <c r="F8237" s="27">
        <v>15</v>
      </c>
      <c r="G8237" s="18">
        <v>62378.83</v>
      </c>
      <c r="H8237" s="27">
        <f t="shared" si="256"/>
        <v>0</v>
      </c>
      <c r="I8237" s="18">
        <v>18515.5</v>
      </c>
      <c r="J8237" s="27">
        <v>62378.83</v>
      </c>
      <c r="K8237" s="18">
        <f t="shared" si="257"/>
        <v>0</v>
      </c>
      <c r="L8237" s="27">
        <v>22219.54</v>
      </c>
      <c r="M8237" s="36">
        <v>3704.04</v>
      </c>
      <c r="T8237" s="41">
        <v>0</v>
      </c>
      <c r="U8237" s="41">
        <v>0</v>
      </c>
      <c r="V8237" s="42" t="s">
        <v>113</v>
      </c>
      <c r="W8237" s="42">
        <v>0</v>
      </c>
      <c r="X8237" s="42">
        <v>0</v>
      </c>
    </row>
    <row r="8238" spans="1:24">
      <c r="A8238" s="27" t="s">
        <v>14929</v>
      </c>
      <c r="B8238" s="28" t="s">
        <v>12240</v>
      </c>
      <c r="C8238" s="27" t="s">
        <v>14930</v>
      </c>
      <c r="D8238" s="27" t="s">
        <v>230</v>
      </c>
      <c r="E8238" s="29">
        <v>41975</v>
      </c>
      <c r="F8238" s="27">
        <v>15</v>
      </c>
      <c r="G8238" s="18">
        <v>62378.83</v>
      </c>
      <c r="H8238" s="27">
        <f t="shared" si="256"/>
        <v>0</v>
      </c>
      <c r="I8238" s="18">
        <v>18515.5</v>
      </c>
      <c r="J8238" s="27">
        <v>62378.83</v>
      </c>
      <c r="K8238" s="18">
        <f t="shared" si="257"/>
        <v>0</v>
      </c>
      <c r="L8238" s="27">
        <v>22219.54</v>
      </c>
      <c r="M8238" s="36">
        <v>3704.04</v>
      </c>
      <c r="T8238" s="41">
        <v>0</v>
      </c>
      <c r="U8238" s="41">
        <v>0</v>
      </c>
      <c r="V8238" s="42" t="s">
        <v>113</v>
      </c>
      <c r="W8238" s="42">
        <v>0</v>
      </c>
      <c r="X8238" s="42">
        <v>0</v>
      </c>
    </row>
    <row r="8239" spans="1:24">
      <c r="A8239" s="27" t="s">
        <v>14931</v>
      </c>
      <c r="B8239" s="28" t="s">
        <v>12240</v>
      </c>
      <c r="C8239" s="27" t="s">
        <v>14932</v>
      </c>
      <c r="D8239" s="27" t="s">
        <v>230</v>
      </c>
      <c r="E8239" s="29">
        <v>41975</v>
      </c>
      <c r="F8239" s="27">
        <v>15</v>
      </c>
      <c r="G8239" s="18">
        <v>77559.839999999997</v>
      </c>
      <c r="H8239" s="27">
        <f t="shared" si="256"/>
        <v>0</v>
      </c>
      <c r="I8239" s="18">
        <v>23021.56</v>
      </c>
      <c r="J8239" s="27">
        <v>77559.839999999997</v>
      </c>
      <c r="K8239" s="18">
        <f t="shared" si="257"/>
        <v>0</v>
      </c>
      <c r="L8239" s="27">
        <v>27627.040000000001</v>
      </c>
      <c r="M8239" s="36">
        <v>4605.4799999999996</v>
      </c>
      <c r="T8239" s="41">
        <v>0</v>
      </c>
      <c r="U8239" s="41">
        <v>0</v>
      </c>
      <c r="V8239" s="42" t="s">
        <v>113</v>
      </c>
      <c r="W8239" s="42">
        <v>0</v>
      </c>
      <c r="X8239" s="42">
        <v>0</v>
      </c>
    </row>
    <row r="8240" spans="1:24">
      <c r="A8240" s="27" t="s">
        <v>14933</v>
      </c>
      <c r="B8240" s="28" t="s">
        <v>12240</v>
      </c>
      <c r="C8240" s="27" t="s">
        <v>14934</v>
      </c>
      <c r="D8240" s="27" t="s">
        <v>230</v>
      </c>
      <c r="E8240" s="29">
        <v>41975</v>
      </c>
      <c r="F8240" s="27">
        <v>15</v>
      </c>
      <c r="G8240" s="18">
        <v>62378.83</v>
      </c>
      <c r="H8240" s="27">
        <f t="shared" si="256"/>
        <v>0</v>
      </c>
      <c r="I8240" s="18">
        <v>18515.5</v>
      </c>
      <c r="J8240" s="27">
        <v>62378.83</v>
      </c>
      <c r="K8240" s="18">
        <f t="shared" si="257"/>
        <v>0</v>
      </c>
      <c r="L8240" s="27">
        <v>22219.54</v>
      </c>
      <c r="M8240" s="36">
        <v>3704.04</v>
      </c>
      <c r="T8240" s="41">
        <v>0</v>
      </c>
      <c r="U8240" s="41">
        <v>0</v>
      </c>
      <c r="V8240" s="42" t="s">
        <v>113</v>
      </c>
      <c r="W8240" s="42">
        <v>0</v>
      </c>
      <c r="X8240" s="42">
        <v>0</v>
      </c>
    </row>
    <row r="8241" spans="1:24">
      <c r="A8241" s="27" t="s">
        <v>14935</v>
      </c>
      <c r="B8241" s="28" t="s">
        <v>12240</v>
      </c>
      <c r="C8241" s="27" t="s">
        <v>14936</v>
      </c>
      <c r="D8241" s="27" t="s">
        <v>230</v>
      </c>
      <c r="E8241" s="29">
        <v>41975</v>
      </c>
      <c r="F8241" s="27">
        <v>15</v>
      </c>
      <c r="G8241" s="18">
        <v>77559.839999999997</v>
      </c>
      <c r="H8241" s="27">
        <f t="shared" si="256"/>
        <v>0</v>
      </c>
      <c r="I8241" s="18">
        <v>23021.56</v>
      </c>
      <c r="J8241" s="27">
        <v>77559.839999999997</v>
      </c>
      <c r="K8241" s="18">
        <f t="shared" si="257"/>
        <v>0</v>
      </c>
      <c r="L8241" s="27">
        <v>27627.040000000001</v>
      </c>
      <c r="M8241" s="36">
        <v>4605.4799999999996</v>
      </c>
      <c r="T8241" s="41">
        <v>0</v>
      </c>
      <c r="U8241" s="41">
        <v>0</v>
      </c>
      <c r="V8241" s="42" t="s">
        <v>113</v>
      </c>
      <c r="W8241" s="42">
        <v>0</v>
      </c>
      <c r="X8241" s="42">
        <v>0</v>
      </c>
    </row>
    <row r="8242" spans="1:24">
      <c r="A8242" s="27" t="s">
        <v>14937</v>
      </c>
      <c r="B8242" s="28" t="s">
        <v>12240</v>
      </c>
      <c r="C8242" s="27" t="s">
        <v>14938</v>
      </c>
      <c r="D8242" s="27" t="s">
        <v>230</v>
      </c>
      <c r="E8242" s="29">
        <v>41975</v>
      </c>
      <c r="F8242" s="27">
        <v>15</v>
      </c>
      <c r="G8242" s="18">
        <v>62378.83</v>
      </c>
      <c r="H8242" s="27">
        <f t="shared" si="256"/>
        <v>0</v>
      </c>
      <c r="I8242" s="18">
        <v>18515.5</v>
      </c>
      <c r="J8242" s="27">
        <v>62378.83</v>
      </c>
      <c r="K8242" s="18">
        <f t="shared" si="257"/>
        <v>0</v>
      </c>
      <c r="L8242" s="27">
        <v>22219.54</v>
      </c>
      <c r="M8242" s="36">
        <v>3704.04</v>
      </c>
      <c r="T8242" s="41">
        <v>0</v>
      </c>
      <c r="U8242" s="41">
        <v>0</v>
      </c>
      <c r="V8242" s="42" t="s">
        <v>113</v>
      </c>
      <c r="W8242" s="42">
        <v>0</v>
      </c>
      <c r="X8242" s="42">
        <v>0</v>
      </c>
    </row>
    <row r="8243" spans="1:24">
      <c r="A8243" s="27" t="s">
        <v>14939</v>
      </c>
      <c r="B8243" s="28" t="s">
        <v>12240</v>
      </c>
      <c r="C8243" s="27" t="s">
        <v>14940</v>
      </c>
      <c r="D8243" s="27" t="s">
        <v>230</v>
      </c>
      <c r="E8243" s="29">
        <v>41975</v>
      </c>
      <c r="F8243" s="27">
        <v>15</v>
      </c>
      <c r="G8243" s="18">
        <v>77559.839999999997</v>
      </c>
      <c r="H8243" s="27">
        <f t="shared" si="256"/>
        <v>0</v>
      </c>
      <c r="I8243" s="18">
        <v>23021.56</v>
      </c>
      <c r="J8243" s="27">
        <v>77559.839999999997</v>
      </c>
      <c r="K8243" s="18">
        <f t="shared" si="257"/>
        <v>0</v>
      </c>
      <c r="L8243" s="27">
        <v>27627.040000000001</v>
      </c>
      <c r="M8243" s="36">
        <v>4605.4799999999996</v>
      </c>
      <c r="T8243" s="41">
        <v>0</v>
      </c>
      <c r="U8243" s="41">
        <v>0</v>
      </c>
      <c r="V8243" s="42" t="s">
        <v>113</v>
      </c>
      <c r="W8243" s="42">
        <v>0</v>
      </c>
      <c r="X8243" s="42">
        <v>0</v>
      </c>
    </row>
    <row r="8244" spans="1:24">
      <c r="A8244" s="27" t="s">
        <v>14941</v>
      </c>
      <c r="B8244" s="28" t="s">
        <v>12240</v>
      </c>
      <c r="C8244" s="27" t="s">
        <v>14942</v>
      </c>
      <c r="D8244" s="27" t="s">
        <v>230</v>
      </c>
      <c r="E8244" s="29">
        <v>41975</v>
      </c>
      <c r="F8244" s="27">
        <v>15</v>
      </c>
      <c r="G8244" s="18">
        <v>90837.23</v>
      </c>
      <c r="H8244" s="27">
        <f t="shared" si="256"/>
        <v>0</v>
      </c>
      <c r="I8244" s="18">
        <v>26962.61</v>
      </c>
      <c r="J8244" s="27">
        <v>90837.23</v>
      </c>
      <c r="K8244" s="18">
        <f t="shared" si="257"/>
        <v>0</v>
      </c>
      <c r="L8244" s="27">
        <v>32356.5</v>
      </c>
      <c r="M8244" s="36">
        <v>5393.89</v>
      </c>
      <c r="T8244" s="41">
        <v>0</v>
      </c>
      <c r="U8244" s="41">
        <v>0</v>
      </c>
      <c r="V8244" s="42" t="s">
        <v>113</v>
      </c>
      <c r="W8244" s="42">
        <v>0</v>
      </c>
      <c r="X8244" s="42">
        <v>0</v>
      </c>
    </row>
    <row r="8245" spans="1:24">
      <c r="A8245" s="27" t="s">
        <v>14943</v>
      </c>
      <c r="B8245" s="28" t="s">
        <v>12240</v>
      </c>
      <c r="C8245" s="27" t="s">
        <v>14944</v>
      </c>
      <c r="D8245" s="27" t="s">
        <v>230</v>
      </c>
      <c r="E8245" s="29">
        <v>41975</v>
      </c>
      <c r="F8245" s="27">
        <v>15</v>
      </c>
      <c r="G8245" s="18">
        <v>62378.83</v>
      </c>
      <c r="H8245" s="27">
        <f t="shared" si="256"/>
        <v>0</v>
      </c>
      <c r="I8245" s="18">
        <v>18515.5</v>
      </c>
      <c r="J8245" s="27">
        <v>62378.83</v>
      </c>
      <c r="K8245" s="18">
        <f t="shared" si="257"/>
        <v>0</v>
      </c>
      <c r="L8245" s="27">
        <v>22219.54</v>
      </c>
      <c r="M8245" s="36">
        <v>3704.04</v>
      </c>
      <c r="T8245" s="41">
        <v>0</v>
      </c>
      <c r="U8245" s="41">
        <v>0</v>
      </c>
      <c r="V8245" s="42" t="s">
        <v>113</v>
      </c>
      <c r="W8245" s="42">
        <v>0</v>
      </c>
      <c r="X8245" s="42">
        <v>0</v>
      </c>
    </row>
    <row r="8246" spans="1:24">
      <c r="A8246" s="27" t="s">
        <v>14945</v>
      </c>
      <c r="B8246" s="28" t="s">
        <v>12240</v>
      </c>
      <c r="C8246" s="27" t="s">
        <v>14946</v>
      </c>
      <c r="D8246" s="27" t="s">
        <v>230</v>
      </c>
      <c r="E8246" s="29">
        <v>41975</v>
      </c>
      <c r="F8246" s="27">
        <v>15</v>
      </c>
      <c r="G8246" s="18">
        <v>62378.83</v>
      </c>
      <c r="H8246" s="27">
        <f t="shared" si="256"/>
        <v>0</v>
      </c>
      <c r="I8246" s="18">
        <v>18515.5</v>
      </c>
      <c r="J8246" s="27">
        <v>62378.83</v>
      </c>
      <c r="K8246" s="18">
        <f t="shared" si="257"/>
        <v>0</v>
      </c>
      <c r="L8246" s="27">
        <v>22219.54</v>
      </c>
      <c r="M8246" s="36">
        <v>3704.04</v>
      </c>
      <c r="T8246" s="41">
        <v>0</v>
      </c>
      <c r="U8246" s="41">
        <v>0</v>
      </c>
      <c r="V8246" s="42" t="s">
        <v>113</v>
      </c>
      <c r="W8246" s="42">
        <v>0</v>
      </c>
      <c r="X8246" s="42">
        <v>0</v>
      </c>
    </row>
    <row r="8247" spans="1:24">
      <c r="A8247" s="27" t="s">
        <v>14947</v>
      </c>
      <c r="B8247" s="28" t="s">
        <v>12240</v>
      </c>
      <c r="C8247" s="27" t="s">
        <v>14948</v>
      </c>
      <c r="D8247" s="27" t="s">
        <v>230</v>
      </c>
      <c r="E8247" s="29">
        <v>41975</v>
      </c>
      <c r="F8247" s="27">
        <v>15</v>
      </c>
      <c r="G8247" s="18">
        <v>62378.83</v>
      </c>
      <c r="H8247" s="27">
        <f t="shared" si="256"/>
        <v>0</v>
      </c>
      <c r="I8247" s="18">
        <v>18515.5</v>
      </c>
      <c r="J8247" s="27">
        <v>62378.83</v>
      </c>
      <c r="K8247" s="18">
        <f t="shared" si="257"/>
        <v>0</v>
      </c>
      <c r="L8247" s="27">
        <v>22219.54</v>
      </c>
      <c r="M8247" s="36">
        <v>3704.04</v>
      </c>
      <c r="T8247" s="41">
        <v>0</v>
      </c>
      <c r="U8247" s="41">
        <v>0</v>
      </c>
      <c r="V8247" s="42" t="s">
        <v>113</v>
      </c>
      <c r="W8247" s="42">
        <v>0</v>
      </c>
      <c r="X8247" s="42">
        <v>0</v>
      </c>
    </row>
    <row r="8248" spans="1:24">
      <c r="A8248" s="27" t="s">
        <v>14949</v>
      </c>
      <c r="B8248" s="28" t="s">
        <v>12240</v>
      </c>
      <c r="C8248" s="27" t="s">
        <v>14950</v>
      </c>
      <c r="D8248" s="27" t="s">
        <v>230</v>
      </c>
      <c r="E8248" s="29">
        <v>41975</v>
      </c>
      <c r="F8248" s="27">
        <v>15</v>
      </c>
      <c r="G8248" s="18">
        <v>90837.23</v>
      </c>
      <c r="H8248" s="27">
        <f t="shared" si="256"/>
        <v>0</v>
      </c>
      <c r="I8248" s="18">
        <v>26962.61</v>
      </c>
      <c r="J8248" s="27">
        <v>90837.23</v>
      </c>
      <c r="K8248" s="18">
        <f t="shared" si="257"/>
        <v>0</v>
      </c>
      <c r="L8248" s="27">
        <v>32356.5</v>
      </c>
      <c r="M8248" s="36">
        <v>5393.89</v>
      </c>
      <c r="T8248" s="41">
        <v>0</v>
      </c>
      <c r="U8248" s="41">
        <v>0</v>
      </c>
      <c r="V8248" s="42" t="s">
        <v>113</v>
      </c>
      <c r="W8248" s="42">
        <v>0</v>
      </c>
      <c r="X8248" s="42">
        <v>0</v>
      </c>
    </row>
    <row r="8249" spans="1:24">
      <c r="A8249" s="27" t="s">
        <v>14951</v>
      </c>
      <c r="B8249" s="28" t="s">
        <v>12240</v>
      </c>
      <c r="C8249" s="27" t="s">
        <v>14952</v>
      </c>
      <c r="D8249" s="27" t="s">
        <v>5104</v>
      </c>
      <c r="E8249" s="29">
        <v>41975</v>
      </c>
      <c r="F8249" s="27">
        <v>15</v>
      </c>
      <c r="G8249" s="18">
        <v>62378.83</v>
      </c>
      <c r="H8249" s="27">
        <f t="shared" si="256"/>
        <v>0</v>
      </c>
      <c r="I8249" s="18">
        <v>18515.5</v>
      </c>
      <c r="J8249" s="27">
        <v>62378.83</v>
      </c>
      <c r="K8249" s="18">
        <f t="shared" si="257"/>
        <v>0</v>
      </c>
      <c r="L8249" s="27">
        <v>22219.54</v>
      </c>
      <c r="M8249" s="36">
        <v>3704.04</v>
      </c>
      <c r="T8249" s="41">
        <v>0</v>
      </c>
      <c r="U8249" s="41">
        <v>0</v>
      </c>
      <c r="V8249" s="42" t="s">
        <v>113</v>
      </c>
      <c r="W8249" s="42">
        <v>0</v>
      </c>
      <c r="X8249" s="42">
        <v>0</v>
      </c>
    </row>
    <row r="8250" spans="1:24">
      <c r="A8250" s="27" t="s">
        <v>14953</v>
      </c>
      <c r="B8250" s="28" t="s">
        <v>12240</v>
      </c>
      <c r="C8250" s="27" t="s">
        <v>14954</v>
      </c>
      <c r="D8250" s="27" t="s">
        <v>230</v>
      </c>
      <c r="E8250" s="29">
        <v>41640</v>
      </c>
      <c r="F8250" s="27">
        <v>15</v>
      </c>
      <c r="G8250" s="18">
        <v>59398.93</v>
      </c>
      <c r="H8250" s="27">
        <f t="shared" si="256"/>
        <v>0</v>
      </c>
      <c r="I8250" s="18">
        <v>21847.37</v>
      </c>
      <c r="J8250" s="27">
        <v>59398.93</v>
      </c>
      <c r="K8250" s="18">
        <f t="shared" si="257"/>
        <v>0</v>
      </c>
      <c r="L8250" s="27">
        <v>25276.95</v>
      </c>
      <c r="M8250" s="36">
        <v>3429.58</v>
      </c>
      <c r="T8250" s="41">
        <v>0</v>
      </c>
      <c r="U8250" s="41">
        <v>0</v>
      </c>
      <c r="V8250" s="42" t="s">
        <v>113</v>
      </c>
      <c r="W8250" s="42">
        <v>0</v>
      </c>
      <c r="X8250" s="42">
        <v>0</v>
      </c>
    </row>
    <row r="8251" spans="1:24">
      <c r="A8251" s="27" t="s">
        <v>14955</v>
      </c>
      <c r="B8251" s="28" t="s">
        <v>12240</v>
      </c>
      <c r="C8251" s="27" t="s">
        <v>14956</v>
      </c>
      <c r="D8251" s="27" t="s">
        <v>5104</v>
      </c>
      <c r="E8251" s="29">
        <v>41640</v>
      </c>
      <c r="F8251" s="27">
        <v>15</v>
      </c>
      <c r="G8251" s="18">
        <v>44425.8</v>
      </c>
      <c r="H8251" s="27">
        <f t="shared" si="256"/>
        <v>0</v>
      </c>
      <c r="I8251" s="18">
        <v>16340.14</v>
      </c>
      <c r="J8251" s="27">
        <v>44425.8</v>
      </c>
      <c r="K8251" s="18">
        <f t="shared" si="257"/>
        <v>0</v>
      </c>
      <c r="L8251" s="27">
        <v>18905.2</v>
      </c>
      <c r="M8251" s="36">
        <v>2565.06</v>
      </c>
      <c r="T8251" s="41">
        <v>0</v>
      </c>
      <c r="U8251" s="41">
        <v>0</v>
      </c>
      <c r="V8251" s="42" t="s">
        <v>113</v>
      </c>
      <c r="W8251" s="42">
        <v>0</v>
      </c>
      <c r="X8251" s="42">
        <v>0</v>
      </c>
    </row>
    <row r="8252" spans="1:24">
      <c r="A8252" s="27" t="s">
        <v>14957</v>
      </c>
      <c r="B8252" s="28" t="s">
        <v>12240</v>
      </c>
      <c r="C8252" s="27" t="s">
        <v>14958</v>
      </c>
      <c r="D8252" s="27" t="s">
        <v>230</v>
      </c>
      <c r="E8252" s="29">
        <v>41785</v>
      </c>
      <c r="F8252" s="27">
        <v>15</v>
      </c>
      <c r="G8252" s="18">
        <v>29572.35</v>
      </c>
      <c r="H8252" s="27">
        <f t="shared" si="256"/>
        <v>0</v>
      </c>
      <c r="I8252" s="18">
        <v>10115.040000000001</v>
      </c>
      <c r="J8252" s="27">
        <v>29572.35</v>
      </c>
      <c r="K8252" s="18">
        <f t="shared" si="257"/>
        <v>0</v>
      </c>
      <c r="L8252" s="27">
        <v>11840.99</v>
      </c>
      <c r="M8252" s="36">
        <v>1725.95</v>
      </c>
      <c r="T8252" s="41">
        <v>0</v>
      </c>
      <c r="U8252" s="41">
        <v>0</v>
      </c>
      <c r="V8252" s="42" t="s">
        <v>113</v>
      </c>
      <c r="W8252" s="42">
        <v>0</v>
      </c>
      <c r="X8252" s="42">
        <v>0</v>
      </c>
    </row>
    <row r="8253" spans="1:24">
      <c r="A8253" s="27" t="s">
        <v>14959</v>
      </c>
      <c r="B8253" s="28" t="s">
        <v>12240</v>
      </c>
      <c r="C8253" s="27" t="s">
        <v>14960</v>
      </c>
      <c r="D8253" s="27" t="s">
        <v>230</v>
      </c>
      <c r="E8253" s="29">
        <v>41785</v>
      </c>
      <c r="F8253" s="27">
        <v>15</v>
      </c>
      <c r="G8253" s="18">
        <v>29572.35</v>
      </c>
      <c r="H8253" s="27">
        <f t="shared" si="256"/>
        <v>0</v>
      </c>
      <c r="I8253" s="18">
        <v>10115.040000000001</v>
      </c>
      <c r="J8253" s="27">
        <v>29572.35</v>
      </c>
      <c r="K8253" s="18">
        <f t="shared" si="257"/>
        <v>0</v>
      </c>
      <c r="L8253" s="27">
        <v>11840.99</v>
      </c>
      <c r="M8253" s="36">
        <v>1725.95</v>
      </c>
      <c r="T8253" s="41">
        <v>0</v>
      </c>
      <c r="U8253" s="41">
        <v>0</v>
      </c>
      <c r="V8253" s="42" t="s">
        <v>113</v>
      </c>
      <c r="W8253" s="42">
        <v>0</v>
      </c>
      <c r="X8253" s="42">
        <v>0</v>
      </c>
    </row>
    <row r="8254" spans="1:24">
      <c r="A8254" s="27" t="s">
        <v>14961</v>
      </c>
      <c r="B8254" s="28" t="s">
        <v>12240</v>
      </c>
      <c r="C8254" s="27" t="s">
        <v>14962</v>
      </c>
      <c r="D8254" s="27" t="s">
        <v>230</v>
      </c>
      <c r="E8254" s="29">
        <v>41785</v>
      </c>
      <c r="F8254" s="27">
        <v>15</v>
      </c>
      <c r="G8254" s="18">
        <v>45618.51</v>
      </c>
      <c r="H8254" s="27">
        <f t="shared" si="256"/>
        <v>0</v>
      </c>
      <c r="I8254" s="18">
        <v>25358.9</v>
      </c>
      <c r="J8254" s="27">
        <v>45618.51</v>
      </c>
      <c r="K8254" s="18">
        <f t="shared" si="257"/>
        <v>0</v>
      </c>
      <c r="L8254" s="27">
        <v>27084.85</v>
      </c>
      <c r="M8254" s="36">
        <v>1725.95</v>
      </c>
      <c r="T8254" s="41">
        <v>0</v>
      </c>
      <c r="U8254" s="41">
        <v>0</v>
      </c>
      <c r="V8254" s="42" t="s">
        <v>113</v>
      </c>
      <c r="W8254" s="42">
        <v>0</v>
      </c>
      <c r="X8254" s="42">
        <v>0</v>
      </c>
    </row>
    <row r="8255" spans="1:24">
      <c r="A8255" s="27" t="s">
        <v>14963</v>
      </c>
      <c r="B8255" s="28" t="s">
        <v>12240</v>
      </c>
      <c r="C8255" s="27" t="s">
        <v>14964</v>
      </c>
      <c r="D8255" s="27" t="s">
        <v>230</v>
      </c>
      <c r="E8255" s="29">
        <v>41785</v>
      </c>
      <c r="F8255" s="27">
        <v>15</v>
      </c>
      <c r="G8255" s="18">
        <v>45618.51</v>
      </c>
      <c r="H8255" s="27">
        <f t="shared" si="256"/>
        <v>0</v>
      </c>
      <c r="I8255" s="18">
        <v>25358.9</v>
      </c>
      <c r="J8255" s="27">
        <v>45618.51</v>
      </c>
      <c r="K8255" s="18">
        <f t="shared" si="257"/>
        <v>0</v>
      </c>
      <c r="L8255" s="27">
        <v>27084.85</v>
      </c>
      <c r="M8255" s="36">
        <v>1725.95</v>
      </c>
      <c r="T8255" s="41">
        <v>0</v>
      </c>
      <c r="U8255" s="41">
        <v>0</v>
      </c>
      <c r="V8255" s="42" t="s">
        <v>113</v>
      </c>
      <c r="W8255" s="42">
        <v>0</v>
      </c>
      <c r="X8255" s="42">
        <v>0</v>
      </c>
    </row>
    <row r="8256" spans="1:24">
      <c r="A8256" s="27" t="s">
        <v>14965</v>
      </c>
      <c r="B8256" s="28" t="s">
        <v>12240</v>
      </c>
      <c r="C8256" s="27" t="s">
        <v>14966</v>
      </c>
      <c r="D8256" s="27" t="s">
        <v>5104</v>
      </c>
      <c r="E8256" s="29">
        <v>41785</v>
      </c>
      <c r="F8256" s="27">
        <v>15</v>
      </c>
      <c r="G8256" s="18">
        <v>34093.71</v>
      </c>
      <c r="H8256" s="27">
        <f t="shared" si="256"/>
        <v>0</v>
      </c>
      <c r="I8256" s="18">
        <v>11661.56</v>
      </c>
      <c r="J8256" s="27">
        <v>34093.71</v>
      </c>
      <c r="K8256" s="18">
        <f t="shared" si="257"/>
        <v>0</v>
      </c>
      <c r="L8256" s="27">
        <v>13651.4</v>
      </c>
      <c r="M8256" s="36">
        <v>1989.84</v>
      </c>
      <c r="T8256" s="41">
        <v>0</v>
      </c>
      <c r="U8256" s="41">
        <v>0</v>
      </c>
      <c r="V8256" s="42" t="s">
        <v>113</v>
      </c>
      <c r="W8256" s="42">
        <v>0</v>
      </c>
      <c r="X8256" s="42">
        <v>0</v>
      </c>
    </row>
    <row r="8257" spans="1:24">
      <c r="A8257" s="27" t="s">
        <v>14967</v>
      </c>
      <c r="B8257" s="28" t="s">
        <v>12240</v>
      </c>
      <c r="C8257" s="27" t="s">
        <v>14968</v>
      </c>
      <c r="D8257" s="27" t="s">
        <v>230</v>
      </c>
      <c r="E8257" s="29">
        <v>41785</v>
      </c>
      <c r="F8257" s="27">
        <v>15</v>
      </c>
      <c r="G8257" s="18">
        <v>34093.71</v>
      </c>
      <c r="H8257" s="27">
        <f t="shared" si="256"/>
        <v>0</v>
      </c>
      <c r="I8257" s="18">
        <v>11661.56</v>
      </c>
      <c r="J8257" s="27">
        <v>34093.71</v>
      </c>
      <c r="K8257" s="18">
        <f t="shared" si="257"/>
        <v>0</v>
      </c>
      <c r="L8257" s="27">
        <v>13651.4</v>
      </c>
      <c r="M8257" s="36">
        <v>1989.84</v>
      </c>
      <c r="T8257" s="41">
        <v>0</v>
      </c>
      <c r="U8257" s="41">
        <v>0</v>
      </c>
      <c r="V8257" s="42" t="s">
        <v>113</v>
      </c>
      <c r="W8257" s="42">
        <v>0</v>
      </c>
      <c r="X8257" s="42">
        <v>0</v>
      </c>
    </row>
    <row r="8258" spans="1:24">
      <c r="A8258" s="27" t="s">
        <v>14969</v>
      </c>
      <c r="B8258" s="28" t="s">
        <v>12240</v>
      </c>
      <c r="C8258" s="27" t="s">
        <v>14970</v>
      </c>
      <c r="D8258" s="27" t="s">
        <v>5104</v>
      </c>
      <c r="E8258" s="29">
        <v>41785</v>
      </c>
      <c r="F8258" s="27">
        <v>15</v>
      </c>
      <c r="G8258" s="18">
        <v>53786.02</v>
      </c>
      <c r="H8258" s="27">
        <f t="shared" si="256"/>
        <v>0</v>
      </c>
      <c r="I8258" s="18">
        <v>18397.2</v>
      </c>
      <c r="J8258" s="27">
        <v>53786.02</v>
      </c>
      <c r="K8258" s="18">
        <f t="shared" si="257"/>
        <v>0</v>
      </c>
      <c r="L8258" s="27">
        <v>21536.35</v>
      </c>
      <c r="M8258" s="36">
        <v>3139.15</v>
      </c>
      <c r="T8258" s="41">
        <v>0</v>
      </c>
      <c r="U8258" s="41">
        <v>0</v>
      </c>
      <c r="V8258" s="42" t="s">
        <v>113</v>
      </c>
      <c r="W8258" s="42">
        <v>0</v>
      </c>
      <c r="X8258" s="42">
        <v>0</v>
      </c>
    </row>
    <row r="8259" spans="1:24">
      <c r="A8259" s="27" t="s">
        <v>14971</v>
      </c>
      <c r="B8259" s="28" t="s">
        <v>12240</v>
      </c>
      <c r="C8259" s="27" t="s">
        <v>14972</v>
      </c>
      <c r="D8259" s="27" t="s">
        <v>230</v>
      </c>
      <c r="E8259" s="29">
        <v>41785</v>
      </c>
      <c r="F8259" s="27">
        <v>15</v>
      </c>
      <c r="G8259" s="18">
        <v>34093.71</v>
      </c>
      <c r="H8259" s="27">
        <f t="shared" si="256"/>
        <v>0</v>
      </c>
      <c r="I8259" s="18">
        <v>11661.56</v>
      </c>
      <c r="J8259" s="27">
        <v>34093.71</v>
      </c>
      <c r="K8259" s="18">
        <f t="shared" si="257"/>
        <v>0</v>
      </c>
      <c r="L8259" s="27">
        <v>13651.4</v>
      </c>
      <c r="M8259" s="36">
        <v>1989.84</v>
      </c>
      <c r="T8259" s="41">
        <v>0</v>
      </c>
      <c r="U8259" s="41">
        <v>0</v>
      </c>
      <c r="V8259" s="42" t="s">
        <v>113</v>
      </c>
      <c r="W8259" s="42">
        <v>0</v>
      </c>
      <c r="X8259" s="42">
        <v>0</v>
      </c>
    </row>
    <row r="8260" spans="1:24">
      <c r="A8260" s="27" t="s">
        <v>14973</v>
      </c>
      <c r="B8260" s="28" t="s">
        <v>12240</v>
      </c>
      <c r="C8260" s="27" t="s">
        <v>14974</v>
      </c>
      <c r="D8260" s="27" t="s">
        <v>230</v>
      </c>
      <c r="E8260" s="29">
        <v>40843</v>
      </c>
      <c r="F8260" s="27">
        <v>15</v>
      </c>
      <c r="G8260" s="18">
        <v>61461.41</v>
      </c>
      <c r="H8260" s="27">
        <f t="shared" si="256"/>
        <v>0</v>
      </c>
      <c r="I8260" s="18">
        <v>35749.5</v>
      </c>
      <c r="J8260" s="27">
        <v>61461.41</v>
      </c>
      <c r="K8260" s="18">
        <f t="shared" si="257"/>
        <v>0</v>
      </c>
      <c r="L8260" s="27">
        <v>38639.56</v>
      </c>
      <c r="M8260" s="36">
        <v>2890.06</v>
      </c>
      <c r="T8260" s="41">
        <v>0</v>
      </c>
      <c r="U8260" s="41">
        <v>0</v>
      </c>
      <c r="V8260" s="42" t="s">
        <v>113</v>
      </c>
      <c r="W8260" s="42">
        <v>0</v>
      </c>
      <c r="X8260" s="42">
        <v>0</v>
      </c>
    </row>
    <row r="8261" spans="1:24">
      <c r="A8261" s="27" t="s">
        <v>14975</v>
      </c>
      <c r="B8261" s="28" t="s">
        <v>12240</v>
      </c>
      <c r="C8261" s="27" t="s">
        <v>14976</v>
      </c>
      <c r="D8261" s="27" t="s">
        <v>230</v>
      </c>
      <c r="E8261" s="29">
        <v>40843</v>
      </c>
      <c r="F8261" s="27">
        <v>15</v>
      </c>
      <c r="G8261" s="18">
        <v>140000</v>
      </c>
      <c r="H8261" s="27">
        <f t="shared" si="256"/>
        <v>0</v>
      </c>
      <c r="I8261" s="18">
        <v>96471.48</v>
      </c>
      <c r="J8261" s="27">
        <v>140000</v>
      </c>
      <c r="K8261" s="18">
        <f t="shared" si="257"/>
        <v>0</v>
      </c>
      <c r="L8261" s="27">
        <v>101134.7</v>
      </c>
      <c r="M8261" s="36">
        <v>4663.22</v>
      </c>
      <c r="T8261" s="41">
        <v>0</v>
      </c>
      <c r="U8261" s="41">
        <v>0</v>
      </c>
      <c r="V8261" s="42" t="s">
        <v>113</v>
      </c>
      <c r="W8261" s="42">
        <v>0</v>
      </c>
      <c r="X8261" s="42">
        <v>0</v>
      </c>
    </row>
    <row r="8262" spans="1:24">
      <c r="A8262" s="27" t="s">
        <v>14977</v>
      </c>
      <c r="B8262" s="28" t="s">
        <v>12240</v>
      </c>
      <c r="C8262" s="27" t="s">
        <v>14978</v>
      </c>
      <c r="D8262" s="27" t="s">
        <v>230</v>
      </c>
      <c r="E8262" s="29">
        <v>40843</v>
      </c>
      <c r="F8262" s="27">
        <v>15</v>
      </c>
      <c r="G8262" s="18">
        <v>140000</v>
      </c>
      <c r="H8262" s="27">
        <f t="shared" ref="H8262:H8325" si="258">IFERROR(IF(ROUND((G8262-I8262)/G8262,2)&lt;=0.05,G8262,0),0)</f>
        <v>0</v>
      </c>
      <c r="I8262" s="18">
        <v>96471.48</v>
      </c>
      <c r="J8262" s="27">
        <v>140000</v>
      </c>
      <c r="K8262" s="18">
        <f t="shared" ref="K8262:K8325" si="259">IFERROR(IF(ROUND((J8262-L8262)/J8262,2)&lt;=0.05,J8262,0),0)</f>
        <v>0</v>
      </c>
      <c r="L8262" s="27">
        <v>101134.7</v>
      </c>
      <c r="M8262" s="36">
        <v>4663.22</v>
      </c>
      <c r="T8262" s="41">
        <v>0</v>
      </c>
      <c r="U8262" s="41">
        <v>0</v>
      </c>
      <c r="V8262" s="42" t="s">
        <v>113</v>
      </c>
      <c r="W8262" s="42">
        <v>0</v>
      </c>
      <c r="X8262" s="42">
        <v>0</v>
      </c>
    </row>
    <row r="8263" spans="1:24">
      <c r="A8263" s="27" t="s">
        <v>14979</v>
      </c>
      <c r="B8263" s="28" t="s">
        <v>12240</v>
      </c>
      <c r="C8263" s="27" t="s">
        <v>14980</v>
      </c>
      <c r="D8263" s="27" t="s">
        <v>230</v>
      </c>
      <c r="E8263" s="29">
        <v>40843</v>
      </c>
      <c r="F8263" s="27">
        <v>15</v>
      </c>
      <c r="G8263" s="18">
        <v>140000</v>
      </c>
      <c r="H8263" s="27">
        <f t="shared" si="258"/>
        <v>0</v>
      </c>
      <c r="I8263" s="18">
        <v>96471.48</v>
      </c>
      <c r="J8263" s="27">
        <v>140000</v>
      </c>
      <c r="K8263" s="18">
        <f t="shared" si="259"/>
        <v>0</v>
      </c>
      <c r="L8263" s="27">
        <v>101134.7</v>
      </c>
      <c r="M8263" s="36">
        <v>4663.22</v>
      </c>
      <c r="T8263" s="41">
        <v>0</v>
      </c>
      <c r="U8263" s="41">
        <v>0</v>
      </c>
      <c r="V8263" s="42" t="s">
        <v>113</v>
      </c>
      <c r="W8263" s="42">
        <v>0</v>
      </c>
      <c r="X8263" s="42">
        <v>0</v>
      </c>
    </row>
    <row r="8264" spans="1:24">
      <c r="A8264" s="27" t="s">
        <v>14981</v>
      </c>
      <c r="B8264" s="28" t="s">
        <v>12240</v>
      </c>
      <c r="C8264" s="27" t="s">
        <v>14982</v>
      </c>
      <c r="D8264" s="27" t="s">
        <v>230</v>
      </c>
      <c r="E8264" s="29">
        <v>40843</v>
      </c>
      <c r="F8264" s="27">
        <v>15</v>
      </c>
      <c r="G8264" s="18">
        <v>140000</v>
      </c>
      <c r="H8264" s="27">
        <f t="shared" si="258"/>
        <v>0</v>
      </c>
      <c r="I8264" s="18">
        <v>96471.48</v>
      </c>
      <c r="J8264" s="27">
        <v>140000</v>
      </c>
      <c r="K8264" s="18">
        <f t="shared" si="259"/>
        <v>0</v>
      </c>
      <c r="L8264" s="27">
        <v>101134.7</v>
      </c>
      <c r="M8264" s="36">
        <v>4663.22</v>
      </c>
      <c r="T8264" s="41">
        <v>0</v>
      </c>
      <c r="U8264" s="41">
        <v>0</v>
      </c>
      <c r="V8264" s="42" t="s">
        <v>113</v>
      </c>
      <c r="W8264" s="42">
        <v>0</v>
      </c>
      <c r="X8264" s="42">
        <v>0</v>
      </c>
    </row>
    <row r="8265" spans="1:24">
      <c r="A8265" s="27" t="s">
        <v>14983</v>
      </c>
      <c r="B8265" s="28" t="s">
        <v>12240</v>
      </c>
      <c r="C8265" s="27" t="s">
        <v>14984</v>
      </c>
      <c r="D8265" s="27" t="s">
        <v>230</v>
      </c>
      <c r="E8265" s="29">
        <v>40843</v>
      </c>
      <c r="F8265" s="27">
        <v>15</v>
      </c>
      <c r="G8265" s="18">
        <v>9300</v>
      </c>
      <c r="H8265" s="27">
        <f t="shared" si="258"/>
        <v>0</v>
      </c>
      <c r="I8265" s="18">
        <v>6408.46</v>
      </c>
      <c r="J8265" s="27">
        <v>9300</v>
      </c>
      <c r="K8265" s="18">
        <f t="shared" si="259"/>
        <v>0</v>
      </c>
      <c r="L8265" s="27">
        <v>6718.23</v>
      </c>
      <c r="M8265" s="36">
        <v>309.77</v>
      </c>
      <c r="T8265" s="41">
        <v>0</v>
      </c>
      <c r="U8265" s="41">
        <v>0</v>
      </c>
      <c r="V8265" s="42" t="s">
        <v>113</v>
      </c>
      <c r="W8265" s="42">
        <v>0</v>
      </c>
      <c r="X8265" s="42">
        <v>0</v>
      </c>
    </row>
    <row r="8266" spans="1:24">
      <c r="A8266" s="27" t="s">
        <v>14985</v>
      </c>
      <c r="B8266" s="28" t="s">
        <v>12240</v>
      </c>
      <c r="C8266" s="27" t="s">
        <v>14986</v>
      </c>
      <c r="D8266" s="27" t="s">
        <v>230</v>
      </c>
      <c r="E8266" s="29">
        <v>40843</v>
      </c>
      <c r="F8266" s="27">
        <v>15</v>
      </c>
      <c r="G8266" s="18">
        <v>9300</v>
      </c>
      <c r="H8266" s="27">
        <f t="shared" si="258"/>
        <v>0</v>
      </c>
      <c r="I8266" s="18">
        <v>6408.46</v>
      </c>
      <c r="J8266" s="27">
        <v>9300</v>
      </c>
      <c r="K8266" s="18">
        <f t="shared" si="259"/>
        <v>0</v>
      </c>
      <c r="L8266" s="27">
        <v>6718.23</v>
      </c>
      <c r="M8266" s="36">
        <v>309.77</v>
      </c>
      <c r="T8266" s="41">
        <v>0</v>
      </c>
      <c r="U8266" s="41">
        <v>0</v>
      </c>
      <c r="V8266" s="42" t="s">
        <v>113</v>
      </c>
      <c r="W8266" s="42">
        <v>0</v>
      </c>
      <c r="X8266" s="42">
        <v>0</v>
      </c>
    </row>
    <row r="8267" spans="1:24">
      <c r="A8267" s="27" t="s">
        <v>14987</v>
      </c>
      <c r="B8267" s="28" t="s">
        <v>12240</v>
      </c>
      <c r="C8267" s="27" t="s">
        <v>14988</v>
      </c>
      <c r="D8267" s="27" t="s">
        <v>230</v>
      </c>
      <c r="E8267" s="29">
        <v>40843</v>
      </c>
      <c r="F8267" s="27">
        <v>15</v>
      </c>
      <c r="G8267" s="18">
        <v>9300</v>
      </c>
      <c r="H8267" s="27">
        <f t="shared" si="258"/>
        <v>0</v>
      </c>
      <c r="I8267" s="18">
        <v>6408.46</v>
      </c>
      <c r="J8267" s="27">
        <v>9300</v>
      </c>
      <c r="K8267" s="18">
        <f t="shared" si="259"/>
        <v>0</v>
      </c>
      <c r="L8267" s="27">
        <v>6718.23</v>
      </c>
      <c r="M8267" s="36">
        <v>309.77</v>
      </c>
      <c r="T8267" s="41">
        <v>0</v>
      </c>
      <c r="U8267" s="41">
        <v>0</v>
      </c>
      <c r="V8267" s="42" t="s">
        <v>113</v>
      </c>
      <c r="W8267" s="42">
        <v>0</v>
      </c>
      <c r="X8267" s="42">
        <v>0</v>
      </c>
    </row>
    <row r="8268" spans="1:24">
      <c r="A8268" s="27" t="s">
        <v>14989</v>
      </c>
      <c r="B8268" s="28" t="s">
        <v>12240</v>
      </c>
      <c r="C8268" s="27" t="s">
        <v>14990</v>
      </c>
      <c r="D8268" s="27" t="s">
        <v>230</v>
      </c>
      <c r="E8268" s="29">
        <v>40843</v>
      </c>
      <c r="F8268" s="27">
        <v>15</v>
      </c>
      <c r="G8268" s="18">
        <v>9300</v>
      </c>
      <c r="H8268" s="27">
        <f t="shared" si="258"/>
        <v>0</v>
      </c>
      <c r="I8268" s="18">
        <v>6408.46</v>
      </c>
      <c r="J8268" s="27">
        <v>9300</v>
      </c>
      <c r="K8268" s="18">
        <f t="shared" si="259"/>
        <v>0</v>
      </c>
      <c r="L8268" s="27">
        <v>6718.23</v>
      </c>
      <c r="M8268" s="36">
        <v>309.77</v>
      </c>
      <c r="T8268" s="41">
        <v>0</v>
      </c>
      <c r="U8268" s="41">
        <v>0</v>
      </c>
      <c r="V8268" s="42" t="s">
        <v>113</v>
      </c>
      <c r="W8268" s="42">
        <v>0</v>
      </c>
      <c r="X8268" s="42">
        <v>0</v>
      </c>
    </row>
    <row r="8269" spans="1:24">
      <c r="A8269" s="27" t="s">
        <v>14991</v>
      </c>
      <c r="B8269" s="28" t="s">
        <v>12240</v>
      </c>
      <c r="C8269" s="27" t="s">
        <v>14992</v>
      </c>
      <c r="D8269" s="27" t="s">
        <v>230</v>
      </c>
      <c r="E8269" s="29">
        <v>40843</v>
      </c>
      <c r="F8269" s="27">
        <v>15</v>
      </c>
      <c r="G8269" s="18">
        <v>9300</v>
      </c>
      <c r="H8269" s="27">
        <f t="shared" si="258"/>
        <v>0</v>
      </c>
      <c r="I8269" s="18">
        <v>6408.46</v>
      </c>
      <c r="J8269" s="27">
        <v>9300</v>
      </c>
      <c r="K8269" s="18">
        <f t="shared" si="259"/>
        <v>0</v>
      </c>
      <c r="L8269" s="27">
        <v>6718.23</v>
      </c>
      <c r="M8269" s="36">
        <v>309.77</v>
      </c>
      <c r="T8269" s="41">
        <v>0</v>
      </c>
      <c r="U8269" s="41">
        <v>0</v>
      </c>
      <c r="V8269" s="42" t="s">
        <v>113</v>
      </c>
      <c r="W8269" s="42">
        <v>0</v>
      </c>
      <c r="X8269" s="42">
        <v>0</v>
      </c>
    </row>
    <row r="8270" spans="1:24">
      <c r="A8270" s="27" t="s">
        <v>14993</v>
      </c>
      <c r="B8270" s="28" t="s">
        <v>12240</v>
      </c>
      <c r="C8270" s="27" t="s">
        <v>14994</v>
      </c>
      <c r="D8270" s="27" t="s">
        <v>230</v>
      </c>
      <c r="E8270" s="29">
        <v>40843</v>
      </c>
      <c r="F8270" s="27">
        <v>15</v>
      </c>
      <c r="G8270" s="18">
        <v>61461.41</v>
      </c>
      <c r="H8270" s="27">
        <f t="shared" si="258"/>
        <v>0</v>
      </c>
      <c r="I8270" s="18">
        <v>35749.5</v>
      </c>
      <c r="J8270" s="27">
        <v>61461.41</v>
      </c>
      <c r="K8270" s="18">
        <f t="shared" si="259"/>
        <v>0</v>
      </c>
      <c r="L8270" s="27">
        <v>38639.56</v>
      </c>
      <c r="M8270" s="36">
        <v>2890.06</v>
      </c>
      <c r="T8270" s="41">
        <v>0</v>
      </c>
      <c r="U8270" s="41">
        <v>0</v>
      </c>
      <c r="V8270" s="42" t="s">
        <v>113</v>
      </c>
      <c r="W8270" s="42">
        <v>0</v>
      </c>
      <c r="X8270" s="42">
        <v>0</v>
      </c>
    </row>
    <row r="8271" spans="1:24">
      <c r="A8271" s="27" t="s">
        <v>14995</v>
      </c>
      <c r="B8271" s="28" t="s">
        <v>12240</v>
      </c>
      <c r="C8271" s="27" t="s">
        <v>14996</v>
      </c>
      <c r="D8271" s="27" t="s">
        <v>230</v>
      </c>
      <c r="E8271" s="29">
        <v>39417</v>
      </c>
      <c r="F8271" s="27">
        <v>15</v>
      </c>
      <c r="G8271" s="18">
        <v>61461.41</v>
      </c>
      <c r="H8271" s="27">
        <f t="shared" si="258"/>
        <v>0</v>
      </c>
      <c r="I8271" s="18">
        <v>46228.160000000003</v>
      </c>
      <c r="J8271" s="27">
        <v>61461.41</v>
      </c>
      <c r="K8271" s="18">
        <f t="shared" si="259"/>
        <v>0</v>
      </c>
      <c r="L8271" s="27">
        <v>49268.21</v>
      </c>
      <c r="M8271" s="36">
        <v>3040.05</v>
      </c>
      <c r="T8271" s="41">
        <v>0</v>
      </c>
      <c r="U8271" s="41">
        <v>0</v>
      </c>
      <c r="V8271" s="42" t="s">
        <v>113</v>
      </c>
      <c r="W8271" s="42">
        <v>0</v>
      </c>
      <c r="X8271" s="42">
        <v>0</v>
      </c>
    </row>
    <row r="8272" spans="1:24">
      <c r="A8272" s="27" t="s">
        <v>14997</v>
      </c>
      <c r="B8272" s="28" t="s">
        <v>12240</v>
      </c>
      <c r="C8272" s="27" t="s">
        <v>14998</v>
      </c>
      <c r="D8272" s="27" t="s">
        <v>230</v>
      </c>
      <c r="E8272" s="29">
        <v>37956</v>
      </c>
      <c r="F8272" s="27">
        <v>15</v>
      </c>
      <c r="G8272" s="18">
        <v>19072.439999999999</v>
      </c>
      <c r="H8272" s="27">
        <f t="shared" si="258"/>
        <v>19072.439999999999</v>
      </c>
      <c r="I8272" s="18">
        <v>18118.82</v>
      </c>
      <c r="J8272" s="27">
        <v>19072.439999999999</v>
      </c>
      <c r="K8272" s="18">
        <f t="shared" si="259"/>
        <v>19072.439999999999</v>
      </c>
      <c r="L8272" s="27">
        <v>18118.82</v>
      </c>
      <c r="M8272" s="36">
        <v>0</v>
      </c>
      <c r="T8272" s="41">
        <v>0</v>
      </c>
      <c r="U8272" s="41">
        <v>0</v>
      </c>
      <c r="V8272" s="42" t="s">
        <v>113</v>
      </c>
      <c r="W8272" s="42">
        <v>19072.439999999999</v>
      </c>
      <c r="X8272" s="42">
        <v>19072.439999999999</v>
      </c>
    </row>
    <row r="8273" spans="1:24">
      <c r="A8273" s="27" t="s">
        <v>14999</v>
      </c>
      <c r="B8273" s="28" t="s">
        <v>12240</v>
      </c>
      <c r="C8273" s="27" t="s">
        <v>15000</v>
      </c>
      <c r="D8273" s="27" t="s">
        <v>230</v>
      </c>
      <c r="E8273" s="29">
        <v>40843</v>
      </c>
      <c r="F8273" s="27">
        <v>15</v>
      </c>
      <c r="G8273" s="18">
        <v>9300</v>
      </c>
      <c r="H8273" s="27">
        <f t="shared" si="258"/>
        <v>0</v>
      </c>
      <c r="I8273" s="18">
        <v>6408.46</v>
      </c>
      <c r="J8273" s="27">
        <v>9300</v>
      </c>
      <c r="K8273" s="18">
        <f t="shared" si="259"/>
        <v>0</v>
      </c>
      <c r="L8273" s="27">
        <v>6718.23</v>
      </c>
      <c r="M8273" s="36">
        <v>309.77</v>
      </c>
      <c r="T8273" s="41">
        <v>0</v>
      </c>
      <c r="U8273" s="41">
        <v>0</v>
      </c>
      <c r="V8273" s="42" t="s">
        <v>113</v>
      </c>
      <c r="W8273" s="42">
        <v>0</v>
      </c>
      <c r="X8273" s="42">
        <v>0</v>
      </c>
    </row>
    <row r="8274" spans="1:24">
      <c r="A8274" s="27" t="s">
        <v>15001</v>
      </c>
      <c r="B8274" s="28" t="s">
        <v>12240</v>
      </c>
      <c r="C8274" s="27" t="s">
        <v>15002</v>
      </c>
      <c r="D8274" s="27" t="s">
        <v>230</v>
      </c>
      <c r="E8274" s="29">
        <v>40843</v>
      </c>
      <c r="F8274" s="27">
        <v>15</v>
      </c>
      <c r="G8274" s="18">
        <v>61461.41</v>
      </c>
      <c r="H8274" s="27">
        <f t="shared" si="258"/>
        <v>0</v>
      </c>
      <c r="I8274" s="18">
        <v>35749.5</v>
      </c>
      <c r="J8274" s="27">
        <v>61461.41</v>
      </c>
      <c r="K8274" s="18">
        <f t="shared" si="259"/>
        <v>0</v>
      </c>
      <c r="L8274" s="27">
        <v>38639.56</v>
      </c>
      <c r="M8274" s="36">
        <v>2890.06</v>
      </c>
      <c r="T8274" s="41">
        <v>0</v>
      </c>
      <c r="U8274" s="41">
        <v>0</v>
      </c>
      <c r="V8274" s="42" t="s">
        <v>113</v>
      </c>
      <c r="W8274" s="42">
        <v>0</v>
      </c>
      <c r="X8274" s="42">
        <v>0</v>
      </c>
    </row>
    <row r="8275" spans="1:24">
      <c r="A8275" s="27" t="s">
        <v>15003</v>
      </c>
      <c r="B8275" s="28" t="s">
        <v>12240</v>
      </c>
      <c r="C8275" s="27" t="s">
        <v>15004</v>
      </c>
      <c r="D8275" s="27" t="s">
        <v>230</v>
      </c>
      <c r="E8275" s="29">
        <v>40843</v>
      </c>
      <c r="F8275" s="27">
        <v>15</v>
      </c>
      <c r="G8275" s="18">
        <v>9300</v>
      </c>
      <c r="H8275" s="27">
        <f t="shared" si="258"/>
        <v>0</v>
      </c>
      <c r="I8275" s="18">
        <v>6408.46</v>
      </c>
      <c r="J8275" s="27">
        <v>9300</v>
      </c>
      <c r="K8275" s="18">
        <f t="shared" si="259"/>
        <v>0</v>
      </c>
      <c r="L8275" s="27">
        <v>6718.23</v>
      </c>
      <c r="M8275" s="36">
        <v>309.77</v>
      </c>
      <c r="T8275" s="41">
        <v>0</v>
      </c>
      <c r="U8275" s="41">
        <v>0</v>
      </c>
      <c r="V8275" s="42" t="s">
        <v>113</v>
      </c>
      <c r="W8275" s="42">
        <v>0</v>
      </c>
      <c r="X8275" s="42">
        <v>0</v>
      </c>
    </row>
    <row r="8276" spans="1:24">
      <c r="A8276" s="27" t="s">
        <v>15005</v>
      </c>
      <c r="B8276" s="28" t="s">
        <v>12240</v>
      </c>
      <c r="C8276" s="27" t="s">
        <v>15006</v>
      </c>
      <c r="D8276" s="27" t="s">
        <v>230</v>
      </c>
      <c r="E8276" s="29">
        <v>40843</v>
      </c>
      <c r="F8276" s="27">
        <v>15</v>
      </c>
      <c r="G8276" s="18">
        <v>9300</v>
      </c>
      <c r="H8276" s="27">
        <f t="shared" si="258"/>
        <v>0</v>
      </c>
      <c r="I8276" s="18">
        <v>6408.46</v>
      </c>
      <c r="J8276" s="27">
        <v>9300</v>
      </c>
      <c r="K8276" s="18">
        <f t="shared" si="259"/>
        <v>0</v>
      </c>
      <c r="L8276" s="27">
        <v>6718.23</v>
      </c>
      <c r="M8276" s="36">
        <v>309.77</v>
      </c>
      <c r="T8276" s="41">
        <v>0</v>
      </c>
      <c r="U8276" s="41">
        <v>0</v>
      </c>
      <c r="V8276" s="42" t="s">
        <v>113</v>
      </c>
      <c r="W8276" s="42">
        <v>0</v>
      </c>
      <c r="X8276" s="42">
        <v>0</v>
      </c>
    </row>
    <row r="8277" spans="1:24">
      <c r="A8277" s="27" t="s">
        <v>15007</v>
      </c>
      <c r="B8277" s="28" t="s">
        <v>12240</v>
      </c>
      <c r="C8277" s="27" t="s">
        <v>15008</v>
      </c>
      <c r="D8277" s="27" t="s">
        <v>230</v>
      </c>
      <c r="E8277" s="29">
        <v>40843</v>
      </c>
      <c r="F8277" s="27">
        <v>15</v>
      </c>
      <c r="G8277" s="18">
        <v>9300</v>
      </c>
      <c r="H8277" s="27">
        <f t="shared" si="258"/>
        <v>0</v>
      </c>
      <c r="I8277" s="18">
        <v>6408.46</v>
      </c>
      <c r="J8277" s="27">
        <v>9300</v>
      </c>
      <c r="K8277" s="18">
        <f t="shared" si="259"/>
        <v>0</v>
      </c>
      <c r="L8277" s="27">
        <v>6718.23</v>
      </c>
      <c r="M8277" s="36">
        <v>309.77</v>
      </c>
      <c r="T8277" s="41">
        <v>0</v>
      </c>
      <c r="U8277" s="41">
        <v>0</v>
      </c>
      <c r="V8277" s="42" t="s">
        <v>113</v>
      </c>
      <c r="W8277" s="42">
        <v>0</v>
      </c>
      <c r="X8277" s="42">
        <v>0</v>
      </c>
    </row>
    <row r="8278" spans="1:24">
      <c r="A8278" s="27" t="s">
        <v>15009</v>
      </c>
      <c r="B8278" s="28" t="s">
        <v>12240</v>
      </c>
      <c r="C8278" s="27" t="s">
        <v>15010</v>
      </c>
      <c r="D8278" s="27" t="s">
        <v>230</v>
      </c>
      <c r="E8278" s="29">
        <v>40843</v>
      </c>
      <c r="F8278" s="27">
        <v>15</v>
      </c>
      <c r="G8278" s="18">
        <v>36803.82</v>
      </c>
      <c r="H8278" s="27">
        <f t="shared" si="258"/>
        <v>0</v>
      </c>
      <c r="I8278" s="18">
        <v>21504.79</v>
      </c>
      <c r="J8278" s="27">
        <v>36803.82</v>
      </c>
      <c r="K8278" s="18">
        <f t="shared" si="259"/>
        <v>0</v>
      </c>
      <c r="L8278" s="27">
        <v>23222.94</v>
      </c>
      <c r="M8278" s="36">
        <v>1718.15</v>
      </c>
      <c r="T8278" s="41">
        <v>0</v>
      </c>
      <c r="U8278" s="41">
        <v>0</v>
      </c>
      <c r="V8278" s="42" t="s">
        <v>113</v>
      </c>
      <c r="W8278" s="42">
        <v>0</v>
      </c>
      <c r="X8278" s="42">
        <v>0</v>
      </c>
    </row>
    <row r="8279" spans="1:24">
      <c r="A8279" s="27" t="s">
        <v>15011</v>
      </c>
      <c r="B8279" s="28" t="s">
        <v>12240</v>
      </c>
      <c r="C8279" s="27" t="s">
        <v>15012</v>
      </c>
      <c r="D8279" s="27" t="s">
        <v>230</v>
      </c>
      <c r="E8279" s="29">
        <v>40843</v>
      </c>
      <c r="F8279" s="27">
        <v>15</v>
      </c>
      <c r="G8279" s="18">
        <v>56257.93</v>
      </c>
      <c r="H8279" s="27">
        <f t="shared" si="258"/>
        <v>0</v>
      </c>
      <c r="I8279" s="18">
        <v>51234.44</v>
      </c>
      <c r="J8279" s="27">
        <v>56257.93</v>
      </c>
      <c r="K8279" s="18">
        <f t="shared" si="259"/>
        <v>0</v>
      </c>
      <c r="L8279" s="27">
        <v>51516.639999999999</v>
      </c>
      <c r="M8279" s="36">
        <v>282.2</v>
      </c>
      <c r="T8279" s="41">
        <v>0</v>
      </c>
      <c r="U8279" s="41">
        <v>0</v>
      </c>
      <c r="V8279" s="42" t="s">
        <v>113</v>
      </c>
      <c r="W8279" s="42">
        <v>0</v>
      </c>
      <c r="X8279" s="42">
        <v>0</v>
      </c>
    </row>
    <row r="8280" spans="1:24">
      <c r="A8280" s="27" t="s">
        <v>15013</v>
      </c>
      <c r="B8280" s="28" t="s">
        <v>12240</v>
      </c>
      <c r="C8280" s="27" t="s">
        <v>15014</v>
      </c>
      <c r="D8280" s="27" t="s">
        <v>230</v>
      </c>
      <c r="E8280" s="29">
        <v>40843</v>
      </c>
      <c r="F8280" s="27">
        <v>15</v>
      </c>
      <c r="G8280" s="18">
        <v>9300</v>
      </c>
      <c r="H8280" s="27">
        <f t="shared" si="258"/>
        <v>0</v>
      </c>
      <c r="I8280" s="18">
        <v>6408.46</v>
      </c>
      <c r="J8280" s="27">
        <v>9300</v>
      </c>
      <c r="K8280" s="18">
        <f t="shared" si="259"/>
        <v>0</v>
      </c>
      <c r="L8280" s="27">
        <v>6718.23</v>
      </c>
      <c r="M8280" s="36">
        <v>309.77</v>
      </c>
      <c r="T8280" s="41">
        <v>0</v>
      </c>
      <c r="U8280" s="41">
        <v>0</v>
      </c>
      <c r="V8280" s="42" t="s">
        <v>113</v>
      </c>
      <c r="W8280" s="42">
        <v>0</v>
      </c>
      <c r="X8280" s="42">
        <v>0</v>
      </c>
    </row>
    <row r="8281" spans="1:24">
      <c r="A8281" s="27" t="s">
        <v>15015</v>
      </c>
      <c r="B8281" s="28" t="s">
        <v>12240</v>
      </c>
      <c r="C8281" s="27" t="s">
        <v>15016</v>
      </c>
      <c r="D8281" s="27" t="s">
        <v>230</v>
      </c>
      <c r="E8281" s="29">
        <v>40843</v>
      </c>
      <c r="F8281" s="27">
        <v>15</v>
      </c>
      <c r="G8281" s="18">
        <v>61805.74</v>
      </c>
      <c r="H8281" s="27">
        <f t="shared" si="258"/>
        <v>0</v>
      </c>
      <c r="I8281" s="18">
        <v>35949.769999999997</v>
      </c>
      <c r="J8281" s="27">
        <v>61805.74</v>
      </c>
      <c r="K8281" s="18">
        <f t="shared" si="259"/>
        <v>0</v>
      </c>
      <c r="L8281" s="27">
        <v>38856.03</v>
      </c>
      <c r="M8281" s="36">
        <v>2906.26</v>
      </c>
      <c r="T8281" s="41">
        <v>0</v>
      </c>
      <c r="U8281" s="41">
        <v>0</v>
      </c>
      <c r="V8281" s="42" t="s">
        <v>113</v>
      </c>
      <c r="W8281" s="42">
        <v>0</v>
      </c>
      <c r="X8281" s="42">
        <v>0</v>
      </c>
    </row>
    <row r="8282" spans="1:24">
      <c r="A8282" s="27" t="s">
        <v>15017</v>
      </c>
      <c r="B8282" s="28" t="s">
        <v>12240</v>
      </c>
      <c r="C8282" s="27" t="s">
        <v>15018</v>
      </c>
      <c r="D8282" s="27" t="s">
        <v>230</v>
      </c>
      <c r="E8282" s="29">
        <v>40843</v>
      </c>
      <c r="F8282" s="27">
        <v>15</v>
      </c>
      <c r="G8282" s="18">
        <v>61805.74</v>
      </c>
      <c r="H8282" s="27">
        <f t="shared" si="258"/>
        <v>0</v>
      </c>
      <c r="I8282" s="18">
        <v>35949.769999999997</v>
      </c>
      <c r="J8282" s="27">
        <v>61805.74</v>
      </c>
      <c r="K8282" s="18">
        <f t="shared" si="259"/>
        <v>0</v>
      </c>
      <c r="L8282" s="27">
        <v>38856.03</v>
      </c>
      <c r="M8282" s="36">
        <v>2906.26</v>
      </c>
      <c r="T8282" s="41">
        <v>0</v>
      </c>
      <c r="U8282" s="41">
        <v>0</v>
      </c>
      <c r="V8282" s="42" t="s">
        <v>113</v>
      </c>
      <c r="W8282" s="42">
        <v>0</v>
      </c>
      <c r="X8282" s="42">
        <v>0</v>
      </c>
    </row>
    <row r="8283" spans="1:24">
      <c r="A8283" s="27" t="s">
        <v>15019</v>
      </c>
      <c r="B8283" s="28" t="s">
        <v>12240</v>
      </c>
      <c r="C8283" s="27" t="s">
        <v>15020</v>
      </c>
      <c r="D8283" s="27" t="s">
        <v>230</v>
      </c>
      <c r="E8283" s="29">
        <v>40843</v>
      </c>
      <c r="F8283" s="27">
        <v>15</v>
      </c>
      <c r="G8283" s="18">
        <v>9300</v>
      </c>
      <c r="H8283" s="27">
        <f t="shared" si="258"/>
        <v>0</v>
      </c>
      <c r="I8283" s="18">
        <v>6408.46</v>
      </c>
      <c r="J8283" s="27">
        <v>9300</v>
      </c>
      <c r="K8283" s="18">
        <f t="shared" si="259"/>
        <v>0</v>
      </c>
      <c r="L8283" s="27">
        <v>6718.23</v>
      </c>
      <c r="M8283" s="36">
        <v>309.77</v>
      </c>
      <c r="T8283" s="41">
        <v>0</v>
      </c>
      <c r="U8283" s="41">
        <v>0</v>
      </c>
      <c r="V8283" s="42" t="s">
        <v>113</v>
      </c>
      <c r="W8283" s="42">
        <v>0</v>
      </c>
      <c r="X8283" s="42">
        <v>0</v>
      </c>
    </row>
    <row r="8284" spans="1:24">
      <c r="A8284" s="27" t="s">
        <v>15021</v>
      </c>
      <c r="B8284" s="28" t="s">
        <v>12240</v>
      </c>
      <c r="C8284" s="27" t="s">
        <v>15022</v>
      </c>
      <c r="D8284" s="27" t="s">
        <v>230</v>
      </c>
      <c r="E8284" s="29">
        <v>39417</v>
      </c>
      <c r="F8284" s="27">
        <v>15</v>
      </c>
      <c r="G8284" s="18">
        <v>8988.1299999999992</v>
      </c>
      <c r="H8284" s="27">
        <f t="shared" si="258"/>
        <v>0</v>
      </c>
      <c r="I8284" s="18">
        <v>6760.42</v>
      </c>
      <c r="J8284" s="27">
        <v>8988.1299999999992</v>
      </c>
      <c r="K8284" s="18">
        <f t="shared" si="259"/>
        <v>0</v>
      </c>
      <c r="L8284" s="27">
        <v>7205</v>
      </c>
      <c r="M8284" s="36">
        <v>444.58</v>
      </c>
      <c r="T8284" s="41">
        <v>0</v>
      </c>
      <c r="U8284" s="41">
        <v>0</v>
      </c>
      <c r="V8284" s="42" t="s">
        <v>113</v>
      </c>
      <c r="W8284" s="42">
        <v>0</v>
      </c>
      <c r="X8284" s="42">
        <v>0</v>
      </c>
    </row>
    <row r="8285" spans="1:24">
      <c r="A8285" s="27" t="s">
        <v>15023</v>
      </c>
      <c r="B8285" s="28" t="s">
        <v>12240</v>
      </c>
      <c r="C8285" s="27" t="s">
        <v>12421</v>
      </c>
      <c r="D8285" s="27" t="s">
        <v>230</v>
      </c>
      <c r="E8285" s="29">
        <v>40843</v>
      </c>
      <c r="F8285" s="27">
        <v>15</v>
      </c>
      <c r="G8285" s="18">
        <v>61461.41</v>
      </c>
      <c r="H8285" s="27">
        <f t="shared" si="258"/>
        <v>0</v>
      </c>
      <c r="I8285" s="18">
        <v>35749.5</v>
      </c>
      <c r="J8285" s="27">
        <v>61461.41</v>
      </c>
      <c r="K8285" s="18">
        <f t="shared" si="259"/>
        <v>0</v>
      </c>
      <c r="L8285" s="27">
        <v>38639.56</v>
      </c>
      <c r="M8285" s="36">
        <v>2890.06</v>
      </c>
      <c r="T8285" s="41">
        <v>0</v>
      </c>
      <c r="U8285" s="41">
        <v>0</v>
      </c>
      <c r="V8285" s="42" t="s">
        <v>113</v>
      </c>
      <c r="W8285" s="42">
        <v>0</v>
      </c>
      <c r="X8285" s="42">
        <v>0</v>
      </c>
    </row>
    <row r="8286" spans="1:24">
      <c r="A8286" s="27" t="s">
        <v>15024</v>
      </c>
      <c r="B8286" s="28" t="s">
        <v>12240</v>
      </c>
      <c r="C8286" s="27" t="s">
        <v>15025</v>
      </c>
      <c r="D8286" s="27" t="s">
        <v>230</v>
      </c>
      <c r="E8286" s="29">
        <v>39417</v>
      </c>
      <c r="F8286" s="27">
        <v>15</v>
      </c>
      <c r="G8286" s="18">
        <v>61461.41</v>
      </c>
      <c r="H8286" s="27">
        <f t="shared" si="258"/>
        <v>0</v>
      </c>
      <c r="I8286" s="18">
        <v>46228.160000000003</v>
      </c>
      <c r="J8286" s="27">
        <v>61461.41</v>
      </c>
      <c r="K8286" s="18">
        <f t="shared" si="259"/>
        <v>0</v>
      </c>
      <c r="L8286" s="27">
        <v>49268.21</v>
      </c>
      <c r="M8286" s="36">
        <v>3040.05</v>
      </c>
      <c r="T8286" s="41">
        <v>0</v>
      </c>
      <c r="U8286" s="41">
        <v>0</v>
      </c>
      <c r="V8286" s="42" t="s">
        <v>113</v>
      </c>
      <c r="W8286" s="42">
        <v>0</v>
      </c>
      <c r="X8286" s="42">
        <v>0</v>
      </c>
    </row>
    <row r="8287" spans="1:24">
      <c r="A8287" s="27" t="s">
        <v>15026</v>
      </c>
      <c r="B8287" s="28" t="s">
        <v>12240</v>
      </c>
      <c r="C8287" s="27" t="s">
        <v>15027</v>
      </c>
      <c r="D8287" s="27" t="s">
        <v>230</v>
      </c>
      <c r="E8287" s="29">
        <v>39417</v>
      </c>
      <c r="F8287" s="27">
        <v>15</v>
      </c>
      <c r="G8287" s="18">
        <v>61461.41</v>
      </c>
      <c r="H8287" s="27">
        <f t="shared" si="258"/>
        <v>0</v>
      </c>
      <c r="I8287" s="18">
        <v>46228.160000000003</v>
      </c>
      <c r="J8287" s="27">
        <v>61461.41</v>
      </c>
      <c r="K8287" s="18">
        <f t="shared" si="259"/>
        <v>0</v>
      </c>
      <c r="L8287" s="27">
        <v>49268.21</v>
      </c>
      <c r="M8287" s="36">
        <v>3040.05</v>
      </c>
      <c r="T8287" s="41">
        <v>0</v>
      </c>
      <c r="U8287" s="41">
        <v>0</v>
      </c>
      <c r="V8287" s="42" t="s">
        <v>113</v>
      </c>
      <c r="W8287" s="42">
        <v>0</v>
      </c>
      <c r="X8287" s="42">
        <v>0</v>
      </c>
    </row>
    <row r="8288" spans="1:24">
      <c r="A8288" s="27" t="s">
        <v>15028</v>
      </c>
      <c r="B8288" s="28" t="s">
        <v>12240</v>
      </c>
      <c r="C8288" s="27" t="s">
        <v>15029</v>
      </c>
      <c r="D8288" s="27" t="s">
        <v>230</v>
      </c>
      <c r="E8288" s="29">
        <v>40843</v>
      </c>
      <c r="F8288" s="27">
        <v>15</v>
      </c>
      <c r="G8288" s="18">
        <v>162379.18</v>
      </c>
      <c r="H8288" s="27">
        <f t="shared" si="258"/>
        <v>0</v>
      </c>
      <c r="I8288" s="18">
        <v>94022.46</v>
      </c>
      <c r="J8288" s="27">
        <v>162379.18</v>
      </c>
      <c r="K8288" s="18">
        <f t="shared" si="259"/>
        <v>0</v>
      </c>
      <c r="L8288" s="27">
        <v>101712.39</v>
      </c>
      <c r="M8288" s="36">
        <v>7689.93</v>
      </c>
      <c r="T8288" s="41">
        <v>0</v>
      </c>
      <c r="U8288" s="41">
        <v>0</v>
      </c>
      <c r="V8288" s="42" t="s">
        <v>113</v>
      </c>
      <c r="W8288" s="42">
        <v>0</v>
      </c>
      <c r="X8288" s="42">
        <v>0</v>
      </c>
    </row>
    <row r="8289" spans="1:24">
      <c r="A8289" s="27" t="s">
        <v>15030</v>
      </c>
      <c r="B8289" s="28" t="s">
        <v>12240</v>
      </c>
      <c r="C8289" s="27" t="s">
        <v>15031</v>
      </c>
      <c r="D8289" s="27" t="s">
        <v>230</v>
      </c>
      <c r="E8289" s="29">
        <v>40843</v>
      </c>
      <c r="F8289" s="27">
        <v>15</v>
      </c>
      <c r="G8289" s="18">
        <v>9300</v>
      </c>
      <c r="H8289" s="27">
        <f t="shared" si="258"/>
        <v>0</v>
      </c>
      <c r="I8289" s="18">
        <v>6408.46</v>
      </c>
      <c r="J8289" s="27">
        <v>9300</v>
      </c>
      <c r="K8289" s="18">
        <f t="shared" si="259"/>
        <v>0</v>
      </c>
      <c r="L8289" s="27">
        <v>6718.23</v>
      </c>
      <c r="M8289" s="36">
        <v>309.77</v>
      </c>
      <c r="T8289" s="41">
        <v>0</v>
      </c>
      <c r="U8289" s="41">
        <v>0</v>
      </c>
      <c r="V8289" s="42" t="s">
        <v>113</v>
      </c>
      <c r="W8289" s="42">
        <v>0</v>
      </c>
      <c r="X8289" s="42">
        <v>0</v>
      </c>
    </row>
    <row r="8290" spans="1:24">
      <c r="A8290" s="27" t="s">
        <v>15032</v>
      </c>
      <c r="B8290" s="28" t="s">
        <v>12240</v>
      </c>
      <c r="C8290" s="27" t="s">
        <v>15033</v>
      </c>
      <c r="D8290" s="27" t="s">
        <v>230</v>
      </c>
      <c r="E8290" s="29">
        <v>41975</v>
      </c>
      <c r="F8290" s="27">
        <v>15</v>
      </c>
      <c r="G8290" s="18">
        <v>62378.83</v>
      </c>
      <c r="H8290" s="27">
        <f t="shared" si="258"/>
        <v>0</v>
      </c>
      <c r="I8290" s="18">
        <v>18515.5</v>
      </c>
      <c r="J8290" s="27">
        <v>62378.83</v>
      </c>
      <c r="K8290" s="18">
        <f t="shared" si="259"/>
        <v>0</v>
      </c>
      <c r="L8290" s="27">
        <v>22219.54</v>
      </c>
      <c r="M8290" s="36">
        <v>3704.04</v>
      </c>
      <c r="T8290" s="41">
        <v>0</v>
      </c>
      <c r="U8290" s="41">
        <v>0</v>
      </c>
      <c r="V8290" s="42" t="s">
        <v>113</v>
      </c>
      <c r="W8290" s="42">
        <v>0</v>
      </c>
      <c r="X8290" s="42">
        <v>0</v>
      </c>
    </row>
    <row r="8291" spans="1:24">
      <c r="A8291" s="27" t="s">
        <v>15034</v>
      </c>
      <c r="B8291" s="28" t="s">
        <v>12240</v>
      </c>
      <c r="C8291" s="27" t="s">
        <v>15035</v>
      </c>
      <c r="D8291" s="27" t="s">
        <v>230</v>
      </c>
      <c r="E8291" s="29">
        <v>39539</v>
      </c>
      <c r="F8291" s="27">
        <v>15</v>
      </c>
      <c r="G8291" s="18">
        <v>120987.07</v>
      </c>
      <c r="H8291" s="27">
        <f t="shared" si="258"/>
        <v>0</v>
      </c>
      <c r="I8291" s="18">
        <v>98967.55</v>
      </c>
      <c r="J8291" s="27">
        <v>120987.07</v>
      </c>
      <c r="K8291" s="18">
        <f t="shared" si="259"/>
        <v>0</v>
      </c>
      <c r="L8291" s="27">
        <v>102652.97</v>
      </c>
      <c r="M8291" s="36">
        <v>3685.42</v>
      </c>
      <c r="T8291" s="41">
        <v>0</v>
      </c>
      <c r="U8291" s="41">
        <v>0</v>
      </c>
      <c r="V8291" s="42" t="s">
        <v>113</v>
      </c>
      <c r="W8291" s="42">
        <v>0</v>
      </c>
      <c r="X8291" s="42">
        <v>0</v>
      </c>
    </row>
    <row r="8292" spans="1:24">
      <c r="A8292" s="27" t="s">
        <v>15036</v>
      </c>
      <c r="B8292" s="28" t="s">
        <v>12240</v>
      </c>
      <c r="C8292" s="27" t="s">
        <v>15037</v>
      </c>
      <c r="D8292" s="27" t="s">
        <v>230</v>
      </c>
      <c r="E8292" s="29">
        <v>39539</v>
      </c>
      <c r="F8292" s="27">
        <v>15</v>
      </c>
      <c r="G8292" s="18">
        <v>120987.07</v>
      </c>
      <c r="H8292" s="27">
        <f t="shared" si="258"/>
        <v>0</v>
      </c>
      <c r="I8292" s="18">
        <v>98967.55</v>
      </c>
      <c r="J8292" s="27">
        <v>120987.07</v>
      </c>
      <c r="K8292" s="18">
        <f t="shared" si="259"/>
        <v>0</v>
      </c>
      <c r="L8292" s="27">
        <v>102652.97</v>
      </c>
      <c r="M8292" s="36">
        <v>3685.42</v>
      </c>
      <c r="T8292" s="41">
        <v>0</v>
      </c>
      <c r="U8292" s="41">
        <v>0</v>
      </c>
      <c r="V8292" s="42" t="s">
        <v>113</v>
      </c>
      <c r="W8292" s="42">
        <v>0</v>
      </c>
      <c r="X8292" s="42">
        <v>0</v>
      </c>
    </row>
    <row r="8293" spans="1:24">
      <c r="A8293" s="27" t="s">
        <v>15038</v>
      </c>
      <c r="B8293" s="28" t="s">
        <v>12240</v>
      </c>
      <c r="C8293" s="27" t="s">
        <v>15039</v>
      </c>
      <c r="D8293" s="27" t="s">
        <v>230</v>
      </c>
      <c r="E8293" s="29">
        <v>37834</v>
      </c>
      <c r="F8293" s="27">
        <v>15</v>
      </c>
      <c r="G8293" s="18">
        <v>385214.31</v>
      </c>
      <c r="H8293" s="27">
        <f t="shared" si="258"/>
        <v>385214.31</v>
      </c>
      <c r="I8293" s="18">
        <v>365953.59</v>
      </c>
      <c r="J8293" s="27">
        <v>385214.31</v>
      </c>
      <c r="K8293" s="18">
        <f t="shared" si="259"/>
        <v>385214.31</v>
      </c>
      <c r="L8293" s="27">
        <v>365953.59</v>
      </c>
      <c r="M8293" s="36">
        <v>0</v>
      </c>
      <c r="T8293" s="41">
        <v>0</v>
      </c>
      <c r="U8293" s="41">
        <v>0</v>
      </c>
      <c r="V8293" s="42" t="s">
        <v>113</v>
      </c>
      <c r="W8293" s="42">
        <v>385214.31</v>
      </c>
      <c r="X8293" s="42">
        <v>385214.31</v>
      </c>
    </row>
    <row r="8294" spans="1:24">
      <c r="A8294" s="27" t="s">
        <v>15040</v>
      </c>
      <c r="B8294" s="28" t="s">
        <v>12240</v>
      </c>
      <c r="C8294" s="27" t="s">
        <v>15041</v>
      </c>
      <c r="D8294" s="27" t="s">
        <v>230</v>
      </c>
      <c r="E8294" s="29">
        <v>40843</v>
      </c>
      <c r="F8294" s="27">
        <v>15</v>
      </c>
      <c r="G8294" s="18">
        <v>140000</v>
      </c>
      <c r="H8294" s="27">
        <f t="shared" si="258"/>
        <v>0</v>
      </c>
      <c r="I8294" s="18">
        <v>96471.48</v>
      </c>
      <c r="J8294" s="27">
        <v>140000</v>
      </c>
      <c r="K8294" s="18">
        <f t="shared" si="259"/>
        <v>0</v>
      </c>
      <c r="L8294" s="27">
        <v>101134.7</v>
      </c>
      <c r="M8294" s="36">
        <v>4663.22</v>
      </c>
      <c r="T8294" s="41">
        <v>0</v>
      </c>
      <c r="U8294" s="41">
        <v>0</v>
      </c>
      <c r="V8294" s="42" t="s">
        <v>113</v>
      </c>
      <c r="W8294" s="42">
        <v>0</v>
      </c>
      <c r="X8294" s="42">
        <v>0</v>
      </c>
    </row>
    <row r="8295" spans="1:24">
      <c r="A8295" s="27" t="s">
        <v>15042</v>
      </c>
      <c r="B8295" s="28" t="s">
        <v>12240</v>
      </c>
      <c r="C8295" s="27" t="s">
        <v>15043</v>
      </c>
      <c r="D8295" s="27" t="s">
        <v>230</v>
      </c>
      <c r="E8295" s="29">
        <v>39539</v>
      </c>
      <c r="F8295" s="27">
        <v>15</v>
      </c>
      <c r="G8295" s="18">
        <v>150794.21</v>
      </c>
      <c r="H8295" s="27">
        <f t="shared" si="258"/>
        <v>0</v>
      </c>
      <c r="I8295" s="18">
        <v>123349.83</v>
      </c>
      <c r="J8295" s="27">
        <v>150794.21</v>
      </c>
      <c r="K8295" s="18">
        <f t="shared" si="259"/>
        <v>0</v>
      </c>
      <c r="L8295" s="27">
        <v>127943.22</v>
      </c>
      <c r="M8295" s="36">
        <v>4593.3900000000003</v>
      </c>
      <c r="T8295" s="41">
        <v>0</v>
      </c>
      <c r="U8295" s="41">
        <v>0</v>
      </c>
      <c r="V8295" s="42" t="s">
        <v>113</v>
      </c>
      <c r="W8295" s="42">
        <v>0</v>
      </c>
      <c r="X8295" s="42">
        <v>0</v>
      </c>
    </row>
    <row r="8296" spans="1:24">
      <c r="A8296" s="27" t="s">
        <v>15044</v>
      </c>
      <c r="B8296" s="28" t="s">
        <v>12240</v>
      </c>
      <c r="C8296" s="27" t="s">
        <v>13184</v>
      </c>
      <c r="D8296" s="27" t="s">
        <v>230</v>
      </c>
      <c r="E8296" s="29">
        <v>39539</v>
      </c>
      <c r="F8296" s="27">
        <v>15</v>
      </c>
      <c r="G8296" s="18">
        <v>150794.21</v>
      </c>
      <c r="H8296" s="27">
        <f t="shared" si="258"/>
        <v>0</v>
      </c>
      <c r="I8296" s="18">
        <v>123349.83</v>
      </c>
      <c r="J8296" s="27">
        <v>150794.21</v>
      </c>
      <c r="K8296" s="18">
        <f t="shared" si="259"/>
        <v>0</v>
      </c>
      <c r="L8296" s="27">
        <v>127943.22</v>
      </c>
      <c r="M8296" s="36">
        <v>4593.3900000000003</v>
      </c>
      <c r="T8296" s="41">
        <v>0</v>
      </c>
      <c r="U8296" s="41">
        <v>0</v>
      </c>
      <c r="V8296" s="42" t="s">
        <v>113</v>
      </c>
      <c r="W8296" s="42">
        <v>0</v>
      </c>
      <c r="X8296" s="42">
        <v>0</v>
      </c>
    </row>
    <row r="8297" spans="1:24">
      <c r="A8297" s="27" t="s">
        <v>15045</v>
      </c>
      <c r="B8297" s="28" t="s">
        <v>12240</v>
      </c>
      <c r="C8297" s="27" t="s">
        <v>15046</v>
      </c>
      <c r="D8297" s="27" t="s">
        <v>230</v>
      </c>
      <c r="E8297" s="29">
        <v>40843</v>
      </c>
      <c r="F8297" s="27">
        <v>15</v>
      </c>
      <c r="G8297" s="18">
        <v>140000</v>
      </c>
      <c r="H8297" s="27">
        <f t="shared" si="258"/>
        <v>0</v>
      </c>
      <c r="I8297" s="18">
        <v>96471.48</v>
      </c>
      <c r="J8297" s="27">
        <v>140000</v>
      </c>
      <c r="K8297" s="18">
        <f t="shared" si="259"/>
        <v>0</v>
      </c>
      <c r="L8297" s="27">
        <v>101134.7</v>
      </c>
      <c r="M8297" s="36">
        <v>4663.22</v>
      </c>
      <c r="T8297" s="41">
        <v>0</v>
      </c>
      <c r="U8297" s="41">
        <v>0</v>
      </c>
      <c r="V8297" s="42" t="s">
        <v>113</v>
      </c>
      <c r="W8297" s="42">
        <v>0</v>
      </c>
      <c r="X8297" s="42">
        <v>0</v>
      </c>
    </row>
    <row r="8298" spans="1:24">
      <c r="A8298" s="27" t="s">
        <v>15047</v>
      </c>
      <c r="B8298" s="28" t="s">
        <v>12240</v>
      </c>
      <c r="C8298" s="27" t="s">
        <v>15048</v>
      </c>
      <c r="D8298" s="27" t="s">
        <v>230</v>
      </c>
      <c r="E8298" s="29">
        <v>39539</v>
      </c>
      <c r="F8298" s="27">
        <v>15</v>
      </c>
      <c r="G8298" s="18">
        <v>150794.21</v>
      </c>
      <c r="H8298" s="27">
        <f t="shared" si="258"/>
        <v>0</v>
      </c>
      <c r="I8298" s="18">
        <v>123349.83</v>
      </c>
      <c r="J8298" s="27">
        <v>150794.21</v>
      </c>
      <c r="K8298" s="18">
        <f t="shared" si="259"/>
        <v>0</v>
      </c>
      <c r="L8298" s="27">
        <v>127943.22</v>
      </c>
      <c r="M8298" s="36">
        <v>4593.3900000000003</v>
      </c>
      <c r="T8298" s="41">
        <v>0</v>
      </c>
      <c r="U8298" s="41">
        <v>0</v>
      </c>
      <c r="V8298" s="42" t="s">
        <v>113</v>
      </c>
      <c r="W8298" s="42">
        <v>0</v>
      </c>
      <c r="X8298" s="42">
        <v>0</v>
      </c>
    </row>
    <row r="8299" spans="1:24">
      <c r="A8299" s="27" t="s">
        <v>15049</v>
      </c>
      <c r="B8299" s="28" t="s">
        <v>12240</v>
      </c>
      <c r="C8299" s="27" t="s">
        <v>15050</v>
      </c>
      <c r="D8299" s="27" t="s">
        <v>230</v>
      </c>
      <c r="E8299" s="29">
        <v>40843</v>
      </c>
      <c r="F8299" s="27">
        <v>15</v>
      </c>
      <c r="G8299" s="18">
        <v>140000</v>
      </c>
      <c r="H8299" s="27">
        <f t="shared" si="258"/>
        <v>0</v>
      </c>
      <c r="I8299" s="18">
        <v>96471.48</v>
      </c>
      <c r="J8299" s="27">
        <v>140000</v>
      </c>
      <c r="K8299" s="18">
        <f t="shared" si="259"/>
        <v>0</v>
      </c>
      <c r="L8299" s="27">
        <v>101134.7</v>
      </c>
      <c r="M8299" s="36">
        <v>4663.22</v>
      </c>
      <c r="T8299" s="41">
        <v>0</v>
      </c>
      <c r="U8299" s="41">
        <v>0</v>
      </c>
      <c r="V8299" s="42" t="s">
        <v>113</v>
      </c>
      <c r="W8299" s="42">
        <v>0</v>
      </c>
      <c r="X8299" s="42">
        <v>0</v>
      </c>
    </row>
    <row r="8300" spans="1:24">
      <c r="A8300" s="27" t="s">
        <v>15051</v>
      </c>
      <c r="B8300" s="28" t="s">
        <v>12240</v>
      </c>
      <c r="C8300" s="27" t="s">
        <v>15052</v>
      </c>
      <c r="D8300" s="27" t="s">
        <v>230</v>
      </c>
      <c r="E8300" s="29">
        <v>40843</v>
      </c>
      <c r="F8300" s="27">
        <v>15</v>
      </c>
      <c r="G8300" s="18">
        <v>140000</v>
      </c>
      <c r="H8300" s="27">
        <f t="shared" si="258"/>
        <v>0</v>
      </c>
      <c r="I8300" s="18">
        <v>96471.48</v>
      </c>
      <c r="J8300" s="27">
        <v>140000</v>
      </c>
      <c r="K8300" s="18">
        <f t="shared" si="259"/>
        <v>0</v>
      </c>
      <c r="L8300" s="27">
        <v>101134.7</v>
      </c>
      <c r="M8300" s="36">
        <v>4663.22</v>
      </c>
      <c r="T8300" s="41">
        <v>0</v>
      </c>
      <c r="U8300" s="41">
        <v>0</v>
      </c>
      <c r="V8300" s="42" t="s">
        <v>113</v>
      </c>
      <c r="W8300" s="42">
        <v>0</v>
      </c>
      <c r="X8300" s="42">
        <v>0</v>
      </c>
    </row>
    <row r="8301" spans="1:24">
      <c r="A8301" s="27" t="s">
        <v>15053</v>
      </c>
      <c r="B8301" s="28" t="s">
        <v>12240</v>
      </c>
      <c r="C8301" s="27" t="s">
        <v>15054</v>
      </c>
      <c r="D8301" s="27" t="s">
        <v>230</v>
      </c>
      <c r="E8301" s="29">
        <v>40843</v>
      </c>
      <c r="F8301" s="27">
        <v>15</v>
      </c>
      <c r="G8301" s="18">
        <v>140000</v>
      </c>
      <c r="H8301" s="27">
        <f t="shared" si="258"/>
        <v>0</v>
      </c>
      <c r="I8301" s="18">
        <v>96471.48</v>
      </c>
      <c r="J8301" s="27">
        <v>140000</v>
      </c>
      <c r="K8301" s="18">
        <f t="shared" si="259"/>
        <v>0</v>
      </c>
      <c r="L8301" s="27">
        <v>101134.7</v>
      </c>
      <c r="M8301" s="36">
        <v>4663.22</v>
      </c>
      <c r="T8301" s="41">
        <v>0</v>
      </c>
      <c r="U8301" s="41">
        <v>0</v>
      </c>
      <c r="V8301" s="42" t="s">
        <v>113</v>
      </c>
      <c r="W8301" s="42">
        <v>0</v>
      </c>
      <c r="X8301" s="42">
        <v>0</v>
      </c>
    </row>
    <row r="8302" spans="1:24">
      <c r="A8302" s="27" t="s">
        <v>15055</v>
      </c>
      <c r="B8302" s="28" t="s">
        <v>12240</v>
      </c>
      <c r="C8302" s="27" t="s">
        <v>15056</v>
      </c>
      <c r="D8302" s="27" t="s">
        <v>230</v>
      </c>
      <c r="E8302" s="29">
        <v>40843</v>
      </c>
      <c r="F8302" s="27">
        <v>15</v>
      </c>
      <c r="G8302" s="18">
        <v>140000</v>
      </c>
      <c r="H8302" s="27">
        <f t="shared" si="258"/>
        <v>0</v>
      </c>
      <c r="I8302" s="18">
        <v>96471.48</v>
      </c>
      <c r="J8302" s="27">
        <v>140000</v>
      </c>
      <c r="K8302" s="18">
        <f t="shared" si="259"/>
        <v>0</v>
      </c>
      <c r="L8302" s="27">
        <v>101134.7</v>
      </c>
      <c r="M8302" s="36">
        <v>4663.22</v>
      </c>
      <c r="T8302" s="41">
        <v>0</v>
      </c>
      <c r="U8302" s="41">
        <v>0</v>
      </c>
      <c r="V8302" s="42" t="s">
        <v>113</v>
      </c>
      <c r="W8302" s="42">
        <v>0</v>
      </c>
      <c r="X8302" s="42">
        <v>0</v>
      </c>
    </row>
    <row r="8303" spans="1:24">
      <c r="A8303" s="27" t="s">
        <v>15057</v>
      </c>
      <c r="B8303" s="28" t="s">
        <v>12240</v>
      </c>
      <c r="C8303" s="27" t="s">
        <v>15058</v>
      </c>
      <c r="D8303" s="27" t="s">
        <v>230</v>
      </c>
      <c r="E8303" s="29">
        <v>40843</v>
      </c>
      <c r="F8303" s="27">
        <v>15</v>
      </c>
      <c r="G8303" s="18">
        <v>140000</v>
      </c>
      <c r="H8303" s="27">
        <f t="shared" si="258"/>
        <v>0</v>
      </c>
      <c r="I8303" s="18">
        <v>96471.48</v>
      </c>
      <c r="J8303" s="27">
        <v>140000</v>
      </c>
      <c r="K8303" s="18">
        <f t="shared" si="259"/>
        <v>0</v>
      </c>
      <c r="L8303" s="27">
        <v>101134.7</v>
      </c>
      <c r="M8303" s="36">
        <v>4663.22</v>
      </c>
      <c r="T8303" s="41">
        <v>0</v>
      </c>
      <c r="U8303" s="41">
        <v>0</v>
      </c>
      <c r="V8303" s="42" t="s">
        <v>113</v>
      </c>
      <c r="W8303" s="42">
        <v>0</v>
      </c>
      <c r="X8303" s="42">
        <v>0</v>
      </c>
    </row>
    <row r="8304" spans="1:24">
      <c r="A8304" s="27" t="s">
        <v>15059</v>
      </c>
      <c r="B8304" s="28" t="s">
        <v>12240</v>
      </c>
      <c r="C8304" s="27" t="s">
        <v>15060</v>
      </c>
      <c r="D8304" s="27" t="s">
        <v>230</v>
      </c>
      <c r="E8304" s="29">
        <v>40843</v>
      </c>
      <c r="F8304" s="27">
        <v>15</v>
      </c>
      <c r="G8304" s="18">
        <v>9300</v>
      </c>
      <c r="H8304" s="27">
        <f t="shared" si="258"/>
        <v>0</v>
      </c>
      <c r="I8304" s="18">
        <v>6408.45</v>
      </c>
      <c r="J8304" s="27">
        <v>9300</v>
      </c>
      <c r="K8304" s="18">
        <f t="shared" si="259"/>
        <v>0</v>
      </c>
      <c r="L8304" s="27">
        <v>6718.22</v>
      </c>
      <c r="M8304" s="36">
        <v>309.77</v>
      </c>
      <c r="T8304" s="41">
        <v>0</v>
      </c>
      <c r="U8304" s="41">
        <v>0</v>
      </c>
      <c r="V8304" s="42" t="s">
        <v>113</v>
      </c>
      <c r="W8304" s="42">
        <v>0</v>
      </c>
      <c r="X8304" s="42">
        <v>0</v>
      </c>
    </row>
    <row r="8305" spans="1:24">
      <c r="A8305" s="27" t="s">
        <v>15061</v>
      </c>
      <c r="B8305" s="28" t="s">
        <v>12240</v>
      </c>
      <c r="C8305" s="27" t="s">
        <v>15062</v>
      </c>
      <c r="D8305" s="27" t="s">
        <v>230</v>
      </c>
      <c r="E8305" s="29">
        <v>40843</v>
      </c>
      <c r="F8305" s="27">
        <v>15</v>
      </c>
      <c r="G8305" s="18">
        <v>9300</v>
      </c>
      <c r="H8305" s="27">
        <f t="shared" si="258"/>
        <v>0</v>
      </c>
      <c r="I8305" s="18">
        <v>6408.46</v>
      </c>
      <c r="J8305" s="27">
        <v>9300</v>
      </c>
      <c r="K8305" s="18">
        <f t="shared" si="259"/>
        <v>0</v>
      </c>
      <c r="L8305" s="27">
        <v>6718.23</v>
      </c>
      <c r="M8305" s="36">
        <v>309.77</v>
      </c>
      <c r="T8305" s="41">
        <v>0</v>
      </c>
      <c r="U8305" s="41">
        <v>0</v>
      </c>
      <c r="V8305" s="42" t="s">
        <v>113</v>
      </c>
      <c r="W8305" s="42">
        <v>0</v>
      </c>
      <c r="X8305" s="42">
        <v>0</v>
      </c>
    </row>
    <row r="8306" spans="1:24">
      <c r="A8306" s="27" t="s">
        <v>15063</v>
      </c>
      <c r="B8306" s="28" t="s">
        <v>12240</v>
      </c>
      <c r="C8306" s="27" t="s">
        <v>15064</v>
      </c>
      <c r="D8306" s="27" t="s">
        <v>230</v>
      </c>
      <c r="E8306" s="29">
        <v>40843</v>
      </c>
      <c r="F8306" s="27">
        <v>15</v>
      </c>
      <c r="G8306" s="18">
        <v>9300</v>
      </c>
      <c r="H8306" s="27">
        <f t="shared" si="258"/>
        <v>0</v>
      </c>
      <c r="I8306" s="18">
        <v>6408.45</v>
      </c>
      <c r="J8306" s="27">
        <v>9300</v>
      </c>
      <c r="K8306" s="18">
        <f t="shared" si="259"/>
        <v>0</v>
      </c>
      <c r="L8306" s="27">
        <v>6718.22</v>
      </c>
      <c r="M8306" s="36">
        <v>309.77</v>
      </c>
      <c r="T8306" s="41">
        <v>0</v>
      </c>
      <c r="U8306" s="41">
        <v>0</v>
      </c>
      <c r="V8306" s="42" t="s">
        <v>113</v>
      </c>
      <c r="W8306" s="42">
        <v>0</v>
      </c>
      <c r="X8306" s="42">
        <v>0</v>
      </c>
    </row>
    <row r="8307" spans="1:24">
      <c r="A8307" s="27" t="s">
        <v>15065</v>
      </c>
      <c r="B8307" s="28" t="s">
        <v>12240</v>
      </c>
      <c r="C8307" s="27" t="s">
        <v>15066</v>
      </c>
      <c r="D8307" s="27" t="s">
        <v>230</v>
      </c>
      <c r="E8307" s="29">
        <v>40843</v>
      </c>
      <c r="F8307" s="27">
        <v>15</v>
      </c>
      <c r="G8307" s="18">
        <v>9300</v>
      </c>
      <c r="H8307" s="27">
        <f t="shared" si="258"/>
        <v>0</v>
      </c>
      <c r="I8307" s="18">
        <v>6408.46</v>
      </c>
      <c r="J8307" s="27">
        <v>9300</v>
      </c>
      <c r="K8307" s="18">
        <f t="shared" si="259"/>
        <v>0</v>
      </c>
      <c r="L8307" s="27">
        <v>6718.23</v>
      </c>
      <c r="M8307" s="36">
        <v>309.77</v>
      </c>
      <c r="T8307" s="41">
        <v>0</v>
      </c>
      <c r="U8307" s="41">
        <v>0</v>
      </c>
      <c r="V8307" s="42" t="s">
        <v>113</v>
      </c>
      <c r="W8307" s="42">
        <v>0</v>
      </c>
      <c r="X8307" s="42">
        <v>0</v>
      </c>
    </row>
    <row r="8308" spans="1:24">
      <c r="A8308" s="27" t="s">
        <v>15067</v>
      </c>
      <c r="B8308" s="28" t="s">
        <v>12240</v>
      </c>
      <c r="C8308" s="27" t="s">
        <v>15068</v>
      </c>
      <c r="D8308" s="27" t="s">
        <v>230</v>
      </c>
      <c r="E8308" s="29">
        <v>40843</v>
      </c>
      <c r="F8308" s="27">
        <v>15</v>
      </c>
      <c r="G8308" s="18">
        <v>9300</v>
      </c>
      <c r="H8308" s="27">
        <f t="shared" si="258"/>
        <v>0</v>
      </c>
      <c r="I8308" s="18">
        <v>6408.45</v>
      </c>
      <c r="J8308" s="27">
        <v>9300</v>
      </c>
      <c r="K8308" s="18">
        <f t="shared" si="259"/>
        <v>0</v>
      </c>
      <c r="L8308" s="27">
        <v>6718.22</v>
      </c>
      <c r="M8308" s="36">
        <v>309.77</v>
      </c>
      <c r="T8308" s="41">
        <v>0</v>
      </c>
      <c r="U8308" s="41">
        <v>0</v>
      </c>
      <c r="V8308" s="42" t="s">
        <v>113</v>
      </c>
      <c r="W8308" s="42">
        <v>0</v>
      </c>
      <c r="X8308" s="42">
        <v>0</v>
      </c>
    </row>
    <row r="8309" spans="1:24">
      <c r="A8309" s="27" t="s">
        <v>15069</v>
      </c>
      <c r="B8309" s="28" t="s">
        <v>12240</v>
      </c>
      <c r="C8309" s="27" t="s">
        <v>15070</v>
      </c>
      <c r="D8309" s="27" t="s">
        <v>230</v>
      </c>
      <c r="E8309" s="29">
        <v>40843</v>
      </c>
      <c r="F8309" s="27">
        <v>15</v>
      </c>
      <c r="G8309" s="18">
        <v>9300</v>
      </c>
      <c r="H8309" s="27">
        <f t="shared" si="258"/>
        <v>0</v>
      </c>
      <c r="I8309" s="18">
        <v>6408.46</v>
      </c>
      <c r="J8309" s="27">
        <v>9300</v>
      </c>
      <c r="K8309" s="18">
        <f t="shared" si="259"/>
        <v>0</v>
      </c>
      <c r="L8309" s="27">
        <v>6718.23</v>
      </c>
      <c r="M8309" s="36">
        <v>309.77</v>
      </c>
      <c r="T8309" s="41">
        <v>0</v>
      </c>
      <c r="U8309" s="41">
        <v>0</v>
      </c>
      <c r="V8309" s="42" t="s">
        <v>113</v>
      </c>
      <c r="W8309" s="42">
        <v>0</v>
      </c>
      <c r="X8309" s="42">
        <v>0</v>
      </c>
    </row>
    <row r="8310" spans="1:24">
      <c r="A8310" s="27" t="s">
        <v>15071</v>
      </c>
      <c r="B8310" s="28" t="s">
        <v>12240</v>
      </c>
      <c r="C8310" s="27" t="s">
        <v>15072</v>
      </c>
      <c r="D8310" s="27" t="s">
        <v>230</v>
      </c>
      <c r="E8310" s="29">
        <v>40843</v>
      </c>
      <c r="F8310" s="27">
        <v>15</v>
      </c>
      <c r="G8310" s="18">
        <v>27635.88</v>
      </c>
      <c r="H8310" s="27">
        <f t="shared" si="258"/>
        <v>0</v>
      </c>
      <c r="I8310" s="18">
        <v>16472.669999999998</v>
      </c>
      <c r="J8310" s="27">
        <v>27635.88</v>
      </c>
      <c r="K8310" s="18">
        <f t="shared" si="259"/>
        <v>0</v>
      </c>
      <c r="L8310" s="27">
        <v>17721.36</v>
      </c>
      <c r="M8310" s="36">
        <v>1248.69</v>
      </c>
      <c r="T8310" s="41">
        <v>0</v>
      </c>
      <c r="U8310" s="41">
        <v>0</v>
      </c>
      <c r="V8310" s="42" t="s">
        <v>113</v>
      </c>
      <c r="W8310" s="42">
        <v>0</v>
      </c>
      <c r="X8310" s="42">
        <v>0</v>
      </c>
    </row>
    <row r="8311" spans="1:24">
      <c r="A8311" s="27" t="s">
        <v>15073</v>
      </c>
      <c r="B8311" s="28" t="s">
        <v>12240</v>
      </c>
      <c r="C8311" s="27" t="s">
        <v>15074</v>
      </c>
      <c r="D8311" s="27" t="s">
        <v>230</v>
      </c>
      <c r="E8311" s="29">
        <v>40843</v>
      </c>
      <c r="F8311" s="27">
        <v>15</v>
      </c>
      <c r="G8311" s="18">
        <v>140000</v>
      </c>
      <c r="H8311" s="27">
        <f t="shared" si="258"/>
        <v>0</v>
      </c>
      <c r="I8311" s="18">
        <v>96471.48</v>
      </c>
      <c r="J8311" s="27">
        <v>140000</v>
      </c>
      <c r="K8311" s="18">
        <f t="shared" si="259"/>
        <v>0</v>
      </c>
      <c r="L8311" s="27">
        <v>101134.7</v>
      </c>
      <c r="M8311" s="36">
        <v>4663.22</v>
      </c>
      <c r="T8311" s="41">
        <v>0</v>
      </c>
      <c r="U8311" s="41">
        <v>0</v>
      </c>
      <c r="V8311" s="42" t="s">
        <v>113</v>
      </c>
      <c r="W8311" s="42">
        <v>0</v>
      </c>
      <c r="X8311" s="42">
        <v>0</v>
      </c>
    </row>
    <row r="8312" spans="1:24">
      <c r="A8312" s="27" t="s">
        <v>15075</v>
      </c>
      <c r="B8312" s="28" t="s">
        <v>12240</v>
      </c>
      <c r="C8312" s="27" t="s">
        <v>15076</v>
      </c>
      <c r="D8312" s="27" t="s">
        <v>230</v>
      </c>
      <c r="E8312" s="29">
        <v>40843</v>
      </c>
      <c r="F8312" s="27">
        <v>15</v>
      </c>
      <c r="G8312" s="18">
        <v>140000</v>
      </c>
      <c r="H8312" s="27">
        <f t="shared" si="258"/>
        <v>0</v>
      </c>
      <c r="I8312" s="18">
        <v>96471.48</v>
      </c>
      <c r="J8312" s="27">
        <v>140000</v>
      </c>
      <c r="K8312" s="18">
        <f t="shared" si="259"/>
        <v>0</v>
      </c>
      <c r="L8312" s="27">
        <v>101134.7</v>
      </c>
      <c r="M8312" s="36">
        <v>4663.22</v>
      </c>
      <c r="T8312" s="41">
        <v>0</v>
      </c>
      <c r="U8312" s="41">
        <v>0</v>
      </c>
      <c r="V8312" s="42" t="s">
        <v>113</v>
      </c>
      <c r="W8312" s="42">
        <v>0</v>
      </c>
      <c r="X8312" s="42">
        <v>0</v>
      </c>
    </row>
    <row r="8313" spans="1:24">
      <c r="A8313" s="27" t="s">
        <v>15077</v>
      </c>
      <c r="B8313" s="28" t="s">
        <v>12240</v>
      </c>
      <c r="C8313" s="27" t="s">
        <v>15078</v>
      </c>
      <c r="D8313" s="27" t="s">
        <v>230</v>
      </c>
      <c r="E8313" s="29">
        <v>40843</v>
      </c>
      <c r="F8313" s="27">
        <v>15</v>
      </c>
      <c r="G8313" s="18">
        <v>140000</v>
      </c>
      <c r="H8313" s="27">
        <f t="shared" si="258"/>
        <v>0</v>
      </c>
      <c r="I8313" s="18">
        <v>96471.48</v>
      </c>
      <c r="J8313" s="27">
        <v>140000</v>
      </c>
      <c r="K8313" s="18">
        <f t="shared" si="259"/>
        <v>0</v>
      </c>
      <c r="L8313" s="27">
        <v>101134.7</v>
      </c>
      <c r="M8313" s="36">
        <v>4663.22</v>
      </c>
      <c r="T8313" s="41">
        <v>0</v>
      </c>
      <c r="U8313" s="41">
        <v>0</v>
      </c>
      <c r="V8313" s="42" t="s">
        <v>113</v>
      </c>
      <c r="W8313" s="42">
        <v>0</v>
      </c>
      <c r="X8313" s="42">
        <v>0</v>
      </c>
    </row>
    <row r="8314" spans="1:24">
      <c r="A8314" s="27" t="s">
        <v>15079</v>
      </c>
      <c r="B8314" s="28" t="s">
        <v>12240</v>
      </c>
      <c r="C8314" s="27" t="s">
        <v>15080</v>
      </c>
      <c r="D8314" s="27" t="s">
        <v>230</v>
      </c>
      <c r="E8314" s="29">
        <v>40843</v>
      </c>
      <c r="F8314" s="27">
        <v>15</v>
      </c>
      <c r="G8314" s="18">
        <v>61461.53</v>
      </c>
      <c r="H8314" s="27">
        <f t="shared" si="258"/>
        <v>0</v>
      </c>
      <c r="I8314" s="18">
        <v>35749.56</v>
      </c>
      <c r="J8314" s="27">
        <v>61461.53</v>
      </c>
      <c r="K8314" s="18">
        <f t="shared" si="259"/>
        <v>0</v>
      </c>
      <c r="L8314" s="27">
        <v>38639.629999999997</v>
      </c>
      <c r="M8314" s="36">
        <v>2890.07</v>
      </c>
      <c r="T8314" s="41">
        <v>0</v>
      </c>
      <c r="U8314" s="41">
        <v>0</v>
      </c>
      <c r="V8314" s="42" t="s">
        <v>113</v>
      </c>
      <c r="W8314" s="42">
        <v>0</v>
      </c>
      <c r="X8314" s="42">
        <v>0</v>
      </c>
    </row>
    <row r="8315" spans="1:24">
      <c r="A8315" s="27" t="s">
        <v>15081</v>
      </c>
      <c r="B8315" s="28" t="s">
        <v>12240</v>
      </c>
      <c r="C8315" s="27" t="s">
        <v>15082</v>
      </c>
      <c r="D8315" s="27" t="s">
        <v>230</v>
      </c>
      <c r="E8315" s="29">
        <v>40843</v>
      </c>
      <c r="F8315" s="27">
        <v>15</v>
      </c>
      <c r="G8315" s="18">
        <v>9300</v>
      </c>
      <c r="H8315" s="27">
        <f t="shared" si="258"/>
        <v>0</v>
      </c>
      <c r="I8315" s="18">
        <v>6408.46</v>
      </c>
      <c r="J8315" s="27">
        <v>9300</v>
      </c>
      <c r="K8315" s="18">
        <f t="shared" si="259"/>
        <v>0</v>
      </c>
      <c r="L8315" s="27">
        <v>6718.23</v>
      </c>
      <c r="M8315" s="36">
        <v>309.77</v>
      </c>
      <c r="T8315" s="41">
        <v>0</v>
      </c>
      <c r="U8315" s="41">
        <v>0</v>
      </c>
      <c r="V8315" s="42" t="s">
        <v>113</v>
      </c>
      <c r="W8315" s="42">
        <v>0</v>
      </c>
      <c r="X8315" s="42">
        <v>0</v>
      </c>
    </row>
    <row r="8316" spans="1:24">
      <c r="A8316" s="27" t="s">
        <v>15083</v>
      </c>
      <c r="B8316" s="28" t="s">
        <v>12240</v>
      </c>
      <c r="C8316" s="27" t="s">
        <v>15084</v>
      </c>
      <c r="D8316" s="27" t="s">
        <v>230</v>
      </c>
      <c r="E8316" s="29">
        <v>40843</v>
      </c>
      <c r="F8316" s="27">
        <v>15</v>
      </c>
      <c r="G8316" s="18">
        <v>61461.41</v>
      </c>
      <c r="H8316" s="27">
        <f t="shared" si="258"/>
        <v>0</v>
      </c>
      <c r="I8316" s="18">
        <v>35749.5</v>
      </c>
      <c r="J8316" s="27">
        <v>61461.41</v>
      </c>
      <c r="K8316" s="18">
        <f t="shared" si="259"/>
        <v>0</v>
      </c>
      <c r="L8316" s="27">
        <v>38639.56</v>
      </c>
      <c r="M8316" s="36">
        <v>2890.06</v>
      </c>
      <c r="T8316" s="41">
        <v>0</v>
      </c>
      <c r="U8316" s="41">
        <v>0</v>
      </c>
      <c r="V8316" s="42" t="s">
        <v>113</v>
      </c>
      <c r="W8316" s="42">
        <v>0</v>
      </c>
      <c r="X8316" s="42">
        <v>0</v>
      </c>
    </row>
    <row r="8317" spans="1:24">
      <c r="A8317" s="27" t="s">
        <v>15085</v>
      </c>
      <c r="B8317" s="28" t="s">
        <v>12240</v>
      </c>
      <c r="C8317" s="27" t="s">
        <v>15086</v>
      </c>
      <c r="D8317" s="27" t="s">
        <v>230</v>
      </c>
      <c r="E8317" s="29">
        <v>40843</v>
      </c>
      <c r="F8317" s="27">
        <v>15</v>
      </c>
      <c r="G8317" s="18">
        <v>9300</v>
      </c>
      <c r="H8317" s="27">
        <f t="shared" si="258"/>
        <v>0</v>
      </c>
      <c r="I8317" s="18">
        <v>6408.45</v>
      </c>
      <c r="J8317" s="27">
        <v>9300</v>
      </c>
      <c r="K8317" s="18">
        <f t="shared" si="259"/>
        <v>0</v>
      </c>
      <c r="L8317" s="27">
        <v>6718.22</v>
      </c>
      <c r="M8317" s="36">
        <v>309.77</v>
      </c>
      <c r="T8317" s="41">
        <v>0</v>
      </c>
      <c r="U8317" s="41">
        <v>0</v>
      </c>
      <c r="V8317" s="42" t="s">
        <v>113</v>
      </c>
      <c r="W8317" s="42">
        <v>0</v>
      </c>
      <c r="X8317" s="42">
        <v>0</v>
      </c>
    </row>
    <row r="8318" spans="1:24">
      <c r="A8318" s="27" t="s">
        <v>15087</v>
      </c>
      <c r="B8318" s="28" t="s">
        <v>12240</v>
      </c>
      <c r="C8318" s="27" t="s">
        <v>15088</v>
      </c>
      <c r="D8318" s="27" t="s">
        <v>230</v>
      </c>
      <c r="E8318" s="29">
        <v>40843</v>
      </c>
      <c r="F8318" s="27">
        <v>15</v>
      </c>
      <c r="G8318" s="18">
        <v>27635.87</v>
      </c>
      <c r="H8318" s="27">
        <f t="shared" si="258"/>
        <v>0</v>
      </c>
      <c r="I8318" s="18">
        <v>16472.669999999998</v>
      </c>
      <c r="J8318" s="27">
        <v>27635.87</v>
      </c>
      <c r="K8318" s="18">
        <f t="shared" si="259"/>
        <v>0</v>
      </c>
      <c r="L8318" s="27">
        <v>17721.36</v>
      </c>
      <c r="M8318" s="36">
        <v>1248.69</v>
      </c>
      <c r="T8318" s="41">
        <v>0</v>
      </c>
      <c r="U8318" s="41">
        <v>0</v>
      </c>
      <c r="V8318" s="42" t="s">
        <v>113</v>
      </c>
      <c r="W8318" s="42">
        <v>0</v>
      </c>
      <c r="X8318" s="42">
        <v>0</v>
      </c>
    </row>
    <row r="8319" spans="1:24">
      <c r="A8319" s="27" t="s">
        <v>15089</v>
      </c>
      <c r="B8319" s="28" t="s">
        <v>12240</v>
      </c>
      <c r="C8319" s="27" t="s">
        <v>15090</v>
      </c>
      <c r="D8319" s="27" t="s">
        <v>230</v>
      </c>
      <c r="E8319" s="29">
        <v>40843</v>
      </c>
      <c r="F8319" s="27">
        <v>15</v>
      </c>
      <c r="G8319" s="18">
        <v>9300</v>
      </c>
      <c r="H8319" s="27">
        <f t="shared" si="258"/>
        <v>0</v>
      </c>
      <c r="I8319" s="18">
        <v>6408.45</v>
      </c>
      <c r="J8319" s="27">
        <v>9300</v>
      </c>
      <c r="K8319" s="18">
        <f t="shared" si="259"/>
        <v>0</v>
      </c>
      <c r="L8319" s="27">
        <v>6718.22</v>
      </c>
      <c r="M8319" s="36">
        <v>309.77</v>
      </c>
      <c r="T8319" s="41">
        <v>0</v>
      </c>
      <c r="U8319" s="41">
        <v>0</v>
      </c>
      <c r="V8319" s="42" t="s">
        <v>113</v>
      </c>
      <c r="W8319" s="42">
        <v>0</v>
      </c>
      <c r="X8319" s="42">
        <v>0</v>
      </c>
    </row>
    <row r="8320" spans="1:24">
      <c r="A8320" s="27" t="s">
        <v>15091</v>
      </c>
      <c r="B8320" s="28" t="s">
        <v>12240</v>
      </c>
      <c r="C8320" s="27" t="s">
        <v>15092</v>
      </c>
      <c r="D8320" s="27" t="s">
        <v>230</v>
      </c>
      <c r="E8320" s="29">
        <v>40843</v>
      </c>
      <c r="F8320" s="27">
        <v>15</v>
      </c>
      <c r="G8320" s="18">
        <v>9300</v>
      </c>
      <c r="H8320" s="27">
        <f t="shared" si="258"/>
        <v>0</v>
      </c>
      <c r="I8320" s="18">
        <v>6408.46</v>
      </c>
      <c r="J8320" s="27">
        <v>9300</v>
      </c>
      <c r="K8320" s="18">
        <f t="shared" si="259"/>
        <v>0</v>
      </c>
      <c r="L8320" s="27">
        <v>6718.23</v>
      </c>
      <c r="M8320" s="36">
        <v>309.77</v>
      </c>
      <c r="T8320" s="41">
        <v>0</v>
      </c>
      <c r="U8320" s="41">
        <v>0</v>
      </c>
      <c r="V8320" s="42" t="s">
        <v>113</v>
      </c>
      <c r="W8320" s="42">
        <v>0</v>
      </c>
      <c r="X8320" s="42">
        <v>0</v>
      </c>
    </row>
    <row r="8321" spans="1:24">
      <c r="A8321" s="27" t="s">
        <v>15093</v>
      </c>
      <c r="B8321" s="28" t="s">
        <v>12240</v>
      </c>
      <c r="C8321" s="27" t="s">
        <v>15094</v>
      </c>
      <c r="D8321" s="27" t="s">
        <v>230</v>
      </c>
      <c r="E8321" s="29">
        <v>40843</v>
      </c>
      <c r="F8321" s="27">
        <v>15</v>
      </c>
      <c r="G8321" s="18">
        <v>9300</v>
      </c>
      <c r="H8321" s="27">
        <f t="shared" si="258"/>
        <v>0</v>
      </c>
      <c r="I8321" s="18">
        <v>6408.45</v>
      </c>
      <c r="J8321" s="27">
        <v>9300</v>
      </c>
      <c r="K8321" s="18">
        <f t="shared" si="259"/>
        <v>0</v>
      </c>
      <c r="L8321" s="27">
        <v>6718.22</v>
      </c>
      <c r="M8321" s="36">
        <v>309.77</v>
      </c>
      <c r="T8321" s="41">
        <v>0</v>
      </c>
      <c r="U8321" s="41">
        <v>0</v>
      </c>
      <c r="V8321" s="42" t="s">
        <v>113</v>
      </c>
      <c r="W8321" s="42">
        <v>0</v>
      </c>
      <c r="X8321" s="42">
        <v>0</v>
      </c>
    </row>
    <row r="8322" spans="1:24">
      <c r="A8322" s="27" t="s">
        <v>15095</v>
      </c>
      <c r="B8322" s="28" t="s">
        <v>12240</v>
      </c>
      <c r="C8322" s="27" t="s">
        <v>15096</v>
      </c>
      <c r="D8322" s="27" t="s">
        <v>230</v>
      </c>
      <c r="E8322" s="29">
        <v>40843</v>
      </c>
      <c r="F8322" s="27">
        <v>15</v>
      </c>
      <c r="G8322" s="18">
        <v>140000</v>
      </c>
      <c r="H8322" s="27">
        <f t="shared" si="258"/>
        <v>0</v>
      </c>
      <c r="I8322" s="18">
        <v>96471.48</v>
      </c>
      <c r="J8322" s="27">
        <v>140000</v>
      </c>
      <c r="K8322" s="18">
        <f t="shared" si="259"/>
        <v>0</v>
      </c>
      <c r="L8322" s="27">
        <v>101134.7</v>
      </c>
      <c r="M8322" s="36">
        <v>4663.22</v>
      </c>
      <c r="T8322" s="41">
        <v>0</v>
      </c>
      <c r="U8322" s="41">
        <v>0</v>
      </c>
      <c r="V8322" s="42" t="s">
        <v>113</v>
      </c>
      <c r="W8322" s="42">
        <v>0</v>
      </c>
      <c r="X8322" s="42">
        <v>0</v>
      </c>
    </row>
    <row r="8323" spans="1:24">
      <c r="A8323" s="27" t="s">
        <v>15097</v>
      </c>
      <c r="B8323" s="28" t="s">
        <v>12240</v>
      </c>
      <c r="C8323" s="27" t="s">
        <v>15098</v>
      </c>
      <c r="D8323" s="27" t="s">
        <v>230</v>
      </c>
      <c r="E8323" s="29">
        <v>40843</v>
      </c>
      <c r="F8323" s="27">
        <v>15</v>
      </c>
      <c r="G8323" s="18">
        <v>61461.41</v>
      </c>
      <c r="H8323" s="27">
        <f t="shared" si="258"/>
        <v>0</v>
      </c>
      <c r="I8323" s="18">
        <v>35749.5</v>
      </c>
      <c r="J8323" s="27">
        <v>61461.41</v>
      </c>
      <c r="K8323" s="18">
        <f t="shared" si="259"/>
        <v>0</v>
      </c>
      <c r="L8323" s="27">
        <v>38639.56</v>
      </c>
      <c r="M8323" s="36">
        <v>2890.06</v>
      </c>
      <c r="T8323" s="41">
        <v>0</v>
      </c>
      <c r="U8323" s="41">
        <v>0</v>
      </c>
      <c r="V8323" s="42" t="s">
        <v>113</v>
      </c>
      <c r="W8323" s="42">
        <v>0</v>
      </c>
      <c r="X8323" s="42">
        <v>0</v>
      </c>
    </row>
    <row r="8324" spans="1:24">
      <c r="A8324" s="27" t="s">
        <v>15099</v>
      </c>
      <c r="B8324" s="28" t="s">
        <v>12240</v>
      </c>
      <c r="C8324" s="27" t="s">
        <v>15100</v>
      </c>
      <c r="D8324" s="27" t="s">
        <v>230</v>
      </c>
      <c r="E8324" s="29">
        <v>40843</v>
      </c>
      <c r="F8324" s="27">
        <v>15</v>
      </c>
      <c r="G8324" s="18">
        <v>202973.98</v>
      </c>
      <c r="H8324" s="27">
        <f t="shared" si="258"/>
        <v>0</v>
      </c>
      <c r="I8324" s="18">
        <v>117528.07</v>
      </c>
      <c r="J8324" s="27">
        <v>202973.98</v>
      </c>
      <c r="K8324" s="18">
        <f t="shared" si="259"/>
        <v>0</v>
      </c>
      <c r="L8324" s="27">
        <v>127140.48</v>
      </c>
      <c r="M8324" s="36">
        <v>9612.41</v>
      </c>
      <c r="T8324" s="41">
        <v>0</v>
      </c>
      <c r="U8324" s="41">
        <v>0</v>
      </c>
      <c r="V8324" s="42" t="s">
        <v>113</v>
      </c>
      <c r="W8324" s="42">
        <v>0</v>
      </c>
      <c r="X8324" s="42">
        <v>0</v>
      </c>
    </row>
    <row r="8325" spans="1:24">
      <c r="A8325" s="27" t="s">
        <v>15101</v>
      </c>
      <c r="B8325" s="28" t="s">
        <v>12240</v>
      </c>
      <c r="C8325" s="27" t="s">
        <v>15102</v>
      </c>
      <c r="D8325" s="27" t="s">
        <v>230</v>
      </c>
      <c r="E8325" s="29">
        <v>40843</v>
      </c>
      <c r="F8325" s="27">
        <v>15</v>
      </c>
      <c r="G8325" s="18">
        <v>202973.98</v>
      </c>
      <c r="H8325" s="27">
        <f t="shared" si="258"/>
        <v>0</v>
      </c>
      <c r="I8325" s="18">
        <v>117528.07</v>
      </c>
      <c r="J8325" s="27">
        <v>202973.98</v>
      </c>
      <c r="K8325" s="18">
        <f t="shared" si="259"/>
        <v>0</v>
      </c>
      <c r="L8325" s="27">
        <v>127140.48</v>
      </c>
      <c r="M8325" s="36">
        <v>9612.41</v>
      </c>
      <c r="T8325" s="41">
        <v>0</v>
      </c>
      <c r="U8325" s="41">
        <v>0</v>
      </c>
      <c r="V8325" s="42" t="s">
        <v>113</v>
      </c>
      <c r="W8325" s="42">
        <v>0</v>
      </c>
      <c r="X8325" s="42">
        <v>0</v>
      </c>
    </row>
    <row r="8326" spans="1:24">
      <c r="A8326" s="27" t="s">
        <v>15103</v>
      </c>
      <c r="B8326" s="28" t="s">
        <v>12240</v>
      </c>
      <c r="C8326" s="27" t="s">
        <v>15104</v>
      </c>
      <c r="D8326" s="27" t="s">
        <v>230</v>
      </c>
      <c r="E8326" s="29">
        <v>40843</v>
      </c>
      <c r="F8326" s="27">
        <v>15</v>
      </c>
      <c r="G8326" s="18">
        <v>202974.98</v>
      </c>
      <c r="H8326" s="27">
        <f t="shared" ref="H8326:H8389" si="260">IFERROR(IF(ROUND((G8326-I8326)/G8326,2)&lt;=0.05,G8326,0),0)</f>
        <v>0</v>
      </c>
      <c r="I8326" s="18">
        <v>117528.65</v>
      </c>
      <c r="J8326" s="27">
        <v>202974.98</v>
      </c>
      <c r="K8326" s="18">
        <f t="shared" ref="K8326:K8389" si="261">IFERROR(IF(ROUND((J8326-L8326)/J8326,2)&lt;=0.05,J8326,0),0)</f>
        <v>0</v>
      </c>
      <c r="L8326" s="27">
        <v>127141.11</v>
      </c>
      <c r="M8326" s="36">
        <v>9612.4599999999991</v>
      </c>
      <c r="T8326" s="41">
        <v>0</v>
      </c>
      <c r="U8326" s="41">
        <v>0</v>
      </c>
      <c r="V8326" s="42" t="s">
        <v>113</v>
      </c>
      <c r="W8326" s="42">
        <v>0</v>
      </c>
      <c r="X8326" s="42">
        <v>0</v>
      </c>
    </row>
    <row r="8327" spans="1:24">
      <c r="A8327" s="27" t="s">
        <v>15105</v>
      </c>
      <c r="B8327" s="28" t="s">
        <v>12240</v>
      </c>
      <c r="C8327" s="27" t="s">
        <v>15106</v>
      </c>
      <c r="D8327" s="27" t="s">
        <v>230</v>
      </c>
      <c r="E8327" s="29">
        <v>39417</v>
      </c>
      <c r="F8327" s="27">
        <v>15</v>
      </c>
      <c r="G8327" s="18">
        <v>8988.1299999999992</v>
      </c>
      <c r="H8327" s="27">
        <f t="shared" si="260"/>
        <v>0</v>
      </c>
      <c r="I8327" s="18">
        <v>6614.35</v>
      </c>
      <c r="J8327" s="27">
        <v>8988.1299999999992</v>
      </c>
      <c r="K8327" s="18">
        <f t="shared" si="261"/>
        <v>0</v>
      </c>
      <c r="L8327" s="27">
        <v>7067.14</v>
      </c>
      <c r="M8327" s="36">
        <v>452.79</v>
      </c>
      <c r="T8327" s="41">
        <v>0</v>
      </c>
      <c r="U8327" s="41">
        <v>0</v>
      </c>
      <c r="V8327" s="42" t="s">
        <v>113</v>
      </c>
      <c r="W8327" s="42">
        <v>0</v>
      </c>
      <c r="X8327" s="42">
        <v>0</v>
      </c>
    </row>
    <row r="8328" spans="1:24">
      <c r="A8328" s="27" t="s">
        <v>15107</v>
      </c>
      <c r="B8328" s="28" t="s">
        <v>12240</v>
      </c>
      <c r="C8328" s="27" t="s">
        <v>15108</v>
      </c>
      <c r="D8328" s="27" t="s">
        <v>230</v>
      </c>
      <c r="E8328" s="29">
        <v>40843</v>
      </c>
      <c r="F8328" s="27">
        <v>15</v>
      </c>
      <c r="G8328" s="18">
        <v>9300</v>
      </c>
      <c r="H8328" s="27">
        <f t="shared" si="260"/>
        <v>0</v>
      </c>
      <c r="I8328" s="18">
        <v>6408.46</v>
      </c>
      <c r="J8328" s="27">
        <v>9300</v>
      </c>
      <c r="K8328" s="18">
        <f t="shared" si="261"/>
        <v>0</v>
      </c>
      <c r="L8328" s="27">
        <v>6718.23</v>
      </c>
      <c r="M8328" s="36">
        <v>309.77</v>
      </c>
      <c r="T8328" s="41">
        <v>0</v>
      </c>
      <c r="U8328" s="41">
        <v>0</v>
      </c>
      <c r="V8328" s="42" t="s">
        <v>113</v>
      </c>
      <c r="W8328" s="42">
        <v>0</v>
      </c>
      <c r="X8328" s="42">
        <v>0</v>
      </c>
    </row>
    <row r="8329" spans="1:24">
      <c r="A8329" s="27" t="s">
        <v>15109</v>
      </c>
      <c r="B8329" s="28" t="s">
        <v>12240</v>
      </c>
      <c r="C8329" s="27" t="s">
        <v>15110</v>
      </c>
      <c r="D8329" s="27" t="s">
        <v>230</v>
      </c>
      <c r="E8329" s="29">
        <v>37956</v>
      </c>
      <c r="F8329" s="27">
        <v>15</v>
      </c>
      <c r="G8329" s="18">
        <v>61461.41</v>
      </c>
      <c r="H8329" s="27">
        <f t="shared" si="260"/>
        <v>61461.41</v>
      </c>
      <c r="I8329" s="18">
        <v>58388.34</v>
      </c>
      <c r="J8329" s="27">
        <v>61461.41</v>
      </c>
      <c r="K8329" s="18">
        <f t="shared" si="261"/>
        <v>61461.41</v>
      </c>
      <c r="L8329" s="27">
        <v>58388.34</v>
      </c>
      <c r="M8329" s="36">
        <v>0</v>
      </c>
      <c r="T8329" s="41">
        <v>0</v>
      </c>
      <c r="U8329" s="41">
        <v>0</v>
      </c>
      <c r="V8329" s="42" t="s">
        <v>113</v>
      </c>
      <c r="W8329" s="42">
        <v>61461.41</v>
      </c>
      <c r="X8329" s="42">
        <v>61461.41</v>
      </c>
    </row>
    <row r="8330" spans="1:24">
      <c r="A8330" s="27" t="s">
        <v>15111</v>
      </c>
      <c r="B8330" s="28" t="s">
        <v>12240</v>
      </c>
      <c r="C8330" s="27" t="s">
        <v>15112</v>
      </c>
      <c r="D8330" s="27" t="s">
        <v>230</v>
      </c>
      <c r="E8330" s="29">
        <v>40843</v>
      </c>
      <c r="F8330" s="27">
        <v>15</v>
      </c>
      <c r="G8330" s="18">
        <v>61461.41</v>
      </c>
      <c r="H8330" s="27">
        <f t="shared" si="260"/>
        <v>0</v>
      </c>
      <c r="I8330" s="18">
        <v>35749.5</v>
      </c>
      <c r="J8330" s="27">
        <v>61461.41</v>
      </c>
      <c r="K8330" s="18">
        <f t="shared" si="261"/>
        <v>0</v>
      </c>
      <c r="L8330" s="27">
        <v>38639.56</v>
      </c>
      <c r="M8330" s="36">
        <v>2890.06</v>
      </c>
      <c r="T8330" s="41">
        <v>0</v>
      </c>
      <c r="U8330" s="41">
        <v>0</v>
      </c>
      <c r="V8330" s="42" t="s">
        <v>113</v>
      </c>
      <c r="W8330" s="42">
        <v>0</v>
      </c>
      <c r="X8330" s="42">
        <v>0</v>
      </c>
    </row>
    <row r="8331" spans="1:24">
      <c r="A8331" s="27" t="s">
        <v>15113</v>
      </c>
      <c r="B8331" s="28" t="s">
        <v>12240</v>
      </c>
      <c r="C8331" s="27" t="s">
        <v>15114</v>
      </c>
      <c r="D8331" s="27" t="s">
        <v>230</v>
      </c>
      <c r="E8331" s="29">
        <v>40843</v>
      </c>
      <c r="F8331" s="27">
        <v>15</v>
      </c>
      <c r="G8331" s="18">
        <v>61461.41</v>
      </c>
      <c r="H8331" s="27">
        <f t="shared" si="260"/>
        <v>0</v>
      </c>
      <c r="I8331" s="18">
        <v>35749.5</v>
      </c>
      <c r="J8331" s="27">
        <v>61461.41</v>
      </c>
      <c r="K8331" s="18">
        <f t="shared" si="261"/>
        <v>0</v>
      </c>
      <c r="L8331" s="27">
        <v>38639.56</v>
      </c>
      <c r="M8331" s="36">
        <v>2890.06</v>
      </c>
      <c r="T8331" s="41">
        <v>0</v>
      </c>
      <c r="U8331" s="41">
        <v>0</v>
      </c>
      <c r="V8331" s="42" t="s">
        <v>113</v>
      </c>
      <c r="W8331" s="42">
        <v>0</v>
      </c>
      <c r="X8331" s="42">
        <v>0</v>
      </c>
    </row>
    <row r="8332" spans="1:24">
      <c r="A8332" s="27" t="s">
        <v>15115</v>
      </c>
      <c r="B8332" s="28" t="s">
        <v>12240</v>
      </c>
      <c r="C8332" s="27" t="s">
        <v>15116</v>
      </c>
      <c r="D8332" s="27" t="s">
        <v>230</v>
      </c>
      <c r="E8332" s="29">
        <v>40843</v>
      </c>
      <c r="F8332" s="27">
        <v>15</v>
      </c>
      <c r="G8332" s="18">
        <v>9300</v>
      </c>
      <c r="H8332" s="27">
        <f t="shared" si="260"/>
        <v>0</v>
      </c>
      <c r="I8332" s="18">
        <v>6408.46</v>
      </c>
      <c r="J8332" s="27">
        <v>9300</v>
      </c>
      <c r="K8332" s="18">
        <f t="shared" si="261"/>
        <v>0</v>
      </c>
      <c r="L8332" s="27">
        <v>6718.23</v>
      </c>
      <c r="M8332" s="36">
        <v>309.77</v>
      </c>
      <c r="T8332" s="41">
        <v>0</v>
      </c>
      <c r="U8332" s="41">
        <v>0</v>
      </c>
      <c r="V8332" s="42" t="s">
        <v>113</v>
      </c>
      <c r="W8332" s="42">
        <v>0</v>
      </c>
      <c r="X8332" s="42">
        <v>0</v>
      </c>
    </row>
    <row r="8333" spans="1:24">
      <c r="A8333" s="27" t="s">
        <v>15117</v>
      </c>
      <c r="B8333" s="28" t="s">
        <v>12240</v>
      </c>
      <c r="C8333" s="27" t="s">
        <v>15118</v>
      </c>
      <c r="D8333" s="27" t="s">
        <v>230</v>
      </c>
      <c r="E8333" s="29">
        <v>40843</v>
      </c>
      <c r="F8333" s="27">
        <v>15</v>
      </c>
      <c r="G8333" s="18">
        <v>9300</v>
      </c>
      <c r="H8333" s="27">
        <f t="shared" si="260"/>
        <v>0</v>
      </c>
      <c r="I8333" s="18">
        <v>6408.45</v>
      </c>
      <c r="J8333" s="27">
        <v>9300</v>
      </c>
      <c r="K8333" s="18">
        <f t="shared" si="261"/>
        <v>0</v>
      </c>
      <c r="L8333" s="27">
        <v>6718.22</v>
      </c>
      <c r="M8333" s="36">
        <v>309.77</v>
      </c>
      <c r="T8333" s="41">
        <v>0</v>
      </c>
      <c r="U8333" s="41">
        <v>0</v>
      </c>
      <c r="V8333" s="42" t="s">
        <v>113</v>
      </c>
      <c r="W8333" s="42">
        <v>0</v>
      </c>
      <c r="X8333" s="42">
        <v>0</v>
      </c>
    </row>
    <row r="8334" spans="1:24">
      <c r="A8334" s="27" t="s">
        <v>15119</v>
      </c>
      <c r="B8334" s="28" t="s">
        <v>12240</v>
      </c>
      <c r="C8334" s="27" t="s">
        <v>15120</v>
      </c>
      <c r="D8334" s="27" t="s">
        <v>230</v>
      </c>
      <c r="E8334" s="29">
        <v>40843</v>
      </c>
      <c r="F8334" s="27">
        <v>15</v>
      </c>
      <c r="G8334" s="18">
        <v>9300</v>
      </c>
      <c r="H8334" s="27">
        <f t="shared" si="260"/>
        <v>0</v>
      </c>
      <c r="I8334" s="18">
        <v>6408.46</v>
      </c>
      <c r="J8334" s="27">
        <v>9300</v>
      </c>
      <c r="K8334" s="18">
        <f t="shared" si="261"/>
        <v>0</v>
      </c>
      <c r="L8334" s="27">
        <v>6718.23</v>
      </c>
      <c r="M8334" s="36">
        <v>309.77</v>
      </c>
      <c r="T8334" s="41">
        <v>0</v>
      </c>
      <c r="U8334" s="41">
        <v>0</v>
      </c>
      <c r="V8334" s="42" t="s">
        <v>113</v>
      </c>
      <c r="W8334" s="42">
        <v>0</v>
      </c>
      <c r="X8334" s="42">
        <v>0</v>
      </c>
    </row>
    <row r="8335" spans="1:24">
      <c r="A8335" s="27" t="s">
        <v>15121</v>
      </c>
      <c r="B8335" s="28" t="s">
        <v>12240</v>
      </c>
      <c r="C8335" s="27" t="s">
        <v>15122</v>
      </c>
      <c r="D8335" s="27" t="s">
        <v>230</v>
      </c>
      <c r="E8335" s="29">
        <v>40843</v>
      </c>
      <c r="F8335" s="27">
        <v>15</v>
      </c>
      <c r="G8335" s="18">
        <v>140000</v>
      </c>
      <c r="H8335" s="27">
        <f t="shared" si="260"/>
        <v>0</v>
      </c>
      <c r="I8335" s="18">
        <v>96471.48</v>
      </c>
      <c r="J8335" s="27">
        <v>140000</v>
      </c>
      <c r="K8335" s="18">
        <f t="shared" si="261"/>
        <v>0</v>
      </c>
      <c r="L8335" s="27">
        <v>101134.7</v>
      </c>
      <c r="M8335" s="36">
        <v>4663.22</v>
      </c>
      <c r="T8335" s="41">
        <v>0</v>
      </c>
      <c r="U8335" s="41">
        <v>0</v>
      </c>
      <c r="V8335" s="42" t="s">
        <v>113</v>
      </c>
      <c r="W8335" s="42">
        <v>0</v>
      </c>
      <c r="X8335" s="42">
        <v>0</v>
      </c>
    </row>
    <row r="8336" spans="1:24">
      <c r="A8336" s="27" t="s">
        <v>15123</v>
      </c>
      <c r="B8336" s="28" t="s">
        <v>12240</v>
      </c>
      <c r="C8336" s="27" t="s">
        <v>15124</v>
      </c>
      <c r="D8336" s="27" t="s">
        <v>230</v>
      </c>
      <c r="E8336" s="29">
        <v>40843</v>
      </c>
      <c r="F8336" s="27">
        <v>15</v>
      </c>
      <c r="G8336" s="18">
        <v>140000</v>
      </c>
      <c r="H8336" s="27">
        <f t="shared" si="260"/>
        <v>0</v>
      </c>
      <c r="I8336" s="18">
        <v>96471.48</v>
      </c>
      <c r="J8336" s="27">
        <v>140000</v>
      </c>
      <c r="K8336" s="18">
        <f t="shared" si="261"/>
        <v>0</v>
      </c>
      <c r="L8336" s="27">
        <v>101134.7</v>
      </c>
      <c r="M8336" s="36">
        <v>4663.22</v>
      </c>
      <c r="T8336" s="41">
        <v>0</v>
      </c>
      <c r="U8336" s="41">
        <v>0</v>
      </c>
      <c r="V8336" s="42" t="s">
        <v>113</v>
      </c>
      <c r="W8336" s="42">
        <v>0</v>
      </c>
      <c r="X8336" s="42">
        <v>0</v>
      </c>
    </row>
    <row r="8337" spans="1:24">
      <c r="A8337" s="27" t="s">
        <v>15125</v>
      </c>
      <c r="B8337" s="28" t="s">
        <v>12240</v>
      </c>
      <c r="C8337" s="27" t="s">
        <v>15126</v>
      </c>
      <c r="D8337" s="27" t="s">
        <v>230</v>
      </c>
      <c r="E8337" s="29">
        <v>40843</v>
      </c>
      <c r="F8337" s="27">
        <v>15</v>
      </c>
      <c r="G8337" s="18">
        <v>140000</v>
      </c>
      <c r="H8337" s="27">
        <f t="shared" si="260"/>
        <v>0</v>
      </c>
      <c r="I8337" s="18">
        <v>96471.48</v>
      </c>
      <c r="J8337" s="27">
        <v>140000</v>
      </c>
      <c r="K8337" s="18">
        <f t="shared" si="261"/>
        <v>0</v>
      </c>
      <c r="L8337" s="27">
        <v>101134.7</v>
      </c>
      <c r="M8337" s="36">
        <v>4663.22</v>
      </c>
      <c r="T8337" s="41">
        <v>0</v>
      </c>
      <c r="U8337" s="41">
        <v>0</v>
      </c>
      <c r="V8337" s="42" t="s">
        <v>113</v>
      </c>
      <c r="W8337" s="42">
        <v>0</v>
      </c>
      <c r="X8337" s="42">
        <v>0</v>
      </c>
    </row>
    <row r="8338" spans="1:24">
      <c r="A8338" s="27" t="s">
        <v>15127</v>
      </c>
      <c r="B8338" s="28" t="s">
        <v>12240</v>
      </c>
      <c r="C8338" s="27" t="s">
        <v>15128</v>
      </c>
      <c r="D8338" s="27" t="s">
        <v>230</v>
      </c>
      <c r="E8338" s="29">
        <v>40843</v>
      </c>
      <c r="F8338" s="27">
        <v>15</v>
      </c>
      <c r="G8338" s="18">
        <v>140000</v>
      </c>
      <c r="H8338" s="27">
        <f t="shared" si="260"/>
        <v>0</v>
      </c>
      <c r="I8338" s="18">
        <v>96471.48</v>
      </c>
      <c r="J8338" s="27">
        <v>140000</v>
      </c>
      <c r="K8338" s="18">
        <f t="shared" si="261"/>
        <v>0</v>
      </c>
      <c r="L8338" s="27">
        <v>101134.7</v>
      </c>
      <c r="M8338" s="36">
        <v>4663.22</v>
      </c>
      <c r="T8338" s="41">
        <v>0</v>
      </c>
      <c r="U8338" s="41">
        <v>0</v>
      </c>
      <c r="V8338" s="42" t="s">
        <v>113</v>
      </c>
      <c r="W8338" s="42">
        <v>0</v>
      </c>
      <c r="X8338" s="42">
        <v>0</v>
      </c>
    </row>
    <row r="8339" spans="1:24">
      <c r="A8339" s="27" t="s">
        <v>15129</v>
      </c>
      <c r="B8339" s="28" t="s">
        <v>12240</v>
      </c>
      <c r="C8339" s="27" t="s">
        <v>15130</v>
      </c>
      <c r="D8339" s="27" t="s">
        <v>230</v>
      </c>
      <c r="E8339" s="29">
        <v>40843</v>
      </c>
      <c r="F8339" s="27">
        <v>15</v>
      </c>
      <c r="G8339" s="18">
        <v>140000</v>
      </c>
      <c r="H8339" s="27">
        <f t="shared" si="260"/>
        <v>0</v>
      </c>
      <c r="I8339" s="18">
        <v>96471.48</v>
      </c>
      <c r="J8339" s="27">
        <v>140000</v>
      </c>
      <c r="K8339" s="18">
        <f t="shared" si="261"/>
        <v>0</v>
      </c>
      <c r="L8339" s="27">
        <v>101134.7</v>
      </c>
      <c r="M8339" s="36">
        <v>4663.22</v>
      </c>
      <c r="T8339" s="41">
        <v>0</v>
      </c>
      <c r="U8339" s="41">
        <v>0</v>
      </c>
      <c r="V8339" s="42" t="s">
        <v>113</v>
      </c>
      <c r="W8339" s="42">
        <v>0</v>
      </c>
      <c r="X8339" s="42">
        <v>0</v>
      </c>
    </row>
    <row r="8340" spans="1:24">
      <c r="A8340" s="27" t="s">
        <v>15131</v>
      </c>
      <c r="B8340" s="28" t="s">
        <v>12240</v>
      </c>
      <c r="C8340" s="27" t="s">
        <v>15132</v>
      </c>
      <c r="D8340" s="27" t="s">
        <v>230</v>
      </c>
      <c r="E8340" s="29">
        <v>40843</v>
      </c>
      <c r="F8340" s="27">
        <v>15</v>
      </c>
      <c r="G8340" s="18">
        <v>140000</v>
      </c>
      <c r="H8340" s="27">
        <f t="shared" si="260"/>
        <v>0</v>
      </c>
      <c r="I8340" s="18">
        <v>96471.48</v>
      </c>
      <c r="J8340" s="27">
        <v>140000</v>
      </c>
      <c r="K8340" s="18">
        <f t="shared" si="261"/>
        <v>0</v>
      </c>
      <c r="L8340" s="27">
        <v>101134.7</v>
      </c>
      <c r="M8340" s="36">
        <v>4663.22</v>
      </c>
      <c r="T8340" s="41">
        <v>0</v>
      </c>
      <c r="U8340" s="41">
        <v>0</v>
      </c>
      <c r="V8340" s="42" t="s">
        <v>113</v>
      </c>
      <c r="W8340" s="42">
        <v>0</v>
      </c>
      <c r="X8340" s="42">
        <v>0</v>
      </c>
    </row>
    <row r="8341" spans="1:24">
      <c r="A8341" s="27" t="s">
        <v>15133</v>
      </c>
      <c r="B8341" s="28" t="s">
        <v>12240</v>
      </c>
      <c r="C8341" s="27" t="s">
        <v>15134</v>
      </c>
      <c r="D8341" s="27" t="s">
        <v>230</v>
      </c>
      <c r="E8341" s="29">
        <v>40843</v>
      </c>
      <c r="F8341" s="27">
        <v>15</v>
      </c>
      <c r="G8341" s="18">
        <v>140000</v>
      </c>
      <c r="H8341" s="27">
        <f t="shared" si="260"/>
        <v>0</v>
      </c>
      <c r="I8341" s="18">
        <v>96471.48</v>
      </c>
      <c r="J8341" s="27">
        <v>140000</v>
      </c>
      <c r="K8341" s="18">
        <f t="shared" si="261"/>
        <v>0</v>
      </c>
      <c r="L8341" s="27">
        <v>101134.7</v>
      </c>
      <c r="M8341" s="36">
        <v>4663.22</v>
      </c>
      <c r="T8341" s="41">
        <v>0</v>
      </c>
      <c r="U8341" s="41">
        <v>0</v>
      </c>
      <c r="V8341" s="42" t="s">
        <v>113</v>
      </c>
      <c r="W8341" s="42">
        <v>0</v>
      </c>
      <c r="X8341" s="42">
        <v>0</v>
      </c>
    </row>
    <row r="8342" spans="1:24">
      <c r="A8342" s="27" t="s">
        <v>15135</v>
      </c>
      <c r="B8342" s="28" t="s">
        <v>12240</v>
      </c>
      <c r="C8342" s="27" t="s">
        <v>15136</v>
      </c>
      <c r="D8342" s="27" t="s">
        <v>230</v>
      </c>
      <c r="E8342" s="29">
        <v>40843</v>
      </c>
      <c r="F8342" s="27">
        <v>15</v>
      </c>
      <c r="G8342" s="18">
        <v>140000</v>
      </c>
      <c r="H8342" s="27">
        <f t="shared" si="260"/>
        <v>0</v>
      </c>
      <c r="I8342" s="18">
        <v>96471.48</v>
      </c>
      <c r="J8342" s="27">
        <v>140000</v>
      </c>
      <c r="K8342" s="18">
        <f t="shared" si="261"/>
        <v>0</v>
      </c>
      <c r="L8342" s="27">
        <v>101134.7</v>
      </c>
      <c r="M8342" s="36">
        <v>4663.22</v>
      </c>
      <c r="T8342" s="41">
        <v>0</v>
      </c>
      <c r="U8342" s="41">
        <v>0</v>
      </c>
      <c r="V8342" s="42" t="s">
        <v>113</v>
      </c>
      <c r="W8342" s="42">
        <v>0</v>
      </c>
      <c r="X8342" s="42">
        <v>0</v>
      </c>
    </row>
    <row r="8343" spans="1:24">
      <c r="A8343" s="27" t="s">
        <v>15137</v>
      </c>
      <c r="B8343" s="28" t="s">
        <v>12240</v>
      </c>
      <c r="C8343" s="27" t="s">
        <v>15138</v>
      </c>
      <c r="D8343" s="27" t="s">
        <v>230</v>
      </c>
      <c r="E8343" s="29">
        <v>40843</v>
      </c>
      <c r="F8343" s="27">
        <v>15</v>
      </c>
      <c r="G8343" s="18">
        <v>140000</v>
      </c>
      <c r="H8343" s="27">
        <f t="shared" si="260"/>
        <v>0</v>
      </c>
      <c r="I8343" s="18">
        <v>96471.48</v>
      </c>
      <c r="J8343" s="27">
        <v>140000</v>
      </c>
      <c r="K8343" s="18">
        <f t="shared" si="261"/>
        <v>0</v>
      </c>
      <c r="L8343" s="27">
        <v>101134.7</v>
      </c>
      <c r="M8343" s="36">
        <v>4663.22</v>
      </c>
      <c r="T8343" s="41">
        <v>0</v>
      </c>
      <c r="U8343" s="41">
        <v>0</v>
      </c>
      <c r="V8343" s="42" t="s">
        <v>113</v>
      </c>
      <c r="W8343" s="42">
        <v>0</v>
      </c>
      <c r="X8343" s="42">
        <v>0</v>
      </c>
    </row>
    <row r="8344" spans="1:24">
      <c r="A8344" s="27" t="s">
        <v>15139</v>
      </c>
      <c r="B8344" s="28" t="s">
        <v>12240</v>
      </c>
      <c r="C8344" s="27" t="s">
        <v>15140</v>
      </c>
      <c r="D8344" s="27" t="s">
        <v>230</v>
      </c>
      <c r="E8344" s="29">
        <v>40843</v>
      </c>
      <c r="F8344" s="27">
        <v>15</v>
      </c>
      <c r="G8344" s="18">
        <v>140000</v>
      </c>
      <c r="H8344" s="27">
        <f t="shared" si="260"/>
        <v>0</v>
      </c>
      <c r="I8344" s="18">
        <v>96471.48</v>
      </c>
      <c r="J8344" s="27">
        <v>140000</v>
      </c>
      <c r="K8344" s="18">
        <f t="shared" si="261"/>
        <v>0</v>
      </c>
      <c r="L8344" s="27">
        <v>101134.7</v>
      </c>
      <c r="M8344" s="36">
        <v>4663.22</v>
      </c>
      <c r="T8344" s="41">
        <v>0</v>
      </c>
      <c r="U8344" s="41">
        <v>0</v>
      </c>
      <c r="V8344" s="42" t="s">
        <v>113</v>
      </c>
      <c r="W8344" s="42">
        <v>0</v>
      </c>
      <c r="X8344" s="42">
        <v>0</v>
      </c>
    </row>
    <row r="8345" spans="1:24">
      <c r="A8345" s="27" t="s">
        <v>15141</v>
      </c>
      <c r="B8345" s="28" t="s">
        <v>12240</v>
      </c>
      <c r="C8345" s="27" t="s">
        <v>15142</v>
      </c>
      <c r="D8345" s="27" t="s">
        <v>230</v>
      </c>
      <c r="E8345" s="29">
        <v>40843</v>
      </c>
      <c r="F8345" s="27">
        <v>15</v>
      </c>
      <c r="G8345" s="18">
        <v>140000</v>
      </c>
      <c r="H8345" s="27">
        <f t="shared" si="260"/>
        <v>0</v>
      </c>
      <c r="I8345" s="18">
        <v>96471.48</v>
      </c>
      <c r="J8345" s="27">
        <v>140000</v>
      </c>
      <c r="K8345" s="18">
        <f t="shared" si="261"/>
        <v>0</v>
      </c>
      <c r="L8345" s="27">
        <v>101134.7</v>
      </c>
      <c r="M8345" s="36">
        <v>4663.22</v>
      </c>
      <c r="T8345" s="41">
        <v>0</v>
      </c>
      <c r="U8345" s="41">
        <v>0</v>
      </c>
      <c r="V8345" s="42" t="s">
        <v>113</v>
      </c>
      <c r="W8345" s="42">
        <v>0</v>
      </c>
      <c r="X8345" s="42">
        <v>0</v>
      </c>
    </row>
    <row r="8346" spans="1:24">
      <c r="A8346" s="27" t="s">
        <v>15143</v>
      </c>
      <c r="B8346" s="28" t="s">
        <v>12240</v>
      </c>
      <c r="C8346" s="27" t="s">
        <v>15144</v>
      </c>
      <c r="D8346" s="27" t="s">
        <v>230</v>
      </c>
      <c r="E8346" s="29">
        <v>40843</v>
      </c>
      <c r="F8346" s="27">
        <v>15</v>
      </c>
      <c r="G8346" s="18">
        <v>140000</v>
      </c>
      <c r="H8346" s="27">
        <f t="shared" si="260"/>
        <v>0</v>
      </c>
      <c r="I8346" s="18">
        <v>96471.48</v>
      </c>
      <c r="J8346" s="27">
        <v>140000</v>
      </c>
      <c r="K8346" s="18">
        <f t="shared" si="261"/>
        <v>0</v>
      </c>
      <c r="L8346" s="27">
        <v>101134.7</v>
      </c>
      <c r="M8346" s="36">
        <v>4663.22</v>
      </c>
      <c r="T8346" s="41">
        <v>0</v>
      </c>
      <c r="U8346" s="41">
        <v>0</v>
      </c>
      <c r="V8346" s="42" t="s">
        <v>113</v>
      </c>
      <c r="W8346" s="42">
        <v>0</v>
      </c>
      <c r="X8346" s="42">
        <v>0</v>
      </c>
    </row>
    <row r="8347" spans="1:24">
      <c r="A8347" s="27" t="s">
        <v>15145</v>
      </c>
      <c r="B8347" s="28" t="s">
        <v>12240</v>
      </c>
      <c r="C8347" s="27" t="s">
        <v>15146</v>
      </c>
      <c r="D8347" s="27" t="s">
        <v>230</v>
      </c>
      <c r="E8347" s="29">
        <v>40843</v>
      </c>
      <c r="F8347" s="27">
        <v>15</v>
      </c>
      <c r="G8347" s="18">
        <v>140000</v>
      </c>
      <c r="H8347" s="27">
        <f t="shared" si="260"/>
        <v>0</v>
      </c>
      <c r="I8347" s="18">
        <v>96471.48</v>
      </c>
      <c r="J8347" s="27">
        <v>140000</v>
      </c>
      <c r="K8347" s="18">
        <f t="shared" si="261"/>
        <v>0</v>
      </c>
      <c r="L8347" s="27">
        <v>101134.7</v>
      </c>
      <c r="M8347" s="36">
        <v>4663.22</v>
      </c>
      <c r="T8347" s="41">
        <v>0</v>
      </c>
      <c r="U8347" s="41">
        <v>0</v>
      </c>
      <c r="V8347" s="42" t="s">
        <v>113</v>
      </c>
      <c r="W8347" s="42">
        <v>0</v>
      </c>
      <c r="X8347" s="42">
        <v>0</v>
      </c>
    </row>
    <row r="8348" spans="1:24">
      <c r="A8348" s="27" t="s">
        <v>15147</v>
      </c>
      <c r="B8348" s="28" t="s">
        <v>12240</v>
      </c>
      <c r="C8348" s="27" t="s">
        <v>15148</v>
      </c>
      <c r="D8348" s="27" t="s">
        <v>230</v>
      </c>
      <c r="E8348" s="29">
        <v>40843</v>
      </c>
      <c r="F8348" s="27">
        <v>15</v>
      </c>
      <c r="G8348" s="18">
        <v>9300</v>
      </c>
      <c r="H8348" s="27">
        <f t="shared" si="260"/>
        <v>0</v>
      </c>
      <c r="I8348" s="18">
        <v>6408.45</v>
      </c>
      <c r="J8348" s="27">
        <v>9300</v>
      </c>
      <c r="K8348" s="18">
        <f t="shared" si="261"/>
        <v>0</v>
      </c>
      <c r="L8348" s="27">
        <v>6718.22</v>
      </c>
      <c r="M8348" s="36">
        <v>309.77</v>
      </c>
      <c r="T8348" s="41">
        <v>0</v>
      </c>
      <c r="U8348" s="41">
        <v>0</v>
      </c>
      <c r="V8348" s="42" t="s">
        <v>113</v>
      </c>
      <c r="W8348" s="42">
        <v>0</v>
      </c>
      <c r="X8348" s="42">
        <v>0</v>
      </c>
    </row>
    <row r="8349" spans="1:24">
      <c r="A8349" s="27" t="s">
        <v>15149</v>
      </c>
      <c r="B8349" s="28" t="s">
        <v>12240</v>
      </c>
      <c r="C8349" s="27" t="s">
        <v>15150</v>
      </c>
      <c r="D8349" s="27" t="s">
        <v>230</v>
      </c>
      <c r="E8349" s="29">
        <v>39539</v>
      </c>
      <c r="F8349" s="27">
        <v>15</v>
      </c>
      <c r="G8349" s="18">
        <v>150794.21</v>
      </c>
      <c r="H8349" s="27">
        <f t="shared" si="260"/>
        <v>0</v>
      </c>
      <c r="I8349" s="18">
        <v>123349.83</v>
      </c>
      <c r="J8349" s="27">
        <v>150794.21</v>
      </c>
      <c r="K8349" s="18">
        <f t="shared" si="261"/>
        <v>0</v>
      </c>
      <c r="L8349" s="27">
        <v>127943.22</v>
      </c>
      <c r="M8349" s="36">
        <v>4593.3900000000003</v>
      </c>
      <c r="T8349" s="41">
        <v>0</v>
      </c>
      <c r="U8349" s="41">
        <v>0</v>
      </c>
      <c r="V8349" s="42" t="s">
        <v>113</v>
      </c>
      <c r="W8349" s="42">
        <v>0</v>
      </c>
      <c r="X8349" s="42">
        <v>0</v>
      </c>
    </row>
    <row r="8350" spans="1:24">
      <c r="A8350" s="27" t="s">
        <v>15151</v>
      </c>
      <c r="B8350" s="28" t="s">
        <v>12240</v>
      </c>
      <c r="C8350" s="27" t="s">
        <v>15152</v>
      </c>
      <c r="D8350" s="27" t="s">
        <v>230</v>
      </c>
      <c r="E8350" s="29">
        <v>39539</v>
      </c>
      <c r="F8350" s="27">
        <v>15</v>
      </c>
      <c r="G8350" s="18">
        <v>150794.21</v>
      </c>
      <c r="H8350" s="27">
        <f t="shared" si="260"/>
        <v>0</v>
      </c>
      <c r="I8350" s="18">
        <v>123349.83</v>
      </c>
      <c r="J8350" s="27">
        <v>150794.21</v>
      </c>
      <c r="K8350" s="18">
        <f t="shared" si="261"/>
        <v>0</v>
      </c>
      <c r="L8350" s="27">
        <v>127943.22</v>
      </c>
      <c r="M8350" s="36">
        <v>4593.3900000000003</v>
      </c>
      <c r="T8350" s="41">
        <v>0</v>
      </c>
      <c r="U8350" s="41">
        <v>0</v>
      </c>
      <c r="V8350" s="42" t="s">
        <v>113</v>
      </c>
      <c r="W8350" s="42">
        <v>0</v>
      </c>
      <c r="X8350" s="42">
        <v>0</v>
      </c>
    </row>
    <row r="8351" spans="1:24">
      <c r="A8351" s="27" t="s">
        <v>15153</v>
      </c>
      <c r="B8351" s="28" t="s">
        <v>12240</v>
      </c>
      <c r="C8351" s="27" t="s">
        <v>15154</v>
      </c>
      <c r="D8351" s="27" t="s">
        <v>230</v>
      </c>
      <c r="E8351" s="29">
        <v>39539</v>
      </c>
      <c r="F8351" s="27">
        <v>15</v>
      </c>
      <c r="G8351" s="18">
        <v>150794.21</v>
      </c>
      <c r="H8351" s="27">
        <f t="shared" si="260"/>
        <v>0</v>
      </c>
      <c r="I8351" s="18">
        <v>123349.83</v>
      </c>
      <c r="J8351" s="27">
        <v>150794.21</v>
      </c>
      <c r="K8351" s="18">
        <f t="shared" si="261"/>
        <v>0</v>
      </c>
      <c r="L8351" s="27">
        <v>127943.22</v>
      </c>
      <c r="M8351" s="36">
        <v>4593.3900000000003</v>
      </c>
      <c r="T8351" s="41">
        <v>0</v>
      </c>
      <c r="U8351" s="41">
        <v>0</v>
      </c>
      <c r="V8351" s="42" t="s">
        <v>113</v>
      </c>
      <c r="W8351" s="42">
        <v>0</v>
      </c>
      <c r="X8351" s="42">
        <v>0</v>
      </c>
    </row>
    <row r="8352" spans="1:24">
      <c r="A8352" s="27" t="s">
        <v>15155</v>
      </c>
      <c r="B8352" s="28" t="s">
        <v>12240</v>
      </c>
      <c r="C8352" s="27" t="s">
        <v>15156</v>
      </c>
      <c r="D8352" s="27" t="s">
        <v>230</v>
      </c>
      <c r="E8352" s="29">
        <v>39539</v>
      </c>
      <c r="F8352" s="27">
        <v>15</v>
      </c>
      <c r="G8352" s="18">
        <v>150794.21</v>
      </c>
      <c r="H8352" s="27">
        <f t="shared" si="260"/>
        <v>0</v>
      </c>
      <c r="I8352" s="18">
        <v>123349.83</v>
      </c>
      <c r="J8352" s="27">
        <v>150794.21</v>
      </c>
      <c r="K8352" s="18">
        <f t="shared" si="261"/>
        <v>0</v>
      </c>
      <c r="L8352" s="27">
        <v>127943.22</v>
      </c>
      <c r="M8352" s="36">
        <v>4593.3900000000003</v>
      </c>
      <c r="T8352" s="41">
        <v>0</v>
      </c>
      <c r="U8352" s="41">
        <v>0</v>
      </c>
      <c r="V8352" s="42" t="s">
        <v>113</v>
      </c>
      <c r="W8352" s="42">
        <v>0</v>
      </c>
      <c r="X8352" s="42">
        <v>0</v>
      </c>
    </row>
    <row r="8353" spans="1:24">
      <c r="A8353" s="27" t="s">
        <v>15157</v>
      </c>
      <c r="B8353" s="28" t="s">
        <v>12240</v>
      </c>
      <c r="C8353" s="27" t="s">
        <v>15158</v>
      </c>
      <c r="D8353" s="27" t="s">
        <v>230</v>
      </c>
      <c r="E8353" s="29">
        <v>40843</v>
      </c>
      <c r="F8353" s="27">
        <v>15</v>
      </c>
      <c r="G8353" s="18">
        <v>9300</v>
      </c>
      <c r="H8353" s="27">
        <f t="shared" si="260"/>
        <v>0</v>
      </c>
      <c r="I8353" s="18">
        <v>6408.46</v>
      </c>
      <c r="J8353" s="27">
        <v>9300</v>
      </c>
      <c r="K8353" s="18">
        <f t="shared" si="261"/>
        <v>0</v>
      </c>
      <c r="L8353" s="27">
        <v>6718.23</v>
      </c>
      <c r="M8353" s="36">
        <v>309.77</v>
      </c>
      <c r="T8353" s="41">
        <v>0</v>
      </c>
      <c r="U8353" s="41">
        <v>0</v>
      </c>
      <c r="V8353" s="42" t="s">
        <v>113</v>
      </c>
      <c r="W8353" s="42">
        <v>0</v>
      </c>
      <c r="X8353" s="42">
        <v>0</v>
      </c>
    </row>
    <row r="8354" spans="1:24">
      <c r="A8354" s="27" t="s">
        <v>15159</v>
      </c>
      <c r="B8354" s="28" t="s">
        <v>12240</v>
      </c>
      <c r="C8354" s="27" t="s">
        <v>15160</v>
      </c>
      <c r="D8354" s="27" t="s">
        <v>230</v>
      </c>
      <c r="E8354" s="29">
        <v>40843</v>
      </c>
      <c r="F8354" s="27">
        <v>15</v>
      </c>
      <c r="G8354" s="18">
        <v>232301.03</v>
      </c>
      <c r="H8354" s="27">
        <f t="shared" si="260"/>
        <v>0</v>
      </c>
      <c r="I8354" s="18">
        <v>134509.32</v>
      </c>
      <c r="J8354" s="27">
        <v>232301.03</v>
      </c>
      <c r="K8354" s="18">
        <f t="shared" si="261"/>
        <v>0</v>
      </c>
      <c r="L8354" s="27">
        <v>145510.6</v>
      </c>
      <c r="M8354" s="36">
        <v>11001.28</v>
      </c>
      <c r="T8354" s="41">
        <v>0</v>
      </c>
      <c r="U8354" s="41">
        <v>0</v>
      </c>
      <c r="V8354" s="42" t="s">
        <v>113</v>
      </c>
      <c r="W8354" s="42">
        <v>0</v>
      </c>
      <c r="X8354" s="42">
        <v>0</v>
      </c>
    </row>
    <row r="8355" spans="1:24">
      <c r="A8355" s="27" t="s">
        <v>15161</v>
      </c>
      <c r="B8355" s="28" t="s">
        <v>12240</v>
      </c>
      <c r="C8355" s="27" t="s">
        <v>15162</v>
      </c>
      <c r="D8355" s="27" t="s">
        <v>230</v>
      </c>
      <c r="E8355" s="29">
        <v>40843</v>
      </c>
      <c r="F8355" s="27">
        <v>15</v>
      </c>
      <c r="G8355" s="18">
        <v>27635.88</v>
      </c>
      <c r="H8355" s="27">
        <f t="shared" si="260"/>
        <v>0</v>
      </c>
      <c r="I8355" s="18">
        <v>16472.68</v>
      </c>
      <c r="J8355" s="27">
        <v>27635.88</v>
      </c>
      <c r="K8355" s="18">
        <f t="shared" si="261"/>
        <v>0</v>
      </c>
      <c r="L8355" s="27">
        <v>17721.37</v>
      </c>
      <c r="M8355" s="36">
        <v>1248.69</v>
      </c>
      <c r="T8355" s="41">
        <v>0</v>
      </c>
      <c r="U8355" s="41">
        <v>0</v>
      </c>
      <c r="V8355" s="42" t="s">
        <v>113</v>
      </c>
      <c r="W8355" s="42">
        <v>0</v>
      </c>
      <c r="X8355" s="42">
        <v>0</v>
      </c>
    </row>
    <row r="8356" spans="1:24">
      <c r="A8356" s="27" t="s">
        <v>15163</v>
      </c>
      <c r="B8356" s="28" t="s">
        <v>12240</v>
      </c>
      <c r="C8356" s="27" t="s">
        <v>15164</v>
      </c>
      <c r="D8356" s="27" t="s">
        <v>230</v>
      </c>
      <c r="E8356" s="29">
        <v>40843</v>
      </c>
      <c r="F8356" s="27">
        <v>15</v>
      </c>
      <c r="G8356" s="18">
        <v>27635.88</v>
      </c>
      <c r="H8356" s="27">
        <f t="shared" si="260"/>
        <v>0</v>
      </c>
      <c r="I8356" s="18">
        <v>16472.68</v>
      </c>
      <c r="J8356" s="27">
        <v>27635.88</v>
      </c>
      <c r="K8356" s="18">
        <f t="shared" si="261"/>
        <v>0</v>
      </c>
      <c r="L8356" s="27">
        <v>17721.37</v>
      </c>
      <c r="M8356" s="36">
        <v>1248.69</v>
      </c>
      <c r="T8356" s="41">
        <v>0</v>
      </c>
      <c r="U8356" s="41">
        <v>0</v>
      </c>
      <c r="V8356" s="42" t="s">
        <v>113</v>
      </c>
      <c r="W8356" s="42">
        <v>0</v>
      </c>
      <c r="X8356" s="42">
        <v>0</v>
      </c>
    </row>
    <row r="8357" spans="1:24">
      <c r="A8357" s="27" t="s">
        <v>15165</v>
      </c>
      <c r="B8357" s="28" t="s">
        <v>12240</v>
      </c>
      <c r="C8357" s="27" t="s">
        <v>15166</v>
      </c>
      <c r="D8357" s="27" t="s">
        <v>230</v>
      </c>
      <c r="E8357" s="29">
        <v>40843</v>
      </c>
      <c r="F8357" s="27">
        <v>15</v>
      </c>
      <c r="G8357" s="18">
        <v>9300</v>
      </c>
      <c r="H8357" s="27">
        <f t="shared" si="260"/>
        <v>0</v>
      </c>
      <c r="I8357" s="18">
        <v>6408.46</v>
      </c>
      <c r="J8357" s="27">
        <v>9300</v>
      </c>
      <c r="K8357" s="18">
        <f t="shared" si="261"/>
        <v>0</v>
      </c>
      <c r="L8357" s="27">
        <v>6718.23</v>
      </c>
      <c r="M8357" s="36">
        <v>309.77</v>
      </c>
      <c r="T8357" s="41">
        <v>0</v>
      </c>
      <c r="U8357" s="41">
        <v>0</v>
      </c>
      <c r="V8357" s="42" t="s">
        <v>113</v>
      </c>
      <c r="W8357" s="42">
        <v>0</v>
      </c>
      <c r="X8357" s="42">
        <v>0</v>
      </c>
    </row>
    <row r="8358" spans="1:24">
      <c r="A8358" s="27" t="s">
        <v>15167</v>
      </c>
      <c r="B8358" s="28" t="s">
        <v>12240</v>
      </c>
      <c r="C8358" s="27" t="s">
        <v>15168</v>
      </c>
      <c r="D8358" s="27" t="s">
        <v>230</v>
      </c>
      <c r="E8358" s="29">
        <v>40843</v>
      </c>
      <c r="F8358" s="27">
        <v>15</v>
      </c>
      <c r="G8358" s="18">
        <v>140000</v>
      </c>
      <c r="H8358" s="27">
        <f t="shared" si="260"/>
        <v>0</v>
      </c>
      <c r="I8358" s="18">
        <v>96471.48</v>
      </c>
      <c r="J8358" s="27">
        <v>140000</v>
      </c>
      <c r="K8358" s="18">
        <f t="shared" si="261"/>
        <v>0</v>
      </c>
      <c r="L8358" s="27">
        <v>101134.7</v>
      </c>
      <c r="M8358" s="36">
        <v>4663.22</v>
      </c>
      <c r="T8358" s="41">
        <v>0</v>
      </c>
      <c r="U8358" s="41">
        <v>0</v>
      </c>
      <c r="V8358" s="42" t="s">
        <v>113</v>
      </c>
      <c r="W8358" s="42">
        <v>0</v>
      </c>
      <c r="X8358" s="42">
        <v>0</v>
      </c>
    </row>
    <row r="8359" spans="1:24">
      <c r="A8359" s="27" t="s">
        <v>15169</v>
      </c>
      <c r="B8359" s="28" t="s">
        <v>12240</v>
      </c>
      <c r="C8359" s="27" t="s">
        <v>15170</v>
      </c>
      <c r="D8359" s="27" t="s">
        <v>230</v>
      </c>
      <c r="E8359" s="29">
        <v>40843</v>
      </c>
      <c r="F8359" s="27">
        <v>15</v>
      </c>
      <c r="G8359" s="18">
        <v>140000</v>
      </c>
      <c r="H8359" s="27">
        <f t="shared" si="260"/>
        <v>0</v>
      </c>
      <c r="I8359" s="18">
        <v>96471.48</v>
      </c>
      <c r="J8359" s="27">
        <v>140000</v>
      </c>
      <c r="K8359" s="18">
        <f t="shared" si="261"/>
        <v>0</v>
      </c>
      <c r="L8359" s="27">
        <v>101134.7</v>
      </c>
      <c r="M8359" s="36">
        <v>4663.22</v>
      </c>
      <c r="T8359" s="41">
        <v>0</v>
      </c>
      <c r="U8359" s="41">
        <v>0</v>
      </c>
      <c r="V8359" s="42" t="s">
        <v>113</v>
      </c>
      <c r="W8359" s="42">
        <v>0</v>
      </c>
      <c r="X8359" s="42">
        <v>0</v>
      </c>
    </row>
    <row r="8360" spans="1:24">
      <c r="A8360" s="27" t="s">
        <v>15171</v>
      </c>
      <c r="B8360" s="28" t="s">
        <v>12240</v>
      </c>
      <c r="C8360" s="27" t="s">
        <v>15172</v>
      </c>
      <c r="D8360" s="27" t="s">
        <v>230</v>
      </c>
      <c r="E8360" s="29">
        <v>40843</v>
      </c>
      <c r="F8360" s="27">
        <v>15</v>
      </c>
      <c r="G8360" s="18">
        <v>140000</v>
      </c>
      <c r="H8360" s="27">
        <f t="shared" si="260"/>
        <v>0</v>
      </c>
      <c r="I8360" s="18">
        <v>96471.48</v>
      </c>
      <c r="J8360" s="27">
        <v>140000</v>
      </c>
      <c r="K8360" s="18">
        <f t="shared" si="261"/>
        <v>0</v>
      </c>
      <c r="L8360" s="27">
        <v>101134.7</v>
      </c>
      <c r="M8360" s="36">
        <v>4663.22</v>
      </c>
      <c r="T8360" s="41">
        <v>0</v>
      </c>
      <c r="U8360" s="41">
        <v>0</v>
      </c>
      <c r="V8360" s="42" t="s">
        <v>113</v>
      </c>
      <c r="W8360" s="42">
        <v>0</v>
      </c>
      <c r="X8360" s="42">
        <v>0</v>
      </c>
    </row>
    <row r="8361" spans="1:24">
      <c r="A8361" s="27" t="s">
        <v>15173</v>
      </c>
      <c r="B8361" s="28" t="s">
        <v>12240</v>
      </c>
      <c r="C8361" s="27" t="s">
        <v>15174</v>
      </c>
      <c r="D8361" s="27" t="s">
        <v>230</v>
      </c>
      <c r="E8361" s="29">
        <v>40843</v>
      </c>
      <c r="F8361" s="27">
        <v>15</v>
      </c>
      <c r="G8361" s="18">
        <v>9300</v>
      </c>
      <c r="H8361" s="27">
        <f t="shared" si="260"/>
        <v>0</v>
      </c>
      <c r="I8361" s="18">
        <v>6408.45</v>
      </c>
      <c r="J8361" s="27">
        <v>9300</v>
      </c>
      <c r="K8361" s="18">
        <f t="shared" si="261"/>
        <v>0</v>
      </c>
      <c r="L8361" s="27">
        <v>6718.22</v>
      </c>
      <c r="M8361" s="36">
        <v>309.77</v>
      </c>
      <c r="T8361" s="41">
        <v>0</v>
      </c>
      <c r="U8361" s="41">
        <v>0</v>
      </c>
      <c r="V8361" s="42" t="s">
        <v>113</v>
      </c>
      <c r="W8361" s="42">
        <v>0</v>
      </c>
      <c r="X8361" s="42">
        <v>0</v>
      </c>
    </row>
    <row r="8362" spans="1:24">
      <c r="A8362" s="27" t="s">
        <v>15175</v>
      </c>
      <c r="B8362" s="28" t="s">
        <v>12240</v>
      </c>
      <c r="C8362" s="27" t="s">
        <v>15176</v>
      </c>
      <c r="D8362" s="27" t="s">
        <v>230</v>
      </c>
      <c r="E8362" s="29">
        <v>39539</v>
      </c>
      <c r="F8362" s="27">
        <v>15</v>
      </c>
      <c r="G8362" s="18">
        <v>120987.07</v>
      </c>
      <c r="H8362" s="27">
        <f t="shared" si="260"/>
        <v>0</v>
      </c>
      <c r="I8362" s="18">
        <v>98967.55</v>
      </c>
      <c r="J8362" s="27">
        <v>120987.07</v>
      </c>
      <c r="K8362" s="18">
        <f t="shared" si="261"/>
        <v>0</v>
      </c>
      <c r="L8362" s="27">
        <v>102652.97</v>
      </c>
      <c r="M8362" s="36">
        <v>3685.42</v>
      </c>
      <c r="T8362" s="41">
        <v>0</v>
      </c>
      <c r="U8362" s="41">
        <v>0</v>
      </c>
      <c r="V8362" s="42" t="s">
        <v>113</v>
      </c>
      <c r="W8362" s="42">
        <v>0</v>
      </c>
      <c r="X8362" s="42">
        <v>0</v>
      </c>
    </row>
    <row r="8363" spans="1:24">
      <c r="A8363" s="27" t="s">
        <v>15177</v>
      </c>
      <c r="B8363" s="28" t="s">
        <v>12240</v>
      </c>
      <c r="C8363" s="27" t="s">
        <v>15178</v>
      </c>
      <c r="D8363" s="27" t="s">
        <v>230</v>
      </c>
      <c r="E8363" s="29">
        <v>40843</v>
      </c>
      <c r="F8363" s="27">
        <v>15</v>
      </c>
      <c r="G8363" s="18">
        <v>61461.41</v>
      </c>
      <c r="H8363" s="27">
        <f t="shared" si="260"/>
        <v>0</v>
      </c>
      <c r="I8363" s="18">
        <v>35749.5</v>
      </c>
      <c r="J8363" s="27">
        <v>61461.41</v>
      </c>
      <c r="K8363" s="18">
        <f t="shared" si="261"/>
        <v>0</v>
      </c>
      <c r="L8363" s="27">
        <v>38639.56</v>
      </c>
      <c r="M8363" s="36">
        <v>2890.06</v>
      </c>
      <c r="T8363" s="41">
        <v>0</v>
      </c>
      <c r="U8363" s="41">
        <v>0</v>
      </c>
      <c r="V8363" s="42" t="s">
        <v>113</v>
      </c>
      <c r="W8363" s="42">
        <v>0</v>
      </c>
      <c r="X8363" s="42">
        <v>0</v>
      </c>
    </row>
    <row r="8364" spans="1:24">
      <c r="A8364" s="27" t="s">
        <v>15179</v>
      </c>
      <c r="B8364" s="28" t="s">
        <v>12240</v>
      </c>
      <c r="C8364" s="27" t="s">
        <v>15180</v>
      </c>
      <c r="D8364" s="27" t="s">
        <v>230</v>
      </c>
      <c r="E8364" s="29">
        <v>39539</v>
      </c>
      <c r="F8364" s="27">
        <v>15</v>
      </c>
      <c r="G8364" s="18">
        <v>120987.07</v>
      </c>
      <c r="H8364" s="27">
        <f t="shared" si="260"/>
        <v>0</v>
      </c>
      <c r="I8364" s="18">
        <v>98967.55</v>
      </c>
      <c r="J8364" s="27">
        <v>120987.07</v>
      </c>
      <c r="K8364" s="18">
        <f t="shared" si="261"/>
        <v>0</v>
      </c>
      <c r="L8364" s="27">
        <v>102652.97</v>
      </c>
      <c r="M8364" s="36">
        <v>3685.42</v>
      </c>
      <c r="T8364" s="41">
        <v>0</v>
      </c>
      <c r="U8364" s="41">
        <v>0</v>
      </c>
      <c r="V8364" s="42" t="s">
        <v>113</v>
      </c>
      <c r="W8364" s="42">
        <v>0</v>
      </c>
      <c r="X8364" s="42">
        <v>0</v>
      </c>
    </row>
    <row r="8365" spans="1:24">
      <c r="A8365" s="27" t="s">
        <v>15181</v>
      </c>
      <c r="B8365" s="28" t="s">
        <v>12240</v>
      </c>
      <c r="C8365" s="27" t="s">
        <v>15182</v>
      </c>
      <c r="D8365" s="27" t="s">
        <v>230</v>
      </c>
      <c r="E8365" s="29">
        <v>40843</v>
      </c>
      <c r="F8365" s="27">
        <v>15</v>
      </c>
      <c r="G8365" s="18">
        <v>27635.88</v>
      </c>
      <c r="H8365" s="27">
        <f t="shared" si="260"/>
        <v>0</v>
      </c>
      <c r="I8365" s="18">
        <v>16472.689999999999</v>
      </c>
      <c r="J8365" s="27">
        <v>27635.88</v>
      </c>
      <c r="K8365" s="18">
        <f t="shared" si="261"/>
        <v>0</v>
      </c>
      <c r="L8365" s="27">
        <v>17721.38</v>
      </c>
      <c r="M8365" s="36">
        <v>1248.69</v>
      </c>
      <c r="T8365" s="41">
        <v>0</v>
      </c>
      <c r="U8365" s="41">
        <v>0</v>
      </c>
      <c r="V8365" s="42" t="s">
        <v>113</v>
      </c>
      <c r="W8365" s="42">
        <v>0</v>
      </c>
      <c r="X8365" s="42">
        <v>0</v>
      </c>
    </row>
    <row r="8366" spans="1:24">
      <c r="A8366" s="27" t="s">
        <v>15183</v>
      </c>
      <c r="B8366" s="28" t="s">
        <v>12240</v>
      </c>
      <c r="C8366" s="27" t="s">
        <v>15184</v>
      </c>
      <c r="D8366" s="27" t="s">
        <v>230</v>
      </c>
      <c r="E8366" s="29">
        <v>40843</v>
      </c>
      <c r="F8366" s="27">
        <v>15</v>
      </c>
      <c r="G8366" s="18">
        <v>140000</v>
      </c>
      <c r="H8366" s="27">
        <f t="shared" si="260"/>
        <v>0</v>
      </c>
      <c r="I8366" s="18">
        <v>96471.48</v>
      </c>
      <c r="J8366" s="27">
        <v>140000</v>
      </c>
      <c r="K8366" s="18">
        <f t="shared" si="261"/>
        <v>0</v>
      </c>
      <c r="L8366" s="27">
        <v>101134.7</v>
      </c>
      <c r="M8366" s="36">
        <v>4663.22</v>
      </c>
      <c r="T8366" s="41">
        <v>0</v>
      </c>
      <c r="U8366" s="41">
        <v>0</v>
      </c>
      <c r="V8366" s="42" t="s">
        <v>113</v>
      </c>
      <c r="W8366" s="42">
        <v>0</v>
      </c>
      <c r="X8366" s="42">
        <v>0</v>
      </c>
    </row>
    <row r="8367" spans="1:24">
      <c r="A8367" s="27" t="s">
        <v>15185</v>
      </c>
      <c r="B8367" s="28" t="s">
        <v>12240</v>
      </c>
      <c r="C8367" s="27" t="s">
        <v>15186</v>
      </c>
      <c r="D8367" s="27" t="s">
        <v>230</v>
      </c>
      <c r="E8367" s="29">
        <v>40843</v>
      </c>
      <c r="F8367" s="27">
        <v>15</v>
      </c>
      <c r="G8367" s="18">
        <v>140000</v>
      </c>
      <c r="H8367" s="27">
        <f t="shared" si="260"/>
        <v>0</v>
      </c>
      <c r="I8367" s="18">
        <v>96471.48</v>
      </c>
      <c r="J8367" s="27">
        <v>140000</v>
      </c>
      <c r="K8367" s="18">
        <f t="shared" si="261"/>
        <v>0</v>
      </c>
      <c r="L8367" s="27">
        <v>101134.7</v>
      </c>
      <c r="M8367" s="36">
        <v>4663.22</v>
      </c>
      <c r="T8367" s="41">
        <v>0</v>
      </c>
      <c r="U8367" s="41">
        <v>0</v>
      </c>
      <c r="V8367" s="42" t="s">
        <v>113</v>
      </c>
      <c r="W8367" s="42">
        <v>0</v>
      </c>
      <c r="X8367" s="42">
        <v>0</v>
      </c>
    </row>
    <row r="8368" spans="1:24">
      <c r="A8368" s="27" t="s">
        <v>15187</v>
      </c>
      <c r="B8368" s="28" t="s">
        <v>12240</v>
      </c>
      <c r="C8368" s="27" t="s">
        <v>15188</v>
      </c>
      <c r="D8368" s="27" t="s">
        <v>230</v>
      </c>
      <c r="E8368" s="29">
        <v>40843</v>
      </c>
      <c r="F8368" s="27">
        <v>15</v>
      </c>
      <c r="G8368" s="18">
        <v>140000</v>
      </c>
      <c r="H8368" s="27">
        <f t="shared" si="260"/>
        <v>0</v>
      </c>
      <c r="I8368" s="18">
        <v>96471.48</v>
      </c>
      <c r="J8368" s="27">
        <v>140000</v>
      </c>
      <c r="K8368" s="18">
        <f t="shared" si="261"/>
        <v>0</v>
      </c>
      <c r="L8368" s="27">
        <v>101134.7</v>
      </c>
      <c r="M8368" s="36">
        <v>4663.22</v>
      </c>
      <c r="T8368" s="41">
        <v>0</v>
      </c>
      <c r="U8368" s="41">
        <v>0</v>
      </c>
      <c r="V8368" s="42" t="s">
        <v>113</v>
      </c>
      <c r="W8368" s="42">
        <v>0</v>
      </c>
      <c r="X8368" s="42">
        <v>0</v>
      </c>
    </row>
    <row r="8369" spans="1:24">
      <c r="A8369" s="27" t="s">
        <v>15189</v>
      </c>
      <c r="B8369" s="28" t="s">
        <v>12240</v>
      </c>
      <c r="C8369" s="27" t="s">
        <v>13172</v>
      </c>
      <c r="D8369" s="27" t="s">
        <v>230</v>
      </c>
      <c r="E8369" s="29">
        <v>39539</v>
      </c>
      <c r="F8369" s="27">
        <v>15</v>
      </c>
      <c r="G8369" s="18">
        <v>150794.21</v>
      </c>
      <c r="H8369" s="27">
        <f t="shared" si="260"/>
        <v>0</v>
      </c>
      <c r="I8369" s="18">
        <v>123349.83</v>
      </c>
      <c r="J8369" s="27">
        <v>150794.21</v>
      </c>
      <c r="K8369" s="18">
        <f t="shared" si="261"/>
        <v>0</v>
      </c>
      <c r="L8369" s="27">
        <v>127943.22</v>
      </c>
      <c r="M8369" s="36">
        <v>4593.3900000000003</v>
      </c>
      <c r="T8369" s="41">
        <v>0</v>
      </c>
      <c r="U8369" s="41">
        <v>0</v>
      </c>
      <c r="V8369" s="42" t="s">
        <v>113</v>
      </c>
      <c r="W8369" s="42">
        <v>0</v>
      </c>
      <c r="X8369" s="42">
        <v>0</v>
      </c>
    </row>
    <row r="8370" spans="1:24">
      <c r="A8370" s="27" t="s">
        <v>15190</v>
      </c>
      <c r="B8370" s="28" t="s">
        <v>12240</v>
      </c>
      <c r="C8370" s="27" t="s">
        <v>15191</v>
      </c>
      <c r="D8370" s="27" t="s">
        <v>230</v>
      </c>
      <c r="E8370" s="29">
        <v>40843</v>
      </c>
      <c r="F8370" s="27">
        <v>15</v>
      </c>
      <c r="G8370" s="18">
        <v>140000</v>
      </c>
      <c r="H8370" s="27">
        <f t="shared" si="260"/>
        <v>0</v>
      </c>
      <c r="I8370" s="18">
        <v>96471.48</v>
      </c>
      <c r="J8370" s="27">
        <v>140000</v>
      </c>
      <c r="K8370" s="18">
        <f t="shared" si="261"/>
        <v>0</v>
      </c>
      <c r="L8370" s="27">
        <v>101134.7</v>
      </c>
      <c r="M8370" s="36">
        <v>4663.22</v>
      </c>
      <c r="T8370" s="41">
        <v>0</v>
      </c>
      <c r="U8370" s="41">
        <v>0</v>
      </c>
      <c r="V8370" s="42" t="s">
        <v>113</v>
      </c>
      <c r="W8370" s="42">
        <v>0</v>
      </c>
      <c r="X8370" s="42">
        <v>0</v>
      </c>
    </row>
    <row r="8371" spans="1:24">
      <c r="A8371" s="27" t="s">
        <v>15192</v>
      </c>
      <c r="B8371" s="28" t="s">
        <v>12240</v>
      </c>
      <c r="C8371" s="27" t="s">
        <v>15193</v>
      </c>
      <c r="D8371" s="27" t="s">
        <v>230</v>
      </c>
      <c r="E8371" s="29">
        <v>40843</v>
      </c>
      <c r="F8371" s="27">
        <v>15</v>
      </c>
      <c r="G8371" s="18">
        <v>9300</v>
      </c>
      <c r="H8371" s="27">
        <f t="shared" si="260"/>
        <v>0</v>
      </c>
      <c r="I8371" s="18">
        <v>6408.45</v>
      </c>
      <c r="J8371" s="27">
        <v>9300</v>
      </c>
      <c r="K8371" s="18">
        <f t="shared" si="261"/>
        <v>0</v>
      </c>
      <c r="L8371" s="27">
        <v>6718.22</v>
      </c>
      <c r="M8371" s="36">
        <v>309.77</v>
      </c>
      <c r="T8371" s="41">
        <v>0</v>
      </c>
      <c r="U8371" s="41">
        <v>0</v>
      </c>
      <c r="V8371" s="42" t="s">
        <v>113</v>
      </c>
      <c r="W8371" s="42">
        <v>0</v>
      </c>
      <c r="X8371" s="42">
        <v>0</v>
      </c>
    </row>
    <row r="8372" spans="1:24">
      <c r="A8372" s="27" t="s">
        <v>15194</v>
      </c>
      <c r="B8372" s="28" t="s">
        <v>12240</v>
      </c>
      <c r="C8372" s="27" t="s">
        <v>15195</v>
      </c>
      <c r="D8372" s="27" t="s">
        <v>230</v>
      </c>
      <c r="E8372" s="29">
        <v>40843</v>
      </c>
      <c r="F8372" s="27">
        <v>15</v>
      </c>
      <c r="G8372" s="18">
        <v>9300</v>
      </c>
      <c r="H8372" s="27">
        <f t="shared" si="260"/>
        <v>0</v>
      </c>
      <c r="I8372" s="18">
        <v>6408.47</v>
      </c>
      <c r="J8372" s="27">
        <v>9300</v>
      </c>
      <c r="K8372" s="18">
        <f t="shared" si="261"/>
        <v>0</v>
      </c>
      <c r="L8372" s="27">
        <v>6718.24</v>
      </c>
      <c r="M8372" s="36">
        <v>309.77</v>
      </c>
      <c r="T8372" s="41">
        <v>0</v>
      </c>
      <c r="U8372" s="41">
        <v>0</v>
      </c>
      <c r="V8372" s="42" t="s">
        <v>113</v>
      </c>
      <c r="W8372" s="42">
        <v>0</v>
      </c>
      <c r="X8372" s="42">
        <v>0</v>
      </c>
    </row>
    <row r="8373" spans="1:24">
      <c r="A8373" s="27" t="s">
        <v>15196</v>
      </c>
      <c r="B8373" s="28" t="s">
        <v>12240</v>
      </c>
      <c r="C8373" s="27" t="s">
        <v>15197</v>
      </c>
      <c r="D8373" s="27" t="s">
        <v>230</v>
      </c>
      <c r="E8373" s="29">
        <v>40843</v>
      </c>
      <c r="F8373" s="27">
        <v>15</v>
      </c>
      <c r="G8373" s="18">
        <v>9300</v>
      </c>
      <c r="H8373" s="27">
        <f t="shared" si="260"/>
        <v>0</v>
      </c>
      <c r="I8373" s="18">
        <v>6408.45</v>
      </c>
      <c r="J8373" s="27">
        <v>9300</v>
      </c>
      <c r="K8373" s="18">
        <f t="shared" si="261"/>
        <v>0</v>
      </c>
      <c r="L8373" s="27">
        <v>6718.22</v>
      </c>
      <c r="M8373" s="36">
        <v>309.77</v>
      </c>
      <c r="T8373" s="41">
        <v>0</v>
      </c>
      <c r="U8373" s="41">
        <v>0</v>
      </c>
      <c r="V8373" s="42" t="s">
        <v>113</v>
      </c>
      <c r="W8373" s="42">
        <v>0</v>
      </c>
      <c r="X8373" s="42">
        <v>0</v>
      </c>
    </row>
    <row r="8374" spans="1:24">
      <c r="A8374" s="27" t="s">
        <v>15198</v>
      </c>
      <c r="B8374" s="28" t="s">
        <v>12240</v>
      </c>
      <c r="C8374" s="27" t="s">
        <v>15199</v>
      </c>
      <c r="D8374" s="27" t="s">
        <v>230</v>
      </c>
      <c r="E8374" s="29">
        <v>40843</v>
      </c>
      <c r="F8374" s="27">
        <v>15</v>
      </c>
      <c r="G8374" s="18">
        <v>9300</v>
      </c>
      <c r="H8374" s="27">
        <f t="shared" si="260"/>
        <v>0</v>
      </c>
      <c r="I8374" s="18">
        <v>6408.47</v>
      </c>
      <c r="J8374" s="27">
        <v>9300</v>
      </c>
      <c r="K8374" s="18">
        <f t="shared" si="261"/>
        <v>0</v>
      </c>
      <c r="L8374" s="27">
        <v>6718.24</v>
      </c>
      <c r="M8374" s="36">
        <v>309.77</v>
      </c>
      <c r="T8374" s="41">
        <v>0</v>
      </c>
      <c r="U8374" s="41">
        <v>0</v>
      </c>
      <c r="V8374" s="42" t="s">
        <v>113</v>
      </c>
      <c r="W8374" s="42">
        <v>0</v>
      </c>
      <c r="X8374" s="42">
        <v>0</v>
      </c>
    </row>
    <row r="8375" spans="1:24">
      <c r="A8375" s="27" t="s">
        <v>15200</v>
      </c>
      <c r="B8375" s="28" t="s">
        <v>12240</v>
      </c>
      <c r="C8375" s="27" t="s">
        <v>15201</v>
      </c>
      <c r="D8375" s="27" t="s">
        <v>230</v>
      </c>
      <c r="E8375" s="29">
        <v>40843</v>
      </c>
      <c r="F8375" s="27">
        <v>15</v>
      </c>
      <c r="G8375" s="18">
        <v>9300</v>
      </c>
      <c r="H8375" s="27">
        <f t="shared" si="260"/>
        <v>0</v>
      </c>
      <c r="I8375" s="18">
        <v>6408.45</v>
      </c>
      <c r="J8375" s="27">
        <v>9300</v>
      </c>
      <c r="K8375" s="18">
        <f t="shared" si="261"/>
        <v>0</v>
      </c>
      <c r="L8375" s="27">
        <v>6718.22</v>
      </c>
      <c r="M8375" s="36">
        <v>309.77</v>
      </c>
      <c r="T8375" s="41">
        <v>0</v>
      </c>
      <c r="U8375" s="41">
        <v>0</v>
      </c>
      <c r="V8375" s="42" t="s">
        <v>113</v>
      </c>
      <c r="W8375" s="42">
        <v>0</v>
      </c>
      <c r="X8375" s="42">
        <v>0</v>
      </c>
    </row>
    <row r="8376" spans="1:24">
      <c r="A8376" s="27" t="s">
        <v>15202</v>
      </c>
      <c r="B8376" s="28" t="s">
        <v>12240</v>
      </c>
      <c r="C8376" s="27" t="s">
        <v>15203</v>
      </c>
      <c r="D8376" s="27" t="s">
        <v>230</v>
      </c>
      <c r="E8376" s="29">
        <v>40843</v>
      </c>
      <c r="F8376" s="27">
        <v>15</v>
      </c>
      <c r="G8376" s="18">
        <v>9300</v>
      </c>
      <c r="H8376" s="27">
        <f t="shared" si="260"/>
        <v>0</v>
      </c>
      <c r="I8376" s="18">
        <v>6408.47</v>
      </c>
      <c r="J8376" s="27">
        <v>9300</v>
      </c>
      <c r="K8376" s="18">
        <f t="shared" si="261"/>
        <v>0</v>
      </c>
      <c r="L8376" s="27">
        <v>6718.24</v>
      </c>
      <c r="M8376" s="36">
        <v>309.77</v>
      </c>
      <c r="T8376" s="41">
        <v>0</v>
      </c>
      <c r="U8376" s="41">
        <v>0</v>
      </c>
      <c r="V8376" s="42" t="s">
        <v>113</v>
      </c>
      <c r="W8376" s="42">
        <v>0</v>
      </c>
      <c r="X8376" s="42">
        <v>0</v>
      </c>
    </row>
    <row r="8377" spans="1:24">
      <c r="A8377" s="27" t="s">
        <v>15204</v>
      </c>
      <c r="B8377" s="28" t="s">
        <v>12240</v>
      </c>
      <c r="C8377" s="27" t="s">
        <v>15205</v>
      </c>
      <c r="D8377" s="27" t="s">
        <v>230</v>
      </c>
      <c r="E8377" s="29">
        <v>40843</v>
      </c>
      <c r="F8377" s="27">
        <v>15</v>
      </c>
      <c r="G8377" s="18">
        <v>27635.87</v>
      </c>
      <c r="H8377" s="27">
        <f t="shared" si="260"/>
        <v>0</v>
      </c>
      <c r="I8377" s="18">
        <v>16472.669999999998</v>
      </c>
      <c r="J8377" s="27">
        <v>27635.87</v>
      </c>
      <c r="K8377" s="18">
        <f t="shared" si="261"/>
        <v>0</v>
      </c>
      <c r="L8377" s="27">
        <v>17721.36</v>
      </c>
      <c r="M8377" s="36">
        <v>1248.69</v>
      </c>
      <c r="T8377" s="41">
        <v>0</v>
      </c>
      <c r="U8377" s="41">
        <v>0</v>
      </c>
      <c r="V8377" s="42" t="s">
        <v>113</v>
      </c>
      <c r="W8377" s="42">
        <v>0</v>
      </c>
      <c r="X8377" s="42">
        <v>0</v>
      </c>
    </row>
    <row r="8378" spans="1:24">
      <c r="A8378" s="27" t="s">
        <v>15206</v>
      </c>
      <c r="B8378" s="28" t="s">
        <v>12240</v>
      </c>
      <c r="C8378" s="27" t="s">
        <v>15207</v>
      </c>
      <c r="D8378" s="27" t="s">
        <v>230</v>
      </c>
      <c r="E8378" s="29">
        <v>40843</v>
      </c>
      <c r="F8378" s="27">
        <v>15</v>
      </c>
      <c r="G8378" s="18">
        <v>36803.82</v>
      </c>
      <c r="H8378" s="27">
        <f t="shared" si="260"/>
        <v>0</v>
      </c>
      <c r="I8378" s="18">
        <v>21504.78</v>
      </c>
      <c r="J8378" s="27">
        <v>36803.82</v>
      </c>
      <c r="K8378" s="18">
        <f t="shared" si="261"/>
        <v>0</v>
      </c>
      <c r="L8378" s="27">
        <v>23222.93</v>
      </c>
      <c r="M8378" s="36">
        <v>1718.15</v>
      </c>
      <c r="T8378" s="41">
        <v>0</v>
      </c>
      <c r="U8378" s="41">
        <v>0</v>
      </c>
      <c r="V8378" s="42" t="s">
        <v>113</v>
      </c>
      <c r="W8378" s="42">
        <v>0</v>
      </c>
      <c r="X8378" s="42">
        <v>0</v>
      </c>
    </row>
    <row r="8379" spans="1:24">
      <c r="A8379" s="27" t="s">
        <v>15208</v>
      </c>
      <c r="B8379" s="28" t="s">
        <v>12240</v>
      </c>
      <c r="C8379" s="27" t="s">
        <v>15209</v>
      </c>
      <c r="D8379" s="27" t="s">
        <v>230</v>
      </c>
      <c r="E8379" s="29">
        <v>40843</v>
      </c>
      <c r="F8379" s="27">
        <v>15</v>
      </c>
      <c r="G8379" s="18">
        <v>9300</v>
      </c>
      <c r="H8379" s="27">
        <f t="shared" si="260"/>
        <v>0</v>
      </c>
      <c r="I8379" s="18">
        <v>6408.45</v>
      </c>
      <c r="J8379" s="27">
        <v>9300</v>
      </c>
      <c r="K8379" s="18">
        <f t="shared" si="261"/>
        <v>0</v>
      </c>
      <c r="L8379" s="27">
        <v>6718.22</v>
      </c>
      <c r="M8379" s="36">
        <v>309.77</v>
      </c>
      <c r="T8379" s="41">
        <v>0</v>
      </c>
      <c r="U8379" s="41">
        <v>0</v>
      </c>
      <c r="V8379" s="42" t="s">
        <v>113</v>
      </c>
      <c r="W8379" s="42">
        <v>0</v>
      </c>
      <c r="X8379" s="42">
        <v>0</v>
      </c>
    </row>
    <row r="8380" spans="1:24">
      <c r="A8380" s="27" t="s">
        <v>15210</v>
      </c>
      <c r="B8380" s="28" t="s">
        <v>12240</v>
      </c>
      <c r="C8380" s="27" t="s">
        <v>15211</v>
      </c>
      <c r="D8380" s="27" t="s">
        <v>230</v>
      </c>
      <c r="E8380" s="29">
        <v>40843</v>
      </c>
      <c r="F8380" s="27">
        <v>15</v>
      </c>
      <c r="G8380" s="18">
        <v>9300</v>
      </c>
      <c r="H8380" s="27">
        <f t="shared" si="260"/>
        <v>0</v>
      </c>
      <c r="I8380" s="18">
        <v>6408.47</v>
      </c>
      <c r="J8380" s="27">
        <v>9300</v>
      </c>
      <c r="K8380" s="18">
        <f t="shared" si="261"/>
        <v>0</v>
      </c>
      <c r="L8380" s="27">
        <v>6718.24</v>
      </c>
      <c r="M8380" s="36">
        <v>309.77</v>
      </c>
      <c r="T8380" s="41">
        <v>0</v>
      </c>
      <c r="U8380" s="41">
        <v>0</v>
      </c>
      <c r="V8380" s="42" t="s">
        <v>113</v>
      </c>
      <c r="W8380" s="42">
        <v>0</v>
      </c>
      <c r="X8380" s="42">
        <v>0</v>
      </c>
    </row>
    <row r="8381" spans="1:24">
      <c r="A8381" s="27" t="s">
        <v>15212</v>
      </c>
      <c r="B8381" s="28" t="s">
        <v>12240</v>
      </c>
      <c r="C8381" s="27" t="s">
        <v>15213</v>
      </c>
      <c r="D8381" s="27" t="s">
        <v>230</v>
      </c>
      <c r="E8381" s="29">
        <v>40843</v>
      </c>
      <c r="F8381" s="27">
        <v>15</v>
      </c>
      <c r="G8381" s="18">
        <v>9300</v>
      </c>
      <c r="H8381" s="27">
        <f t="shared" si="260"/>
        <v>0</v>
      </c>
      <c r="I8381" s="18">
        <v>6408.45</v>
      </c>
      <c r="J8381" s="27">
        <v>9300</v>
      </c>
      <c r="K8381" s="18">
        <f t="shared" si="261"/>
        <v>0</v>
      </c>
      <c r="L8381" s="27">
        <v>6718.22</v>
      </c>
      <c r="M8381" s="36">
        <v>309.77</v>
      </c>
      <c r="T8381" s="41">
        <v>0</v>
      </c>
      <c r="U8381" s="41">
        <v>0</v>
      </c>
      <c r="V8381" s="42" t="s">
        <v>113</v>
      </c>
      <c r="W8381" s="42">
        <v>0</v>
      </c>
      <c r="X8381" s="42">
        <v>0</v>
      </c>
    </row>
    <row r="8382" spans="1:24">
      <c r="A8382" s="27" t="s">
        <v>15214</v>
      </c>
      <c r="B8382" s="28" t="s">
        <v>12240</v>
      </c>
      <c r="C8382" s="27" t="s">
        <v>15215</v>
      </c>
      <c r="D8382" s="27" t="s">
        <v>230</v>
      </c>
      <c r="E8382" s="29">
        <v>40843</v>
      </c>
      <c r="F8382" s="27">
        <v>15</v>
      </c>
      <c r="G8382" s="18">
        <v>61461.41</v>
      </c>
      <c r="H8382" s="27">
        <f t="shared" si="260"/>
        <v>0</v>
      </c>
      <c r="I8382" s="18">
        <v>35749.5</v>
      </c>
      <c r="J8382" s="27">
        <v>61461.41</v>
      </c>
      <c r="K8382" s="18">
        <f t="shared" si="261"/>
        <v>0</v>
      </c>
      <c r="L8382" s="27">
        <v>38639.56</v>
      </c>
      <c r="M8382" s="36">
        <v>2890.06</v>
      </c>
      <c r="T8382" s="41">
        <v>0</v>
      </c>
      <c r="U8382" s="41">
        <v>0</v>
      </c>
      <c r="V8382" s="42" t="s">
        <v>113</v>
      </c>
      <c r="W8382" s="42">
        <v>0</v>
      </c>
      <c r="X8382" s="42">
        <v>0</v>
      </c>
    </row>
    <row r="8383" spans="1:24">
      <c r="A8383" s="27" t="s">
        <v>15216</v>
      </c>
      <c r="B8383" s="28" t="s">
        <v>12240</v>
      </c>
      <c r="C8383" s="27" t="s">
        <v>15217</v>
      </c>
      <c r="D8383" s="27" t="s">
        <v>230</v>
      </c>
      <c r="E8383" s="29">
        <v>40843</v>
      </c>
      <c r="F8383" s="27">
        <v>15</v>
      </c>
      <c r="G8383" s="18">
        <v>9300</v>
      </c>
      <c r="H8383" s="27">
        <f t="shared" si="260"/>
        <v>0</v>
      </c>
      <c r="I8383" s="18">
        <v>6408.47</v>
      </c>
      <c r="J8383" s="27">
        <v>9300</v>
      </c>
      <c r="K8383" s="18">
        <f t="shared" si="261"/>
        <v>0</v>
      </c>
      <c r="L8383" s="27">
        <v>6718.24</v>
      </c>
      <c r="M8383" s="36">
        <v>309.77</v>
      </c>
      <c r="T8383" s="41">
        <v>0</v>
      </c>
      <c r="U8383" s="41">
        <v>0</v>
      </c>
      <c r="V8383" s="42" t="s">
        <v>113</v>
      </c>
      <c r="W8383" s="42">
        <v>0</v>
      </c>
      <c r="X8383" s="42">
        <v>0</v>
      </c>
    </row>
    <row r="8384" spans="1:24">
      <c r="A8384" s="27" t="s">
        <v>15218</v>
      </c>
      <c r="B8384" s="28" t="s">
        <v>12240</v>
      </c>
      <c r="C8384" s="27" t="s">
        <v>15219</v>
      </c>
      <c r="D8384" s="27" t="s">
        <v>230</v>
      </c>
      <c r="E8384" s="29">
        <v>40843</v>
      </c>
      <c r="F8384" s="27">
        <v>15</v>
      </c>
      <c r="G8384" s="18">
        <v>61461.41</v>
      </c>
      <c r="H8384" s="27">
        <f t="shared" si="260"/>
        <v>0</v>
      </c>
      <c r="I8384" s="18">
        <v>35749.5</v>
      </c>
      <c r="J8384" s="27">
        <v>61461.41</v>
      </c>
      <c r="K8384" s="18">
        <f t="shared" si="261"/>
        <v>0</v>
      </c>
      <c r="L8384" s="27">
        <v>38639.56</v>
      </c>
      <c r="M8384" s="36">
        <v>2890.06</v>
      </c>
      <c r="T8384" s="41">
        <v>0</v>
      </c>
      <c r="U8384" s="41">
        <v>0</v>
      </c>
      <c r="V8384" s="42" t="s">
        <v>113</v>
      </c>
      <c r="W8384" s="42">
        <v>0</v>
      </c>
      <c r="X8384" s="42">
        <v>0</v>
      </c>
    </row>
    <row r="8385" spans="1:24">
      <c r="A8385" s="27" t="s">
        <v>15220</v>
      </c>
      <c r="B8385" s="28" t="s">
        <v>12240</v>
      </c>
      <c r="C8385" s="27" t="s">
        <v>15221</v>
      </c>
      <c r="D8385" s="27" t="s">
        <v>230</v>
      </c>
      <c r="E8385" s="29">
        <v>40843</v>
      </c>
      <c r="F8385" s="27">
        <v>15</v>
      </c>
      <c r="G8385" s="18">
        <v>9300</v>
      </c>
      <c r="H8385" s="27">
        <f t="shared" si="260"/>
        <v>0</v>
      </c>
      <c r="I8385" s="18">
        <v>6408.45</v>
      </c>
      <c r="J8385" s="27">
        <v>9300</v>
      </c>
      <c r="K8385" s="18">
        <f t="shared" si="261"/>
        <v>0</v>
      </c>
      <c r="L8385" s="27">
        <v>6718.22</v>
      </c>
      <c r="M8385" s="36">
        <v>309.77</v>
      </c>
      <c r="T8385" s="41">
        <v>0</v>
      </c>
      <c r="U8385" s="41">
        <v>0</v>
      </c>
      <c r="V8385" s="42" t="s">
        <v>113</v>
      </c>
      <c r="W8385" s="42">
        <v>0</v>
      </c>
      <c r="X8385" s="42">
        <v>0</v>
      </c>
    </row>
    <row r="8386" spans="1:24">
      <c r="A8386" s="27" t="s">
        <v>15222</v>
      </c>
      <c r="B8386" s="28" t="s">
        <v>12240</v>
      </c>
      <c r="C8386" s="27" t="s">
        <v>15223</v>
      </c>
      <c r="D8386" s="27" t="s">
        <v>230</v>
      </c>
      <c r="E8386" s="29">
        <v>40843</v>
      </c>
      <c r="F8386" s="27">
        <v>15</v>
      </c>
      <c r="G8386" s="18">
        <v>140000</v>
      </c>
      <c r="H8386" s="27">
        <f t="shared" si="260"/>
        <v>0</v>
      </c>
      <c r="I8386" s="18">
        <v>96471.48</v>
      </c>
      <c r="J8386" s="27">
        <v>140000</v>
      </c>
      <c r="K8386" s="18">
        <f t="shared" si="261"/>
        <v>0</v>
      </c>
      <c r="L8386" s="27">
        <v>101134.7</v>
      </c>
      <c r="M8386" s="36">
        <v>4663.22</v>
      </c>
      <c r="T8386" s="41">
        <v>0</v>
      </c>
      <c r="U8386" s="41">
        <v>0</v>
      </c>
      <c r="V8386" s="42" t="s">
        <v>113</v>
      </c>
      <c r="W8386" s="42">
        <v>0</v>
      </c>
      <c r="X8386" s="42">
        <v>0</v>
      </c>
    </row>
    <row r="8387" spans="1:24">
      <c r="A8387" s="27" t="s">
        <v>15224</v>
      </c>
      <c r="B8387" s="28" t="s">
        <v>12240</v>
      </c>
      <c r="C8387" s="27" t="s">
        <v>15225</v>
      </c>
      <c r="D8387" s="27" t="s">
        <v>230</v>
      </c>
      <c r="E8387" s="29">
        <v>39417</v>
      </c>
      <c r="F8387" s="27">
        <v>15</v>
      </c>
      <c r="G8387" s="18">
        <v>8988.1299999999992</v>
      </c>
      <c r="H8387" s="27">
        <f t="shared" si="260"/>
        <v>0</v>
      </c>
      <c r="I8387" s="18">
        <v>6760.42</v>
      </c>
      <c r="J8387" s="27">
        <v>8988.1299999999992</v>
      </c>
      <c r="K8387" s="18">
        <f t="shared" si="261"/>
        <v>0</v>
      </c>
      <c r="L8387" s="27">
        <v>7205</v>
      </c>
      <c r="M8387" s="36">
        <v>444.58</v>
      </c>
      <c r="T8387" s="41">
        <v>0</v>
      </c>
      <c r="U8387" s="41">
        <v>0</v>
      </c>
      <c r="V8387" s="42" t="s">
        <v>113</v>
      </c>
      <c r="W8387" s="42">
        <v>0</v>
      </c>
      <c r="X8387" s="42">
        <v>0</v>
      </c>
    </row>
    <row r="8388" spans="1:24">
      <c r="A8388" s="27" t="s">
        <v>15226</v>
      </c>
      <c r="B8388" s="28" t="s">
        <v>12240</v>
      </c>
      <c r="C8388" s="27" t="s">
        <v>15227</v>
      </c>
      <c r="D8388" s="27" t="s">
        <v>230</v>
      </c>
      <c r="E8388" s="29">
        <v>40843</v>
      </c>
      <c r="F8388" s="27">
        <v>15</v>
      </c>
      <c r="G8388" s="18">
        <v>61461.41</v>
      </c>
      <c r="H8388" s="27">
        <f t="shared" si="260"/>
        <v>0</v>
      </c>
      <c r="I8388" s="18">
        <v>35749.5</v>
      </c>
      <c r="J8388" s="27">
        <v>61461.41</v>
      </c>
      <c r="K8388" s="18">
        <f t="shared" si="261"/>
        <v>0</v>
      </c>
      <c r="L8388" s="27">
        <v>38639.56</v>
      </c>
      <c r="M8388" s="36">
        <v>2890.06</v>
      </c>
      <c r="T8388" s="41">
        <v>0</v>
      </c>
      <c r="U8388" s="41">
        <v>0</v>
      </c>
      <c r="V8388" s="42" t="s">
        <v>113</v>
      </c>
      <c r="W8388" s="42">
        <v>0</v>
      </c>
      <c r="X8388" s="42">
        <v>0</v>
      </c>
    </row>
    <row r="8389" spans="1:24">
      <c r="A8389" s="27" t="s">
        <v>15228</v>
      </c>
      <c r="B8389" s="28" t="s">
        <v>12240</v>
      </c>
      <c r="C8389" s="27" t="s">
        <v>15229</v>
      </c>
      <c r="D8389" s="27" t="s">
        <v>230</v>
      </c>
      <c r="E8389" s="29">
        <v>40843</v>
      </c>
      <c r="F8389" s="27">
        <v>15</v>
      </c>
      <c r="G8389" s="18">
        <v>61461.41</v>
      </c>
      <c r="H8389" s="27">
        <f t="shared" si="260"/>
        <v>0</v>
      </c>
      <c r="I8389" s="18">
        <v>35749.5</v>
      </c>
      <c r="J8389" s="27">
        <v>61461.41</v>
      </c>
      <c r="K8389" s="18">
        <f t="shared" si="261"/>
        <v>0</v>
      </c>
      <c r="L8389" s="27">
        <v>38639.56</v>
      </c>
      <c r="M8389" s="36">
        <v>2890.06</v>
      </c>
      <c r="T8389" s="41">
        <v>0</v>
      </c>
      <c r="U8389" s="41">
        <v>0</v>
      </c>
      <c r="V8389" s="42" t="s">
        <v>113</v>
      </c>
      <c r="W8389" s="42">
        <v>0</v>
      </c>
      <c r="X8389" s="42">
        <v>0</v>
      </c>
    </row>
    <row r="8390" spans="1:24">
      <c r="A8390" s="27" t="s">
        <v>15230</v>
      </c>
      <c r="B8390" s="28" t="s">
        <v>12240</v>
      </c>
      <c r="C8390" s="27" t="s">
        <v>15231</v>
      </c>
      <c r="D8390" s="27" t="s">
        <v>230</v>
      </c>
      <c r="E8390" s="29">
        <v>40843</v>
      </c>
      <c r="F8390" s="27">
        <v>15</v>
      </c>
      <c r="G8390" s="18">
        <v>61461.41</v>
      </c>
      <c r="H8390" s="27">
        <f t="shared" ref="H8390:H8453" si="262">IFERROR(IF(ROUND((G8390-I8390)/G8390,2)&lt;=0.05,G8390,0),0)</f>
        <v>0</v>
      </c>
      <c r="I8390" s="18">
        <v>35749.5</v>
      </c>
      <c r="J8390" s="27">
        <v>61461.41</v>
      </c>
      <c r="K8390" s="18">
        <f t="shared" ref="K8390:K8453" si="263">IFERROR(IF(ROUND((J8390-L8390)/J8390,2)&lt;=0.05,J8390,0),0)</f>
        <v>0</v>
      </c>
      <c r="L8390" s="27">
        <v>38639.56</v>
      </c>
      <c r="M8390" s="36">
        <v>2890.06</v>
      </c>
      <c r="T8390" s="41">
        <v>0</v>
      </c>
      <c r="U8390" s="41">
        <v>0</v>
      </c>
      <c r="V8390" s="42" t="s">
        <v>113</v>
      </c>
      <c r="W8390" s="42">
        <v>0</v>
      </c>
      <c r="X8390" s="42">
        <v>0</v>
      </c>
    </row>
    <row r="8391" spans="1:24">
      <c r="A8391" s="27" t="s">
        <v>15232</v>
      </c>
      <c r="B8391" s="28" t="s">
        <v>12240</v>
      </c>
      <c r="C8391" s="27" t="s">
        <v>15233</v>
      </c>
      <c r="D8391" s="27" t="s">
        <v>230</v>
      </c>
      <c r="E8391" s="29">
        <v>40843</v>
      </c>
      <c r="F8391" s="27">
        <v>15</v>
      </c>
      <c r="G8391" s="18">
        <v>61461.41</v>
      </c>
      <c r="H8391" s="27">
        <f t="shared" si="262"/>
        <v>0</v>
      </c>
      <c r="I8391" s="18">
        <v>35749.5</v>
      </c>
      <c r="J8391" s="27">
        <v>61461.41</v>
      </c>
      <c r="K8391" s="18">
        <f t="shared" si="263"/>
        <v>0</v>
      </c>
      <c r="L8391" s="27">
        <v>38639.56</v>
      </c>
      <c r="M8391" s="36">
        <v>2890.06</v>
      </c>
      <c r="T8391" s="41">
        <v>0</v>
      </c>
      <c r="U8391" s="41">
        <v>0</v>
      </c>
      <c r="V8391" s="42" t="s">
        <v>113</v>
      </c>
      <c r="W8391" s="42">
        <v>0</v>
      </c>
      <c r="X8391" s="42">
        <v>0</v>
      </c>
    </row>
    <row r="8392" spans="1:24">
      <c r="A8392" s="27" t="s">
        <v>15234</v>
      </c>
      <c r="B8392" s="28" t="s">
        <v>12240</v>
      </c>
      <c r="C8392" s="27" t="s">
        <v>15235</v>
      </c>
      <c r="D8392" s="27" t="s">
        <v>230</v>
      </c>
      <c r="E8392" s="29">
        <v>40843</v>
      </c>
      <c r="F8392" s="27">
        <v>15</v>
      </c>
      <c r="G8392" s="18">
        <v>9300</v>
      </c>
      <c r="H8392" s="27">
        <f t="shared" si="262"/>
        <v>0</v>
      </c>
      <c r="I8392" s="18">
        <v>6408.45</v>
      </c>
      <c r="J8392" s="27">
        <v>9300</v>
      </c>
      <c r="K8392" s="18">
        <f t="shared" si="263"/>
        <v>0</v>
      </c>
      <c r="L8392" s="27">
        <v>6718.22</v>
      </c>
      <c r="M8392" s="36">
        <v>309.77</v>
      </c>
      <c r="T8392" s="41">
        <v>0</v>
      </c>
      <c r="U8392" s="41">
        <v>0</v>
      </c>
      <c r="V8392" s="42" t="s">
        <v>113</v>
      </c>
      <c r="W8392" s="42">
        <v>0</v>
      </c>
      <c r="X8392" s="42">
        <v>0</v>
      </c>
    </row>
    <row r="8393" spans="1:24">
      <c r="A8393" s="27" t="s">
        <v>15236</v>
      </c>
      <c r="B8393" s="28" t="s">
        <v>12240</v>
      </c>
      <c r="C8393" s="27" t="s">
        <v>15237</v>
      </c>
      <c r="D8393" s="27" t="s">
        <v>230</v>
      </c>
      <c r="E8393" s="29">
        <v>37834</v>
      </c>
      <c r="F8393" s="27">
        <v>15</v>
      </c>
      <c r="G8393" s="18">
        <v>20134.02</v>
      </c>
      <c r="H8393" s="27">
        <f t="shared" si="262"/>
        <v>20134.02</v>
      </c>
      <c r="I8393" s="18">
        <v>19127.32</v>
      </c>
      <c r="J8393" s="27">
        <v>20134.02</v>
      </c>
      <c r="K8393" s="18">
        <f t="shared" si="263"/>
        <v>20134.02</v>
      </c>
      <c r="L8393" s="27">
        <v>19127.32</v>
      </c>
      <c r="M8393" s="36">
        <v>0</v>
      </c>
      <c r="T8393" s="41">
        <v>0</v>
      </c>
      <c r="U8393" s="41">
        <v>0</v>
      </c>
      <c r="V8393" s="42" t="s">
        <v>113</v>
      </c>
      <c r="W8393" s="42">
        <v>20134.02</v>
      </c>
      <c r="X8393" s="42">
        <v>20134.02</v>
      </c>
    </row>
    <row r="8394" spans="1:24">
      <c r="A8394" s="27" t="s">
        <v>15238</v>
      </c>
      <c r="B8394" s="28" t="s">
        <v>12240</v>
      </c>
      <c r="C8394" s="27" t="s">
        <v>15239</v>
      </c>
      <c r="D8394" s="27" t="s">
        <v>230</v>
      </c>
      <c r="E8394" s="29">
        <v>40908</v>
      </c>
      <c r="F8394" s="27">
        <v>15</v>
      </c>
      <c r="G8394" s="18">
        <v>61140.58</v>
      </c>
      <c r="H8394" s="27">
        <f t="shared" si="262"/>
        <v>0</v>
      </c>
      <c r="I8394" s="18">
        <v>32837.550000000003</v>
      </c>
      <c r="J8394" s="27">
        <v>61140.58</v>
      </c>
      <c r="K8394" s="18">
        <f t="shared" si="263"/>
        <v>0</v>
      </c>
      <c r="L8394" s="27">
        <v>35993.300000000003</v>
      </c>
      <c r="M8394" s="36">
        <v>3155.75</v>
      </c>
      <c r="T8394" s="41">
        <v>0</v>
      </c>
      <c r="U8394" s="41">
        <v>0</v>
      </c>
      <c r="V8394" s="42" t="s">
        <v>113</v>
      </c>
      <c r="W8394" s="42">
        <v>0</v>
      </c>
      <c r="X8394" s="42">
        <v>0</v>
      </c>
    </row>
    <row r="8395" spans="1:24">
      <c r="A8395" s="27" t="s">
        <v>15240</v>
      </c>
      <c r="B8395" s="28" t="s">
        <v>12240</v>
      </c>
      <c r="C8395" s="27" t="s">
        <v>15241</v>
      </c>
      <c r="D8395" s="27" t="s">
        <v>230</v>
      </c>
      <c r="E8395" s="29">
        <v>40843</v>
      </c>
      <c r="F8395" s="27">
        <v>15</v>
      </c>
      <c r="G8395" s="18">
        <v>9300</v>
      </c>
      <c r="H8395" s="27">
        <f t="shared" si="262"/>
        <v>0</v>
      </c>
      <c r="I8395" s="18">
        <v>6408.45</v>
      </c>
      <c r="J8395" s="27">
        <v>9300</v>
      </c>
      <c r="K8395" s="18">
        <f t="shared" si="263"/>
        <v>0</v>
      </c>
      <c r="L8395" s="27">
        <v>6718.22</v>
      </c>
      <c r="M8395" s="36">
        <v>309.77</v>
      </c>
      <c r="T8395" s="41">
        <v>0</v>
      </c>
      <c r="U8395" s="41">
        <v>0</v>
      </c>
      <c r="V8395" s="42" t="s">
        <v>113</v>
      </c>
      <c r="W8395" s="42">
        <v>0</v>
      </c>
      <c r="X8395" s="42">
        <v>0</v>
      </c>
    </row>
    <row r="8396" spans="1:24">
      <c r="A8396" s="27" t="s">
        <v>15242</v>
      </c>
      <c r="B8396" s="28" t="s">
        <v>12240</v>
      </c>
      <c r="C8396" s="27" t="s">
        <v>15243</v>
      </c>
      <c r="D8396" s="27" t="s">
        <v>230</v>
      </c>
      <c r="E8396" s="29">
        <v>37226</v>
      </c>
      <c r="F8396" s="27">
        <v>15</v>
      </c>
      <c r="G8396" s="18">
        <v>14919.73</v>
      </c>
      <c r="H8396" s="27">
        <f t="shared" si="262"/>
        <v>14919.73</v>
      </c>
      <c r="I8396" s="18">
        <v>14173.74</v>
      </c>
      <c r="J8396" s="27">
        <v>14919.73</v>
      </c>
      <c r="K8396" s="18">
        <f t="shared" si="263"/>
        <v>14919.73</v>
      </c>
      <c r="L8396" s="27">
        <v>14173.74</v>
      </c>
      <c r="M8396" s="36">
        <v>0</v>
      </c>
      <c r="T8396" s="41">
        <v>0</v>
      </c>
      <c r="U8396" s="41">
        <v>0</v>
      </c>
      <c r="V8396" s="42" t="s">
        <v>113</v>
      </c>
      <c r="W8396" s="42">
        <v>14919.73</v>
      </c>
      <c r="X8396" s="42">
        <v>14919.73</v>
      </c>
    </row>
    <row r="8397" spans="1:24">
      <c r="A8397" s="27" t="s">
        <v>15244</v>
      </c>
      <c r="B8397" s="28" t="s">
        <v>12240</v>
      </c>
      <c r="C8397" s="27" t="s">
        <v>15245</v>
      </c>
      <c r="D8397" s="27" t="s">
        <v>230</v>
      </c>
      <c r="E8397" s="29">
        <v>40843</v>
      </c>
      <c r="F8397" s="27">
        <v>15</v>
      </c>
      <c r="G8397" s="18">
        <v>9300</v>
      </c>
      <c r="H8397" s="27">
        <f t="shared" si="262"/>
        <v>0</v>
      </c>
      <c r="I8397" s="18">
        <v>6408.46</v>
      </c>
      <c r="J8397" s="27">
        <v>9300</v>
      </c>
      <c r="K8397" s="18">
        <f t="shared" si="263"/>
        <v>0</v>
      </c>
      <c r="L8397" s="27">
        <v>6718.23</v>
      </c>
      <c r="M8397" s="36">
        <v>309.77</v>
      </c>
      <c r="T8397" s="41">
        <v>0</v>
      </c>
      <c r="U8397" s="41">
        <v>0</v>
      </c>
      <c r="V8397" s="42" t="s">
        <v>113</v>
      </c>
      <c r="W8397" s="42">
        <v>0</v>
      </c>
      <c r="X8397" s="42">
        <v>0</v>
      </c>
    </row>
    <row r="8398" spans="1:24">
      <c r="A8398" s="27" t="s">
        <v>15246</v>
      </c>
      <c r="B8398" s="28" t="s">
        <v>12240</v>
      </c>
      <c r="C8398" s="27" t="s">
        <v>15247</v>
      </c>
      <c r="D8398" s="27" t="s">
        <v>230</v>
      </c>
      <c r="E8398" s="29">
        <v>40843</v>
      </c>
      <c r="F8398" s="27">
        <v>15</v>
      </c>
      <c r="G8398" s="18">
        <v>9300</v>
      </c>
      <c r="H8398" s="27">
        <f t="shared" si="262"/>
        <v>0</v>
      </c>
      <c r="I8398" s="18">
        <v>6408.45</v>
      </c>
      <c r="J8398" s="27">
        <v>9300</v>
      </c>
      <c r="K8398" s="18">
        <f t="shared" si="263"/>
        <v>0</v>
      </c>
      <c r="L8398" s="27">
        <v>6718.22</v>
      </c>
      <c r="M8398" s="36">
        <v>309.77</v>
      </c>
      <c r="T8398" s="41">
        <v>0</v>
      </c>
      <c r="U8398" s="41">
        <v>0</v>
      </c>
      <c r="V8398" s="42" t="s">
        <v>113</v>
      </c>
      <c r="W8398" s="42">
        <v>0</v>
      </c>
      <c r="X8398" s="42">
        <v>0</v>
      </c>
    </row>
    <row r="8399" spans="1:24">
      <c r="A8399" s="27" t="s">
        <v>15248</v>
      </c>
      <c r="B8399" s="28" t="s">
        <v>12240</v>
      </c>
      <c r="C8399" s="27" t="s">
        <v>15249</v>
      </c>
      <c r="D8399" s="27" t="s">
        <v>230</v>
      </c>
      <c r="E8399" s="29">
        <v>40843</v>
      </c>
      <c r="F8399" s="27">
        <v>15</v>
      </c>
      <c r="G8399" s="18">
        <v>9300</v>
      </c>
      <c r="H8399" s="27">
        <f t="shared" si="262"/>
        <v>0</v>
      </c>
      <c r="I8399" s="18">
        <v>6408.45</v>
      </c>
      <c r="J8399" s="27">
        <v>9300</v>
      </c>
      <c r="K8399" s="18">
        <f t="shared" si="263"/>
        <v>0</v>
      </c>
      <c r="L8399" s="27">
        <v>6718.22</v>
      </c>
      <c r="M8399" s="36">
        <v>309.77</v>
      </c>
      <c r="T8399" s="41">
        <v>0</v>
      </c>
      <c r="U8399" s="41">
        <v>0</v>
      </c>
      <c r="V8399" s="42" t="s">
        <v>113</v>
      </c>
      <c r="W8399" s="42">
        <v>0</v>
      </c>
      <c r="X8399" s="42">
        <v>0</v>
      </c>
    </row>
    <row r="8400" spans="1:24">
      <c r="A8400" s="27" t="s">
        <v>15250</v>
      </c>
      <c r="B8400" s="28" t="s">
        <v>12240</v>
      </c>
      <c r="C8400" s="27" t="s">
        <v>15251</v>
      </c>
      <c r="D8400" s="27" t="s">
        <v>230</v>
      </c>
      <c r="E8400" s="29">
        <v>40843</v>
      </c>
      <c r="F8400" s="27">
        <v>15</v>
      </c>
      <c r="G8400" s="18">
        <v>9300</v>
      </c>
      <c r="H8400" s="27">
        <f t="shared" si="262"/>
        <v>0</v>
      </c>
      <c r="I8400" s="18">
        <v>6408.45</v>
      </c>
      <c r="J8400" s="27">
        <v>9300</v>
      </c>
      <c r="K8400" s="18">
        <f t="shared" si="263"/>
        <v>0</v>
      </c>
      <c r="L8400" s="27">
        <v>6718.22</v>
      </c>
      <c r="M8400" s="36">
        <v>309.77</v>
      </c>
      <c r="T8400" s="41">
        <v>0</v>
      </c>
      <c r="U8400" s="41">
        <v>0</v>
      </c>
      <c r="V8400" s="42" t="s">
        <v>113</v>
      </c>
      <c r="W8400" s="42">
        <v>0</v>
      </c>
      <c r="X8400" s="42">
        <v>0</v>
      </c>
    </row>
    <row r="8401" spans="1:24">
      <c r="A8401" s="27" t="s">
        <v>15252</v>
      </c>
      <c r="B8401" s="28" t="s">
        <v>12240</v>
      </c>
      <c r="C8401" s="27" t="s">
        <v>15253</v>
      </c>
      <c r="D8401" s="27" t="s">
        <v>230</v>
      </c>
      <c r="E8401" s="29">
        <v>40843</v>
      </c>
      <c r="F8401" s="27">
        <v>15</v>
      </c>
      <c r="G8401" s="18">
        <v>9300</v>
      </c>
      <c r="H8401" s="27">
        <f t="shared" si="262"/>
        <v>0</v>
      </c>
      <c r="I8401" s="18">
        <v>6408.45</v>
      </c>
      <c r="J8401" s="27">
        <v>9300</v>
      </c>
      <c r="K8401" s="18">
        <f t="shared" si="263"/>
        <v>0</v>
      </c>
      <c r="L8401" s="27">
        <v>6718.22</v>
      </c>
      <c r="M8401" s="36">
        <v>309.77</v>
      </c>
      <c r="T8401" s="41">
        <v>0</v>
      </c>
      <c r="U8401" s="41">
        <v>0</v>
      </c>
      <c r="V8401" s="42" t="s">
        <v>113</v>
      </c>
      <c r="W8401" s="42">
        <v>0</v>
      </c>
      <c r="X8401" s="42">
        <v>0</v>
      </c>
    </row>
    <row r="8402" spans="1:24">
      <c r="A8402" s="27" t="s">
        <v>15254</v>
      </c>
      <c r="B8402" s="28" t="s">
        <v>12240</v>
      </c>
      <c r="C8402" s="27" t="s">
        <v>15255</v>
      </c>
      <c r="D8402" s="27" t="s">
        <v>230</v>
      </c>
      <c r="E8402" s="29">
        <v>40843</v>
      </c>
      <c r="F8402" s="27">
        <v>15</v>
      </c>
      <c r="G8402" s="18">
        <v>9300</v>
      </c>
      <c r="H8402" s="27">
        <f t="shared" si="262"/>
        <v>0</v>
      </c>
      <c r="I8402" s="18">
        <v>6408.46</v>
      </c>
      <c r="J8402" s="27">
        <v>9300</v>
      </c>
      <c r="K8402" s="18">
        <f t="shared" si="263"/>
        <v>0</v>
      </c>
      <c r="L8402" s="27">
        <v>6718.23</v>
      </c>
      <c r="M8402" s="36">
        <v>309.77</v>
      </c>
      <c r="T8402" s="41">
        <v>0</v>
      </c>
      <c r="U8402" s="41">
        <v>0</v>
      </c>
      <c r="V8402" s="42" t="s">
        <v>113</v>
      </c>
      <c r="W8402" s="42">
        <v>0</v>
      </c>
      <c r="X8402" s="42">
        <v>0</v>
      </c>
    </row>
    <row r="8403" spans="1:24">
      <c r="A8403" s="27" t="s">
        <v>15256</v>
      </c>
      <c r="B8403" s="28" t="s">
        <v>12240</v>
      </c>
      <c r="C8403" s="27" t="s">
        <v>15257</v>
      </c>
      <c r="D8403" s="27" t="s">
        <v>230</v>
      </c>
      <c r="E8403" s="29">
        <v>40843</v>
      </c>
      <c r="F8403" s="27">
        <v>15</v>
      </c>
      <c r="G8403" s="18">
        <v>9300</v>
      </c>
      <c r="H8403" s="27">
        <f t="shared" si="262"/>
        <v>0</v>
      </c>
      <c r="I8403" s="18">
        <v>6408.45</v>
      </c>
      <c r="J8403" s="27">
        <v>9300</v>
      </c>
      <c r="K8403" s="18">
        <f t="shared" si="263"/>
        <v>0</v>
      </c>
      <c r="L8403" s="27">
        <v>6718.22</v>
      </c>
      <c r="M8403" s="36">
        <v>309.77</v>
      </c>
      <c r="T8403" s="41">
        <v>0</v>
      </c>
      <c r="U8403" s="41">
        <v>0</v>
      </c>
      <c r="V8403" s="42" t="s">
        <v>113</v>
      </c>
      <c r="W8403" s="42">
        <v>0</v>
      </c>
      <c r="X8403" s="42">
        <v>0</v>
      </c>
    </row>
    <row r="8404" spans="1:24">
      <c r="A8404" s="27" t="s">
        <v>15258</v>
      </c>
      <c r="B8404" s="28" t="s">
        <v>12240</v>
      </c>
      <c r="C8404" s="27" t="s">
        <v>15259</v>
      </c>
      <c r="D8404" s="27" t="s">
        <v>230</v>
      </c>
      <c r="E8404" s="29">
        <v>40843</v>
      </c>
      <c r="F8404" s="27">
        <v>15</v>
      </c>
      <c r="G8404" s="18">
        <v>9300</v>
      </c>
      <c r="H8404" s="27">
        <f t="shared" si="262"/>
        <v>0</v>
      </c>
      <c r="I8404" s="18">
        <v>6408.45</v>
      </c>
      <c r="J8404" s="27">
        <v>9300</v>
      </c>
      <c r="K8404" s="18">
        <f t="shared" si="263"/>
        <v>0</v>
      </c>
      <c r="L8404" s="27">
        <v>6718.22</v>
      </c>
      <c r="M8404" s="36">
        <v>309.77</v>
      </c>
      <c r="T8404" s="41">
        <v>0</v>
      </c>
      <c r="U8404" s="41">
        <v>0</v>
      </c>
      <c r="V8404" s="42" t="s">
        <v>113</v>
      </c>
      <c r="W8404" s="42">
        <v>0</v>
      </c>
      <c r="X8404" s="42">
        <v>0</v>
      </c>
    </row>
    <row r="8405" spans="1:24">
      <c r="A8405" s="27" t="s">
        <v>15260</v>
      </c>
      <c r="B8405" s="28" t="s">
        <v>12240</v>
      </c>
      <c r="C8405" s="27" t="s">
        <v>15261</v>
      </c>
      <c r="D8405" s="27" t="s">
        <v>230</v>
      </c>
      <c r="E8405" s="29">
        <v>40843</v>
      </c>
      <c r="F8405" s="27">
        <v>15</v>
      </c>
      <c r="G8405" s="18">
        <v>9300</v>
      </c>
      <c r="H8405" s="27">
        <f t="shared" si="262"/>
        <v>0</v>
      </c>
      <c r="I8405" s="18">
        <v>6408.47</v>
      </c>
      <c r="J8405" s="27">
        <v>9300</v>
      </c>
      <c r="K8405" s="18">
        <f t="shared" si="263"/>
        <v>0</v>
      </c>
      <c r="L8405" s="27">
        <v>6718.24</v>
      </c>
      <c r="M8405" s="36">
        <v>309.77</v>
      </c>
      <c r="T8405" s="41">
        <v>0</v>
      </c>
      <c r="U8405" s="41">
        <v>0</v>
      </c>
      <c r="V8405" s="42" t="s">
        <v>113</v>
      </c>
      <c r="W8405" s="42">
        <v>0</v>
      </c>
      <c r="X8405" s="42">
        <v>0</v>
      </c>
    </row>
    <row r="8406" spans="1:24">
      <c r="A8406" s="27" t="s">
        <v>15262</v>
      </c>
      <c r="B8406" s="28" t="s">
        <v>12240</v>
      </c>
      <c r="C8406" s="27" t="s">
        <v>13887</v>
      </c>
      <c r="D8406" s="27" t="s">
        <v>230</v>
      </c>
      <c r="E8406" s="29">
        <v>36495</v>
      </c>
      <c r="F8406" s="27">
        <v>15</v>
      </c>
      <c r="G8406" s="18">
        <v>52334.33</v>
      </c>
      <c r="H8406" s="27">
        <f t="shared" si="262"/>
        <v>52334.33</v>
      </c>
      <c r="I8406" s="18">
        <v>49717.61</v>
      </c>
      <c r="J8406" s="27">
        <v>52334.33</v>
      </c>
      <c r="K8406" s="18">
        <f t="shared" si="263"/>
        <v>52334.33</v>
      </c>
      <c r="L8406" s="27">
        <v>49717.61</v>
      </c>
      <c r="M8406" s="36">
        <v>0</v>
      </c>
      <c r="T8406" s="41">
        <v>0</v>
      </c>
      <c r="U8406" s="41">
        <v>0</v>
      </c>
      <c r="V8406" s="42" t="s">
        <v>113</v>
      </c>
      <c r="W8406" s="42">
        <v>52334.33</v>
      </c>
      <c r="X8406" s="42">
        <v>52334.33</v>
      </c>
    </row>
    <row r="8407" spans="1:24">
      <c r="A8407" s="27" t="s">
        <v>15263</v>
      </c>
      <c r="B8407" s="28" t="s">
        <v>12240</v>
      </c>
      <c r="C8407" s="27" t="s">
        <v>15264</v>
      </c>
      <c r="D8407" s="27" t="s">
        <v>230</v>
      </c>
      <c r="E8407" s="29">
        <v>40843</v>
      </c>
      <c r="F8407" s="27">
        <v>15</v>
      </c>
      <c r="G8407" s="18">
        <v>9300</v>
      </c>
      <c r="H8407" s="27">
        <f t="shared" si="262"/>
        <v>0</v>
      </c>
      <c r="I8407" s="18">
        <v>6408.47</v>
      </c>
      <c r="J8407" s="27">
        <v>9300</v>
      </c>
      <c r="K8407" s="18">
        <f t="shared" si="263"/>
        <v>0</v>
      </c>
      <c r="L8407" s="27">
        <v>6718.24</v>
      </c>
      <c r="M8407" s="36">
        <v>309.77</v>
      </c>
      <c r="T8407" s="41">
        <v>0</v>
      </c>
      <c r="U8407" s="41">
        <v>0</v>
      </c>
      <c r="V8407" s="42" t="s">
        <v>113</v>
      </c>
      <c r="W8407" s="42">
        <v>0</v>
      </c>
      <c r="X8407" s="42">
        <v>0</v>
      </c>
    </row>
    <row r="8408" spans="1:24">
      <c r="A8408" s="27" t="s">
        <v>15265</v>
      </c>
      <c r="B8408" s="28" t="s">
        <v>12240</v>
      </c>
      <c r="C8408" s="27" t="s">
        <v>15266</v>
      </c>
      <c r="D8408" s="27" t="s">
        <v>230</v>
      </c>
      <c r="E8408" s="29">
        <v>39539</v>
      </c>
      <c r="F8408" s="27">
        <v>15</v>
      </c>
      <c r="G8408" s="18">
        <v>145981.09</v>
      </c>
      <c r="H8408" s="27">
        <f t="shared" si="262"/>
        <v>0</v>
      </c>
      <c r="I8408" s="18">
        <v>122621.04</v>
      </c>
      <c r="J8408" s="27">
        <v>145981.09</v>
      </c>
      <c r="K8408" s="18">
        <f t="shared" si="263"/>
        <v>0</v>
      </c>
      <c r="L8408" s="27">
        <v>126327.42</v>
      </c>
      <c r="M8408" s="36">
        <v>3706.38</v>
      </c>
      <c r="T8408" s="41">
        <v>0</v>
      </c>
      <c r="U8408" s="41">
        <v>0</v>
      </c>
      <c r="V8408" s="42" t="s">
        <v>113</v>
      </c>
      <c r="W8408" s="42">
        <v>0</v>
      </c>
      <c r="X8408" s="42">
        <v>0</v>
      </c>
    </row>
    <row r="8409" spans="1:24">
      <c r="A8409" s="27" t="s">
        <v>15267</v>
      </c>
      <c r="B8409" s="28" t="s">
        <v>12240</v>
      </c>
      <c r="C8409" s="27" t="s">
        <v>15268</v>
      </c>
      <c r="D8409" s="27" t="s">
        <v>230</v>
      </c>
      <c r="E8409" s="29">
        <v>39539</v>
      </c>
      <c r="F8409" s="27">
        <v>15</v>
      </c>
      <c r="G8409" s="18">
        <v>137066.12</v>
      </c>
      <c r="H8409" s="27">
        <f t="shared" si="262"/>
        <v>0</v>
      </c>
      <c r="I8409" s="18">
        <v>113636.75</v>
      </c>
      <c r="J8409" s="27">
        <v>137066.12</v>
      </c>
      <c r="K8409" s="18">
        <f t="shared" si="263"/>
        <v>0</v>
      </c>
      <c r="L8409" s="27">
        <v>117461.99</v>
      </c>
      <c r="M8409" s="36">
        <v>3825.24</v>
      </c>
      <c r="T8409" s="41">
        <v>0</v>
      </c>
      <c r="U8409" s="41">
        <v>0</v>
      </c>
      <c r="V8409" s="42" t="s">
        <v>113</v>
      </c>
      <c r="W8409" s="42">
        <v>0</v>
      </c>
      <c r="X8409" s="42">
        <v>0</v>
      </c>
    </row>
    <row r="8410" spans="1:24">
      <c r="A8410" s="27" t="s">
        <v>15269</v>
      </c>
      <c r="B8410" s="28" t="s">
        <v>12240</v>
      </c>
      <c r="C8410" s="27" t="s">
        <v>15270</v>
      </c>
      <c r="D8410" s="27" t="s">
        <v>230</v>
      </c>
      <c r="E8410" s="29">
        <v>39539</v>
      </c>
      <c r="F8410" s="27">
        <v>15</v>
      </c>
      <c r="G8410" s="18">
        <v>120987.07</v>
      </c>
      <c r="H8410" s="27">
        <f t="shared" si="262"/>
        <v>0</v>
      </c>
      <c r="I8410" s="18">
        <v>98967.55</v>
      </c>
      <c r="J8410" s="27">
        <v>120987.07</v>
      </c>
      <c r="K8410" s="18">
        <f t="shared" si="263"/>
        <v>0</v>
      </c>
      <c r="L8410" s="27">
        <v>102652.97</v>
      </c>
      <c r="M8410" s="36">
        <v>3685.42</v>
      </c>
      <c r="T8410" s="41">
        <v>0</v>
      </c>
      <c r="U8410" s="41">
        <v>0</v>
      </c>
      <c r="V8410" s="42" t="s">
        <v>113</v>
      </c>
      <c r="W8410" s="42">
        <v>0</v>
      </c>
      <c r="X8410" s="42">
        <v>0</v>
      </c>
    </row>
    <row r="8411" spans="1:24">
      <c r="A8411" s="27" t="s">
        <v>15271</v>
      </c>
      <c r="B8411" s="28" t="s">
        <v>12240</v>
      </c>
      <c r="C8411" s="27" t="s">
        <v>15272</v>
      </c>
      <c r="D8411" s="27" t="s">
        <v>230</v>
      </c>
      <c r="E8411" s="29">
        <v>39539</v>
      </c>
      <c r="F8411" s="27">
        <v>15</v>
      </c>
      <c r="G8411" s="18">
        <v>143998.53</v>
      </c>
      <c r="H8411" s="27">
        <f t="shared" si="262"/>
        <v>0</v>
      </c>
      <c r="I8411" s="18">
        <v>120222.54</v>
      </c>
      <c r="J8411" s="27">
        <v>143998.53</v>
      </c>
      <c r="K8411" s="18">
        <f t="shared" si="263"/>
        <v>0</v>
      </c>
      <c r="L8411" s="27">
        <v>124047.78</v>
      </c>
      <c r="M8411" s="36">
        <v>3825.24</v>
      </c>
      <c r="T8411" s="41">
        <v>0</v>
      </c>
      <c r="U8411" s="41">
        <v>0</v>
      </c>
      <c r="V8411" s="42" t="s">
        <v>113</v>
      </c>
      <c r="W8411" s="42">
        <v>0</v>
      </c>
      <c r="X8411" s="42">
        <v>0</v>
      </c>
    </row>
    <row r="8412" spans="1:24">
      <c r="A8412" s="27" t="s">
        <v>15273</v>
      </c>
      <c r="B8412" s="28" t="s">
        <v>12240</v>
      </c>
      <c r="C8412" s="27" t="s">
        <v>15274</v>
      </c>
      <c r="D8412" s="27" t="s">
        <v>230</v>
      </c>
      <c r="E8412" s="29">
        <v>39539</v>
      </c>
      <c r="F8412" s="27">
        <v>15</v>
      </c>
      <c r="G8412" s="18">
        <v>127919.48</v>
      </c>
      <c r="H8412" s="27">
        <f t="shared" si="262"/>
        <v>0</v>
      </c>
      <c r="I8412" s="18">
        <v>105553.35</v>
      </c>
      <c r="J8412" s="27">
        <v>127919.48</v>
      </c>
      <c r="K8412" s="18">
        <f t="shared" si="263"/>
        <v>0</v>
      </c>
      <c r="L8412" s="27">
        <v>109238.77</v>
      </c>
      <c r="M8412" s="36">
        <v>3685.42</v>
      </c>
      <c r="T8412" s="41">
        <v>0</v>
      </c>
      <c r="U8412" s="41">
        <v>0</v>
      </c>
      <c r="V8412" s="42" t="s">
        <v>113</v>
      </c>
      <c r="W8412" s="42">
        <v>0</v>
      </c>
      <c r="X8412" s="42">
        <v>0</v>
      </c>
    </row>
    <row r="8413" spans="1:24">
      <c r="A8413" s="27" t="s">
        <v>15275</v>
      </c>
      <c r="B8413" s="28" t="s">
        <v>12240</v>
      </c>
      <c r="C8413" s="27" t="s">
        <v>15276</v>
      </c>
      <c r="D8413" s="27" t="s">
        <v>230</v>
      </c>
      <c r="E8413" s="29">
        <v>39539</v>
      </c>
      <c r="F8413" s="27">
        <v>15</v>
      </c>
      <c r="G8413" s="18">
        <v>120987.07</v>
      </c>
      <c r="H8413" s="27">
        <f t="shared" si="262"/>
        <v>0</v>
      </c>
      <c r="I8413" s="18">
        <v>98967.55</v>
      </c>
      <c r="J8413" s="27">
        <v>120987.07</v>
      </c>
      <c r="K8413" s="18">
        <f t="shared" si="263"/>
        <v>0</v>
      </c>
      <c r="L8413" s="27">
        <v>102652.97</v>
      </c>
      <c r="M8413" s="36">
        <v>3685.42</v>
      </c>
      <c r="T8413" s="41">
        <v>0</v>
      </c>
      <c r="U8413" s="41">
        <v>0</v>
      </c>
      <c r="V8413" s="42" t="s">
        <v>113</v>
      </c>
      <c r="W8413" s="42">
        <v>0</v>
      </c>
      <c r="X8413" s="42">
        <v>0</v>
      </c>
    </row>
    <row r="8414" spans="1:24">
      <c r="A8414" s="27" t="s">
        <v>15277</v>
      </c>
      <c r="B8414" s="28" t="s">
        <v>12240</v>
      </c>
      <c r="C8414" s="27" t="s">
        <v>15278</v>
      </c>
      <c r="D8414" s="27" t="s">
        <v>230</v>
      </c>
      <c r="E8414" s="29">
        <v>39539</v>
      </c>
      <c r="F8414" s="27">
        <v>15</v>
      </c>
      <c r="G8414" s="18">
        <v>137066.10999999999</v>
      </c>
      <c r="H8414" s="27">
        <f t="shared" si="262"/>
        <v>0</v>
      </c>
      <c r="I8414" s="18">
        <v>125131.7</v>
      </c>
      <c r="J8414" s="27">
        <v>137066.10999999999</v>
      </c>
      <c r="K8414" s="18">
        <f t="shared" si="263"/>
        <v>0</v>
      </c>
      <c r="L8414" s="27">
        <v>126304.26</v>
      </c>
      <c r="M8414" s="36">
        <v>1172.56</v>
      </c>
      <c r="T8414" s="41">
        <v>0</v>
      </c>
      <c r="U8414" s="41">
        <v>0</v>
      </c>
      <c r="V8414" s="42" t="s">
        <v>113</v>
      </c>
      <c r="W8414" s="42">
        <v>0</v>
      </c>
      <c r="X8414" s="42">
        <v>0</v>
      </c>
    </row>
    <row r="8415" spans="1:24">
      <c r="A8415" s="27" t="s">
        <v>15279</v>
      </c>
      <c r="B8415" s="28" t="s">
        <v>12240</v>
      </c>
      <c r="C8415" s="27" t="s">
        <v>15280</v>
      </c>
      <c r="D8415" s="27" t="s">
        <v>230</v>
      </c>
      <c r="E8415" s="29">
        <v>39539</v>
      </c>
      <c r="F8415" s="27">
        <v>15</v>
      </c>
      <c r="G8415" s="18">
        <v>120987.07</v>
      </c>
      <c r="H8415" s="27">
        <f t="shared" si="262"/>
        <v>0</v>
      </c>
      <c r="I8415" s="18">
        <v>98967.55</v>
      </c>
      <c r="J8415" s="27">
        <v>120987.07</v>
      </c>
      <c r="K8415" s="18">
        <f t="shared" si="263"/>
        <v>0</v>
      </c>
      <c r="L8415" s="27">
        <v>102652.97</v>
      </c>
      <c r="M8415" s="36">
        <v>3685.42</v>
      </c>
      <c r="T8415" s="41">
        <v>0</v>
      </c>
      <c r="U8415" s="41">
        <v>0</v>
      </c>
      <c r="V8415" s="42" t="s">
        <v>113</v>
      </c>
      <c r="W8415" s="42">
        <v>0</v>
      </c>
      <c r="X8415" s="42">
        <v>0</v>
      </c>
    </row>
    <row r="8416" spans="1:24">
      <c r="A8416" s="27" t="s">
        <v>15281</v>
      </c>
      <c r="B8416" s="28" t="s">
        <v>12240</v>
      </c>
      <c r="C8416" s="27" t="s">
        <v>15282</v>
      </c>
      <c r="D8416" s="27" t="s">
        <v>230</v>
      </c>
      <c r="E8416" s="29">
        <v>39539</v>
      </c>
      <c r="F8416" s="27">
        <v>15</v>
      </c>
      <c r="G8416" s="18">
        <v>120987.07</v>
      </c>
      <c r="H8416" s="27">
        <f t="shared" si="262"/>
        <v>0</v>
      </c>
      <c r="I8416" s="18">
        <v>98967.55</v>
      </c>
      <c r="J8416" s="27">
        <v>120987.07</v>
      </c>
      <c r="K8416" s="18">
        <f t="shared" si="263"/>
        <v>0</v>
      </c>
      <c r="L8416" s="27">
        <v>102652.97</v>
      </c>
      <c r="M8416" s="36">
        <v>3685.42</v>
      </c>
      <c r="T8416" s="41">
        <v>0</v>
      </c>
      <c r="U8416" s="41">
        <v>0</v>
      </c>
      <c r="V8416" s="42" t="s">
        <v>113</v>
      </c>
      <c r="W8416" s="42">
        <v>0</v>
      </c>
      <c r="X8416" s="42">
        <v>0</v>
      </c>
    </row>
    <row r="8417" spans="1:24">
      <c r="A8417" s="27" t="s">
        <v>15283</v>
      </c>
      <c r="B8417" s="28" t="s">
        <v>12240</v>
      </c>
      <c r="C8417" s="27" t="s">
        <v>15284</v>
      </c>
      <c r="D8417" s="27" t="s">
        <v>230</v>
      </c>
      <c r="E8417" s="29">
        <v>39539</v>
      </c>
      <c r="F8417" s="27">
        <v>15</v>
      </c>
      <c r="G8417" s="18">
        <v>120987.07</v>
      </c>
      <c r="H8417" s="27">
        <f t="shared" si="262"/>
        <v>0</v>
      </c>
      <c r="I8417" s="18">
        <v>98967.55</v>
      </c>
      <c r="J8417" s="27">
        <v>120987.07</v>
      </c>
      <c r="K8417" s="18">
        <f t="shared" si="263"/>
        <v>0</v>
      </c>
      <c r="L8417" s="27">
        <v>102652.97</v>
      </c>
      <c r="M8417" s="36">
        <v>3685.42</v>
      </c>
      <c r="T8417" s="41">
        <v>0</v>
      </c>
      <c r="U8417" s="41">
        <v>0</v>
      </c>
      <c r="V8417" s="42" t="s">
        <v>113</v>
      </c>
      <c r="W8417" s="42">
        <v>0</v>
      </c>
      <c r="X8417" s="42">
        <v>0</v>
      </c>
    </row>
    <row r="8418" spans="1:24">
      <c r="A8418" s="27" t="s">
        <v>15285</v>
      </c>
      <c r="B8418" s="28" t="s">
        <v>12240</v>
      </c>
      <c r="C8418" s="27" t="s">
        <v>15286</v>
      </c>
      <c r="D8418" s="27" t="s">
        <v>230</v>
      </c>
      <c r="E8418" s="29">
        <v>39539</v>
      </c>
      <c r="F8418" s="27">
        <v>15</v>
      </c>
      <c r="G8418" s="18">
        <v>120987.07</v>
      </c>
      <c r="H8418" s="27">
        <f t="shared" si="262"/>
        <v>0</v>
      </c>
      <c r="I8418" s="18">
        <v>98967.55</v>
      </c>
      <c r="J8418" s="27">
        <v>120987.07</v>
      </c>
      <c r="K8418" s="18">
        <f t="shared" si="263"/>
        <v>0</v>
      </c>
      <c r="L8418" s="27">
        <v>102652.97</v>
      </c>
      <c r="M8418" s="36">
        <v>3685.42</v>
      </c>
      <c r="T8418" s="41">
        <v>0</v>
      </c>
      <c r="U8418" s="41">
        <v>0</v>
      </c>
      <c r="V8418" s="42" t="s">
        <v>113</v>
      </c>
      <c r="W8418" s="42">
        <v>0</v>
      </c>
      <c r="X8418" s="42">
        <v>0</v>
      </c>
    </row>
    <row r="8419" spans="1:24">
      <c r="A8419" s="27" t="s">
        <v>15287</v>
      </c>
      <c r="B8419" s="28" t="s">
        <v>12240</v>
      </c>
      <c r="C8419" s="27" t="s">
        <v>15288</v>
      </c>
      <c r="D8419" s="27" t="s">
        <v>230</v>
      </c>
      <c r="E8419" s="29">
        <v>39539</v>
      </c>
      <c r="F8419" s="27">
        <v>15</v>
      </c>
      <c r="G8419" s="18">
        <v>120987.07</v>
      </c>
      <c r="H8419" s="27">
        <f t="shared" si="262"/>
        <v>0</v>
      </c>
      <c r="I8419" s="18">
        <v>98967.55</v>
      </c>
      <c r="J8419" s="27">
        <v>120987.07</v>
      </c>
      <c r="K8419" s="18">
        <f t="shared" si="263"/>
        <v>0</v>
      </c>
      <c r="L8419" s="27">
        <v>102652.97</v>
      </c>
      <c r="M8419" s="36">
        <v>3685.42</v>
      </c>
      <c r="T8419" s="41">
        <v>0</v>
      </c>
      <c r="U8419" s="41">
        <v>0</v>
      </c>
      <c r="V8419" s="42" t="s">
        <v>113</v>
      </c>
      <c r="W8419" s="42">
        <v>0</v>
      </c>
      <c r="X8419" s="42">
        <v>0</v>
      </c>
    </row>
    <row r="8420" spans="1:24">
      <c r="A8420" s="27" t="s">
        <v>15289</v>
      </c>
      <c r="B8420" s="28" t="s">
        <v>12240</v>
      </c>
      <c r="C8420" s="27" t="s">
        <v>15290</v>
      </c>
      <c r="D8420" s="27" t="s">
        <v>230</v>
      </c>
      <c r="E8420" s="29">
        <v>39539</v>
      </c>
      <c r="F8420" s="27">
        <v>15</v>
      </c>
      <c r="G8420" s="18">
        <v>127919.48</v>
      </c>
      <c r="H8420" s="27">
        <f t="shared" si="262"/>
        <v>0</v>
      </c>
      <c r="I8420" s="18">
        <v>105553.34</v>
      </c>
      <c r="J8420" s="27">
        <v>127919.48</v>
      </c>
      <c r="K8420" s="18">
        <f t="shared" si="263"/>
        <v>0</v>
      </c>
      <c r="L8420" s="27">
        <v>109238.76</v>
      </c>
      <c r="M8420" s="36">
        <v>3685.42</v>
      </c>
      <c r="T8420" s="41">
        <v>0</v>
      </c>
      <c r="U8420" s="41">
        <v>0</v>
      </c>
      <c r="V8420" s="42" t="s">
        <v>113</v>
      </c>
      <c r="W8420" s="42">
        <v>0</v>
      </c>
      <c r="X8420" s="42">
        <v>0</v>
      </c>
    </row>
    <row r="8421" spans="1:24">
      <c r="A8421" s="27" t="s">
        <v>15291</v>
      </c>
      <c r="B8421" s="28" t="s">
        <v>12240</v>
      </c>
      <c r="C8421" s="27" t="s">
        <v>15292</v>
      </c>
      <c r="D8421" s="27" t="s">
        <v>230</v>
      </c>
      <c r="E8421" s="29">
        <v>39539</v>
      </c>
      <c r="F8421" s="27">
        <v>15</v>
      </c>
      <c r="G8421" s="18">
        <v>127919.48</v>
      </c>
      <c r="H8421" s="27">
        <f t="shared" si="262"/>
        <v>0</v>
      </c>
      <c r="I8421" s="18">
        <v>105553.34</v>
      </c>
      <c r="J8421" s="27">
        <v>127919.48</v>
      </c>
      <c r="K8421" s="18">
        <f t="shared" si="263"/>
        <v>0</v>
      </c>
      <c r="L8421" s="27">
        <v>109238.76</v>
      </c>
      <c r="M8421" s="36">
        <v>3685.42</v>
      </c>
      <c r="T8421" s="41">
        <v>0</v>
      </c>
      <c r="U8421" s="41">
        <v>0</v>
      </c>
      <c r="V8421" s="42" t="s">
        <v>113</v>
      </c>
      <c r="W8421" s="42">
        <v>0</v>
      </c>
      <c r="X8421" s="42">
        <v>0</v>
      </c>
    </row>
    <row r="8422" spans="1:24">
      <c r="A8422" s="27" t="s">
        <v>15293</v>
      </c>
      <c r="B8422" s="28" t="s">
        <v>12240</v>
      </c>
      <c r="C8422" s="27" t="s">
        <v>15294</v>
      </c>
      <c r="D8422" s="27" t="s">
        <v>230</v>
      </c>
      <c r="E8422" s="29">
        <v>39539</v>
      </c>
      <c r="F8422" s="27">
        <v>15</v>
      </c>
      <c r="G8422" s="18">
        <v>127919.48</v>
      </c>
      <c r="H8422" s="27">
        <f t="shared" si="262"/>
        <v>0</v>
      </c>
      <c r="I8422" s="18">
        <v>105553.35</v>
      </c>
      <c r="J8422" s="27">
        <v>127919.48</v>
      </c>
      <c r="K8422" s="18">
        <f t="shared" si="263"/>
        <v>0</v>
      </c>
      <c r="L8422" s="27">
        <v>109238.77</v>
      </c>
      <c r="M8422" s="36">
        <v>3685.42</v>
      </c>
      <c r="T8422" s="41">
        <v>0</v>
      </c>
      <c r="U8422" s="41">
        <v>0</v>
      </c>
      <c r="V8422" s="42" t="s">
        <v>113</v>
      </c>
      <c r="W8422" s="42">
        <v>0</v>
      </c>
      <c r="X8422" s="42">
        <v>0</v>
      </c>
    </row>
    <row r="8423" spans="1:24">
      <c r="A8423" s="27" t="s">
        <v>15295</v>
      </c>
      <c r="B8423" s="28" t="s">
        <v>12240</v>
      </c>
      <c r="C8423" s="27" t="s">
        <v>15296</v>
      </c>
      <c r="D8423" s="27" t="s">
        <v>230</v>
      </c>
      <c r="E8423" s="29">
        <v>40843</v>
      </c>
      <c r="F8423" s="27">
        <v>15</v>
      </c>
      <c r="G8423" s="18">
        <v>9300</v>
      </c>
      <c r="H8423" s="27">
        <f t="shared" si="262"/>
        <v>0</v>
      </c>
      <c r="I8423" s="18">
        <v>6408.46</v>
      </c>
      <c r="J8423" s="27">
        <v>9300</v>
      </c>
      <c r="K8423" s="18">
        <f t="shared" si="263"/>
        <v>0</v>
      </c>
      <c r="L8423" s="27">
        <v>6718.23</v>
      </c>
      <c r="M8423" s="36">
        <v>309.77</v>
      </c>
      <c r="T8423" s="41">
        <v>0</v>
      </c>
      <c r="U8423" s="41">
        <v>0</v>
      </c>
      <c r="V8423" s="42" t="s">
        <v>113</v>
      </c>
      <c r="W8423" s="42">
        <v>0</v>
      </c>
      <c r="X8423" s="42">
        <v>0</v>
      </c>
    </row>
    <row r="8424" spans="1:24">
      <c r="A8424" s="27" t="s">
        <v>15297</v>
      </c>
      <c r="B8424" s="28" t="s">
        <v>12240</v>
      </c>
      <c r="C8424" s="27" t="s">
        <v>15298</v>
      </c>
      <c r="D8424" s="27" t="s">
        <v>230</v>
      </c>
      <c r="E8424" s="29">
        <v>40843</v>
      </c>
      <c r="F8424" s="27">
        <v>15</v>
      </c>
      <c r="G8424" s="18">
        <v>9300</v>
      </c>
      <c r="H8424" s="27">
        <f t="shared" si="262"/>
        <v>0</v>
      </c>
      <c r="I8424" s="18">
        <v>6408.46</v>
      </c>
      <c r="J8424" s="27">
        <v>9300</v>
      </c>
      <c r="K8424" s="18">
        <f t="shared" si="263"/>
        <v>0</v>
      </c>
      <c r="L8424" s="27">
        <v>6718.23</v>
      </c>
      <c r="M8424" s="36">
        <v>309.77</v>
      </c>
      <c r="T8424" s="41">
        <v>0</v>
      </c>
      <c r="U8424" s="41">
        <v>0</v>
      </c>
      <c r="V8424" s="42" t="s">
        <v>113</v>
      </c>
      <c r="W8424" s="42">
        <v>0</v>
      </c>
      <c r="X8424" s="42">
        <v>0</v>
      </c>
    </row>
    <row r="8425" spans="1:24">
      <c r="A8425" s="27" t="s">
        <v>15299</v>
      </c>
      <c r="B8425" s="28" t="s">
        <v>12240</v>
      </c>
      <c r="C8425" s="27" t="s">
        <v>15300</v>
      </c>
      <c r="D8425" s="27" t="s">
        <v>230</v>
      </c>
      <c r="E8425" s="29">
        <v>37834</v>
      </c>
      <c r="F8425" s="27">
        <v>15</v>
      </c>
      <c r="G8425" s="18">
        <v>61461.41</v>
      </c>
      <c r="H8425" s="27">
        <f t="shared" si="262"/>
        <v>61461.41</v>
      </c>
      <c r="I8425" s="18">
        <v>58388.34</v>
      </c>
      <c r="J8425" s="27">
        <v>61461.41</v>
      </c>
      <c r="K8425" s="18">
        <f t="shared" si="263"/>
        <v>61461.41</v>
      </c>
      <c r="L8425" s="27">
        <v>58388.34</v>
      </c>
      <c r="M8425" s="36">
        <v>0</v>
      </c>
      <c r="T8425" s="41">
        <v>0</v>
      </c>
      <c r="U8425" s="41">
        <v>0</v>
      </c>
      <c r="V8425" s="42" t="s">
        <v>113</v>
      </c>
      <c r="W8425" s="42">
        <v>61461.41</v>
      </c>
      <c r="X8425" s="42">
        <v>61461.41</v>
      </c>
    </row>
    <row r="8426" spans="1:24">
      <c r="A8426" s="27" t="s">
        <v>15301</v>
      </c>
      <c r="B8426" s="28" t="s">
        <v>12240</v>
      </c>
      <c r="C8426" s="27" t="s">
        <v>15302</v>
      </c>
      <c r="D8426" s="27" t="s">
        <v>230</v>
      </c>
      <c r="E8426" s="29">
        <v>40843</v>
      </c>
      <c r="F8426" s="27">
        <v>15</v>
      </c>
      <c r="G8426" s="18">
        <v>61461.41</v>
      </c>
      <c r="H8426" s="27">
        <f t="shared" si="262"/>
        <v>0</v>
      </c>
      <c r="I8426" s="18">
        <v>35749.5</v>
      </c>
      <c r="J8426" s="27">
        <v>61461.41</v>
      </c>
      <c r="K8426" s="18">
        <f t="shared" si="263"/>
        <v>0</v>
      </c>
      <c r="L8426" s="27">
        <v>38639.56</v>
      </c>
      <c r="M8426" s="36">
        <v>2890.06</v>
      </c>
      <c r="T8426" s="41">
        <v>0</v>
      </c>
      <c r="U8426" s="41">
        <v>0</v>
      </c>
      <c r="V8426" s="42" t="s">
        <v>113</v>
      </c>
      <c r="W8426" s="42">
        <v>0</v>
      </c>
      <c r="X8426" s="42">
        <v>0</v>
      </c>
    </row>
    <row r="8427" spans="1:24">
      <c r="A8427" s="27" t="s">
        <v>15303</v>
      </c>
      <c r="B8427" s="28" t="s">
        <v>12240</v>
      </c>
      <c r="C8427" s="27" t="s">
        <v>15304</v>
      </c>
      <c r="D8427" s="27" t="s">
        <v>230</v>
      </c>
      <c r="E8427" s="29">
        <v>40843</v>
      </c>
      <c r="F8427" s="27">
        <v>15</v>
      </c>
      <c r="G8427" s="18">
        <v>120000</v>
      </c>
      <c r="H8427" s="27">
        <f t="shared" si="262"/>
        <v>0</v>
      </c>
      <c r="I8427" s="18">
        <v>82689.83</v>
      </c>
      <c r="J8427" s="27">
        <v>120000</v>
      </c>
      <c r="K8427" s="18">
        <f t="shared" si="263"/>
        <v>0</v>
      </c>
      <c r="L8427" s="27">
        <v>86686.87</v>
      </c>
      <c r="M8427" s="36">
        <v>3997.04</v>
      </c>
      <c r="T8427" s="41">
        <v>0</v>
      </c>
      <c r="U8427" s="41">
        <v>0</v>
      </c>
      <c r="V8427" s="42" t="s">
        <v>113</v>
      </c>
      <c r="W8427" s="42">
        <v>0</v>
      </c>
      <c r="X8427" s="42">
        <v>0</v>
      </c>
    </row>
    <row r="8428" spans="1:24">
      <c r="A8428" s="27" t="s">
        <v>15305</v>
      </c>
      <c r="B8428" s="28" t="s">
        <v>12240</v>
      </c>
      <c r="C8428" s="27" t="s">
        <v>15306</v>
      </c>
      <c r="D8428" s="27" t="s">
        <v>230</v>
      </c>
      <c r="E8428" s="29">
        <v>40843</v>
      </c>
      <c r="F8428" s="27">
        <v>15</v>
      </c>
      <c r="G8428" s="18">
        <v>120000</v>
      </c>
      <c r="H8428" s="27">
        <f t="shared" si="262"/>
        <v>0</v>
      </c>
      <c r="I8428" s="18">
        <v>82689.83</v>
      </c>
      <c r="J8428" s="27">
        <v>120000</v>
      </c>
      <c r="K8428" s="18">
        <f t="shared" si="263"/>
        <v>0</v>
      </c>
      <c r="L8428" s="27">
        <v>86686.87</v>
      </c>
      <c r="M8428" s="36">
        <v>3997.04</v>
      </c>
      <c r="T8428" s="41">
        <v>0</v>
      </c>
      <c r="U8428" s="41">
        <v>0</v>
      </c>
      <c r="V8428" s="42" t="s">
        <v>113</v>
      </c>
      <c r="W8428" s="42">
        <v>0</v>
      </c>
      <c r="X8428" s="42">
        <v>0</v>
      </c>
    </row>
    <row r="8429" spans="1:24">
      <c r="A8429" s="27" t="s">
        <v>15307</v>
      </c>
      <c r="B8429" s="28" t="s">
        <v>12240</v>
      </c>
      <c r="C8429" s="27" t="s">
        <v>15308</v>
      </c>
      <c r="D8429" s="27" t="s">
        <v>230</v>
      </c>
      <c r="E8429" s="29">
        <v>40843</v>
      </c>
      <c r="F8429" s="27">
        <v>15</v>
      </c>
      <c r="G8429" s="18">
        <v>120000</v>
      </c>
      <c r="H8429" s="27">
        <f t="shared" si="262"/>
        <v>0</v>
      </c>
      <c r="I8429" s="18">
        <v>82689.83</v>
      </c>
      <c r="J8429" s="27">
        <v>120000</v>
      </c>
      <c r="K8429" s="18">
        <f t="shared" si="263"/>
        <v>0</v>
      </c>
      <c r="L8429" s="27">
        <v>86686.87</v>
      </c>
      <c r="M8429" s="36">
        <v>3997.04</v>
      </c>
      <c r="T8429" s="41">
        <v>0</v>
      </c>
      <c r="U8429" s="41">
        <v>0</v>
      </c>
      <c r="V8429" s="42" t="s">
        <v>113</v>
      </c>
      <c r="W8429" s="42">
        <v>0</v>
      </c>
      <c r="X8429" s="42">
        <v>0</v>
      </c>
    </row>
    <row r="8430" spans="1:24">
      <c r="A8430" s="27" t="s">
        <v>15309</v>
      </c>
      <c r="B8430" s="28" t="s">
        <v>12240</v>
      </c>
      <c r="C8430" s="27" t="s">
        <v>15310</v>
      </c>
      <c r="D8430" s="27" t="s">
        <v>230</v>
      </c>
      <c r="E8430" s="29">
        <v>37226</v>
      </c>
      <c r="F8430" s="27">
        <v>15</v>
      </c>
      <c r="G8430" s="18">
        <v>30451.21</v>
      </c>
      <c r="H8430" s="27">
        <f t="shared" si="262"/>
        <v>30451.21</v>
      </c>
      <c r="I8430" s="18">
        <v>28928.65</v>
      </c>
      <c r="J8430" s="27">
        <v>30451.21</v>
      </c>
      <c r="K8430" s="18">
        <f t="shared" si="263"/>
        <v>30451.21</v>
      </c>
      <c r="L8430" s="27">
        <v>28928.65</v>
      </c>
      <c r="M8430" s="36">
        <v>0</v>
      </c>
      <c r="T8430" s="41">
        <v>0</v>
      </c>
      <c r="U8430" s="41">
        <v>0</v>
      </c>
      <c r="V8430" s="42" t="s">
        <v>113</v>
      </c>
      <c r="W8430" s="42">
        <v>30451.21</v>
      </c>
      <c r="X8430" s="42">
        <v>30451.21</v>
      </c>
    </row>
    <row r="8431" spans="1:24">
      <c r="A8431" s="27" t="s">
        <v>15311</v>
      </c>
      <c r="B8431" s="28" t="s">
        <v>12240</v>
      </c>
      <c r="C8431" s="27" t="s">
        <v>15312</v>
      </c>
      <c r="D8431" s="27" t="s">
        <v>230</v>
      </c>
      <c r="E8431" s="29">
        <v>40843</v>
      </c>
      <c r="F8431" s="27">
        <v>15</v>
      </c>
      <c r="G8431" s="18">
        <v>120000</v>
      </c>
      <c r="H8431" s="27">
        <f t="shared" si="262"/>
        <v>0</v>
      </c>
      <c r="I8431" s="18">
        <v>82689.83</v>
      </c>
      <c r="J8431" s="27">
        <v>120000</v>
      </c>
      <c r="K8431" s="18">
        <f t="shared" si="263"/>
        <v>0</v>
      </c>
      <c r="L8431" s="27">
        <v>86686.87</v>
      </c>
      <c r="M8431" s="36">
        <v>3997.04</v>
      </c>
      <c r="T8431" s="41">
        <v>0</v>
      </c>
      <c r="U8431" s="41">
        <v>0</v>
      </c>
      <c r="V8431" s="42" t="s">
        <v>113</v>
      </c>
      <c r="W8431" s="42">
        <v>0</v>
      </c>
      <c r="X8431" s="42">
        <v>0</v>
      </c>
    </row>
    <row r="8432" spans="1:24">
      <c r="A8432" s="27" t="s">
        <v>15313</v>
      </c>
      <c r="B8432" s="28" t="s">
        <v>12240</v>
      </c>
      <c r="C8432" s="27" t="s">
        <v>15314</v>
      </c>
      <c r="D8432" s="27" t="s">
        <v>230</v>
      </c>
      <c r="E8432" s="29">
        <v>40843</v>
      </c>
      <c r="F8432" s="27">
        <v>15</v>
      </c>
      <c r="G8432" s="18">
        <v>120000</v>
      </c>
      <c r="H8432" s="27">
        <f t="shared" si="262"/>
        <v>0</v>
      </c>
      <c r="I8432" s="18">
        <v>82689.83</v>
      </c>
      <c r="J8432" s="27">
        <v>120000</v>
      </c>
      <c r="K8432" s="18">
        <f t="shared" si="263"/>
        <v>0</v>
      </c>
      <c r="L8432" s="27">
        <v>86686.87</v>
      </c>
      <c r="M8432" s="36">
        <v>3997.04</v>
      </c>
      <c r="T8432" s="41">
        <v>0</v>
      </c>
      <c r="U8432" s="41">
        <v>0</v>
      </c>
      <c r="V8432" s="42" t="s">
        <v>113</v>
      </c>
      <c r="W8432" s="42">
        <v>0</v>
      </c>
      <c r="X8432" s="42">
        <v>0</v>
      </c>
    </row>
    <row r="8433" spans="1:24">
      <c r="A8433" s="27" t="s">
        <v>15315</v>
      </c>
      <c r="B8433" s="28" t="s">
        <v>12240</v>
      </c>
      <c r="C8433" s="27" t="s">
        <v>15316</v>
      </c>
      <c r="D8433" s="27" t="s">
        <v>230</v>
      </c>
      <c r="E8433" s="29">
        <v>40843</v>
      </c>
      <c r="F8433" s="27">
        <v>15</v>
      </c>
      <c r="G8433" s="18">
        <v>120000</v>
      </c>
      <c r="H8433" s="27">
        <f t="shared" si="262"/>
        <v>0</v>
      </c>
      <c r="I8433" s="18">
        <v>82689.83</v>
      </c>
      <c r="J8433" s="27">
        <v>120000</v>
      </c>
      <c r="K8433" s="18">
        <f t="shared" si="263"/>
        <v>0</v>
      </c>
      <c r="L8433" s="27">
        <v>86686.87</v>
      </c>
      <c r="M8433" s="36">
        <v>3997.04</v>
      </c>
      <c r="T8433" s="41">
        <v>0</v>
      </c>
      <c r="U8433" s="41">
        <v>0</v>
      </c>
      <c r="V8433" s="42" t="s">
        <v>113</v>
      </c>
      <c r="W8433" s="42">
        <v>0</v>
      </c>
      <c r="X8433" s="42">
        <v>0</v>
      </c>
    </row>
    <row r="8434" spans="1:24">
      <c r="A8434" s="27" t="s">
        <v>15317</v>
      </c>
      <c r="B8434" s="28" t="s">
        <v>12240</v>
      </c>
      <c r="C8434" s="27" t="s">
        <v>15318</v>
      </c>
      <c r="D8434" s="27" t="s">
        <v>230</v>
      </c>
      <c r="E8434" s="29">
        <v>40843</v>
      </c>
      <c r="F8434" s="27">
        <v>15</v>
      </c>
      <c r="G8434" s="18">
        <v>120000</v>
      </c>
      <c r="H8434" s="27">
        <f t="shared" si="262"/>
        <v>0</v>
      </c>
      <c r="I8434" s="18">
        <v>82689.83</v>
      </c>
      <c r="J8434" s="27">
        <v>120000</v>
      </c>
      <c r="K8434" s="18">
        <f t="shared" si="263"/>
        <v>0</v>
      </c>
      <c r="L8434" s="27">
        <v>86686.87</v>
      </c>
      <c r="M8434" s="36">
        <v>3997.04</v>
      </c>
      <c r="T8434" s="41">
        <v>0</v>
      </c>
      <c r="U8434" s="41">
        <v>0</v>
      </c>
      <c r="V8434" s="42" t="s">
        <v>113</v>
      </c>
      <c r="W8434" s="42">
        <v>0</v>
      </c>
      <c r="X8434" s="42">
        <v>0</v>
      </c>
    </row>
    <row r="8435" spans="1:24">
      <c r="A8435" s="27" t="s">
        <v>15319</v>
      </c>
      <c r="B8435" s="28" t="s">
        <v>12240</v>
      </c>
      <c r="C8435" s="27" t="s">
        <v>15320</v>
      </c>
      <c r="D8435" s="27" t="s">
        <v>230</v>
      </c>
      <c r="E8435" s="29">
        <v>41271</v>
      </c>
      <c r="F8435" s="27">
        <v>15</v>
      </c>
      <c r="G8435" s="18">
        <v>180000</v>
      </c>
      <c r="H8435" s="27">
        <f t="shared" si="262"/>
        <v>0</v>
      </c>
      <c r="I8435" s="18">
        <v>94929.86</v>
      </c>
      <c r="J8435" s="27">
        <v>180000</v>
      </c>
      <c r="K8435" s="18">
        <f t="shared" si="263"/>
        <v>0</v>
      </c>
      <c r="L8435" s="27">
        <v>103382.1</v>
      </c>
      <c r="M8435" s="36">
        <v>8452.24</v>
      </c>
      <c r="T8435" s="41">
        <v>0</v>
      </c>
      <c r="U8435" s="41">
        <v>0</v>
      </c>
      <c r="V8435" s="42" t="s">
        <v>113</v>
      </c>
      <c r="W8435" s="42">
        <v>0</v>
      </c>
      <c r="X8435" s="42">
        <v>0</v>
      </c>
    </row>
    <row r="8436" spans="1:24">
      <c r="A8436" s="27" t="s">
        <v>15321</v>
      </c>
      <c r="B8436" s="28" t="s">
        <v>12240</v>
      </c>
      <c r="C8436" s="27" t="s">
        <v>15322</v>
      </c>
      <c r="D8436" s="27" t="s">
        <v>230</v>
      </c>
      <c r="E8436" s="29">
        <v>41271</v>
      </c>
      <c r="F8436" s="27">
        <v>15</v>
      </c>
      <c r="G8436" s="18">
        <v>180000</v>
      </c>
      <c r="H8436" s="27">
        <f t="shared" si="262"/>
        <v>0</v>
      </c>
      <c r="I8436" s="18">
        <v>94929.86</v>
      </c>
      <c r="J8436" s="27">
        <v>180000</v>
      </c>
      <c r="K8436" s="18">
        <f t="shared" si="263"/>
        <v>0</v>
      </c>
      <c r="L8436" s="27">
        <v>103382.1</v>
      </c>
      <c r="M8436" s="36">
        <v>8452.24</v>
      </c>
      <c r="T8436" s="41">
        <v>0</v>
      </c>
      <c r="U8436" s="41">
        <v>0</v>
      </c>
      <c r="V8436" s="42" t="s">
        <v>113</v>
      </c>
      <c r="W8436" s="42">
        <v>0</v>
      </c>
      <c r="X8436" s="42">
        <v>0</v>
      </c>
    </row>
    <row r="8437" spans="1:24">
      <c r="A8437" s="27" t="s">
        <v>15323</v>
      </c>
      <c r="B8437" s="28" t="s">
        <v>12240</v>
      </c>
      <c r="C8437" s="27" t="s">
        <v>15324</v>
      </c>
      <c r="D8437" s="27" t="s">
        <v>230</v>
      </c>
      <c r="E8437" s="29">
        <v>40843</v>
      </c>
      <c r="F8437" s="27">
        <v>15</v>
      </c>
      <c r="G8437" s="18">
        <v>120000</v>
      </c>
      <c r="H8437" s="27">
        <f t="shared" si="262"/>
        <v>0</v>
      </c>
      <c r="I8437" s="18">
        <v>82689.83</v>
      </c>
      <c r="J8437" s="27">
        <v>120000</v>
      </c>
      <c r="K8437" s="18">
        <f t="shared" si="263"/>
        <v>0</v>
      </c>
      <c r="L8437" s="27">
        <v>86686.87</v>
      </c>
      <c r="M8437" s="36">
        <v>3997.04</v>
      </c>
      <c r="T8437" s="41">
        <v>0</v>
      </c>
      <c r="U8437" s="41">
        <v>0</v>
      </c>
      <c r="V8437" s="42" t="s">
        <v>113</v>
      </c>
      <c r="W8437" s="42">
        <v>0</v>
      </c>
      <c r="X8437" s="42">
        <v>0</v>
      </c>
    </row>
    <row r="8438" spans="1:24">
      <c r="A8438" s="27" t="s">
        <v>15325</v>
      </c>
      <c r="B8438" s="28" t="s">
        <v>12240</v>
      </c>
      <c r="C8438" s="27" t="s">
        <v>15326</v>
      </c>
      <c r="D8438" s="27" t="s">
        <v>230</v>
      </c>
      <c r="E8438" s="29">
        <v>40843</v>
      </c>
      <c r="F8438" s="27">
        <v>15</v>
      </c>
      <c r="G8438" s="18">
        <v>120000</v>
      </c>
      <c r="H8438" s="27">
        <f t="shared" si="262"/>
        <v>0</v>
      </c>
      <c r="I8438" s="18">
        <v>82689.83</v>
      </c>
      <c r="J8438" s="27">
        <v>120000</v>
      </c>
      <c r="K8438" s="18">
        <f t="shared" si="263"/>
        <v>0</v>
      </c>
      <c r="L8438" s="27">
        <v>86686.87</v>
      </c>
      <c r="M8438" s="36">
        <v>3997.04</v>
      </c>
      <c r="T8438" s="41">
        <v>0</v>
      </c>
      <c r="U8438" s="41">
        <v>0</v>
      </c>
      <c r="V8438" s="42" t="s">
        <v>113</v>
      </c>
      <c r="W8438" s="42">
        <v>0</v>
      </c>
      <c r="X8438" s="42">
        <v>0</v>
      </c>
    </row>
    <row r="8439" spans="1:24">
      <c r="A8439" s="27" t="s">
        <v>15327</v>
      </c>
      <c r="B8439" s="28" t="s">
        <v>12240</v>
      </c>
      <c r="C8439" s="27" t="s">
        <v>15328</v>
      </c>
      <c r="D8439" s="27" t="s">
        <v>230</v>
      </c>
      <c r="E8439" s="29">
        <v>40843</v>
      </c>
      <c r="F8439" s="27">
        <v>15</v>
      </c>
      <c r="G8439" s="18">
        <v>120000</v>
      </c>
      <c r="H8439" s="27">
        <f t="shared" si="262"/>
        <v>0</v>
      </c>
      <c r="I8439" s="18">
        <v>82689.83</v>
      </c>
      <c r="J8439" s="27">
        <v>120000</v>
      </c>
      <c r="K8439" s="18">
        <f t="shared" si="263"/>
        <v>0</v>
      </c>
      <c r="L8439" s="27">
        <v>86686.87</v>
      </c>
      <c r="M8439" s="36">
        <v>3997.04</v>
      </c>
      <c r="T8439" s="41">
        <v>0</v>
      </c>
      <c r="U8439" s="41">
        <v>0</v>
      </c>
      <c r="V8439" s="42" t="s">
        <v>113</v>
      </c>
      <c r="W8439" s="42">
        <v>0</v>
      </c>
      <c r="X8439" s="42">
        <v>0</v>
      </c>
    </row>
    <row r="8440" spans="1:24">
      <c r="A8440" s="27" t="s">
        <v>15329</v>
      </c>
      <c r="B8440" s="28" t="s">
        <v>12240</v>
      </c>
      <c r="C8440" s="27" t="s">
        <v>15330</v>
      </c>
      <c r="D8440" s="27" t="s">
        <v>230</v>
      </c>
      <c r="E8440" s="29">
        <v>40843</v>
      </c>
      <c r="F8440" s="27">
        <v>15</v>
      </c>
      <c r="G8440" s="18">
        <v>120000</v>
      </c>
      <c r="H8440" s="27">
        <f t="shared" si="262"/>
        <v>0</v>
      </c>
      <c r="I8440" s="18">
        <v>82689.83</v>
      </c>
      <c r="J8440" s="27">
        <v>120000</v>
      </c>
      <c r="K8440" s="18">
        <f t="shared" si="263"/>
        <v>0</v>
      </c>
      <c r="L8440" s="27">
        <v>86686.87</v>
      </c>
      <c r="M8440" s="36">
        <v>3997.04</v>
      </c>
      <c r="T8440" s="41">
        <v>0</v>
      </c>
      <c r="U8440" s="41">
        <v>0</v>
      </c>
      <c r="V8440" s="42" t="s">
        <v>113</v>
      </c>
      <c r="W8440" s="42">
        <v>0</v>
      </c>
      <c r="X8440" s="42">
        <v>0</v>
      </c>
    </row>
    <row r="8441" spans="1:24">
      <c r="A8441" s="27" t="s">
        <v>15331</v>
      </c>
      <c r="B8441" s="28" t="s">
        <v>12240</v>
      </c>
      <c r="C8441" s="27" t="s">
        <v>15332</v>
      </c>
      <c r="D8441" s="27" t="s">
        <v>230</v>
      </c>
      <c r="E8441" s="29">
        <v>40843</v>
      </c>
      <c r="F8441" s="27">
        <v>15</v>
      </c>
      <c r="G8441" s="18">
        <v>120000</v>
      </c>
      <c r="H8441" s="27">
        <f t="shared" si="262"/>
        <v>0</v>
      </c>
      <c r="I8441" s="18">
        <v>82689.83</v>
      </c>
      <c r="J8441" s="27">
        <v>120000</v>
      </c>
      <c r="K8441" s="18">
        <f t="shared" si="263"/>
        <v>0</v>
      </c>
      <c r="L8441" s="27">
        <v>86686.87</v>
      </c>
      <c r="M8441" s="36">
        <v>3997.04</v>
      </c>
      <c r="T8441" s="41">
        <v>0</v>
      </c>
      <c r="U8441" s="41">
        <v>0</v>
      </c>
      <c r="V8441" s="42" t="s">
        <v>113</v>
      </c>
      <c r="W8441" s="42">
        <v>0</v>
      </c>
      <c r="X8441" s="42">
        <v>0</v>
      </c>
    </row>
    <row r="8442" spans="1:24">
      <c r="A8442" s="27" t="s">
        <v>15333</v>
      </c>
      <c r="B8442" s="28" t="s">
        <v>12240</v>
      </c>
      <c r="C8442" s="27" t="s">
        <v>15334</v>
      </c>
      <c r="D8442" s="27" t="s">
        <v>230</v>
      </c>
      <c r="E8442" s="29">
        <v>40843</v>
      </c>
      <c r="F8442" s="27">
        <v>15</v>
      </c>
      <c r="G8442" s="18">
        <v>120000</v>
      </c>
      <c r="H8442" s="27">
        <f t="shared" si="262"/>
        <v>0</v>
      </c>
      <c r="I8442" s="18">
        <v>82689.83</v>
      </c>
      <c r="J8442" s="27">
        <v>120000</v>
      </c>
      <c r="K8442" s="18">
        <f t="shared" si="263"/>
        <v>0</v>
      </c>
      <c r="L8442" s="27">
        <v>86686.87</v>
      </c>
      <c r="M8442" s="36">
        <v>3997.04</v>
      </c>
      <c r="T8442" s="41">
        <v>0</v>
      </c>
      <c r="U8442" s="41">
        <v>0</v>
      </c>
      <c r="V8442" s="42" t="s">
        <v>113</v>
      </c>
      <c r="W8442" s="42">
        <v>0</v>
      </c>
      <c r="X8442" s="42">
        <v>0</v>
      </c>
    </row>
    <row r="8443" spans="1:24">
      <c r="A8443" s="27" t="s">
        <v>15335</v>
      </c>
      <c r="B8443" s="28" t="s">
        <v>12240</v>
      </c>
      <c r="C8443" s="27" t="s">
        <v>15336</v>
      </c>
      <c r="D8443" s="27" t="s">
        <v>230</v>
      </c>
      <c r="E8443" s="29">
        <v>40843</v>
      </c>
      <c r="F8443" s="27">
        <v>15</v>
      </c>
      <c r="G8443" s="18">
        <v>120000</v>
      </c>
      <c r="H8443" s="27">
        <f t="shared" si="262"/>
        <v>0</v>
      </c>
      <c r="I8443" s="18">
        <v>82689.83</v>
      </c>
      <c r="J8443" s="27">
        <v>120000</v>
      </c>
      <c r="K8443" s="18">
        <f t="shared" si="263"/>
        <v>0</v>
      </c>
      <c r="L8443" s="27">
        <v>86686.87</v>
      </c>
      <c r="M8443" s="36">
        <v>3997.04</v>
      </c>
      <c r="T8443" s="41">
        <v>0</v>
      </c>
      <c r="U8443" s="41">
        <v>0</v>
      </c>
      <c r="V8443" s="42" t="s">
        <v>113</v>
      </c>
      <c r="W8443" s="42">
        <v>0</v>
      </c>
      <c r="X8443" s="42">
        <v>0</v>
      </c>
    </row>
    <row r="8444" spans="1:24">
      <c r="A8444" s="27" t="s">
        <v>15337</v>
      </c>
      <c r="B8444" s="28" t="s">
        <v>12240</v>
      </c>
      <c r="C8444" s="27" t="s">
        <v>15338</v>
      </c>
      <c r="D8444" s="27" t="s">
        <v>230</v>
      </c>
      <c r="E8444" s="29">
        <v>36495</v>
      </c>
      <c r="F8444" s="27">
        <v>15</v>
      </c>
      <c r="G8444" s="18">
        <v>6031.97</v>
      </c>
      <c r="H8444" s="27">
        <f t="shared" si="262"/>
        <v>6031.97</v>
      </c>
      <c r="I8444" s="18">
        <v>5730.37</v>
      </c>
      <c r="J8444" s="27">
        <v>6031.97</v>
      </c>
      <c r="K8444" s="18">
        <f t="shared" si="263"/>
        <v>6031.97</v>
      </c>
      <c r="L8444" s="27">
        <v>5730.37</v>
      </c>
      <c r="M8444" s="36">
        <v>0</v>
      </c>
      <c r="T8444" s="41">
        <v>0</v>
      </c>
      <c r="U8444" s="41">
        <v>0</v>
      </c>
      <c r="V8444" s="42" t="s">
        <v>113</v>
      </c>
      <c r="W8444" s="42">
        <v>6031.97</v>
      </c>
      <c r="X8444" s="42">
        <v>6031.97</v>
      </c>
    </row>
    <row r="8445" spans="1:24">
      <c r="A8445" s="27" t="s">
        <v>15339</v>
      </c>
      <c r="B8445" s="28" t="s">
        <v>12240</v>
      </c>
      <c r="C8445" s="27" t="s">
        <v>15340</v>
      </c>
      <c r="D8445" s="27" t="s">
        <v>230</v>
      </c>
      <c r="E8445" s="29">
        <v>37226</v>
      </c>
      <c r="F8445" s="27">
        <v>15</v>
      </c>
      <c r="G8445" s="18">
        <v>14781.68</v>
      </c>
      <c r="H8445" s="27">
        <f t="shared" si="262"/>
        <v>14781.68</v>
      </c>
      <c r="I8445" s="18">
        <v>14042.6</v>
      </c>
      <c r="J8445" s="27">
        <v>14781.68</v>
      </c>
      <c r="K8445" s="18">
        <f t="shared" si="263"/>
        <v>14781.68</v>
      </c>
      <c r="L8445" s="27">
        <v>14042.6</v>
      </c>
      <c r="M8445" s="36">
        <v>0</v>
      </c>
      <c r="T8445" s="41">
        <v>0</v>
      </c>
      <c r="U8445" s="41">
        <v>0</v>
      </c>
      <c r="V8445" s="42" t="s">
        <v>113</v>
      </c>
      <c r="W8445" s="42">
        <v>14781.68</v>
      </c>
      <c r="X8445" s="42">
        <v>14781.68</v>
      </c>
    </row>
    <row r="8446" spans="1:24">
      <c r="A8446" s="27" t="s">
        <v>15341</v>
      </c>
      <c r="B8446" s="28" t="s">
        <v>12240</v>
      </c>
      <c r="C8446" s="27" t="s">
        <v>15342</v>
      </c>
      <c r="D8446" s="27" t="s">
        <v>230</v>
      </c>
      <c r="E8446" s="29">
        <v>40843</v>
      </c>
      <c r="F8446" s="27">
        <v>15</v>
      </c>
      <c r="G8446" s="18">
        <v>9300</v>
      </c>
      <c r="H8446" s="27">
        <f t="shared" si="262"/>
        <v>0</v>
      </c>
      <c r="I8446" s="18">
        <v>6408.45</v>
      </c>
      <c r="J8446" s="27">
        <v>9300</v>
      </c>
      <c r="K8446" s="18">
        <f t="shared" si="263"/>
        <v>0</v>
      </c>
      <c r="L8446" s="27">
        <v>6718.22</v>
      </c>
      <c r="M8446" s="36">
        <v>309.77</v>
      </c>
      <c r="T8446" s="41">
        <v>0</v>
      </c>
      <c r="U8446" s="41">
        <v>0</v>
      </c>
      <c r="V8446" s="42" t="s">
        <v>113</v>
      </c>
      <c r="W8446" s="42">
        <v>0</v>
      </c>
      <c r="X8446" s="42">
        <v>0</v>
      </c>
    </row>
    <row r="8447" spans="1:24">
      <c r="A8447" s="27" t="s">
        <v>15343</v>
      </c>
      <c r="B8447" s="28" t="s">
        <v>12240</v>
      </c>
      <c r="C8447" s="27" t="s">
        <v>15344</v>
      </c>
      <c r="D8447" s="27" t="s">
        <v>230</v>
      </c>
      <c r="E8447" s="29">
        <v>40843</v>
      </c>
      <c r="F8447" s="27">
        <v>15</v>
      </c>
      <c r="G8447" s="18">
        <v>9300</v>
      </c>
      <c r="H8447" s="27">
        <f t="shared" si="262"/>
        <v>0</v>
      </c>
      <c r="I8447" s="18">
        <v>6408.46</v>
      </c>
      <c r="J8447" s="27">
        <v>9300</v>
      </c>
      <c r="K8447" s="18">
        <f t="shared" si="263"/>
        <v>0</v>
      </c>
      <c r="L8447" s="27">
        <v>6718.23</v>
      </c>
      <c r="M8447" s="36">
        <v>309.77</v>
      </c>
      <c r="T8447" s="41">
        <v>0</v>
      </c>
      <c r="U8447" s="41">
        <v>0</v>
      </c>
      <c r="V8447" s="42" t="s">
        <v>113</v>
      </c>
      <c r="W8447" s="42">
        <v>0</v>
      </c>
      <c r="X8447" s="42">
        <v>0</v>
      </c>
    </row>
    <row r="8448" spans="1:24">
      <c r="A8448" s="27" t="s">
        <v>15345</v>
      </c>
      <c r="B8448" s="28" t="s">
        <v>12240</v>
      </c>
      <c r="C8448" s="27" t="s">
        <v>15346</v>
      </c>
      <c r="D8448" s="27" t="s">
        <v>230</v>
      </c>
      <c r="E8448" s="29">
        <v>40843</v>
      </c>
      <c r="F8448" s="27">
        <v>15</v>
      </c>
      <c r="G8448" s="18">
        <v>9300</v>
      </c>
      <c r="H8448" s="27">
        <f t="shared" si="262"/>
        <v>0</v>
      </c>
      <c r="I8448" s="18">
        <v>6408.46</v>
      </c>
      <c r="J8448" s="27">
        <v>9300</v>
      </c>
      <c r="K8448" s="18">
        <f t="shared" si="263"/>
        <v>0</v>
      </c>
      <c r="L8448" s="27">
        <v>6718.23</v>
      </c>
      <c r="M8448" s="36">
        <v>309.77</v>
      </c>
      <c r="T8448" s="41">
        <v>0</v>
      </c>
      <c r="U8448" s="41">
        <v>0</v>
      </c>
      <c r="V8448" s="42" t="s">
        <v>113</v>
      </c>
      <c r="W8448" s="42">
        <v>0</v>
      </c>
      <c r="X8448" s="42">
        <v>0</v>
      </c>
    </row>
    <row r="8449" spans="1:24">
      <c r="A8449" s="27" t="s">
        <v>15347</v>
      </c>
      <c r="B8449" s="28" t="s">
        <v>12240</v>
      </c>
      <c r="C8449" s="27" t="s">
        <v>15348</v>
      </c>
      <c r="D8449" s="27" t="s">
        <v>230</v>
      </c>
      <c r="E8449" s="29">
        <v>40843</v>
      </c>
      <c r="F8449" s="27">
        <v>15</v>
      </c>
      <c r="G8449" s="18">
        <v>9300</v>
      </c>
      <c r="H8449" s="27">
        <f t="shared" si="262"/>
        <v>0</v>
      </c>
      <c r="I8449" s="18">
        <v>6408.45</v>
      </c>
      <c r="J8449" s="27">
        <v>9300</v>
      </c>
      <c r="K8449" s="18">
        <f t="shared" si="263"/>
        <v>0</v>
      </c>
      <c r="L8449" s="27">
        <v>6718.22</v>
      </c>
      <c r="M8449" s="36">
        <v>309.77</v>
      </c>
      <c r="T8449" s="41">
        <v>0</v>
      </c>
      <c r="U8449" s="41">
        <v>0</v>
      </c>
      <c r="V8449" s="42" t="s">
        <v>113</v>
      </c>
      <c r="W8449" s="42">
        <v>0</v>
      </c>
      <c r="X8449" s="42">
        <v>0</v>
      </c>
    </row>
    <row r="8450" spans="1:24">
      <c r="A8450" s="27" t="s">
        <v>15349</v>
      </c>
      <c r="B8450" s="28" t="s">
        <v>12240</v>
      </c>
      <c r="C8450" s="27" t="s">
        <v>15350</v>
      </c>
      <c r="D8450" s="27" t="s">
        <v>230</v>
      </c>
      <c r="E8450" s="29">
        <v>40843</v>
      </c>
      <c r="F8450" s="27">
        <v>15</v>
      </c>
      <c r="G8450" s="18">
        <v>9300</v>
      </c>
      <c r="H8450" s="27">
        <f t="shared" si="262"/>
        <v>0</v>
      </c>
      <c r="I8450" s="18">
        <v>6408.46</v>
      </c>
      <c r="J8450" s="27">
        <v>9300</v>
      </c>
      <c r="K8450" s="18">
        <f t="shared" si="263"/>
        <v>0</v>
      </c>
      <c r="L8450" s="27">
        <v>6718.23</v>
      </c>
      <c r="M8450" s="36">
        <v>309.77</v>
      </c>
      <c r="T8450" s="41">
        <v>0</v>
      </c>
      <c r="U8450" s="41">
        <v>0</v>
      </c>
      <c r="V8450" s="42" t="s">
        <v>113</v>
      </c>
      <c r="W8450" s="42">
        <v>0</v>
      </c>
      <c r="X8450" s="42">
        <v>0</v>
      </c>
    </row>
    <row r="8451" spans="1:24">
      <c r="A8451" s="27" t="s">
        <v>15351</v>
      </c>
      <c r="B8451" s="28" t="s">
        <v>12240</v>
      </c>
      <c r="C8451" s="27" t="s">
        <v>15352</v>
      </c>
      <c r="D8451" s="27" t="s">
        <v>230</v>
      </c>
      <c r="E8451" s="29">
        <v>40843</v>
      </c>
      <c r="F8451" s="27">
        <v>15</v>
      </c>
      <c r="G8451" s="18">
        <v>9300</v>
      </c>
      <c r="H8451" s="27">
        <f t="shared" si="262"/>
        <v>0</v>
      </c>
      <c r="I8451" s="18">
        <v>6408.45</v>
      </c>
      <c r="J8451" s="27">
        <v>9300</v>
      </c>
      <c r="K8451" s="18">
        <f t="shared" si="263"/>
        <v>0</v>
      </c>
      <c r="L8451" s="27">
        <v>6718.22</v>
      </c>
      <c r="M8451" s="36">
        <v>309.77</v>
      </c>
      <c r="T8451" s="41">
        <v>0</v>
      </c>
      <c r="U8451" s="41">
        <v>0</v>
      </c>
      <c r="V8451" s="42" t="s">
        <v>113</v>
      </c>
      <c r="W8451" s="42">
        <v>0</v>
      </c>
      <c r="X8451" s="42">
        <v>0</v>
      </c>
    </row>
    <row r="8452" spans="1:24">
      <c r="A8452" s="27" t="s">
        <v>15353</v>
      </c>
      <c r="B8452" s="28" t="s">
        <v>12240</v>
      </c>
      <c r="C8452" s="27" t="s">
        <v>15354</v>
      </c>
      <c r="D8452" s="27" t="s">
        <v>230</v>
      </c>
      <c r="E8452" s="29">
        <v>40843</v>
      </c>
      <c r="F8452" s="27">
        <v>15</v>
      </c>
      <c r="G8452" s="18">
        <v>9300</v>
      </c>
      <c r="H8452" s="27">
        <f t="shared" si="262"/>
        <v>0</v>
      </c>
      <c r="I8452" s="18">
        <v>6408.46</v>
      </c>
      <c r="J8452" s="27">
        <v>9300</v>
      </c>
      <c r="K8452" s="18">
        <f t="shared" si="263"/>
        <v>0</v>
      </c>
      <c r="L8452" s="27">
        <v>6718.23</v>
      </c>
      <c r="M8452" s="36">
        <v>309.77</v>
      </c>
      <c r="T8452" s="41">
        <v>0</v>
      </c>
      <c r="U8452" s="41">
        <v>0</v>
      </c>
      <c r="V8452" s="42" t="s">
        <v>113</v>
      </c>
      <c r="W8452" s="42">
        <v>0</v>
      </c>
      <c r="X8452" s="42">
        <v>0</v>
      </c>
    </row>
    <row r="8453" spans="1:24">
      <c r="A8453" s="27" t="s">
        <v>15355</v>
      </c>
      <c r="B8453" s="28" t="s">
        <v>12240</v>
      </c>
      <c r="C8453" s="27" t="s">
        <v>15356</v>
      </c>
      <c r="D8453" s="27" t="s">
        <v>230</v>
      </c>
      <c r="E8453" s="29">
        <v>40843</v>
      </c>
      <c r="F8453" s="27">
        <v>15</v>
      </c>
      <c r="G8453" s="18">
        <v>9300</v>
      </c>
      <c r="H8453" s="27">
        <f t="shared" si="262"/>
        <v>0</v>
      </c>
      <c r="I8453" s="18">
        <v>6408.45</v>
      </c>
      <c r="J8453" s="27">
        <v>9300</v>
      </c>
      <c r="K8453" s="18">
        <f t="shared" si="263"/>
        <v>0</v>
      </c>
      <c r="L8453" s="27">
        <v>6718.22</v>
      </c>
      <c r="M8453" s="36">
        <v>309.77</v>
      </c>
      <c r="T8453" s="41">
        <v>0</v>
      </c>
      <c r="U8453" s="41">
        <v>0</v>
      </c>
      <c r="V8453" s="42" t="s">
        <v>113</v>
      </c>
      <c r="W8453" s="42">
        <v>0</v>
      </c>
      <c r="X8453" s="42">
        <v>0</v>
      </c>
    </row>
    <row r="8454" spans="1:24">
      <c r="A8454" s="27" t="s">
        <v>15357</v>
      </c>
      <c r="B8454" s="28" t="s">
        <v>12240</v>
      </c>
      <c r="C8454" s="27" t="s">
        <v>15358</v>
      </c>
      <c r="D8454" s="27" t="s">
        <v>230</v>
      </c>
      <c r="E8454" s="29">
        <v>40843</v>
      </c>
      <c r="F8454" s="27">
        <v>15</v>
      </c>
      <c r="G8454" s="18">
        <v>9300</v>
      </c>
      <c r="H8454" s="27">
        <f t="shared" ref="H8454:H8517" si="264">IFERROR(IF(ROUND((G8454-I8454)/G8454,2)&lt;=0.05,G8454,0),0)</f>
        <v>0</v>
      </c>
      <c r="I8454" s="18">
        <v>6408.46</v>
      </c>
      <c r="J8454" s="27">
        <v>9300</v>
      </c>
      <c r="K8454" s="18">
        <f t="shared" ref="K8454:K8517" si="265">IFERROR(IF(ROUND((J8454-L8454)/J8454,2)&lt;=0.05,J8454,0),0)</f>
        <v>0</v>
      </c>
      <c r="L8454" s="27">
        <v>6718.23</v>
      </c>
      <c r="M8454" s="36">
        <v>309.77</v>
      </c>
      <c r="T8454" s="41">
        <v>0</v>
      </c>
      <c r="U8454" s="41">
        <v>0</v>
      </c>
      <c r="V8454" s="42" t="s">
        <v>113</v>
      </c>
      <c r="W8454" s="42">
        <v>0</v>
      </c>
      <c r="X8454" s="42">
        <v>0</v>
      </c>
    </row>
    <row r="8455" spans="1:24">
      <c r="A8455" s="27" t="s">
        <v>15359</v>
      </c>
      <c r="B8455" s="28" t="s">
        <v>12240</v>
      </c>
      <c r="C8455" s="27" t="s">
        <v>15360</v>
      </c>
      <c r="D8455" s="27" t="s">
        <v>230</v>
      </c>
      <c r="E8455" s="29">
        <v>40843</v>
      </c>
      <c r="F8455" s="27">
        <v>15</v>
      </c>
      <c r="G8455" s="18">
        <v>9300</v>
      </c>
      <c r="H8455" s="27">
        <f t="shared" si="264"/>
        <v>0</v>
      </c>
      <c r="I8455" s="18">
        <v>6408.45</v>
      </c>
      <c r="J8455" s="27">
        <v>9300</v>
      </c>
      <c r="K8455" s="18">
        <f t="shared" si="265"/>
        <v>0</v>
      </c>
      <c r="L8455" s="27">
        <v>6718.22</v>
      </c>
      <c r="M8455" s="36">
        <v>309.77</v>
      </c>
      <c r="T8455" s="41">
        <v>0</v>
      </c>
      <c r="U8455" s="41">
        <v>0</v>
      </c>
      <c r="V8455" s="42" t="s">
        <v>113</v>
      </c>
      <c r="W8455" s="42">
        <v>0</v>
      </c>
      <c r="X8455" s="42">
        <v>0</v>
      </c>
    </row>
    <row r="8456" spans="1:24">
      <c r="A8456" s="27" t="s">
        <v>15361</v>
      </c>
      <c r="B8456" s="28" t="s">
        <v>12240</v>
      </c>
      <c r="C8456" s="27" t="s">
        <v>15362</v>
      </c>
      <c r="D8456" s="27" t="s">
        <v>230</v>
      </c>
      <c r="E8456" s="29">
        <v>40843</v>
      </c>
      <c r="F8456" s="27">
        <v>15</v>
      </c>
      <c r="G8456" s="18">
        <v>9300</v>
      </c>
      <c r="H8456" s="27">
        <f t="shared" si="264"/>
        <v>0</v>
      </c>
      <c r="I8456" s="18">
        <v>6408.46</v>
      </c>
      <c r="J8456" s="27">
        <v>9300</v>
      </c>
      <c r="K8456" s="18">
        <f t="shared" si="265"/>
        <v>0</v>
      </c>
      <c r="L8456" s="27">
        <v>6718.23</v>
      </c>
      <c r="M8456" s="36">
        <v>309.77</v>
      </c>
      <c r="T8456" s="41">
        <v>0</v>
      </c>
      <c r="U8456" s="41">
        <v>0</v>
      </c>
      <c r="V8456" s="42" t="s">
        <v>113</v>
      </c>
      <c r="W8456" s="42">
        <v>0</v>
      </c>
      <c r="X8456" s="42">
        <v>0</v>
      </c>
    </row>
    <row r="8457" spans="1:24">
      <c r="A8457" s="27" t="s">
        <v>15363</v>
      </c>
      <c r="B8457" s="28" t="s">
        <v>12240</v>
      </c>
      <c r="C8457" s="27" t="s">
        <v>15364</v>
      </c>
      <c r="D8457" s="27" t="s">
        <v>230</v>
      </c>
      <c r="E8457" s="29">
        <v>40843</v>
      </c>
      <c r="F8457" s="27">
        <v>15</v>
      </c>
      <c r="G8457" s="18">
        <v>9300</v>
      </c>
      <c r="H8457" s="27">
        <f t="shared" si="264"/>
        <v>0</v>
      </c>
      <c r="I8457" s="18">
        <v>6408.45</v>
      </c>
      <c r="J8457" s="27">
        <v>9300</v>
      </c>
      <c r="K8457" s="18">
        <f t="shared" si="265"/>
        <v>0</v>
      </c>
      <c r="L8457" s="27">
        <v>6718.22</v>
      </c>
      <c r="M8457" s="36">
        <v>309.77</v>
      </c>
      <c r="T8457" s="41">
        <v>0</v>
      </c>
      <c r="U8457" s="41">
        <v>0</v>
      </c>
      <c r="V8457" s="42" t="s">
        <v>113</v>
      </c>
      <c r="W8457" s="42">
        <v>0</v>
      </c>
      <c r="X8457" s="42">
        <v>0</v>
      </c>
    </row>
    <row r="8458" spans="1:24">
      <c r="A8458" s="27" t="s">
        <v>15365</v>
      </c>
      <c r="B8458" s="28" t="s">
        <v>12240</v>
      </c>
      <c r="C8458" s="27" t="s">
        <v>15366</v>
      </c>
      <c r="D8458" s="27" t="s">
        <v>230</v>
      </c>
      <c r="E8458" s="29">
        <v>40843</v>
      </c>
      <c r="F8458" s="27">
        <v>15</v>
      </c>
      <c r="G8458" s="18">
        <v>9300</v>
      </c>
      <c r="H8458" s="27">
        <f t="shared" si="264"/>
        <v>0</v>
      </c>
      <c r="I8458" s="18">
        <v>6408.46</v>
      </c>
      <c r="J8458" s="27">
        <v>9300</v>
      </c>
      <c r="K8458" s="18">
        <f t="shared" si="265"/>
        <v>0</v>
      </c>
      <c r="L8458" s="27">
        <v>6718.23</v>
      </c>
      <c r="M8458" s="36">
        <v>309.77</v>
      </c>
      <c r="T8458" s="41">
        <v>0</v>
      </c>
      <c r="U8458" s="41">
        <v>0</v>
      </c>
      <c r="V8458" s="42" t="s">
        <v>113</v>
      </c>
      <c r="W8458" s="42">
        <v>0</v>
      </c>
      <c r="X8458" s="42">
        <v>0</v>
      </c>
    </row>
    <row r="8459" spans="1:24">
      <c r="A8459" s="27" t="s">
        <v>15367</v>
      </c>
      <c r="B8459" s="28" t="s">
        <v>12240</v>
      </c>
      <c r="C8459" s="27" t="s">
        <v>15368</v>
      </c>
      <c r="D8459" s="27" t="s">
        <v>230</v>
      </c>
      <c r="E8459" s="29">
        <v>40843</v>
      </c>
      <c r="F8459" s="27">
        <v>15</v>
      </c>
      <c r="G8459" s="18">
        <v>9300</v>
      </c>
      <c r="H8459" s="27">
        <f t="shared" si="264"/>
        <v>0</v>
      </c>
      <c r="I8459" s="18">
        <v>6408.45</v>
      </c>
      <c r="J8459" s="27">
        <v>42205.98</v>
      </c>
      <c r="K8459" s="18">
        <f t="shared" si="265"/>
        <v>0</v>
      </c>
      <c r="L8459" s="27">
        <v>6718.22</v>
      </c>
      <c r="M8459" s="36">
        <v>309.77</v>
      </c>
      <c r="N8459" s="18" t="s">
        <v>14637</v>
      </c>
      <c r="O8459" s="19">
        <v>32905.980000000003</v>
      </c>
      <c r="T8459" s="41">
        <v>0</v>
      </c>
      <c r="U8459" s="41">
        <v>0</v>
      </c>
      <c r="V8459" s="42" t="s">
        <v>113</v>
      </c>
      <c r="W8459" s="42">
        <v>0</v>
      </c>
      <c r="X8459" s="42">
        <v>0</v>
      </c>
    </row>
    <row r="8460" spans="1:24">
      <c r="A8460" s="27" t="s">
        <v>15369</v>
      </c>
      <c r="B8460" s="28" t="s">
        <v>12240</v>
      </c>
      <c r="C8460" s="27" t="s">
        <v>15370</v>
      </c>
      <c r="D8460" s="27" t="s">
        <v>230</v>
      </c>
      <c r="E8460" s="29">
        <v>40843</v>
      </c>
      <c r="F8460" s="27">
        <v>15</v>
      </c>
      <c r="G8460" s="18">
        <v>9300</v>
      </c>
      <c r="H8460" s="27">
        <f t="shared" si="264"/>
        <v>0</v>
      </c>
      <c r="I8460" s="18">
        <v>6408.46</v>
      </c>
      <c r="J8460" s="27">
        <v>9300</v>
      </c>
      <c r="K8460" s="18">
        <f t="shared" si="265"/>
        <v>0</v>
      </c>
      <c r="L8460" s="27">
        <v>6718.23</v>
      </c>
      <c r="M8460" s="36">
        <v>309.77</v>
      </c>
      <c r="T8460" s="41">
        <v>0</v>
      </c>
      <c r="U8460" s="41">
        <v>0</v>
      </c>
      <c r="V8460" s="42" t="s">
        <v>113</v>
      </c>
      <c r="W8460" s="42">
        <v>0</v>
      </c>
      <c r="X8460" s="42">
        <v>0</v>
      </c>
    </row>
    <row r="8461" spans="1:24">
      <c r="A8461" s="27" t="s">
        <v>15371</v>
      </c>
      <c r="B8461" s="28" t="s">
        <v>12240</v>
      </c>
      <c r="C8461" s="27" t="s">
        <v>15372</v>
      </c>
      <c r="D8461" s="27" t="s">
        <v>230</v>
      </c>
      <c r="E8461" s="29">
        <v>40843</v>
      </c>
      <c r="F8461" s="27">
        <v>15</v>
      </c>
      <c r="G8461" s="18">
        <v>9300</v>
      </c>
      <c r="H8461" s="27">
        <f t="shared" si="264"/>
        <v>0</v>
      </c>
      <c r="I8461" s="18">
        <v>6408.45</v>
      </c>
      <c r="J8461" s="27">
        <v>9300</v>
      </c>
      <c r="K8461" s="18">
        <f t="shared" si="265"/>
        <v>0</v>
      </c>
      <c r="L8461" s="27">
        <v>6718.22</v>
      </c>
      <c r="M8461" s="36">
        <v>309.77</v>
      </c>
      <c r="T8461" s="41">
        <v>0</v>
      </c>
      <c r="U8461" s="41">
        <v>0</v>
      </c>
      <c r="V8461" s="42" t="s">
        <v>113</v>
      </c>
      <c r="W8461" s="42">
        <v>0</v>
      </c>
      <c r="X8461" s="42">
        <v>0</v>
      </c>
    </row>
    <row r="8462" spans="1:24">
      <c r="A8462" s="27" t="s">
        <v>15373</v>
      </c>
      <c r="B8462" s="28" t="s">
        <v>12240</v>
      </c>
      <c r="C8462" s="27" t="s">
        <v>15374</v>
      </c>
      <c r="D8462" s="27" t="s">
        <v>230</v>
      </c>
      <c r="E8462" s="29">
        <v>40843</v>
      </c>
      <c r="F8462" s="27">
        <v>15</v>
      </c>
      <c r="G8462" s="18">
        <v>9300</v>
      </c>
      <c r="H8462" s="27">
        <f t="shared" si="264"/>
        <v>0</v>
      </c>
      <c r="I8462" s="18">
        <v>6408.46</v>
      </c>
      <c r="J8462" s="27">
        <v>9300</v>
      </c>
      <c r="K8462" s="18">
        <f t="shared" si="265"/>
        <v>0</v>
      </c>
      <c r="L8462" s="27">
        <v>6718.23</v>
      </c>
      <c r="M8462" s="36">
        <v>309.77</v>
      </c>
      <c r="T8462" s="41">
        <v>0</v>
      </c>
      <c r="U8462" s="41">
        <v>0</v>
      </c>
      <c r="V8462" s="42" t="s">
        <v>113</v>
      </c>
      <c r="W8462" s="42">
        <v>0</v>
      </c>
      <c r="X8462" s="42">
        <v>0</v>
      </c>
    </row>
    <row r="8463" spans="1:24">
      <c r="A8463" s="27" t="s">
        <v>15375</v>
      </c>
      <c r="B8463" s="28" t="s">
        <v>12240</v>
      </c>
      <c r="C8463" s="27" t="s">
        <v>15376</v>
      </c>
      <c r="D8463" s="27" t="s">
        <v>230</v>
      </c>
      <c r="E8463" s="29">
        <v>40843</v>
      </c>
      <c r="F8463" s="27">
        <v>15</v>
      </c>
      <c r="G8463" s="18">
        <v>9300</v>
      </c>
      <c r="H8463" s="27">
        <f t="shared" si="264"/>
        <v>0</v>
      </c>
      <c r="I8463" s="18">
        <v>6408.45</v>
      </c>
      <c r="J8463" s="27">
        <v>9300</v>
      </c>
      <c r="K8463" s="18">
        <f t="shared" si="265"/>
        <v>0</v>
      </c>
      <c r="L8463" s="27">
        <v>6718.22</v>
      </c>
      <c r="M8463" s="36">
        <v>309.77</v>
      </c>
      <c r="T8463" s="41">
        <v>0</v>
      </c>
      <c r="U8463" s="41">
        <v>0</v>
      </c>
      <c r="V8463" s="42" t="s">
        <v>113</v>
      </c>
      <c r="W8463" s="42">
        <v>0</v>
      </c>
      <c r="X8463" s="42">
        <v>0</v>
      </c>
    </row>
    <row r="8464" spans="1:24">
      <c r="A8464" s="27" t="s">
        <v>15377</v>
      </c>
      <c r="B8464" s="28" t="s">
        <v>12240</v>
      </c>
      <c r="C8464" s="27" t="s">
        <v>15378</v>
      </c>
      <c r="D8464" s="27" t="s">
        <v>230</v>
      </c>
      <c r="E8464" s="29">
        <v>40843</v>
      </c>
      <c r="F8464" s="27">
        <v>15</v>
      </c>
      <c r="G8464" s="18">
        <v>9300</v>
      </c>
      <c r="H8464" s="27">
        <f t="shared" si="264"/>
        <v>0</v>
      </c>
      <c r="I8464" s="18">
        <v>6408.46</v>
      </c>
      <c r="J8464" s="27">
        <v>9300</v>
      </c>
      <c r="K8464" s="18">
        <f t="shared" si="265"/>
        <v>0</v>
      </c>
      <c r="L8464" s="27">
        <v>6718.23</v>
      </c>
      <c r="M8464" s="36">
        <v>309.77</v>
      </c>
      <c r="T8464" s="41">
        <v>0</v>
      </c>
      <c r="U8464" s="41">
        <v>0</v>
      </c>
      <c r="V8464" s="42" t="s">
        <v>113</v>
      </c>
      <c r="W8464" s="42">
        <v>0</v>
      </c>
      <c r="X8464" s="42">
        <v>0</v>
      </c>
    </row>
    <row r="8465" spans="1:24">
      <c r="A8465" s="27" t="s">
        <v>15379</v>
      </c>
      <c r="B8465" s="28" t="s">
        <v>12240</v>
      </c>
      <c r="C8465" s="27" t="s">
        <v>15380</v>
      </c>
      <c r="D8465" s="27" t="s">
        <v>230</v>
      </c>
      <c r="E8465" s="29">
        <v>40843</v>
      </c>
      <c r="F8465" s="27">
        <v>15</v>
      </c>
      <c r="G8465" s="18">
        <v>9300</v>
      </c>
      <c r="H8465" s="27">
        <f t="shared" si="264"/>
        <v>0</v>
      </c>
      <c r="I8465" s="18">
        <v>6408.45</v>
      </c>
      <c r="J8465" s="27">
        <v>9300</v>
      </c>
      <c r="K8465" s="18">
        <f t="shared" si="265"/>
        <v>0</v>
      </c>
      <c r="L8465" s="27">
        <v>6718.22</v>
      </c>
      <c r="M8465" s="36">
        <v>309.77</v>
      </c>
      <c r="T8465" s="41">
        <v>0</v>
      </c>
      <c r="U8465" s="41">
        <v>0</v>
      </c>
      <c r="V8465" s="42" t="s">
        <v>113</v>
      </c>
      <c r="W8465" s="42">
        <v>0</v>
      </c>
      <c r="X8465" s="42">
        <v>0</v>
      </c>
    </row>
    <row r="8466" spans="1:24">
      <c r="A8466" s="27" t="s">
        <v>15381</v>
      </c>
      <c r="B8466" s="28" t="s">
        <v>12240</v>
      </c>
      <c r="C8466" s="27" t="s">
        <v>15382</v>
      </c>
      <c r="D8466" s="27" t="s">
        <v>230</v>
      </c>
      <c r="E8466" s="29">
        <v>35796</v>
      </c>
      <c r="F8466" s="27">
        <v>15</v>
      </c>
      <c r="G8466" s="18">
        <v>11919.79</v>
      </c>
      <c r="H8466" s="27">
        <f t="shared" si="264"/>
        <v>11919.79</v>
      </c>
      <c r="I8466" s="18">
        <v>11323.8</v>
      </c>
      <c r="J8466" s="27">
        <v>11919.79</v>
      </c>
      <c r="K8466" s="18">
        <f t="shared" si="265"/>
        <v>11919.79</v>
      </c>
      <c r="L8466" s="27">
        <v>11323.8</v>
      </c>
      <c r="M8466" s="36">
        <v>0</v>
      </c>
      <c r="T8466" s="41">
        <v>0</v>
      </c>
      <c r="U8466" s="41">
        <v>0</v>
      </c>
      <c r="V8466" s="42" t="s">
        <v>113</v>
      </c>
      <c r="W8466" s="42">
        <v>11919.79</v>
      </c>
      <c r="X8466" s="42">
        <v>11919.79</v>
      </c>
    </row>
    <row r="8467" spans="1:24">
      <c r="A8467" s="27" t="s">
        <v>15383</v>
      </c>
      <c r="B8467" s="28" t="s">
        <v>12240</v>
      </c>
      <c r="C8467" s="27" t="s">
        <v>15384</v>
      </c>
      <c r="D8467" s="27" t="s">
        <v>230</v>
      </c>
      <c r="E8467" s="29">
        <v>40843</v>
      </c>
      <c r="F8467" s="27">
        <v>15</v>
      </c>
      <c r="G8467" s="18">
        <v>9300</v>
      </c>
      <c r="H8467" s="27">
        <f t="shared" si="264"/>
        <v>0</v>
      </c>
      <c r="I8467" s="18">
        <v>6408.46</v>
      </c>
      <c r="J8467" s="27">
        <v>42205.98</v>
      </c>
      <c r="K8467" s="18">
        <f t="shared" si="265"/>
        <v>0</v>
      </c>
      <c r="L8467" s="27">
        <v>6718.23</v>
      </c>
      <c r="M8467" s="36">
        <v>309.77</v>
      </c>
      <c r="N8467" s="18" t="s">
        <v>14637</v>
      </c>
      <c r="O8467" s="19">
        <v>32905.980000000003</v>
      </c>
      <c r="T8467" s="41">
        <v>0</v>
      </c>
      <c r="U8467" s="41">
        <v>0</v>
      </c>
      <c r="V8467" s="42" t="s">
        <v>113</v>
      </c>
      <c r="W8467" s="42">
        <v>0</v>
      </c>
      <c r="X8467" s="42">
        <v>0</v>
      </c>
    </row>
    <row r="8468" spans="1:24">
      <c r="A8468" s="27" t="s">
        <v>15385</v>
      </c>
      <c r="B8468" s="28" t="s">
        <v>12240</v>
      </c>
      <c r="C8468" s="27" t="s">
        <v>15386</v>
      </c>
      <c r="D8468" s="27" t="s">
        <v>230</v>
      </c>
      <c r="E8468" s="29">
        <v>40843</v>
      </c>
      <c r="F8468" s="27">
        <v>15</v>
      </c>
      <c r="G8468" s="18">
        <v>9300</v>
      </c>
      <c r="H8468" s="27">
        <f t="shared" si="264"/>
        <v>0</v>
      </c>
      <c r="I8468" s="18">
        <v>6408.45</v>
      </c>
      <c r="J8468" s="27">
        <v>9300</v>
      </c>
      <c r="K8468" s="18">
        <f t="shared" si="265"/>
        <v>0</v>
      </c>
      <c r="L8468" s="27">
        <v>6718.22</v>
      </c>
      <c r="M8468" s="36">
        <v>309.77</v>
      </c>
      <c r="T8468" s="41">
        <v>0</v>
      </c>
      <c r="U8468" s="41">
        <v>0</v>
      </c>
      <c r="V8468" s="42" t="s">
        <v>113</v>
      </c>
      <c r="W8468" s="42">
        <v>0</v>
      </c>
      <c r="X8468" s="42">
        <v>0</v>
      </c>
    </row>
    <row r="8469" spans="1:24">
      <c r="A8469" s="27" t="s">
        <v>15387</v>
      </c>
      <c r="B8469" s="28" t="s">
        <v>12240</v>
      </c>
      <c r="C8469" s="27" t="s">
        <v>15388</v>
      </c>
      <c r="D8469" s="27" t="s">
        <v>230</v>
      </c>
      <c r="E8469" s="29">
        <v>40843</v>
      </c>
      <c r="F8469" s="27">
        <v>15</v>
      </c>
      <c r="G8469" s="18">
        <v>9300</v>
      </c>
      <c r="H8469" s="27">
        <f t="shared" si="264"/>
        <v>0</v>
      </c>
      <c r="I8469" s="18">
        <v>6408.45</v>
      </c>
      <c r="J8469" s="27">
        <v>9300</v>
      </c>
      <c r="K8469" s="18">
        <f t="shared" si="265"/>
        <v>0</v>
      </c>
      <c r="L8469" s="27">
        <v>6718.22</v>
      </c>
      <c r="M8469" s="36">
        <v>309.77</v>
      </c>
      <c r="T8469" s="41">
        <v>0</v>
      </c>
      <c r="U8469" s="41">
        <v>0</v>
      </c>
      <c r="V8469" s="42" t="s">
        <v>113</v>
      </c>
      <c r="W8469" s="42">
        <v>0</v>
      </c>
      <c r="X8469" s="42">
        <v>0</v>
      </c>
    </row>
    <row r="8470" spans="1:24">
      <c r="A8470" s="27" t="s">
        <v>15389</v>
      </c>
      <c r="B8470" s="28" t="s">
        <v>12240</v>
      </c>
      <c r="C8470" s="27" t="s">
        <v>15390</v>
      </c>
      <c r="D8470" s="27" t="s">
        <v>230</v>
      </c>
      <c r="E8470" s="29">
        <v>40843</v>
      </c>
      <c r="F8470" s="27">
        <v>15</v>
      </c>
      <c r="G8470" s="18">
        <v>9300</v>
      </c>
      <c r="H8470" s="27">
        <f t="shared" si="264"/>
        <v>0</v>
      </c>
      <c r="I8470" s="18">
        <v>6408.46</v>
      </c>
      <c r="J8470" s="27">
        <v>9300</v>
      </c>
      <c r="K8470" s="18">
        <f t="shared" si="265"/>
        <v>0</v>
      </c>
      <c r="L8470" s="27">
        <v>6718.23</v>
      </c>
      <c r="M8470" s="36">
        <v>309.77</v>
      </c>
      <c r="T8470" s="41">
        <v>0</v>
      </c>
      <c r="U8470" s="41">
        <v>0</v>
      </c>
      <c r="V8470" s="42" t="s">
        <v>113</v>
      </c>
      <c r="W8470" s="42">
        <v>0</v>
      </c>
      <c r="X8470" s="42">
        <v>0</v>
      </c>
    </row>
    <row r="8471" spans="1:24">
      <c r="A8471" s="27" t="s">
        <v>15391</v>
      </c>
      <c r="B8471" s="28" t="s">
        <v>12240</v>
      </c>
      <c r="C8471" s="27" t="s">
        <v>15392</v>
      </c>
      <c r="D8471" s="27" t="s">
        <v>230</v>
      </c>
      <c r="E8471" s="29">
        <v>40843</v>
      </c>
      <c r="F8471" s="27">
        <v>15</v>
      </c>
      <c r="G8471" s="18">
        <v>9300</v>
      </c>
      <c r="H8471" s="27">
        <f t="shared" si="264"/>
        <v>0</v>
      </c>
      <c r="I8471" s="18">
        <v>6408.45</v>
      </c>
      <c r="J8471" s="27">
        <v>9300</v>
      </c>
      <c r="K8471" s="18">
        <f t="shared" si="265"/>
        <v>0</v>
      </c>
      <c r="L8471" s="27">
        <v>6718.22</v>
      </c>
      <c r="M8471" s="36">
        <v>309.77</v>
      </c>
      <c r="T8471" s="41">
        <v>0</v>
      </c>
      <c r="U8471" s="41">
        <v>0</v>
      </c>
      <c r="V8471" s="42" t="s">
        <v>113</v>
      </c>
      <c r="W8471" s="42">
        <v>0</v>
      </c>
      <c r="X8471" s="42">
        <v>0</v>
      </c>
    </row>
    <row r="8472" spans="1:24">
      <c r="A8472" s="27" t="s">
        <v>15393</v>
      </c>
      <c r="B8472" s="28" t="s">
        <v>12240</v>
      </c>
      <c r="C8472" s="27" t="s">
        <v>15394</v>
      </c>
      <c r="D8472" s="27" t="s">
        <v>230</v>
      </c>
      <c r="E8472" s="29">
        <v>40843</v>
      </c>
      <c r="F8472" s="27">
        <v>15</v>
      </c>
      <c r="G8472" s="18">
        <v>9300</v>
      </c>
      <c r="H8472" s="27">
        <f t="shared" si="264"/>
        <v>0</v>
      </c>
      <c r="I8472" s="18">
        <v>6408.46</v>
      </c>
      <c r="J8472" s="27">
        <v>9300</v>
      </c>
      <c r="K8472" s="18">
        <f t="shared" si="265"/>
        <v>0</v>
      </c>
      <c r="L8472" s="27">
        <v>6718.23</v>
      </c>
      <c r="M8472" s="36">
        <v>309.77</v>
      </c>
      <c r="T8472" s="41">
        <v>0</v>
      </c>
      <c r="U8472" s="41">
        <v>0</v>
      </c>
      <c r="V8472" s="42" t="s">
        <v>113</v>
      </c>
      <c r="W8472" s="42">
        <v>0</v>
      </c>
      <c r="X8472" s="42">
        <v>0</v>
      </c>
    </row>
    <row r="8473" spans="1:24">
      <c r="A8473" s="27" t="s">
        <v>15395</v>
      </c>
      <c r="B8473" s="28" t="s">
        <v>12240</v>
      </c>
      <c r="C8473" s="27" t="s">
        <v>15396</v>
      </c>
      <c r="D8473" s="27" t="s">
        <v>230</v>
      </c>
      <c r="E8473" s="29">
        <v>40843</v>
      </c>
      <c r="F8473" s="27">
        <v>15</v>
      </c>
      <c r="G8473" s="18">
        <v>9300</v>
      </c>
      <c r="H8473" s="27">
        <f t="shared" si="264"/>
        <v>0</v>
      </c>
      <c r="I8473" s="18">
        <v>6408.45</v>
      </c>
      <c r="J8473" s="27">
        <v>9300</v>
      </c>
      <c r="K8473" s="18">
        <f t="shared" si="265"/>
        <v>0</v>
      </c>
      <c r="L8473" s="27">
        <v>6718.22</v>
      </c>
      <c r="M8473" s="36">
        <v>309.77</v>
      </c>
      <c r="T8473" s="41">
        <v>0</v>
      </c>
      <c r="U8473" s="41">
        <v>0</v>
      </c>
      <c r="V8473" s="42" t="s">
        <v>113</v>
      </c>
      <c r="W8473" s="42">
        <v>0</v>
      </c>
      <c r="X8473" s="42">
        <v>0</v>
      </c>
    </row>
    <row r="8474" spans="1:24">
      <c r="A8474" s="27" t="s">
        <v>15397</v>
      </c>
      <c r="B8474" s="28" t="s">
        <v>12240</v>
      </c>
      <c r="C8474" s="27" t="s">
        <v>15398</v>
      </c>
      <c r="D8474" s="27" t="s">
        <v>230</v>
      </c>
      <c r="E8474" s="29">
        <v>40843</v>
      </c>
      <c r="F8474" s="27">
        <v>15</v>
      </c>
      <c r="G8474" s="18">
        <v>9300</v>
      </c>
      <c r="H8474" s="27">
        <f t="shared" si="264"/>
        <v>0</v>
      </c>
      <c r="I8474" s="18">
        <v>6408.46</v>
      </c>
      <c r="J8474" s="27">
        <v>9300</v>
      </c>
      <c r="K8474" s="18">
        <f t="shared" si="265"/>
        <v>0</v>
      </c>
      <c r="L8474" s="27">
        <v>6718.23</v>
      </c>
      <c r="M8474" s="36">
        <v>309.77</v>
      </c>
      <c r="T8474" s="41">
        <v>0</v>
      </c>
      <c r="U8474" s="41">
        <v>0</v>
      </c>
      <c r="V8474" s="42" t="s">
        <v>113</v>
      </c>
      <c r="W8474" s="42">
        <v>0</v>
      </c>
      <c r="X8474" s="42">
        <v>0</v>
      </c>
    </row>
    <row r="8475" spans="1:24">
      <c r="A8475" s="27" t="s">
        <v>15399</v>
      </c>
      <c r="B8475" s="28" t="s">
        <v>12240</v>
      </c>
      <c r="C8475" s="27" t="s">
        <v>15400</v>
      </c>
      <c r="D8475" s="27" t="s">
        <v>230</v>
      </c>
      <c r="E8475" s="29">
        <v>40843</v>
      </c>
      <c r="F8475" s="27">
        <v>15</v>
      </c>
      <c r="G8475" s="18">
        <v>9300</v>
      </c>
      <c r="H8475" s="27">
        <f t="shared" si="264"/>
        <v>0</v>
      </c>
      <c r="I8475" s="18">
        <v>6408.45</v>
      </c>
      <c r="J8475" s="27">
        <v>9300</v>
      </c>
      <c r="K8475" s="18">
        <f t="shared" si="265"/>
        <v>0</v>
      </c>
      <c r="L8475" s="27">
        <v>6718.22</v>
      </c>
      <c r="M8475" s="36">
        <v>309.77</v>
      </c>
      <c r="T8475" s="41">
        <v>0</v>
      </c>
      <c r="U8475" s="41">
        <v>0</v>
      </c>
      <c r="V8475" s="42" t="s">
        <v>113</v>
      </c>
      <c r="W8475" s="42">
        <v>0</v>
      </c>
      <c r="X8475" s="42">
        <v>0</v>
      </c>
    </row>
    <row r="8476" spans="1:24">
      <c r="A8476" s="27" t="s">
        <v>15401</v>
      </c>
      <c r="B8476" s="28" t="s">
        <v>12240</v>
      </c>
      <c r="C8476" s="27" t="s">
        <v>15402</v>
      </c>
      <c r="D8476" s="27" t="s">
        <v>230</v>
      </c>
      <c r="E8476" s="29">
        <v>40843</v>
      </c>
      <c r="F8476" s="27">
        <v>15</v>
      </c>
      <c r="G8476" s="18">
        <v>9300</v>
      </c>
      <c r="H8476" s="27">
        <f t="shared" si="264"/>
        <v>0</v>
      </c>
      <c r="I8476" s="18">
        <v>6408.46</v>
      </c>
      <c r="J8476" s="27">
        <v>9300</v>
      </c>
      <c r="K8476" s="18">
        <f t="shared" si="265"/>
        <v>0</v>
      </c>
      <c r="L8476" s="27">
        <v>6718.23</v>
      </c>
      <c r="M8476" s="36">
        <v>309.77</v>
      </c>
      <c r="T8476" s="41">
        <v>0</v>
      </c>
      <c r="U8476" s="41">
        <v>0</v>
      </c>
      <c r="V8476" s="42" t="s">
        <v>113</v>
      </c>
      <c r="W8476" s="42">
        <v>0</v>
      </c>
      <c r="X8476" s="42">
        <v>0</v>
      </c>
    </row>
    <row r="8477" spans="1:24">
      <c r="A8477" s="27" t="s">
        <v>15403</v>
      </c>
      <c r="B8477" s="28" t="s">
        <v>12240</v>
      </c>
      <c r="C8477" s="27" t="s">
        <v>15404</v>
      </c>
      <c r="D8477" s="27" t="s">
        <v>230</v>
      </c>
      <c r="E8477" s="29">
        <v>40843</v>
      </c>
      <c r="F8477" s="27">
        <v>15</v>
      </c>
      <c r="G8477" s="18">
        <v>48498.14</v>
      </c>
      <c r="H8477" s="27">
        <f t="shared" si="264"/>
        <v>0</v>
      </c>
      <c r="I8477" s="18">
        <v>17672.55</v>
      </c>
      <c r="J8477" s="27">
        <v>48498.14</v>
      </c>
      <c r="K8477" s="18">
        <f t="shared" si="265"/>
        <v>0</v>
      </c>
      <c r="L8477" s="27">
        <v>21298.17</v>
      </c>
      <c r="M8477" s="36">
        <v>3625.62</v>
      </c>
      <c r="T8477" s="41">
        <v>0</v>
      </c>
      <c r="U8477" s="41">
        <v>0</v>
      </c>
      <c r="V8477" s="42" t="s">
        <v>113</v>
      </c>
      <c r="W8477" s="42">
        <v>0</v>
      </c>
      <c r="X8477" s="42">
        <v>0</v>
      </c>
    </row>
    <row r="8478" spans="1:24">
      <c r="A8478" s="27" t="s">
        <v>15405</v>
      </c>
      <c r="B8478" s="28" t="s">
        <v>12240</v>
      </c>
      <c r="C8478" s="27" t="s">
        <v>15406</v>
      </c>
      <c r="D8478" s="27" t="s">
        <v>230</v>
      </c>
      <c r="E8478" s="29">
        <v>40843</v>
      </c>
      <c r="F8478" s="27">
        <v>15</v>
      </c>
      <c r="G8478" s="18">
        <v>9300</v>
      </c>
      <c r="H8478" s="27">
        <f t="shared" si="264"/>
        <v>0</v>
      </c>
      <c r="I8478" s="18">
        <v>6408.46</v>
      </c>
      <c r="J8478" s="27">
        <v>9300</v>
      </c>
      <c r="K8478" s="18">
        <f t="shared" si="265"/>
        <v>0</v>
      </c>
      <c r="L8478" s="27">
        <v>6718.23</v>
      </c>
      <c r="M8478" s="36">
        <v>309.77</v>
      </c>
      <c r="T8478" s="41">
        <v>0</v>
      </c>
      <c r="U8478" s="41">
        <v>0</v>
      </c>
      <c r="V8478" s="42" t="s">
        <v>113</v>
      </c>
      <c r="W8478" s="42">
        <v>0</v>
      </c>
      <c r="X8478" s="42">
        <v>0</v>
      </c>
    </row>
    <row r="8479" spans="1:24">
      <c r="A8479" s="27" t="s">
        <v>15407</v>
      </c>
      <c r="B8479" s="28" t="s">
        <v>12240</v>
      </c>
      <c r="C8479" s="27" t="s">
        <v>15408</v>
      </c>
      <c r="D8479" s="27" t="s">
        <v>230</v>
      </c>
      <c r="E8479" s="29">
        <v>40843</v>
      </c>
      <c r="F8479" s="27">
        <v>15</v>
      </c>
      <c r="G8479" s="18">
        <v>30492.48</v>
      </c>
      <c r="H8479" s="27">
        <f t="shared" si="264"/>
        <v>0</v>
      </c>
      <c r="I8479" s="18">
        <v>17656.080000000002</v>
      </c>
      <c r="J8479" s="27">
        <v>30492.48</v>
      </c>
      <c r="K8479" s="18">
        <f t="shared" si="265"/>
        <v>0</v>
      </c>
      <c r="L8479" s="27">
        <v>19100.14</v>
      </c>
      <c r="M8479" s="36">
        <v>1444.06</v>
      </c>
      <c r="T8479" s="41">
        <v>0</v>
      </c>
      <c r="U8479" s="41">
        <v>0</v>
      </c>
      <c r="V8479" s="42" t="s">
        <v>113</v>
      </c>
      <c r="W8479" s="42">
        <v>0</v>
      </c>
      <c r="X8479" s="42">
        <v>0</v>
      </c>
    </row>
    <row r="8480" spans="1:24">
      <c r="A8480" s="27" t="s">
        <v>15409</v>
      </c>
      <c r="B8480" s="28" t="s">
        <v>12240</v>
      </c>
      <c r="C8480" s="27" t="s">
        <v>15410</v>
      </c>
      <c r="D8480" s="27" t="s">
        <v>230</v>
      </c>
      <c r="E8480" s="29">
        <v>40843</v>
      </c>
      <c r="F8480" s="27">
        <v>15</v>
      </c>
      <c r="G8480" s="18">
        <v>36150.81</v>
      </c>
      <c r="H8480" s="27">
        <f t="shared" si="264"/>
        <v>0</v>
      </c>
      <c r="I8480" s="18">
        <v>20932.41</v>
      </c>
      <c r="J8480" s="27">
        <v>36150.81</v>
      </c>
      <c r="K8480" s="18">
        <f t="shared" si="265"/>
        <v>0</v>
      </c>
      <c r="L8480" s="27">
        <v>22644.43</v>
      </c>
      <c r="M8480" s="36">
        <v>1712.02</v>
      </c>
      <c r="T8480" s="41">
        <v>0</v>
      </c>
      <c r="U8480" s="41">
        <v>0</v>
      </c>
      <c r="V8480" s="42" t="s">
        <v>113</v>
      </c>
      <c r="W8480" s="42">
        <v>0</v>
      </c>
      <c r="X8480" s="42">
        <v>0</v>
      </c>
    </row>
    <row r="8481" spans="1:24">
      <c r="A8481" s="27" t="s">
        <v>15411</v>
      </c>
      <c r="B8481" s="28" t="s">
        <v>12240</v>
      </c>
      <c r="C8481" s="27" t="s">
        <v>15412</v>
      </c>
      <c r="D8481" s="27" t="s">
        <v>230</v>
      </c>
      <c r="E8481" s="29">
        <v>40843</v>
      </c>
      <c r="F8481" s="27">
        <v>15</v>
      </c>
      <c r="G8481" s="18">
        <v>9300</v>
      </c>
      <c r="H8481" s="27">
        <f t="shared" si="264"/>
        <v>0</v>
      </c>
      <c r="I8481" s="18">
        <v>6408.45</v>
      </c>
      <c r="J8481" s="27">
        <v>9300</v>
      </c>
      <c r="K8481" s="18">
        <f t="shared" si="265"/>
        <v>0</v>
      </c>
      <c r="L8481" s="27">
        <v>6718.22</v>
      </c>
      <c r="M8481" s="36">
        <v>309.77</v>
      </c>
      <c r="T8481" s="41">
        <v>0</v>
      </c>
      <c r="U8481" s="41">
        <v>0</v>
      </c>
      <c r="V8481" s="42" t="s">
        <v>113</v>
      </c>
      <c r="W8481" s="42">
        <v>0</v>
      </c>
      <c r="X8481" s="42">
        <v>0</v>
      </c>
    </row>
    <row r="8482" spans="1:24">
      <c r="A8482" s="27" t="s">
        <v>15413</v>
      </c>
      <c r="B8482" s="28" t="s">
        <v>12240</v>
      </c>
      <c r="C8482" s="27" t="s">
        <v>15414</v>
      </c>
      <c r="D8482" s="27" t="s">
        <v>230</v>
      </c>
      <c r="E8482" s="29">
        <v>40843</v>
      </c>
      <c r="F8482" s="27">
        <v>15</v>
      </c>
      <c r="G8482" s="18">
        <v>9300</v>
      </c>
      <c r="H8482" s="27">
        <f t="shared" si="264"/>
        <v>0</v>
      </c>
      <c r="I8482" s="18">
        <v>6408.46</v>
      </c>
      <c r="J8482" s="27">
        <v>9300</v>
      </c>
      <c r="K8482" s="18">
        <f t="shared" si="265"/>
        <v>0</v>
      </c>
      <c r="L8482" s="27">
        <v>6718.23</v>
      </c>
      <c r="M8482" s="36">
        <v>309.77</v>
      </c>
      <c r="T8482" s="41">
        <v>0</v>
      </c>
      <c r="U8482" s="41">
        <v>0</v>
      </c>
      <c r="V8482" s="42" t="s">
        <v>113</v>
      </c>
      <c r="W8482" s="42">
        <v>0</v>
      </c>
      <c r="X8482" s="42">
        <v>0</v>
      </c>
    </row>
    <row r="8483" spans="1:24">
      <c r="A8483" s="27" t="s">
        <v>15415</v>
      </c>
      <c r="B8483" s="28" t="s">
        <v>12240</v>
      </c>
      <c r="C8483" s="27" t="s">
        <v>15416</v>
      </c>
      <c r="D8483" s="27" t="s">
        <v>230</v>
      </c>
      <c r="E8483" s="29">
        <v>40843</v>
      </c>
      <c r="F8483" s="27">
        <v>15</v>
      </c>
      <c r="G8483" s="18">
        <v>9300</v>
      </c>
      <c r="H8483" s="27">
        <f t="shared" si="264"/>
        <v>0</v>
      </c>
      <c r="I8483" s="18">
        <v>6408.45</v>
      </c>
      <c r="J8483" s="27">
        <v>9300</v>
      </c>
      <c r="K8483" s="18">
        <f t="shared" si="265"/>
        <v>0</v>
      </c>
      <c r="L8483" s="27">
        <v>6718.22</v>
      </c>
      <c r="M8483" s="36">
        <v>309.77</v>
      </c>
      <c r="T8483" s="41">
        <v>0</v>
      </c>
      <c r="U8483" s="41">
        <v>0</v>
      </c>
      <c r="V8483" s="42" t="s">
        <v>113</v>
      </c>
      <c r="W8483" s="42">
        <v>0</v>
      </c>
      <c r="X8483" s="42">
        <v>0</v>
      </c>
    </row>
    <row r="8484" spans="1:24">
      <c r="A8484" s="27" t="s">
        <v>15417</v>
      </c>
      <c r="B8484" s="28" t="s">
        <v>12240</v>
      </c>
      <c r="C8484" s="27" t="s">
        <v>15418</v>
      </c>
      <c r="D8484" s="27" t="s">
        <v>230</v>
      </c>
      <c r="E8484" s="29">
        <v>40843</v>
      </c>
      <c r="F8484" s="27">
        <v>15</v>
      </c>
      <c r="G8484" s="18">
        <v>9300</v>
      </c>
      <c r="H8484" s="27">
        <f t="shared" si="264"/>
        <v>0</v>
      </c>
      <c r="I8484" s="18">
        <v>6408.46</v>
      </c>
      <c r="J8484" s="27">
        <v>9300</v>
      </c>
      <c r="K8484" s="18">
        <f t="shared" si="265"/>
        <v>0</v>
      </c>
      <c r="L8484" s="27">
        <v>6718.23</v>
      </c>
      <c r="M8484" s="36">
        <v>309.77</v>
      </c>
      <c r="T8484" s="41">
        <v>0</v>
      </c>
      <c r="U8484" s="41">
        <v>0</v>
      </c>
      <c r="V8484" s="42" t="s">
        <v>113</v>
      </c>
      <c r="W8484" s="42">
        <v>0</v>
      </c>
      <c r="X8484" s="42">
        <v>0</v>
      </c>
    </row>
    <row r="8485" spans="1:24">
      <c r="A8485" s="27" t="s">
        <v>15419</v>
      </c>
      <c r="B8485" s="28" t="s">
        <v>12240</v>
      </c>
      <c r="C8485" s="27" t="s">
        <v>15420</v>
      </c>
      <c r="D8485" s="27" t="s">
        <v>230</v>
      </c>
      <c r="E8485" s="29">
        <v>40843</v>
      </c>
      <c r="F8485" s="27">
        <v>15</v>
      </c>
      <c r="G8485" s="18">
        <v>9300</v>
      </c>
      <c r="H8485" s="27">
        <f t="shared" si="264"/>
        <v>0</v>
      </c>
      <c r="I8485" s="18">
        <v>6408.45</v>
      </c>
      <c r="J8485" s="27">
        <v>9300</v>
      </c>
      <c r="K8485" s="18">
        <f t="shared" si="265"/>
        <v>0</v>
      </c>
      <c r="L8485" s="27">
        <v>6718.22</v>
      </c>
      <c r="M8485" s="36">
        <v>309.77</v>
      </c>
      <c r="T8485" s="41">
        <v>0</v>
      </c>
      <c r="U8485" s="41">
        <v>0</v>
      </c>
      <c r="V8485" s="42" t="s">
        <v>113</v>
      </c>
      <c r="W8485" s="42">
        <v>0</v>
      </c>
      <c r="X8485" s="42">
        <v>0</v>
      </c>
    </row>
    <row r="8486" spans="1:24">
      <c r="A8486" s="27" t="s">
        <v>15421</v>
      </c>
      <c r="B8486" s="28" t="s">
        <v>12240</v>
      </c>
      <c r="C8486" s="27" t="s">
        <v>15422</v>
      </c>
      <c r="D8486" s="27" t="s">
        <v>230</v>
      </c>
      <c r="E8486" s="29">
        <v>40843</v>
      </c>
      <c r="F8486" s="27">
        <v>15</v>
      </c>
      <c r="G8486" s="18">
        <v>9300</v>
      </c>
      <c r="H8486" s="27">
        <f t="shared" si="264"/>
        <v>0</v>
      </c>
      <c r="I8486" s="18">
        <v>6408.46</v>
      </c>
      <c r="J8486" s="27">
        <v>9300</v>
      </c>
      <c r="K8486" s="18">
        <f t="shared" si="265"/>
        <v>0</v>
      </c>
      <c r="L8486" s="27">
        <v>6718.23</v>
      </c>
      <c r="M8486" s="36">
        <v>309.77</v>
      </c>
      <c r="T8486" s="41">
        <v>0</v>
      </c>
      <c r="U8486" s="41">
        <v>0</v>
      </c>
      <c r="V8486" s="42" t="s">
        <v>113</v>
      </c>
      <c r="W8486" s="42">
        <v>0</v>
      </c>
      <c r="X8486" s="42">
        <v>0</v>
      </c>
    </row>
    <row r="8487" spans="1:24">
      <c r="A8487" s="27" t="s">
        <v>15423</v>
      </c>
      <c r="B8487" s="28" t="s">
        <v>12240</v>
      </c>
      <c r="C8487" s="27" t="s">
        <v>15424</v>
      </c>
      <c r="D8487" s="27" t="s">
        <v>230</v>
      </c>
      <c r="E8487" s="29">
        <v>40843</v>
      </c>
      <c r="F8487" s="27">
        <v>15</v>
      </c>
      <c r="G8487" s="18">
        <v>9300</v>
      </c>
      <c r="H8487" s="27">
        <f t="shared" si="264"/>
        <v>0</v>
      </c>
      <c r="I8487" s="18">
        <v>6408.45</v>
      </c>
      <c r="J8487" s="27">
        <v>9300</v>
      </c>
      <c r="K8487" s="18">
        <f t="shared" si="265"/>
        <v>0</v>
      </c>
      <c r="L8487" s="27">
        <v>6718.22</v>
      </c>
      <c r="M8487" s="36">
        <v>309.77</v>
      </c>
      <c r="T8487" s="41">
        <v>0</v>
      </c>
      <c r="U8487" s="41">
        <v>0</v>
      </c>
      <c r="V8487" s="42" t="s">
        <v>113</v>
      </c>
      <c r="W8487" s="42">
        <v>0</v>
      </c>
      <c r="X8487" s="42">
        <v>0</v>
      </c>
    </row>
    <row r="8488" spans="1:24">
      <c r="A8488" s="27" t="s">
        <v>15425</v>
      </c>
      <c r="B8488" s="28" t="s">
        <v>12240</v>
      </c>
      <c r="C8488" s="27" t="s">
        <v>15426</v>
      </c>
      <c r="D8488" s="27" t="s">
        <v>230</v>
      </c>
      <c r="E8488" s="29">
        <v>40843</v>
      </c>
      <c r="F8488" s="27">
        <v>15</v>
      </c>
      <c r="G8488" s="18">
        <v>9300</v>
      </c>
      <c r="H8488" s="27">
        <f t="shared" si="264"/>
        <v>0</v>
      </c>
      <c r="I8488" s="18">
        <v>6408.46</v>
      </c>
      <c r="J8488" s="27">
        <v>9300</v>
      </c>
      <c r="K8488" s="18">
        <f t="shared" si="265"/>
        <v>0</v>
      </c>
      <c r="L8488" s="27">
        <v>6718.23</v>
      </c>
      <c r="M8488" s="36">
        <v>309.77</v>
      </c>
      <c r="T8488" s="41">
        <v>0</v>
      </c>
      <c r="U8488" s="41">
        <v>0</v>
      </c>
      <c r="V8488" s="42" t="s">
        <v>113</v>
      </c>
      <c r="W8488" s="42">
        <v>0</v>
      </c>
      <c r="X8488" s="42">
        <v>0</v>
      </c>
    </row>
    <row r="8489" spans="1:24">
      <c r="A8489" s="27" t="s">
        <v>15427</v>
      </c>
      <c r="B8489" s="28" t="s">
        <v>12240</v>
      </c>
      <c r="C8489" s="27" t="s">
        <v>15428</v>
      </c>
      <c r="D8489" s="27" t="s">
        <v>230</v>
      </c>
      <c r="E8489" s="29">
        <v>40843</v>
      </c>
      <c r="F8489" s="27">
        <v>15</v>
      </c>
      <c r="G8489" s="18">
        <v>9300</v>
      </c>
      <c r="H8489" s="27">
        <f t="shared" si="264"/>
        <v>0</v>
      </c>
      <c r="I8489" s="18">
        <v>6408.45</v>
      </c>
      <c r="J8489" s="27">
        <v>9300</v>
      </c>
      <c r="K8489" s="18">
        <f t="shared" si="265"/>
        <v>0</v>
      </c>
      <c r="L8489" s="27">
        <v>6718.22</v>
      </c>
      <c r="M8489" s="36">
        <v>309.77</v>
      </c>
      <c r="T8489" s="41">
        <v>0</v>
      </c>
      <c r="U8489" s="41">
        <v>0</v>
      </c>
      <c r="V8489" s="42" t="s">
        <v>113</v>
      </c>
      <c r="W8489" s="42">
        <v>0</v>
      </c>
      <c r="X8489" s="42">
        <v>0</v>
      </c>
    </row>
    <row r="8490" spans="1:24">
      <c r="A8490" s="27" t="s">
        <v>15429</v>
      </c>
      <c r="B8490" s="28" t="s">
        <v>12240</v>
      </c>
      <c r="C8490" s="27" t="s">
        <v>15430</v>
      </c>
      <c r="D8490" s="27" t="s">
        <v>230</v>
      </c>
      <c r="E8490" s="29">
        <v>40843</v>
      </c>
      <c r="F8490" s="27">
        <v>15</v>
      </c>
      <c r="G8490" s="18">
        <v>9300</v>
      </c>
      <c r="H8490" s="27">
        <f t="shared" si="264"/>
        <v>0</v>
      </c>
      <c r="I8490" s="18">
        <v>6408.46</v>
      </c>
      <c r="J8490" s="27">
        <v>9300</v>
      </c>
      <c r="K8490" s="18">
        <f t="shared" si="265"/>
        <v>0</v>
      </c>
      <c r="L8490" s="27">
        <v>6718.23</v>
      </c>
      <c r="M8490" s="36">
        <v>309.77</v>
      </c>
      <c r="T8490" s="41">
        <v>0</v>
      </c>
      <c r="U8490" s="41">
        <v>0</v>
      </c>
      <c r="V8490" s="42" t="s">
        <v>113</v>
      </c>
      <c r="W8490" s="42">
        <v>0</v>
      </c>
      <c r="X8490" s="42">
        <v>0</v>
      </c>
    </row>
    <row r="8491" spans="1:24">
      <c r="A8491" s="27" t="s">
        <v>15431</v>
      </c>
      <c r="B8491" s="28" t="s">
        <v>12240</v>
      </c>
      <c r="C8491" s="27" t="s">
        <v>15432</v>
      </c>
      <c r="D8491" s="27" t="s">
        <v>230</v>
      </c>
      <c r="E8491" s="29">
        <v>40843</v>
      </c>
      <c r="F8491" s="27">
        <v>15</v>
      </c>
      <c r="G8491" s="18">
        <v>9300</v>
      </c>
      <c r="H8491" s="27">
        <f t="shared" si="264"/>
        <v>0</v>
      </c>
      <c r="I8491" s="18">
        <v>6408.45</v>
      </c>
      <c r="J8491" s="27">
        <v>9300</v>
      </c>
      <c r="K8491" s="18">
        <f t="shared" si="265"/>
        <v>0</v>
      </c>
      <c r="L8491" s="27">
        <v>6718.22</v>
      </c>
      <c r="M8491" s="36">
        <v>309.77</v>
      </c>
      <c r="T8491" s="41">
        <v>0</v>
      </c>
      <c r="U8491" s="41">
        <v>0</v>
      </c>
      <c r="V8491" s="42" t="s">
        <v>113</v>
      </c>
      <c r="W8491" s="42">
        <v>0</v>
      </c>
      <c r="X8491" s="42">
        <v>0</v>
      </c>
    </row>
    <row r="8492" spans="1:24">
      <c r="A8492" s="27" t="s">
        <v>15433</v>
      </c>
      <c r="B8492" s="28" t="s">
        <v>12240</v>
      </c>
      <c r="C8492" s="27" t="s">
        <v>15434</v>
      </c>
      <c r="D8492" s="27" t="s">
        <v>230</v>
      </c>
      <c r="E8492" s="29">
        <v>40843</v>
      </c>
      <c r="F8492" s="27">
        <v>15</v>
      </c>
      <c r="G8492" s="18">
        <v>9300</v>
      </c>
      <c r="H8492" s="27">
        <f t="shared" si="264"/>
        <v>0</v>
      </c>
      <c r="I8492" s="18">
        <v>6408.46</v>
      </c>
      <c r="J8492" s="27">
        <v>9300</v>
      </c>
      <c r="K8492" s="18">
        <f t="shared" si="265"/>
        <v>0</v>
      </c>
      <c r="L8492" s="27">
        <v>6718.23</v>
      </c>
      <c r="M8492" s="36">
        <v>309.77</v>
      </c>
      <c r="T8492" s="41">
        <v>0</v>
      </c>
      <c r="U8492" s="41">
        <v>0</v>
      </c>
      <c r="V8492" s="42" t="s">
        <v>113</v>
      </c>
      <c r="W8492" s="42">
        <v>0</v>
      </c>
      <c r="X8492" s="42">
        <v>0</v>
      </c>
    </row>
    <row r="8493" spans="1:24">
      <c r="A8493" s="27" t="s">
        <v>15435</v>
      </c>
      <c r="B8493" s="28" t="s">
        <v>12240</v>
      </c>
      <c r="C8493" s="27" t="s">
        <v>15436</v>
      </c>
      <c r="D8493" s="27" t="s">
        <v>230</v>
      </c>
      <c r="E8493" s="29">
        <v>40843</v>
      </c>
      <c r="F8493" s="27">
        <v>15</v>
      </c>
      <c r="G8493" s="18">
        <v>9300</v>
      </c>
      <c r="H8493" s="27">
        <f t="shared" si="264"/>
        <v>0</v>
      </c>
      <c r="I8493" s="18">
        <v>6408.45</v>
      </c>
      <c r="J8493" s="27">
        <v>9300</v>
      </c>
      <c r="K8493" s="18">
        <f t="shared" si="265"/>
        <v>0</v>
      </c>
      <c r="L8493" s="27">
        <v>6718.22</v>
      </c>
      <c r="M8493" s="36">
        <v>309.77</v>
      </c>
      <c r="T8493" s="41">
        <v>0</v>
      </c>
      <c r="U8493" s="41">
        <v>0</v>
      </c>
      <c r="V8493" s="42" t="s">
        <v>113</v>
      </c>
      <c r="W8493" s="42">
        <v>0</v>
      </c>
      <c r="X8493" s="42">
        <v>0</v>
      </c>
    </row>
    <row r="8494" spans="1:24">
      <c r="A8494" s="27" t="s">
        <v>15437</v>
      </c>
      <c r="B8494" s="28" t="s">
        <v>12240</v>
      </c>
      <c r="C8494" s="27" t="s">
        <v>15438</v>
      </c>
      <c r="D8494" s="27" t="s">
        <v>230</v>
      </c>
      <c r="E8494" s="29">
        <v>40843</v>
      </c>
      <c r="F8494" s="27">
        <v>15</v>
      </c>
      <c r="G8494" s="18">
        <v>9300</v>
      </c>
      <c r="H8494" s="27">
        <f t="shared" si="264"/>
        <v>0</v>
      </c>
      <c r="I8494" s="18">
        <v>6408.46</v>
      </c>
      <c r="J8494" s="27">
        <v>9300</v>
      </c>
      <c r="K8494" s="18">
        <f t="shared" si="265"/>
        <v>0</v>
      </c>
      <c r="L8494" s="27">
        <v>6718.23</v>
      </c>
      <c r="M8494" s="36">
        <v>309.77</v>
      </c>
      <c r="T8494" s="41">
        <v>0</v>
      </c>
      <c r="U8494" s="41">
        <v>0</v>
      </c>
      <c r="V8494" s="42" t="s">
        <v>113</v>
      </c>
      <c r="W8494" s="42">
        <v>0</v>
      </c>
      <c r="X8494" s="42">
        <v>0</v>
      </c>
    </row>
    <row r="8495" spans="1:24">
      <c r="A8495" s="27" t="s">
        <v>15439</v>
      </c>
      <c r="B8495" s="28" t="s">
        <v>12240</v>
      </c>
      <c r="C8495" s="27" t="s">
        <v>15440</v>
      </c>
      <c r="D8495" s="27" t="s">
        <v>230</v>
      </c>
      <c r="E8495" s="29">
        <v>37226</v>
      </c>
      <c r="F8495" s="27">
        <v>15</v>
      </c>
      <c r="G8495" s="18">
        <v>18203.48</v>
      </c>
      <c r="H8495" s="27">
        <f t="shared" si="264"/>
        <v>18203.48</v>
      </c>
      <c r="I8495" s="18">
        <v>17293.310000000001</v>
      </c>
      <c r="J8495" s="27">
        <v>18203.48</v>
      </c>
      <c r="K8495" s="18">
        <f t="shared" si="265"/>
        <v>18203.48</v>
      </c>
      <c r="L8495" s="27">
        <v>17293.310000000001</v>
      </c>
      <c r="M8495" s="36">
        <v>0</v>
      </c>
      <c r="T8495" s="41">
        <v>0</v>
      </c>
      <c r="U8495" s="41">
        <v>0</v>
      </c>
      <c r="V8495" s="42" t="s">
        <v>113</v>
      </c>
      <c r="W8495" s="42">
        <v>18203.48</v>
      </c>
      <c r="X8495" s="42">
        <v>18203.48</v>
      </c>
    </row>
    <row r="8496" spans="1:24">
      <c r="A8496" s="27" t="s">
        <v>15441</v>
      </c>
      <c r="B8496" s="28" t="s">
        <v>12240</v>
      </c>
      <c r="C8496" s="27" t="s">
        <v>15442</v>
      </c>
      <c r="D8496" s="27" t="s">
        <v>230</v>
      </c>
      <c r="E8496" s="29">
        <v>40908</v>
      </c>
      <c r="F8496" s="27">
        <v>15</v>
      </c>
      <c r="G8496" s="18">
        <v>48342.21</v>
      </c>
      <c r="H8496" s="27">
        <f t="shared" si="264"/>
        <v>0</v>
      </c>
      <c r="I8496" s="18">
        <v>26669.759999999998</v>
      </c>
      <c r="J8496" s="27">
        <v>48342.21</v>
      </c>
      <c r="K8496" s="18">
        <f t="shared" si="265"/>
        <v>0</v>
      </c>
      <c r="L8496" s="27">
        <v>29076.68</v>
      </c>
      <c r="M8496" s="36">
        <v>2406.92</v>
      </c>
      <c r="T8496" s="41">
        <v>0</v>
      </c>
      <c r="U8496" s="41">
        <v>0</v>
      </c>
      <c r="V8496" s="42" t="s">
        <v>113</v>
      </c>
      <c r="W8496" s="42">
        <v>0</v>
      </c>
      <c r="X8496" s="42">
        <v>0</v>
      </c>
    </row>
    <row r="8497" spans="1:24">
      <c r="A8497" s="27" t="s">
        <v>15443</v>
      </c>
      <c r="B8497" s="28" t="s">
        <v>12240</v>
      </c>
      <c r="C8497" s="27" t="s">
        <v>15444</v>
      </c>
      <c r="D8497" s="27" t="s">
        <v>230</v>
      </c>
      <c r="E8497" s="29">
        <v>37226</v>
      </c>
      <c r="F8497" s="27">
        <v>15</v>
      </c>
      <c r="G8497" s="18">
        <v>33964.639999999999</v>
      </c>
      <c r="H8497" s="27">
        <f t="shared" si="264"/>
        <v>33964.639999999999</v>
      </c>
      <c r="I8497" s="18">
        <v>32266.41</v>
      </c>
      <c r="J8497" s="27">
        <v>33964.639999999999</v>
      </c>
      <c r="K8497" s="18">
        <f t="shared" si="265"/>
        <v>33964.639999999999</v>
      </c>
      <c r="L8497" s="27">
        <v>32266.41</v>
      </c>
      <c r="M8497" s="36">
        <v>0</v>
      </c>
      <c r="T8497" s="41">
        <v>0</v>
      </c>
      <c r="U8497" s="41">
        <v>0</v>
      </c>
      <c r="V8497" s="42" t="s">
        <v>113</v>
      </c>
      <c r="W8497" s="42">
        <v>33964.639999999999</v>
      </c>
      <c r="X8497" s="42">
        <v>33964.639999999999</v>
      </c>
    </row>
    <row r="8498" spans="1:24">
      <c r="A8498" s="27" t="s">
        <v>15445</v>
      </c>
      <c r="B8498" s="28" t="s">
        <v>12240</v>
      </c>
      <c r="C8498" s="27" t="s">
        <v>15446</v>
      </c>
      <c r="D8498" s="27" t="s">
        <v>230</v>
      </c>
      <c r="E8498" s="29">
        <v>40843</v>
      </c>
      <c r="F8498" s="27">
        <v>15</v>
      </c>
      <c r="G8498" s="18">
        <v>9300</v>
      </c>
      <c r="H8498" s="27">
        <f t="shared" si="264"/>
        <v>0</v>
      </c>
      <c r="I8498" s="18">
        <v>6408.45</v>
      </c>
      <c r="J8498" s="27">
        <v>9300</v>
      </c>
      <c r="K8498" s="18">
        <f t="shared" si="265"/>
        <v>0</v>
      </c>
      <c r="L8498" s="27">
        <v>6718.22</v>
      </c>
      <c r="M8498" s="36">
        <v>309.77</v>
      </c>
      <c r="T8498" s="41">
        <v>0</v>
      </c>
      <c r="U8498" s="41">
        <v>0</v>
      </c>
      <c r="V8498" s="42" t="s">
        <v>113</v>
      </c>
      <c r="W8498" s="42">
        <v>0</v>
      </c>
      <c r="X8498" s="42">
        <v>0</v>
      </c>
    </row>
    <row r="8499" spans="1:24">
      <c r="A8499" s="27" t="s">
        <v>15447</v>
      </c>
      <c r="B8499" s="28" t="s">
        <v>12240</v>
      </c>
      <c r="C8499" s="27" t="s">
        <v>15448</v>
      </c>
      <c r="D8499" s="27" t="s">
        <v>230</v>
      </c>
      <c r="E8499" s="29">
        <v>37226</v>
      </c>
      <c r="F8499" s="27">
        <v>15</v>
      </c>
      <c r="G8499" s="18">
        <v>46546.25</v>
      </c>
      <c r="H8499" s="27">
        <f t="shared" si="264"/>
        <v>0</v>
      </c>
      <c r="I8499" s="18">
        <v>40553.74</v>
      </c>
      <c r="J8499" s="27">
        <v>46546.25</v>
      </c>
      <c r="K8499" s="18">
        <f t="shared" si="265"/>
        <v>0</v>
      </c>
      <c r="L8499" s="27">
        <v>41775.47</v>
      </c>
      <c r="M8499" s="36">
        <v>1221.73</v>
      </c>
      <c r="T8499" s="41">
        <v>0</v>
      </c>
      <c r="U8499" s="41">
        <v>0</v>
      </c>
      <c r="V8499" s="42" t="s">
        <v>124</v>
      </c>
      <c r="W8499" s="42">
        <v>46546.25</v>
      </c>
      <c r="X8499" s="42">
        <v>46546.25</v>
      </c>
    </row>
    <row r="8500" spans="1:24">
      <c r="A8500" s="27" t="s">
        <v>15449</v>
      </c>
      <c r="B8500" s="28" t="s">
        <v>12240</v>
      </c>
      <c r="C8500" s="27" t="s">
        <v>15450</v>
      </c>
      <c r="D8500" s="27" t="s">
        <v>230</v>
      </c>
      <c r="E8500" s="29">
        <v>40843</v>
      </c>
      <c r="F8500" s="27">
        <v>15</v>
      </c>
      <c r="G8500" s="18">
        <v>9300</v>
      </c>
      <c r="H8500" s="27">
        <f t="shared" si="264"/>
        <v>0</v>
      </c>
      <c r="I8500" s="18">
        <v>6408.46</v>
      </c>
      <c r="J8500" s="27">
        <v>9300</v>
      </c>
      <c r="K8500" s="18">
        <f t="shared" si="265"/>
        <v>0</v>
      </c>
      <c r="L8500" s="27">
        <v>6718.23</v>
      </c>
      <c r="M8500" s="36">
        <v>309.77</v>
      </c>
      <c r="T8500" s="41">
        <v>0</v>
      </c>
      <c r="U8500" s="41">
        <v>0</v>
      </c>
      <c r="V8500" s="42" t="s">
        <v>113</v>
      </c>
      <c r="W8500" s="42">
        <v>0</v>
      </c>
      <c r="X8500" s="42">
        <v>0</v>
      </c>
    </row>
    <row r="8501" spans="1:24">
      <c r="A8501" s="27" t="s">
        <v>15451</v>
      </c>
      <c r="B8501" s="28" t="s">
        <v>12240</v>
      </c>
      <c r="C8501" s="27" t="s">
        <v>15452</v>
      </c>
      <c r="D8501" s="27" t="s">
        <v>230</v>
      </c>
      <c r="E8501" s="29">
        <v>40843</v>
      </c>
      <c r="F8501" s="27">
        <v>15</v>
      </c>
      <c r="G8501" s="18">
        <v>9300</v>
      </c>
      <c r="H8501" s="27">
        <f t="shared" si="264"/>
        <v>0</v>
      </c>
      <c r="I8501" s="18">
        <v>6408.45</v>
      </c>
      <c r="J8501" s="27">
        <v>9300</v>
      </c>
      <c r="K8501" s="18">
        <f t="shared" si="265"/>
        <v>0</v>
      </c>
      <c r="L8501" s="27">
        <v>6718.22</v>
      </c>
      <c r="M8501" s="36">
        <v>309.77</v>
      </c>
      <c r="T8501" s="41">
        <v>0</v>
      </c>
      <c r="U8501" s="41">
        <v>0</v>
      </c>
      <c r="V8501" s="42" t="s">
        <v>113</v>
      </c>
      <c r="W8501" s="42">
        <v>0</v>
      </c>
      <c r="X8501" s="42">
        <v>0</v>
      </c>
    </row>
    <row r="8502" spans="1:24">
      <c r="A8502" s="27" t="s">
        <v>15453</v>
      </c>
      <c r="B8502" s="28" t="s">
        <v>12240</v>
      </c>
      <c r="C8502" s="27" t="s">
        <v>15454</v>
      </c>
      <c r="D8502" s="27" t="s">
        <v>230</v>
      </c>
      <c r="E8502" s="29">
        <v>40843</v>
      </c>
      <c r="F8502" s="27">
        <v>15</v>
      </c>
      <c r="G8502" s="18">
        <v>9300</v>
      </c>
      <c r="H8502" s="27">
        <f t="shared" si="264"/>
        <v>0</v>
      </c>
      <c r="I8502" s="18">
        <v>6408.46</v>
      </c>
      <c r="J8502" s="27">
        <v>9300</v>
      </c>
      <c r="K8502" s="18">
        <f t="shared" si="265"/>
        <v>0</v>
      </c>
      <c r="L8502" s="27">
        <v>6718.23</v>
      </c>
      <c r="M8502" s="36">
        <v>309.77</v>
      </c>
      <c r="T8502" s="41">
        <v>0</v>
      </c>
      <c r="U8502" s="41">
        <v>0</v>
      </c>
      <c r="V8502" s="42" t="s">
        <v>113</v>
      </c>
      <c r="W8502" s="42">
        <v>0</v>
      </c>
      <c r="X8502" s="42">
        <v>0</v>
      </c>
    </row>
    <row r="8503" spans="1:24">
      <c r="A8503" s="27" t="s">
        <v>15455</v>
      </c>
      <c r="B8503" s="28" t="s">
        <v>12240</v>
      </c>
      <c r="C8503" s="27" t="s">
        <v>15456</v>
      </c>
      <c r="D8503" s="27" t="s">
        <v>230</v>
      </c>
      <c r="E8503" s="29">
        <v>40843</v>
      </c>
      <c r="F8503" s="27">
        <v>15</v>
      </c>
      <c r="G8503" s="18">
        <v>9300</v>
      </c>
      <c r="H8503" s="27">
        <f t="shared" si="264"/>
        <v>0</v>
      </c>
      <c r="I8503" s="18">
        <v>6408.45</v>
      </c>
      <c r="J8503" s="27">
        <v>9300</v>
      </c>
      <c r="K8503" s="18">
        <f t="shared" si="265"/>
        <v>0</v>
      </c>
      <c r="L8503" s="27">
        <v>6718.22</v>
      </c>
      <c r="M8503" s="36">
        <v>309.77</v>
      </c>
      <c r="T8503" s="41">
        <v>0</v>
      </c>
      <c r="U8503" s="41">
        <v>0</v>
      </c>
      <c r="V8503" s="42" t="s">
        <v>113</v>
      </c>
      <c r="W8503" s="42">
        <v>0</v>
      </c>
      <c r="X8503" s="42">
        <v>0</v>
      </c>
    </row>
    <row r="8504" spans="1:24">
      <c r="A8504" s="27" t="s">
        <v>15457</v>
      </c>
      <c r="B8504" s="28" t="s">
        <v>12240</v>
      </c>
      <c r="C8504" s="27" t="s">
        <v>15458</v>
      </c>
      <c r="D8504" s="27" t="s">
        <v>230</v>
      </c>
      <c r="E8504" s="29">
        <v>40843</v>
      </c>
      <c r="F8504" s="27">
        <v>15</v>
      </c>
      <c r="G8504" s="18">
        <v>9300</v>
      </c>
      <c r="H8504" s="27">
        <f t="shared" si="264"/>
        <v>0</v>
      </c>
      <c r="I8504" s="18">
        <v>6408.46</v>
      </c>
      <c r="J8504" s="27">
        <v>9300</v>
      </c>
      <c r="K8504" s="18">
        <f t="shared" si="265"/>
        <v>0</v>
      </c>
      <c r="L8504" s="27">
        <v>6718.23</v>
      </c>
      <c r="M8504" s="36">
        <v>309.77</v>
      </c>
      <c r="T8504" s="41">
        <v>0</v>
      </c>
      <c r="U8504" s="41">
        <v>0</v>
      </c>
      <c r="V8504" s="42" t="s">
        <v>113</v>
      </c>
      <c r="W8504" s="42">
        <v>0</v>
      </c>
      <c r="X8504" s="42">
        <v>0</v>
      </c>
    </row>
    <row r="8505" spans="1:24">
      <c r="A8505" s="27" t="s">
        <v>15459</v>
      </c>
      <c r="B8505" s="28" t="s">
        <v>12240</v>
      </c>
      <c r="C8505" s="27" t="s">
        <v>15460</v>
      </c>
      <c r="D8505" s="27" t="s">
        <v>230</v>
      </c>
      <c r="E8505" s="29">
        <v>40843</v>
      </c>
      <c r="F8505" s="27">
        <v>15</v>
      </c>
      <c r="G8505" s="18">
        <v>9300</v>
      </c>
      <c r="H8505" s="27">
        <f t="shared" si="264"/>
        <v>0</v>
      </c>
      <c r="I8505" s="18">
        <v>6408.45</v>
      </c>
      <c r="J8505" s="27">
        <v>9300</v>
      </c>
      <c r="K8505" s="18">
        <f t="shared" si="265"/>
        <v>0</v>
      </c>
      <c r="L8505" s="27">
        <v>6718.22</v>
      </c>
      <c r="M8505" s="36">
        <v>309.77</v>
      </c>
      <c r="T8505" s="41">
        <v>0</v>
      </c>
      <c r="U8505" s="41">
        <v>0</v>
      </c>
      <c r="V8505" s="42" t="s">
        <v>113</v>
      </c>
      <c r="W8505" s="42">
        <v>0</v>
      </c>
      <c r="X8505" s="42">
        <v>0</v>
      </c>
    </row>
    <row r="8506" spans="1:24">
      <c r="A8506" s="27" t="s">
        <v>15461</v>
      </c>
      <c r="B8506" s="28" t="s">
        <v>12240</v>
      </c>
      <c r="C8506" s="27" t="s">
        <v>15462</v>
      </c>
      <c r="D8506" s="27" t="s">
        <v>230</v>
      </c>
      <c r="E8506" s="29">
        <v>40843</v>
      </c>
      <c r="F8506" s="27">
        <v>15</v>
      </c>
      <c r="G8506" s="18">
        <v>9300</v>
      </c>
      <c r="H8506" s="27">
        <f t="shared" si="264"/>
        <v>0</v>
      </c>
      <c r="I8506" s="18">
        <v>6408.46</v>
      </c>
      <c r="J8506" s="27">
        <v>9300</v>
      </c>
      <c r="K8506" s="18">
        <f t="shared" si="265"/>
        <v>0</v>
      </c>
      <c r="L8506" s="27">
        <v>6718.23</v>
      </c>
      <c r="M8506" s="36">
        <v>309.77</v>
      </c>
      <c r="T8506" s="41">
        <v>0</v>
      </c>
      <c r="U8506" s="41">
        <v>0</v>
      </c>
      <c r="V8506" s="42" t="s">
        <v>113</v>
      </c>
      <c r="W8506" s="42">
        <v>0</v>
      </c>
      <c r="X8506" s="42">
        <v>0</v>
      </c>
    </row>
    <row r="8507" spans="1:24">
      <c r="A8507" s="27" t="s">
        <v>15463</v>
      </c>
      <c r="B8507" s="28" t="s">
        <v>12240</v>
      </c>
      <c r="C8507" s="27" t="s">
        <v>15464</v>
      </c>
      <c r="D8507" s="27" t="s">
        <v>230</v>
      </c>
      <c r="E8507" s="29">
        <v>40843</v>
      </c>
      <c r="F8507" s="27">
        <v>15</v>
      </c>
      <c r="G8507" s="18">
        <v>9300</v>
      </c>
      <c r="H8507" s="27">
        <f t="shared" si="264"/>
        <v>0</v>
      </c>
      <c r="I8507" s="18">
        <v>6408.45</v>
      </c>
      <c r="J8507" s="27">
        <v>9300</v>
      </c>
      <c r="K8507" s="18">
        <f t="shared" si="265"/>
        <v>0</v>
      </c>
      <c r="L8507" s="27">
        <v>6718.22</v>
      </c>
      <c r="M8507" s="36">
        <v>309.77</v>
      </c>
      <c r="T8507" s="41">
        <v>0</v>
      </c>
      <c r="U8507" s="41">
        <v>0</v>
      </c>
      <c r="V8507" s="42" t="s">
        <v>113</v>
      </c>
      <c r="W8507" s="42">
        <v>0</v>
      </c>
      <c r="X8507" s="42">
        <v>0</v>
      </c>
    </row>
    <row r="8508" spans="1:24">
      <c r="A8508" s="27" t="s">
        <v>15465</v>
      </c>
      <c r="B8508" s="28" t="s">
        <v>12240</v>
      </c>
      <c r="C8508" s="27" t="s">
        <v>15466</v>
      </c>
      <c r="D8508" s="27" t="s">
        <v>230</v>
      </c>
      <c r="E8508" s="29">
        <v>40843</v>
      </c>
      <c r="F8508" s="27">
        <v>15</v>
      </c>
      <c r="G8508" s="18">
        <v>9300</v>
      </c>
      <c r="H8508" s="27">
        <f t="shared" si="264"/>
        <v>0</v>
      </c>
      <c r="I8508" s="18">
        <v>6408.46</v>
      </c>
      <c r="J8508" s="27">
        <v>9300</v>
      </c>
      <c r="K8508" s="18">
        <f t="shared" si="265"/>
        <v>0</v>
      </c>
      <c r="L8508" s="27">
        <v>6718.23</v>
      </c>
      <c r="M8508" s="36">
        <v>309.77</v>
      </c>
      <c r="T8508" s="41">
        <v>0</v>
      </c>
      <c r="U8508" s="41">
        <v>0</v>
      </c>
      <c r="V8508" s="42" t="s">
        <v>113</v>
      </c>
      <c r="W8508" s="42">
        <v>0</v>
      </c>
      <c r="X8508" s="42">
        <v>0</v>
      </c>
    </row>
    <row r="8509" spans="1:24">
      <c r="A8509" s="27" t="s">
        <v>15467</v>
      </c>
      <c r="B8509" s="28" t="s">
        <v>12240</v>
      </c>
      <c r="C8509" s="27" t="s">
        <v>15468</v>
      </c>
      <c r="D8509" s="27" t="s">
        <v>230</v>
      </c>
      <c r="E8509" s="29">
        <v>40843</v>
      </c>
      <c r="F8509" s="27">
        <v>15</v>
      </c>
      <c r="G8509" s="18">
        <v>9300</v>
      </c>
      <c r="H8509" s="27">
        <f t="shared" si="264"/>
        <v>0</v>
      </c>
      <c r="I8509" s="18">
        <v>6408.45</v>
      </c>
      <c r="J8509" s="27">
        <v>9300</v>
      </c>
      <c r="K8509" s="18">
        <f t="shared" si="265"/>
        <v>0</v>
      </c>
      <c r="L8509" s="27">
        <v>6718.22</v>
      </c>
      <c r="M8509" s="36">
        <v>309.77</v>
      </c>
      <c r="T8509" s="41">
        <v>0</v>
      </c>
      <c r="U8509" s="41">
        <v>0</v>
      </c>
      <c r="V8509" s="42" t="s">
        <v>113</v>
      </c>
      <c r="W8509" s="42">
        <v>0</v>
      </c>
      <c r="X8509" s="42">
        <v>0</v>
      </c>
    </row>
    <row r="8510" spans="1:24">
      <c r="A8510" s="27" t="s">
        <v>15469</v>
      </c>
      <c r="B8510" s="28" t="s">
        <v>12240</v>
      </c>
      <c r="C8510" s="27" t="s">
        <v>15470</v>
      </c>
      <c r="D8510" s="27" t="s">
        <v>230</v>
      </c>
      <c r="E8510" s="29">
        <v>37226</v>
      </c>
      <c r="F8510" s="27">
        <v>15</v>
      </c>
      <c r="G8510" s="18">
        <v>59395.72</v>
      </c>
      <c r="H8510" s="27">
        <f t="shared" si="264"/>
        <v>59395.72</v>
      </c>
      <c r="I8510" s="18">
        <v>56425.93</v>
      </c>
      <c r="J8510" s="27">
        <v>59395.72</v>
      </c>
      <c r="K8510" s="18">
        <f t="shared" si="265"/>
        <v>59395.72</v>
      </c>
      <c r="L8510" s="27">
        <v>56425.93</v>
      </c>
      <c r="M8510" s="36">
        <v>0</v>
      </c>
      <c r="T8510" s="41">
        <v>0</v>
      </c>
      <c r="U8510" s="41">
        <v>0</v>
      </c>
      <c r="V8510" s="42" t="s">
        <v>113</v>
      </c>
      <c r="W8510" s="42">
        <v>59395.72</v>
      </c>
      <c r="X8510" s="42">
        <v>59395.72</v>
      </c>
    </row>
    <row r="8511" spans="1:24">
      <c r="A8511" s="27" t="s">
        <v>15471</v>
      </c>
      <c r="B8511" s="28" t="s">
        <v>12240</v>
      </c>
      <c r="C8511" s="27" t="s">
        <v>15472</v>
      </c>
      <c r="D8511" s="27" t="s">
        <v>230</v>
      </c>
      <c r="E8511" s="29">
        <v>40843</v>
      </c>
      <c r="F8511" s="27">
        <v>15</v>
      </c>
      <c r="G8511" s="18">
        <v>9300</v>
      </c>
      <c r="H8511" s="27">
        <f t="shared" si="264"/>
        <v>0</v>
      </c>
      <c r="I8511" s="18">
        <v>6408.46</v>
      </c>
      <c r="J8511" s="27">
        <v>9300</v>
      </c>
      <c r="K8511" s="18">
        <f t="shared" si="265"/>
        <v>0</v>
      </c>
      <c r="L8511" s="27">
        <v>6718.23</v>
      </c>
      <c r="M8511" s="36">
        <v>309.77</v>
      </c>
      <c r="T8511" s="41">
        <v>0</v>
      </c>
      <c r="U8511" s="41">
        <v>0</v>
      </c>
      <c r="V8511" s="42" t="s">
        <v>113</v>
      </c>
      <c r="W8511" s="42">
        <v>0</v>
      </c>
      <c r="X8511" s="42">
        <v>0</v>
      </c>
    </row>
    <row r="8512" spans="1:24">
      <c r="A8512" s="27" t="s">
        <v>15473</v>
      </c>
      <c r="B8512" s="28" t="s">
        <v>12240</v>
      </c>
      <c r="C8512" s="27" t="s">
        <v>15474</v>
      </c>
      <c r="D8512" s="27" t="s">
        <v>230</v>
      </c>
      <c r="E8512" s="29">
        <v>40843</v>
      </c>
      <c r="F8512" s="27">
        <v>15</v>
      </c>
      <c r="G8512" s="18">
        <v>9300</v>
      </c>
      <c r="H8512" s="27">
        <f t="shared" si="264"/>
        <v>0</v>
      </c>
      <c r="I8512" s="18">
        <v>6408.45</v>
      </c>
      <c r="J8512" s="27">
        <v>9300</v>
      </c>
      <c r="K8512" s="18">
        <f t="shared" si="265"/>
        <v>0</v>
      </c>
      <c r="L8512" s="27">
        <v>6718.22</v>
      </c>
      <c r="M8512" s="36">
        <v>309.77</v>
      </c>
      <c r="T8512" s="41">
        <v>0</v>
      </c>
      <c r="U8512" s="41">
        <v>0</v>
      </c>
      <c r="V8512" s="42" t="s">
        <v>113</v>
      </c>
      <c r="W8512" s="42">
        <v>0</v>
      </c>
      <c r="X8512" s="42">
        <v>0</v>
      </c>
    </row>
    <row r="8513" spans="1:24">
      <c r="A8513" s="27" t="s">
        <v>15475</v>
      </c>
      <c r="B8513" s="28" t="s">
        <v>12240</v>
      </c>
      <c r="C8513" s="27" t="s">
        <v>15476</v>
      </c>
      <c r="D8513" s="27" t="s">
        <v>230</v>
      </c>
      <c r="E8513" s="29">
        <v>40843</v>
      </c>
      <c r="F8513" s="27">
        <v>15</v>
      </c>
      <c r="G8513" s="18">
        <v>9300</v>
      </c>
      <c r="H8513" s="27">
        <f t="shared" si="264"/>
        <v>0</v>
      </c>
      <c r="I8513" s="18">
        <v>6408.46</v>
      </c>
      <c r="J8513" s="27">
        <v>9300</v>
      </c>
      <c r="K8513" s="18">
        <f t="shared" si="265"/>
        <v>0</v>
      </c>
      <c r="L8513" s="27">
        <v>6718.23</v>
      </c>
      <c r="M8513" s="36">
        <v>309.77</v>
      </c>
      <c r="T8513" s="41">
        <v>0</v>
      </c>
      <c r="U8513" s="41">
        <v>0</v>
      </c>
      <c r="V8513" s="42" t="s">
        <v>113</v>
      </c>
      <c r="W8513" s="42">
        <v>0</v>
      </c>
      <c r="X8513" s="42">
        <v>0</v>
      </c>
    </row>
    <row r="8514" spans="1:24">
      <c r="A8514" s="27" t="s">
        <v>15477</v>
      </c>
      <c r="B8514" s="28" t="s">
        <v>12240</v>
      </c>
      <c r="C8514" s="27" t="s">
        <v>15478</v>
      </c>
      <c r="D8514" s="27" t="s">
        <v>230</v>
      </c>
      <c r="E8514" s="29">
        <v>40843</v>
      </c>
      <c r="F8514" s="27">
        <v>15</v>
      </c>
      <c r="G8514" s="18">
        <v>9300</v>
      </c>
      <c r="H8514" s="27">
        <f t="shared" si="264"/>
        <v>0</v>
      </c>
      <c r="I8514" s="18">
        <v>6408.45</v>
      </c>
      <c r="J8514" s="27">
        <v>9300</v>
      </c>
      <c r="K8514" s="18">
        <f t="shared" si="265"/>
        <v>0</v>
      </c>
      <c r="L8514" s="27">
        <v>6718.22</v>
      </c>
      <c r="M8514" s="36">
        <v>309.77</v>
      </c>
      <c r="T8514" s="41">
        <v>0</v>
      </c>
      <c r="U8514" s="41">
        <v>0</v>
      </c>
      <c r="V8514" s="42" t="s">
        <v>113</v>
      </c>
      <c r="W8514" s="42">
        <v>0</v>
      </c>
      <c r="X8514" s="42">
        <v>0</v>
      </c>
    </row>
    <row r="8515" spans="1:24">
      <c r="A8515" s="27" t="s">
        <v>15479</v>
      </c>
      <c r="B8515" s="28" t="s">
        <v>12240</v>
      </c>
      <c r="C8515" s="27" t="s">
        <v>15480</v>
      </c>
      <c r="D8515" s="27" t="s">
        <v>230</v>
      </c>
      <c r="E8515" s="29">
        <v>40843</v>
      </c>
      <c r="F8515" s="27">
        <v>15</v>
      </c>
      <c r="G8515" s="18">
        <v>9300</v>
      </c>
      <c r="H8515" s="27">
        <f t="shared" si="264"/>
        <v>0</v>
      </c>
      <c r="I8515" s="18">
        <v>6408.46</v>
      </c>
      <c r="J8515" s="27">
        <v>9300</v>
      </c>
      <c r="K8515" s="18">
        <f t="shared" si="265"/>
        <v>0</v>
      </c>
      <c r="L8515" s="27">
        <v>6718.23</v>
      </c>
      <c r="M8515" s="36">
        <v>309.77</v>
      </c>
      <c r="T8515" s="41">
        <v>0</v>
      </c>
      <c r="U8515" s="41">
        <v>0</v>
      </c>
      <c r="V8515" s="42" t="s">
        <v>113</v>
      </c>
      <c r="W8515" s="42">
        <v>0</v>
      </c>
      <c r="X8515" s="42">
        <v>0</v>
      </c>
    </row>
    <row r="8516" spans="1:24">
      <c r="A8516" s="27" t="s">
        <v>15481</v>
      </c>
      <c r="B8516" s="28" t="s">
        <v>12240</v>
      </c>
      <c r="C8516" s="27" t="s">
        <v>15482</v>
      </c>
      <c r="D8516" s="27" t="s">
        <v>230</v>
      </c>
      <c r="E8516" s="29">
        <v>40843</v>
      </c>
      <c r="F8516" s="27">
        <v>15</v>
      </c>
      <c r="G8516" s="18">
        <v>9300</v>
      </c>
      <c r="H8516" s="27">
        <f t="shared" si="264"/>
        <v>0</v>
      </c>
      <c r="I8516" s="18">
        <v>6408.45</v>
      </c>
      <c r="J8516" s="27">
        <v>9300</v>
      </c>
      <c r="K8516" s="18">
        <f t="shared" si="265"/>
        <v>0</v>
      </c>
      <c r="L8516" s="27">
        <v>6718.22</v>
      </c>
      <c r="M8516" s="36">
        <v>309.77</v>
      </c>
      <c r="T8516" s="41">
        <v>0</v>
      </c>
      <c r="U8516" s="41">
        <v>0</v>
      </c>
      <c r="V8516" s="42" t="s">
        <v>113</v>
      </c>
      <c r="W8516" s="42">
        <v>0</v>
      </c>
      <c r="X8516" s="42">
        <v>0</v>
      </c>
    </row>
    <row r="8517" spans="1:24">
      <c r="A8517" s="27" t="s">
        <v>15483</v>
      </c>
      <c r="B8517" s="28" t="s">
        <v>12240</v>
      </c>
      <c r="C8517" s="27" t="s">
        <v>15484</v>
      </c>
      <c r="D8517" s="27" t="s">
        <v>230</v>
      </c>
      <c r="E8517" s="29">
        <v>40843</v>
      </c>
      <c r="F8517" s="27">
        <v>15</v>
      </c>
      <c r="G8517" s="18">
        <v>9300</v>
      </c>
      <c r="H8517" s="27">
        <f t="shared" si="264"/>
        <v>0</v>
      </c>
      <c r="I8517" s="18">
        <v>6408.46</v>
      </c>
      <c r="J8517" s="27">
        <v>9300</v>
      </c>
      <c r="K8517" s="18">
        <f t="shared" si="265"/>
        <v>0</v>
      </c>
      <c r="L8517" s="27">
        <v>6718.23</v>
      </c>
      <c r="M8517" s="36">
        <v>309.77</v>
      </c>
      <c r="T8517" s="41">
        <v>0</v>
      </c>
      <c r="U8517" s="41">
        <v>0</v>
      </c>
      <c r="V8517" s="42" t="s">
        <v>113</v>
      </c>
      <c r="W8517" s="42">
        <v>0</v>
      </c>
      <c r="X8517" s="42">
        <v>0</v>
      </c>
    </row>
    <row r="8518" spans="1:24">
      <c r="A8518" s="27" t="s">
        <v>15485</v>
      </c>
      <c r="B8518" s="28" t="s">
        <v>12240</v>
      </c>
      <c r="C8518" s="27" t="s">
        <v>15486</v>
      </c>
      <c r="D8518" s="27" t="s">
        <v>230</v>
      </c>
      <c r="E8518" s="29">
        <v>40843</v>
      </c>
      <c r="F8518" s="27">
        <v>15</v>
      </c>
      <c r="G8518" s="18">
        <v>9300</v>
      </c>
      <c r="H8518" s="27">
        <f t="shared" ref="H8518:H8581" si="266">IFERROR(IF(ROUND((G8518-I8518)/G8518,2)&lt;=0.05,G8518,0),0)</f>
        <v>0</v>
      </c>
      <c r="I8518" s="18">
        <v>6408.45</v>
      </c>
      <c r="J8518" s="27">
        <v>9300</v>
      </c>
      <c r="K8518" s="18">
        <f t="shared" ref="K8518:K8581" si="267">IFERROR(IF(ROUND((J8518-L8518)/J8518,2)&lt;=0.05,J8518,0),0)</f>
        <v>0</v>
      </c>
      <c r="L8518" s="27">
        <v>6718.22</v>
      </c>
      <c r="M8518" s="36">
        <v>309.77</v>
      </c>
      <c r="T8518" s="41">
        <v>0</v>
      </c>
      <c r="U8518" s="41">
        <v>0</v>
      </c>
      <c r="V8518" s="42" t="s">
        <v>113</v>
      </c>
      <c r="W8518" s="42">
        <v>0</v>
      </c>
      <c r="X8518" s="42">
        <v>0</v>
      </c>
    </row>
    <row r="8519" spans="1:24">
      <c r="A8519" s="27" t="s">
        <v>15487</v>
      </c>
      <c r="B8519" s="28" t="s">
        <v>12240</v>
      </c>
      <c r="C8519" s="27" t="s">
        <v>15488</v>
      </c>
      <c r="D8519" s="27" t="s">
        <v>230</v>
      </c>
      <c r="E8519" s="29">
        <v>40843</v>
      </c>
      <c r="F8519" s="27">
        <v>15</v>
      </c>
      <c r="G8519" s="18">
        <v>9300</v>
      </c>
      <c r="H8519" s="27">
        <f t="shared" si="266"/>
        <v>0</v>
      </c>
      <c r="I8519" s="18">
        <v>6408.46</v>
      </c>
      <c r="J8519" s="27">
        <v>9300</v>
      </c>
      <c r="K8519" s="18">
        <f t="shared" si="267"/>
        <v>0</v>
      </c>
      <c r="L8519" s="27">
        <v>6718.23</v>
      </c>
      <c r="M8519" s="36">
        <v>309.77</v>
      </c>
      <c r="T8519" s="41">
        <v>0</v>
      </c>
      <c r="U8519" s="41">
        <v>0</v>
      </c>
      <c r="V8519" s="42" t="s">
        <v>113</v>
      </c>
      <c r="W8519" s="42">
        <v>0</v>
      </c>
      <c r="X8519" s="42">
        <v>0</v>
      </c>
    </row>
    <row r="8520" spans="1:24">
      <c r="A8520" s="27" t="s">
        <v>15489</v>
      </c>
      <c r="B8520" s="28" t="s">
        <v>12240</v>
      </c>
      <c r="C8520" s="27" t="s">
        <v>15490</v>
      </c>
      <c r="D8520" s="27" t="s">
        <v>230</v>
      </c>
      <c r="E8520" s="29">
        <v>40843</v>
      </c>
      <c r="F8520" s="27">
        <v>15</v>
      </c>
      <c r="G8520" s="18">
        <v>9300</v>
      </c>
      <c r="H8520" s="27">
        <f t="shared" si="266"/>
        <v>0</v>
      </c>
      <c r="I8520" s="18">
        <v>6408.45</v>
      </c>
      <c r="J8520" s="27">
        <v>9300</v>
      </c>
      <c r="K8520" s="18">
        <f t="shared" si="267"/>
        <v>0</v>
      </c>
      <c r="L8520" s="27">
        <v>6718.22</v>
      </c>
      <c r="M8520" s="36">
        <v>309.77</v>
      </c>
      <c r="T8520" s="41">
        <v>0</v>
      </c>
      <c r="U8520" s="41">
        <v>0</v>
      </c>
      <c r="V8520" s="42" t="s">
        <v>113</v>
      </c>
      <c r="W8520" s="42">
        <v>0</v>
      </c>
      <c r="X8520" s="42">
        <v>0</v>
      </c>
    </row>
    <row r="8521" spans="1:24">
      <c r="A8521" s="27" t="s">
        <v>15491</v>
      </c>
      <c r="B8521" s="28" t="s">
        <v>12240</v>
      </c>
      <c r="C8521" s="27" t="s">
        <v>15492</v>
      </c>
      <c r="D8521" s="27" t="s">
        <v>230</v>
      </c>
      <c r="E8521" s="29">
        <v>40843</v>
      </c>
      <c r="F8521" s="27">
        <v>15</v>
      </c>
      <c r="G8521" s="18">
        <v>9300</v>
      </c>
      <c r="H8521" s="27">
        <f t="shared" si="266"/>
        <v>0</v>
      </c>
      <c r="I8521" s="18">
        <v>6408.46</v>
      </c>
      <c r="J8521" s="27">
        <v>9300</v>
      </c>
      <c r="K8521" s="18">
        <f t="shared" si="267"/>
        <v>0</v>
      </c>
      <c r="L8521" s="27">
        <v>6718.23</v>
      </c>
      <c r="M8521" s="36">
        <v>309.77</v>
      </c>
      <c r="T8521" s="41">
        <v>0</v>
      </c>
      <c r="U8521" s="41">
        <v>0</v>
      </c>
      <c r="V8521" s="42" t="s">
        <v>113</v>
      </c>
      <c r="W8521" s="42">
        <v>0</v>
      </c>
      <c r="X8521" s="42">
        <v>0</v>
      </c>
    </row>
    <row r="8522" spans="1:24">
      <c r="A8522" s="27" t="s">
        <v>15493</v>
      </c>
      <c r="B8522" s="28" t="s">
        <v>12240</v>
      </c>
      <c r="C8522" s="27" t="s">
        <v>15494</v>
      </c>
      <c r="D8522" s="27" t="s">
        <v>230</v>
      </c>
      <c r="E8522" s="29">
        <v>36495</v>
      </c>
      <c r="F8522" s="27">
        <v>15</v>
      </c>
      <c r="G8522" s="18">
        <v>21792.52</v>
      </c>
      <c r="H8522" s="27">
        <f t="shared" si="266"/>
        <v>21792.52</v>
      </c>
      <c r="I8522" s="18">
        <v>20702.89</v>
      </c>
      <c r="J8522" s="27">
        <v>21792.52</v>
      </c>
      <c r="K8522" s="18">
        <f t="shared" si="267"/>
        <v>21792.52</v>
      </c>
      <c r="L8522" s="27">
        <v>20702.89</v>
      </c>
      <c r="M8522" s="36">
        <v>0</v>
      </c>
      <c r="T8522" s="41">
        <v>0</v>
      </c>
      <c r="U8522" s="41">
        <v>0</v>
      </c>
      <c r="V8522" s="42" t="s">
        <v>113</v>
      </c>
      <c r="W8522" s="42">
        <v>21792.52</v>
      </c>
      <c r="X8522" s="42">
        <v>21792.52</v>
      </c>
    </row>
    <row r="8523" spans="1:24">
      <c r="A8523" s="27" t="s">
        <v>15495</v>
      </c>
      <c r="B8523" s="28" t="s">
        <v>12240</v>
      </c>
      <c r="C8523" s="27" t="s">
        <v>15496</v>
      </c>
      <c r="D8523" s="27" t="s">
        <v>230</v>
      </c>
      <c r="E8523" s="29">
        <v>40843</v>
      </c>
      <c r="F8523" s="27">
        <v>15</v>
      </c>
      <c r="G8523" s="18">
        <v>9300</v>
      </c>
      <c r="H8523" s="27">
        <f t="shared" si="266"/>
        <v>0</v>
      </c>
      <c r="I8523" s="18">
        <v>6408.45</v>
      </c>
      <c r="J8523" s="27">
        <v>9300</v>
      </c>
      <c r="K8523" s="18">
        <f t="shared" si="267"/>
        <v>0</v>
      </c>
      <c r="L8523" s="27">
        <v>6718.22</v>
      </c>
      <c r="M8523" s="36">
        <v>309.77</v>
      </c>
      <c r="T8523" s="41">
        <v>0</v>
      </c>
      <c r="U8523" s="41">
        <v>0</v>
      </c>
      <c r="V8523" s="42" t="s">
        <v>113</v>
      </c>
      <c r="W8523" s="42">
        <v>0</v>
      </c>
      <c r="X8523" s="42">
        <v>0</v>
      </c>
    </row>
    <row r="8524" spans="1:24">
      <c r="A8524" s="27" t="s">
        <v>15497</v>
      </c>
      <c r="B8524" s="28" t="s">
        <v>12240</v>
      </c>
      <c r="C8524" s="27" t="s">
        <v>15498</v>
      </c>
      <c r="D8524" s="27" t="s">
        <v>230</v>
      </c>
      <c r="E8524" s="29">
        <v>40843</v>
      </c>
      <c r="F8524" s="27">
        <v>15</v>
      </c>
      <c r="G8524" s="18">
        <v>9300</v>
      </c>
      <c r="H8524" s="27">
        <f t="shared" si="266"/>
        <v>0</v>
      </c>
      <c r="I8524" s="18">
        <v>6408.46</v>
      </c>
      <c r="J8524" s="27">
        <v>9300</v>
      </c>
      <c r="K8524" s="18">
        <f t="shared" si="267"/>
        <v>0</v>
      </c>
      <c r="L8524" s="27">
        <v>6718.23</v>
      </c>
      <c r="M8524" s="36">
        <v>309.77</v>
      </c>
      <c r="T8524" s="41">
        <v>0</v>
      </c>
      <c r="U8524" s="41">
        <v>0</v>
      </c>
      <c r="V8524" s="42" t="s">
        <v>113</v>
      </c>
      <c r="W8524" s="42">
        <v>0</v>
      </c>
      <c r="X8524" s="42">
        <v>0</v>
      </c>
    </row>
    <row r="8525" spans="1:24">
      <c r="A8525" s="27" t="s">
        <v>15499</v>
      </c>
      <c r="B8525" s="28" t="s">
        <v>12240</v>
      </c>
      <c r="C8525" s="27" t="s">
        <v>15500</v>
      </c>
      <c r="D8525" s="27" t="s">
        <v>230</v>
      </c>
      <c r="E8525" s="29">
        <v>40843</v>
      </c>
      <c r="F8525" s="27">
        <v>15</v>
      </c>
      <c r="G8525" s="18">
        <v>9300</v>
      </c>
      <c r="H8525" s="27">
        <f t="shared" si="266"/>
        <v>0</v>
      </c>
      <c r="I8525" s="18">
        <v>6408.45</v>
      </c>
      <c r="J8525" s="27">
        <v>9300</v>
      </c>
      <c r="K8525" s="18">
        <f t="shared" si="267"/>
        <v>0</v>
      </c>
      <c r="L8525" s="27">
        <v>6718.22</v>
      </c>
      <c r="M8525" s="36">
        <v>309.77</v>
      </c>
      <c r="T8525" s="41">
        <v>0</v>
      </c>
      <c r="U8525" s="41">
        <v>0</v>
      </c>
      <c r="V8525" s="42" t="s">
        <v>113</v>
      </c>
      <c r="W8525" s="42">
        <v>0</v>
      </c>
      <c r="X8525" s="42">
        <v>0</v>
      </c>
    </row>
    <row r="8526" spans="1:24">
      <c r="A8526" s="27" t="s">
        <v>15501</v>
      </c>
      <c r="B8526" s="28" t="s">
        <v>12240</v>
      </c>
      <c r="C8526" s="27" t="s">
        <v>15502</v>
      </c>
      <c r="D8526" s="27" t="s">
        <v>230</v>
      </c>
      <c r="E8526" s="29">
        <v>40843</v>
      </c>
      <c r="F8526" s="27">
        <v>15</v>
      </c>
      <c r="G8526" s="18">
        <v>9300</v>
      </c>
      <c r="H8526" s="27">
        <f t="shared" si="266"/>
        <v>0</v>
      </c>
      <c r="I8526" s="18">
        <v>6408.46</v>
      </c>
      <c r="J8526" s="27">
        <v>9300</v>
      </c>
      <c r="K8526" s="18">
        <f t="shared" si="267"/>
        <v>0</v>
      </c>
      <c r="L8526" s="27">
        <v>6718.23</v>
      </c>
      <c r="M8526" s="36">
        <v>309.77</v>
      </c>
      <c r="T8526" s="41">
        <v>0</v>
      </c>
      <c r="U8526" s="41">
        <v>0</v>
      </c>
      <c r="V8526" s="42" t="s">
        <v>113</v>
      </c>
      <c r="W8526" s="42">
        <v>0</v>
      </c>
      <c r="X8526" s="42">
        <v>0</v>
      </c>
    </row>
    <row r="8527" spans="1:24">
      <c r="A8527" s="27" t="s">
        <v>15503</v>
      </c>
      <c r="B8527" s="28" t="s">
        <v>12240</v>
      </c>
      <c r="C8527" s="27" t="s">
        <v>15504</v>
      </c>
      <c r="D8527" s="27" t="s">
        <v>230</v>
      </c>
      <c r="E8527" s="29">
        <v>40843</v>
      </c>
      <c r="F8527" s="27">
        <v>15</v>
      </c>
      <c r="G8527" s="18">
        <v>9300</v>
      </c>
      <c r="H8527" s="27">
        <f t="shared" si="266"/>
        <v>0</v>
      </c>
      <c r="I8527" s="18">
        <v>6408.45</v>
      </c>
      <c r="J8527" s="27">
        <v>9300</v>
      </c>
      <c r="K8527" s="18">
        <f t="shared" si="267"/>
        <v>0</v>
      </c>
      <c r="L8527" s="27">
        <v>6718.22</v>
      </c>
      <c r="M8527" s="36">
        <v>309.77</v>
      </c>
      <c r="T8527" s="41">
        <v>0</v>
      </c>
      <c r="U8527" s="41">
        <v>0</v>
      </c>
      <c r="V8527" s="42" t="s">
        <v>113</v>
      </c>
      <c r="W8527" s="42">
        <v>0</v>
      </c>
      <c r="X8527" s="42">
        <v>0</v>
      </c>
    </row>
    <row r="8528" spans="1:24">
      <c r="A8528" s="27" t="s">
        <v>15505</v>
      </c>
      <c r="B8528" s="28" t="s">
        <v>12240</v>
      </c>
      <c r="C8528" s="27" t="s">
        <v>15506</v>
      </c>
      <c r="D8528" s="27" t="s">
        <v>230</v>
      </c>
      <c r="E8528" s="29">
        <v>40843</v>
      </c>
      <c r="F8528" s="27">
        <v>15</v>
      </c>
      <c r="G8528" s="18">
        <v>9300</v>
      </c>
      <c r="H8528" s="27">
        <f t="shared" si="266"/>
        <v>0</v>
      </c>
      <c r="I8528" s="18">
        <v>6408.46</v>
      </c>
      <c r="J8528" s="27">
        <v>9300</v>
      </c>
      <c r="K8528" s="18">
        <f t="shared" si="267"/>
        <v>0</v>
      </c>
      <c r="L8528" s="27">
        <v>6718.23</v>
      </c>
      <c r="M8528" s="36">
        <v>309.77</v>
      </c>
      <c r="T8528" s="41">
        <v>0</v>
      </c>
      <c r="U8528" s="41">
        <v>0</v>
      </c>
      <c r="V8528" s="42" t="s">
        <v>113</v>
      </c>
      <c r="W8528" s="42">
        <v>0</v>
      </c>
      <c r="X8528" s="42">
        <v>0</v>
      </c>
    </row>
    <row r="8529" spans="1:24">
      <c r="A8529" s="27" t="s">
        <v>15507</v>
      </c>
      <c r="B8529" s="28" t="s">
        <v>12240</v>
      </c>
      <c r="C8529" s="27" t="s">
        <v>15508</v>
      </c>
      <c r="D8529" s="27" t="s">
        <v>230</v>
      </c>
      <c r="E8529" s="29">
        <v>40843</v>
      </c>
      <c r="F8529" s="27">
        <v>15</v>
      </c>
      <c r="G8529" s="18">
        <v>9300</v>
      </c>
      <c r="H8529" s="27">
        <f t="shared" si="266"/>
        <v>0</v>
      </c>
      <c r="I8529" s="18">
        <v>6408.45</v>
      </c>
      <c r="J8529" s="27">
        <v>9300</v>
      </c>
      <c r="K8529" s="18">
        <f t="shared" si="267"/>
        <v>0</v>
      </c>
      <c r="L8529" s="27">
        <v>6718.22</v>
      </c>
      <c r="M8529" s="36">
        <v>309.77</v>
      </c>
      <c r="T8529" s="41">
        <v>0</v>
      </c>
      <c r="U8529" s="41">
        <v>0</v>
      </c>
      <c r="V8529" s="42" t="s">
        <v>113</v>
      </c>
      <c r="W8529" s="42">
        <v>0</v>
      </c>
      <c r="X8529" s="42">
        <v>0</v>
      </c>
    </row>
    <row r="8530" spans="1:24">
      <c r="A8530" s="27" t="s">
        <v>15509</v>
      </c>
      <c r="B8530" s="28" t="s">
        <v>12240</v>
      </c>
      <c r="C8530" s="27" t="s">
        <v>15510</v>
      </c>
      <c r="D8530" s="27" t="s">
        <v>230</v>
      </c>
      <c r="E8530" s="29">
        <v>40297</v>
      </c>
      <c r="F8530" s="27">
        <v>15</v>
      </c>
      <c r="G8530" s="18">
        <v>158793.06</v>
      </c>
      <c r="H8530" s="27">
        <f t="shared" si="266"/>
        <v>0</v>
      </c>
      <c r="I8530" s="18">
        <v>109995.63</v>
      </c>
      <c r="J8530" s="27">
        <v>158793.06</v>
      </c>
      <c r="K8530" s="18">
        <f t="shared" si="267"/>
        <v>0</v>
      </c>
      <c r="L8530" s="27">
        <v>116901.17</v>
      </c>
      <c r="M8530" s="36">
        <v>6905.54</v>
      </c>
      <c r="T8530" s="41">
        <v>0</v>
      </c>
      <c r="U8530" s="41">
        <v>0</v>
      </c>
      <c r="V8530" s="42" t="s">
        <v>113</v>
      </c>
      <c r="W8530" s="42">
        <v>0</v>
      </c>
      <c r="X8530" s="42">
        <v>0</v>
      </c>
    </row>
    <row r="8531" spans="1:24">
      <c r="A8531" s="27" t="s">
        <v>15511</v>
      </c>
      <c r="B8531" s="28" t="s">
        <v>12240</v>
      </c>
      <c r="C8531" s="27" t="s">
        <v>15512</v>
      </c>
      <c r="D8531" s="27" t="s">
        <v>230</v>
      </c>
      <c r="E8531" s="29">
        <v>40843</v>
      </c>
      <c r="F8531" s="27">
        <v>15</v>
      </c>
      <c r="G8531" s="18">
        <v>9300</v>
      </c>
      <c r="H8531" s="27">
        <f t="shared" si="266"/>
        <v>0</v>
      </c>
      <c r="I8531" s="18">
        <v>6408.46</v>
      </c>
      <c r="J8531" s="27">
        <v>9300</v>
      </c>
      <c r="K8531" s="18">
        <f t="shared" si="267"/>
        <v>0</v>
      </c>
      <c r="L8531" s="27">
        <v>6718.23</v>
      </c>
      <c r="M8531" s="36">
        <v>309.77</v>
      </c>
      <c r="T8531" s="41">
        <v>0</v>
      </c>
      <c r="U8531" s="41">
        <v>0</v>
      </c>
      <c r="V8531" s="42" t="s">
        <v>113</v>
      </c>
      <c r="W8531" s="42">
        <v>0</v>
      </c>
      <c r="X8531" s="42">
        <v>0</v>
      </c>
    </row>
    <row r="8532" spans="1:24">
      <c r="A8532" s="27" t="s">
        <v>15513</v>
      </c>
      <c r="B8532" s="28" t="s">
        <v>12240</v>
      </c>
      <c r="C8532" s="27" t="s">
        <v>15514</v>
      </c>
      <c r="D8532" s="27" t="s">
        <v>230</v>
      </c>
      <c r="E8532" s="29">
        <v>40843</v>
      </c>
      <c r="F8532" s="27">
        <v>15</v>
      </c>
      <c r="G8532" s="18">
        <v>9300</v>
      </c>
      <c r="H8532" s="27">
        <f t="shared" si="266"/>
        <v>0</v>
      </c>
      <c r="I8532" s="18">
        <v>6408.45</v>
      </c>
      <c r="J8532" s="27">
        <v>9300</v>
      </c>
      <c r="K8532" s="18">
        <f t="shared" si="267"/>
        <v>0</v>
      </c>
      <c r="L8532" s="27">
        <v>6718.22</v>
      </c>
      <c r="M8532" s="36">
        <v>309.77</v>
      </c>
      <c r="T8532" s="41">
        <v>0</v>
      </c>
      <c r="U8532" s="41">
        <v>0</v>
      </c>
      <c r="V8532" s="42" t="s">
        <v>113</v>
      </c>
      <c r="W8532" s="42">
        <v>0</v>
      </c>
      <c r="X8532" s="42">
        <v>0</v>
      </c>
    </row>
    <row r="8533" spans="1:24">
      <c r="A8533" s="27" t="s">
        <v>15515</v>
      </c>
      <c r="B8533" s="28" t="s">
        <v>12240</v>
      </c>
      <c r="C8533" s="27" t="s">
        <v>15516</v>
      </c>
      <c r="D8533" s="27" t="s">
        <v>230</v>
      </c>
      <c r="E8533" s="29">
        <v>40843</v>
      </c>
      <c r="F8533" s="27">
        <v>15</v>
      </c>
      <c r="G8533" s="18">
        <v>9300</v>
      </c>
      <c r="H8533" s="27">
        <f t="shared" si="266"/>
        <v>0</v>
      </c>
      <c r="I8533" s="18">
        <v>6408.46</v>
      </c>
      <c r="J8533" s="27">
        <v>9300</v>
      </c>
      <c r="K8533" s="18">
        <f t="shared" si="267"/>
        <v>0</v>
      </c>
      <c r="L8533" s="27">
        <v>6718.23</v>
      </c>
      <c r="M8533" s="36">
        <v>309.77</v>
      </c>
      <c r="T8533" s="41">
        <v>0</v>
      </c>
      <c r="U8533" s="41">
        <v>0</v>
      </c>
      <c r="V8533" s="42" t="s">
        <v>113</v>
      </c>
      <c r="W8533" s="42">
        <v>0</v>
      </c>
      <c r="X8533" s="42">
        <v>0</v>
      </c>
    </row>
    <row r="8534" spans="1:24">
      <c r="A8534" s="27" t="s">
        <v>15517</v>
      </c>
      <c r="B8534" s="28" t="s">
        <v>12240</v>
      </c>
      <c r="C8534" s="27" t="s">
        <v>15518</v>
      </c>
      <c r="D8534" s="27" t="s">
        <v>230</v>
      </c>
      <c r="E8534" s="29">
        <v>40843</v>
      </c>
      <c r="F8534" s="27">
        <v>15</v>
      </c>
      <c r="G8534" s="18">
        <v>9300</v>
      </c>
      <c r="H8534" s="27">
        <f t="shared" si="266"/>
        <v>0</v>
      </c>
      <c r="I8534" s="18">
        <v>6408.45</v>
      </c>
      <c r="J8534" s="27">
        <v>9300</v>
      </c>
      <c r="K8534" s="18">
        <f t="shared" si="267"/>
        <v>0</v>
      </c>
      <c r="L8534" s="27">
        <v>6718.22</v>
      </c>
      <c r="M8534" s="36">
        <v>309.77</v>
      </c>
      <c r="T8534" s="41">
        <v>0</v>
      </c>
      <c r="U8534" s="41">
        <v>0</v>
      </c>
      <c r="V8534" s="42" t="s">
        <v>113</v>
      </c>
      <c r="W8534" s="42">
        <v>0</v>
      </c>
      <c r="X8534" s="42">
        <v>0</v>
      </c>
    </row>
    <row r="8535" spans="1:24">
      <c r="A8535" s="27" t="s">
        <v>15519</v>
      </c>
      <c r="B8535" s="28" t="s">
        <v>12240</v>
      </c>
      <c r="C8535" s="27" t="s">
        <v>15520</v>
      </c>
      <c r="D8535" s="27" t="s">
        <v>230</v>
      </c>
      <c r="E8535" s="29">
        <v>40843</v>
      </c>
      <c r="F8535" s="27">
        <v>15</v>
      </c>
      <c r="G8535" s="18">
        <v>9300</v>
      </c>
      <c r="H8535" s="27">
        <f t="shared" si="266"/>
        <v>0</v>
      </c>
      <c r="I8535" s="18">
        <v>6408.46</v>
      </c>
      <c r="J8535" s="27">
        <v>9300</v>
      </c>
      <c r="K8535" s="18">
        <f t="shared" si="267"/>
        <v>0</v>
      </c>
      <c r="L8535" s="27">
        <v>6718.23</v>
      </c>
      <c r="M8535" s="36">
        <v>309.77</v>
      </c>
      <c r="T8535" s="41">
        <v>0</v>
      </c>
      <c r="U8535" s="41">
        <v>0</v>
      </c>
      <c r="V8535" s="42" t="s">
        <v>113</v>
      </c>
      <c r="W8535" s="42">
        <v>0</v>
      </c>
      <c r="X8535" s="42">
        <v>0</v>
      </c>
    </row>
    <row r="8536" spans="1:24">
      <c r="A8536" s="27" t="s">
        <v>15521</v>
      </c>
      <c r="B8536" s="28" t="s">
        <v>12240</v>
      </c>
      <c r="C8536" s="27" t="s">
        <v>15522</v>
      </c>
      <c r="D8536" s="27" t="s">
        <v>230</v>
      </c>
      <c r="E8536" s="29">
        <v>40843</v>
      </c>
      <c r="F8536" s="27">
        <v>15</v>
      </c>
      <c r="G8536" s="18">
        <v>9300</v>
      </c>
      <c r="H8536" s="27">
        <f t="shared" si="266"/>
        <v>0</v>
      </c>
      <c r="I8536" s="18">
        <v>6408.45</v>
      </c>
      <c r="J8536" s="27">
        <v>9300</v>
      </c>
      <c r="K8536" s="18">
        <f t="shared" si="267"/>
        <v>0</v>
      </c>
      <c r="L8536" s="27">
        <v>6718.22</v>
      </c>
      <c r="M8536" s="36">
        <v>309.77</v>
      </c>
      <c r="T8536" s="41">
        <v>0</v>
      </c>
      <c r="U8536" s="41">
        <v>0</v>
      </c>
      <c r="V8536" s="42" t="s">
        <v>113</v>
      </c>
      <c r="W8536" s="42">
        <v>0</v>
      </c>
      <c r="X8536" s="42">
        <v>0</v>
      </c>
    </row>
    <row r="8537" spans="1:24">
      <c r="A8537" s="27" t="s">
        <v>15523</v>
      </c>
      <c r="B8537" s="28" t="s">
        <v>12240</v>
      </c>
      <c r="C8537" s="27" t="s">
        <v>15524</v>
      </c>
      <c r="D8537" s="27" t="s">
        <v>230</v>
      </c>
      <c r="E8537" s="29">
        <v>40843</v>
      </c>
      <c r="F8537" s="27">
        <v>15</v>
      </c>
      <c r="G8537" s="18">
        <v>9300</v>
      </c>
      <c r="H8537" s="27">
        <f t="shared" si="266"/>
        <v>0</v>
      </c>
      <c r="I8537" s="18">
        <v>6408.46</v>
      </c>
      <c r="J8537" s="27">
        <v>9300</v>
      </c>
      <c r="K8537" s="18">
        <f t="shared" si="267"/>
        <v>0</v>
      </c>
      <c r="L8537" s="27">
        <v>6718.23</v>
      </c>
      <c r="M8537" s="36">
        <v>309.77</v>
      </c>
      <c r="T8537" s="41">
        <v>0</v>
      </c>
      <c r="U8537" s="41">
        <v>0</v>
      </c>
      <c r="V8537" s="42" t="s">
        <v>113</v>
      </c>
      <c r="W8537" s="42">
        <v>0</v>
      </c>
      <c r="X8537" s="42">
        <v>0</v>
      </c>
    </row>
    <row r="8538" spans="1:24">
      <c r="A8538" s="27" t="s">
        <v>15525</v>
      </c>
      <c r="B8538" s="28" t="s">
        <v>12240</v>
      </c>
      <c r="C8538" s="27" t="s">
        <v>15526</v>
      </c>
      <c r="D8538" s="27" t="s">
        <v>230</v>
      </c>
      <c r="E8538" s="29">
        <v>40843</v>
      </c>
      <c r="F8538" s="27">
        <v>15</v>
      </c>
      <c r="G8538" s="18">
        <v>9300</v>
      </c>
      <c r="H8538" s="27">
        <f t="shared" si="266"/>
        <v>0</v>
      </c>
      <c r="I8538" s="18">
        <v>6408.45</v>
      </c>
      <c r="J8538" s="27">
        <v>9300</v>
      </c>
      <c r="K8538" s="18">
        <f t="shared" si="267"/>
        <v>0</v>
      </c>
      <c r="L8538" s="27">
        <v>6718.22</v>
      </c>
      <c r="M8538" s="36">
        <v>309.77</v>
      </c>
      <c r="T8538" s="41">
        <v>0</v>
      </c>
      <c r="U8538" s="41">
        <v>0</v>
      </c>
      <c r="V8538" s="42" t="s">
        <v>113</v>
      </c>
      <c r="W8538" s="42">
        <v>0</v>
      </c>
      <c r="X8538" s="42">
        <v>0</v>
      </c>
    </row>
    <row r="8539" spans="1:24">
      <c r="A8539" s="27" t="s">
        <v>15527</v>
      </c>
      <c r="B8539" s="28" t="s">
        <v>12240</v>
      </c>
      <c r="C8539" s="27" t="s">
        <v>15528</v>
      </c>
      <c r="D8539" s="27" t="s">
        <v>230</v>
      </c>
      <c r="E8539" s="29">
        <v>40843</v>
      </c>
      <c r="F8539" s="27">
        <v>15</v>
      </c>
      <c r="G8539" s="18">
        <v>9300</v>
      </c>
      <c r="H8539" s="27">
        <f t="shared" si="266"/>
        <v>0</v>
      </c>
      <c r="I8539" s="18">
        <v>6408.46</v>
      </c>
      <c r="J8539" s="27">
        <v>9300</v>
      </c>
      <c r="K8539" s="18">
        <f t="shared" si="267"/>
        <v>0</v>
      </c>
      <c r="L8539" s="27">
        <v>6718.23</v>
      </c>
      <c r="M8539" s="36">
        <v>309.77</v>
      </c>
      <c r="T8539" s="41">
        <v>0</v>
      </c>
      <c r="U8539" s="41">
        <v>0</v>
      </c>
      <c r="V8539" s="42" t="s">
        <v>113</v>
      </c>
      <c r="W8539" s="42">
        <v>0</v>
      </c>
      <c r="X8539" s="42">
        <v>0</v>
      </c>
    </row>
    <row r="8540" spans="1:24">
      <c r="A8540" s="27" t="s">
        <v>15529</v>
      </c>
      <c r="B8540" s="28" t="s">
        <v>12240</v>
      </c>
      <c r="C8540" s="27" t="s">
        <v>15530</v>
      </c>
      <c r="D8540" s="27" t="s">
        <v>230</v>
      </c>
      <c r="E8540" s="29">
        <v>40843</v>
      </c>
      <c r="F8540" s="27">
        <v>15</v>
      </c>
      <c r="G8540" s="18">
        <v>9300</v>
      </c>
      <c r="H8540" s="27">
        <f t="shared" si="266"/>
        <v>0</v>
      </c>
      <c r="I8540" s="18">
        <v>6408.45</v>
      </c>
      <c r="J8540" s="27">
        <v>9300</v>
      </c>
      <c r="K8540" s="18">
        <f t="shared" si="267"/>
        <v>0</v>
      </c>
      <c r="L8540" s="27">
        <v>6718.22</v>
      </c>
      <c r="M8540" s="36">
        <v>309.77</v>
      </c>
      <c r="T8540" s="41">
        <v>0</v>
      </c>
      <c r="U8540" s="41">
        <v>0</v>
      </c>
      <c r="V8540" s="42" t="s">
        <v>113</v>
      </c>
      <c r="W8540" s="42">
        <v>0</v>
      </c>
      <c r="X8540" s="42">
        <v>0</v>
      </c>
    </row>
    <row r="8541" spans="1:24">
      <c r="A8541" s="27" t="s">
        <v>15531</v>
      </c>
      <c r="B8541" s="28" t="s">
        <v>12240</v>
      </c>
      <c r="C8541" s="27" t="s">
        <v>15532</v>
      </c>
      <c r="D8541" s="27" t="s">
        <v>230</v>
      </c>
      <c r="E8541" s="29">
        <v>40843</v>
      </c>
      <c r="F8541" s="27">
        <v>15</v>
      </c>
      <c r="G8541" s="18">
        <v>9300</v>
      </c>
      <c r="H8541" s="27">
        <f t="shared" si="266"/>
        <v>0</v>
      </c>
      <c r="I8541" s="18">
        <v>6408.46</v>
      </c>
      <c r="J8541" s="27">
        <v>9300</v>
      </c>
      <c r="K8541" s="18">
        <f t="shared" si="267"/>
        <v>0</v>
      </c>
      <c r="L8541" s="27">
        <v>6718.23</v>
      </c>
      <c r="M8541" s="36">
        <v>309.77</v>
      </c>
      <c r="T8541" s="41">
        <v>0</v>
      </c>
      <c r="U8541" s="41">
        <v>0</v>
      </c>
      <c r="V8541" s="42" t="s">
        <v>113</v>
      </c>
      <c r="W8541" s="42">
        <v>0</v>
      </c>
      <c r="X8541" s="42">
        <v>0</v>
      </c>
    </row>
    <row r="8542" spans="1:24">
      <c r="A8542" s="27" t="s">
        <v>15533</v>
      </c>
      <c r="B8542" s="28" t="s">
        <v>12240</v>
      </c>
      <c r="C8542" s="27" t="s">
        <v>15534</v>
      </c>
      <c r="D8542" s="27" t="s">
        <v>230</v>
      </c>
      <c r="E8542" s="29">
        <v>40843</v>
      </c>
      <c r="F8542" s="27">
        <v>15</v>
      </c>
      <c r="G8542" s="18">
        <v>9300</v>
      </c>
      <c r="H8542" s="27">
        <f t="shared" si="266"/>
        <v>0</v>
      </c>
      <c r="I8542" s="18">
        <v>6408.46</v>
      </c>
      <c r="J8542" s="27">
        <v>9300</v>
      </c>
      <c r="K8542" s="18">
        <f t="shared" si="267"/>
        <v>0</v>
      </c>
      <c r="L8542" s="27">
        <v>6718.23</v>
      </c>
      <c r="M8542" s="36">
        <v>309.77</v>
      </c>
      <c r="T8542" s="41">
        <v>0</v>
      </c>
      <c r="U8542" s="41">
        <v>0</v>
      </c>
      <c r="V8542" s="42" t="s">
        <v>113</v>
      </c>
      <c r="W8542" s="42">
        <v>0</v>
      </c>
      <c r="X8542" s="42">
        <v>0</v>
      </c>
    </row>
    <row r="8543" spans="1:24">
      <c r="A8543" s="27" t="s">
        <v>15535</v>
      </c>
      <c r="B8543" s="28" t="s">
        <v>12240</v>
      </c>
      <c r="C8543" s="27" t="s">
        <v>15536</v>
      </c>
      <c r="D8543" s="27" t="s">
        <v>230</v>
      </c>
      <c r="E8543" s="29">
        <v>40843</v>
      </c>
      <c r="F8543" s="27">
        <v>15</v>
      </c>
      <c r="G8543" s="18">
        <v>9300</v>
      </c>
      <c r="H8543" s="27">
        <f t="shared" si="266"/>
        <v>0</v>
      </c>
      <c r="I8543" s="18">
        <v>6408.45</v>
      </c>
      <c r="J8543" s="27">
        <v>9300</v>
      </c>
      <c r="K8543" s="18">
        <f t="shared" si="267"/>
        <v>0</v>
      </c>
      <c r="L8543" s="27">
        <v>6718.22</v>
      </c>
      <c r="M8543" s="36">
        <v>309.77</v>
      </c>
      <c r="T8543" s="41">
        <v>0</v>
      </c>
      <c r="U8543" s="41">
        <v>0</v>
      </c>
      <c r="V8543" s="42" t="s">
        <v>113</v>
      </c>
      <c r="W8543" s="42">
        <v>0</v>
      </c>
      <c r="X8543" s="42">
        <v>0</v>
      </c>
    </row>
    <row r="8544" spans="1:24">
      <c r="A8544" s="27" t="s">
        <v>15537</v>
      </c>
      <c r="B8544" s="28" t="s">
        <v>12240</v>
      </c>
      <c r="C8544" s="27" t="s">
        <v>15538</v>
      </c>
      <c r="D8544" s="27" t="s">
        <v>230</v>
      </c>
      <c r="E8544" s="29">
        <v>40843</v>
      </c>
      <c r="F8544" s="27">
        <v>15</v>
      </c>
      <c r="G8544" s="18">
        <v>9300</v>
      </c>
      <c r="H8544" s="27">
        <f t="shared" si="266"/>
        <v>0</v>
      </c>
      <c r="I8544" s="18">
        <v>6408.46</v>
      </c>
      <c r="J8544" s="27">
        <v>9300</v>
      </c>
      <c r="K8544" s="18">
        <f t="shared" si="267"/>
        <v>0</v>
      </c>
      <c r="L8544" s="27">
        <v>6718.23</v>
      </c>
      <c r="M8544" s="36">
        <v>309.77</v>
      </c>
      <c r="T8544" s="41">
        <v>0</v>
      </c>
      <c r="U8544" s="41">
        <v>0</v>
      </c>
      <c r="V8544" s="42" t="s">
        <v>113</v>
      </c>
      <c r="W8544" s="42">
        <v>0</v>
      </c>
      <c r="X8544" s="42">
        <v>0</v>
      </c>
    </row>
    <row r="8545" spans="1:24">
      <c r="A8545" s="27" t="s">
        <v>15539</v>
      </c>
      <c r="B8545" s="28" t="s">
        <v>12240</v>
      </c>
      <c r="C8545" s="27" t="s">
        <v>15540</v>
      </c>
      <c r="D8545" s="27" t="s">
        <v>230</v>
      </c>
      <c r="E8545" s="29">
        <v>40843</v>
      </c>
      <c r="F8545" s="27">
        <v>15</v>
      </c>
      <c r="G8545" s="18">
        <v>9300</v>
      </c>
      <c r="H8545" s="27">
        <f t="shared" si="266"/>
        <v>0</v>
      </c>
      <c r="I8545" s="18">
        <v>6408.45</v>
      </c>
      <c r="J8545" s="27">
        <v>9300</v>
      </c>
      <c r="K8545" s="18">
        <f t="shared" si="267"/>
        <v>0</v>
      </c>
      <c r="L8545" s="27">
        <v>6718.22</v>
      </c>
      <c r="M8545" s="36">
        <v>309.77</v>
      </c>
      <c r="T8545" s="41">
        <v>0</v>
      </c>
      <c r="U8545" s="41">
        <v>0</v>
      </c>
      <c r="V8545" s="42" t="s">
        <v>113</v>
      </c>
      <c r="W8545" s="42">
        <v>0</v>
      </c>
      <c r="X8545" s="42">
        <v>0</v>
      </c>
    </row>
    <row r="8546" spans="1:24">
      <c r="A8546" s="27" t="s">
        <v>15541</v>
      </c>
      <c r="B8546" s="28" t="s">
        <v>12240</v>
      </c>
      <c r="C8546" s="27" t="s">
        <v>15542</v>
      </c>
      <c r="D8546" s="27" t="s">
        <v>230</v>
      </c>
      <c r="E8546" s="29">
        <v>40843</v>
      </c>
      <c r="F8546" s="27">
        <v>15</v>
      </c>
      <c r="G8546" s="18">
        <v>9300</v>
      </c>
      <c r="H8546" s="27">
        <f t="shared" si="266"/>
        <v>0</v>
      </c>
      <c r="I8546" s="18">
        <v>6408.46</v>
      </c>
      <c r="J8546" s="27">
        <v>9300</v>
      </c>
      <c r="K8546" s="18">
        <f t="shared" si="267"/>
        <v>0</v>
      </c>
      <c r="L8546" s="27">
        <v>6718.23</v>
      </c>
      <c r="M8546" s="36">
        <v>309.77</v>
      </c>
      <c r="T8546" s="41">
        <v>0</v>
      </c>
      <c r="U8546" s="41">
        <v>0</v>
      </c>
      <c r="V8546" s="42" t="s">
        <v>113</v>
      </c>
      <c r="W8546" s="42">
        <v>0</v>
      </c>
      <c r="X8546" s="42">
        <v>0</v>
      </c>
    </row>
    <row r="8547" spans="1:24">
      <c r="A8547" s="27" t="s">
        <v>15543</v>
      </c>
      <c r="B8547" s="28" t="s">
        <v>12240</v>
      </c>
      <c r="C8547" s="27" t="s">
        <v>15544</v>
      </c>
      <c r="D8547" s="27" t="s">
        <v>230</v>
      </c>
      <c r="E8547" s="29">
        <v>40843</v>
      </c>
      <c r="F8547" s="27">
        <v>15</v>
      </c>
      <c r="G8547" s="18">
        <v>9300</v>
      </c>
      <c r="H8547" s="27">
        <f t="shared" si="266"/>
        <v>0</v>
      </c>
      <c r="I8547" s="18">
        <v>6408.45</v>
      </c>
      <c r="J8547" s="27">
        <v>9300</v>
      </c>
      <c r="K8547" s="18">
        <f t="shared" si="267"/>
        <v>0</v>
      </c>
      <c r="L8547" s="27">
        <v>6718.22</v>
      </c>
      <c r="M8547" s="36">
        <v>309.77</v>
      </c>
      <c r="T8547" s="41">
        <v>0</v>
      </c>
      <c r="U8547" s="41">
        <v>0</v>
      </c>
      <c r="V8547" s="42" t="s">
        <v>113</v>
      </c>
      <c r="W8547" s="42">
        <v>0</v>
      </c>
      <c r="X8547" s="42">
        <v>0</v>
      </c>
    </row>
    <row r="8548" spans="1:24">
      <c r="A8548" s="27" t="s">
        <v>15545</v>
      </c>
      <c r="B8548" s="28" t="s">
        <v>12240</v>
      </c>
      <c r="C8548" s="27" t="s">
        <v>15546</v>
      </c>
      <c r="D8548" s="27" t="s">
        <v>230</v>
      </c>
      <c r="E8548" s="29">
        <v>40843</v>
      </c>
      <c r="F8548" s="27">
        <v>15</v>
      </c>
      <c r="G8548" s="18">
        <v>9300</v>
      </c>
      <c r="H8548" s="27">
        <f t="shared" si="266"/>
        <v>0</v>
      </c>
      <c r="I8548" s="18">
        <v>6408.46</v>
      </c>
      <c r="J8548" s="27">
        <v>9300</v>
      </c>
      <c r="K8548" s="18">
        <f t="shared" si="267"/>
        <v>0</v>
      </c>
      <c r="L8548" s="27">
        <v>6718.23</v>
      </c>
      <c r="M8548" s="36">
        <v>309.77</v>
      </c>
      <c r="T8548" s="41">
        <v>0</v>
      </c>
      <c r="U8548" s="41">
        <v>0</v>
      </c>
      <c r="V8548" s="42" t="s">
        <v>113</v>
      </c>
      <c r="W8548" s="42">
        <v>0</v>
      </c>
      <c r="X8548" s="42">
        <v>0</v>
      </c>
    </row>
    <row r="8549" spans="1:24">
      <c r="A8549" s="27" t="s">
        <v>15547</v>
      </c>
      <c r="B8549" s="28" t="s">
        <v>12240</v>
      </c>
      <c r="C8549" s="27" t="s">
        <v>15548</v>
      </c>
      <c r="D8549" s="27" t="s">
        <v>230</v>
      </c>
      <c r="E8549" s="29">
        <v>40843</v>
      </c>
      <c r="F8549" s="27">
        <v>15</v>
      </c>
      <c r="G8549" s="18">
        <v>9300</v>
      </c>
      <c r="H8549" s="27">
        <f t="shared" si="266"/>
        <v>0</v>
      </c>
      <c r="I8549" s="18">
        <v>6408.45</v>
      </c>
      <c r="J8549" s="27">
        <v>9300</v>
      </c>
      <c r="K8549" s="18">
        <f t="shared" si="267"/>
        <v>0</v>
      </c>
      <c r="L8549" s="27">
        <v>6718.22</v>
      </c>
      <c r="M8549" s="36">
        <v>309.77</v>
      </c>
      <c r="T8549" s="41">
        <v>0</v>
      </c>
      <c r="U8549" s="41">
        <v>0</v>
      </c>
      <c r="V8549" s="42" t="s">
        <v>113</v>
      </c>
      <c r="W8549" s="42">
        <v>0</v>
      </c>
      <c r="X8549" s="42">
        <v>0</v>
      </c>
    </row>
    <row r="8550" spans="1:24">
      <c r="A8550" s="27" t="s">
        <v>15549</v>
      </c>
      <c r="B8550" s="28" t="s">
        <v>12240</v>
      </c>
      <c r="C8550" s="27" t="s">
        <v>15550</v>
      </c>
      <c r="D8550" s="27" t="s">
        <v>230</v>
      </c>
      <c r="E8550" s="29">
        <v>40843</v>
      </c>
      <c r="F8550" s="27">
        <v>15</v>
      </c>
      <c r="G8550" s="18">
        <v>9300</v>
      </c>
      <c r="H8550" s="27">
        <f t="shared" si="266"/>
        <v>0</v>
      </c>
      <c r="I8550" s="18">
        <v>6408.46</v>
      </c>
      <c r="J8550" s="27">
        <v>9300</v>
      </c>
      <c r="K8550" s="18">
        <f t="shared" si="267"/>
        <v>0</v>
      </c>
      <c r="L8550" s="27">
        <v>6718.23</v>
      </c>
      <c r="M8550" s="36">
        <v>309.77</v>
      </c>
      <c r="T8550" s="41">
        <v>0</v>
      </c>
      <c r="U8550" s="41">
        <v>0</v>
      </c>
      <c r="V8550" s="42" t="s">
        <v>113</v>
      </c>
      <c r="W8550" s="42">
        <v>0</v>
      </c>
      <c r="X8550" s="42">
        <v>0</v>
      </c>
    </row>
    <row r="8551" spans="1:24">
      <c r="A8551" s="27" t="s">
        <v>15551</v>
      </c>
      <c r="B8551" s="28" t="s">
        <v>12240</v>
      </c>
      <c r="C8551" s="27" t="s">
        <v>15552</v>
      </c>
      <c r="D8551" s="27" t="s">
        <v>230</v>
      </c>
      <c r="E8551" s="29">
        <v>40843</v>
      </c>
      <c r="F8551" s="27">
        <v>15</v>
      </c>
      <c r="G8551" s="18">
        <v>9300</v>
      </c>
      <c r="H8551" s="27">
        <f t="shared" si="266"/>
        <v>0</v>
      </c>
      <c r="I8551" s="18">
        <v>6408.45</v>
      </c>
      <c r="J8551" s="27">
        <v>9300</v>
      </c>
      <c r="K8551" s="18">
        <f t="shared" si="267"/>
        <v>0</v>
      </c>
      <c r="L8551" s="27">
        <v>6718.22</v>
      </c>
      <c r="M8551" s="36">
        <v>309.77</v>
      </c>
      <c r="T8551" s="41">
        <v>0</v>
      </c>
      <c r="U8551" s="41">
        <v>0</v>
      </c>
      <c r="V8551" s="42" t="s">
        <v>113</v>
      </c>
      <c r="W8551" s="42">
        <v>0</v>
      </c>
      <c r="X8551" s="42">
        <v>0</v>
      </c>
    </row>
    <row r="8552" spans="1:24">
      <c r="A8552" s="27" t="s">
        <v>15553</v>
      </c>
      <c r="B8552" s="28" t="s">
        <v>12240</v>
      </c>
      <c r="C8552" s="27" t="s">
        <v>15554</v>
      </c>
      <c r="D8552" s="27" t="s">
        <v>230</v>
      </c>
      <c r="E8552" s="29">
        <v>40843</v>
      </c>
      <c r="F8552" s="27">
        <v>15</v>
      </c>
      <c r="G8552" s="18">
        <v>9300</v>
      </c>
      <c r="H8552" s="27">
        <f t="shared" si="266"/>
        <v>0</v>
      </c>
      <c r="I8552" s="18">
        <v>6408.46</v>
      </c>
      <c r="J8552" s="27">
        <v>9300</v>
      </c>
      <c r="K8552" s="18">
        <f t="shared" si="267"/>
        <v>0</v>
      </c>
      <c r="L8552" s="27">
        <v>6718.23</v>
      </c>
      <c r="M8552" s="36">
        <v>309.77</v>
      </c>
      <c r="T8552" s="41">
        <v>0</v>
      </c>
      <c r="U8552" s="41">
        <v>0</v>
      </c>
      <c r="V8552" s="42" t="s">
        <v>113</v>
      </c>
      <c r="W8552" s="42">
        <v>0</v>
      </c>
      <c r="X8552" s="42">
        <v>0</v>
      </c>
    </row>
    <row r="8553" spans="1:24">
      <c r="A8553" s="27" t="s">
        <v>15555</v>
      </c>
      <c r="B8553" s="28" t="s">
        <v>12240</v>
      </c>
      <c r="C8553" s="27" t="s">
        <v>15556</v>
      </c>
      <c r="D8553" s="27" t="s">
        <v>230</v>
      </c>
      <c r="E8553" s="29">
        <v>40843</v>
      </c>
      <c r="F8553" s="27">
        <v>15</v>
      </c>
      <c r="G8553" s="18">
        <v>9300</v>
      </c>
      <c r="H8553" s="27">
        <f t="shared" si="266"/>
        <v>0</v>
      </c>
      <c r="I8553" s="18">
        <v>6408.46</v>
      </c>
      <c r="J8553" s="27">
        <v>9300</v>
      </c>
      <c r="K8553" s="18">
        <f t="shared" si="267"/>
        <v>0</v>
      </c>
      <c r="L8553" s="27">
        <v>6718.23</v>
      </c>
      <c r="M8553" s="36">
        <v>309.77</v>
      </c>
      <c r="T8553" s="41">
        <v>0</v>
      </c>
      <c r="U8553" s="41">
        <v>0</v>
      </c>
      <c r="V8553" s="42" t="s">
        <v>113</v>
      </c>
      <c r="W8553" s="42">
        <v>0</v>
      </c>
      <c r="X8553" s="42">
        <v>0</v>
      </c>
    </row>
    <row r="8554" spans="1:24">
      <c r="A8554" s="27" t="s">
        <v>15557</v>
      </c>
      <c r="B8554" s="28" t="s">
        <v>12240</v>
      </c>
      <c r="C8554" s="27" t="s">
        <v>15558</v>
      </c>
      <c r="D8554" s="27" t="s">
        <v>230</v>
      </c>
      <c r="E8554" s="29">
        <v>40843</v>
      </c>
      <c r="F8554" s="27">
        <v>15</v>
      </c>
      <c r="G8554" s="18">
        <v>9300</v>
      </c>
      <c r="H8554" s="27">
        <f t="shared" si="266"/>
        <v>0</v>
      </c>
      <c r="I8554" s="18">
        <v>6408.45</v>
      </c>
      <c r="J8554" s="27">
        <v>9300</v>
      </c>
      <c r="K8554" s="18">
        <f t="shared" si="267"/>
        <v>0</v>
      </c>
      <c r="L8554" s="27">
        <v>6718.22</v>
      </c>
      <c r="M8554" s="36">
        <v>309.77</v>
      </c>
      <c r="T8554" s="41">
        <v>0</v>
      </c>
      <c r="U8554" s="41">
        <v>0</v>
      </c>
      <c r="V8554" s="42" t="s">
        <v>113</v>
      </c>
      <c r="W8554" s="42">
        <v>0</v>
      </c>
      <c r="X8554" s="42">
        <v>0</v>
      </c>
    </row>
    <row r="8555" spans="1:24">
      <c r="A8555" s="27" t="s">
        <v>15559</v>
      </c>
      <c r="B8555" s="28" t="s">
        <v>12240</v>
      </c>
      <c r="C8555" s="27" t="s">
        <v>15560</v>
      </c>
      <c r="D8555" s="27" t="s">
        <v>230</v>
      </c>
      <c r="E8555" s="29">
        <v>40843</v>
      </c>
      <c r="F8555" s="27">
        <v>15</v>
      </c>
      <c r="G8555" s="18">
        <v>9300</v>
      </c>
      <c r="H8555" s="27">
        <f t="shared" si="266"/>
        <v>0</v>
      </c>
      <c r="I8555" s="18">
        <v>6408.46</v>
      </c>
      <c r="J8555" s="27">
        <v>9300</v>
      </c>
      <c r="K8555" s="18">
        <f t="shared" si="267"/>
        <v>0</v>
      </c>
      <c r="L8555" s="27">
        <v>6718.23</v>
      </c>
      <c r="M8555" s="36">
        <v>309.77</v>
      </c>
      <c r="T8555" s="41">
        <v>0</v>
      </c>
      <c r="U8555" s="41">
        <v>0</v>
      </c>
      <c r="V8555" s="42" t="s">
        <v>113</v>
      </c>
      <c r="W8555" s="42">
        <v>0</v>
      </c>
      <c r="X8555" s="42">
        <v>0</v>
      </c>
    </row>
    <row r="8556" spans="1:24">
      <c r="A8556" s="27" t="s">
        <v>15561</v>
      </c>
      <c r="B8556" s="28" t="s">
        <v>12240</v>
      </c>
      <c r="C8556" s="27" t="s">
        <v>15562</v>
      </c>
      <c r="D8556" s="27" t="s">
        <v>230</v>
      </c>
      <c r="E8556" s="29">
        <v>40843</v>
      </c>
      <c r="F8556" s="27">
        <v>15</v>
      </c>
      <c r="G8556" s="18">
        <v>9300</v>
      </c>
      <c r="H8556" s="27">
        <f t="shared" si="266"/>
        <v>0</v>
      </c>
      <c r="I8556" s="18">
        <v>6408.45</v>
      </c>
      <c r="J8556" s="27">
        <v>9300</v>
      </c>
      <c r="K8556" s="18">
        <f t="shared" si="267"/>
        <v>0</v>
      </c>
      <c r="L8556" s="27">
        <v>6718.22</v>
      </c>
      <c r="M8556" s="36">
        <v>309.77</v>
      </c>
      <c r="T8556" s="41">
        <v>0</v>
      </c>
      <c r="U8556" s="41">
        <v>0</v>
      </c>
      <c r="V8556" s="42" t="s">
        <v>113</v>
      </c>
      <c r="W8556" s="42">
        <v>0</v>
      </c>
      <c r="X8556" s="42">
        <v>0</v>
      </c>
    </row>
    <row r="8557" spans="1:24">
      <c r="A8557" s="27" t="s">
        <v>15563</v>
      </c>
      <c r="B8557" s="28" t="s">
        <v>12240</v>
      </c>
      <c r="C8557" s="27" t="s">
        <v>15564</v>
      </c>
      <c r="D8557" s="27" t="s">
        <v>230</v>
      </c>
      <c r="E8557" s="29">
        <v>40843</v>
      </c>
      <c r="F8557" s="27">
        <v>15</v>
      </c>
      <c r="G8557" s="18">
        <v>9300</v>
      </c>
      <c r="H8557" s="27">
        <f t="shared" si="266"/>
        <v>0</v>
      </c>
      <c r="I8557" s="18">
        <v>6408.46</v>
      </c>
      <c r="J8557" s="27">
        <v>9300</v>
      </c>
      <c r="K8557" s="18">
        <f t="shared" si="267"/>
        <v>0</v>
      </c>
      <c r="L8557" s="27">
        <v>6718.23</v>
      </c>
      <c r="M8557" s="36">
        <v>309.77</v>
      </c>
      <c r="T8557" s="41">
        <v>0</v>
      </c>
      <c r="U8557" s="41">
        <v>0</v>
      </c>
      <c r="V8557" s="42" t="s">
        <v>113</v>
      </c>
      <c r="W8557" s="42">
        <v>0</v>
      </c>
      <c r="X8557" s="42">
        <v>0</v>
      </c>
    </row>
    <row r="8558" spans="1:24">
      <c r="A8558" s="27" t="s">
        <v>15565</v>
      </c>
      <c r="B8558" s="28" t="s">
        <v>12240</v>
      </c>
      <c r="C8558" s="27" t="s">
        <v>15566</v>
      </c>
      <c r="D8558" s="27" t="s">
        <v>230</v>
      </c>
      <c r="E8558" s="29">
        <v>40843</v>
      </c>
      <c r="F8558" s="27">
        <v>15</v>
      </c>
      <c r="G8558" s="18">
        <v>9300</v>
      </c>
      <c r="H8558" s="27">
        <f t="shared" si="266"/>
        <v>0</v>
      </c>
      <c r="I8558" s="18">
        <v>6408.45</v>
      </c>
      <c r="J8558" s="27">
        <v>9300</v>
      </c>
      <c r="K8558" s="18">
        <f t="shared" si="267"/>
        <v>0</v>
      </c>
      <c r="L8558" s="27">
        <v>6718.22</v>
      </c>
      <c r="M8558" s="36">
        <v>309.77</v>
      </c>
      <c r="T8558" s="41">
        <v>0</v>
      </c>
      <c r="U8558" s="41">
        <v>0</v>
      </c>
      <c r="V8558" s="42" t="s">
        <v>113</v>
      </c>
      <c r="W8558" s="42">
        <v>0</v>
      </c>
      <c r="X8558" s="42">
        <v>0</v>
      </c>
    </row>
    <row r="8559" spans="1:24">
      <c r="A8559" s="27" t="s">
        <v>15567</v>
      </c>
      <c r="B8559" s="28" t="s">
        <v>12240</v>
      </c>
      <c r="C8559" s="27" t="s">
        <v>15568</v>
      </c>
      <c r="D8559" s="27" t="s">
        <v>230</v>
      </c>
      <c r="E8559" s="29">
        <v>41270</v>
      </c>
      <c r="F8559" s="27">
        <v>15</v>
      </c>
      <c r="G8559" s="18">
        <v>27183.29</v>
      </c>
      <c r="H8559" s="27">
        <f t="shared" si="266"/>
        <v>0</v>
      </c>
      <c r="I8559" s="18">
        <v>12364.01</v>
      </c>
      <c r="J8559" s="27">
        <v>27183.29</v>
      </c>
      <c r="K8559" s="18">
        <f t="shared" si="267"/>
        <v>0</v>
      </c>
      <c r="L8559" s="27">
        <v>13859.58</v>
      </c>
      <c r="M8559" s="36">
        <v>1495.57</v>
      </c>
      <c r="T8559" s="41">
        <v>0</v>
      </c>
      <c r="U8559" s="41">
        <v>0</v>
      </c>
      <c r="V8559" s="42" t="s">
        <v>113</v>
      </c>
      <c r="W8559" s="42">
        <v>0</v>
      </c>
      <c r="X8559" s="42">
        <v>0</v>
      </c>
    </row>
    <row r="8560" spans="1:24">
      <c r="A8560" s="27" t="s">
        <v>15569</v>
      </c>
      <c r="B8560" s="28" t="s">
        <v>12240</v>
      </c>
      <c r="C8560" s="27" t="s">
        <v>15570</v>
      </c>
      <c r="D8560" s="27" t="s">
        <v>230</v>
      </c>
      <c r="E8560" s="29">
        <v>40843</v>
      </c>
      <c r="F8560" s="27">
        <v>15</v>
      </c>
      <c r="G8560" s="18">
        <v>9300</v>
      </c>
      <c r="H8560" s="27">
        <f t="shared" si="266"/>
        <v>0</v>
      </c>
      <c r="I8560" s="18">
        <v>6408.46</v>
      </c>
      <c r="J8560" s="27">
        <v>9300</v>
      </c>
      <c r="K8560" s="18">
        <f t="shared" si="267"/>
        <v>0</v>
      </c>
      <c r="L8560" s="27">
        <v>6718.23</v>
      </c>
      <c r="M8560" s="36">
        <v>309.77</v>
      </c>
      <c r="T8560" s="41">
        <v>0</v>
      </c>
      <c r="U8560" s="41">
        <v>0</v>
      </c>
      <c r="V8560" s="42" t="s">
        <v>113</v>
      </c>
      <c r="W8560" s="42">
        <v>0</v>
      </c>
      <c r="X8560" s="42">
        <v>0</v>
      </c>
    </row>
    <row r="8561" spans="1:24">
      <c r="A8561" s="27" t="s">
        <v>15571</v>
      </c>
      <c r="B8561" s="28" t="s">
        <v>12240</v>
      </c>
      <c r="C8561" s="27" t="s">
        <v>15572</v>
      </c>
      <c r="D8561" s="27" t="s">
        <v>230</v>
      </c>
      <c r="E8561" s="29">
        <v>40843</v>
      </c>
      <c r="F8561" s="27">
        <v>15</v>
      </c>
      <c r="G8561" s="18">
        <v>53702.85</v>
      </c>
      <c r="H8561" s="27">
        <f t="shared" si="266"/>
        <v>0</v>
      </c>
      <c r="I8561" s="18">
        <v>12721.14</v>
      </c>
      <c r="J8561" s="27">
        <v>53702.85</v>
      </c>
      <c r="K8561" s="18">
        <f t="shared" si="267"/>
        <v>0</v>
      </c>
      <c r="L8561" s="27">
        <v>17610.060000000001</v>
      </c>
      <c r="M8561" s="36">
        <v>4888.92</v>
      </c>
      <c r="T8561" s="41">
        <v>0</v>
      </c>
      <c r="U8561" s="41">
        <v>0</v>
      </c>
      <c r="V8561" s="42" t="s">
        <v>113</v>
      </c>
      <c r="W8561" s="42">
        <v>0</v>
      </c>
      <c r="X8561" s="42">
        <v>0</v>
      </c>
    </row>
    <row r="8562" spans="1:24">
      <c r="A8562" s="27" t="s">
        <v>15573</v>
      </c>
      <c r="B8562" s="28" t="s">
        <v>12240</v>
      </c>
      <c r="C8562" s="27" t="s">
        <v>15574</v>
      </c>
      <c r="D8562" s="27" t="s">
        <v>230</v>
      </c>
      <c r="E8562" s="29">
        <v>36495</v>
      </c>
      <c r="F8562" s="27">
        <v>15</v>
      </c>
      <c r="G8562" s="18">
        <v>16048.98</v>
      </c>
      <c r="H8562" s="27">
        <f t="shared" si="266"/>
        <v>16048.98</v>
      </c>
      <c r="I8562" s="18">
        <v>15246.53</v>
      </c>
      <c r="J8562" s="27">
        <v>16048.98</v>
      </c>
      <c r="K8562" s="18">
        <f t="shared" si="267"/>
        <v>16048.98</v>
      </c>
      <c r="L8562" s="27">
        <v>15246.53</v>
      </c>
      <c r="M8562" s="36">
        <v>0</v>
      </c>
      <c r="T8562" s="41">
        <v>0</v>
      </c>
      <c r="U8562" s="41">
        <v>0</v>
      </c>
      <c r="V8562" s="42" t="s">
        <v>113</v>
      </c>
      <c r="W8562" s="42">
        <v>16048.98</v>
      </c>
      <c r="X8562" s="42">
        <v>16048.98</v>
      </c>
    </row>
    <row r="8563" spans="1:24">
      <c r="A8563" s="27" t="s">
        <v>15575</v>
      </c>
      <c r="B8563" s="28" t="s">
        <v>12240</v>
      </c>
      <c r="C8563" s="27" t="s">
        <v>15576</v>
      </c>
      <c r="D8563" s="27" t="s">
        <v>230</v>
      </c>
      <c r="E8563" s="29">
        <v>40843</v>
      </c>
      <c r="F8563" s="27">
        <v>15</v>
      </c>
      <c r="G8563" s="18">
        <v>9300</v>
      </c>
      <c r="H8563" s="27">
        <f t="shared" si="266"/>
        <v>0</v>
      </c>
      <c r="I8563" s="18">
        <v>6408.46</v>
      </c>
      <c r="J8563" s="27">
        <v>9300</v>
      </c>
      <c r="K8563" s="18">
        <f t="shared" si="267"/>
        <v>0</v>
      </c>
      <c r="L8563" s="27">
        <v>6718.23</v>
      </c>
      <c r="M8563" s="36">
        <v>309.77</v>
      </c>
      <c r="T8563" s="41">
        <v>0</v>
      </c>
      <c r="U8563" s="41">
        <v>0</v>
      </c>
      <c r="V8563" s="42" t="s">
        <v>113</v>
      </c>
      <c r="W8563" s="42">
        <v>0</v>
      </c>
      <c r="X8563" s="42">
        <v>0</v>
      </c>
    </row>
    <row r="8564" spans="1:24">
      <c r="A8564" s="27" t="s">
        <v>15577</v>
      </c>
      <c r="B8564" s="28" t="s">
        <v>12240</v>
      </c>
      <c r="C8564" s="27" t="s">
        <v>15578</v>
      </c>
      <c r="D8564" s="27" t="s">
        <v>230</v>
      </c>
      <c r="E8564" s="29">
        <v>40843</v>
      </c>
      <c r="F8564" s="27">
        <v>15</v>
      </c>
      <c r="G8564" s="18">
        <v>9300</v>
      </c>
      <c r="H8564" s="27">
        <f t="shared" si="266"/>
        <v>0</v>
      </c>
      <c r="I8564" s="18">
        <v>6408.45</v>
      </c>
      <c r="J8564" s="27">
        <v>9300</v>
      </c>
      <c r="K8564" s="18">
        <f t="shared" si="267"/>
        <v>0</v>
      </c>
      <c r="L8564" s="27">
        <v>6718.22</v>
      </c>
      <c r="M8564" s="36">
        <v>309.77</v>
      </c>
      <c r="T8564" s="41">
        <v>0</v>
      </c>
      <c r="U8564" s="41">
        <v>0</v>
      </c>
      <c r="V8564" s="42" t="s">
        <v>113</v>
      </c>
      <c r="W8564" s="42">
        <v>0</v>
      </c>
      <c r="X8564" s="42">
        <v>0</v>
      </c>
    </row>
    <row r="8565" spans="1:24">
      <c r="A8565" s="27" t="s">
        <v>15579</v>
      </c>
      <c r="B8565" s="28" t="s">
        <v>12240</v>
      </c>
      <c r="C8565" s="27" t="s">
        <v>15580</v>
      </c>
      <c r="D8565" s="27" t="s">
        <v>230</v>
      </c>
      <c r="E8565" s="29">
        <v>40843</v>
      </c>
      <c r="F8565" s="27">
        <v>15</v>
      </c>
      <c r="G8565" s="18">
        <v>9300</v>
      </c>
      <c r="H8565" s="27">
        <f t="shared" si="266"/>
        <v>0</v>
      </c>
      <c r="I8565" s="18">
        <v>6408.45</v>
      </c>
      <c r="J8565" s="27">
        <v>9300</v>
      </c>
      <c r="K8565" s="18">
        <f t="shared" si="267"/>
        <v>0</v>
      </c>
      <c r="L8565" s="27">
        <v>6718.22</v>
      </c>
      <c r="M8565" s="36">
        <v>309.77</v>
      </c>
      <c r="T8565" s="41">
        <v>0</v>
      </c>
      <c r="U8565" s="41">
        <v>0</v>
      </c>
      <c r="V8565" s="42" t="s">
        <v>113</v>
      </c>
      <c r="W8565" s="42">
        <v>0</v>
      </c>
      <c r="X8565" s="42">
        <v>0</v>
      </c>
    </row>
    <row r="8566" spans="1:24">
      <c r="A8566" s="27" t="s">
        <v>15581</v>
      </c>
      <c r="B8566" s="28" t="s">
        <v>12240</v>
      </c>
      <c r="C8566" s="27" t="s">
        <v>15582</v>
      </c>
      <c r="D8566" s="27" t="s">
        <v>230</v>
      </c>
      <c r="E8566" s="29">
        <v>38078</v>
      </c>
      <c r="F8566" s="27">
        <v>15</v>
      </c>
      <c r="G8566" s="18">
        <v>15440.26</v>
      </c>
      <c r="H8566" s="27">
        <f t="shared" si="266"/>
        <v>15440.26</v>
      </c>
      <c r="I8566" s="18">
        <v>14668.25</v>
      </c>
      <c r="J8566" s="27">
        <v>15440.26</v>
      </c>
      <c r="K8566" s="18">
        <f t="shared" si="267"/>
        <v>15440.26</v>
      </c>
      <c r="L8566" s="27">
        <v>14668.25</v>
      </c>
      <c r="M8566" s="36">
        <v>0</v>
      </c>
      <c r="T8566" s="41">
        <v>0</v>
      </c>
      <c r="U8566" s="41">
        <v>0</v>
      </c>
      <c r="V8566" s="42" t="s">
        <v>113</v>
      </c>
      <c r="W8566" s="42">
        <v>15440.26</v>
      </c>
      <c r="X8566" s="42">
        <v>15440.26</v>
      </c>
    </row>
    <row r="8567" spans="1:24">
      <c r="A8567" s="27" t="s">
        <v>15583</v>
      </c>
      <c r="B8567" s="28" t="s">
        <v>12240</v>
      </c>
      <c r="C8567" s="27" t="s">
        <v>15584</v>
      </c>
      <c r="D8567" s="27" t="s">
        <v>230</v>
      </c>
      <c r="E8567" s="29">
        <v>40843</v>
      </c>
      <c r="F8567" s="27">
        <v>15</v>
      </c>
      <c r="G8567" s="18">
        <v>9300</v>
      </c>
      <c r="H8567" s="27">
        <f t="shared" si="266"/>
        <v>0</v>
      </c>
      <c r="I8567" s="18">
        <v>6408.46</v>
      </c>
      <c r="J8567" s="27">
        <v>9300</v>
      </c>
      <c r="K8567" s="18">
        <f t="shared" si="267"/>
        <v>0</v>
      </c>
      <c r="L8567" s="27">
        <v>6718.23</v>
      </c>
      <c r="M8567" s="36">
        <v>309.77</v>
      </c>
      <c r="T8567" s="41">
        <v>0</v>
      </c>
      <c r="U8567" s="41">
        <v>0</v>
      </c>
      <c r="V8567" s="42" t="s">
        <v>113</v>
      </c>
      <c r="W8567" s="42">
        <v>0</v>
      </c>
      <c r="X8567" s="42">
        <v>0</v>
      </c>
    </row>
    <row r="8568" spans="1:24">
      <c r="A8568" s="27" t="s">
        <v>15585</v>
      </c>
      <c r="B8568" s="28" t="s">
        <v>12240</v>
      </c>
      <c r="C8568" s="27" t="s">
        <v>15586</v>
      </c>
      <c r="D8568" s="27" t="s">
        <v>230</v>
      </c>
      <c r="E8568" s="29">
        <v>40843</v>
      </c>
      <c r="F8568" s="27">
        <v>15</v>
      </c>
      <c r="G8568" s="18">
        <v>9300</v>
      </c>
      <c r="H8568" s="27">
        <f t="shared" si="266"/>
        <v>0</v>
      </c>
      <c r="I8568" s="18">
        <v>6408.45</v>
      </c>
      <c r="J8568" s="27">
        <v>9300</v>
      </c>
      <c r="K8568" s="18">
        <f t="shared" si="267"/>
        <v>0</v>
      </c>
      <c r="L8568" s="27">
        <v>6718.22</v>
      </c>
      <c r="M8568" s="36">
        <v>309.77</v>
      </c>
      <c r="T8568" s="41">
        <v>0</v>
      </c>
      <c r="U8568" s="41">
        <v>0</v>
      </c>
      <c r="V8568" s="42" t="s">
        <v>113</v>
      </c>
      <c r="W8568" s="42">
        <v>0</v>
      </c>
      <c r="X8568" s="42">
        <v>0</v>
      </c>
    </row>
    <row r="8569" spans="1:24">
      <c r="A8569" s="27" t="s">
        <v>15587</v>
      </c>
      <c r="B8569" s="28" t="s">
        <v>12240</v>
      </c>
      <c r="C8569" s="27" t="s">
        <v>15588</v>
      </c>
      <c r="D8569" s="27" t="s">
        <v>230</v>
      </c>
      <c r="E8569" s="29">
        <v>40843</v>
      </c>
      <c r="F8569" s="27">
        <v>15</v>
      </c>
      <c r="G8569" s="18">
        <v>9300</v>
      </c>
      <c r="H8569" s="27">
        <f t="shared" si="266"/>
        <v>0</v>
      </c>
      <c r="I8569" s="18">
        <v>6408.46</v>
      </c>
      <c r="J8569" s="27">
        <v>9300</v>
      </c>
      <c r="K8569" s="18">
        <f t="shared" si="267"/>
        <v>0</v>
      </c>
      <c r="L8569" s="27">
        <v>6718.23</v>
      </c>
      <c r="M8569" s="36">
        <v>309.77</v>
      </c>
      <c r="T8569" s="41">
        <v>0</v>
      </c>
      <c r="U8569" s="41">
        <v>0</v>
      </c>
      <c r="V8569" s="42" t="s">
        <v>113</v>
      </c>
      <c r="W8569" s="42">
        <v>0</v>
      </c>
      <c r="X8569" s="42">
        <v>0</v>
      </c>
    </row>
    <row r="8570" spans="1:24">
      <c r="A8570" s="27" t="s">
        <v>15589</v>
      </c>
      <c r="B8570" s="28" t="s">
        <v>12240</v>
      </c>
      <c r="C8570" s="27" t="s">
        <v>15590</v>
      </c>
      <c r="D8570" s="27" t="s">
        <v>230</v>
      </c>
      <c r="E8570" s="29">
        <v>40843</v>
      </c>
      <c r="F8570" s="27">
        <v>15</v>
      </c>
      <c r="G8570" s="18">
        <v>9300</v>
      </c>
      <c r="H8570" s="27">
        <f t="shared" si="266"/>
        <v>0</v>
      </c>
      <c r="I8570" s="18">
        <v>6408.45</v>
      </c>
      <c r="J8570" s="27">
        <v>9300</v>
      </c>
      <c r="K8570" s="18">
        <f t="shared" si="267"/>
        <v>0</v>
      </c>
      <c r="L8570" s="27">
        <v>6718.22</v>
      </c>
      <c r="M8570" s="36">
        <v>309.77</v>
      </c>
      <c r="T8570" s="41">
        <v>0</v>
      </c>
      <c r="U8570" s="41">
        <v>0</v>
      </c>
      <c r="V8570" s="42" t="s">
        <v>113</v>
      </c>
      <c r="W8570" s="42">
        <v>0</v>
      </c>
      <c r="X8570" s="42">
        <v>0</v>
      </c>
    </row>
    <row r="8571" spans="1:24">
      <c r="A8571" s="27" t="s">
        <v>15591</v>
      </c>
      <c r="B8571" s="28" t="s">
        <v>12240</v>
      </c>
      <c r="C8571" s="27" t="s">
        <v>15592</v>
      </c>
      <c r="D8571" s="27" t="s">
        <v>230</v>
      </c>
      <c r="E8571" s="29">
        <v>40843</v>
      </c>
      <c r="F8571" s="27">
        <v>15</v>
      </c>
      <c r="G8571" s="18">
        <v>9300</v>
      </c>
      <c r="H8571" s="27">
        <f t="shared" si="266"/>
        <v>0</v>
      </c>
      <c r="I8571" s="18">
        <v>6408.46</v>
      </c>
      <c r="J8571" s="27">
        <v>9300</v>
      </c>
      <c r="K8571" s="18">
        <f t="shared" si="267"/>
        <v>0</v>
      </c>
      <c r="L8571" s="27">
        <v>6718.23</v>
      </c>
      <c r="M8571" s="36">
        <v>309.77</v>
      </c>
      <c r="T8571" s="41">
        <v>0</v>
      </c>
      <c r="U8571" s="41">
        <v>0</v>
      </c>
      <c r="V8571" s="42" t="s">
        <v>113</v>
      </c>
      <c r="W8571" s="42">
        <v>0</v>
      </c>
      <c r="X8571" s="42">
        <v>0</v>
      </c>
    </row>
    <row r="8572" spans="1:24">
      <c r="A8572" s="27" t="s">
        <v>15593</v>
      </c>
      <c r="B8572" s="28" t="s">
        <v>12240</v>
      </c>
      <c r="C8572" s="27" t="s">
        <v>15594</v>
      </c>
      <c r="D8572" s="27" t="s">
        <v>230</v>
      </c>
      <c r="E8572" s="29">
        <v>40843</v>
      </c>
      <c r="F8572" s="27">
        <v>15</v>
      </c>
      <c r="G8572" s="18">
        <v>9300</v>
      </c>
      <c r="H8572" s="27">
        <f t="shared" si="266"/>
        <v>0</v>
      </c>
      <c r="I8572" s="18">
        <v>6408.45</v>
      </c>
      <c r="J8572" s="27">
        <v>9300</v>
      </c>
      <c r="K8572" s="18">
        <f t="shared" si="267"/>
        <v>0</v>
      </c>
      <c r="L8572" s="27">
        <v>6718.22</v>
      </c>
      <c r="M8572" s="36">
        <v>309.77</v>
      </c>
      <c r="T8572" s="41">
        <v>0</v>
      </c>
      <c r="U8572" s="41">
        <v>0</v>
      </c>
      <c r="V8572" s="42" t="s">
        <v>113</v>
      </c>
      <c r="W8572" s="42">
        <v>0</v>
      </c>
      <c r="X8572" s="42">
        <v>0</v>
      </c>
    </row>
    <row r="8573" spans="1:24">
      <c r="A8573" s="27" t="s">
        <v>15595</v>
      </c>
      <c r="B8573" s="28" t="s">
        <v>12240</v>
      </c>
      <c r="C8573" s="27" t="s">
        <v>15596</v>
      </c>
      <c r="D8573" s="27" t="s">
        <v>230</v>
      </c>
      <c r="E8573" s="29">
        <v>40843</v>
      </c>
      <c r="F8573" s="27">
        <v>15</v>
      </c>
      <c r="G8573" s="18">
        <v>9300</v>
      </c>
      <c r="H8573" s="27">
        <f t="shared" si="266"/>
        <v>0</v>
      </c>
      <c r="I8573" s="18">
        <v>6408.46</v>
      </c>
      <c r="J8573" s="27">
        <v>9300</v>
      </c>
      <c r="K8573" s="18">
        <f t="shared" si="267"/>
        <v>0</v>
      </c>
      <c r="L8573" s="27">
        <v>6718.23</v>
      </c>
      <c r="M8573" s="36">
        <v>309.77</v>
      </c>
      <c r="T8573" s="41">
        <v>0</v>
      </c>
      <c r="U8573" s="41">
        <v>0</v>
      </c>
      <c r="V8573" s="42" t="s">
        <v>113</v>
      </c>
      <c r="W8573" s="42">
        <v>0</v>
      </c>
      <c r="X8573" s="42">
        <v>0</v>
      </c>
    </row>
    <row r="8574" spans="1:24">
      <c r="A8574" s="27" t="s">
        <v>15597</v>
      </c>
      <c r="B8574" s="28" t="s">
        <v>12240</v>
      </c>
      <c r="C8574" s="27" t="s">
        <v>15598</v>
      </c>
      <c r="D8574" s="27" t="s">
        <v>230</v>
      </c>
      <c r="E8574" s="29">
        <v>40843</v>
      </c>
      <c r="F8574" s="27">
        <v>15</v>
      </c>
      <c r="G8574" s="18">
        <v>9300</v>
      </c>
      <c r="H8574" s="27">
        <f t="shared" si="266"/>
        <v>0</v>
      </c>
      <c r="I8574" s="18">
        <v>6408.45</v>
      </c>
      <c r="J8574" s="27">
        <v>9300</v>
      </c>
      <c r="K8574" s="18">
        <f t="shared" si="267"/>
        <v>0</v>
      </c>
      <c r="L8574" s="27">
        <v>6718.22</v>
      </c>
      <c r="M8574" s="36">
        <v>309.77</v>
      </c>
      <c r="T8574" s="41">
        <v>0</v>
      </c>
      <c r="U8574" s="41">
        <v>0</v>
      </c>
      <c r="V8574" s="42" t="s">
        <v>113</v>
      </c>
      <c r="W8574" s="42">
        <v>0</v>
      </c>
      <c r="X8574" s="42">
        <v>0</v>
      </c>
    </row>
    <row r="8575" spans="1:24">
      <c r="A8575" s="27" t="s">
        <v>15599</v>
      </c>
      <c r="B8575" s="28" t="s">
        <v>12240</v>
      </c>
      <c r="C8575" s="27" t="s">
        <v>15600</v>
      </c>
      <c r="D8575" s="27" t="s">
        <v>230</v>
      </c>
      <c r="E8575" s="29">
        <v>40843</v>
      </c>
      <c r="F8575" s="27">
        <v>15</v>
      </c>
      <c r="G8575" s="18">
        <v>9300</v>
      </c>
      <c r="H8575" s="27">
        <f t="shared" si="266"/>
        <v>0</v>
      </c>
      <c r="I8575" s="18">
        <v>6408.46</v>
      </c>
      <c r="J8575" s="27">
        <v>9300</v>
      </c>
      <c r="K8575" s="18">
        <f t="shared" si="267"/>
        <v>0</v>
      </c>
      <c r="L8575" s="27">
        <v>6718.23</v>
      </c>
      <c r="M8575" s="36">
        <v>309.77</v>
      </c>
      <c r="T8575" s="41">
        <v>0</v>
      </c>
      <c r="U8575" s="41">
        <v>0</v>
      </c>
      <c r="V8575" s="42" t="s">
        <v>113</v>
      </c>
      <c r="W8575" s="42">
        <v>0</v>
      </c>
      <c r="X8575" s="42">
        <v>0</v>
      </c>
    </row>
    <row r="8576" spans="1:24">
      <c r="A8576" s="27" t="s">
        <v>15601</v>
      </c>
      <c r="B8576" s="28" t="s">
        <v>12240</v>
      </c>
      <c r="C8576" s="27" t="s">
        <v>15602</v>
      </c>
      <c r="D8576" s="27" t="s">
        <v>230</v>
      </c>
      <c r="E8576" s="29">
        <v>40843</v>
      </c>
      <c r="F8576" s="27">
        <v>15</v>
      </c>
      <c r="G8576" s="18">
        <v>9300</v>
      </c>
      <c r="H8576" s="27">
        <f t="shared" si="266"/>
        <v>0</v>
      </c>
      <c r="I8576" s="18">
        <v>6408.45</v>
      </c>
      <c r="J8576" s="27">
        <v>9300</v>
      </c>
      <c r="K8576" s="18">
        <f t="shared" si="267"/>
        <v>0</v>
      </c>
      <c r="L8576" s="27">
        <v>6718.22</v>
      </c>
      <c r="M8576" s="36">
        <v>309.77</v>
      </c>
      <c r="T8576" s="41">
        <v>0</v>
      </c>
      <c r="U8576" s="41">
        <v>0</v>
      </c>
      <c r="V8576" s="42" t="s">
        <v>113</v>
      </c>
      <c r="W8576" s="42">
        <v>0</v>
      </c>
      <c r="X8576" s="42">
        <v>0</v>
      </c>
    </row>
    <row r="8577" spans="1:24">
      <c r="A8577" s="27" t="s">
        <v>15603</v>
      </c>
      <c r="B8577" s="28" t="s">
        <v>12240</v>
      </c>
      <c r="C8577" s="27" t="s">
        <v>15604</v>
      </c>
      <c r="D8577" s="27" t="s">
        <v>230</v>
      </c>
      <c r="E8577" s="29">
        <v>40843</v>
      </c>
      <c r="F8577" s="27">
        <v>15</v>
      </c>
      <c r="G8577" s="18">
        <v>9300</v>
      </c>
      <c r="H8577" s="27">
        <f t="shared" si="266"/>
        <v>0</v>
      </c>
      <c r="I8577" s="18">
        <v>6408.46</v>
      </c>
      <c r="J8577" s="27">
        <v>9300</v>
      </c>
      <c r="K8577" s="18">
        <f t="shared" si="267"/>
        <v>0</v>
      </c>
      <c r="L8577" s="27">
        <v>6718.23</v>
      </c>
      <c r="M8577" s="36">
        <v>309.77</v>
      </c>
      <c r="T8577" s="41">
        <v>0</v>
      </c>
      <c r="U8577" s="41">
        <v>0</v>
      </c>
      <c r="V8577" s="42" t="s">
        <v>113</v>
      </c>
      <c r="W8577" s="42">
        <v>0</v>
      </c>
      <c r="X8577" s="42">
        <v>0</v>
      </c>
    </row>
    <row r="8578" spans="1:24">
      <c r="A8578" s="27" t="s">
        <v>15605</v>
      </c>
      <c r="B8578" s="28" t="s">
        <v>12240</v>
      </c>
      <c r="C8578" s="27" t="s">
        <v>15606</v>
      </c>
      <c r="D8578" s="27" t="s">
        <v>230</v>
      </c>
      <c r="E8578" s="29">
        <v>36495</v>
      </c>
      <c r="F8578" s="27">
        <v>15</v>
      </c>
      <c r="G8578" s="18">
        <v>6031.97</v>
      </c>
      <c r="H8578" s="27">
        <f t="shared" si="266"/>
        <v>6031.97</v>
      </c>
      <c r="I8578" s="18">
        <v>5730.37</v>
      </c>
      <c r="J8578" s="27">
        <v>6031.97</v>
      </c>
      <c r="K8578" s="18">
        <f t="shared" si="267"/>
        <v>6031.97</v>
      </c>
      <c r="L8578" s="27">
        <v>5730.37</v>
      </c>
      <c r="M8578" s="36">
        <v>0</v>
      </c>
      <c r="T8578" s="41">
        <v>0</v>
      </c>
      <c r="U8578" s="41">
        <v>0</v>
      </c>
      <c r="V8578" s="42" t="s">
        <v>113</v>
      </c>
      <c r="W8578" s="42">
        <v>6031.97</v>
      </c>
      <c r="X8578" s="42">
        <v>6031.97</v>
      </c>
    </row>
    <row r="8579" spans="1:24">
      <c r="A8579" s="27" t="s">
        <v>15607</v>
      </c>
      <c r="B8579" s="28" t="s">
        <v>12240</v>
      </c>
      <c r="C8579" s="27" t="s">
        <v>15608</v>
      </c>
      <c r="D8579" s="27" t="s">
        <v>230</v>
      </c>
      <c r="E8579" s="29">
        <v>40843</v>
      </c>
      <c r="F8579" s="27">
        <v>15</v>
      </c>
      <c r="G8579" s="18">
        <v>9300</v>
      </c>
      <c r="H8579" s="27">
        <f t="shared" si="266"/>
        <v>0</v>
      </c>
      <c r="I8579" s="18">
        <v>6408.45</v>
      </c>
      <c r="J8579" s="27">
        <v>9300</v>
      </c>
      <c r="K8579" s="18">
        <f t="shared" si="267"/>
        <v>0</v>
      </c>
      <c r="L8579" s="27">
        <v>6718.22</v>
      </c>
      <c r="M8579" s="36">
        <v>309.77</v>
      </c>
      <c r="T8579" s="41">
        <v>0</v>
      </c>
      <c r="U8579" s="41">
        <v>0</v>
      </c>
      <c r="V8579" s="42" t="s">
        <v>113</v>
      </c>
      <c r="W8579" s="42">
        <v>0</v>
      </c>
      <c r="X8579" s="42">
        <v>0</v>
      </c>
    </row>
    <row r="8580" spans="1:24">
      <c r="A8580" s="27" t="s">
        <v>15609</v>
      </c>
      <c r="B8580" s="28" t="s">
        <v>12240</v>
      </c>
      <c r="C8580" s="27" t="s">
        <v>15610</v>
      </c>
      <c r="D8580" s="27" t="s">
        <v>230</v>
      </c>
      <c r="E8580" s="29">
        <v>38078</v>
      </c>
      <c r="F8580" s="27">
        <v>15</v>
      </c>
      <c r="G8580" s="18">
        <v>13450.53</v>
      </c>
      <c r="H8580" s="27">
        <f t="shared" si="266"/>
        <v>13450.53</v>
      </c>
      <c r="I8580" s="18">
        <v>12778</v>
      </c>
      <c r="J8580" s="27">
        <v>13450.53</v>
      </c>
      <c r="K8580" s="18">
        <f t="shared" si="267"/>
        <v>13450.53</v>
      </c>
      <c r="L8580" s="27">
        <v>12778</v>
      </c>
      <c r="M8580" s="36">
        <v>0</v>
      </c>
      <c r="T8580" s="41">
        <v>0</v>
      </c>
      <c r="U8580" s="41">
        <v>0</v>
      </c>
      <c r="V8580" s="42" t="s">
        <v>113</v>
      </c>
      <c r="W8580" s="42">
        <v>13450.53</v>
      </c>
      <c r="X8580" s="42">
        <v>13450.53</v>
      </c>
    </row>
    <row r="8581" spans="1:24">
      <c r="A8581" s="27" t="s">
        <v>15611</v>
      </c>
      <c r="B8581" s="28" t="s">
        <v>12240</v>
      </c>
      <c r="C8581" s="27" t="s">
        <v>15612</v>
      </c>
      <c r="D8581" s="27" t="s">
        <v>230</v>
      </c>
      <c r="E8581" s="29">
        <v>40843</v>
      </c>
      <c r="F8581" s="27">
        <v>15</v>
      </c>
      <c r="G8581" s="18">
        <v>9300</v>
      </c>
      <c r="H8581" s="27">
        <f t="shared" si="266"/>
        <v>0</v>
      </c>
      <c r="I8581" s="18">
        <v>6408.46</v>
      </c>
      <c r="J8581" s="27">
        <v>9300</v>
      </c>
      <c r="K8581" s="18">
        <f t="shared" si="267"/>
        <v>0</v>
      </c>
      <c r="L8581" s="27">
        <v>6718.23</v>
      </c>
      <c r="M8581" s="36">
        <v>309.77</v>
      </c>
      <c r="T8581" s="41">
        <v>0</v>
      </c>
      <c r="U8581" s="41">
        <v>0</v>
      </c>
      <c r="V8581" s="42" t="s">
        <v>113</v>
      </c>
      <c r="W8581" s="42">
        <v>0</v>
      </c>
      <c r="X8581" s="42">
        <v>0</v>
      </c>
    </row>
    <row r="8582" spans="1:24">
      <c r="A8582" s="27" t="s">
        <v>15613</v>
      </c>
      <c r="B8582" s="28" t="s">
        <v>12240</v>
      </c>
      <c r="C8582" s="27" t="s">
        <v>15614</v>
      </c>
      <c r="D8582" s="27" t="s">
        <v>230</v>
      </c>
      <c r="E8582" s="29">
        <v>40843</v>
      </c>
      <c r="F8582" s="27">
        <v>15</v>
      </c>
      <c r="G8582" s="18">
        <v>9300</v>
      </c>
      <c r="H8582" s="27">
        <f t="shared" ref="H8582:H8645" si="268">IFERROR(IF(ROUND((G8582-I8582)/G8582,2)&lt;=0.05,G8582,0),0)</f>
        <v>0</v>
      </c>
      <c r="I8582" s="18">
        <v>6408.45</v>
      </c>
      <c r="J8582" s="27">
        <v>9300</v>
      </c>
      <c r="K8582" s="18">
        <f t="shared" ref="K8582:K8645" si="269">IFERROR(IF(ROUND((J8582-L8582)/J8582,2)&lt;=0.05,J8582,0),0)</f>
        <v>0</v>
      </c>
      <c r="L8582" s="27">
        <v>6718.22</v>
      </c>
      <c r="M8582" s="36">
        <v>309.77</v>
      </c>
      <c r="T8582" s="41">
        <v>0</v>
      </c>
      <c r="U8582" s="41">
        <v>0</v>
      </c>
      <c r="V8582" s="42" t="s">
        <v>113</v>
      </c>
      <c r="W8582" s="42">
        <v>0</v>
      </c>
      <c r="X8582" s="42">
        <v>0</v>
      </c>
    </row>
    <row r="8583" spans="1:24">
      <c r="A8583" s="27" t="s">
        <v>15615</v>
      </c>
      <c r="B8583" s="28" t="s">
        <v>12240</v>
      </c>
      <c r="C8583" s="27" t="s">
        <v>15616</v>
      </c>
      <c r="D8583" s="27" t="s">
        <v>230</v>
      </c>
      <c r="E8583" s="29">
        <v>38078</v>
      </c>
      <c r="F8583" s="27">
        <v>15</v>
      </c>
      <c r="G8583" s="18">
        <v>19352.03</v>
      </c>
      <c r="H8583" s="27">
        <f t="shared" si="268"/>
        <v>19352.03</v>
      </c>
      <c r="I8583" s="18">
        <v>18384.43</v>
      </c>
      <c r="J8583" s="27">
        <v>19352.03</v>
      </c>
      <c r="K8583" s="18">
        <f t="shared" si="269"/>
        <v>19352.03</v>
      </c>
      <c r="L8583" s="27">
        <v>18384.43</v>
      </c>
      <c r="M8583" s="36">
        <v>0</v>
      </c>
      <c r="T8583" s="41">
        <v>0</v>
      </c>
      <c r="U8583" s="41">
        <v>0</v>
      </c>
      <c r="V8583" s="42" t="s">
        <v>113</v>
      </c>
      <c r="W8583" s="42">
        <v>19352.03</v>
      </c>
      <c r="X8583" s="42">
        <v>19352.03</v>
      </c>
    </row>
    <row r="8584" spans="1:24">
      <c r="A8584" s="27" t="s">
        <v>15617</v>
      </c>
      <c r="B8584" s="28" t="s">
        <v>12240</v>
      </c>
      <c r="C8584" s="27" t="s">
        <v>15618</v>
      </c>
      <c r="D8584" s="27" t="s">
        <v>230</v>
      </c>
      <c r="E8584" s="29">
        <v>40843</v>
      </c>
      <c r="F8584" s="27">
        <v>15</v>
      </c>
      <c r="G8584" s="18">
        <v>9300</v>
      </c>
      <c r="H8584" s="27">
        <f t="shared" si="268"/>
        <v>0</v>
      </c>
      <c r="I8584" s="18">
        <v>6408.46</v>
      </c>
      <c r="J8584" s="27">
        <v>9300</v>
      </c>
      <c r="K8584" s="18">
        <f t="shared" si="269"/>
        <v>0</v>
      </c>
      <c r="L8584" s="27">
        <v>6718.23</v>
      </c>
      <c r="M8584" s="36">
        <v>309.77</v>
      </c>
      <c r="T8584" s="41">
        <v>0</v>
      </c>
      <c r="U8584" s="41">
        <v>0</v>
      </c>
      <c r="V8584" s="42" t="s">
        <v>113</v>
      </c>
      <c r="W8584" s="42">
        <v>0</v>
      </c>
      <c r="X8584" s="42">
        <v>0</v>
      </c>
    </row>
    <row r="8585" spans="1:24">
      <c r="A8585" s="27" t="s">
        <v>15619</v>
      </c>
      <c r="B8585" s="28" t="s">
        <v>12240</v>
      </c>
      <c r="C8585" s="27" t="s">
        <v>15620</v>
      </c>
      <c r="D8585" s="27" t="s">
        <v>230</v>
      </c>
      <c r="E8585" s="29">
        <v>40843</v>
      </c>
      <c r="F8585" s="27">
        <v>15</v>
      </c>
      <c r="G8585" s="18">
        <v>9300</v>
      </c>
      <c r="H8585" s="27">
        <f t="shared" si="268"/>
        <v>0</v>
      </c>
      <c r="I8585" s="18">
        <v>6408.45</v>
      </c>
      <c r="J8585" s="27">
        <v>9300</v>
      </c>
      <c r="K8585" s="18">
        <f t="shared" si="269"/>
        <v>0</v>
      </c>
      <c r="L8585" s="27">
        <v>6718.22</v>
      </c>
      <c r="M8585" s="36">
        <v>309.77</v>
      </c>
      <c r="T8585" s="41">
        <v>0</v>
      </c>
      <c r="U8585" s="41">
        <v>0</v>
      </c>
      <c r="V8585" s="42" t="s">
        <v>113</v>
      </c>
      <c r="W8585" s="42">
        <v>0</v>
      </c>
      <c r="X8585" s="42">
        <v>0</v>
      </c>
    </row>
    <row r="8586" spans="1:24">
      <c r="A8586" s="27" t="s">
        <v>15621</v>
      </c>
      <c r="B8586" s="28" t="s">
        <v>12240</v>
      </c>
      <c r="C8586" s="27" t="s">
        <v>15622</v>
      </c>
      <c r="D8586" s="27" t="s">
        <v>230</v>
      </c>
      <c r="E8586" s="29">
        <v>40843</v>
      </c>
      <c r="F8586" s="27">
        <v>15</v>
      </c>
      <c r="G8586" s="18">
        <v>9300</v>
      </c>
      <c r="H8586" s="27">
        <f t="shared" si="268"/>
        <v>0</v>
      </c>
      <c r="I8586" s="18">
        <v>6408.46</v>
      </c>
      <c r="J8586" s="27">
        <v>9300</v>
      </c>
      <c r="K8586" s="18">
        <f t="shared" si="269"/>
        <v>0</v>
      </c>
      <c r="L8586" s="27">
        <v>6718.23</v>
      </c>
      <c r="M8586" s="36">
        <v>309.77</v>
      </c>
      <c r="T8586" s="41">
        <v>0</v>
      </c>
      <c r="U8586" s="41">
        <v>0</v>
      </c>
      <c r="V8586" s="42" t="s">
        <v>113</v>
      </c>
      <c r="W8586" s="42">
        <v>0</v>
      </c>
      <c r="X8586" s="42">
        <v>0</v>
      </c>
    </row>
    <row r="8587" spans="1:24">
      <c r="A8587" s="27" t="s">
        <v>15623</v>
      </c>
      <c r="B8587" s="28" t="s">
        <v>12240</v>
      </c>
      <c r="C8587" s="27" t="s">
        <v>15624</v>
      </c>
      <c r="D8587" s="27" t="s">
        <v>230</v>
      </c>
      <c r="E8587" s="29">
        <v>40843</v>
      </c>
      <c r="F8587" s="27">
        <v>15</v>
      </c>
      <c r="G8587" s="18">
        <v>9300</v>
      </c>
      <c r="H8587" s="27">
        <f t="shared" si="268"/>
        <v>0</v>
      </c>
      <c r="I8587" s="18">
        <v>6408.45</v>
      </c>
      <c r="J8587" s="27">
        <v>9300</v>
      </c>
      <c r="K8587" s="18">
        <f t="shared" si="269"/>
        <v>0</v>
      </c>
      <c r="L8587" s="27">
        <v>6718.22</v>
      </c>
      <c r="M8587" s="36">
        <v>309.77</v>
      </c>
      <c r="T8587" s="41">
        <v>0</v>
      </c>
      <c r="U8587" s="41">
        <v>0</v>
      </c>
      <c r="V8587" s="42" t="s">
        <v>113</v>
      </c>
      <c r="W8587" s="42">
        <v>0</v>
      </c>
      <c r="X8587" s="42">
        <v>0</v>
      </c>
    </row>
    <row r="8588" spans="1:24">
      <c r="A8588" s="27" t="s">
        <v>15625</v>
      </c>
      <c r="B8588" s="28" t="s">
        <v>12240</v>
      </c>
      <c r="C8588" s="27" t="s">
        <v>15626</v>
      </c>
      <c r="D8588" s="27" t="s">
        <v>230</v>
      </c>
      <c r="E8588" s="29">
        <v>40843</v>
      </c>
      <c r="F8588" s="27">
        <v>15</v>
      </c>
      <c r="G8588" s="18">
        <v>9300</v>
      </c>
      <c r="H8588" s="27">
        <f t="shared" si="268"/>
        <v>0</v>
      </c>
      <c r="I8588" s="18">
        <v>6408.46</v>
      </c>
      <c r="J8588" s="27">
        <v>9300</v>
      </c>
      <c r="K8588" s="18">
        <f t="shared" si="269"/>
        <v>0</v>
      </c>
      <c r="L8588" s="27">
        <v>6718.23</v>
      </c>
      <c r="M8588" s="36">
        <v>309.77</v>
      </c>
      <c r="T8588" s="41">
        <v>0</v>
      </c>
      <c r="U8588" s="41">
        <v>0</v>
      </c>
      <c r="V8588" s="42" t="s">
        <v>113</v>
      </c>
      <c r="W8588" s="42">
        <v>0</v>
      </c>
      <c r="X8588" s="42">
        <v>0</v>
      </c>
    </row>
    <row r="8589" spans="1:24">
      <c r="A8589" s="27" t="s">
        <v>15627</v>
      </c>
      <c r="B8589" s="28" t="s">
        <v>12240</v>
      </c>
      <c r="C8589" s="27" t="s">
        <v>15628</v>
      </c>
      <c r="D8589" s="27" t="s">
        <v>230</v>
      </c>
      <c r="E8589" s="29">
        <v>40843</v>
      </c>
      <c r="F8589" s="27">
        <v>15</v>
      </c>
      <c r="G8589" s="18">
        <v>9300</v>
      </c>
      <c r="H8589" s="27">
        <f t="shared" si="268"/>
        <v>0</v>
      </c>
      <c r="I8589" s="18">
        <v>6408.45</v>
      </c>
      <c r="J8589" s="27">
        <v>42205.98</v>
      </c>
      <c r="K8589" s="18">
        <f t="shared" si="269"/>
        <v>0</v>
      </c>
      <c r="L8589" s="27">
        <v>6718.22</v>
      </c>
      <c r="M8589" s="36">
        <v>309.77</v>
      </c>
      <c r="N8589" s="18" t="s">
        <v>14637</v>
      </c>
      <c r="O8589" s="19">
        <v>32905.980000000003</v>
      </c>
      <c r="T8589" s="41">
        <v>0</v>
      </c>
      <c r="U8589" s="41">
        <v>0</v>
      </c>
      <c r="V8589" s="42" t="s">
        <v>113</v>
      </c>
      <c r="W8589" s="42">
        <v>0</v>
      </c>
      <c r="X8589" s="42">
        <v>0</v>
      </c>
    </row>
    <row r="8590" spans="1:24">
      <c r="A8590" s="27" t="s">
        <v>15629</v>
      </c>
      <c r="B8590" s="28" t="s">
        <v>12240</v>
      </c>
      <c r="C8590" s="27" t="s">
        <v>15630</v>
      </c>
      <c r="D8590" s="27" t="s">
        <v>230</v>
      </c>
      <c r="E8590" s="29">
        <v>40843</v>
      </c>
      <c r="F8590" s="27">
        <v>15</v>
      </c>
      <c r="G8590" s="18">
        <v>9300</v>
      </c>
      <c r="H8590" s="27">
        <f t="shared" si="268"/>
        <v>0</v>
      </c>
      <c r="I8590" s="18">
        <v>6408.46</v>
      </c>
      <c r="J8590" s="27">
        <v>9300</v>
      </c>
      <c r="K8590" s="18">
        <f t="shared" si="269"/>
        <v>0</v>
      </c>
      <c r="L8590" s="27">
        <v>6718.23</v>
      </c>
      <c r="M8590" s="36">
        <v>309.77</v>
      </c>
      <c r="T8590" s="41">
        <v>0</v>
      </c>
      <c r="U8590" s="41">
        <v>0</v>
      </c>
      <c r="V8590" s="42" t="s">
        <v>113</v>
      </c>
      <c r="W8590" s="42">
        <v>0</v>
      </c>
      <c r="X8590" s="42">
        <v>0</v>
      </c>
    </row>
    <row r="8591" spans="1:24">
      <c r="A8591" s="27" t="s">
        <v>15631</v>
      </c>
      <c r="B8591" s="28" t="s">
        <v>12240</v>
      </c>
      <c r="C8591" s="27" t="s">
        <v>15632</v>
      </c>
      <c r="D8591" s="27" t="s">
        <v>230</v>
      </c>
      <c r="E8591" s="29">
        <v>40843</v>
      </c>
      <c r="F8591" s="27">
        <v>15</v>
      </c>
      <c r="G8591" s="18">
        <v>9300</v>
      </c>
      <c r="H8591" s="27">
        <f t="shared" si="268"/>
        <v>0</v>
      </c>
      <c r="I8591" s="18">
        <v>6408.45</v>
      </c>
      <c r="J8591" s="27">
        <v>9300</v>
      </c>
      <c r="K8591" s="18">
        <f t="shared" si="269"/>
        <v>0</v>
      </c>
      <c r="L8591" s="27">
        <v>6718.22</v>
      </c>
      <c r="M8591" s="36">
        <v>309.77</v>
      </c>
      <c r="T8591" s="41">
        <v>0</v>
      </c>
      <c r="U8591" s="41">
        <v>0</v>
      </c>
      <c r="V8591" s="42" t="s">
        <v>113</v>
      </c>
      <c r="W8591" s="42">
        <v>0</v>
      </c>
      <c r="X8591" s="42">
        <v>0</v>
      </c>
    </row>
    <row r="8592" spans="1:24">
      <c r="A8592" s="27" t="s">
        <v>15633</v>
      </c>
      <c r="B8592" s="28" t="s">
        <v>12240</v>
      </c>
      <c r="C8592" s="27" t="s">
        <v>15634</v>
      </c>
      <c r="D8592" s="27" t="s">
        <v>230</v>
      </c>
      <c r="E8592" s="29">
        <v>40843</v>
      </c>
      <c r="F8592" s="27">
        <v>15</v>
      </c>
      <c r="G8592" s="18">
        <v>9300</v>
      </c>
      <c r="H8592" s="27">
        <f t="shared" si="268"/>
        <v>0</v>
      </c>
      <c r="I8592" s="18">
        <v>6408.46</v>
      </c>
      <c r="J8592" s="27">
        <v>9300</v>
      </c>
      <c r="K8592" s="18">
        <f t="shared" si="269"/>
        <v>0</v>
      </c>
      <c r="L8592" s="27">
        <v>6718.23</v>
      </c>
      <c r="M8592" s="36">
        <v>309.77</v>
      </c>
      <c r="T8592" s="41">
        <v>0</v>
      </c>
      <c r="U8592" s="41">
        <v>0</v>
      </c>
      <c r="V8592" s="42" t="s">
        <v>113</v>
      </c>
      <c r="W8592" s="42">
        <v>0</v>
      </c>
      <c r="X8592" s="42">
        <v>0</v>
      </c>
    </row>
    <row r="8593" spans="1:24">
      <c r="A8593" s="27" t="s">
        <v>15635</v>
      </c>
      <c r="B8593" s="28" t="s">
        <v>12240</v>
      </c>
      <c r="C8593" s="27" t="s">
        <v>15636</v>
      </c>
      <c r="D8593" s="27" t="s">
        <v>230</v>
      </c>
      <c r="E8593" s="29">
        <v>40843</v>
      </c>
      <c r="F8593" s="27">
        <v>15</v>
      </c>
      <c r="G8593" s="18">
        <v>9300</v>
      </c>
      <c r="H8593" s="27">
        <f t="shared" si="268"/>
        <v>0</v>
      </c>
      <c r="I8593" s="18">
        <v>6408.46</v>
      </c>
      <c r="J8593" s="27">
        <v>9300</v>
      </c>
      <c r="K8593" s="18">
        <f t="shared" si="269"/>
        <v>0</v>
      </c>
      <c r="L8593" s="27">
        <v>6718.23</v>
      </c>
      <c r="M8593" s="36">
        <v>309.77</v>
      </c>
      <c r="T8593" s="41">
        <v>0</v>
      </c>
      <c r="U8593" s="41">
        <v>0</v>
      </c>
      <c r="V8593" s="42" t="s">
        <v>113</v>
      </c>
      <c r="W8593" s="42">
        <v>0</v>
      </c>
      <c r="X8593" s="42">
        <v>0</v>
      </c>
    </row>
    <row r="8594" spans="1:24">
      <c r="A8594" s="27" t="s">
        <v>15637</v>
      </c>
      <c r="B8594" s="28" t="s">
        <v>12240</v>
      </c>
      <c r="C8594" s="27" t="s">
        <v>15638</v>
      </c>
      <c r="D8594" s="27" t="s">
        <v>230</v>
      </c>
      <c r="E8594" s="29">
        <v>40843</v>
      </c>
      <c r="F8594" s="27">
        <v>15</v>
      </c>
      <c r="G8594" s="18">
        <v>9300</v>
      </c>
      <c r="H8594" s="27">
        <f t="shared" si="268"/>
        <v>0</v>
      </c>
      <c r="I8594" s="18">
        <v>6408.46</v>
      </c>
      <c r="J8594" s="27">
        <v>9300</v>
      </c>
      <c r="K8594" s="18">
        <f t="shared" si="269"/>
        <v>0</v>
      </c>
      <c r="L8594" s="27">
        <v>6718.23</v>
      </c>
      <c r="M8594" s="36">
        <v>309.77</v>
      </c>
      <c r="T8594" s="41">
        <v>0</v>
      </c>
      <c r="U8594" s="41">
        <v>0</v>
      </c>
      <c r="V8594" s="42" t="s">
        <v>113</v>
      </c>
      <c r="W8594" s="42">
        <v>0</v>
      </c>
      <c r="X8594" s="42">
        <v>0</v>
      </c>
    </row>
    <row r="8595" spans="1:24">
      <c r="A8595" s="27" t="s">
        <v>15639</v>
      </c>
      <c r="B8595" s="28" t="s">
        <v>12240</v>
      </c>
      <c r="C8595" s="27" t="s">
        <v>15640</v>
      </c>
      <c r="D8595" s="27" t="s">
        <v>230</v>
      </c>
      <c r="E8595" s="29">
        <v>40843</v>
      </c>
      <c r="F8595" s="27">
        <v>15</v>
      </c>
      <c r="G8595" s="18">
        <v>9300</v>
      </c>
      <c r="H8595" s="27">
        <f t="shared" si="268"/>
        <v>0</v>
      </c>
      <c r="I8595" s="18">
        <v>6408.45</v>
      </c>
      <c r="J8595" s="27">
        <v>9300</v>
      </c>
      <c r="K8595" s="18">
        <f t="shared" si="269"/>
        <v>0</v>
      </c>
      <c r="L8595" s="27">
        <v>6718.22</v>
      </c>
      <c r="M8595" s="36">
        <v>309.77</v>
      </c>
      <c r="T8595" s="41">
        <v>0</v>
      </c>
      <c r="U8595" s="41">
        <v>0</v>
      </c>
      <c r="V8595" s="42" t="s">
        <v>113</v>
      </c>
      <c r="W8595" s="42">
        <v>0</v>
      </c>
      <c r="X8595" s="42">
        <v>0</v>
      </c>
    </row>
    <row r="8596" spans="1:24">
      <c r="A8596" s="27" t="s">
        <v>15641</v>
      </c>
      <c r="B8596" s="28" t="s">
        <v>12240</v>
      </c>
      <c r="C8596" s="27" t="s">
        <v>15642</v>
      </c>
      <c r="D8596" s="27" t="s">
        <v>230</v>
      </c>
      <c r="E8596" s="29">
        <v>40843</v>
      </c>
      <c r="F8596" s="27">
        <v>15</v>
      </c>
      <c r="G8596" s="18">
        <v>9300</v>
      </c>
      <c r="H8596" s="27">
        <f t="shared" si="268"/>
        <v>0</v>
      </c>
      <c r="I8596" s="18">
        <v>6408.46</v>
      </c>
      <c r="J8596" s="27">
        <v>9300</v>
      </c>
      <c r="K8596" s="18">
        <f t="shared" si="269"/>
        <v>0</v>
      </c>
      <c r="L8596" s="27">
        <v>6718.23</v>
      </c>
      <c r="M8596" s="36">
        <v>309.77</v>
      </c>
      <c r="T8596" s="41">
        <v>0</v>
      </c>
      <c r="U8596" s="41">
        <v>0</v>
      </c>
      <c r="V8596" s="42" t="s">
        <v>113</v>
      </c>
      <c r="W8596" s="42">
        <v>0</v>
      </c>
      <c r="X8596" s="42">
        <v>0</v>
      </c>
    </row>
    <row r="8597" spans="1:24">
      <c r="A8597" s="27" t="s">
        <v>15643</v>
      </c>
      <c r="B8597" s="28" t="s">
        <v>12240</v>
      </c>
      <c r="C8597" s="27" t="s">
        <v>15644</v>
      </c>
      <c r="D8597" s="27" t="s">
        <v>230</v>
      </c>
      <c r="E8597" s="29">
        <v>40843</v>
      </c>
      <c r="F8597" s="27">
        <v>15</v>
      </c>
      <c r="G8597" s="18">
        <v>9300</v>
      </c>
      <c r="H8597" s="27">
        <f t="shared" si="268"/>
        <v>0</v>
      </c>
      <c r="I8597" s="18">
        <v>6408.45</v>
      </c>
      <c r="J8597" s="27">
        <v>9300</v>
      </c>
      <c r="K8597" s="18">
        <f t="shared" si="269"/>
        <v>0</v>
      </c>
      <c r="L8597" s="27">
        <v>6718.22</v>
      </c>
      <c r="M8597" s="36">
        <v>309.77</v>
      </c>
      <c r="T8597" s="41">
        <v>0</v>
      </c>
      <c r="U8597" s="41">
        <v>0</v>
      </c>
      <c r="V8597" s="42" t="s">
        <v>113</v>
      </c>
      <c r="W8597" s="42">
        <v>0</v>
      </c>
      <c r="X8597" s="42">
        <v>0</v>
      </c>
    </row>
    <row r="8598" spans="1:24">
      <c r="A8598" s="27" t="s">
        <v>15645</v>
      </c>
      <c r="B8598" s="28" t="s">
        <v>12240</v>
      </c>
      <c r="C8598" s="27" t="s">
        <v>15646</v>
      </c>
      <c r="D8598" s="27" t="s">
        <v>230</v>
      </c>
      <c r="E8598" s="29">
        <v>40843</v>
      </c>
      <c r="F8598" s="27">
        <v>15</v>
      </c>
      <c r="G8598" s="18">
        <v>9300</v>
      </c>
      <c r="H8598" s="27">
        <f t="shared" si="268"/>
        <v>0</v>
      </c>
      <c r="I8598" s="18">
        <v>6408.45</v>
      </c>
      <c r="J8598" s="27">
        <v>9300</v>
      </c>
      <c r="K8598" s="18">
        <f t="shared" si="269"/>
        <v>0</v>
      </c>
      <c r="L8598" s="27">
        <v>6718.22</v>
      </c>
      <c r="M8598" s="36">
        <v>309.77</v>
      </c>
      <c r="T8598" s="41">
        <v>0</v>
      </c>
      <c r="U8598" s="41">
        <v>0</v>
      </c>
      <c r="V8598" s="42" t="s">
        <v>113</v>
      </c>
      <c r="W8598" s="42">
        <v>0</v>
      </c>
      <c r="X8598" s="42">
        <v>0</v>
      </c>
    </row>
    <row r="8599" spans="1:24">
      <c r="A8599" s="27" t="s">
        <v>15647</v>
      </c>
      <c r="B8599" s="28" t="s">
        <v>12240</v>
      </c>
      <c r="C8599" s="27" t="s">
        <v>15648</v>
      </c>
      <c r="D8599" s="27" t="s">
        <v>230</v>
      </c>
      <c r="E8599" s="29">
        <v>40843</v>
      </c>
      <c r="F8599" s="27">
        <v>15</v>
      </c>
      <c r="G8599" s="18">
        <v>9300</v>
      </c>
      <c r="H8599" s="27">
        <f t="shared" si="268"/>
        <v>0</v>
      </c>
      <c r="I8599" s="18">
        <v>6408.45</v>
      </c>
      <c r="J8599" s="27">
        <v>9300</v>
      </c>
      <c r="K8599" s="18">
        <f t="shared" si="269"/>
        <v>0</v>
      </c>
      <c r="L8599" s="27">
        <v>6718.22</v>
      </c>
      <c r="M8599" s="36">
        <v>309.77</v>
      </c>
      <c r="T8599" s="41">
        <v>0</v>
      </c>
      <c r="U8599" s="41">
        <v>0</v>
      </c>
      <c r="V8599" s="42" t="s">
        <v>113</v>
      </c>
      <c r="W8599" s="42">
        <v>0</v>
      </c>
      <c r="X8599" s="42">
        <v>0</v>
      </c>
    </row>
    <row r="8600" spans="1:24">
      <c r="A8600" s="27" t="s">
        <v>15649</v>
      </c>
      <c r="B8600" s="28" t="s">
        <v>12240</v>
      </c>
      <c r="C8600" s="27" t="s">
        <v>15650</v>
      </c>
      <c r="D8600" s="27" t="s">
        <v>230</v>
      </c>
      <c r="E8600" s="29">
        <v>40843</v>
      </c>
      <c r="F8600" s="27">
        <v>15</v>
      </c>
      <c r="G8600" s="18">
        <v>9300</v>
      </c>
      <c r="H8600" s="27">
        <f t="shared" si="268"/>
        <v>0</v>
      </c>
      <c r="I8600" s="18">
        <v>6408.46</v>
      </c>
      <c r="J8600" s="27">
        <v>9300</v>
      </c>
      <c r="K8600" s="18">
        <f t="shared" si="269"/>
        <v>0</v>
      </c>
      <c r="L8600" s="27">
        <v>6718.23</v>
      </c>
      <c r="M8600" s="36">
        <v>309.77</v>
      </c>
      <c r="T8600" s="41">
        <v>0</v>
      </c>
      <c r="U8600" s="41">
        <v>0</v>
      </c>
      <c r="V8600" s="42" t="s">
        <v>113</v>
      </c>
      <c r="W8600" s="42">
        <v>0</v>
      </c>
      <c r="X8600" s="42">
        <v>0</v>
      </c>
    </row>
    <row r="8601" spans="1:24">
      <c r="A8601" s="27" t="s">
        <v>15651</v>
      </c>
      <c r="B8601" s="28" t="s">
        <v>12240</v>
      </c>
      <c r="C8601" s="27" t="s">
        <v>15652</v>
      </c>
      <c r="D8601" s="27" t="s">
        <v>230</v>
      </c>
      <c r="E8601" s="29">
        <v>40843</v>
      </c>
      <c r="F8601" s="27">
        <v>15</v>
      </c>
      <c r="G8601" s="18">
        <v>9300</v>
      </c>
      <c r="H8601" s="27">
        <f t="shared" si="268"/>
        <v>0</v>
      </c>
      <c r="I8601" s="18">
        <v>6408.46</v>
      </c>
      <c r="J8601" s="27">
        <v>9300</v>
      </c>
      <c r="K8601" s="18">
        <f t="shared" si="269"/>
        <v>0</v>
      </c>
      <c r="L8601" s="27">
        <v>6718.23</v>
      </c>
      <c r="M8601" s="36">
        <v>309.77</v>
      </c>
      <c r="T8601" s="41">
        <v>0</v>
      </c>
      <c r="U8601" s="41">
        <v>0</v>
      </c>
      <c r="V8601" s="42" t="s">
        <v>113</v>
      </c>
      <c r="W8601" s="42">
        <v>0</v>
      </c>
      <c r="X8601" s="42">
        <v>0</v>
      </c>
    </row>
    <row r="8602" spans="1:24">
      <c r="A8602" s="27" t="s">
        <v>15653</v>
      </c>
      <c r="B8602" s="28" t="s">
        <v>12240</v>
      </c>
      <c r="C8602" s="27" t="s">
        <v>15654</v>
      </c>
      <c r="D8602" s="27" t="s">
        <v>230</v>
      </c>
      <c r="E8602" s="29">
        <v>40843</v>
      </c>
      <c r="F8602" s="27">
        <v>15</v>
      </c>
      <c r="G8602" s="18">
        <v>9300</v>
      </c>
      <c r="H8602" s="27">
        <f t="shared" si="268"/>
        <v>0</v>
      </c>
      <c r="I8602" s="18">
        <v>6408.45</v>
      </c>
      <c r="J8602" s="27">
        <v>9300</v>
      </c>
      <c r="K8602" s="18">
        <f t="shared" si="269"/>
        <v>0</v>
      </c>
      <c r="L8602" s="27">
        <v>6718.22</v>
      </c>
      <c r="M8602" s="36">
        <v>309.77</v>
      </c>
      <c r="T8602" s="41">
        <v>0</v>
      </c>
      <c r="U8602" s="41">
        <v>0</v>
      </c>
      <c r="V8602" s="42" t="s">
        <v>113</v>
      </c>
      <c r="W8602" s="42">
        <v>0</v>
      </c>
      <c r="X8602" s="42">
        <v>0</v>
      </c>
    </row>
    <row r="8603" spans="1:24">
      <c r="A8603" s="27" t="s">
        <v>15655</v>
      </c>
      <c r="B8603" s="28" t="s">
        <v>12240</v>
      </c>
      <c r="C8603" s="27" t="s">
        <v>15656</v>
      </c>
      <c r="D8603" s="27" t="s">
        <v>230</v>
      </c>
      <c r="E8603" s="29">
        <v>40843</v>
      </c>
      <c r="F8603" s="27">
        <v>15</v>
      </c>
      <c r="G8603" s="18">
        <v>9300</v>
      </c>
      <c r="H8603" s="27">
        <f t="shared" si="268"/>
        <v>0</v>
      </c>
      <c r="I8603" s="18">
        <v>6408.46</v>
      </c>
      <c r="J8603" s="27">
        <v>9300</v>
      </c>
      <c r="K8603" s="18">
        <f t="shared" si="269"/>
        <v>0</v>
      </c>
      <c r="L8603" s="27">
        <v>6718.23</v>
      </c>
      <c r="M8603" s="36">
        <v>309.77</v>
      </c>
      <c r="T8603" s="41">
        <v>0</v>
      </c>
      <c r="U8603" s="41">
        <v>0</v>
      </c>
      <c r="V8603" s="42" t="s">
        <v>113</v>
      </c>
      <c r="W8603" s="42">
        <v>0</v>
      </c>
      <c r="X8603" s="42">
        <v>0</v>
      </c>
    </row>
    <row r="8604" spans="1:24">
      <c r="A8604" s="27" t="s">
        <v>15657</v>
      </c>
      <c r="B8604" s="28" t="s">
        <v>12240</v>
      </c>
      <c r="C8604" s="27" t="s">
        <v>15658</v>
      </c>
      <c r="D8604" s="27" t="s">
        <v>230</v>
      </c>
      <c r="E8604" s="29">
        <v>40843</v>
      </c>
      <c r="F8604" s="27">
        <v>15</v>
      </c>
      <c r="G8604" s="18">
        <v>9300</v>
      </c>
      <c r="H8604" s="27">
        <f t="shared" si="268"/>
        <v>0</v>
      </c>
      <c r="I8604" s="18">
        <v>6408.45</v>
      </c>
      <c r="J8604" s="27">
        <v>9300</v>
      </c>
      <c r="K8604" s="18">
        <f t="shared" si="269"/>
        <v>0</v>
      </c>
      <c r="L8604" s="27">
        <v>6718.22</v>
      </c>
      <c r="M8604" s="36">
        <v>309.77</v>
      </c>
      <c r="T8604" s="41">
        <v>0</v>
      </c>
      <c r="U8604" s="41">
        <v>0</v>
      </c>
      <c r="V8604" s="42" t="s">
        <v>113</v>
      </c>
      <c r="W8604" s="42">
        <v>0</v>
      </c>
      <c r="X8604" s="42">
        <v>0</v>
      </c>
    </row>
    <row r="8605" spans="1:24">
      <c r="A8605" s="27" t="s">
        <v>15659</v>
      </c>
      <c r="B8605" s="28" t="s">
        <v>12240</v>
      </c>
      <c r="C8605" s="27" t="s">
        <v>15660</v>
      </c>
      <c r="D8605" s="27" t="s">
        <v>230</v>
      </c>
      <c r="E8605" s="29">
        <v>40843</v>
      </c>
      <c r="F8605" s="27">
        <v>15</v>
      </c>
      <c r="G8605" s="18">
        <v>9300</v>
      </c>
      <c r="H8605" s="27">
        <f t="shared" si="268"/>
        <v>0</v>
      </c>
      <c r="I8605" s="18">
        <v>6408.46</v>
      </c>
      <c r="J8605" s="27">
        <v>9300</v>
      </c>
      <c r="K8605" s="18">
        <f t="shared" si="269"/>
        <v>0</v>
      </c>
      <c r="L8605" s="27">
        <v>6718.23</v>
      </c>
      <c r="M8605" s="36">
        <v>309.77</v>
      </c>
      <c r="T8605" s="41">
        <v>0</v>
      </c>
      <c r="U8605" s="41">
        <v>0</v>
      </c>
      <c r="V8605" s="42" t="s">
        <v>113</v>
      </c>
      <c r="W8605" s="42">
        <v>0</v>
      </c>
      <c r="X8605" s="42">
        <v>0</v>
      </c>
    </row>
    <row r="8606" spans="1:24">
      <c r="A8606" s="27" t="s">
        <v>15661</v>
      </c>
      <c r="B8606" s="28" t="s">
        <v>12240</v>
      </c>
      <c r="C8606" s="27" t="s">
        <v>15662</v>
      </c>
      <c r="D8606" s="27" t="s">
        <v>230</v>
      </c>
      <c r="E8606" s="29">
        <v>40843</v>
      </c>
      <c r="F8606" s="27">
        <v>15</v>
      </c>
      <c r="G8606" s="18">
        <v>9300</v>
      </c>
      <c r="H8606" s="27">
        <f t="shared" si="268"/>
        <v>0</v>
      </c>
      <c r="I8606" s="18">
        <v>6408.46</v>
      </c>
      <c r="J8606" s="27">
        <v>9300</v>
      </c>
      <c r="K8606" s="18">
        <f t="shared" si="269"/>
        <v>0</v>
      </c>
      <c r="L8606" s="27">
        <v>6718.23</v>
      </c>
      <c r="M8606" s="36">
        <v>309.77</v>
      </c>
      <c r="T8606" s="41">
        <v>0</v>
      </c>
      <c r="U8606" s="41">
        <v>0</v>
      </c>
      <c r="V8606" s="42" t="s">
        <v>113</v>
      </c>
      <c r="W8606" s="42">
        <v>0</v>
      </c>
      <c r="X8606" s="42">
        <v>0</v>
      </c>
    </row>
    <row r="8607" spans="1:24">
      <c r="A8607" s="27" t="s">
        <v>15663</v>
      </c>
      <c r="B8607" s="28" t="s">
        <v>12240</v>
      </c>
      <c r="C8607" s="27" t="s">
        <v>15664</v>
      </c>
      <c r="D8607" s="27" t="s">
        <v>230</v>
      </c>
      <c r="E8607" s="29">
        <v>40843</v>
      </c>
      <c r="F8607" s="27">
        <v>15</v>
      </c>
      <c r="G8607" s="18">
        <v>9300</v>
      </c>
      <c r="H8607" s="27">
        <f t="shared" si="268"/>
        <v>0</v>
      </c>
      <c r="I8607" s="18">
        <v>6408.45</v>
      </c>
      <c r="J8607" s="27">
        <v>9300</v>
      </c>
      <c r="K8607" s="18">
        <f t="shared" si="269"/>
        <v>0</v>
      </c>
      <c r="L8607" s="27">
        <v>6718.22</v>
      </c>
      <c r="M8607" s="36">
        <v>309.77</v>
      </c>
      <c r="T8607" s="41">
        <v>0</v>
      </c>
      <c r="U8607" s="41">
        <v>0</v>
      </c>
      <c r="V8607" s="42" t="s">
        <v>113</v>
      </c>
      <c r="W8607" s="42">
        <v>0</v>
      </c>
      <c r="X8607" s="42">
        <v>0</v>
      </c>
    </row>
    <row r="8608" spans="1:24">
      <c r="A8608" s="27" t="s">
        <v>15665</v>
      </c>
      <c r="B8608" s="28" t="s">
        <v>12240</v>
      </c>
      <c r="C8608" s="27" t="s">
        <v>15666</v>
      </c>
      <c r="D8608" s="27" t="s">
        <v>230</v>
      </c>
      <c r="E8608" s="29">
        <v>40843</v>
      </c>
      <c r="F8608" s="27">
        <v>15</v>
      </c>
      <c r="G8608" s="18">
        <v>9300</v>
      </c>
      <c r="H8608" s="27">
        <f t="shared" si="268"/>
        <v>0</v>
      </c>
      <c r="I8608" s="18">
        <v>6408.46</v>
      </c>
      <c r="J8608" s="27">
        <v>9300</v>
      </c>
      <c r="K8608" s="18">
        <f t="shared" si="269"/>
        <v>0</v>
      </c>
      <c r="L8608" s="27">
        <v>6718.23</v>
      </c>
      <c r="M8608" s="36">
        <v>309.77</v>
      </c>
      <c r="T8608" s="41">
        <v>0</v>
      </c>
      <c r="U8608" s="41">
        <v>0</v>
      </c>
      <c r="V8608" s="42" t="s">
        <v>113</v>
      </c>
      <c r="W8608" s="42">
        <v>0</v>
      </c>
      <c r="X8608" s="42">
        <v>0</v>
      </c>
    </row>
    <row r="8609" spans="1:24">
      <c r="A8609" s="27" t="s">
        <v>15667</v>
      </c>
      <c r="B8609" s="28" t="s">
        <v>12240</v>
      </c>
      <c r="C8609" s="27" t="s">
        <v>15668</v>
      </c>
      <c r="D8609" s="27" t="s">
        <v>230</v>
      </c>
      <c r="E8609" s="29">
        <v>38078</v>
      </c>
      <c r="F8609" s="27">
        <v>15</v>
      </c>
      <c r="G8609" s="18">
        <v>14639.47</v>
      </c>
      <c r="H8609" s="27">
        <f t="shared" si="268"/>
        <v>14639.47</v>
      </c>
      <c r="I8609" s="18">
        <v>13907.5</v>
      </c>
      <c r="J8609" s="27">
        <v>14639.47</v>
      </c>
      <c r="K8609" s="18">
        <f t="shared" si="269"/>
        <v>14639.47</v>
      </c>
      <c r="L8609" s="27">
        <v>13907.5</v>
      </c>
      <c r="M8609" s="36">
        <v>0</v>
      </c>
      <c r="T8609" s="41">
        <v>0</v>
      </c>
      <c r="U8609" s="41">
        <v>0</v>
      </c>
      <c r="V8609" s="42" t="s">
        <v>113</v>
      </c>
      <c r="W8609" s="42">
        <v>14639.47</v>
      </c>
      <c r="X8609" s="42">
        <v>14639.47</v>
      </c>
    </row>
    <row r="8610" spans="1:24">
      <c r="A8610" s="27" t="s">
        <v>15669</v>
      </c>
      <c r="B8610" s="28" t="s">
        <v>12240</v>
      </c>
      <c r="C8610" s="27" t="s">
        <v>15670</v>
      </c>
      <c r="D8610" s="27" t="s">
        <v>230</v>
      </c>
      <c r="E8610" s="29">
        <v>40843</v>
      </c>
      <c r="F8610" s="27">
        <v>15</v>
      </c>
      <c r="G8610" s="18">
        <v>9300</v>
      </c>
      <c r="H8610" s="27">
        <f t="shared" si="268"/>
        <v>0</v>
      </c>
      <c r="I8610" s="18">
        <v>6408.45</v>
      </c>
      <c r="J8610" s="27">
        <v>9300</v>
      </c>
      <c r="K8610" s="18">
        <f t="shared" si="269"/>
        <v>0</v>
      </c>
      <c r="L8610" s="27">
        <v>6718.22</v>
      </c>
      <c r="M8610" s="36">
        <v>309.77</v>
      </c>
      <c r="T8610" s="41">
        <v>0</v>
      </c>
      <c r="U8610" s="41">
        <v>0</v>
      </c>
      <c r="V8610" s="42" t="s">
        <v>113</v>
      </c>
      <c r="W8610" s="42">
        <v>0</v>
      </c>
      <c r="X8610" s="42">
        <v>0</v>
      </c>
    </row>
    <row r="8611" spans="1:24">
      <c r="A8611" s="27" t="s">
        <v>15671</v>
      </c>
      <c r="B8611" s="28" t="s">
        <v>12240</v>
      </c>
      <c r="C8611" s="27" t="s">
        <v>15672</v>
      </c>
      <c r="D8611" s="27" t="s">
        <v>230</v>
      </c>
      <c r="E8611" s="29">
        <v>40843</v>
      </c>
      <c r="F8611" s="27">
        <v>15</v>
      </c>
      <c r="G8611" s="18">
        <v>9300</v>
      </c>
      <c r="H8611" s="27">
        <f t="shared" si="268"/>
        <v>0</v>
      </c>
      <c r="I8611" s="18">
        <v>6408.46</v>
      </c>
      <c r="J8611" s="27">
        <v>9300</v>
      </c>
      <c r="K8611" s="18">
        <f t="shared" si="269"/>
        <v>0</v>
      </c>
      <c r="L8611" s="27">
        <v>6718.23</v>
      </c>
      <c r="M8611" s="36">
        <v>309.77</v>
      </c>
      <c r="T8611" s="41">
        <v>0</v>
      </c>
      <c r="U8611" s="41">
        <v>0</v>
      </c>
      <c r="V8611" s="42" t="s">
        <v>113</v>
      </c>
      <c r="W8611" s="42">
        <v>0</v>
      </c>
      <c r="X8611" s="42">
        <v>0</v>
      </c>
    </row>
    <row r="8612" spans="1:24">
      <c r="A8612" s="27" t="s">
        <v>15673</v>
      </c>
      <c r="B8612" s="28" t="s">
        <v>12240</v>
      </c>
      <c r="C8612" s="27" t="s">
        <v>15674</v>
      </c>
      <c r="D8612" s="27" t="s">
        <v>230</v>
      </c>
      <c r="E8612" s="29">
        <v>40843</v>
      </c>
      <c r="F8612" s="27">
        <v>15</v>
      </c>
      <c r="G8612" s="18">
        <v>9300</v>
      </c>
      <c r="H8612" s="27">
        <f t="shared" si="268"/>
        <v>0</v>
      </c>
      <c r="I8612" s="18">
        <v>6408.45</v>
      </c>
      <c r="J8612" s="27">
        <v>9300</v>
      </c>
      <c r="K8612" s="18">
        <f t="shared" si="269"/>
        <v>0</v>
      </c>
      <c r="L8612" s="27">
        <v>6718.22</v>
      </c>
      <c r="M8612" s="36">
        <v>309.77</v>
      </c>
      <c r="T8612" s="41">
        <v>0</v>
      </c>
      <c r="U8612" s="41">
        <v>0</v>
      </c>
      <c r="V8612" s="42" t="s">
        <v>113</v>
      </c>
      <c r="W8612" s="42">
        <v>0</v>
      </c>
      <c r="X8612" s="42">
        <v>0</v>
      </c>
    </row>
    <row r="8613" spans="1:24">
      <c r="A8613" s="27" t="s">
        <v>15675</v>
      </c>
      <c r="B8613" s="28" t="s">
        <v>12240</v>
      </c>
      <c r="C8613" s="27" t="s">
        <v>15676</v>
      </c>
      <c r="D8613" s="27" t="s">
        <v>230</v>
      </c>
      <c r="E8613" s="29">
        <v>40843</v>
      </c>
      <c r="F8613" s="27">
        <v>15</v>
      </c>
      <c r="G8613" s="18">
        <v>9300</v>
      </c>
      <c r="H8613" s="27">
        <f t="shared" si="268"/>
        <v>0</v>
      </c>
      <c r="I8613" s="18">
        <v>6408.46</v>
      </c>
      <c r="J8613" s="27">
        <v>9300</v>
      </c>
      <c r="K8613" s="18">
        <f t="shared" si="269"/>
        <v>0</v>
      </c>
      <c r="L8613" s="27">
        <v>6718.23</v>
      </c>
      <c r="M8613" s="36">
        <v>309.77</v>
      </c>
      <c r="T8613" s="41">
        <v>0</v>
      </c>
      <c r="U8613" s="41">
        <v>0</v>
      </c>
      <c r="V8613" s="42" t="s">
        <v>113</v>
      </c>
      <c r="W8613" s="42">
        <v>0</v>
      </c>
      <c r="X8613" s="42">
        <v>0</v>
      </c>
    </row>
    <row r="8614" spans="1:24">
      <c r="A8614" s="27" t="s">
        <v>15677</v>
      </c>
      <c r="B8614" s="28" t="s">
        <v>12240</v>
      </c>
      <c r="C8614" s="27" t="s">
        <v>15678</v>
      </c>
      <c r="D8614" s="27" t="s">
        <v>230</v>
      </c>
      <c r="E8614" s="29">
        <v>36495</v>
      </c>
      <c r="F8614" s="27">
        <v>15</v>
      </c>
      <c r="G8614" s="18">
        <v>40269.339999999997</v>
      </c>
      <c r="H8614" s="27">
        <f t="shared" si="268"/>
        <v>40269.339999999997</v>
      </c>
      <c r="I8614" s="18">
        <v>38255.870000000003</v>
      </c>
      <c r="J8614" s="27">
        <v>40269.339999999997</v>
      </c>
      <c r="K8614" s="18">
        <f t="shared" si="269"/>
        <v>40269.339999999997</v>
      </c>
      <c r="L8614" s="27">
        <v>38255.870000000003</v>
      </c>
      <c r="M8614" s="36">
        <v>0</v>
      </c>
      <c r="T8614" s="41">
        <v>0</v>
      </c>
      <c r="U8614" s="41">
        <v>0</v>
      </c>
      <c r="V8614" s="42" t="s">
        <v>113</v>
      </c>
      <c r="W8614" s="42">
        <v>40269.339999999997</v>
      </c>
      <c r="X8614" s="42">
        <v>40269.339999999997</v>
      </c>
    </row>
    <row r="8615" spans="1:24">
      <c r="A8615" s="27" t="s">
        <v>15679</v>
      </c>
      <c r="B8615" s="28" t="s">
        <v>12240</v>
      </c>
      <c r="C8615" s="27" t="s">
        <v>15680</v>
      </c>
      <c r="D8615" s="27" t="s">
        <v>230</v>
      </c>
      <c r="E8615" s="29">
        <v>40843</v>
      </c>
      <c r="F8615" s="27">
        <v>15</v>
      </c>
      <c r="G8615" s="18">
        <v>9300</v>
      </c>
      <c r="H8615" s="27">
        <f t="shared" si="268"/>
        <v>0</v>
      </c>
      <c r="I8615" s="18">
        <v>6408.45</v>
      </c>
      <c r="J8615" s="27">
        <v>9300</v>
      </c>
      <c r="K8615" s="18">
        <f t="shared" si="269"/>
        <v>0</v>
      </c>
      <c r="L8615" s="27">
        <v>6718.22</v>
      </c>
      <c r="M8615" s="36">
        <v>309.77</v>
      </c>
      <c r="T8615" s="41">
        <v>0</v>
      </c>
      <c r="U8615" s="41">
        <v>0</v>
      </c>
      <c r="V8615" s="42" t="s">
        <v>113</v>
      </c>
      <c r="W8615" s="42">
        <v>0</v>
      </c>
      <c r="X8615" s="42">
        <v>0</v>
      </c>
    </row>
    <row r="8616" spans="1:24">
      <c r="A8616" s="27" t="s">
        <v>15681</v>
      </c>
      <c r="B8616" s="28" t="s">
        <v>12240</v>
      </c>
      <c r="C8616" s="27" t="s">
        <v>13883</v>
      </c>
      <c r="D8616" s="27" t="s">
        <v>230</v>
      </c>
      <c r="E8616" s="29">
        <v>40843</v>
      </c>
      <c r="F8616" s="27">
        <v>15</v>
      </c>
      <c r="G8616" s="18">
        <v>9300</v>
      </c>
      <c r="H8616" s="27">
        <f t="shared" si="268"/>
        <v>0</v>
      </c>
      <c r="I8616" s="18">
        <v>6408.45</v>
      </c>
      <c r="J8616" s="27">
        <v>9300</v>
      </c>
      <c r="K8616" s="18">
        <f t="shared" si="269"/>
        <v>0</v>
      </c>
      <c r="L8616" s="27">
        <v>6718.22</v>
      </c>
      <c r="M8616" s="36">
        <v>309.77</v>
      </c>
      <c r="T8616" s="41">
        <v>0</v>
      </c>
      <c r="U8616" s="41">
        <v>0</v>
      </c>
      <c r="V8616" s="42" t="s">
        <v>113</v>
      </c>
      <c r="W8616" s="42">
        <v>0</v>
      </c>
      <c r="X8616" s="42">
        <v>0</v>
      </c>
    </row>
    <row r="8617" spans="1:24">
      <c r="A8617" s="27" t="s">
        <v>15682</v>
      </c>
      <c r="B8617" s="28" t="s">
        <v>12240</v>
      </c>
      <c r="C8617" s="27" t="s">
        <v>15683</v>
      </c>
      <c r="D8617" s="27" t="s">
        <v>230</v>
      </c>
      <c r="E8617" s="29">
        <v>36495</v>
      </c>
      <c r="F8617" s="27">
        <v>15</v>
      </c>
      <c r="G8617" s="18">
        <v>40269.339999999997</v>
      </c>
      <c r="H8617" s="27">
        <f t="shared" si="268"/>
        <v>40269.339999999997</v>
      </c>
      <c r="I8617" s="18">
        <v>38255.870000000003</v>
      </c>
      <c r="J8617" s="27">
        <v>40269.339999999997</v>
      </c>
      <c r="K8617" s="18">
        <f t="shared" si="269"/>
        <v>40269.339999999997</v>
      </c>
      <c r="L8617" s="27">
        <v>38255.870000000003</v>
      </c>
      <c r="M8617" s="36">
        <v>0</v>
      </c>
      <c r="T8617" s="41">
        <v>0</v>
      </c>
      <c r="U8617" s="41">
        <v>0</v>
      </c>
      <c r="V8617" s="42" t="s">
        <v>113</v>
      </c>
      <c r="W8617" s="42">
        <v>40269.339999999997</v>
      </c>
      <c r="X8617" s="42">
        <v>40269.339999999997</v>
      </c>
    </row>
    <row r="8618" spans="1:24">
      <c r="A8618" s="27" t="s">
        <v>15684</v>
      </c>
      <c r="B8618" s="28" t="s">
        <v>12240</v>
      </c>
      <c r="C8618" s="27" t="s">
        <v>15685</v>
      </c>
      <c r="D8618" s="27" t="s">
        <v>230</v>
      </c>
      <c r="E8618" s="29">
        <v>36495</v>
      </c>
      <c r="F8618" s="27">
        <v>15</v>
      </c>
      <c r="G8618" s="18">
        <v>16046.16</v>
      </c>
      <c r="H8618" s="27">
        <f t="shared" si="268"/>
        <v>16046.16</v>
      </c>
      <c r="I8618" s="18">
        <v>15243.85</v>
      </c>
      <c r="J8618" s="27">
        <v>16046.16</v>
      </c>
      <c r="K8618" s="18">
        <f t="shared" si="269"/>
        <v>16046.16</v>
      </c>
      <c r="L8618" s="27">
        <v>15243.85</v>
      </c>
      <c r="M8618" s="36">
        <v>0</v>
      </c>
      <c r="T8618" s="41">
        <v>0</v>
      </c>
      <c r="U8618" s="41">
        <v>0</v>
      </c>
      <c r="V8618" s="42" t="s">
        <v>113</v>
      </c>
      <c r="W8618" s="42">
        <v>16046.16</v>
      </c>
      <c r="X8618" s="42">
        <v>16046.16</v>
      </c>
    </row>
    <row r="8619" spans="1:24">
      <c r="A8619" s="27" t="s">
        <v>15686</v>
      </c>
      <c r="B8619" s="28" t="s">
        <v>12240</v>
      </c>
      <c r="C8619" s="27" t="s">
        <v>15687</v>
      </c>
      <c r="D8619" s="27" t="s">
        <v>230</v>
      </c>
      <c r="E8619" s="29">
        <v>40843</v>
      </c>
      <c r="F8619" s="27">
        <v>15</v>
      </c>
      <c r="G8619" s="18">
        <v>9300</v>
      </c>
      <c r="H8619" s="27">
        <f t="shared" si="268"/>
        <v>0</v>
      </c>
      <c r="I8619" s="18">
        <v>6408.45</v>
      </c>
      <c r="J8619" s="27">
        <v>9300</v>
      </c>
      <c r="K8619" s="18">
        <f t="shared" si="269"/>
        <v>0</v>
      </c>
      <c r="L8619" s="27">
        <v>6718.22</v>
      </c>
      <c r="M8619" s="36">
        <v>309.77</v>
      </c>
      <c r="T8619" s="41">
        <v>0</v>
      </c>
      <c r="U8619" s="41">
        <v>0</v>
      </c>
      <c r="V8619" s="42" t="s">
        <v>113</v>
      </c>
      <c r="W8619" s="42">
        <v>0</v>
      </c>
      <c r="X8619" s="42">
        <v>0</v>
      </c>
    </row>
    <row r="8620" spans="1:24">
      <c r="A8620" s="27" t="s">
        <v>15688</v>
      </c>
      <c r="B8620" s="28" t="s">
        <v>12240</v>
      </c>
      <c r="C8620" s="27" t="s">
        <v>15689</v>
      </c>
      <c r="D8620" s="27" t="s">
        <v>230</v>
      </c>
      <c r="E8620" s="29">
        <v>40843</v>
      </c>
      <c r="F8620" s="27">
        <v>15</v>
      </c>
      <c r="G8620" s="18">
        <v>9300</v>
      </c>
      <c r="H8620" s="27">
        <f t="shared" si="268"/>
        <v>0</v>
      </c>
      <c r="I8620" s="18">
        <v>6408.46</v>
      </c>
      <c r="J8620" s="27">
        <v>9300</v>
      </c>
      <c r="K8620" s="18">
        <f t="shared" si="269"/>
        <v>0</v>
      </c>
      <c r="L8620" s="27">
        <v>6718.23</v>
      </c>
      <c r="M8620" s="36">
        <v>309.77</v>
      </c>
      <c r="T8620" s="41">
        <v>0</v>
      </c>
      <c r="U8620" s="41">
        <v>0</v>
      </c>
      <c r="V8620" s="42" t="s">
        <v>113</v>
      </c>
      <c r="W8620" s="42">
        <v>0</v>
      </c>
      <c r="X8620" s="42">
        <v>0</v>
      </c>
    </row>
    <row r="8621" spans="1:24">
      <c r="A8621" s="27" t="s">
        <v>15690</v>
      </c>
      <c r="B8621" s="28" t="s">
        <v>12240</v>
      </c>
      <c r="C8621" s="27" t="s">
        <v>15691</v>
      </c>
      <c r="D8621" s="27" t="s">
        <v>230</v>
      </c>
      <c r="E8621" s="29">
        <v>37226</v>
      </c>
      <c r="F8621" s="27">
        <v>15</v>
      </c>
      <c r="G8621" s="18">
        <v>40384.58</v>
      </c>
      <c r="H8621" s="27">
        <f t="shared" si="268"/>
        <v>40384.58</v>
      </c>
      <c r="I8621" s="18">
        <v>38365.35</v>
      </c>
      <c r="J8621" s="27">
        <v>40384.58</v>
      </c>
      <c r="K8621" s="18">
        <f t="shared" si="269"/>
        <v>40384.58</v>
      </c>
      <c r="L8621" s="27">
        <v>38365.35</v>
      </c>
      <c r="M8621" s="36">
        <v>0</v>
      </c>
      <c r="T8621" s="41">
        <v>0</v>
      </c>
      <c r="U8621" s="41">
        <v>0</v>
      </c>
      <c r="V8621" s="42" t="s">
        <v>113</v>
      </c>
      <c r="W8621" s="42">
        <v>40384.58</v>
      </c>
      <c r="X8621" s="42">
        <v>40384.58</v>
      </c>
    </row>
    <row r="8622" spans="1:24">
      <c r="A8622" s="27" t="s">
        <v>15692</v>
      </c>
      <c r="B8622" s="28" t="s">
        <v>12240</v>
      </c>
      <c r="C8622" s="27" t="s">
        <v>15693</v>
      </c>
      <c r="D8622" s="27" t="s">
        <v>230</v>
      </c>
      <c r="E8622" s="29">
        <v>40843</v>
      </c>
      <c r="F8622" s="27">
        <v>15</v>
      </c>
      <c r="G8622" s="18">
        <v>9300</v>
      </c>
      <c r="H8622" s="27">
        <f t="shared" si="268"/>
        <v>0</v>
      </c>
      <c r="I8622" s="18">
        <v>6408.45</v>
      </c>
      <c r="J8622" s="27">
        <v>9300</v>
      </c>
      <c r="K8622" s="18">
        <f t="shared" si="269"/>
        <v>0</v>
      </c>
      <c r="L8622" s="27">
        <v>6718.22</v>
      </c>
      <c r="M8622" s="36">
        <v>309.77</v>
      </c>
      <c r="T8622" s="41">
        <v>0</v>
      </c>
      <c r="U8622" s="41">
        <v>0</v>
      </c>
      <c r="V8622" s="42" t="s">
        <v>113</v>
      </c>
      <c r="W8622" s="42">
        <v>0</v>
      </c>
      <c r="X8622" s="42">
        <v>0</v>
      </c>
    </row>
    <row r="8623" spans="1:24">
      <c r="A8623" s="27" t="s">
        <v>15694</v>
      </c>
      <c r="B8623" s="28" t="s">
        <v>12240</v>
      </c>
      <c r="C8623" s="27" t="s">
        <v>15695</v>
      </c>
      <c r="D8623" s="27" t="s">
        <v>230</v>
      </c>
      <c r="E8623" s="29">
        <v>40908</v>
      </c>
      <c r="F8623" s="27">
        <v>15</v>
      </c>
      <c r="G8623" s="18">
        <v>55007.64</v>
      </c>
      <c r="H8623" s="27">
        <f t="shared" si="268"/>
        <v>0</v>
      </c>
      <c r="I8623" s="18">
        <v>30031.53</v>
      </c>
      <c r="J8623" s="27">
        <v>55007.64</v>
      </c>
      <c r="K8623" s="18">
        <f t="shared" si="269"/>
        <v>0</v>
      </c>
      <c r="L8623" s="27">
        <v>32809.75</v>
      </c>
      <c r="M8623" s="36">
        <v>2778.22</v>
      </c>
      <c r="T8623" s="41">
        <v>0</v>
      </c>
      <c r="U8623" s="41">
        <v>0</v>
      </c>
      <c r="V8623" s="42" t="s">
        <v>113</v>
      </c>
      <c r="W8623" s="42">
        <v>0</v>
      </c>
      <c r="X8623" s="42">
        <v>0</v>
      </c>
    </row>
    <row r="8624" spans="1:24">
      <c r="A8624" s="27" t="s">
        <v>15696</v>
      </c>
      <c r="B8624" s="28" t="s">
        <v>12240</v>
      </c>
      <c r="C8624" s="27" t="s">
        <v>15697</v>
      </c>
      <c r="D8624" s="27" t="s">
        <v>230</v>
      </c>
      <c r="E8624" s="29">
        <v>40843</v>
      </c>
      <c r="F8624" s="27">
        <v>15</v>
      </c>
      <c r="G8624" s="18">
        <v>9300</v>
      </c>
      <c r="H8624" s="27">
        <f t="shared" si="268"/>
        <v>0</v>
      </c>
      <c r="I8624" s="18">
        <v>6408.45</v>
      </c>
      <c r="J8624" s="27">
        <v>9300</v>
      </c>
      <c r="K8624" s="18">
        <f t="shared" si="269"/>
        <v>0</v>
      </c>
      <c r="L8624" s="27">
        <v>6718.22</v>
      </c>
      <c r="M8624" s="36">
        <v>309.77</v>
      </c>
      <c r="T8624" s="41">
        <v>0</v>
      </c>
      <c r="U8624" s="41">
        <v>0</v>
      </c>
      <c r="V8624" s="42" t="s">
        <v>113</v>
      </c>
      <c r="W8624" s="42">
        <v>0</v>
      </c>
      <c r="X8624" s="42">
        <v>0</v>
      </c>
    </row>
    <row r="8625" spans="1:24">
      <c r="A8625" s="27" t="s">
        <v>15698</v>
      </c>
      <c r="B8625" s="28" t="s">
        <v>12240</v>
      </c>
      <c r="C8625" s="27" t="s">
        <v>15699</v>
      </c>
      <c r="D8625" s="27" t="s">
        <v>230</v>
      </c>
      <c r="E8625" s="29">
        <v>37226</v>
      </c>
      <c r="F8625" s="27">
        <v>15</v>
      </c>
      <c r="G8625" s="18">
        <v>37819.519999999997</v>
      </c>
      <c r="H8625" s="27">
        <f t="shared" si="268"/>
        <v>37819.519999999997</v>
      </c>
      <c r="I8625" s="18">
        <v>35928.54</v>
      </c>
      <c r="J8625" s="27">
        <v>37819.519999999997</v>
      </c>
      <c r="K8625" s="18">
        <f t="shared" si="269"/>
        <v>37819.519999999997</v>
      </c>
      <c r="L8625" s="27">
        <v>35928.54</v>
      </c>
      <c r="M8625" s="36">
        <v>0</v>
      </c>
      <c r="T8625" s="41">
        <v>0</v>
      </c>
      <c r="U8625" s="41">
        <v>0</v>
      </c>
      <c r="V8625" s="42" t="s">
        <v>113</v>
      </c>
      <c r="W8625" s="42">
        <v>37819.519999999997</v>
      </c>
      <c r="X8625" s="42">
        <v>37819.519999999997</v>
      </c>
    </row>
    <row r="8626" spans="1:24">
      <c r="A8626" s="27" t="s">
        <v>15700</v>
      </c>
      <c r="B8626" s="28" t="s">
        <v>12240</v>
      </c>
      <c r="C8626" s="27" t="s">
        <v>15701</v>
      </c>
      <c r="D8626" s="27" t="s">
        <v>230</v>
      </c>
      <c r="E8626" s="29">
        <v>40843</v>
      </c>
      <c r="F8626" s="27">
        <v>15</v>
      </c>
      <c r="G8626" s="18">
        <v>9300</v>
      </c>
      <c r="H8626" s="27">
        <f t="shared" si="268"/>
        <v>0</v>
      </c>
      <c r="I8626" s="18">
        <v>6408.46</v>
      </c>
      <c r="J8626" s="27">
        <v>9300</v>
      </c>
      <c r="K8626" s="18">
        <f t="shared" si="269"/>
        <v>0</v>
      </c>
      <c r="L8626" s="27">
        <v>6718.23</v>
      </c>
      <c r="M8626" s="36">
        <v>309.77</v>
      </c>
      <c r="T8626" s="41">
        <v>0</v>
      </c>
      <c r="U8626" s="41">
        <v>0</v>
      </c>
      <c r="V8626" s="42" t="s">
        <v>113</v>
      </c>
      <c r="W8626" s="42">
        <v>0</v>
      </c>
      <c r="X8626" s="42">
        <v>0</v>
      </c>
    </row>
    <row r="8627" spans="1:24">
      <c r="A8627" s="27" t="s">
        <v>15702</v>
      </c>
      <c r="B8627" s="28" t="s">
        <v>12240</v>
      </c>
      <c r="C8627" s="27" t="s">
        <v>15703</v>
      </c>
      <c r="D8627" s="27" t="s">
        <v>230</v>
      </c>
      <c r="E8627" s="29">
        <v>40843</v>
      </c>
      <c r="F8627" s="27">
        <v>15</v>
      </c>
      <c r="G8627" s="18">
        <v>9300</v>
      </c>
      <c r="H8627" s="27">
        <f t="shared" si="268"/>
        <v>0</v>
      </c>
      <c r="I8627" s="18">
        <v>6408.45</v>
      </c>
      <c r="J8627" s="27">
        <v>9300</v>
      </c>
      <c r="K8627" s="18">
        <f t="shared" si="269"/>
        <v>0</v>
      </c>
      <c r="L8627" s="27">
        <v>6718.22</v>
      </c>
      <c r="M8627" s="36">
        <v>309.77</v>
      </c>
      <c r="T8627" s="41">
        <v>0</v>
      </c>
      <c r="U8627" s="41">
        <v>0</v>
      </c>
      <c r="V8627" s="42" t="s">
        <v>113</v>
      </c>
      <c r="W8627" s="42">
        <v>0</v>
      </c>
      <c r="X8627" s="42">
        <v>0</v>
      </c>
    </row>
    <row r="8628" spans="1:24">
      <c r="A8628" s="27" t="s">
        <v>15704</v>
      </c>
      <c r="B8628" s="28" t="s">
        <v>12240</v>
      </c>
      <c r="C8628" s="27" t="s">
        <v>15705</v>
      </c>
      <c r="D8628" s="27" t="s">
        <v>230</v>
      </c>
      <c r="E8628" s="29">
        <v>40843</v>
      </c>
      <c r="F8628" s="27">
        <v>15</v>
      </c>
      <c r="G8628" s="18">
        <v>9300</v>
      </c>
      <c r="H8628" s="27">
        <f t="shared" si="268"/>
        <v>0</v>
      </c>
      <c r="I8628" s="18">
        <v>6408.46</v>
      </c>
      <c r="J8628" s="27">
        <v>9300</v>
      </c>
      <c r="K8628" s="18">
        <f t="shared" si="269"/>
        <v>0</v>
      </c>
      <c r="L8628" s="27">
        <v>6718.23</v>
      </c>
      <c r="M8628" s="36">
        <v>309.77</v>
      </c>
      <c r="T8628" s="41">
        <v>0</v>
      </c>
      <c r="U8628" s="41">
        <v>0</v>
      </c>
      <c r="V8628" s="42" t="s">
        <v>113</v>
      </c>
      <c r="W8628" s="42">
        <v>0</v>
      </c>
      <c r="X8628" s="42">
        <v>0</v>
      </c>
    </row>
    <row r="8629" spans="1:24">
      <c r="A8629" s="27" t="s">
        <v>15706</v>
      </c>
      <c r="B8629" s="28" t="s">
        <v>12240</v>
      </c>
      <c r="C8629" s="27" t="s">
        <v>15707</v>
      </c>
      <c r="D8629" s="27" t="s">
        <v>230</v>
      </c>
      <c r="E8629" s="29">
        <v>40843</v>
      </c>
      <c r="F8629" s="27">
        <v>15</v>
      </c>
      <c r="G8629" s="18">
        <v>9300</v>
      </c>
      <c r="H8629" s="27">
        <f t="shared" si="268"/>
        <v>0</v>
      </c>
      <c r="I8629" s="18">
        <v>6408.45</v>
      </c>
      <c r="J8629" s="27">
        <v>9300</v>
      </c>
      <c r="K8629" s="18">
        <f t="shared" si="269"/>
        <v>0</v>
      </c>
      <c r="L8629" s="27">
        <v>6718.22</v>
      </c>
      <c r="M8629" s="36">
        <v>309.77</v>
      </c>
      <c r="T8629" s="41">
        <v>0</v>
      </c>
      <c r="U8629" s="41">
        <v>0</v>
      </c>
      <c r="V8629" s="42" t="s">
        <v>113</v>
      </c>
      <c r="W8629" s="42">
        <v>0</v>
      </c>
      <c r="X8629" s="42">
        <v>0</v>
      </c>
    </row>
    <row r="8630" spans="1:24">
      <c r="A8630" s="27" t="s">
        <v>15708</v>
      </c>
      <c r="B8630" s="28" t="s">
        <v>12240</v>
      </c>
      <c r="C8630" s="27" t="s">
        <v>15709</v>
      </c>
      <c r="D8630" s="27" t="s">
        <v>230</v>
      </c>
      <c r="E8630" s="29">
        <v>40843</v>
      </c>
      <c r="F8630" s="27">
        <v>15</v>
      </c>
      <c r="G8630" s="18">
        <v>9300</v>
      </c>
      <c r="H8630" s="27">
        <f t="shared" si="268"/>
        <v>0</v>
      </c>
      <c r="I8630" s="18">
        <v>6408.46</v>
      </c>
      <c r="J8630" s="27">
        <v>9300</v>
      </c>
      <c r="K8630" s="18">
        <f t="shared" si="269"/>
        <v>0</v>
      </c>
      <c r="L8630" s="27">
        <v>6718.23</v>
      </c>
      <c r="M8630" s="36">
        <v>309.77</v>
      </c>
      <c r="T8630" s="41">
        <v>0</v>
      </c>
      <c r="U8630" s="41">
        <v>0</v>
      </c>
      <c r="V8630" s="42" t="s">
        <v>113</v>
      </c>
      <c r="W8630" s="42">
        <v>0</v>
      </c>
      <c r="X8630" s="42">
        <v>0</v>
      </c>
    </row>
    <row r="8631" spans="1:24">
      <c r="A8631" s="27" t="s">
        <v>15710</v>
      </c>
      <c r="B8631" s="28" t="s">
        <v>12240</v>
      </c>
      <c r="C8631" s="27" t="s">
        <v>15711</v>
      </c>
      <c r="D8631" s="27" t="s">
        <v>230</v>
      </c>
      <c r="E8631" s="29">
        <v>40843</v>
      </c>
      <c r="F8631" s="27">
        <v>15</v>
      </c>
      <c r="G8631" s="18">
        <v>9300</v>
      </c>
      <c r="H8631" s="27">
        <f t="shared" si="268"/>
        <v>0</v>
      </c>
      <c r="I8631" s="18">
        <v>6408.45</v>
      </c>
      <c r="J8631" s="27">
        <v>9300</v>
      </c>
      <c r="K8631" s="18">
        <f t="shared" si="269"/>
        <v>0</v>
      </c>
      <c r="L8631" s="27">
        <v>6718.22</v>
      </c>
      <c r="M8631" s="36">
        <v>309.77</v>
      </c>
      <c r="T8631" s="41">
        <v>0</v>
      </c>
      <c r="U8631" s="41">
        <v>0</v>
      </c>
      <c r="V8631" s="42" t="s">
        <v>113</v>
      </c>
      <c r="W8631" s="42">
        <v>0</v>
      </c>
      <c r="X8631" s="42">
        <v>0</v>
      </c>
    </row>
    <row r="8632" spans="1:24">
      <c r="A8632" s="27" t="s">
        <v>15712</v>
      </c>
      <c r="B8632" s="28" t="s">
        <v>12240</v>
      </c>
      <c r="C8632" s="27" t="s">
        <v>15713</v>
      </c>
      <c r="D8632" s="27" t="s">
        <v>230</v>
      </c>
      <c r="E8632" s="29">
        <v>40843</v>
      </c>
      <c r="F8632" s="27">
        <v>15</v>
      </c>
      <c r="G8632" s="18">
        <v>9300</v>
      </c>
      <c r="H8632" s="27">
        <f t="shared" si="268"/>
        <v>0</v>
      </c>
      <c r="I8632" s="18">
        <v>6408.45</v>
      </c>
      <c r="J8632" s="27">
        <v>9300</v>
      </c>
      <c r="K8632" s="18">
        <f t="shared" si="269"/>
        <v>0</v>
      </c>
      <c r="L8632" s="27">
        <v>6718.22</v>
      </c>
      <c r="M8632" s="36">
        <v>309.77</v>
      </c>
      <c r="T8632" s="41">
        <v>0</v>
      </c>
      <c r="U8632" s="41">
        <v>0</v>
      </c>
      <c r="V8632" s="42" t="s">
        <v>113</v>
      </c>
      <c r="W8632" s="42">
        <v>0</v>
      </c>
      <c r="X8632" s="42">
        <v>0</v>
      </c>
    </row>
    <row r="8633" spans="1:24">
      <c r="A8633" s="27" t="s">
        <v>15714</v>
      </c>
      <c r="B8633" s="28" t="s">
        <v>12240</v>
      </c>
      <c r="C8633" s="27" t="s">
        <v>15715</v>
      </c>
      <c r="D8633" s="27" t="s">
        <v>230</v>
      </c>
      <c r="E8633" s="29">
        <v>40843</v>
      </c>
      <c r="F8633" s="27">
        <v>15</v>
      </c>
      <c r="G8633" s="18">
        <v>9300</v>
      </c>
      <c r="H8633" s="27">
        <f t="shared" si="268"/>
        <v>0</v>
      </c>
      <c r="I8633" s="18">
        <v>6408.46</v>
      </c>
      <c r="J8633" s="27">
        <v>9300</v>
      </c>
      <c r="K8633" s="18">
        <f t="shared" si="269"/>
        <v>0</v>
      </c>
      <c r="L8633" s="27">
        <v>6718.23</v>
      </c>
      <c r="M8633" s="36">
        <v>309.77</v>
      </c>
      <c r="T8633" s="41">
        <v>0</v>
      </c>
      <c r="U8633" s="41">
        <v>0</v>
      </c>
      <c r="V8633" s="42" t="s">
        <v>113</v>
      </c>
      <c r="W8633" s="42">
        <v>0</v>
      </c>
      <c r="X8633" s="42">
        <v>0</v>
      </c>
    </row>
    <row r="8634" spans="1:24">
      <c r="A8634" s="27" t="s">
        <v>15716</v>
      </c>
      <c r="B8634" s="28" t="s">
        <v>12240</v>
      </c>
      <c r="C8634" s="27" t="s">
        <v>15717</v>
      </c>
      <c r="D8634" s="27" t="s">
        <v>230</v>
      </c>
      <c r="E8634" s="29">
        <v>40843</v>
      </c>
      <c r="F8634" s="27">
        <v>15</v>
      </c>
      <c r="G8634" s="18">
        <v>9300</v>
      </c>
      <c r="H8634" s="27">
        <f t="shared" si="268"/>
        <v>0</v>
      </c>
      <c r="I8634" s="18">
        <v>6408.45</v>
      </c>
      <c r="J8634" s="27">
        <v>9300</v>
      </c>
      <c r="K8634" s="18">
        <f t="shared" si="269"/>
        <v>0</v>
      </c>
      <c r="L8634" s="27">
        <v>6718.22</v>
      </c>
      <c r="M8634" s="36">
        <v>309.77</v>
      </c>
      <c r="T8634" s="41">
        <v>0</v>
      </c>
      <c r="U8634" s="41">
        <v>0</v>
      </c>
      <c r="V8634" s="42" t="s">
        <v>113</v>
      </c>
      <c r="W8634" s="42">
        <v>0</v>
      </c>
      <c r="X8634" s="42">
        <v>0</v>
      </c>
    </row>
    <row r="8635" spans="1:24">
      <c r="A8635" s="27" t="s">
        <v>15718</v>
      </c>
      <c r="B8635" s="28" t="s">
        <v>12240</v>
      </c>
      <c r="C8635" s="27" t="s">
        <v>15719</v>
      </c>
      <c r="D8635" s="27" t="s">
        <v>230</v>
      </c>
      <c r="E8635" s="29">
        <v>40843</v>
      </c>
      <c r="F8635" s="27">
        <v>15</v>
      </c>
      <c r="G8635" s="18">
        <v>9300</v>
      </c>
      <c r="H8635" s="27">
        <f t="shared" si="268"/>
        <v>0</v>
      </c>
      <c r="I8635" s="18">
        <v>6408.46</v>
      </c>
      <c r="J8635" s="27">
        <v>9300</v>
      </c>
      <c r="K8635" s="18">
        <f t="shared" si="269"/>
        <v>0</v>
      </c>
      <c r="L8635" s="27">
        <v>6718.23</v>
      </c>
      <c r="M8635" s="36">
        <v>309.77</v>
      </c>
      <c r="T8635" s="41">
        <v>0</v>
      </c>
      <c r="U8635" s="41">
        <v>0</v>
      </c>
      <c r="V8635" s="42" t="s">
        <v>113</v>
      </c>
      <c r="W8635" s="42">
        <v>0</v>
      </c>
      <c r="X8635" s="42">
        <v>0</v>
      </c>
    </row>
    <row r="8636" spans="1:24">
      <c r="A8636" s="27" t="s">
        <v>15720</v>
      </c>
      <c r="B8636" s="28" t="s">
        <v>12240</v>
      </c>
      <c r="C8636" s="27" t="s">
        <v>15721</v>
      </c>
      <c r="D8636" s="27" t="s">
        <v>230</v>
      </c>
      <c r="E8636" s="29">
        <v>40843</v>
      </c>
      <c r="F8636" s="27">
        <v>15</v>
      </c>
      <c r="G8636" s="18">
        <v>9300</v>
      </c>
      <c r="H8636" s="27">
        <f t="shared" si="268"/>
        <v>0</v>
      </c>
      <c r="I8636" s="18">
        <v>6408.46</v>
      </c>
      <c r="J8636" s="27">
        <v>9300</v>
      </c>
      <c r="K8636" s="18">
        <f t="shared" si="269"/>
        <v>0</v>
      </c>
      <c r="L8636" s="27">
        <v>6718.23</v>
      </c>
      <c r="M8636" s="36">
        <v>309.77</v>
      </c>
      <c r="T8636" s="41">
        <v>0</v>
      </c>
      <c r="U8636" s="41">
        <v>0</v>
      </c>
      <c r="V8636" s="42" t="s">
        <v>113</v>
      </c>
      <c r="W8636" s="42">
        <v>0</v>
      </c>
      <c r="X8636" s="42">
        <v>0</v>
      </c>
    </row>
    <row r="8637" spans="1:24">
      <c r="A8637" s="27" t="s">
        <v>15722</v>
      </c>
      <c r="B8637" s="28" t="s">
        <v>12240</v>
      </c>
      <c r="C8637" s="27" t="s">
        <v>15723</v>
      </c>
      <c r="D8637" s="27" t="s">
        <v>230</v>
      </c>
      <c r="E8637" s="29">
        <v>40843</v>
      </c>
      <c r="F8637" s="27">
        <v>15</v>
      </c>
      <c r="G8637" s="18">
        <v>9300</v>
      </c>
      <c r="H8637" s="27">
        <f t="shared" si="268"/>
        <v>0</v>
      </c>
      <c r="I8637" s="18">
        <v>6408.46</v>
      </c>
      <c r="J8637" s="27">
        <v>9300</v>
      </c>
      <c r="K8637" s="18">
        <f t="shared" si="269"/>
        <v>0</v>
      </c>
      <c r="L8637" s="27">
        <v>6718.23</v>
      </c>
      <c r="M8637" s="36">
        <v>309.77</v>
      </c>
      <c r="T8637" s="41">
        <v>0</v>
      </c>
      <c r="U8637" s="41">
        <v>0</v>
      </c>
      <c r="V8637" s="42" t="s">
        <v>113</v>
      </c>
      <c r="W8637" s="42">
        <v>0</v>
      </c>
      <c r="X8637" s="42">
        <v>0</v>
      </c>
    </row>
    <row r="8638" spans="1:24">
      <c r="A8638" s="27" t="s">
        <v>15724</v>
      </c>
      <c r="B8638" s="28" t="s">
        <v>12240</v>
      </c>
      <c r="C8638" s="27" t="s">
        <v>15725</v>
      </c>
      <c r="D8638" s="27" t="s">
        <v>230</v>
      </c>
      <c r="E8638" s="29">
        <v>40843</v>
      </c>
      <c r="F8638" s="27">
        <v>15</v>
      </c>
      <c r="G8638" s="18">
        <v>9300</v>
      </c>
      <c r="H8638" s="27">
        <f t="shared" si="268"/>
        <v>0</v>
      </c>
      <c r="I8638" s="18">
        <v>6408.45</v>
      </c>
      <c r="J8638" s="27">
        <v>9300</v>
      </c>
      <c r="K8638" s="18">
        <f t="shared" si="269"/>
        <v>0</v>
      </c>
      <c r="L8638" s="27">
        <v>6718.22</v>
      </c>
      <c r="M8638" s="36">
        <v>309.77</v>
      </c>
      <c r="T8638" s="41">
        <v>0</v>
      </c>
      <c r="U8638" s="41">
        <v>0</v>
      </c>
      <c r="V8638" s="42" t="s">
        <v>113</v>
      </c>
      <c r="W8638" s="42">
        <v>0</v>
      </c>
      <c r="X8638" s="42">
        <v>0</v>
      </c>
    </row>
    <row r="8639" spans="1:24">
      <c r="A8639" s="27" t="s">
        <v>15726</v>
      </c>
      <c r="B8639" s="28" t="s">
        <v>12240</v>
      </c>
      <c r="C8639" s="27" t="s">
        <v>15727</v>
      </c>
      <c r="D8639" s="27" t="s">
        <v>230</v>
      </c>
      <c r="E8639" s="29">
        <v>40843</v>
      </c>
      <c r="F8639" s="27">
        <v>15</v>
      </c>
      <c r="G8639" s="18">
        <v>9300</v>
      </c>
      <c r="H8639" s="27">
        <f t="shared" si="268"/>
        <v>0</v>
      </c>
      <c r="I8639" s="18">
        <v>6408.46</v>
      </c>
      <c r="J8639" s="27">
        <v>9300</v>
      </c>
      <c r="K8639" s="18">
        <f t="shared" si="269"/>
        <v>0</v>
      </c>
      <c r="L8639" s="27">
        <v>6718.23</v>
      </c>
      <c r="M8639" s="36">
        <v>309.77</v>
      </c>
      <c r="T8639" s="41">
        <v>0</v>
      </c>
      <c r="U8639" s="41">
        <v>0</v>
      </c>
      <c r="V8639" s="42" t="s">
        <v>113</v>
      </c>
      <c r="W8639" s="42">
        <v>0</v>
      </c>
      <c r="X8639" s="42">
        <v>0</v>
      </c>
    </row>
    <row r="8640" spans="1:24">
      <c r="A8640" s="27" t="s">
        <v>15728</v>
      </c>
      <c r="B8640" s="28" t="s">
        <v>12240</v>
      </c>
      <c r="C8640" s="27" t="s">
        <v>15729</v>
      </c>
      <c r="D8640" s="27" t="s">
        <v>230</v>
      </c>
      <c r="E8640" s="29">
        <v>40843</v>
      </c>
      <c r="F8640" s="27">
        <v>15</v>
      </c>
      <c r="G8640" s="18">
        <v>9300</v>
      </c>
      <c r="H8640" s="27">
        <f t="shared" si="268"/>
        <v>0</v>
      </c>
      <c r="I8640" s="18">
        <v>6408.45</v>
      </c>
      <c r="J8640" s="27">
        <v>9300</v>
      </c>
      <c r="K8640" s="18">
        <f t="shared" si="269"/>
        <v>0</v>
      </c>
      <c r="L8640" s="27">
        <v>6718.22</v>
      </c>
      <c r="M8640" s="36">
        <v>309.77</v>
      </c>
      <c r="T8640" s="41">
        <v>0</v>
      </c>
      <c r="U8640" s="41">
        <v>0</v>
      </c>
      <c r="V8640" s="42" t="s">
        <v>113</v>
      </c>
      <c r="W8640" s="42">
        <v>0</v>
      </c>
      <c r="X8640" s="42">
        <v>0</v>
      </c>
    </row>
    <row r="8641" spans="1:24">
      <c r="A8641" s="27" t="s">
        <v>15730</v>
      </c>
      <c r="B8641" s="28" t="s">
        <v>12240</v>
      </c>
      <c r="C8641" s="27" t="s">
        <v>15731</v>
      </c>
      <c r="D8641" s="27" t="s">
        <v>230</v>
      </c>
      <c r="E8641" s="29">
        <v>40843</v>
      </c>
      <c r="F8641" s="27">
        <v>15</v>
      </c>
      <c r="G8641" s="18">
        <v>9300</v>
      </c>
      <c r="H8641" s="27">
        <f t="shared" si="268"/>
        <v>0</v>
      </c>
      <c r="I8641" s="18">
        <v>6408.46</v>
      </c>
      <c r="J8641" s="27">
        <v>9300</v>
      </c>
      <c r="K8641" s="18">
        <f t="shared" si="269"/>
        <v>0</v>
      </c>
      <c r="L8641" s="27">
        <v>6718.23</v>
      </c>
      <c r="M8641" s="36">
        <v>309.77</v>
      </c>
      <c r="T8641" s="41">
        <v>0</v>
      </c>
      <c r="U8641" s="41">
        <v>0</v>
      </c>
      <c r="V8641" s="42" t="s">
        <v>113</v>
      </c>
      <c r="W8641" s="42">
        <v>0</v>
      </c>
      <c r="X8641" s="42">
        <v>0</v>
      </c>
    </row>
    <row r="8642" spans="1:24">
      <c r="A8642" s="27" t="s">
        <v>15732</v>
      </c>
      <c r="B8642" s="28" t="s">
        <v>12240</v>
      </c>
      <c r="C8642" s="27" t="s">
        <v>13987</v>
      </c>
      <c r="D8642" s="27" t="s">
        <v>230</v>
      </c>
      <c r="E8642" s="29">
        <v>40843</v>
      </c>
      <c r="F8642" s="27">
        <v>15</v>
      </c>
      <c r="G8642" s="18">
        <v>9300</v>
      </c>
      <c r="H8642" s="27">
        <f t="shared" si="268"/>
        <v>0</v>
      </c>
      <c r="I8642" s="18">
        <v>6408.45</v>
      </c>
      <c r="J8642" s="27">
        <v>9300</v>
      </c>
      <c r="K8642" s="18">
        <f t="shared" si="269"/>
        <v>0</v>
      </c>
      <c r="L8642" s="27">
        <v>6718.22</v>
      </c>
      <c r="M8642" s="36">
        <v>309.77</v>
      </c>
      <c r="T8642" s="41">
        <v>0</v>
      </c>
      <c r="U8642" s="41">
        <v>0</v>
      </c>
      <c r="V8642" s="42" t="s">
        <v>113</v>
      </c>
      <c r="W8642" s="42">
        <v>0</v>
      </c>
      <c r="X8642" s="42">
        <v>0</v>
      </c>
    </row>
    <row r="8643" spans="1:24">
      <c r="A8643" s="27" t="s">
        <v>15733</v>
      </c>
      <c r="B8643" s="28" t="s">
        <v>12240</v>
      </c>
      <c r="C8643" s="27" t="s">
        <v>15734</v>
      </c>
      <c r="D8643" s="27" t="s">
        <v>230</v>
      </c>
      <c r="E8643" s="29">
        <v>40843</v>
      </c>
      <c r="F8643" s="27">
        <v>15</v>
      </c>
      <c r="G8643" s="18">
        <v>9300</v>
      </c>
      <c r="H8643" s="27">
        <f t="shared" si="268"/>
        <v>0</v>
      </c>
      <c r="I8643" s="18">
        <v>6408.45</v>
      </c>
      <c r="J8643" s="27">
        <v>9300</v>
      </c>
      <c r="K8643" s="18">
        <f t="shared" si="269"/>
        <v>0</v>
      </c>
      <c r="L8643" s="27">
        <v>6718.22</v>
      </c>
      <c r="M8643" s="36">
        <v>309.77</v>
      </c>
      <c r="T8643" s="41">
        <v>0</v>
      </c>
      <c r="U8643" s="41">
        <v>0</v>
      </c>
      <c r="V8643" s="42" t="s">
        <v>113</v>
      </c>
      <c r="W8643" s="42">
        <v>0</v>
      </c>
      <c r="X8643" s="42">
        <v>0</v>
      </c>
    </row>
    <row r="8644" spans="1:24">
      <c r="A8644" s="27" t="s">
        <v>15735</v>
      </c>
      <c r="B8644" s="28" t="s">
        <v>12240</v>
      </c>
      <c r="C8644" s="27" t="s">
        <v>15736</v>
      </c>
      <c r="D8644" s="27" t="s">
        <v>230</v>
      </c>
      <c r="E8644" s="29">
        <v>40843</v>
      </c>
      <c r="F8644" s="27">
        <v>15</v>
      </c>
      <c r="G8644" s="18">
        <v>9300</v>
      </c>
      <c r="H8644" s="27">
        <f t="shared" si="268"/>
        <v>0</v>
      </c>
      <c r="I8644" s="18">
        <v>6408.46</v>
      </c>
      <c r="J8644" s="27">
        <v>30496.58</v>
      </c>
      <c r="K8644" s="18">
        <f t="shared" si="269"/>
        <v>0</v>
      </c>
      <c r="L8644" s="27">
        <v>6718.23</v>
      </c>
      <c r="M8644" s="36">
        <v>309.77</v>
      </c>
      <c r="N8644" s="18" t="s">
        <v>14637</v>
      </c>
      <c r="O8644" s="19">
        <v>21196.58</v>
      </c>
      <c r="T8644" s="41">
        <v>0</v>
      </c>
      <c r="U8644" s="41">
        <v>0</v>
      </c>
      <c r="V8644" s="42" t="s">
        <v>113</v>
      </c>
      <c r="W8644" s="42">
        <v>0</v>
      </c>
      <c r="X8644" s="42">
        <v>0</v>
      </c>
    </row>
    <row r="8645" spans="1:24">
      <c r="A8645" s="27" t="s">
        <v>15737</v>
      </c>
      <c r="B8645" s="28" t="s">
        <v>12240</v>
      </c>
      <c r="C8645" s="27" t="s">
        <v>15738</v>
      </c>
      <c r="D8645" s="27" t="s">
        <v>230</v>
      </c>
      <c r="E8645" s="29">
        <v>40843</v>
      </c>
      <c r="F8645" s="27">
        <v>15</v>
      </c>
      <c r="G8645" s="18">
        <v>9300</v>
      </c>
      <c r="H8645" s="27">
        <f t="shared" si="268"/>
        <v>0</v>
      </c>
      <c r="I8645" s="18">
        <v>6408.45</v>
      </c>
      <c r="J8645" s="27">
        <v>9300</v>
      </c>
      <c r="K8645" s="18">
        <f t="shared" si="269"/>
        <v>0</v>
      </c>
      <c r="L8645" s="27">
        <v>6718.22</v>
      </c>
      <c r="M8645" s="36">
        <v>309.77</v>
      </c>
      <c r="T8645" s="41">
        <v>0</v>
      </c>
      <c r="U8645" s="41">
        <v>0</v>
      </c>
      <c r="V8645" s="42" t="s">
        <v>113</v>
      </c>
      <c r="W8645" s="42">
        <v>0</v>
      </c>
      <c r="X8645" s="42">
        <v>0</v>
      </c>
    </row>
    <row r="8646" spans="1:24">
      <c r="A8646" s="27" t="s">
        <v>15739</v>
      </c>
      <c r="B8646" s="28" t="s">
        <v>12240</v>
      </c>
      <c r="C8646" s="27" t="s">
        <v>15740</v>
      </c>
      <c r="D8646" s="27" t="s">
        <v>230</v>
      </c>
      <c r="E8646" s="29">
        <v>40843</v>
      </c>
      <c r="F8646" s="27">
        <v>15</v>
      </c>
      <c r="G8646" s="18">
        <v>9300</v>
      </c>
      <c r="H8646" s="27">
        <f t="shared" ref="H8646:H8709" si="270">IFERROR(IF(ROUND((G8646-I8646)/G8646,2)&lt;=0.05,G8646,0),0)</f>
        <v>0</v>
      </c>
      <c r="I8646" s="18">
        <v>6408.45</v>
      </c>
      <c r="J8646" s="27">
        <v>9300</v>
      </c>
      <c r="K8646" s="18">
        <f t="shared" ref="K8646:K8709" si="271">IFERROR(IF(ROUND((J8646-L8646)/J8646,2)&lt;=0.05,J8646,0),0)</f>
        <v>0</v>
      </c>
      <c r="L8646" s="27">
        <v>6718.22</v>
      </c>
      <c r="M8646" s="36">
        <v>309.77</v>
      </c>
      <c r="T8646" s="41">
        <v>0</v>
      </c>
      <c r="U8646" s="41">
        <v>0</v>
      </c>
      <c r="V8646" s="42" t="s">
        <v>113</v>
      </c>
      <c r="W8646" s="42">
        <v>0</v>
      </c>
      <c r="X8646" s="42">
        <v>0</v>
      </c>
    </row>
    <row r="8647" spans="1:24">
      <c r="A8647" s="27" t="s">
        <v>15741</v>
      </c>
      <c r="B8647" s="28" t="s">
        <v>12240</v>
      </c>
      <c r="C8647" s="27" t="s">
        <v>15742</v>
      </c>
      <c r="D8647" s="27" t="s">
        <v>230</v>
      </c>
      <c r="E8647" s="29">
        <v>40843</v>
      </c>
      <c r="F8647" s="27">
        <v>15</v>
      </c>
      <c r="G8647" s="18">
        <v>9300</v>
      </c>
      <c r="H8647" s="27">
        <f t="shared" si="270"/>
        <v>0</v>
      </c>
      <c r="I8647" s="18">
        <v>6408.45</v>
      </c>
      <c r="J8647" s="27">
        <v>9300</v>
      </c>
      <c r="K8647" s="18">
        <f t="shared" si="271"/>
        <v>0</v>
      </c>
      <c r="L8647" s="27">
        <v>6718.22</v>
      </c>
      <c r="M8647" s="36">
        <v>309.77</v>
      </c>
      <c r="T8647" s="41">
        <v>0</v>
      </c>
      <c r="U8647" s="41">
        <v>0</v>
      </c>
      <c r="V8647" s="42" t="s">
        <v>113</v>
      </c>
      <c r="W8647" s="42">
        <v>0</v>
      </c>
      <c r="X8647" s="42">
        <v>0</v>
      </c>
    </row>
    <row r="8648" spans="1:24">
      <c r="A8648" s="27" t="s">
        <v>15743</v>
      </c>
      <c r="B8648" s="28" t="s">
        <v>12240</v>
      </c>
      <c r="C8648" s="27" t="s">
        <v>15744</v>
      </c>
      <c r="D8648" s="27" t="s">
        <v>230</v>
      </c>
      <c r="E8648" s="29">
        <v>40843</v>
      </c>
      <c r="F8648" s="27">
        <v>15</v>
      </c>
      <c r="G8648" s="18">
        <v>9300</v>
      </c>
      <c r="H8648" s="27">
        <f t="shared" si="270"/>
        <v>0</v>
      </c>
      <c r="I8648" s="18">
        <v>6408.46</v>
      </c>
      <c r="J8648" s="27">
        <v>49110.5</v>
      </c>
      <c r="K8648" s="18">
        <f t="shared" si="271"/>
        <v>0</v>
      </c>
      <c r="L8648" s="27">
        <v>6718.23</v>
      </c>
      <c r="M8648" s="36">
        <v>309.77</v>
      </c>
      <c r="N8648" s="18" t="s">
        <v>14637</v>
      </c>
      <c r="O8648" s="19">
        <v>39810.5</v>
      </c>
      <c r="T8648" s="41">
        <v>0</v>
      </c>
      <c r="U8648" s="41">
        <v>0</v>
      </c>
      <c r="V8648" s="42" t="s">
        <v>113</v>
      </c>
      <c r="W8648" s="42">
        <v>0</v>
      </c>
      <c r="X8648" s="42">
        <v>0</v>
      </c>
    </row>
    <row r="8649" spans="1:24">
      <c r="A8649" s="27" t="s">
        <v>15745</v>
      </c>
      <c r="B8649" s="28" t="s">
        <v>12240</v>
      </c>
      <c r="C8649" s="27" t="s">
        <v>15746</v>
      </c>
      <c r="D8649" s="27" t="s">
        <v>230</v>
      </c>
      <c r="E8649" s="29">
        <v>36495</v>
      </c>
      <c r="F8649" s="27">
        <v>15</v>
      </c>
      <c r="G8649" s="18">
        <v>16046.16</v>
      </c>
      <c r="H8649" s="27">
        <f t="shared" si="270"/>
        <v>16046.16</v>
      </c>
      <c r="I8649" s="18">
        <v>15243.85</v>
      </c>
      <c r="J8649" s="27">
        <v>16046.16</v>
      </c>
      <c r="K8649" s="18">
        <f t="shared" si="271"/>
        <v>16046.16</v>
      </c>
      <c r="L8649" s="27">
        <v>15243.85</v>
      </c>
      <c r="M8649" s="36">
        <v>0</v>
      </c>
      <c r="T8649" s="41">
        <v>0</v>
      </c>
      <c r="U8649" s="41">
        <v>0</v>
      </c>
      <c r="V8649" s="42" t="s">
        <v>113</v>
      </c>
      <c r="W8649" s="42">
        <v>16046.16</v>
      </c>
      <c r="X8649" s="42">
        <v>16046.16</v>
      </c>
    </row>
    <row r="8650" spans="1:24">
      <c r="A8650" s="27" t="s">
        <v>15747</v>
      </c>
      <c r="B8650" s="28" t="s">
        <v>12240</v>
      </c>
      <c r="C8650" s="27" t="s">
        <v>15748</v>
      </c>
      <c r="D8650" s="27" t="s">
        <v>230</v>
      </c>
      <c r="E8650" s="29">
        <v>40843</v>
      </c>
      <c r="F8650" s="27">
        <v>15</v>
      </c>
      <c r="G8650" s="18">
        <v>9300</v>
      </c>
      <c r="H8650" s="27">
        <f t="shared" si="270"/>
        <v>0</v>
      </c>
      <c r="I8650" s="18">
        <v>6408.45</v>
      </c>
      <c r="J8650" s="27">
        <v>9300</v>
      </c>
      <c r="K8650" s="18">
        <f t="shared" si="271"/>
        <v>0</v>
      </c>
      <c r="L8650" s="27">
        <v>6718.22</v>
      </c>
      <c r="M8650" s="36">
        <v>309.77</v>
      </c>
      <c r="T8650" s="41">
        <v>0</v>
      </c>
      <c r="U8650" s="41">
        <v>0</v>
      </c>
      <c r="V8650" s="42" t="s">
        <v>113</v>
      </c>
      <c r="W8650" s="42">
        <v>0</v>
      </c>
      <c r="X8650" s="42">
        <v>0</v>
      </c>
    </row>
    <row r="8651" spans="1:24">
      <c r="A8651" s="27" t="s">
        <v>15749</v>
      </c>
      <c r="B8651" s="28" t="s">
        <v>12240</v>
      </c>
      <c r="C8651" s="27" t="s">
        <v>15750</v>
      </c>
      <c r="D8651" s="27" t="s">
        <v>230</v>
      </c>
      <c r="E8651" s="29">
        <v>40843</v>
      </c>
      <c r="F8651" s="27">
        <v>15</v>
      </c>
      <c r="G8651" s="18">
        <v>9300</v>
      </c>
      <c r="H8651" s="27">
        <f t="shared" si="270"/>
        <v>0</v>
      </c>
      <c r="I8651" s="18">
        <v>6408.45</v>
      </c>
      <c r="J8651" s="27">
        <v>9300</v>
      </c>
      <c r="K8651" s="18">
        <f t="shared" si="271"/>
        <v>0</v>
      </c>
      <c r="L8651" s="27">
        <v>6718.22</v>
      </c>
      <c r="M8651" s="36">
        <v>309.77</v>
      </c>
      <c r="T8651" s="41">
        <v>0</v>
      </c>
      <c r="U8651" s="41">
        <v>0</v>
      </c>
      <c r="V8651" s="42" t="s">
        <v>113</v>
      </c>
      <c r="W8651" s="42">
        <v>0</v>
      </c>
      <c r="X8651" s="42">
        <v>0</v>
      </c>
    </row>
    <row r="8652" spans="1:24">
      <c r="A8652" s="27" t="s">
        <v>15751</v>
      </c>
      <c r="B8652" s="28" t="s">
        <v>12240</v>
      </c>
      <c r="C8652" s="27" t="s">
        <v>15752</v>
      </c>
      <c r="D8652" s="27" t="s">
        <v>230</v>
      </c>
      <c r="E8652" s="29">
        <v>36495</v>
      </c>
      <c r="F8652" s="27">
        <v>15</v>
      </c>
      <c r="G8652" s="18">
        <v>16046.16</v>
      </c>
      <c r="H8652" s="27">
        <f t="shared" si="270"/>
        <v>16046.16</v>
      </c>
      <c r="I8652" s="18">
        <v>15243.85</v>
      </c>
      <c r="J8652" s="27">
        <v>16046.16</v>
      </c>
      <c r="K8652" s="18">
        <f t="shared" si="271"/>
        <v>16046.16</v>
      </c>
      <c r="L8652" s="27">
        <v>15243.85</v>
      </c>
      <c r="M8652" s="36">
        <v>0</v>
      </c>
      <c r="T8652" s="41">
        <v>0</v>
      </c>
      <c r="U8652" s="41">
        <v>0</v>
      </c>
      <c r="V8652" s="42" t="s">
        <v>113</v>
      </c>
      <c r="W8652" s="42">
        <v>16046.16</v>
      </c>
      <c r="X8652" s="42">
        <v>16046.16</v>
      </c>
    </row>
    <row r="8653" spans="1:24">
      <c r="A8653" s="27" t="s">
        <v>15753</v>
      </c>
      <c r="B8653" s="28" t="s">
        <v>12240</v>
      </c>
      <c r="C8653" s="27" t="s">
        <v>15754</v>
      </c>
      <c r="D8653" s="27" t="s">
        <v>230</v>
      </c>
      <c r="E8653" s="29">
        <v>40843</v>
      </c>
      <c r="F8653" s="27">
        <v>15</v>
      </c>
      <c r="G8653" s="18">
        <v>9300</v>
      </c>
      <c r="H8653" s="27">
        <f t="shared" si="270"/>
        <v>0</v>
      </c>
      <c r="I8653" s="18">
        <v>6408.45</v>
      </c>
      <c r="J8653" s="27">
        <v>9300</v>
      </c>
      <c r="K8653" s="18">
        <f t="shared" si="271"/>
        <v>0</v>
      </c>
      <c r="L8653" s="27">
        <v>6718.22</v>
      </c>
      <c r="M8653" s="36">
        <v>309.77</v>
      </c>
      <c r="T8653" s="41">
        <v>0</v>
      </c>
      <c r="U8653" s="41">
        <v>0</v>
      </c>
      <c r="V8653" s="42" t="s">
        <v>113</v>
      </c>
      <c r="W8653" s="42">
        <v>0</v>
      </c>
      <c r="X8653" s="42">
        <v>0</v>
      </c>
    </row>
    <row r="8654" spans="1:24">
      <c r="A8654" s="27" t="s">
        <v>15755</v>
      </c>
      <c r="B8654" s="28" t="s">
        <v>12240</v>
      </c>
      <c r="C8654" s="27" t="s">
        <v>15756</v>
      </c>
      <c r="D8654" s="27" t="s">
        <v>230</v>
      </c>
      <c r="E8654" s="29">
        <v>40843</v>
      </c>
      <c r="F8654" s="27">
        <v>15</v>
      </c>
      <c r="G8654" s="18">
        <v>9300</v>
      </c>
      <c r="H8654" s="27">
        <f t="shared" si="270"/>
        <v>0</v>
      </c>
      <c r="I8654" s="18">
        <v>6408.46</v>
      </c>
      <c r="J8654" s="27">
        <v>9300</v>
      </c>
      <c r="K8654" s="18">
        <f t="shared" si="271"/>
        <v>0</v>
      </c>
      <c r="L8654" s="27">
        <v>6718.23</v>
      </c>
      <c r="M8654" s="36">
        <v>309.77</v>
      </c>
      <c r="T8654" s="41">
        <v>0</v>
      </c>
      <c r="U8654" s="41">
        <v>0</v>
      </c>
      <c r="V8654" s="42" t="s">
        <v>113</v>
      </c>
      <c r="W8654" s="42">
        <v>0</v>
      </c>
      <c r="X8654" s="42">
        <v>0</v>
      </c>
    </row>
    <row r="8655" spans="1:24">
      <c r="A8655" s="27" t="s">
        <v>15757</v>
      </c>
      <c r="B8655" s="28" t="s">
        <v>12240</v>
      </c>
      <c r="C8655" s="27" t="s">
        <v>15758</v>
      </c>
      <c r="D8655" s="27" t="s">
        <v>230</v>
      </c>
      <c r="E8655" s="29">
        <v>40843</v>
      </c>
      <c r="F8655" s="27">
        <v>15</v>
      </c>
      <c r="G8655" s="18">
        <v>9300</v>
      </c>
      <c r="H8655" s="27">
        <f t="shared" si="270"/>
        <v>0</v>
      </c>
      <c r="I8655" s="18">
        <v>6408.46</v>
      </c>
      <c r="J8655" s="27">
        <v>9300</v>
      </c>
      <c r="K8655" s="18">
        <f t="shared" si="271"/>
        <v>0</v>
      </c>
      <c r="L8655" s="27">
        <v>6718.23</v>
      </c>
      <c r="M8655" s="36">
        <v>309.77</v>
      </c>
      <c r="T8655" s="41">
        <v>0</v>
      </c>
      <c r="U8655" s="41">
        <v>0</v>
      </c>
      <c r="V8655" s="42" t="s">
        <v>113</v>
      </c>
      <c r="W8655" s="42">
        <v>0</v>
      </c>
      <c r="X8655" s="42">
        <v>0</v>
      </c>
    </row>
    <row r="8656" spans="1:24">
      <c r="A8656" s="27" t="s">
        <v>15759</v>
      </c>
      <c r="B8656" s="28" t="s">
        <v>12240</v>
      </c>
      <c r="C8656" s="27" t="s">
        <v>15760</v>
      </c>
      <c r="D8656" s="27" t="s">
        <v>230</v>
      </c>
      <c r="E8656" s="29">
        <v>40908</v>
      </c>
      <c r="F8656" s="27">
        <v>15</v>
      </c>
      <c r="G8656" s="18">
        <v>46163.98</v>
      </c>
      <c r="H8656" s="27">
        <f t="shared" si="270"/>
        <v>0</v>
      </c>
      <c r="I8656" s="18">
        <v>23652.06</v>
      </c>
      <c r="J8656" s="27">
        <v>46163.98</v>
      </c>
      <c r="K8656" s="18">
        <f t="shared" si="271"/>
        <v>0</v>
      </c>
      <c r="L8656" s="27">
        <v>26177.53</v>
      </c>
      <c r="M8656" s="36">
        <v>2525.4699999999998</v>
      </c>
      <c r="T8656" s="41">
        <v>0</v>
      </c>
      <c r="U8656" s="41">
        <v>0</v>
      </c>
      <c r="V8656" s="42" t="s">
        <v>113</v>
      </c>
      <c r="W8656" s="42">
        <v>0</v>
      </c>
      <c r="X8656" s="42">
        <v>0</v>
      </c>
    </row>
    <row r="8657" spans="1:24">
      <c r="A8657" s="27" t="s">
        <v>15761</v>
      </c>
      <c r="B8657" s="28" t="s">
        <v>12240</v>
      </c>
      <c r="C8657" s="27" t="s">
        <v>15762</v>
      </c>
      <c r="D8657" s="27" t="s">
        <v>230</v>
      </c>
      <c r="E8657" s="29">
        <v>36495</v>
      </c>
      <c r="F8657" s="27">
        <v>15</v>
      </c>
      <c r="G8657" s="18">
        <v>60893.11</v>
      </c>
      <c r="H8657" s="27">
        <f t="shared" si="270"/>
        <v>0</v>
      </c>
      <c r="I8657" s="18">
        <v>40256.120000000003</v>
      </c>
      <c r="J8657" s="27">
        <v>60893.11</v>
      </c>
      <c r="K8657" s="18">
        <f t="shared" si="271"/>
        <v>0</v>
      </c>
      <c r="L8657" s="27">
        <v>43188.18</v>
      </c>
      <c r="M8657" s="36">
        <v>2932.06</v>
      </c>
      <c r="T8657" s="41">
        <v>0</v>
      </c>
      <c r="U8657" s="41">
        <v>0</v>
      </c>
      <c r="V8657" s="42" t="s">
        <v>124</v>
      </c>
      <c r="W8657" s="42">
        <v>60893.11</v>
      </c>
      <c r="X8657" s="42">
        <v>60893.11</v>
      </c>
    </row>
    <row r="8658" spans="1:24">
      <c r="A8658" s="27" t="s">
        <v>15763</v>
      </c>
      <c r="B8658" s="28" t="s">
        <v>12240</v>
      </c>
      <c r="C8658" s="27" t="s">
        <v>15764</v>
      </c>
      <c r="D8658" s="27" t="s">
        <v>230</v>
      </c>
      <c r="E8658" s="29">
        <v>36495</v>
      </c>
      <c r="F8658" s="27">
        <v>15</v>
      </c>
      <c r="G8658" s="18">
        <v>16046.16</v>
      </c>
      <c r="H8658" s="27">
        <f t="shared" si="270"/>
        <v>16046.16</v>
      </c>
      <c r="I8658" s="18">
        <v>15243.85</v>
      </c>
      <c r="J8658" s="27">
        <v>16046.16</v>
      </c>
      <c r="K8658" s="18">
        <f t="shared" si="271"/>
        <v>16046.16</v>
      </c>
      <c r="L8658" s="27">
        <v>15243.85</v>
      </c>
      <c r="M8658" s="36">
        <v>0</v>
      </c>
      <c r="T8658" s="41">
        <v>0</v>
      </c>
      <c r="U8658" s="41">
        <v>0</v>
      </c>
      <c r="V8658" s="42" t="s">
        <v>113</v>
      </c>
      <c r="W8658" s="42">
        <v>16046.16</v>
      </c>
      <c r="X8658" s="42">
        <v>16046.16</v>
      </c>
    </row>
    <row r="8659" spans="1:24">
      <c r="A8659" s="27" t="s">
        <v>15765</v>
      </c>
      <c r="B8659" s="28" t="s">
        <v>12240</v>
      </c>
      <c r="C8659" s="27" t="s">
        <v>15766</v>
      </c>
      <c r="D8659" s="27" t="s">
        <v>230</v>
      </c>
      <c r="E8659" s="29">
        <v>40843</v>
      </c>
      <c r="F8659" s="27">
        <v>15</v>
      </c>
      <c r="G8659" s="18">
        <v>9300</v>
      </c>
      <c r="H8659" s="27">
        <f t="shared" si="270"/>
        <v>0</v>
      </c>
      <c r="I8659" s="18">
        <v>6408.45</v>
      </c>
      <c r="J8659" s="27">
        <v>9300</v>
      </c>
      <c r="K8659" s="18">
        <f t="shared" si="271"/>
        <v>0</v>
      </c>
      <c r="L8659" s="27">
        <v>6718.22</v>
      </c>
      <c r="M8659" s="36">
        <v>309.77</v>
      </c>
      <c r="T8659" s="41">
        <v>0</v>
      </c>
      <c r="U8659" s="41">
        <v>0</v>
      </c>
      <c r="V8659" s="42" t="s">
        <v>113</v>
      </c>
      <c r="W8659" s="42">
        <v>0</v>
      </c>
      <c r="X8659" s="42">
        <v>0</v>
      </c>
    </row>
    <row r="8660" spans="1:24">
      <c r="A8660" s="27" t="s">
        <v>15767</v>
      </c>
      <c r="B8660" s="28" t="s">
        <v>12240</v>
      </c>
      <c r="C8660" s="27" t="s">
        <v>14104</v>
      </c>
      <c r="D8660" s="27" t="s">
        <v>230</v>
      </c>
      <c r="E8660" s="29">
        <v>40843</v>
      </c>
      <c r="F8660" s="27">
        <v>15</v>
      </c>
      <c r="G8660" s="18">
        <v>9300</v>
      </c>
      <c r="H8660" s="27">
        <f t="shared" si="270"/>
        <v>0</v>
      </c>
      <c r="I8660" s="18">
        <v>6408.46</v>
      </c>
      <c r="J8660" s="27">
        <v>9300</v>
      </c>
      <c r="K8660" s="18">
        <f t="shared" si="271"/>
        <v>0</v>
      </c>
      <c r="L8660" s="27">
        <v>6718.23</v>
      </c>
      <c r="M8660" s="36">
        <v>309.77</v>
      </c>
      <c r="T8660" s="41">
        <v>0</v>
      </c>
      <c r="U8660" s="41">
        <v>0</v>
      </c>
      <c r="V8660" s="42" t="s">
        <v>113</v>
      </c>
      <c r="W8660" s="42">
        <v>0</v>
      </c>
      <c r="X8660" s="42">
        <v>0</v>
      </c>
    </row>
    <row r="8661" spans="1:24">
      <c r="A8661" s="27" t="s">
        <v>15768</v>
      </c>
      <c r="B8661" s="28" t="s">
        <v>12240</v>
      </c>
      <c r="C8661" s="27" t="s">
        <v>15769</v>
      </c>
      <c r="D8661" s="27" t="s">
        <v>230</v>
      </c>
      <c r="E8661" s="29">
        <v>40843</v>
      </c>
      <c r="F8661" s="27">
        <v>15</v>
      </c>
      <c r="G8661" s="18">
        <v>9300</v>
      </c>
      <c r="H8661" s="27">
        <f t="shared" si="270"/>
        <v>0</v>
      </c>
      <c r="I8661" s="18">
        <v>6408.45</v>
      </c>
      <c r="J8661" s="27">
        <v>9300</v>
      </c>
      <c r="K8661" s="18">
        <f t="shared" si="271"/>
        <v>0</v>
      </c>
      <c r="L8661" s="27">
        <v>6718.22</v>
      </c>
      <c r="M8661" s="36">
        <v>309.77</v>
      </c>
      <c r="T8661" s="41">
        <v>0</v>
      </c>
      <c r="U8661" s="41">
        <v>0</v>
      </c>
      <c r="V8661" s="42" t="s">
        <v>113</v>
      </c>
      <c r="W8661" s="42">
        <v>0</v>
      </c>
      <c r="X8661" s="42">
        <v>0</v>
      </c>
    </row>
    <row r="8662" spans="1:24">
      <c r="A8662" s="27" t="s">
        <v>15770</v>
      </c>
      <c r="B8662" s="28" t="s">
        <v>12240</v>
      </c>
      <c r="C8662" s="27" t="s">
        <v>15771</v>
      </c>
      <c r="D8662" s="27" t="s">
        <v>230</v>
      </c>
      <c r="E8662" s="29">
        <v>40843</v>
      </c>
      <c r="F8662" s="27">
        <v>15</v>
      </c>
      <c r="G8662" s="18">
        <v>9300</v>
      </c>
      <c r="H8662" s="27">
        <f t="shared" si="270"/>
        <v>0</v>
      </c>
      <c r="I8662" s="18">
        <v>6408.46</v>
      </c>
      <c r="J8662" s="27">
        <v>9300</v>
      </c>
      <c r="K8662" s="18">
        <f t="shared" si="271"/>
        <v>0</v>
      </c>
      <c r="L8662" s="27">
        <v>6718.23</v>
      </c>
      <c r="M8662" s="36">
        <v>309.77</v>
      </c>
      <c r="T8662" s="41">
        <v>0</v>
      </c>
      <c r="U8662" s="41">
        <v>0</v>
      </c>
      <c r="V8662" s="42" t="s">
        <v>113</v>
      </c>
      <c r="W8662" s="42">
        <v>0</v>
      </c>
      <c r="X8662" s="42">
        <v>0</v>
      </c>
    </row>
    <row r="8663" spans="1:24">
      <c r="A8663" s="27" t="s">
        <v>15772</v>
      </c>
      <c r="B8663" s="28" t="s">
        <v>12240</v>
      </c>
      <c r="C8663" s="27" t="s">
        <v>15773</v>
      </c>
      <c r="D8663" s="27" t="s">
        <v>230</v>
      </c>
      <c r="E8663" s="29">
        <v>40843</v>
      </c>
      <c r="F8663" s="27">
        <v>15</v>
      </c>
      <c r="G8663" s="18">
        <v>9300</v>
      </c>
      <c r="H8663" s="27">
        <f t="shared" si="270"/>
        <v>0</v>
      </c>
      <c r="I8663" s="18">
        <v>6408.46</v>
      </c>
      <c r="J8663" s="27">
        <v>9300</v>
      </c>
      <c r="K8663" s="18">
        <f t="shared" si="271"/>
        <v>0</v>
      </c>
      <c r="L8663" s="27">
        <v>6718.23</v>
      </c>
      <c r="M8663" s="36">
        <v>309.77</v>
      </c>
      <c r="T8663" s="41">
        <v>0</v>
      </c>
      <c r="U8663" s="41">
        <v>0</v>
      </c>
      <c r="V8663" s="42" t="s">
        <v>113</v>
      </c>
      <c r="W8663" s="42">
        <v>0</v>
      </c>
      <c r="X8663" s="42">
        <v>0</v>
      </c>
    </row>
    <row r="8664" spans="1:24">
      <c r="A8664" s="27" t="s">
        <v>15774</v>
      </c>
      <c r="B8664" s="28" t="s">
        <v>12240</v>
      </c>
      <c r="C8664" s="27" t="s">
        <v>15775</v>
      </c>
      <c r="D8664" s="27" t="s">
        <v>230</v>
      </c>
      <c r="E8664" s="29">
        <v>40843</v>
      </c>
      <c r="F8664" s="27">
        <v>15</v>
      </c>
      <c r="G8664" s="18">
        <v>40026.81</v>
      </c>
      <c r="H8664" s="27">
        <f t="shared" si="270"/>
        <v>0</v>
      </c>
      <c r="I8664" s="18">
        <v>23176.73</v>
      </c>
      <c r="J8664" s="27">
        <v>40026.81</v>
      </c>
      <c r="K8664" s="18">
        <f t="shared" si="271"/>
        <v>0</v>
      </c>
      <c r="L8664" s="27">
        <v>25072.31</v>
      </c>
      <c r="M8664" s="36">
        <v>1895.58</v>
      </c>
      <c r="T8664" s="41">
        <v>0</v>
      </c>
      <c r="U8664" s="41">
        <v>0</v>
      </c>
      <c r="V8664" s="42" t="s">
        <v>113</v>
      </c>
      <c r="W8664" s="42">
        <v>0</v>
      </c>
      <c r="X8664" s="42">
        <v>0</v>
      </c>
    </row>
    <row r="8665" spans="1:24">
      <c r="A8665" s="27" t="s">
        <v>15776</v>
      </c>
      <c r="B8665" s="28" t="s">
        <v>12240</v>
      </c>
      <c r="C8665" s="27" t="s">
        <v>15777</v>
      </c>
      <c r="D8665" s="27" t="s">
        <v>230</v>
      </c>
      <c r="E8665" s="29">
        <v>40843</v>
      </c>
      <c r="F8665" s="27">
        <v>15</v>
      </c>
      <c r="G8665" s="18">
        <v>9300</v>
      </c>
      <c r="H8665" s="27">
        <f t="shared" si="270"/>
        <v>0</v>
      </c>
      <c r="I8665" s="18">
        <v>6408.46</v>
      </c>
      <c r="J8665" s="27">
        <v>9300</v>
      </c>
      <c r="K8665" s="18">
        <f t="shared" si="271"/>
        <v>0</v>
      </c>
      <c r="L8665" s="27">
        <v>6718.23</v>
      </c>
      <c r="M8665" s="36">
        <v>309.77</v>
      </c>
      <c r="T8665" s="41">
        <v>0</v>
      </c>
      <c r="U8665" s="41">
        <v>0</v>
      </c>
      <c r="V8665" s="42" t="s">
        <v>113</v>
      </c>
      <c r="W8665" s="42">
        <v>0</v>
      </c>
      <c r="X8665" s="42">
        <v>0</v>
      </c>
    </row>
    <row r="8666" spans="1:24">
      <c r="A8666" s="27" t="s">
        <v>15778</v>
      </c>
      <c r="B8666" s="28" t="s">
        <v>12240</v>
      </c>
      <c r="C8666" s="27" t="s">
        <v>15779</v>
      </c>
      <c r="D8666" s="27" t="s">
        <v>230</v>
      </c>
      <c r="E8666" s="29">
        <v>40843</v>
      </c>
      <c r="F8666" s="27">
        <v>15</v>
      </c>
      <c r="G8666" s="18">
        <v>9300</v>
      </c>
      <c r="H8666" s="27">
        <f t="shared" si="270"/>
        <v>0</v>
      </c>
      <c r="I8666" s="18">
        <v>6408.45</v>
      </c>
      <c r="J8666" s="27">
        <v>9300</v>
      </c>
      <c r="K8666" s="18">
        <f t="shared" si="271"/>
        <v>0</v>
      </c>
      <c r="L8666" s="27">
        <v>6718.22</v>
      </c>
      <c r="M8666" s="36">
        <v>309.77</v>
      </c>
      <c r="T8666" s="41">
        <v>0</v>
      </c>
      <c r="U8666" s="41">
        <v>0</v>
      </c>
      <c r="V8666" s="42" t="s">
        <v>113</v>
      </c>
      <c r="W8666" s="42">
        <v>0</v>
      </c>
      <c r="X8666" s="42">
        <v>0</v>
      </c>
    </row>
    <row r="8667" spans="1:24">
      <c r="A8667" s="27" t="s">
        <v>15780</v>
      </c>
      <c r="B8667" s="28" t="s">
        <v>12240</v>
      </c>
      <c r="C8667" s="27" t="s">
        <v>15781</v>
      </c>
      <c r="D8667" s="27" t="s">
        <v>230</v>
      </c>
      <c r="E8667" s="29">
        <v>40843</v>
      </c>
      <c r="F8667" s="27">
        <v>15</v>
      </c>
      <c r="G8667" s="18">
        <v>9300</v>
      </c>
      <c r="H8667" s="27">
        <f t="shared" si="270"/>
        <v>0</v>
      </c>
      <c r="I8667" s="18">
        <v>6408.46</v>
      </c>
      <c r="J8667" s="27">
        <v>9300</v>
      </c>
      <c r="K8667" s="18">
        <f t="shared" si="271"/>
        <v>0</v>
      </c>
      <c r="L8667" s="27">
        <v>6718.23</v>
      </c>
      <c r="M8667" s="36">
        <v>309.77</v>
      </c>
      <c r="T8667" s="41">
        <v>0</v>
      </c>
      <c r="U8667" s="41">
        <v>0</v>
      </c>
      <c r="V8667" s="42" t="s">
        <v>113</v>
      </c>
      <c r="W8667" s="42">
        <v>0</v>
      </c>
      <c r="X8667" s="42">
        <v>0</v>
      </c>
    </row>
    <row r="8668" spans="1:24">
      <c r="A8668" s="27" t="s">
        <v>15782</v>
      </c>
      <c r="B8668" s="28" t="s">
        <v>12240</v>
      </c>
      <c r="C8668" s="27" t="s">
        <v>15783</v>
      </c>
      <c r="D8668" s="27" t="s">
        <v>230</v>
      </c>
      <c r="E8668" s="29">
        <v>40843</v>
      </c>
      <c r="F8668" s="27">
        <v>15</v>
      </c>
      <c r="G8668" s="18">
        <v>9300</v>
      </c>
      <c r="H8668" s="27">
        <f t="shared" si="270"/>
        <v>0</v>
      </c>
      <c r="I8668" s="18">
        <v>6408.45</v>
      </c>
      <c r="J8668" s="27">
        <v>9300</v>
      </c>
      <c r="K8668" s="18">
        <f t="shared" si="271"/>
        <v>0</v>
      </c>
      <c r="L8668" s="27">
        <v>6718.22</v>
      </c>
      <c r="M8668" s="36">
        <v>309.77</v>
      </c>
      <c r="T8668" s="41">
        <v>0</v>
      </c>
      <c r="U8668" s="41">
        <v>0</v>
      </c>
      <c r="V8668" s="42" t="s">
        <v>113</v>
      </c>
      <c r="W8668" s="42">
        <v>0</v>
      </c>
      <c r="X8668" s="42">
        <v>0</v>
      </c>
    </row>
    <row r="8669" spans="1:24">
      <c r="A8669" s="27" t="s">
        <v>15784</v>
      </c>
      <c r="B8669" s="28" t="s">
        <v>12240</v>
      </c>
      <c r="C8669" s="27" t="s">
        <v>15785</v>
      </c>
      <c r="D8669" s="27" t="s">
        <v>230</v>
      </c>
      <c r="E8669" s="29">
        <v>40843</v>
      </c>
      <c r="F8669" s="27">
        <v>15</v>
      </c>
      <c r="G8669" s="18">
        <v>9300</v>
      </c>
      <c r="H8669" s="27">
        <f t="shared" si="270"/>
        <v>0</v>
      </c>
      <c r="I8669" s="18">
        <v>6408.46</v>
      </c>
      <c r="J8669" s="27">
        <v>9300</v>
      </c>
      <c r="K8669" s="18">
        <f t="shared" si="271"/>
        <v>0</v>
      </c>
      <c r="L8669" s="27">
        <v>6718.23</v>
      </c>
      <c r="M8669" s="36">
        <v>309.77</v>
      </c>
      <c r="T8669" s="41">
        <v>0</v>
      </c>
      <c r="U8669" s="41">
        <v>0</v>
      </c>
      <c r="V8669" s="42" t="s">
        <v>113</v>
      </c>
      <c r="W8669" s="42">
        <v>0</v>
      </c>
      <c r="X8669" s="42">
        <v>0</v>
      </c>
    </row>
    <row r="8670" spans="1:24">
      <c r="A8670" s="27" t="s">
        <v>15786</v>
      </c>
      <c r="B8670" s="28" t="s">
        <v>12240</v>
      </c>
      <c r="C8670" s="27" t="s">
        <v>15787</v>
      </c>
      <c r="D8670" s="27" t="s">
        <v>230</v>
      </c>
      <c r="E8670" s="29">
        <v>40843</v>
      </c>
      <c r="F8670" s="27">
        <v>15</v>
      </c>
      <c r="G8670" s="18">
        <v>9300</v>
      </c>
      <c r="H8670" s="27">
        <f t="shared" si="270"/>
        <v>0</v>
      </c>
      <c r="I8670" s="18">
        <v>6408.46</v>
      </c>
      <c r="J8670" s="27">
        <v>9300</v>
      </c>
      <c r="K8670" s="18">
        <f t="shared" si="271"/>
        <v>0</v>
      </c>
      <c r="L8670" s="27">
        <v>6718.23</v>
      </c>
      <c r="M8670" s="36">
        <v>309.77</v>
      </c>
      <c r="T8670" s="41">
        <v>0</v>
      </c>
      <c r="U8670" s="41">
        <v>0</v>
      </c>
      <c r="V8670" s="42" t="s">
        <v>113</v>
      </c>
      <c r="W8670" s="42">
        <v>0</v>
      </c>
      <c r="X8670" s="42">
        <v>0</v>
      </c>
    </row>
    <row r="8671" spans="1:24">
      <c r="A8671" s="27" t="s">
        <v>15788</v>
      </c>
      <c r="B8671" s="28" t="s">
        <v>12240</v>
      </c>
      <c r="C8671" s="27" t="s">
        <v>15789</v>
      </c>
      <c r="D8671" s="27" t="s">
        <v>230</v>
      </c>
      <c r="E8671" s="29">
        <v>40843</v>
      </c>
      <c r="F8671" s="27">
        <v>15</v>
      </c>
      <c r="G8671" s="18">
        <v>9300</v>
      </c>
      <c r="H8671" s="27">
        <f t="shared" si="270"/>
        <v>0</v>
      </c>
      <c r="I8671" s="18">
        <v>6408.45</v>
      </c>
      <c r="J8671" s="27">
        <v>9300</v>
      </c>
      <c r="K8671" s="18">
        <f t="shared" si="271"/>
        <v>0</v>
      </c>
      <c r="L8671" s="27">
        <v>6718.22</v>
      </c>
      <c r="M8671" s="36">
        <v>309.77</v>
      </c>
      <c r="T8671" s="41">
        <v>0</v>
      </c>
      <c r="U8671" s="41">
        <v>0</v>
      </c>
      <c r="V8671" s="42" t="s">
        <v>113</v>
      </c>
      <c r="W8671" s="42">
        <v>0</v>
      </c>
      <c r="X8671" s="42">
        <v>0</v>
      </c>
    </row>
    <row r="8672" spans="1:24">
      <c r="A8672" s="27" t="s">
        <v>15790</v>
      </c>
      <c r="B8672" s="28" t="s">
        <v>12240</v>
      </c>
      <c r="C8672" s="27" t="s">
        <v>15791</v>
      </c>
      <c r="D8672" s="27" t="s">
        <v>230</v>
      </c>
      <c r="E8672" s="29">
        <v>40908</v>
      </c>
      <c r="F8672" s="27">
        <v>15</v>
      </c>
      <c r="G8672" s="18">
        <v>50944.58</v>
      </c>
      <c r="H8672" s="27">
        <f t="shared" si="270"/>
        <v>0</v>
      </c>
      <c r="I8672" s="18">
        <v>27424.43</v>
      </c>
      <c r="J8672" s="27">
        <v>50944.58</v>
      </c>
      <c r="K8672" s="18">
        <f t="shared" si="271"/>
        <v>0</v>
      </c>
      <c r="L8672" s="27">
        <v>30046.05</v>
      </c>
      <c r="M8672" s="36">
        <v>2621.62</v>
      </c>
      <c r="T8672" s="41">
        <v>0</v>
      </c>
      <c r="U8672" s="41">
        <v>0</v>
      </c>
      <c r="V8672" s="42" t="s">
        <v>113</v>
      </c>
      <c r="W8672" s="42">
        <v>0</v>
      </c>
      <c r="X8672" s="42">
        <v>0</v>
      </c>
    </row>
    <row r="8673" spans="1:24">
      <c r="A8673" s="27" t="s">
        <v>15792</v>
      </c>
      <c r="B8673" s="28" t="s">
        <v>12240</v>
      </c>
      <c r="C8673" s="27" t="s">
        <v>15793</v>
      </c>
      <c r="D8673" s="27" t="s">
        <v>230</v>
      </c>
      <c r="E8673" s="29">
        <v>40843</v>
      </c>
      <c r="F8673" s="27">
        <v>15</v>
      </c>
      <c r="G8673" s="18">
        <v>9300</v>
      </c>
      <c r="H8673" s="27">
        <f t="shared" si="270"/>
        <v>0</v>
      </c>
      <c r="I8673" s="18">
        <v>6408.46</v>
      </c>
      <c r="J8673" s="27">
        <v>9300</v>
      </c>
      <c r="K8673" s="18">
        <f t="shared" si="271"/>
        <v>0</v>
      </c>
      <c r="L8673" s="27">
        <v>6718.23</v>
      </c>
      <c r="M8673" s="36">
        <v>309.77</v>
      </c>
      <c r="T8673" s="41">
        <v>0</v>
      </c>
      <c r="U8673" s="41">
        <v>0</v>
      </c>
      <c r="V8673" s="42" t="s">
        <v>113</v>
      </c>
      <c r="W8673" s="42">
        <v>0</v>
      </c>
      <c r="X8673" s="42">
        <v>0</v>
      </c>
    </row>
    <row r="8674" spans="1:24">
      <c r="A8674" s="27" t="s">
        <v>15794</v>
      </c>
      <c r="B8674" s="28" t="s">
        <v>12240</v>
      </c>
      <c r="C8674" s="27" t="s">
        <v>15795</v>
      </c>
      <c r="D8674" s="27" t="s">
        <v>230</v>
      </c>
      <c r="E8674" s="29">
        <v>40843</v>
      </c>
      <c r="F8674" s="27">
        <v>15</v>
      </c>
      <c r="G8674" s="18">
        <v>9300</v>
      </c>
      <c r="H8674" s="27">
        <f t="shared" si="270"/>
        <v>0</v>
      </c>
      <c r="I8674" s="18">
        <v>6408.45</v>
      </c>
      <c r="J8674" s="27">
        <v>9300</v>
      </c>
      <c r="K8674" s="18">
        <f t="shared" si="271"/>
        <v>0</v>
      </c>
      <c r="L8674" s="27">
        <v>6718.22</v>
      </c>
      <c r="M8674" s="36">
        <v>309.77</v>
      </c>
      <c r="T8674" s="41">
        <v>0</v>
      </c>
      <c r="U8674" s="41">
        <v>0</v>
      </c>
      <c r="V8674" s="42" t="s">
        <v>113</v>
      </c>
      <c r="W8674" s="42">
        <v>0</v>
      </c>
      <c r="X8674" s="42">
        <v>0</v>
      </c>
    </row>
    <row r="8675" spans="1:24">
      <c r="A8675" s="27" t="s">
        <v>15796</v>
      </c>
      <c r="B8675" s="28" t="s">
        <v>12240</v>
      </c>
      <c r="C8675" s="27" t="s">
        <v>15797</v>
      </c>
      <c r="D8675" s="27" t="s">
        <v>230</v>
      </c>
      <c r="E8675" s="29">
        <v>40843</v>
      </c>
      <c r="F8675" s="27">
        <v>15</v>
      </c>
      <c r="G8675" s="18">
        <v>9300</v>
      </c>
      <c r="H8675" s="27">
        <f t="shared" si="270"/>
        <v>0</v>
      </c>
      <c r="I8675" s="18">
        <v>6408.46</v>
      </c>
      <c r="J8675" s="27">
        <v>9300</v>
      </c>
      <c r="K8675" s="18">
        <f t="shared" si="271"/>
        <v>0</v>
      </c>
      <c r="L8675" s="27">
        <v>6718.23</v>
      </c>
      <c r="M8675" s="36">
        <v>309.77</v>
      </c>
      <c r="T8675" s="41">
        <v>0</v>
      </c>
      <c r="U8675" s="41">
        <v>0</v>
      </c>
      <c r="V8675" s="42" t="s">
        <v>113</v>
      </c>
      <c r="W8675" s="42">
        <v>0</v>
      </c>
      <c r="X8675" s="42">
        <v>0</v>
      </c>
    </row>
    <row r="8676" spans="1:24">
      <c r="A8676" s="27" t="s">
        <v>15798</v>
      </c>
      <c r="B8676" s="28" t="s">
        <v>12240</v>
      </c>
      <c r="C8676" s="27" t="s">
        <v>15799</v>
      </c>
      <c r="D8676" s="27" t="s">
        <v>230</v>
      </c>
      <c r="E8676" s="29">
        <v>40843</v>
      </c>
      <c r="F8676" s="27">
        <v>15</v>
      </c>
      <c r="G8676" s="18">
        <v>9300</v>
      </c>
      <c r="H8676" s="27">
        <f t="shared" si="270"/>
        <v>0</v>
      </c>
      <c r="I8676" s="18">
        <v>6408.45</v>
      </c>
      <c r="J8676" s="27">
        <v>9300</v>
      </c>
      <c r="K8676" s="18">
        <f t="shared" si="271"/>
        <v>0</v>
      </c>
      <c r="L8676" s="27">
        <v>6718.22</v>
      </c>
      <c r="M8676" s="36">
        <v>309.77</v>
      </c>
      <c r="T8676" s="41">
        <v>0</v>
      </c>
      <c r="U8676" s="41">
        <v>0</v>
      </c>
      <c r="V8676" s="42" t="s">
        <v>113</v>
      </c>
      <c r="W8676" s="42">
        <v>0</v>
      </c>
      <c r="X8676" s="42">
        <v>0</v>
      </c>
    </row>
    <row r="8677" spans="1:24">
      <c r="A8677" s="27" t="s">
        <v>15800</v>
      </c>
      <c r="B8677" s="28" t="s">
        <v>12240</v>
      </c>
      <c r="C8677" s="27" t="s">
        <v>15801</v>
      </c>
      <c r="D8677" s="27" t="s">
        <v>230</v>
      </c>
      <c r="E8677" s="29">
        <v>40843</v>
      </c>
      <c r="F8677" s="27">
        <v>15</v>
      </c>
      <c r="G8677" s="18">
        <v>9300</v>
      </c>
      <c r="H8677" s="27">
        <f t="shared" si="270"/>
        <v>0</v>
      </c>
      <c r="I8677" s="18">
        <v>6408.45</v>
      </c>
      <c r="J8677" s="27">
        <v>9300</v>
      </c>
      <c r="K8677" s="18">
        <f t="shared" si="271"/>
        <v>0</v>
      </c>
      <c r="L8677" s="27">
        <v>6718.22</v>
      </c>
      <c r="M8677" s="36">
        <v>309.77</v>
      </c>
      <c r="T8677" s="41">
        <v>0</v>
      </c>
      <c r="U8677" s="41">
        <v>0</v>
      </c>
      <c r="V8677" s="42" t="s">
        <v>113</v>
      </c>
      <c r="W8677" s="42">
        <v>0</v>
      </c>
      <c r="X8677" s="42">
        <v>0</v>
      </c>
    </row>
    <row r="8678" spans="1:24">
      <c r="A8678" s="27" t="s">
        <v>15802</v>
      </c>
      <c r="B8678" s="28" t="s">
        <v>12240</v>
      </c>
      <c r="C8678" s="27" t="s">
        <v>15803</v>
      </c>
      <c r="D8678" s="27" t="s">
        <v>230</v>
      </c>
      <c r="E8678" s="29">
        <v>40843</v>
      </c>
      <c r="F8678" s="27">
        <v>15</v>
      </c>
      <c r="G8678" s="18">
        <v>9300</v>
      </c>
      <c r="H8678" s="27">
        <f t="shared" si="270"/>
        <v>0</v>
      </c>
      <c r="I8678" s="18">
        <v>6408.46</v>
      </c>
      <c r="J8678" s="27">
        <v>9300</v>
      </c>
      <c r="K8678" s="18">
        <f t="shared" si="271"/>
        <v>0</v>
      </c>
      <c r="L8678" s="27">
        <v>6718.23</v>
      </c>
      <c r="M8678" s="36">
        <v>309.77</v>
      </c>
      <c r="T8678" s="41">
        <v>0</v>
      </c>
      <c r="U8678" s="41">
        <v>0</v>
      </c>
      <c r="V8678" s="42" t="s">
        <v>113</v>
      </c>
      <c r="W8678" s="42">
        <v>0</v>
      </c>
      <c r="X8678" s="42">
        <v>0</v>
      </c>
    </row>
    <row r="8679" spans="1:24">
      <c r="A8679" s="27" t="s">
        <v>15804</v>
      </c>
      <c r="B8679" s="28" t="s">
        <v>12240</v>
      </c>
      <c r="C8679" s="27" t="s">
        <v>15805</v>
      </c>
      <c r="D8679" s="27" t="s">
        <v>230</v>
      </c>
      <c r="E8679" s="29">
        <v>40843</v>
      </c>
      <c r="F8679" s="27">
        <v>15</v>
      </c>
      <c r="G8679" s="18">
        <v>9300</v>
      </c>
      <c r="H8679" s="27">
        <f t="shared" si="270"/>
        <v>0</v>
      </c>
      <c r="I8679" s="18">
        <v>6408.45</v>
      </c>
      <c r="J8679" s="27">
        <v>9300</v>
      </c>
      <c r="K8679" s="18">
        <f t="shared" si="271"/>
        <v>0</v>
      </c>
      <c r="L8679" s="27">
        <v>6718.22</v>
      </c>
      <c r="M8679" s="36">
        <v>309.77</v>
      </c>
      <c r="T8679" s="41">
        <v>0</v>
      </c>
      <c r="U8679" s="41">
        <v>0</v>
      </c>
      <c r="V8679" s="42" t="s">
        <v>113</v>
      </c>
      <c r="W8679" s="42">
        <v>0</v>
      </c>
      <c r="X8679" s="42">
        <v>0</v>
      </c>
    </row>
    <row r="8680" spans="1:24">
      <c r="A8680" s="27" t="s">
        <v>15806</v>
      </c>
      <c r="B8680" s="28" t="s">
        <v>12240</v>
      </c>
      <c r="C8680" s="27" t="s">
        <v>15807</v>
      </c>
      <c r="D8680" s="27" t="s">
        <v>230</v>
      </c>
      <c r="E8680" s="29">
        <v>40843</v>
      </c>
      <c r="F8680" s="27">
        <v>15</v>
      </c>
      <c r="G8680" s="18">
        <v>9300</v>
      </c>
      <c r="H8680" s="27">
        <f t="shared" si="270"/>
        <v>0</v>
      </c>
      <c r="I8680" s="18">
        <v>6408.45</v>
      </c>
      <c r="J8680" s="27">
        <v>9300</v>
      </c>
      <c r="K8680" s="18">
        <f t="shared" si="271"/>
        <v>0</v>
      </c>
      <c r="L8680" s="27">
        <v>6718.22</v>
      </c>
      <c r="M8680" s="36">
        <v>309.77</v>
      </c>
      <c r="T8680" s="41">
        <v>0</v>
      </c>
      <c r="U8680" s="41">
        <v>0</v>
      </c>
      <c r="V8680" s="42" t="s">
        <v>113</v>
      </c>
      <c r="W8680" s="42">
        <v>0</v>
      </c>
      <c r="X8680" s="42">
        <v>0</v>
      </c>
    </row>
    <row r="8681" spans="1:24">
      <c r="A8681" s="27" t="s">
        <v>15808</v>
      </c>
      <c r="B8681" s="28" t="s">
        <v>12240</v>
      </c>
      <c r="C8681" s="27" t="s">
        <v>15809</v>
      </c>
      <c r="D8681" s="27" t="s">
        <v>230</v>
      </c>
      <c r="E8681" s="29">
        <v>40843</v>
      </c>
      <c r="F8681" s="27">
        <v>15</v>
      </c>
      <c r="G8681" s="18">
        <v>40507.06</v>
      </c>
      <c r="H8681" s="27">
        <f t="shared" si="270"/>
        <v>0</v>
      </c>
      <c r="I8681" s="18">
        <v>23454.82</v>
      </c>
      <c r="J8681" s="27">
        <v>40507.06</v>
      </c>
      <c r="K8681" s="18">
        <f t="shared" si="271"/>
        <v>0</v>
      </c>
      <c r="L8681" s="27">
        <v>25373.15</v>
      </c>
      <c r="M8681" s="36">
        <v>1918.33</v>
      </c>
      <c r="T8681" s="41">
        <v>0</v>
      </c>
      <c r="U8681" s="41">
        <v>0</v>
      </c>
      <c r="V8681" s="42" t="s">
        <v>113</v>
      </c>
      <c r="W8681" s="42">
        <v>0</v>
      </c>
      <c r="X8681" s="42">
        <v>0</v>
      </c>
    </row>
    <row r="8682" spans="1:24">
      <c r="A8682" s="27" t="s">
        <v>15810</v>
      </c>
      <c r="B8682" s="28" t="s">
        <v>12240</v>
      </c>
      <c r="C8682" s="27" t="s">
        <v>15811</v>
      </c>
      <c r="D8682" s="27" t="s">
        <v>230</v>
      </c>
      <c r="E8682" s="29">
        <v>40843</v>
      </c>
      <c r="F8682" s="27">
        <v>15</v>
      </c>
      <c r="G8682" s="18">
        <v>9300</v>
      </c>
      <c r="H8682" s="27">
        <f t="shared" si="270"/>
        <v>0</v>
      </c>
      <c r="I8682" s="18">
        <v>6408.46</v>
      </c>
      <c r="J8682" s="27">
        <v>9300</v>
      </c>
      <c r="K8682" s="18">
        <f t="shared" si="271"/>
        <v>0</v>
      </c>
      <c r="L8682" s="27">
        <v>6718.23</v>
      </c>
      <c r="M8682" s="36">
        <v>309.77</v>
      </c>
      <c r="T8682" s="41">
        <v>0</v>
      </c>
      <c r="U8682" s="41">
        <v>0</v>
      </c>
      <c r="V8682" s="42" t="s">
        <v>113</v>
      </c>
      <c r="W8682" s="42">
        <v>0</v>
      </c>
      <c r="X8682" s="42">
        <v>0</v>
      </c>
    </row>
    <row r="8683" spans="1:24">
      <c r="A8683" s="27" t="s">
        <v>15812</v>
      </c>
      <c r="B8683" s="28" t="s">
        <v>12240</v>
      </c>
      <c r="C8683" s="27" t="s">
        <v>15813</v>
      </c>
      <c r="D8683" s="27" t="s">
        <v>230</v>
      </c>
      <c r="E8683" s="29">
        <v>40908</v>
      </c>
      <c r="F8683" s="27">
        <v>15</v>
      </c>
      <c r="G8683" s="18">
        <v>46157.06</v>
      </c>
      <c r="H8683" s="27">
        <f t="shared" si="270"/>
        <v>0</v>
      </c>
      <c r="I8683" s="18">
        <v>24823.32</v>
      </c>
      <c r="J8683" s="27">
        <v>46157.06</v>
      </c>
      <c r="K8683" s="18">
        <f t="shared" si="271"/>
        <v>0</v>
      </c>
      <c r="L8683" s="27">
        <v>27201.56</v>
      </c>
      <c r="M8683" s="36">
        <v>2378.2399999999998</v>
      </c>
      <c r="T8683" s="41">
        <v>0</v>
      </c>
      <c r="U8683" s="41">
        <v>0</v>
      </c>
      <c r="V8683" s="42" t="s">
        <v>113</v>
      </c>
      <c r="W8683" s="42">
        <v>0</v>
      </c>
      <c r="X8683" s="42">
        <v>0</v>
      </c>
    </row>
    <row r="8684" spans="1:24">
      <c r="A8684" s="27" t="s">
        <v>15814</v>
      </c>
      <c r="B8684" s="28" t="s">
        <v>12240</v>
      </c>
      <c r="C8684" s="27" t="s">
        <v>15815</v>
      </c>
      <c r="D8684" s="27" t="s">
        <v>230</v>
      </c>
      <c r="E8684" s="29">
        <v>40843</v>
      </c>
      <c r="F8684" s="27">
        <v>15</v>
      </c>
      <c r="G8684" s="18">
        <v>9300</v>
      </c>
      <c r="H8684" s="27">
        <f t="shared" si="270"/>
        <v>0</v>
      </c>
      <c r="I8684" s="18">
        <v>6408.45</v>
      </c>
      <c r="J8684" s="27">
        <v>9300</v>
      </c>
      <c r="K8684" s="18">
        <f t="shared" si="271"/>
        <v>0</v>
      </c>
      <c r="L8684" s="27">
        <v>6718.22</v>
      </c>
      <c r="M8684" s="36">
        <v>309.77</v>
      </c>
      <c r="T8684" s="41">
        <v>0</v>
      </c>
      <c r="U8684" s="41">
        <v>0</v>
      </c>
      <c r="V8684" s="42" t="s">
        <v>113</v>
      </c>
      <c r="W8684" s="42">
        <v>0</v>
      </c>
      <c r="X8684" s="42">
        <v>0</v>
      </c>
    </row>
    <row r="8685" spans="1:24">
      <c r="A8685" s="27" t="s">
        <v>15816</v>
      </c>
      <c r="B8685" s="28" t="s">
        <v>12240</v>
      </c>
      <c r="C8685" s="27" t="s">
        <v>15817</v>
      </c>
      <c r="D8685" s="27" t="s">
        <v>230</v>
      </c>
      <c r="E8685" s="29">
        <v>40843</v>
      </c>
      <c r="F8685" s="27">
        <v>15</v>
      </c>
      <c r="G8685" s="18">
        <v>9300</v>
      </c>
      <c r="H8685" s="27">
        <f t="shared" si="270"/>
        <v>0</v>
      </c>
      <c r="I8685" s="18">
        <v>6408.46</v>
      </c>
      <c r="J8685" s="27">
        <v>9300</v>
      </c>
      <c r="K8685" s="18">
        <f t="shared" si="271"/>
        <v>0</v>
      </c>
      <c r="L8685" s="27">
        <v>6718.23</v>
      </c>
      <c r="M8685" s="36">
        <v>309.77</v>
      </c>
      <c r="T8685" s="41">
        <v>0</v>
      </c>
      <c r="U8685" s="41">
        <v>0</v>
      </c>
      <c r="V8685" s="42" t="s">
        <v>113</v>
      </c>
      <c r="W8685" s="42">
        <v>0</v>
      </c>
      <c r="X8685" s="42">
        <v>0</v>
      </c>
    </row>
    <row r="8686" spans="1:24">
      <c r="A8686" s="27" t="s">
        <v>15818</v>
      </c>
      <c r="B8686" s="28" t="s">
        <v>12240</v>
      </c>
      <c r="C8686" s="27" t="s">
        <v>15819</v>
      </c>
      <c r="D8686" s="27" t="s">
        <v>230</v>
      </c>
      <c r="E8686" s="29">
        <v>40843</v>
      </c>
      <c r="F8686" s="27">
        <v>15</v>
      </c>
      <c r="G8686" s="18">
        <v>9300</v>
      </c>
      <c r="H8686" s="27">
        <f t="shared" si="270"/>
        <v>0</v>
      </c>
      <c r="I8686" s="18">
        <v>6408.45</v>
      </c>
      <c r="J8686" s="27">
        <v>9300</v>
      </c>
      <c r="K8686" s="18">
        <f t="shared" si="271"/>
        <v>0</v>
      </c>
      <c r="L8686" s="27">
        <v>6718.22</v>
      </c>
      <c r="M8686" s="36">
        <v>309.77</v>
      </c>
      <c r="T8686" s="41">
        <v>0</v>
      </c>
      <c r="U8686" s="41">
        <v>0</v>
      </c>
      <c r="V8686" s="42" t="s">
        <v>113</v>
      </c>
      <c r="W8686" s="42">
        <v>0</v>
      </c>
      <c r="X8686" s="42">
        <v>0</v>
      </c>
    </row>
    <row r="8687" spans="1:24">
      <c r="A8687" s="27" t="s">
        <v>15820</v>
      </c>
      <c r="B8687" s="28" t="s">
        <v>12240</v>
      </c>
      <c r="C8687" s="27" t="s">
        <v>15821</v>
      </c>
      <c r="D8687" s="27" t="s">
        <v>230</v>
      </c>
      <c r="E8687" s="29">
        <v>40843</v>
      </c>
      <c r="F8687" s="27">
        <v>15</v>
      </c>
      <c r="G8687" s="18">
        <v>9300</v>
      </c>
      <c r="H8687" s="27">
        <f t="shared" si="270"/>
        <v>0</v>
      </c>
      <c r="I8687" s="18">
        <v>6408.45</v>
      </c>
      <c r="J8687" s="27">
        <v>9300</v>
      </c>
      <c r="K8687" s="18">
        <f t="shared" si="271"/>
        <v>0</v>
      </c>
      <c r="L8687" s="27">
        <v>6718.22</v>
      </c>
      <c r="M8687" s="36">
        <v>309.77</v>
      </c>
      <c r="T8687" s="41">
        <v>0</v>
      </c>
      <c r="U8687" s="41">
        <v>0</v>
      </c>
      <c r="V8687" s="42" t="s">
        <v>113</v>
      </c>
      <c r="W8687" s="42">
        <v>0</v>
      </c>
      <c r="X8687" s="42">
        <v>0</v>
      </c>
    </row>
    <row r="8688" spans="1:24">
      <c r="A8688" s="27" t="s">
        <v>15822</v>
      </c>
      <c r="B8688" s="28" t="s">
        <v>12240</v>
      </c>
      <c r="C8688" s="27" t="s">
        <v>15823</v>
      </c>
      <c r="D8688" s="27" t="s">
        <v>230</v>
      </c>
      <c r="E8688" s="29">
        <v>40843</v>
      </c>
      <c r="F8688" s="27">
        <v>15</v>
      </c>
      <c r="G8688" s="18">
        <v>9300</v>
      </c>
      <c r="H8688" s="27">
        <f t="shared" si="270"/>
        <v>0</v>
      </c>
      <c r="I8688" s="18">
        <v>6408.46</v>
      </c>
      <c r="J8688" s="27">
        <v>9300</v>
      </c>
      <c r="K8688" s="18">
        <f t="shared" si="271"/>
        <v>0</v>
      </c>
      <c r="L8688" s="27">
        <v>6718.23</v>
      </c>
      <c r="M8688" s="36">
        <v>309.77</v>
      </c>
      <c r="T8688" s="41">
        <v>0</v>
      </c>
      <c r="U8688" s="41">
        <v>0</v>
      </c>
      <c r="V8688" s="42" t="s">
        <v>113</v>
      </c>
      <c r="W8688" s="42">
        <v>0</v>
      </c>
      <c r="X8688" s="42">
        <v>0</v>
      </c>
    </row>
    <row r="8689" spans="1:24">
      <c r="A8689" s="27" t="s">
        <v>15824</v>
      </c>
      <c r="B8689" s="28" t="s">
        <v>12240</v>
      </c>
      <c r="C8689" s="27" t="s">
        <v>15825</v>
      </c>
      <c r="D8689" s="27" t="s">
        <v>230</v>
      </c>
      <c r="E8689" s="29">
        <v>40843</v>
      </c>
      <c r="F8689" s="27">
        <v>15</v>
      </c>
      <c r="G8689" s="18">
        <v>9300</v>
      </c>
      <c r="H8689" s="27">
        <f t="shared" si="270"/>
        <v>0</v>
      </c>
      <c r="I8689" s="18">
        <v>6408.45</v>
      </c>
      <c r="J8689" s="27">
        <v>9300</v>
      </c>
      <c r="K8689" s="18">
        <f t="shared" si="271"/>
        <v>0</v>
      </c>
      <c r="L8689" s="27">
        <v>6718.22</v>
      </c>
      <c r="M8689" s="36">
        <v>309.77</v>
      </c>
      <c r="T8689" s="41">
        <v>0</v>
      </c>
      <c r="U8689" s="41">
        <v>0</v>
      </c>
      <c r="V8689" s="42" t="s">
        <v>113</v>
      </c>
      <c r="W8689" s="42">
        <v>0</v>
      </c>
      <c r="X8689" s="42">
        <v>0</v>
      </c>
    </row>
    <row r="8690" spans="1:24">
      <c r="A8690" s="27" t="s">
        <v>15826</v>
      </c>
      <c r="B8690" s="28" t="s">
        <v>12240</v>
      </c>
      <c r="C8690" s="27" t="s">
        <v>15827</v>
      </c>
      <c r="D8690" s="27" t="s">
        <v>230</v>
      </c>
      <c r="E8690" s="29">
        <v>40843</v>
      </c>
      <c r="F8690" s="27">
        <v>15</v>
      </c>
      <c r="G8690" s="18">
        <v>9300</v>
      </c>
      <c r="H8690" s="27">
        <f t="shared" si="270"/>
        <v>0</v>
      </c>
      <c r="I8690" s="18">
        <v>6408.46</v>
      </c>
      <c r="J8690" s="27">
        <v>9300</v>
      </c>
      <c r="K8690" s="18">
        <f t="shared" si="271"/>
        <v>0</v>
      </c>
      <c r="L8690" s="27">
        <v>6718.23</v>
      </c>
      <c r="M8690" s="36">
        <v>309.77</v>
      </c>
      <c r="T8690" s="41">
        <v>0</v>
      </c>
      <c r="U8690" s="41">
        <v>0</v>
      </c>
      <c r="V8690" s="42" t="s">
        <v>113</v>
      </c>
      <c r="W8690" s="42">
        <v>0</v>
      </c>
      <c r="X8690" s="42">
        <v>0</v>
      </c>
    </row>
    <row r="8691" spans="1:24">
      <c r="A8691" s="27" t="s">
        <v>15828</v>
      </c>
      <c r="B8691" s="28" t="s">
        <v>12240</v>
      </c>
      <c r="C8691" s="27" t="s">
        <v>15829</v>
      </c>
      <c r="D8691" s="27" t="s">
        <v>230</v>
      </c>
      <c r="E8691" s="29">
        <v>40843</v>
      </c>
      <c r="F8691" s="27">
        <v>15</v>
      </c>
      <c r="G8691" s="18">
        <v>9300</v>
      </c>
      <c r="H8691" s="27">
        <f t="shared" si="270"/>
        <v>0</v>
      </c>
      <c r="I8691" s="18">
        <v>6408.45</v>
      </c>
      <c r="J8691" s="27">
        <v>9300</v>
      </c>
      <c r="K8691" s="18">
        <f t="shared" si="271"/>
        <v>0</v>
      </c>
      <c r="L8691" s="27">
        <v>6718.22</v>
      </c>
      <c r="M8691" s="36">
        <v>309.77</v>
      </c>
      <c r="T8691" s="41">
        <v>0</v>
      </c>
      <c r="U8691" s="41">
        <v>0</v>
      </c>
      <c r="V8691" s="42" t="s">
        <v>113</v>
      </c>
      <c r="W8691" s="42">
        <v>0</v>
      </c>
      <c r="X8691" s="42">
        <v>0</v>
      </c>
    </row>
    <row r="8692" spans="1:24">
      <c r="A8692" s="27" t="s">
        <v>15830</v>
      </c>
      <c r="B8692" s="28" t="s">
        <v>12240</v>
      </c>
      <c r="C8692" s="27" t="s">
        <v>15831</v>
      </c>
      <c r="D8692" s="27" t="s">
        <v>230</v>
      </c>
      <c r="E8692" s="29">
        <v>40843</v>
      </c>
      <c r="F8692" s="27">
        <v>15</v>
      </c>
      <c r="G8692" s="18">
        <v>9300</v>
      </c>
      <c r="H8692" s="27">
        <f t="shared" si="270"/>
        <v>0</v>
      </c>
      <c r="I8692" s="18">
        <v>6408.45</v>
      </c>
      <c r="J8692" s="27">
        <v>9300</v>
      </c>
      <c r="K8692" s="18">
        <f t="shared" si="271"/>
        <v>0</v>
      </c>
      <c r="L8692" s="27">
        <v>6718.22</v>
      </c>
      <c r="M8692" s="36">
        <v>309.77</v>
      </c>
      <c r="T8692" s="41">
        <v>0</v>
      </c>
      <c r="U8692" s="41">
        <v>0</v>
      </c>
      <c r="V8692" s="42" t="s">
        <v>113</v>
      </c>
      <c r="W8692" s="42">
        <v>0</v>
      </c>
      <c r="X8692" s="42">
        <v>0</v>
      </c>
    </row>
    <row r="8693" spans="1:24">
      <c r="A8693" s="27" t="s">
        <v>15832</v>
      </c>
      <c r="B8693" s="28" t="s">
        <v>12240</v>
      </c>
      <c r="C8693" s="27" t="s">
        <v>15833</v>
      </c>
      <c r="D8693" s="27" t="s">
        <v>230</v>
      </c>
      <c r="E8693" s="29">
        <v>40843</v>
      </c>
      <c r="F8693" s="27">
        <v>15</v>
      </c>
      <c r="G8693" s="18">
        <v>9300</v>
      </c>
      <c r="H8693" s="27">
        <f t="shared" si="270"/>
        <v>0</v>
      </c>
      <c r="I8693" s="18">
        <v>6408.47</v>
      </c>
      <c r="J8693" s="27">
        <v>9300</v>
      </c>
      <c r="K8693" s="18">
        <f t="shared" si="271"/>
        <v>0</v>
      </c>
      <c r="L8693" s="27">
        <v>6718.24</v>
      </c>
      <c r="M8693" s="36">
        <v>309.77</v>
      </c>
      <c r="T8693" s="41">
        <v>0</v>
      </c>
      <c r="U8693" s="41">
        <v>0</v>
      </c>
      <c r="V8693" s="42" t="s">
        <v>113</v>
      </c>
      <c r="W8693" s="42">
        <v>0</v>
      </c>
      <c r="X8693" s="42">
        <v>0</v>
      </c>
    </row>
    <row r="8694" spans="1:24">
      <c r="A8694" s="27" t="s">
        <v>15834</v>
      </c>
      <c r="B8694" s="28" t="s">
        <v>12240</v>
      </c>
      <c r="C8694" s="27" t="s">
        <v>15835</v>
      </c>
      <c r="D8694" s="27" t="s">
        <v>230</v>
      </c>
      <c r="E8694" s="29">
        <v>40908</v>
      </c>
      <c r="F8694" s="27">
        <v>15</v>
      </c>
      <c r="G8694" s="18">
        <v>34194.81</v>
      </c>
      <c r="H8694" s="27">
        <f t="shared" si="270"/>
        <v>0</v>
      </c>
      <c r="I8694" s="18">
        <v>18371.189999999999</v>
      </c>
      <c r="J8694" s="27">
        <v>34194.81</v>
      </c>
      <c r="K8694" s="18">
        <f t="shared" si="271"/>
        <v>0</v>
      </c>
      <c r="L8694" s="27">
        <v>20135.43</v>
      </c>
      <c r="M8694" s="36">
        <v>1764.24</v>
      </c>
      <c r="T8694" s="41">
        <v>0</v>
      </c>
      <c r="U8694" s="41">
        <v>0</v>
      </c>
      <c r="V8694" s="42" t="s">
        <v>113</v>
      </c>
      <c r="W8694" s="42">
        <v>0</v>
      </c>
      <c r="X8694" s="42">
        <v>0</v>
      </c>
    </row>
    <row r="8695" spans="1:24">
      <c r="A8695" s="27" t="s">
        <v>15836</v>
      </c>
      <c r="B8695" s="28" t="s">
        <v>12240</v>
      </c>
      <c r="C8695" s="27" t="s">
        <v>15837</v>
      </c>
      <c r="D8695" s="27" t="s">
        <v>230</v>
      </c>
      <c r="E8695" s="29">
        <v>36495</v>
      </c>
      <c r="F8695" s="27">
        <v>15</v>
      </c>
      <c r="G8695" s="18">
        <v>16046.16</v>
      </c>
      <c r="H8695" s="27">
        <f t="shared" si="270"/>
        <v>16046.16</v>
      </c>
      <c r="I8695" s="18">
        <v>15243.85</v>
      </c>
      <c r="J8695" s="27">
        <v>16046.16</v>
      </c>
      <c r="K8695" s="18">
        <f t="shared" si="271"/>
        <v>16046.16</v>
      </c>
      <c r="L8695" s="27">
        <v>15243.85</v>
      </c>
      <c r="M8695" s="36">
        <v>0</v>
      </c>
      <c r="T8695" s="41">
        <v>0</v>
      </c>
      <c r="U8695" s="41">
        <v>0</v>
      </c>
      <c r="V8695" s="42" t="s">
        <v>113</v>
      </c>
      <c r="W8695" s="42">
        <v>16046.16</v>
      </c>
      <c r="X8695" s="42">
        <v>16046.16</v>
      </c>
    </row>
    <row r="8696" spans="1:24">
      <c r="A8696" s="27" t="s">
        <v>15838</v>
      </c>
      <c r="B8696" s="28" t="s">
        <v>12240</v>
      </c>
      <c r="C8696" s="27" t="s">
        <v>15839</v>
      </c>
      <c r="D8696" s="27" t="s">
        <v>230</v>
      </c>
      <c r="E8696" s="29">
        <v>40843</v>
      </c>
      <c r="F8696" s="27">
        <v>15</v>
      </c>
      <c r="G8696" s="18">
        <v>9300</v>
      </c>
      <c r="H8696" s="27">
        <f t="shared" si="270"/>
        <v>0</v>
      </c>
      <c r="I8696" s="18">
        <v>6408.45</v>
      </c>
      <c r="J8696" s="27">
        <v>9300</v>
      </c>
      <c r="K8696" s="18">
        <f t="shared" si="271"/>
        <v>0</v>
      </c>
      <c r="L8696" s="27">
        <v>6718.22</v>
      </c>
      <c r="M8696" s="36">
        <v>309.77</v>
      </c>
      <c r="T8696" s="41">
        <v>0</v>
      </c>
      <c r="U8696" s="41">
        <v>0</v>
      </c>
      <c r="V8696" s="42" t="s">
        <v>113</v>
      </c>
      <c r="W8696" s="42">
        <v>0</v>
      </c>
      <c r="X8696" s="42">
        <v>0</v>
      </c>
    </row>
    <row r="8697" spans="1:24">
      <c r="A8697" s="27" t="s">
        <v>15840</v>
      </c>
      <c r="B8697" s="28" t="s">
        <v>12240</v>
      </c>
      <c r="C8697" s="27" t="s">
        <v>15841</v>
      </c>
      <c r="D8697" s="27" t="s">
        <v>230</v>
      </c>
      <c r="E8697" s="29">
        <v>40843</v>
      </c>
      <c r="F8697" s="27">
        <v>15</v>
      </c>
      <c r="G8697" s="18">
        <v>9300</v>
      </c>
      <c r="H8697" s="27">
        <f t="shared" si="270"/>
        <v>0</v>
      </c>
      <c r="I8697" s="18">
        <v>6408.47</v>
      </c>
      <c r="J8697" s="27">
        <v>9300</v>
      </c>
      <c r="K8697" s="18">
        <f t="shared" si="271"/>
        <v>0</v>
      </c>
      <c r="L8697" s="27">
        <v>6718.24</v>
      </c>
      <c r="M8697" s="36">
        <v>309.77</v>
      </c>
      <c r="T8697" s="41">
        <v>0</v>
      </c>
      <c r="U8697" s="41">
        <v>0</v>
      </c>
      <c r="V8697" s="42" t="s">
        <v>113</v>
      </c>
      <c r="W8697" s="42">
        <v>0</v>
      </c>
      <c r="X8697" s="42">
        <v>0</v>
      </c>
    </row>
    <row r="8698" spans="1:24">
      <c r="A8698" s="27" t="s">
        <v>15842</v>
      </c>
      <c r="B8698" s="28" t="s">
        <v>12240</v>
      </c>
      <c r="C8698" s="27" t="s">
        <v>15843</v>
      </c>
      <c r="D8698" s="27" t="s">
        <v>230</v>
      </c>
      <c r="E8698" s="29">
        <v>40297</v>
      </c>
      <c r="F8698" s="27">
        <v>15</v>
      </c>
      <c r="G8698" s="18">
        <v>158793.06</v>
      </c>
      <c r="H8698" s="27">
        <f t="shared" si="270"/>
        <v>0</v>
      </c>
      <c r="I8698" s="18">
        <v>109995.62</v>
      </c>
      <c r="J8698" s="27">
        <v>158793.06</v>
      </c>
      <c r="K8698" s="18">
        <f t="shared" si="271"/>
        <v>0</v>
      </c>
      <c r="L8698" s="27">
        <v>116901.16</v>
      </c>
      <c r="M8698" s="36">
        <v>6905.54</v>
      </c>
      <c r="T8698" s="41">
        <v>0</v>
      </c>
      <c r="U8698" s="41">
        <v>0</v>
      </c>
      <c r="V8698" s="42" t="s">
        <v>113</v>
      </c>
      <c r="W8698" s="42">
        <v>0</v>
      </c>
      <c r="X8698" s="42">
        <v>0</v>
      </c>
    </row>
    <row r="8699" spans="1:24">
      <c r="A8699" s="27" t="s">
        <v>15844</v>
      </c>
      <c r="B8699" s="28" t="s">
        <v>12240</v>
      </c>
      <c r="C8699" s="27" t="s">
        <v>15845</v>
      </c>
      <c r="D8699" s="27" t="s">
        <v>230</v>
      </c>
      <c r="E8699" s="29">
        <v>40843</v>
      </c>
      <c r="F8699" s="27">
        <v>15</v>
      </c>
      <c r="G8699" s="18">
        <v>9300</v>
      </c>
      <c r="H8699" s="27">
        <f t="shared" si="270"/>
        <v>0</v>
      </c>
      <c r="I8699" s="18">
        <v>6408.45</v>
      </c>
      <c r="J8699" s="27">
        <v>9300</v>
      </c>
      <c r="K8699" s="18">
        <f t="shared" si="271"/>
        <v>0</v>
      </c>
      <c r="L8699" s="27">
        <v>6718.22</v>
      </c>
      <c r="M8699" s="36">
        <v>309.77</v>
      </c>
      <c r="T8699" s="41">
        <v>0</v>
      </c>
      <c r="U8699" s="41">
        <v>0</v>
      </c>
      <c r="V8699" s="42" t="s">
        <v>113</v>
      </c>
      <c r="W8699" s="42">
        <v>0</v>
      </c>
      <c r="X8699" s="42">
        <v>0</v>
      </c>
    </row>
    <row r="8700" spans="1:24">
      <c r="A8700" s="27" t="s">
        <v>15846</v>
      </c>
      <c r="B8700" s="28" t="s">
        <v>12240</v>
      </c>
      <c r="C8700" s="27" t="s">
        <v>15847</v>
      </c>
      <c r="D8700" s="27" t="s">
        <v>230</v>
      </c>
      <c r="E8700" s="29">
        <v>40843</v>
      </c>
      <c r="F8700" s="27">
        <v>15</v>
      </c>
      <c r="G8700" s="18">
        <v>9300</v>
      </c>
      <c r="H8700" s="27">
        <f t="shared" si="270"/>
        <v>0</v>
      </c>
      <c r="I8700" s="18">
        <v>6408.47</v>
      </c>
      <c r="J8700" s="27">
        <v>9300</v>
      </c>
      <c r="K8700" s="18">
        <f t="shared" si="271"/>
        <v>0</v>
      </c>
      <c r="L8700" s="27">
        <v>6718.24</v>
      </c>
      <c r="M8700" s="36">
        <v>309.77</v>
      </c>
      <c r="T8700" s="41">
        <v>0</v>
      </c>
      <c r="U8700" s="41">
        <v>0</v>
      </c>
      <c r="V8700" s="42" t="s">
        <v>113</v>
      </c>
      <c r="W8700" s="42">
        <v>0</v>
      </c>
      <c r="X8700" s="42">
        <v>0</v>
      </c>
    </row>
    <row r="8701" spans="1:24">
      <c r="A8701" s="27" t="s">
        <v>15848</v>
      </c>
      <c r="B8701" s="28" t="s">
        <v>12240</v>
      </c>
      <c r="C8701" s="27" t="s">
        <v>15849</v>
      </c>
      <c r="D8701" s="27" t="s">
        <v>230</v>
      </c>
      <c r="E8701" s="29">
        <v>40843</v>
      </c>
      <c r="F8701" s="27">
        <v>15</v>
      </c>
      <c r="G8701" s="18">
        <v>9300</v>
      </c>
      <c r="H8701" s="27">
        <f t="shared" si="270"/>
        <v>0</v>
      </c>
      <c r="I8701" s="18">
        <v>6408.47</v>
      </c>
      <c r="J8701" s="27">
        <v>9300</v>
      </c>
      <c r="K8701" s="18">
        <f t="shared" si="271"/>
        <v>0</v>
      </c>
      <c r="L8701" s="27">
        <v>6718.24</v>
      </c>
      <c r="M8701" s="36">
        <v>309.77</v>
      </c>
      <c r="T8701" s="41">
        <v>0</v>
      </c>
      <c r="U8701" s="41">
        <v>0</v>
      </c>
      <c r="V8701" s="42" t="s">
        <v>113</v>
      </c>
      <c r="W8701" s="42">
        <v>0</v>
      </c>
      <c r="X8701" s="42">
        <v>0</v>
      </c>
    </row>
    <row r="8702" spans="1:24">
      <c r="A8702" s="27" t="s">
        <v>15850</v>
      </c>
      <c r="B8702" s="28" t="s">
        <v>12240</v>
      </c>
      <c r="C8702" s="27" t="s">
        <v>15851</v>
      </c>
      <c r="D8702" s="27" t="s">
        <v>230</v>
      </c>
      <c r="E8702" s="29">
        <v>40843</v>
      </c>
      <c r="F8702" s="27">
        <v>15</v>
      </c>
      <c r="G8702" s="18">
        <v>120000</v>
      </c>
      <c r="H8702" s="27">
        <f t="shared" si="270"/>
        <v>0</v>
      </c>
      <c r="I8702" s="18">
        <v>82689.83</v>
      </c>
      <c r="J8702" s="27">
        <v>120000</v>
      </c>
      <c r="K8702" s="18">
        <f t="shared" si="271"/>
        <v>0</v>
      </c>
      <c r="L8702" s="27">
        <v>86686.87</v>
      </c>
      <c r="M8702" s="36">
        <v>3997.04</v>
      </c>
      <c r="T8702" s="41">
        <v>0</v>
      </c>
      <c r="U8702" s="41">
        <v>0</v>
      </c>
      <c r="V8702" s="42" t="s">
        <v>113</v>
      </c>
      <c r="W8702" s="42">
        <v>0</v>
      </c>
      <c r="X8702" s="42">
        <v>0</v>
      </c>
    </row>
    <row r="8703" spans="1:24">
      <c r="A8703" s="27" t="s">
        <v>15852</v>
      </c>
      <c r="B8703" s="28" t="s">
        <v>12240</v>
      </c>
      <c r="C8703" s="27" t="s">
        <v>15853</v>
      </c>
      <c r="D8703" s="27" t="s">
        <v>230</v>
      </c>
      <c r="E8703" s="29">
        <v>40843</v>
      </c>
      <c r="F8703" s="27">
        <v>15</v>
      </c>
      <c r="G8703" s="18">
        <v>120000</v>
      </c>
      <c r="H8703" s="27">
        <f t="shared" si="270"/>
        <v>0</v>
      </c>
      <c r="I8703" s="18">
        <v>82689.83</v>
      </c>
      <c r="J8703" s="27">
        <v>120000</v>
      </c>
      <c r="K8703" s="18">
        <f t="shared" si="271"/>
        <v>0</v>
      </c>
      <c r="L8703" s="27">
        <v>86686.87</v>
      </c>
      <c r="M8703" s="36">
        <v>3997.04</v>
      </c>
      <c r="T8703" s="41">
        <v>0</v>
      </c>
      <c r="U8703" s="41">
        <v>0</v>
      </c>
      <c r="V8703" s="42" t="s">
        <v>113</v>
      </c>
      <c r="W8703" s="42">
        <v>0</v>
      </c>
      <c r="X8703" s="42">
        <v>0</v>
      </c>
    </row>
    <row r="8704" spans="1:24">
      <c r="A8704" s="27" t="s">
        <v>15854</v>
      </c>
      <c r="B8704" s="28" t="s">
        <v>12240</v>
      </c>
      <c r="C8704" s="27" t="s">
        <v>15855</v>
      </c>
      <c r="D8704" s="27" t="s">
        <v>230</v>
      </c>
      <c r="E8704" s="29">
        <v>40843</v>
      </c>
      <c r="F8704" s="27">
        <v>15</v>
      </c>
      <c r="G8704" s="18">
        <v>9300</v>
      </c>
      <c r="H8704" s="27">
        <f t="shared" si="270"/>
        <v>0</v>
      </c>
      <c r="I8704" s="18">
        <v>6408.47</v>
      </c>
      <c r="J8704" s="27">
        <v>9300</v>
      </c>
      <c r="K8704" s="18">
        <f t="shared" si="271"/>
        <v>0</v>
      </c>
      <c r="L8704" s="27">
        <v>6718.24</v>
      </c>
      <c r="M8704" s="36">
        <v>309.77</v>
      </c>
      <c r="T8704" s="41">
        <v>0</v>
      </c>
      <c r="U8704" s="41">
        <v>0</v>
      </c>
      <c r="V8704" s="42" t="s">
        <v>113</v>
      </c>
      <c r="W8704" s="42">
        <v>0</v>
      </c>
      <c r="X8704" s="42">
        <v>0</v>
      </c>
    </row>
    <row r="8705" spans="1:24">
      <c r="A8705" s="27" t="s">
        <v>15856</v>
      </c>
      <c r="B8705" s="28" t="s">
        <v>12240</v>
      </c>
      <c r="C8705" s="27" t="s">
        <v>15857</v>
      </c>
      <c r="D8705" s="27" t="s">
        <v>230</v>
      </c>
      <c r="E8705" s="29">
        <v>40843</v>
      </c>
      <c r="F8705" s="27">
        <v>15</v>
      </c>
      <c r="G8705" s="18">
        <v>9300</v>
      </c>
      <c r="H8705" s="27">
        <f t="shared" si="270"/>
        <v>0</v>
      </c>
      <c r="I8705" s="18">
        <v>6408.45</v>
      </c>
      <c r="J8705" s="27">
        <v>9300</v>
      </c>
      <c r="K8705" s="18">
        <f t="shared" si="271"/>
        <v>0</v>
      </c>
      <c r="L8705" s="27">
        <v>6718.22</v>
      </c>
      <c r="M8705" s="36">
        <v>309.77</v>
      </c>
      <c r="T8705" s="41">
        <v>0</v>
      </c>
      <c r="U8705" s="41">
        <v>0</v>
      </c>
      <c r="V8705" s="42" t="s">
        <v>113</v>
      </c>
      <c r="W8705" s="42">
        <v>0</v>
      </c>
      <c r="X8705" s="42">
        <v>0</v>
      </c>
    </row>
    <row r="8706" spans="1:24">
      <c r="A8706" s="27" t="s">
        <v>15858</v>
      </c>
      <c r="B8706" s="28" t="s">
        <v>12240</v>
      </c>
      <c r="C8706" s="27" t="s">
        <v>15859</v>
      </c>
      <c r="D8706" s="27" t="s">
        <v>230</v>
      </c>
      <c r="E8706" s="29">
        <v>40843</v>
      </c>
      <c r="F8706" s="27">
        <v>15</v>
      </c>
      <c r="G8706" s="18">
        <v>9300</v>
      </c>
      <c r="H8706" s="27">
        <f t="shared" si="270"/>
        <v>0</v>
      </c>
      <c r="I8706" s="18">
        <v>6408.47</v>
      </c>
      <c r="J8706" s="27">
        <v>9300</v>
      </c>
      <c r="K8706" s="18">
        <f t="shared" si="271"/>
        <v>0</v>
      </c>
      <c r="L8706" s="27">
        <v>6718.24</v>
      </c>
      <c r="M8706" s="36">
        <v>309.77</v>
      </c>
      <c r="T8706" s="41">
        <v>0</v>
      </c>
      <c r="U8706" s="41">
        <v>0</v>
      </c>
      <c r="V8706" s="42" t="s">
        <v>113</v>
      </c>
      <c r="W8706" s="42">
        <v>0</v>
      </c>
      <c r="X8706" s="42">
        <v>0</v>
      </c>
    </row>
    <row r="8707" spans="1:24">
      <c r="A8707" s="27" t="s">
        <v>15860</v>
      </c>
      <c r="B8707" s="28" t="s">
        <v>12240</v>
      </c>
      <c r="C8707" s="27" t="s">
        <v>15861</v>
      </c>
      <c r="D8707" s="27" t="s">
        <v>230</v>
      </c>
      <c r="E8707" s="29">
        <v>40843</v>
      </c>
      <c r="F8707" s="27">
        <v>15</v>
      </c>
      <c r="G8707" s="18">
        <v>9300</v>
      </c>
      <c r="H8707" s="27">
        <f t="shared" si="270"/>
        <v>0</v>
      </c>
      <c r="I8707" s="18">
        <v>6408.47</v>
      </c>
      <c r="J8707" s="27">
        <v>9300</v>
      </c>
      <c r="K8707" s="18">
        <f t="shared" si="271"/>
        <v>0</v>
      </c>
      <c r="L8707" s="27">
        <v>6718.24</v>
      </c>
      <c r="M8707" s="36">
        <v>309.77</v>
      </c>
      <c r="T8707" s="41">
        <v>0</v>
      </c>
      <c r="U8707" s="41">
        <v>0</v>
      </c>
      <c r="V8707" s="42" t="s">
        <v>113</v>
      </c>
      <c r="W8707" s="42">
        <v>0</v>
      </c>
      <c r="X8707" s="42">
        <v>0</v>
      </c>
    </row>
    <row r="8708" spans="1:24">
      <c r="A8708" s="27" t="s">
        <v>15862</v>
      </c>
      <c r="B8708" s="28" t="s">
        <v>12240</v>
      </c>
      <c r="C8708" s="27" t="s">
        <v>15863</v>
      </c>
      <c r="D8708" s="27" t="s">
        <v>230</v>
      </c>
      <c r="E8708" s="29">
        <v>40843</v>
      </c>
      <c r="F8708" s="27">
        <v>15</v>
      </c>
      <c r="G8708" s="18">
        <v>9300</v>
      </c>
      <c r="H8708" s="27">
        <f t="shared" si="270"/>
        <v>0</v>
      </c>
      <c r="I8708" s="18">
        <v>6408.47</v>
      </c>
      <c r="J8708" s="27">
        <v>9300</v>
      </c>
      <c r="K8708" s="18">
        <f t="shared" si="271"/>
        <v>0</v>
      </c>
      <c r="L8708" s="27">
        <v>6718.24</v>
      </c>
      <c r="M8708" s="36">
        <v>309.77</v>
      </c>
      <c r="T8708" s="41">
        <v>0</v>
      </c>
      <c r="U8708" s="41">
        <v>0</v>
      </c>
      <c r="V8708" s="42" t="s">
        <v>113</v>
      </c>
      <c r="W8708" s="42">
        <v>0</v>
      </c>
      <c r="X8708" s="42">
        <v>0</v>
      </c>
    </row>
    <row r="8709" spans="1:24">
      <c r="A8709" s="27" t="s">
        <v>15864</v>
      </c>
      <c r="B8709" s="28" t="s">
        <v>12240</v>
      </c>
      <c r="C8709" s="27" t="s">
        <v>15865</v>
      </c>
      <c r="D8709" s="27" t="s">
        <v>230</v>
      </c>
      <c r="E8709" s="29">
        <v>40843</v>
      </c>
      <c r="F8709" s="27">
        <v>15</v>
      </c>
      <c r="G8709" s="18">
        <v>9300</v>
      </c>
      <c r="H8709" s="27">
        <f t="shared" si="270"/>
        <v>0</v>
      </c>
      <c r="I8709" s="18">
        <v>6408.45</v>
      </c>
      <c r="J8709" s="27">
        <v>9300</v>
      </c>
      <c r="K8709" s="18">
        <f t="shared" si="271"/>
        <v>0</v>
      </c>
      <c r="L8709" s="27">
        <v>6718.22</v>
      </c>
      <c r="M8709" s="36">
        <v>309.77</v>
      </c>
      <c r="T8709" s="41">
        <v>0</v>
      </c>
      <c r="U8709" s="41">
        <v>0</v>
      </c>
      <c r="V8709" s="42" t="s">
        <v>113</v>
      </c>
      <c r="W8709" s="42">
        <v>0</v>
      </c>
      <c r="X8709" s="42">
        <v>0</v>
      </c>
    </row>
    <row r="8710" spans="1:24">
      <c r="A8710" s="27" t="s">
        <v>15866</v>
      </c>
      <c r="B8710" s="28" t="s">
        <v>12240</v>
      </c>
      <c r="C8710" s="27" t="s">
        <v>15867</v>
      </c>
      <c r="D8710" s="27" t="s">
        <v>230</v>
      </c>
      <c r="E8710" s="29">
        <v>40843</v>
      </c>
      <c r="F8710" s="27">
        <v>15</v>
      </c>
      <c r="G8710" s="18">
        <v>9300</v>
      </c>
      <c r="H8710" s="27">
        <f t="shared" ref="H8710:H8773" si="272">IFERROR(IF(ROUND((G8710-I8710)/G8710,2)&lt;=0.05,G8710,0),0)</f>
        <v>0</v>
      </c>
      <c r="I8710" s="18">
        <v>6408.47</v>
      </c>
      <c r="J8710" s="27">
        <v>9300</v>
      </c>
      <c r="K8710" s="18">
        <f t="shared" ref="K8710:K8773" si="273">IFERROR(IF(ROUND((J8710-L8710)/J8710,2)&lt;=0.05,J8710,0),0)</f>
        <v>0</v>
      </c>
      <c r="L8710" s="27">
        <v>6718.24</v>
      </c>
      <c r="M8710" s="36">
        <v>309.77</v>
      </c>
      <c r="T8710" s="41">
        <v>0</v>
      </c>
      <c r="U8710" s="41">
        <v>0</v>
      </c>
      <c r="V8710" s="42" t="s">
        <v>113</v>
      </c>
      <c r="W8710" s="42">
        <v>0</v>
      </c>
      <c r="X8710" s="42">
        <v>0</v>
      </c>
    </row>
    <row r="8711" spans="1:24">
      <c r="A8711" s="27" t="s">
        <v>15868</v>
      </c>
      <c r="B8711" s="28" t="s">
        <v>12240</v>
      </c>
      <c r="C8711" s="27" t="s">
        <v>15869</v>
      </c>
      <c r="D8711" s="27" t="s">
        <v>230</v>
      </c>
      <c r="E8711" s="29">
        <v>40843</v>
      </c>
      <c r="F8711" s="27">
        <v>15</v>
      </c>
      <c r="G8711" s="18">
        <v>43154.83</v>
      </c>
      <c r="H8711" s="27">
        <f t="shared" si="272"/>
        <v>0</v>
      </c>
      <c r="I8711" s="18">
        <v>24987.96</v>
      </c>
      <c r="J8711" s="27">
        <v>43154.83</v>
      </c>
      <c r="K8711" s="18">
        <f t="shared" si="273"/>
        <v>0</v>
      </c>
      <c r="L8711" s="27">
        <v>27031.68</v>
      </c>
      <c r="M8711" s="36">
        <v>2043.72</v>
      </c>
      <c r="T8711" s="41">
        <v>0</v>
      </c>
      <c r="U8711" s="41">
        <v>0</v>
      </c>
      <c r="V8711" s="42" t="s">
        <v>113</v>
      </c>
      <c r="W8711" s="42">
        <v>0</v>
      </c>
      <c r="X8711" s="42">
        <v>0</v>
      </c>
    </row>
    <row r="8712" spans="1:24">
      <c r="A8712" s="27" t="s">
        <v>15870</v>
      </c>
      <c r="B8712" s="28" t="s">
        <v>12240</v>
      </c>
      <c r="C8712" s="27" t="s">
        <v>15871</v>
      </c>
      <c r="D8712" s="27" t="s">
        <v>230</v>
      </c>
      <c r="E8712" s="29">
        <v>40843</v>
      </c>
      <c r="F8712" s="27">
        <v>15</v>
      </c>
      <c r="G8712" s="18">
        <v>9300</v>
      </c>
      <c r="H8712" s="27">
        <f t="shared" si="272"/>
        <v>0</v>
      </c>
      <c r="I8712" s="18">
        <v>6408.45</v>
      </c>
      <c r="J8712" s="27">
        <v>9300</v>
      </c>
      <c r="K8712" s="18">
        <f t="shared" si="273"/>
        <v>0</v>
      </c>
      <c r="L8712" s="27">
        <v>6718.22</v>
      </c>
      <c r="M8712" s="36">
        <v>309.77</v>
      </c>
      <c r="T8712" s="41">
        <v>0</v>
      </c>
      <c r="U8712" s="41">
        <v>0</v>
      </c>
      <c r="V8712" s="42" t="s">
        <v>113</v>
      </c>
      <c r="W8712" s="42">
        <v>0</v>
      </c>
      <c r="X8712" s="42">
        <v>0</v>
      </c>
    </row>
    <row r="8713" spans="1:24">
      <c r="A8713" s="27" t="s">
        <v>15872</v>
      </c>
      <c r="B8713" s="28" t="s">
        <v>12240</v>
      </c>
      <c r="C8713" s="27" t="s">
        <v>15873</v>
      </c>
      <c r="D8713" s="27" t="s">
        <v>230</v>
      </c>
      <c r="E8713" s="29">
        <v>40843</v>
      </c>
      <c r="F8713" s="27">
        <v>15</v>
      </c>
      <c r="G8713" s="18">
        <v>9300</v>
      </c>
      <c r="H8713" s="27">
        <f t="shared" si="272"/>
        <v>0</v>
      </c>
      <c r="I8713" s="18">
        <v>6408.47</v>
      </c>
      <c r="J8713" s="27">
        <v>9300</v>
      </c>
      <c r="K8713" s="18">
        <f t="shared" si="273"/>
        <v>0</v>
      </c>
      <c r="L8713" s="27">
        <v>6718.24</v>
      </c>
      <c r="M8713" s="36">
        <v>309.77</v>
      </c>
      <c r="T8713" s="41">
        <v>0</v>
      </c>
      <c r="U8713" s="41">
        <v>0</v>
      </c>
      <c r="V8713" s="42" t="s">
        <v>113</v>
      </c>
      <c r="W8713" s="42">
        <v>0</v>
      </c>
      <c r="X8713" s="42">
        <v>0</v>
      </c>
    </row>
    <row r="8714" spans="1:24">
      <c r="A8714" s="27" t="s">
        <v>15874</v>
      </c>
      <c r="B8714" s="28" t="s">
        <v>12240</v>
      </c>
      <c r="C8714" s="27" t="s">
        <v>15875</v>
      </c>
      <c r="D8714" s="27" t="s">
        <v>230</v>
      </c>
      <c r="E8714" s="29">
        <v>40843</v>
      </c>
      <c r="F8714" s="27">
        <v>15</v>
      </c>
      <c r="G8714" s="18">
        <v>9300</v>
      </c>
      <c r="H8714" s="27">
        <f t="shared" si="272"/>
        <v>0</v>
      </c>
      <c r="I8714" s="18">
        <v>6408.45</v>
      </c>
      <c r="J8714" s="27">
        <v>9300</v>
      </c>
      <c r="K8714" s="18">
        <f t="shared" si="273"/>
        <v>0</v>
      </c>
      <c r="L8714" s="27">
        <v>6718.22</v>
      </c>
      <c r="M8714" s="36">
        <v>309.77</v>
      </c>
      <c r="T8714" s="41">
        <v>0</v>
      </c>
      <c r="U8714" s="41">
        <v>0</v>
      </c>
      <c r="V8714" s="42" t="s">
        <v>113</v>
      </c>
      <c r="W8714" s="42">
        <v>0</v>
      </c>
      <c r="X8714" s="42">
        <v>0</v>
      </c>
    </row>
    <row r="8715" spans="1:24">
      <c r="A8715" s="27" t="s">
        <v>15876</v>
      </c>
      <c r="B8715" s="28" t="s">
        <v>12240</v>
      </c>
      <c r="C8715" s="27" t="s">
        <v>15877</v>
      </c>
      <c r="D8715" s="27" t="s">
        <v>230</v>
      </c>
      <c r="E8715" s="29">
        <v>40843</v>
      </c>
      <c r="F8715" s="27">
        <v>15</v>
      </c>
      <c r="G8715" s="18">
        <v>9300</v>
      </c>
      <c r="H8715" s="27">
        <f t="shared" si="272"/>
        <v>0</v>
      </c>
      <c r="I8715" s="18">
        <v>6408.47</v>
      </c>
      <c r="J8715" s="27">
        <v>9300</v>
      </c>
      <c r="K8715" s="18">
        <f t="shared" si="273"/>
        <v>0</v>
      </c>
      <c r="L8715" s="27">
        <v>6718.24</v>
      </c>
      <c r="M8715" s="36">
        <v>309.77</v>
      </c>
      <c r="T8715" s="41">
        <v>0</v>
      </c>
      <c r="U8715" s="41">
        <v>0</v>
      </c>
      <c r="V8715" s="42" t="s">
        <v>113</v>
      </c>
      <c r="W8715" s="42">
        <v>0</v>
      </c>
      <c r="X8715" s="42">
        <v>0</v>
      </c>
    </row>
    <row r="8716" spans="1:24">
      <c r="A8716" s="27" t="s">
        <v>15878</v>
      </c>
      <c r="B8716" s="28" t="s">
        <v>12240</v>
      </c>
      <c r="C8716" s="27" t="s">
        <v>15879</v>
      </c>
      <c r="D8716" s="27" t="s">
        <v>230</v>
      </c>
      <c r="E8716" s="29">
        <v>40843</v>
      </c>
      <c r="F8716" s="27">
        <v>15</v>
      </c>
      <c r="G8716" s="18">
        <v>9300</v>
      </c>
      <c r="H8716" s="27">
        <f t="shared" si="272"/>
        <v>0</v>
      </c>
      <c r="I8716" s="18">
        <v>6408.47</v>
      </c>
      <c r="J8716" s="27">
        <v>9300</v>
      </c>
      <c r="K8716" s="18">
        <f t="shared" si="273"/>
        <v>0</v>
      </c>
      <c r="L8716" s="27">
        <v>6718.24</v>
      </c>
      <c r="M8716" s="36">
        <v>309.77</v>
      </c>
      <c r="T8716" s="41">
        <v>0</v>
      </c>
      <c r="U8716" s="41">
        <v>0</v>
      </c>
      <c r="V8716" s="42" t="s">
        <v>113</v>
      </c>
      <c r="W8716" s="42">
        <v>0</v>
      </c>
      <c r="X8716" s="42">
        <v>0</v>
      </c>
    </row>
    <row r="8717" spans="1:24">
      <c r="A8717" s="27" t="s">
        <v>15880</v>
      </c>
      <c r="B8717" s="28" t="s">
        <v>12240</v>
      </c>
      <c r="C8717" s="27" t="s">
        <v>15881</v>
      </c>
      <c r="D8717" s="27" t="s">
        <v>230</v>
      </c>
      <c r="E8717" s="29">
        <v>40843</v>
      </c>
      <c r="F8717" s="27">
        <v>15</v>
      </c>
      <c r="G8717" s="18">
        <v>9300</v>
      </c>
      <c r="H8717" s="27">
        <f t="shared" si="272"/>
        <v>0</v>
      </c>
      <c r="I8717" s="18">
        <v>6408.45</v>
      </c>
      <c r="J8717" s="27">
        <v>9300</v>
      </c>
      <c r="K8717" s="18">
        <f t="shared" si="273"/>
        <v>0</v>
      </c>
      <c r="L8717" s="27">
        <v>6718.22</v>
      </c>
      <c r="M8717" s="36">
        <v>309.77</v>
      </c>
      <c r="T8717" s="41">
        <v>0</v>
      </c>
      <c r="U8717" s="41">
        <v>0</v>
      </c>
      <c r="V8717" s="42" t="s">
        <v>113</v>
      </c>
      <c r="W8717" s="42">
        <v>0</v>
      </c>
      <c r="X8717" s="42">
        <v>0</v>
      </c>
    </row>
    <row r="8718" spans="1:24">
      <c r="A8718" s="27" t="s">
        <v>15882</v>
      </c>
      <c r="B8718" s="28" t="s">
        <v>12240</v>
      </c>
      <c r="C8718" s="27" t="s">
        <v>15883</v>
      </c>
      <c r="D8718" s="27" t="s">
        <v>230</v>
      </c>
      <c r="E8718" s="29">
        <v>40843</v>
      </c>
      <c r="F8718" s="27">
        <v>15</v>
      </c>
      <c r="G8718" s="18">
        <v>9300</v>
      </c>
      <c r="H8718" s="27">
        <f t="shared" si="272"/>
        <v>0</v>
      </c>
      <c r="I8718" s="18">
        <v>6408.47</v>
      </c>
      <c r="J8718" s="27">
        <v>9300</v>
      </c>
      <c r="K8718" s="18">
        <f t="shared" si="273"/>
        <v>0</v>
      </c>
      <c r="L8718" s="27">
        <v>6718.24</v>
      </c>
      <c r="M8718" s="36">
        <v>309.77</v>
      </c>
      <c r="T8718" s="41">
        <v>0</v>
      </c>
      <c r="U8718" s="41">
        <v>0</v>
      </c>
      <c r="V8718" s="42" t="s">
        <v>113</v>
      </c>
      <c r="W8718" s="42">
        <v>0</v>
      </c>
      <c r="X8718" s="42">
        <v>0</v>
      </c>
    </row>
    <row r="8719" spans="1:24">
      <c r="A8719" s="27" t="s">
        <v>15884</v>
      </c>
      <c r="B8719" s="28" t="s">
        <v>12240</v>
      </c>
      <c r="C8719" s="27" t="s">
        <v>15885</v>
      </c>
      <c r="D8719" s="27" t="s">
        <v>230</v>
      </c>
      <c r="E8719" s="29">
        <v>40843</v>
      </c>
      <c r="F8719" s="27">
        <v>15</v>
      </c>
      <c r="G8719" s="18">
        <v>9300</v>
      </c>
      <c r="H8719" s="27">
        <f t="shared" si="272"/>
        <v>0</v>
      </c>
      <c r="I8719" s="18">
        <v>6408.45</v>
      </c>
      <c r="J8719" s="27">
        <v>9300</v>
      </c>
      <c r="K8719" s="18">
        <f t="shared" si="273"/>
        <v>0</v>
      </c>
      <c r="L8719" s="27">
        <v>6718.22</v>
      </c>
      <c r="M8719" s="36">
        <v>309.77</v>
      </c>
      <c r="T8719" s="41">
        <v>0</v>
      </c>
      <c r="U8719" s="41">
        <v>0</v>
      </c>
      <c r="V8719" s="42" t="s">
        <v>113</v>
      </c>
      <c r="W8719" s="42">
        <v>0</v>
      </c>
      <c r="X8719" s="42">
        <v>0</v>
      </c>
    </row>
    <row r="8720" spans="1:24">
      <c r="A8720" s="27" t="s">
        <v>15886</v>
      </c>
      <c r="B8720" s="28" t="s">
        <v>12240</v>
      </c>
      <c r="C8720" s="27" t="s">
        <v>15887</v>
      </c>
      <c r="D8720" s="27" t="s">
        <v>230</v>
      </c>
      <c r="E8720" s="29">
        <v>40843</v>
      </c>
      <c r="F8720" s="27">
        <v>15</v>
      </c>
      <c r="G8720" s="18">
        <v>9300</v>
      </c>
      <c r="H8720" s="27">
        <f t="shared" si="272"/>
        <v>0</v>
      </c>
      <c r="I8720" s="18">
        <v>6408.47</v>
      </c>
      <c r="J8720" s="27">
        <v>9300</v>
      </c>
      <c r="K8720" s="18">
        <f t="shared" si="273"/>
        <v>0</v>
      </c>
      <c r="L8720" s="27">
        <v>6718.24</v>
      </c>
      <c r="M8720" s="36">
        <v>309.77</v>
      </c>
      <c r="T8720" s="41">
        <v>0</v>
      </c>
      <c r="U8720" s="41">
        <v>0</v>
      </c>
      <c r="V8720" s="42" t="s">
        <v>113</v>
      </c>
      <c r="W8720" s="42">
        <v>0</v>
      </c>
      <c r="X8720" s="42">
        <v>0</v>
      </c>
    </row>
    <row r="8721" spans="1:24">
      <c r="A8721" s="27" t="s">
        <v>15888</v>
      </c>
      <c r="B8721" s="28" t="s">
        <v>12240</v>
      </c>
      <c r="C8721" s="27" t="s">
        <v>15889</v>
      </c>
      <c r="D8721" s="27" t="s">
        <v>230</v>
      </c>
      <c r="E8721" s="29">
        <v>40843</v>
      </c>
      <c r="F8721" s="27">
        <v>15</v>
      </c>
      <c r="G8721" s="18">
        <v>9300</v>
      </c>
      <c r="H8721" s="27">
        <f t="shared" si="272"/>
        <v>0</v>
      </c>
      <c r="I8721" s="18">
        <v>6408.45</v>
      </c>
      <c r="J8721" s="27">
        <v>9300</v>
      </c>
      <c r="K8721" s="18">
        <f t="shared" si="273"/>
        <v>0</v>
      </c>
      <c r="L8721" s="27">
        <v>6718.22</v>
      </c>
      <c r="M8721" s="36">
        <v>309.77</v>
      </c>
      <c r="T8721" s="41">
        <v>0</v>
      </c>
      <c r="U8721" s="41">
        <v>0</v>
      </c>
      <c r="V8721" s="42" t="s">
        <v>113</v>
      </c>
      <c r="W8721" s="42">
        <v>0</v>
      </c>
      <c r="X8721" s="42">
        <v>0</v>
      </c>
    </row>
    <row r="8722" spans="1:24">
      <c r="A8722" s="27" t="s">
        <v>15890</v>
      </c>
      <c r="B8722" s="28" t="s">
        <v>12240</v>
      </c>
      <c r="C8722" s="27" t="s">
        <v>15891</v>
      </c>
      <c r="D8722" s="27" t="s">
        <v>230</v>
      </c>
      <c r="E8722" s="29">
        <v>40843</v>
      </c>
      <c r="F8722" s="27">
        <v>15</v>
      </c>
      <c r="G8722" s="18">
        <v>9300</v>
      </c>
      <c r="H8722" s="27">
        <f t="shared" si="272"/>
        <v>0</v>
      </c>
      <c r="I8722" s="18">
        <v>6408.47</v>
      </c>
      <c r="J8722" s="27">
        <v>30496.58</v>
      </c>
      <c r="K8722" s="18">
        <f t="shared" si="273"/>
        <v>0</v>
      </c>
      <c r="L8722" s="27">
        <v>6718.24</v>
      </c>
      <c r="M8722" s="36">
        <v>309.77</v>
      </c>
      <c r="N8722" s="18" t="s">
        <v>14637</v>
      </c>
      <c r="O8722" s="19">
        <v>21196.58</v>
      </c>
      <c r="T8722" s="41">
        <v>0</v>
      </c>
      <c r="U8722" s="41">
        <v>0</v>
      </c>
      <c r="V8722" s="42" t="s">
        <v>113</v>
      </c>
      <c r="W8722" s="42">
        <v>0</v>
      </c>
      <c r="X8722" s="42">
        <v>0</v>
      </c>
    </row>
    <row r="8723" spans="1:24">
      <c r="A8723" s="27" t="s">
        <v>15892</v>
      </c>
      <c r="B8723" s="28" t="s">
        <v>12240</v>
      </c>
      <c r="C8723" s="27" t="s">
        <v>15893</v>
      </c>
      <c r="D8723" s="27" t="s">
        <v>230</v>
      </c>
      <c r="E8723" s="29">
        <v>40843</v>
      </c>
      <c r="F8723" s="27">
        <v>15</v>
      </c>
      <c r="G8723" s="18">
        <v>9300</v>
      </c>
      <c r="H8723" s="27">
        <f t="shared" si="272"/>
        <v>0</v>
      </c>
      <c r="I8723" s="18">
        <v>6408.45</v>
      </c>
      <c r="J8723" s="27">
        <v>9300</v>
      </c>
      <c r="K8723" s="18">
        <f t="shared" si="273"/>
        <v>0</v>
      </c>
      <c r="L8723" s="27">
        <v>6718.22</v>
      </c>
      <c r="M8723" s="36">
        <v>309.77</v>
      </c>
      <c r="T8723" s="41">
        <v>0</v>
      </c>
      <c r="U8723" s="41">
        <v>0</v>
      </c>
      <c r="V8723" s="42" t="s">
        <v>113</v>
      </c>
      <c r="W8723" s="42">
        <v>0</v>
      </c>
      <c r="X8723" s="42">
        <v>0</v>
      </c>
    </row>
    <row r="8724" spans="1:24">
      <c r="A8724" s="27" t="s">
        <v>15894</v>
      </c>
      <c r="B8724" s="28" t="s">
        <v>12240</v>
      </c>
      <c r="C8724" s="27" t="s">
        <v>15895</v>
      </c>
      <c r="D8724" s="27" t="s">
        <v>230</v>
      </c>
      <c r="E8724" s="29">
        <v>40843</v>
      </c>
      <c r="F8724" s="27">
        <v>15</v>
      </c>
      <c r="G8724" s="18">
        <v>9300</v>
      </c>
      <c r="H8724" s="27">
        <f t="shared" si="272"/>
        <v>0</v>
      </c>
      <c r="I8724" s="18">
        <v>6408.47</v>
      </c>
      <c r="J8724" s="27">
        <v>9300</v>
      </c>
      <c r="K8724" s="18">
        <f t="shared" si="273"/>
        <v>0</v>
      </c>
      <c r="L8724" s="27">
        <v>6718.24</v>
      </c>
      <c r="M8724" s="36">
        <v>309.77</v>
      </c>
      <c r="T8724" s="41">
        <v>0</v>
      </c>
      <c r="U8724" s="41">
        <v>0</v>
      </c>
      <c r="V8724" s="42" t="s">
        <v>113</v>
      </c>
      <c r="W8724" s="42">
        <v>0</v>
      </c>
      <c r="X8724" s="42">
        <v>0</v>
      </c>
    </row>
    <row r="8725" spans="1:24">
      <c r="A8725" s="27" t="s">
        <v>15896</v>
      </c>
      <c r="B8725" s="28" t="s">
        <v>12240</v>
      </c>
      <c r="C8725" s="27" t="s">
        <v>15897</v>
      </c>
      <c r="D8725" s="27" t="s">
        <v>230</v>
      </c>
      <c r="E8725" s="29">
        <v>40843</v>
      </c>
      <c r="F8725" s="27">
        <v>15</v>
      </c>
      <c r="G8725" s="18">
        <v>9300</v>
      </c>
      <c r="H8725" s="27">
        <f t="shared" si="272"/>
        <v>0</v>
      </c>
      <c r="I8725" s="18">
        <v>6408.45</v>
      </c>
      <c r="J8725" s="27">
        <v>9300</v>
      </c>
      <c r="K8725" s="18">
        <f t="shared" si="273"/>
        <v>0</v>
      </c>
      <c r="L8725" s="27">
        <v>6718.22</v>
      </c>
      <c r="M8725" s="36">
        <v>309.77</v>
      </c>
      <c r="T8725" s="41">
        <v>0</v>
      </c>
      <c r="U8725" s="41">
        <v>0</v>
      </c>
      <c r="V8725" s="42" t="s">
        <v>113</v>
      </c>
      <c r="W8725" s="42">
        <v>0</v>
      </c>
      <c r="X8725" s="42">
        <v>0</v>
      </c>
    </row>
    <row r="8726" spans="1:24">
      <c r="A8726" s="27" t="s">
        <v>15898</v>
      </c>
      <c r="B8726" s="28" t="s">
        <v>12240</v>
      </c>
      <c r="C8726" s="27" t="s">
        <v>15899</v>
      </c>
      <c r="D8726" s="27" t="s">
        <v>230</v>
      </c>
      <c r="E8726" s="29">
        <v>40843</v>
      </c>
      <c r="F8726" s="27">
        <v>15</v>
      </c>
      <c r="G8726" s="18">
        <v>9300</v>
      </c>
      <c r="H8726" s="27">
        <f t="shared" si="272"/>
        <v>0</v>
      </c>
      <c r="I8726" s="18">
        <v>6408.47</v>
      </c>
      <c r="J8726" s="27">
        <v>9300</v>
      </c>
      <c r="K8726" s="18">
        <f t="shared" si="273"/>
        <v>0</v>
      </c>
      <c r="L8726" s="27">
        <v>6718.24</v>
      </c>
      <c r="M8726" s="36">
        <v>309.77</v>
      </c>
      <c r="T8726" s="41">
        <v>0</v>
      </c>
      <c r="U8726" s="41">
        <v>0</v>
      </c>
      <c r="V8726" s="42" t="s">
        <v>113</v>
      </c>
      <c r="W8726" s="42">
        <v>0</v>
      </c>
      <c r="X8726" s="42">
        <v>0</v>
      </c>
    </row>
    <row r="8727" spans="1:24">
      <c r="A8727" s="27" t="s">
        <v>15900</v>
      </c>
      <c r="B8727" s="28" t="s">
        <v>12240</v>
      </c>
      <c r="C8727" s="27" t="s">
        <v>15901</v>
      </c>
      <c r="D8727" s="27" t="s">
        <v>230</v>
      </c>
      <c r="E8727" s="29">
        <v>40843</v>
      </c>
      <c r="F8727" s="27">
        <v>15</v>
      </c>
      <c r="G8727" s="18">
        <v>9300</v>
      </c>
      <c r="H8727" s="27">
        <f t="shared" si="272"/>
        <v>0</v>
      </c>
      <c r="I8727" s="18">
        <v>6408.47</v>
      </c>
      <c r="J8727" s="27">
        <v>9300</v>
      </c>
      <c r="K8727" s="18">
        <f t="shared" si="273"/>
        <v>0</v>
      </c>
      <c r="L8727" s="27">
        <v>6718.24</v>
      </c>
      <c r="M8727" s="36">
        <v>309.77</v>
      </c>
      <c r="T8727" s="41">
        <v>0</v>
      </c>
      <c r="U8727" s="41">
        <v>0</v>
      </c>
      <c r="V8727" s="42" t="s">
        <v>113</v>
      </c>
      <c r="W8727" s="42">
        <v>0</v>
      </c>
      <c r="X8727" s="42">
        <v>0</v>
      </c>
    </row>
    <row r="8728" spans="1:24">
      <c r="A8728" s="27" t="s">
        <v>15902</v>
      </c>
      <c r="B8728" s="28" t="s">
        <v>12240</v>
      </c>
      <c r="C8728" s="27" t="s">
        <v>15903</v>
      </c>
      <c r="D8728" s="27" t="s">
        <v>230</v>
      </c>
      <c r="E8728" s="29">
        <v>40843</v>
      </c>
      <c r="F8728" s="27">
        <v>15</v>
      </c>
      <c r="G8728" s="18">
        <v>9300</v>
      </c>
      <c r="H8728" s="27">
        <f t="shared" si="272"/>
        <v>0</v>
      </c>
      <c r="I8728" s="18">
        <v>6408.47</v>
      </c>
      <c r="J8728" s="27">
        <v>9300</v>
      </c>
      <c r="K8728" s="18">
        <f t="shared" si="273"/>
        <v>0</v>
      </c>
      <c r="L8728" s="27">
        <v>6718.24</v>
      </c>
      <c r="M8728" s="36">
        <v>309.77</v>
      </c>
      <c r="T8728" s="41">
        <v>0</v>
      </c>
      <c r="U8728" s="41">
        <v>0</v>
      </c>
      <c r="V8728" s="42" t="s">
        <v>113</v>
      </c>
      <c r="W8728" s="42">
        <v>0</v>
      </c>
      <c r="X8728" s="42">
        <v>0</v>
      </c>
    </row>
    <row r="8729" spans="1:24">
      <c r="A8729" s="27" t="s">
        <v>15904</v>
      </c>
      <c r="B8729" s="28" t="s">
        <v>12240</v>
      </c>
      <c r="C8729" s="27" t="s">
        <v>15905</v>
      </c>
      <c r="D8729" s="27" t="s">
        <v>230</v>
      </c>
      <c r="E8729" s="29">
        <v>40843</v>
      </c>
      <c r="F8729" s="27">
        <v>15</v>
      </c>
      <c r="G8729" s="18">
        <v>9300</v>
      </c>
      <c r="H8729" s="27">
        <f t="shared" si="272"/>
        <v>0</v>
      </c>
      <c r="I8729" s="18">
        <v>6408.45</v>
      </c>
      <c r="J8729" s="27">
        <v>9300</v>
      </c>
      <c r="K8729" s="18">
        <f t="shared" si="273"/>
        <v>0</v>
      </c>
      <c r="L8729" s="27">
        <v>6718.22</v>
      </c>
      <c r="M8729" s="36">
        <v>309.77</v>
      </c>
      <c r="T8729" s="41">
        <v>0</v>
      </c>
      <c r="U8729" s="41">
        <v>0</v>
      </c>
      <c r="V8729" s="42" t="s">
        <v>113</v>
      </c>
      <c r="W8729" s="42">
        <v>0</v>
      </c>
      <c r="X8729" s="42">
        <v>0</v>
      </c>
    </row>
    <row r="8730" spans="1:24">
      <c r="A8730" s="27" t="s">
        <v>15906</v>
      </c>
      <c r="B8730" s="28" t="s">
        <v>12240</v>
      </c>
      <c r="C8730" s="27" t="s">
        <v>15907</v>
      </c>
      <c r="D8730" s="27" t="s">
        <v>230</v>
      </c>
      <c r="E8730" s="29">
        <v>40843</v>
      </c>
      <c r="F8730" s="27">
        <v>15</v>
      </c>
      <c r="G8730" s="18">
        <v>133674.64000000001</v>
      </c>
      <c r="H8730" s="27">
        <f t="shared" si="272"/>
        <v>0</v>
      </c>
      <c r="I8730" s="18">
        <v>16724.29</v>
      </c>
      <c r="J8730" s="27">
        <v>133674.64000000001</v>
      </c>
      <c r="K8730" s="18">
        <f t="shared" si="273"/>
        <v>0</v>
      </c>
      <c r="L8730" s="27">
        <v>30800.880000000001</v>
      </c>
      <c r="M8730" s="36">
        <v>14076.59</v>
      </c>
      <c r="T8730" s="41">
        <v>0</v>
      </c>
      <c r="U8730" s="41">
        <v>0</v>
      </c>
      <c r="V8730" s="42" t="s">
        <v>113</v>
      </c>
      <c r="W8730" s="42">
        <v>0</v>
      </c>
      <c r="X8730" s="42">
        <v>0</v>
      </c>
    </row>
    <row r="8731" spans="1:24">
      <c r="A8731" s="27" t="s">
        <v>15908</v>
      </c>
      <c r="B8731" s="28" t="s">
        <v>12240</v>
      </c>
      <c r="C8731" s="27" t="s">
        <v>15909</v>
      </c>
      <c r="D8731" s="27" t="s">
        <v>230</v>
      </c>
      <c r="E8731" s="29">
        <v>41452</v>
      </c>
      <c r="F8731" s="27">
        <v>15</v>
      </c>
      <c r="G8731" s="18">
        <v>54278.79</v>
      </c>
      <c r="H8731" s="27">
        <f t="shared" si="272"/>
        <v>0</v>
      </c>
      <c r="I8731" s="18">
        <v>22406.16</v>
      </c>
      <c r="J8731" s="27">
        <v>54278.79</v>
      </c>
      <c r="K8731" s="18">
        <f t="shared" si="273"/>
        <v>0</v>
      </c>
      <c r="L8731" s="27">
        <v>25475.5</v>
      </c>
      <c r="M8731" s="36">
        <v>3069.34</v>
      </c>
      <c r="T8731" s="41">
        <v>0</v>
      </c>
      <c r="U8731" s="41">
        <v>0</v>
      </c>
      <c r="V8731" s="42" t="s">
        <v>113</v>
      </c>
      <c r="W8731" s="42">
        <v>0</v>
      </c>
      <c r="X8731" s="42">
        <v>0</v>
      </c>
    </row>
    <row r="8732" spans="1:24">
      <c r="A8732" s="27" t="s">
        <v>15910</v>
      </c>
      <c r="B8732" s="28" t="s">
        <v>12240</v>
      </c>
      <c r="C8732" s="27" t="s">
        <v>15911</v>
      </c>
      <c r="D8732" s="27" t="s">
        <v>230</v>
      </c>
      <c r="E8732" s="29">
        <v>36495</v>
      </c>
      <c r="F8732" s="27">
        <v>15</v>
      </c>
      <c r="G8732" s="18">
        <v>40269.339999999997</v>
      </c>
      <c r="H8732" s="27">
        <f t="shared" si="272"/>
        <v>40269.339999999997</v>
      </c>
      <c r="I8732" s="18">
        <v>38255.870000000003</v>
      </c>
      <c r="J8732" s="27">
        <v>40269.339999999997</v>
      </c>
      <c r="K8732" s="18">
        <f t="shared" si="273"/>
        <v>40269.339999999997</v>
      </c>
      <c r="L8732" s="27">
        <v>38255.870000000003</v>
      </c>
      <c r="M8732" s="36">
        <v>0</v>
      </c>
      <c r="T8732" s="41">
        <v>0</v>
      </c>
      <c r="U8732" s="41">
        <v>0</v>
      </c>
      <c r="V8732" s="42" t="s">
        <v>113</v>
      </c>
      <c r="W8732" s="42">
        <v>40269.339999999997</v>
      </c>
      <c r="X8732" s="42">
        <v>40269.339999999997</v>
      </c>
    </row>
    <row r="8733" spans="1:24">
      <c r="A8733" s="27" t="s">
        <v>15912</v>
      </c>
      <c r="B8733" s="28" t="s">
        <v>12240</v>
      </c>
      <c r="C8733" s="27" t="s">
        <v>15913</v>
      </c>
      <c r="D8733" s="27" t="s">
        <v>230</v>
      </c>
      <c r="E8733" s="29">
        <v>40843</v>
      </c>
      <c r="F8733" s="27">
        <v>15</v>
      </c>
      <c r="G8733" s="18">
        <v>9300</v>
      </c>
      <c r="H8733" s="27">
        <f t="shared" si="272"/>
        <v>0</v>
      </c>
      <c r="I8733" s="18">
        <v>6408.47</v>
      </c>
      <c r="J8733" s="27">
        <v>9300</v>
      </c>
      <c r="K8733" s="18">
        <f t="shared" si="273"/>
        <v>0</v>
      </c>
      <c r="L8733" s="27">
        <v>6718.24</v>
      </c>
      <c r="M8733" s="36">
        <v>309.77</v>
      </c>
      <c r="T8733" s="41">
        <v>0</v>
      </c>
      <c r="U8733" s="41">
        <v>0</v>
      </c>
      <c r="V8733" s="42" t="s">
        <v>113</v>
      </c>
      <c r="W8733" s="42">
        <v>0</v>
      </c>
      <c r="X8733" s="42">
        <v>0</v>
      </c>
    </row>
    <row r="8734" spans="1:24">
      <c r="A8734" s="27" t="s">
        <v>15914</v>
      </c>
      <c r="B8734" s="28" t="s">
        <v>12240</v>
      </c>
      <c r="C8734" s="27" t="s">
        <v>15915</v>
      </c>
      <c r="D8734" s="27" t="s">
        <v>230</v>
      </c>
      <c r="E8734" s="29">
        <v>40843</v>
      </c>
      <c r="F8734" s="27">
        <v>15</v>
      </c>
      <c r="G8734" s="18">
        <v>9300</v>
      </c>
      <c r="H8734" s="27">
        <f t="shared" si="272"/>
        <v>0</v>
      </c>
      <c r="I8734" s="18">
        <v>6408.45</v>
      </c>
      <c r="J8734" s="27">
        <v>9300</v>
      </c>
      <c r="K8734" s="18">
        <f t="shared" si="273"/>
        <v>0</v>
      </c>
      <c r="L8734" s="27">
        <v>6718.22</v>
      </c>
      <c r="M8734" s="36">
        <v>309.77</v>
      </c>
      <c r="T8734" s="41">
        <v>0</v>
      </c>
      <c r="U8734" s="41">
        <v>0</v>
      </c>
      <c r="V8734" s="42" t="s">
        <v>113</v>
      </c>
      <c r="W8734" s="42">
        <v>0</v>
      </c>
      <c r="X8734" s="42">
        <v>0</v>
      </c>
    </row>
    <row r="8735" spans="1:24">
      <c r="A8735" s="27" t="s">
        <v>15916</v>
      </c>
      <c r="B8735" s="28" t="s">
        <v>12240</v>
      </c>
      <c r="C8735" s="27" t="s">
        <v>15917</v>
      </c>
      <c r="D8735" s="27" t="s">
        <v>230</v>
      </c>
      <c r="E8735" s="29">
        <v>40843</v>
      </c>
      <c r="F8735" s="27">
        <v>15</v>
      </c>
      <c r="G8735" s="18">
        <v>9300</v>
      </c>
      <c r="H8735" s="27">
        <f t="shared" si="272"/>
        <v>0</v>
      </c>
      <c r="I8735" s="18">
        <v>6408.47</v>
      </c>
      <c r="J8735" s="27">
        <v>9300</v>
      </c>
      <c r="K8735" s="18">
        <f t="shared" si="273"/>
        <v>0</v>
      </c>
      <c r="L8735" s="27">
        <v>6718.24</v>
      </c>
      <c r="M8735" s="36">
        <v>309.77</v>
      </c>
      <c r="T8735" s="41">
        <v>0</v>
      </c>
      <c r="U8735" s="41">
        <v>0</v>
      </c>
      <c r="V8735" s="42" t="s">
        <v>113</v>
      </c>
      <c r="W8735" s="42">
        <v>0</v>
      </c>
      <c r="X8735" s="42">
        <v>0</v>
      </c>
    </row>
    <row r="8736" spans="1:24">
      <c r="A8736" s="27" t="s">
        <v>15918</v>
      </c>
      <c r="B8736" s="28" t="s">
        <v>12240</v>
      </c>
      <c r="C8736" s="27" t="s">
        <v>15919</v>
      </c>
      <c r="D8736" s="27" t="s">
        <v>230</v>
      </c>
      <c r="E8736" s="29">
        <v>40908</v>
      </c>
      <c r="F8736" s="27">
        <v>15</v>
      </c>
      <c r="G8736" s="18">
        <v>41850.33</v>
      </c>
      <c r="H8736" s="27">
        <f t="shared" si="272"/>
        <v>0</v>
      </c>
      <c r="I8736" s="18">
        <v>20742.16</v>
      </c>
      <c r="J8736" s="27">
        <v>41850.33</v>
      </c>
      <c r="K8736" s="18">
        <f t="shared" si="273"/>
        <v>0</v>
      </c>
      <c r="L8736" s="27">
        <v>23119.119999999999</v>
      </c>
      <c r="M8736" s="36">
        <v>2376.96</v>
      </c>
      <c r="T8736" s="41">
        <v>0</v>
      </c>
      <c r="U8736" s="41">
        <v>0</v>
      </c>
      <c r="V8736" s="42" t="s">
        <v>113</v>
      </c>
      <c r="W8736" s="42">
        <v>0</v>
      </c>
      <c r="X8736" s="42">
        <v>0</v>
      </c>
    </row>
    <row r="8737" spans="1:24">
      <c r="A8737" s="27" t="s">
        <v>15920</v>
      </c>
      <c r="B8737" s="28" t="s">
        <v>12240</v>
      </c>
      <c r="C8737" s="27" t="s">
        <v>15921</v>
      </c>
      <c r="D8737" s="27" t="s">
        <v>230</v>
      </c>
      <c r="E8737" s="29">
        <v>38078</v>
      </c>
      <c r="F8737" s="27">
        <v>15</v>
      </c>
      <c r="G8737" s="18">
        <v>30952.58</v>
      </c>
      <c r="H8737" s="27">
        <f t="shared" si="272"/>
        <v>30952.58</v>
      </c>
      <c r="I8737" s="18">
        <v>29404.95</v>
      </c>
      <c r="J8737" s="27">
        <v>30952.58</v>
      </c>
      <c r="K8737" s="18">
        <f t="shared" si="273"/>
        <v>30952.58</v>
      </c>
      <c r="L8737" s="27">
        <v>29404.95</v>
      </c>
      <c r="M8737" s="36">
        <v>0</v>
      </c>
      <c r="T8737" s="41">
        <v>0</v>
      </c>
      <c r="U8737" s="41">
        <v>0</v>
      </c>
      <c r="V8737" s="42" t="s">
        <v>113</v>
      </c>
      <c r="W8737" s="42">
        <v>30952.58</v>
      </c>
      <c r="X8737" s="42">
        <v>30952.58</v>
      </c>
    </row>
    <row r="8738" spans="1:24">
      <c r="A8738" s="27" t="s">
        <v>15922</v>
      </c>
      <c r="B8738" s="28" t="s">
        <v>12240</v>
      </c>
      <c r="C8738" s="27" t="s">
        <v>15923</v>
      </c>
      <c r="D8738" s="27" t="s">
        <v>230</v>
      </c>
      <c r="E8738" s="29">
        <v>40843</v>
      </c>
      <c r="F8738" s="27">
        <v>15</v>
      </c>
      <c r="G8738" s="18">
        <v>9300</v>
      </c>
      <c r="H8738" s="27">
        <f t="shared" si="272"/>
        <v>0</v>
      </c>
      <c r="I8738" s="18">
        <v>6408.45</v>
      </c>
      <c r="J8738" s="27">
        <v>9300</v>
      </c>
      <c r="K8738" s="18">
        <f t="shared" si="273"/>
        <v>0</v>
      </c>
      <c r="L8738" s="27">
        <v>6718.22</v>
      </c>
      <c r="M8738" s="36">
        <v>309.77</v>
      </c>
      <c r="T8738" s="41">
        <v>0</v>
      </c>
      <c r="U8738" s="41">
        <v>0</v>
      </c>
      <c r="V8738" s="42" t="s">
        <v>113</v>
      </c>
      <c r="W8738" s="42">
        <v>0</v>
      </c>
      <c r="X8738" s="42">
        <v>0</v>
      </c>
    </row>
    <row r="8739" spans="1:24">
      <c r="A8739" s="27" t="s">
        <v>15924</v>
      </c>
      <c r="B8739" s="28" t="s">
        <v>12240</v>
      </c>
      <c r="C8739" s="27" t="s">
        <v>15925</v>
      </c>
      <c r="D8739" s="27" t="s">
        <v>230</v>
      </c>
      <c r="E8739" s="29">
        <v>40843</v>
      </c>
      <c r="F8739" s="27">
        <v>15</v>
      </c>
      <c r="G8739" s="18">
        <v>9300</v>
      </c>
      <c r="H8739" s="27">
        <f t="shared" si="272"/>
        <v>0</v>
      </c>
      <c r="I8739" s="18">
        <v>6408.47</v>
      </c>
      <c r="J8739" s="27">
        <v>9300</v>
      </c>
      <c r="K8739" s="18">
        <f t="shared" si="273"/>
        <v>0</v>
      </c>
      <c r="L8739" s="27">
        <v>6718.24</v>
      </c>
      <c r="M8739" s="36">
        <v>309.77</v>
      </c>
      <c r="T8739" s="41">
        <v>0</v>
      </c>
      <c r="U8739" s="41">
        <v>0</v>
      </c>
      <c r="V8739" s="42" t="s">
        <v>113</v>
      </c>
      <c r="W8739" s="42">
        <v>0</v>
      </c>
      <c r="X8739" s="42">
        <v>0</v>
      </c>
    </row>
    <row r="8740" spans="1:24">
      <c r="A8740" s="27" t="s">
        <v>15926</v>
      </c>
      <c r="B8740" s="28" t="s">
        <v>12240</v>
      </c>
      <c r="C8740" s="27" t="s">
        <v>15927</v>
      </c>
      <c r="D8740" s="27" t="s">
        <v>230</v>
      </c>
      <c r="E8740" s="29">
        <v>40843</v>
      </c>
      <c r="F8740" s="27">
        <v>15</v>
      </c>
      <c r="G8740" s="18">
        <v>9300</v>
      </c>
      <c r="H8740" s="27">
        <f t="shared" si="272"/>
        <v>0</v>
      </c>
      <c r="I8740" s="18">
        <v>6408.45</v>
      </c>
      <c r="J8740" s="27">
        <v>9300</v>
      </c>
      <c r="K8740" s="18">
        <f t="shared" si="273"/>
        <v>0</v>
      </c>
      <c r="L8740" s="27">
        <v>6718.22</v>
      </c>
      <c r="M8740" s="36">
        <v>309.77</v>
      </c>
      <c r="T8740" s="41">
        <v>0</v>
      </c>
      <c r="U8740" s="41">
        <v>0</v>
      </c>
      <c r="V8740" s="42" t="s">
        <v>113</v>
      </c>
      <c r="W8740" s="42">
        <v>0</v>
      </c>
      <c r="X8740" s="42">
        <v>0</v>
      </c>
    </row>
    <row r="8741" spans="1:24">
      <c r="A8741" s="27" t="s">
        <v>15928</v>
      </c>
      <c r="B8741" s="28" t="s">
        <v>12240</v>
      </c>
      <c r="C8741" s="27" t="s">
        <v>15929</v>
      </c>
      <c r="D8741" s="27" t="s">
        <v>230</v>
      </c>
      <c r="E8741" s="29">
        <v>40843</v>
      </c>
      <c r="F8741" s="27">
        <v>15</v>
      </c>
      <c r="G8741" s="18">
        <v>9300</v>
      </c>
      <c r="H8741" s="27">
        <f t="shared" si="272"/>
        <v>0</v>
      </c>
      <c r="I8741" s="18">
        <v>6408.47</v>
      </c>
      <c r="J8741" s="27">
        <v>9300</v>
      </c>
      <c r="K8741" s="18">
        <f t="shared" si="273"/>
        <v>0</v>
      </c>
      <c r="L8741" s="27">
        <v>6718.24</v>
      </c>
      <c r="M8741" s="36">
        <v>309.77</v>
      </c>
      <c r="T8741" s="41">
        <v>0</v>
      </c>
      <c r="U8741" s="41">
        <v>0</v>
      </c>
      <c r="V8741" s="42" t="s">
        <v>113</v>
      </c>
      <c r="W8741" s="42">
        <v>0</v>
      </c>
      <c r="X8741" s="42">
        <v>0</v>
      </c>
    </row>
    <row r="8742" spans="1:24">
      <c r="A8742" s="27" t="s">
        <v>15930</v>
      </c>
      <c r="B8742" s="28" t="s">
        <v>12240</v>
      </c>
      <c r="C8742" s="27" t="s">
        <v>15931</v>
      </c>
      <c r="D8742" s="27" t="s">
        <v>230</v>
      </c>
      <c r="E8742" s="29">
        <v>40843</v>
      </c>
      <c r="F8742" s="27">
        <v>15</v>
      </c>
      <c r="G8742" s="18">
        <v>9300</v>
      </c>
      <c r="H8742" s="27">
        <f t="shared" si="272"/>
        <v>0</v>
      </c>
      <c r="I8742" s="18">
        <v>6408.45</v>
      </c>
      <c r="J8742" s="27">
        <v>9300</v>
      </c>
      <c r="K8742" s="18">
        <f t="shared" si="273"/>
        <v>0</v>
      </c>
      <c r="L8742" s="27">
        <v>6718.22</v>
      </c>
      <c r="M8742" s="36">
        <v>309.77</v>
      </c>
      <c r="T8742" s="41">
        <v>0</v>
      </c>
      <c r="U8742" s="41">
        <v>0</v>
      </c>
      <c r="V8742" s="42" t="s">
        <v>113</v>
      </c>
      <c r="W8742" s="42">
        <v>0</v>
      </c>
      <c r="X8742" s="42">
        <v>0</v>
      </c>
    </row>
    <row r="8743" spans="1:24">
      <c r="A8743" s="27" t="s">
        <v>15932</v>
      </c>
      <c r="B8743" s="28" t="s">
        <v>12240</v>
      </c>
      <c r="C8743" s="27" t="s">
        <v>15933</v>
      </c>
      <c r="D8743" s="27" t="s">
        <v>230</v>
      </c>
      <c r="E8743" s="29">
        <v>40843</v>
      </c>
      <c r="F8743" s="27">
        <v>15</v>
      </c>
      <c r="G8743" s="18">
        <v>9300</v>
      </c>
      <c r="H8743" s="27">
        <f t="shared" si="272"/>
        <v>0</v>
      </c>
      <c r="I8743" s="18">
        <v>6408.47</v>
      </c>
      <c r="J8743" s="27">
        <v>9300</v>
      </c>
      <c r="K8743" s="18">
        <f t="shared" si="273"/>
        <v>0</v>
      </c>
      <c r="L8743" s="27">
        <v>6718.24</v>
      </c>
      <c r="M8743" s="36">
        <v>309.77</v>
      </c>
      <c r="T8743" s="41">
        <v>0</v>
      </c>
      <c r="U8743" s="41">
        <v>0</v>
      </c>
      <c r="V8743" s="42" t="s">
        <v>113</v>
      </c>
      <c r="W8743" s="42">
        <v>0</v>
      </c>
      <c r="X8743" s="42">
        <v>0</v>
      </c>
    </row>
    <row r="8744" spans="1:24">
      <c r="A8744" s="27" t="s">
        <v>15934</v>
      </c>
      <c r="B8744" s="28" t="s">
        <v>12240</v>
      </c>
      <c r="C8744" s="27" t="s">
        <v>15935</v>
      </c>
      <c r="D8744" s="27" t="s">
        <v>230</v>
      </c>
      <c r="E8744" s="29">
        <v>40843</v>
      </c>
      <c r="F8744" s="27">
        <v>15</v>
      </c>
      <c r="G8744" s="18">
        <v>9300</v>
      </c>
      <c r="H8744" s="27">
        <f t="shared" si="272"/>
        <v>0</v>
      </c>
      <c r="I8744" s="18">
        <v>6408.45</v>
      </c>
      <c r="J8744" s="27">
        <v>9300</v>
      </c>
      <c r="K8744" s="18">
        <f t="shared" si="273"/>
        <v>0</v>
      </c>
      <c r="L8744" s="27">
        <v>6718.22</v>
      </c>
      <c r="M8744" s="36">
        <v>309.77</v>
      </c>
      <c r="T8744" s="41">
        <v>0</v>
      </c>
      <c r="U8744" s="41">
        <v>0</v>
      </c>
      <c r="V8744" s="42" t="s">
        <v>113</v>
      </c>
      <c r="W8744" s="42">
        <v>0</v>
      </c>
      <c r="X8744" s="42">
        <v>0</v>
      </c>
    </row>
    <row r="8745" spans="1:24">
      <c r="A8745" s="27" t="s">
        <v>15936</v>
      </c>
      <c r="B8745" s="28" t="s">
        <v>12240</v>
      </c>
      <c r="C8745" s="27" t="s">
        <v>15937</v>
      </c>
      <c r="D8745" s="27" t="s">
        <v>230</v>
      </c>
      <c r="E8745" s="29">
        <v>40843</v>
      </c>
      <c r="F8745" s="27">
        <v>15</v>
      </c>
      <c r="G8745" s="18">
        <v>9300</v>
      </c>
      <c r="H8745" s="27">
        <f t="shared" si="272"/>
        <v>0</v>
      </c>
      <c r="I8745" s="18">
        <v>6408.47</v>
      </c>
      <c r="J8745" s="27">
        <v>9300</v>
      </c>
      <c r="K8745" s="18">
        <f t="shared" si="273"/>
        <v>0</v>
      </c>
      <c r="L8745" s="27">
        <v>6718.24</v>
      </c>
      <c r="M8745" s="36">
        <v>309.77</v>
      </c>
      <c r="T8745" s="41">
        <v>0</v>
      </c>
      <c r="U8745" s="41">
        <v>0</v>
      </c>
      <c r="V8745" s="42" t="s">
        <v>113</v>
      </c>
      <c r="W8745" s="42">
        <v>0</v>
      </c>
      <c r="X8745" s="42">
        <v>0</v>
      </c>
    </row>
    <row r="8746" spans="1:24">
      <c r="A8746" s="27" t="s">
        <v>15938</v>
      </c>
      <c r="B8746" s="28" t="s">
        <v>12240</v>
      </c>
      <c r="C8746" s="27" t="s">
        <v>15939</v>
      </c>
      <c r="D8746" s="27" t="s">
        <v>230</v>
      </c>
      <c r="E8746" s="29">
        <v>40843</v>
      </c>
      <c r="F8746" s="27">
        <v>15</v>
      </c>
      <c r="G8746" s="18">
        <v>9300</v>
      </c>
      <c r="H8746" s="27">
        <f t="shared" si="272"/>
        <v>0</v>
      </c>
      <c r="I8746" s="18">
        <v>6408.45</v>
      </c>
      <c r="J8746" s="27">
        <v>9300</v>
      </c>
      <c r="K8746" s="18">
        <f t="shared" si="273"/>
        <v>0</v>
      </c>
      <c r="L8746" s="27">
        <v>6718.22</v>
      </c>
      <c r="M8746" s="36">
        <v>309.77</v>
      </c>
      <c r="T8746" s="41">
        <v>0</v>
      </c>
      <c r="U8746" s="41">
        <v>0</v>
      </c>
      <c r="V8746" s="42" t="s">
        <v>113</v>
      </c>
      <c r="W8746" s="42">
        <v>0</v>
      </c>
      <c r="X8746" s="42">
        <v>0</v>
      </c>
    </row>
    <row r="8747" spans="1:24">
      <c r="A8747" s="27" t="s">
        <v>15940</v>
      </c>
      <c r="B8747" s="28" t="s">
        <v>12240</v>
      </c>
      <c r="C8747" s="27" t="s">
        <v>15941</v>
      </c>
      <c r="D8747" s="27" t="s">
        <v>230</v>
      </c>
      <c r="E8747" s="29">
        <v>40843</v>
      </c>
      <c r="F8747" s="27">
        <v>15</v>
      </c>
      <c r="G8747" s="18">
        <v>120000</v>
      </c>
      <c r="H8747" s="27">
        <f t="shared" si="272"/>
        <v>0</v>
      </c>
      <c r="I8747" s="18">
        <v>82689.83</v>
      </c>
      <c r="J8747" s="27">
        <v>120000</v>
      </c>
      <c r="K8747" s="18">
        <f t="shared" si="273"/>
        <v>0</v>
      </c>
      <c r="L8747" s="27">
        <v>86686.87</v>
      </c>
      <c r="M8747" s="36">
        <v>3997.04</v>
      </c>
      <c r="T8747" s="41">
        <v>0</v>
      </c>
      <c r="U8747" s="41">
        <v>0</v>
      </c>
      <c r="V8747" s="42" t="s">
        <v>113</v>
      </c>
      <c r="W8747" s="42">
        <v>0</v>
      </c>
      <c r="X8747" s="42">
        <v>0</v>
      </c>
    </row>
    <row r="8748" spans="1:24">
      <c r="A8748" s="27" t="s">
        <v>15942</v>
      </c>
      <c r="B8748" s="28" t="s">
        <v>12240</v>
      </c>
      <c r="C8748" s="27" t="s">
        <v>15943</v>
      </c>
      <c r="D8748" s="27" t="s">
        <v>230</v>
      </c>
      <c r="E8748" s="29">
        <v>40843</v>
      </c>
      <c r="F8748" s="27">
        <v>15</v>
      </c>
      <c r="G8748" s="18">
        <v>120000</v>
      </c>
      <c r="H8748" s="27">
        <f t="shared" si="272"/>
        <v>0</v>
      </c>
      <c r="I8748" s="18">
        <v>82689.83</v>
      </c>
      <c r="J8748" s="27">
        <v>120000</v>
      </c>
      <c r="K8748" s="18">
        <f t="shared" si="273"/>
        <v>0</v>
      </c>
      <c r="L8748" s="27">
        <v>86686.87</v>
      </c>
      <c r="M8748" s="36">
        <v>3997.04</v>
      </c>
      <c r="T8748" s="41">
        <v>0</v>
      </c>
      <c r="U8748" s="41">
        <v>0</v>
      </c>
      <c r="V8748" s="42" t="s">
        <v>113</v>
      </c>
      <c r="W8748" s="42">
        <v>0</v>
      </c>
      <c r="X8748" s="42">
        <v>0</v>
      </c>
    </row>
    <row r="8749" spans="1:24">
      <c r="A8749" s="27" t="s">
        <v>15944</v>
      </c>
      <c r="B8749" s="28" t="s">
        <v>12240</v>
      </c>
      <c r="C8749" s="27" t="s">
        <v>15945</v>
      </c>
      <c r="D8749" s="27" t="s">
        <v>230</v>
      </c>
      <c r="E8749" s="29">
        <v>39539</v>
      </c>
      <c r="F8749" s="27">
        <v>15</v>
      </c>
      <c r="G8749" s="18">
        <v>75936.759999999995</v>
      </c>
      <c r="H8749" s="27">
        <f t="shared" si="272"/>
        <v>0</v>
      </c>
      <c r="I8749" s="18">
        <v>62116.35</v>
      </c>
      <c r="J8749" s="27">
        <v>75936.759999999995</v>
      </c>
      <c r="K8749" s="18">
        <f t="shared" si="273"/>
        <v>0</v>
      </c>
      <c r="L8749" s="27">
        <v>64429.48</v>
      </c>
      <c r="M8749" s="36">
        <v>2313.13</v>
      </c>
      <c r="T8749" s="41">
        <v>0</v>
      </c>
      <c r="U8749" s="41">
        <v>0</v>
      </c>
      <c r="V8749" s="42" t="s">
        <v>113</v>
      </c>
      <c r="W8749" s="42">
        <v>0</v>
      </c>
      <c r="X8749" s="42">
        <v>0</v>
      </c>
    </row>
    <row r="8750" spans="1:24">
      <c r="A8750" s="27" t="s">
        <v>15946</v>
      </c>
      <c r="B8750" s="28" t="s">
        <v>12240</v>
      </c>
      <c r="C8750" s="27" t="s">
        <v>15947</v>
      </c>
      <c r="D8750" s="27" t="s">
        <v>230</v>
      </c>
      <c r="E8750" s="29">
        <v>40843</v>
      </c>
      <c r="F8750" s="27">
        <v>15</v>
      </c>
      <c r="G8750" s="18">
        <v>120000</v>
      </c>
      <c r="H8750" s="27">
        <f t="shared" si="272"/>
        <v>0</v>
      </c>
      <c r="I8750" s="18">
        <v>82689.83</v>
      </c>
      <c r="J8750" s="27">
        <v>120000</v>
      </c>
      <c r="K8750" s="18">
        <f t="shared" si="273"/>
        <v>0</v>
      </c>
      <c r="L8750" s="27">
        <v>86686.87</v>
      </c>
      <c r="M8750" s="36">
        <v>3997.04</v>
      </c>
      <c r="T8750" s="41">
        <v>0</v>
      </c>
      <c r="U8750" s="41">
        <v>0</v>
      </c>
      <c r="V8750" s="42" t="s">
        <v>113</v>
      </c>
      <c r="W8750" s="42">
        <v>0</v>
      </c>
      <c r="X8750" s="42">
        <v>0</v>
      </c>
    </row>
    <row r="8751" spans="1:24">
      <c r="A8751" s="27" t="s">
        <v>15948</v>
      </c>
      <c r="B8751" s="28" t="s">
        <v>12240</v>
      </c>
      <c r="C8751" s="27" t="s">
        <v>15949</v>
      </c>
      <c r="D8751" s="27" t="s">
        <v>230</v>
      </c>
      <c r="E8751" s="29">
        <v>39539</v>
      </c>
      <c r="F8751" s="27">
        <v>15</v>
      </c>
      <c r="G8751" s="18">
        <v>79220</v>
      </c>
      <c r="H8751" s="27">
        <f t="shared" si="272"/>
        <v>0</v>
      </c>
      <c r="I8751" s="18">
        <v>60970.42</v>
      </c>
      <c r="J8751" s="27">
        <v>79220</v>
      </c>
      <c r="K8751" s="18">
        <f t="shared" si="273"/>
        <v>0</v>
      </c>
      <c r="L8751" s="27">
        <v>64267.78</v>
      </c>
      <c r="M8751" s="36">
        <v>3297.36</v>
      </c>
      <c r="T8751" s="41">
        <v>0</v>
      </c>
      <c r="U8751" s="41">
        <v>0</v>
      </c>
      <c r="V8751" s="42" t="s">
        <v>113</v>
      </c>
      <c r="W8751" s="42">
        <v>0</v>
      </c>
      <c r="X8751" s="42">
        <v>0</v>
      </c>
    </row>
    <row r="8752" spans="1:24">
      <c r="A8752" s="27" t="s">
        <v>15950</v>
      </c>
      <c r="B8752" s="28" t="s">
        <v>12240</v>
      </c>
      <c r="C8752" s="27" t="s">
        <v>14882</v>
      </c>
      <c r="D8752" s="27" t="s">
        <v>230</v>
      </c>
      <c r="E8752" s="29">
        <v>40843</v>
      </c>
      <c r="F8752" s="27">
        <v>15</v>
      </c>
      <c r="G8752" s="18">
        <v>120000</v>
      </c>
      <c r="H8752" s="27">
        <f t="shared" si="272"/>
        <v>0</v>
      </c>
      <c r="I8752" s="18">
        <v>82689.83</v>
      </c>
      <c r="J8752" s="27">
        <v>120000</v>
      </c>
      <c r="K8752" s="18">
        <f t="shared" si="273"/>
        <v>0</v>
      </c>
      <c r="L8752" s="27">
        <v>86686.87</v>
      </c>
      <c r="M8752" s="36">
        <v>3997.04</v>
      </c>
      <c r="T8752" s="41">
        <v>0</v>
      </c>
      <c r="U8752" s="41">
        <v>0</v>
      </c>
      <c r="V8752" s="42" t="s">
        <v>113</v>
      </c>
      <c r="W8752" s="42">
        <v>0</v>
      </c>
      <c r="X8752" s="42">
        <v>0</v>
      </c>
    </row>
    <row r="8753" spans="1:24">
      <c r="A8753" s="27" t="s">
        <v>15951</v>
      </c>
      <c r="B8753" s="28" t="s">
        <v>12240</v>
      </c>
      <c r="C8753" s="27" t="s">
        <v>15952</v>
      </c>
      <c r="D8753" s="27" t="s">
        <v>230</v>
      </c>
      <c r="E8753" s="29">
        <v>40843</v>
      </c>
      <c r="F8753" s="27">
        <v>15</v>
      </c>
      <c r="G8753" s="18">
        <v>120000</v>
      </c>
      <c r="H8753" s="27">
        <f t="shared" si="272"/>
        <v>0</v>
      </c>
      <c r="I8753" s="18">
        <v>82689.83</v>
      </c>
      <c r="J8753" s="27">
        <v>120000</v>
      </c>
      <c r="K8753" s="18">
        <f t="shared" si="273"/>
        <v>0</v>
      </c>
      <c r="L8753" s="27">
        <v>86686.87</v>
      </c>
      <c r="M8753" s="36">
        <v>3997.04</v>
      </c>
      <c r="T8753" s="41">
        <v>0</v>
      </c>
      <c r="U8753" s="41">
        <v>0</v>
      </c>
      <c r="V8753" s="42" t="s">
        <v>113</v>
      </c>
      <c r="W8753" s="42">
        <v>0</v>
      </c>
      <c r="X8753" s="42">
        <v>0</v>
      </c>
    </row>
    <row r="8754" spans="1:24">
      <c r="A8754" s="27" t="s">
        <v>15953</v>
      </c>
      <c r="B8754" s="28" t="s">
        <v>12240</v>
      </c>
      <c r="C8754" s="27" t="s">
        <v>15954</v>
      </c>
      <c r="D8754" s="27" t="s">
        <v>230</v>
      </c>
      <c r="E8754" s="29">
        <v>40843</v>
      </c>
      <c r="F8754" s="27">
        <v>15</v>
      </c>
      <c r="G8754" s="18">
        <v>9300</v>
      </c>
      <c r="H8754" s="27">
        <f t="shared" si="272"/>
        <v>0</v>
      </c>
      <c r="I8754" s="18">
        <v>6408.46</v>
      </c>
      <c r="J8754" s="27">
        <v>9300</v>
      </c>
      <c r="K8754" s="18">
        <f t="shared" si="273"/>
        <v>0</v>
      </c>
      <c r="L8754" s="27">
        <v>6718.23</v>
      </c>
      <c r="M8754" s="36">
        <v>309.77</v>
      </c>
      <c r="T8754" s="41">
        <v>0</v>
      </c>
      <c r="U8754" s="41">
        <v>0</v>
      </c>
      <c r="V8754" s="42" t="s">
        <v>113</v>
      </c>
      <c r="W8754" s="42">
        <v>0</v>
      </c>
      <c r="X8754" s="42">
        <v>0</v>
      </c>
    </row>
    <row r="8755" spans="1:24">
      <c r="A8755" s="27" t="s">
        <v>15955</v>
      </c>
      <c r="B8755" s="28" t="s">
        <v>12240</v>
      </c>
      <c r="C8755" s="27" t="s">
        <v>15956</v>
      </c>
      <c r="D8755" s="27" t="s">
        <v>230</v>
      </c>
      <c r="E8755" s="29">
        <v>39539</v>
      </c>
      <c r="F8755" s="27">
        <v>15</v>
      </c>
      <c r="G8755" s="18">
        <v>96379.55</v>
      </c>
      <c r="H8755" s="27">
        <f t="shared" si="272"/>
        <v>0</v>
      </c>
      <c r="I8755" s="18">
        <v>77429.13</v>
      </c>
      <c r="J8755" s="27">
        <v>96379.55</v>
      </c>
      <c r="K8755" s="18">
        <f t="shared" si="273"/>
        <v>0</v>
      </c>
      <c r="L8755" s="27">
        <v>80690.23</v>
      </c>
      <c r="M8755" s="36">
        <v>3261.1</v>
      </c>
      <c r="T8755" s="41">
        <v>0</v>
      </c>
      <c r="U8755" s="41">
        <v>0</v>
      </c>
      <c r="V8755" s="42" t="s">
        <v>113</v>
      </c>
      <c r="W8755" s="42">
        <v>0</v>
      </c>
      <c r="X8755" s="42">
        <v>0</v>
      </c>
    </row>
    <row r="8756" spans="1:24">
      <c r="A8756" s="27" t="s">
        <v>15957</v>
      </c>
      <c r="B8756" s="28" t="s">
        <v>12240</v>
      </c>
      <c r="C8756" s="27" t="s">
        <v>15958</v>
      </c>
      <c r="D8756" s="27" t="s">
        <v>230</v>
      </c>
      <c r="E8756" s="29">
        <v>40843</v>
      </c>
      <c r="F8756" s="27">
        <v>15</v>
      </c>
      <c r="G8756" s="18">
        <v>9300</v>
      </c>
      <c r="H8756" s="27">
        <f t="shared" si="272"/>
        <v>0</v>
      </c>
      <c r="I8756" s="18">
        <v>6408.46</v>
      </c>
      <c r="J8756" s="27">
        <v>9300</v>
      </c>
      <c r="K8756" s="18">
        <f t="shared" si="273"/>
        <v>0</v>
      </c>
      <c r="L8756" s="27">
        <v>6718.23</v>
      </c>
      <c r="M8756" s="36">
        <v>309.77</v>
      </c>
      <c r="T8756" s="41">
        <v>0</v>
      </c>
      <c r="U8756" s="41">
        <v>0</v>
      </c>
      <c r="V8756" s="42" t="s">
        <v>113</v>
      </c>
      <c r="W8756" s="42">
        <v>0</v>
      </c>
      <c r="X8756" s="42">
        <v>0</v>
      </c>
    </row>
    <row r="8757" spans="1:24">
      <c r="A8757" s="27" t="s">
        <v>15959</v>
      </c>
      <c r="B8757" s="28" t="s">
        <v>12240</v>
      </c>
      <c r="C8757" s="27" t="s">
        <v>15960</v>
      </c>
      <c r="D8757" s="27" t="s">
        <v>230</v>
      </c>
      <c r="E8757" s="29">
        <v>39539</v>
      </c>
      <c r="F8757" s="27">
        <v>15</v>
      </c>
      <c r="G8757" s="18">
        <v>106885.93</v>
      </c>
      <c r="H8757" s="27">
        <f t="shared" si="272"/>
        <v>0</v>
      </c>
      <c r="I8757" s="18">
        <v>87506.01</v>
      </c>
      <c r="J8757" s="27">
        <v>106885.93</v>
      </c>
      <c r="K8757" s="18">
        <f t="shared" si="273"/>
        <v>0</v>
      </c>
      <c r="L8757" s="27">
        <v>90745</v>
      </c>
      <c r="M8757" s="36">
        <v>3238.99</v>
      </c>
      <c r="T8757" s="41">
        <v>0</v>
      </c>
      <c r="U8757" s="41">
        <v>0</v>
      </c>
      <c r="V8757" s="42" t="s">
        <v>113</v>
      </c>
      <c r="W8757" s="42">
        <v>0</v>
      </c>
      <c r="X8757" s="42">
        <v>0</v>
      </c>
    </row>
    <row r="8758" spans="1:24">
      <c r="A8758" s="27" t="s">
        <v>15961</v>
      </c>
      <c r="B8758" s="28" t="s">
        <v>12240</v>
      </c>
      <c r="C8758" s="27" t="s">
        <v>15962</v>
      </c>
      <c r="D8758" s="27" t="s">
        <v>230</v>
      </c>
      <c r="E8758" s="29">
        <v>40843</v>
      </c>
      <c r="F8758" s="27">
        <v>15</v>
      </c>
      <c r="G8758" s="18">
        <v>9300</v>
      </c>
      <c r="H8758" s="27">
        <f t="shared" si="272"/>
        <v>0</v>
      </c>
      <c r="I8758" s="18">
        <v>6408.46</v>
      </c>
      <c r="J8758" s="27">
        <v>9300</v>
      </c>
      <c r="K8758" s="18">
        <f t="shared" si="273"/>
        <v>0</v>
      </c>
      <c r="L8758" s="27">
        <v>6718.23</v>
      </c>
      <c r="M8758" s="36">
        <v>309.77</v>
      </c>
      <c r="T8758" s="41">
        <v>0</v>
      </c>
      <c r="U8758" s="41">
        <v>0</v>
      </c>
      <c r="V8758" s="42" t="s">
        <v>113</v>
      </c>
      <c r="W8758" s="42">
        <v>0</v>
      </c>
      <c r="X8758" s="42">
        <v>0</v>
      </c>
    </row>
    <row r="8759" spans="1:24">
      <c r="A8759" s="27" t="s">
        <v>15963</v>
      </c>
      <c r="B8759" s="28" t="s">
        <v>12240</v>
      </c>
      <c r="C8759" s="27" t="s">
        <v>15964</v>
      </c>
      <c r="D8759" s="27" t="s">
        <v>230</v>
      </c>
      <c r="E8759" s="29">
        <v>40843</v>
      </c>
      <c r="F8759" s="27">
        <v>15</v>
      </c>
      <c r="G8759" s="18">
        <v>9300</v>
      </c>
      <c r="H8759" s="27">
        <f t="shared" si="272"/>
        <v>0</v>
      </c>
      <c r="I8759" s="18">
        <v>6408.46</v>
      </c>
      <c r="J8759" s="27">
        <v>9300</v>
      </c>
      <c r="K8759" s="18">
        <f t="shared" si="273"/>
        <v>0</v>
      </c>
      <c r="L8759" s="27">
        <v>6718.23</v>
      </c>
      <c r="M8759" s="36">
        <v>309.77</v>
      </c>
      <c r="T8759" s="41">
        <v>0</v>
      </c>
      <c r="U8759" s="41">
        <v>0</v>
      </c>
      <c r="V8759" s="42" t="s">
        <v>113</v>
      </c>
      <c r="W8759" s="42">
        <v>0</v>
      </c>
      <c r="X8759" s="42">
        <v>0</v>
      </c>
    </row>
    <row r="8760" spans="1:24">
      <c r="A8760" s="27" t="s">
        <v>15965</v>
      </c>
      <c r="B8760" s="28" t="s">
        <v>12240</v>
      </c>
      <c r="C8760" s="27" t="s">
        <v>15966</v>
      </c>
      <c r="D8760" s="27" t="s">
        <v>230</v>
      </c>
      <c r="E8760" s="29">
        <v>37226</v>
      </c>
      <c r="F8760" s="27">
        <v>15</v>
      </c>
      <c r="G8760" s="18">
        <v>27663.78</v>
      </c>
      <c r="H8760" s="27">
        <f t="shared" si="272"/>
        <v>27663.78</v>
      </c>
      <c r="I8760" s="18">
        <v>26280.59</v>
      </c>
      <c r="J8760" s="27">
        <v>27663.78</v>
      </c>
      <c r="K8760" s="18">
        <f t="shared" si="273"/>
        <v>27663.78</v>
      </c>
      <c r="L8760" s="27">
        <v>26280.59</v>
      </c>
      <c r="M8760" s="36">
        <v>0</v>
      </c>
      <c r="T8760" s="41">
        <v>0</v>
      </c>
      <c r="U8760" s="41">
        <v>0</v>
      </c>
      <c r="V8760" s="42" t="s">
        <v>113</v>
      </c>
      <c r="W8760" s="42">
        <v>27663.78</v>
      </c>
      <c r="X8760" s="42">
        <v>27663.78</v>
      </c>
    </row>
    <row r="8761" spans="1:24">
      <c r="A8761" s="27" t="s">
        <v>15967</v>
      </c>
      <c r="B8761" s="28" t="s">
        <v>12240</v>
      </c>
      <c r="C8761" s="27" t="s">
        <v>15968</v>
      </c>
      <c r="D8761" s="27" t="s">
        <v>230</v>
      </c>
      <c r="E8761" s="29">
        <v>40843</v>
      </c>
      <c r="F8761" s="27">
        <v>15</v>
      </c>
      <c r="G8761" s="18">
        <v>9300</v>
      </c>
      <c r="H8761" s="27">
        <f t="shared" si="272"/>
        <v>0</v>
      </c>
      <c r="I8761" s="18">
        <v>6408.45</v>
      </c>
      <c r="J8761" s="27">
        <v>9300</v>
      </c>
      <c r="K8761" s="18">
        <f t="shared" si="273"/>
        <v>0</v>
      </c>
      <c r="L8761" s="27">
        <v>6718.22</v>
      </c>
      <c r="M8761" s="36">
        <v>309.77</v>
      </c>
      <c r="T8761" s="41">
        <v>0</v>
      </c>
      <c r="U8761" s="41">
        <v>0</v>
      </c>
      <c r="V8761" s="42" t="s">
        <v>113</v>
      </c>
      <c r="W8761" s="42">
        <v>0</v>
      </c>
      <c r="X8761" s="42">
        <v>0</v>
      </c>
    </row>
    <row r="8762" spans="1:24">
      <c r="A8762" s="27" t="s">
        <v>15969</v>
      </c>
      <c r="B8762" s="28" t="s">
        <v>12240</v>
      </c>
      <c r="C8762" s="27" t="s">
        <v>15970</v>
      </c>
      <c r="D8762" s="27" t="s">
        <v>230</v>
      </c>
      <c r="E8762" s="29">
        <v>40843</v>
      </c>
      <c r="F8762" s="27">
        <v>15</v>
      </c>
      <c r="G8762" s="18">
        <v>9300</v>
      </c>
      <c r="H8762" s="27">
        <f t="shared" si="272"/>
        <v>0</v>
      </c>
      <c r="I8762" s="18">
        <v>6408.46</v>
      </c>
      <c r="J8762" s="27">
        <v>9300</v>
      </c>
      <c r="K8762" s="18">
        <f t="shared" si="273"/>
        <v>0</v>
      </c>
      <c r="L8762" s="27">
        <v>6718.23</v>
      </c>
      <c r="M8762" s="36">
        <v>309.77</v>
      </c>
      <c r="T8762" s="41">
        <v>0</v>
      </c>
      <c r="U8762" s="41">
        <v>0</v>
      </c>
      <c r="V8762" s="42" t="s">
        <v>113</v>
      </c>
      <c r="W8762" s="42">
        <v>0</v>
      </c>
      <c r="X8762" s="42">
        <v>0</v>
      </c>
    </row>
    <row r="8763" spans="1:24">
      <c r="A8763" s="27" t="s">
        <v>15971</v>
      </c>
      <c r="B8763" s="28" t="s">
        <v>12240</v>
      </c>
      <c r="C8763" s="27" t="s">
        <v>15972</v>
      </c>
      <c r="D8763" s="27" t="s">
        <v>230</v>
      </c>
      <c r="E8763" s="29">
        <v>40843</v>
      </c>
      <c r="F8763" s="27">
        <v>15</v>
      </c>
      <c r="G8763" s="18">
        <v>9300</v>
      </c>
      <c r="H8763" s="27">
        <f t="shared" si="272"/>
        <v>0</v>
      </c>
      <c r="I8763" s="18">
        <v>6408.45</v>
      </c>
      <c r="J8763" s="27">
        <v>9300</v>
      </c>
      <c r="K8763" s="18">
        <f t="shared" si="273"/>
        <v>0</v>
      </c>
      <c r="L8763" s="27">
        <v>6718.22</v>
      </c>
      <c r="M8763" s="36">
        <v>309.77</v>
      </c>
      <c r="T8763" s="41">
        <v>0</v>
      </c>
      <c r="U8763" s="41">
        <v>0</v>
      </c>
      <c r="V8763" s="42" t="s">
        <v>113</v>
      </c>
      <c r="W8763" s="42">
        <v>0</v>
      </c>
      <c r="X8763" s="42">
        <v>0</v>
      </c>
    </row>
    <row r="8764" spans="1:24">
      <c r="A8764" s="27" t="s">
        <v>15973</v>
      </c>
      <c r="B8764" s="28" t="s">
        <v>12240</v>
      </c>
      <c r="C8764" s="27" t="s">
        <v>15974</v>
      </c>
      <c r="D8764" s="27" t="s">
        <v>230</v>
      </c>
      <c r="E8764" s="29">
        <v>40843</v>
      </c>
      <c r="F8764" s="27">
        <v>15</v>
      </c>
      <c r="G8764" s="18">
        <v>9300</v>
      </c>
      <c r="H8764" s="27">
        <f t="shared" si="272"/>
        <v>0</v>
      </c>
      <c r="I8764" s="18">
        <v>6408.46</v>
      </c>
      <c r="J8764" s="27">
        <v>9300</v>
      </c>
      <c r="K8764" s="18">
        <f t="shared" si="273"/>
        <v>0</v>
      </c>
      <c r="L8764" s="27">
        <v>6718.23</v>
      </c>
      <c r="M8764" s="36">
        <v>309.77</v>
      </c>
      <c r="T8764" s="41">
        <v>0</v>
      </c>
      <c r="U8764" s="41">
        <v>0</v>
      </c>
      <c r="V8764" s="42" t="s">
        <v>113</v>
      </c>
      <c r="W8764" s="42">
        <v>0</v>
      </c>
      <c r="X8764" s="42">
        <v>0</v>
      </c>
    </row>
    <row r="8765" spans="1:24">
      <c r="A8765" s="27" t="s">
        <v>15975</v>
      </c>
      <c r="B8765" s="28" t="s">
        <v>12240</v>
      </c>
      <c r="C8765" s="27" t="s">
        <v>15976</v>
      </c>
      <c r="D8765" s="27" t="s">
        <v>230</v>
      </c>
      <c r="E8765" s="29">
        <v>40843</v>
      </c>
      <c r="F8765" s="27">
        <v>15</v>
      </c>
      <c r="G8765" s="18">
        <v>9300</v>
      </c>
      <c r="H8765" s="27">
        <f t="shared" si="272"/>
        <v>0</v>
      </c>
      <c r="I8765" s="18">
        <v>6408.45</v>
      </c>
      <c r="J8765" s="27">
        <v>9300</v>
      </c>
      <c r="K8765" s="18">
        <f t="shared" si="273"/>
        <v>0</v>
      </c>
      <c r="L8765" s="27">
        <v>6718.22</v>
      </c>
      <c r="M8765" s="36">
        <v>309.77</v>
      </c>
      <c r="T8765" s="41">
        <v>0</v>
      </c>
      <c r="U8765" s="41">
        <v>0</v>
      </c>
      <c r="V8765" s="42" t="s">
        <v>113</v>
      </c>
      <c r="W8765" s="42">
        <v>0</v>
      </c>
      <c r="X8765" s="42">
        <v>0</v>
      </c>
    </row>
    <row r="8766" spans="1:24">
      <c r="A8766" s="27" t="s">
        <v>15977</v>
      </c>
      <c r="B8766" s="28" t="s">
        <v>12240</v>
      </c>
      <c r="C8766" s="27" t="s">
        <v>15978</v>
      </c>
      <c r="D8766" s="27" t="s">
        <v>230</v>
      </c>
      <c r="E8766" s="29">
        <v>40843</v>
      </c>
      <c r="F8766" s="27">
        <v>15</v>
      </c>
      <c r="G8766" s="18">
        <v>9300</v>
      </c>
      <c r="H8766" s="27">
        <f t="shared" si="272"/>
        <v>0</v>
      </c>
      <c r="I8766" s="18">
        <v>6408.45</v>
      </c>
      <c r="J8766" s="27">
        <v>9300</v>
      </c>
      <c r="K8766" s="18">
        <f t="shared" si="273"/>
        <v>0</v>
      </c>
      <c r="L8766" s="27">
        <v>6718.22</v>
      </c>
      <c r="M8766" s="36">
        <v>309.77</v>
      </c>
      <c r="T8766" s="41">
        <v>0</v>
      </c>
      <c r="U8766" s="41">
        <v>0</v>
      </c>
      <c r="V8766" s="42" t="s">
        <v>113</v>
      </c>
      <c r="W8766" s="42">
        <v>0</v>
      </c>
      <c r="X8766" s="42">
        <v>0</v>
      </c>
    </row>
    <row r="8767" spans="1:24">
      <c r="A8767" s="27" t="s">
        <v>15979</v>
      </c>
      <c r="B8767" s="28" t="s">
        <v>12240</v>
      </c>
      <c r="C8767" s="27" t="s">
        <v>15980</v>
      </c>
      <c r="D8767" s="27" t="s">
        <v>230</v>
      </c>
      <c r="E8767" s="29">
        <v>40843</v>
      </c>
      <c r="F8767" s="27">
        <v>15</v>
      </c>
      <c r="G8767" s="18">
        <v>9300</v>
      </c>
      <c r="H8767" s="27">
        <f t="shared" si="272"/>
        <v>0</v>
      </c>
      <c r="I8767" s="18">
        <v>6408.46</v>
      </c>
      <c r="J8767" s="27">
        <v>9300</v>
      </c>
      <c r="K8767" s="18">
        <f t="shared" si="273"/>
        <v>0</v>
      </c>
      <c r="L8767" s="27">
        <v>6718.23</v>
      </c>
      <c r="M8767" s="36">
        <v>309.77</v>
      </c>
      <c r="T8767" s="41">
        <v>0</v>
      </c>
      <c r="U8767" s="41">
        <v>0</v>
      </c>
      <c r="V8767" s="42" t="s">
        <v>113</v>
      </c>
      <c r="W8767" s="42">
        <v>0</v>
      </c>
      <c r="X8767" s="42">
        <v>0</v>
      </c>
    </row>
    <row r="8768" spans="1:24">
      <c r="A8768" s="27" t="s">
        <v>15981</v>
      </c>
      <c r="B8768" s="28" t="s">
        <v>12240</v>
      </c>
      <c r="C8768" s="27" t="s">
        <v>15982</v>
      </c>
      <c r="D8768" s="27" t="s">
        <v>230</v>
      </c>
      <c r="E8768" s="29">
        <v>40843</v>
      </c>
      <c r="F8768" s="27">
        <v>15</v>
      </c>
      <c r="G8768" s="18">
        <v>9300</v>
      </c>
      <c r="H8768" s="27">
        <f t="shared" si="272"/>
        <v>0</v>
      </c>
      <c r="I8768" s="18">
        <v>6408.45</v>
      </c>
      <c r="J8768" s="27">
        <v>9300</v>
      </c>
      <c r="K8768" s="18">
        <f t="shared" si="273"/>
        <v>0</v>
      </c>
      <c r="L8768" s="27">
        <v>6718.22</v>
      </c>
      <c r="M8768" s="36">
        <v>309.77</v>
      </c>
      <c r="T8768" s="41">
        <v>0</v>
      </c>
      <c r="U8768" s="41">
        <v>0</v>
      </c>
      <c r="V8768" s="42" t="s">
        <v>113</v>
      </c>
      <c r="W8768" s="42">
        <v>0</v>
      </c>
      <c r="X8768" s="42">
        <v>0</v>
      </c>
    </row>
    <row r="8769" spans="1:24">
      <c r="A8769" s="27" t="s">
        <v>15983</v>
      </c>
      <c r="B8769" s="28" t="s">
        <v>12240</v>
      </c>
      <c r="C8769" s="27" t="s">
        <v>15984</v>
      </c>
      <c r="D8769" s="27" t="s">
        <v>230</v>
      </c>
      <c r="E8769" s="29">
        <v>40843</v>
      </c>
      <c r="F8769" s="27">
        <v>15</v>
      </c>
      <c r="G8769" s="18">
        <v>9300</v>
      </c>
      <c r="H8769" s="27">
        <f t="shared" si="272"/>
        <v>0</v>
      </c>
      <c r="I8769" s="18">
        <v>6408.45</v>
      </c>
      <c r="J8769" s="27">
        <v>9300</v>
      </c>
      <c r="K8769" s="18">
        <f t="shared" si="273"/>
        <v>0</v>
      </c>
      <c r="L8769" s="27">
        <v>6718.22</v>
      </c>
      <c r="M8769" s="36">
        <v>309.77</v>
      </c>
      <c r="T8769" s="41">
        <v>0</v>
      </c>
      <c r="U8769" s="41">
        <v>0</v>
      </c>
      <c r="V8769" s="42" t="s">
        <v>113</v>
      </c>
      <c r="W8769" s="42">
        <v>0</v>
      </c>
      <c r="X8769" s="42">
        <v>0</v>
      </c>
    </row>
    <row r="8770" spans="1:24">
      <c r="A8770" s="27" t="s">
        <v>15985</v>
      </c>
      <c r="B8770" s="28" t="s">
        <v>12240</v>
      </c>
      <c r="C8770" s="27" t="s">
        <v>15986</v>
      </c>
      <c r="D8770" s="27" t="s">
        <v>230</v>
      </c>
      <c r="E8770" s="29">
        <v>40843</v>
      </c>
      <c r="F8770" s="27">
        <v>15</v>
      </c>
      <c r="G8770" s="18">
        <v>9300</v>
      </c>
      <c r="H8770" s="27">
        <f t="shared" si="272"/>
        <v>0</v>
      </c>
      <c r="I8770" s="18">
        <v>6408.45</v>
      </c>
      <c r="J8770" s="27">
        <v>9300</v>
      </c>
      <c r="K8770" s="18">
        <f t="shared" si="273"/>
        <v>0</v>
      </c>
      <c r="L8770" s="27">
        <v>6718.22</v>
      </c>
      <c r="M8770" s="36">
        <v>309.77</v>
      </c>
      <c r="T8770" s="41">
        <v>0</v>
      </c>
      <c r="U8770" s="41">
        <v>0</v>
      </c>
      <c r="V8770" s="42" t="s">
        <v>113</v>
      </c>
      <c r="W8770" s="42">
        <v>0</v>
      </c>
      <c r="X8770" s="42">
        <v>0</v>
      </c>
    </row>
    <row r="8771" spans="1:24">
      <c r="A8771" s="27" t="s">
        <v>15987</v>
      </c>
      <c r="B8771" s="28" t="s">
        <v>12240</v>
      </c>
      <c r="C8771" s="27" t="s">
        <v>15988</v>
      </c>
      <c r="D8771" s="27" t="s">
        <v>230</v>
      </c>
      <c r="E8771" s="29">
        <v>40843</v>
      </c>
      <c r="F8771" s="27">
        <v>15</v>
      </c>
      <c r="G8771" s="18">
        <v>61461.41</v>
      </c>
      <c r="H8771" s="27">
        <f t="shared" si="272"/>
        <v>0</v>
      </c>
      <c r="I8771" s="18">
        <v>35749.5</v>
      </c>
      <c r="J8771" s="27">
        <v>61461.41</v>
      </c>
      <c r="K8771" s="18">
        <f t="shared" si="273"/>
        <v>0</v>
      </c>
      <c r="L8771" s="27">
        <v>38639.56</v>
      </c>
      <c r="M8771" s="36">
        <v>2890.06</v>
      </c>
      <c r="T8771" s="41">
        <v>0</v>
      </c>
      <c r="U8771" s="41">
        <v>0</v>
      </c>
      <c r="V8771" s="42" t="s">
        <v>113</v>
      </c>
      <c r="W8771" s="42">
        <v>0</v>
      </c>
      <c r="X8771" s="42">
        <v>0</v>
      </c>
    </row>
    <row r="8772" spans="1:24">
      <c r="A8772" s="27" t="s">
        <v>15989</v>
      </c>
      <c r="B8772" s="28" t="s">
        <v>12240</v>
      </c>
      <c r="C8772" s="27" t="s">
        <v>15990</v>
      </c>
      <c r="D8772" s="27" t="s">
        <v>230</v>
      </c>
      <c r="E8772" s="29">
        <v>37226</v>
      </c>
      <c r="F8772" s="27">
        <v>15</v>
      </c>
      <c r="G8772" s="18">
        <v>36651.93</v>
      </c>
      <c r="H8772" s="27">
        <f t="shared" si="272"/>
        <v>36651.93</v>
      </c>
      <c r="I8772" s="18">
        <v>34819.33</v>
      </c>
      <c r="J8772" s="27">
        <v>36651.93</v>
      </c>
      <c r="K8772" s="18">
        <f t="shared" si="273"/>
        <v>36651.93</v>
      </c>
      <c r="L8772" s="27">
        <v>34819.33</v>
      </c>
      <c r="M8772" s="36">
        <v>0</v>
      </c>
      <c r="T8772" s="41">
        <v>0</v>
      </c>
      <c r="U8772" s="41">
        <v>0</v>
      </c>
      <c r="V8772" s="42" t="s">
        <v>113</v>
      </c>
      <c r="W8772" s="42">
        <v>36651.93</v>
      </c>
      <c r="X8772" s="42">
        <v>36651.93</v>
      </c>
    </row>
    <row r="8773" spans="1:24">
      <c r="A8773" s="27" t="s">
        <v>15991</v>
      </c>
      <c r="B8773" s="28" t="s">
        <v>12240</v>
      </c>
      <c r="C8773" s="27" t="s">
        <v>15992</v>
      </c>
      <c r="D8773" s="27" t="s">
        <v>230</v>
      </c>
      <c r="E8773" s="29">
        <v>41975</v>
      </c>
      <c r="F8773" s="27">
        <v>15</v>
      </c>
      <c r="G8773" s="18">
        <v>77559.839999999997</v>
      </c>
      <c r="H8773" s="27">
        <f t="shared" si="272"/>
        <v>0</v>
      </c>
      <c r="I8773" s="18">
        <v>23021.56</v>
      </c>
      <c r="J8773" s="27">
        <v>77559.839999999997</v>
      </c>
      <c r="K8773" s="18">
        <f t="shared" si="273"/>
        <v>0</v>
      </c>
      <c r="L8773" s="27">
        <v>27627.040000000001</v>
      </c>
      <c r="M8773" s="36">
        <v>4605.4799999999996</v>
      </c>
      <c r="T8773" s="41">
        <v>0</v>
      </c>
      <c r="U8773" s="41">
        <v>0</v>
      </c>
      <c r="V8773" s="42" t="s">
        <v>113</v>
      </c>
      <c r="W8773" s="42">
        <v>0</v>
      </c>
      <c r="X8773" s="42">
        <v>0</v>
      </c>
    </row>
    <row r="8774" spans="1:24">
      <c r="A8774" s="27" t="s">
        <v>15993</v>
      </c>
      <c r="B8774" s="28" t="s">
        <v>12240</v>
      </c>
      <c r="C8774" s="27" t="s">
        <v>15994</v>
      </c>
      <c r="D8774" s="27" t="s">
        <v>230</v>
      </c>
      <c r="E8774" s="29">
        <v>40843</v>
      </c>
      <c r="F8774" s="27">
        <v>15</v>
      </c>
      <c r="G8774" s="18">
        <v>9300</v>
      </c>
      <c r="H8774" s="27">
        <f t="shared" ref="H8774:H8837" si="274">IFERROR(IF(ROUND((G8774-I8774)/G8774,2)&lt;=0.05,G8774,0),0)</f>
        <v>0</v>
      </c>
      <c r="I8774" s="18">
        <v>6408.46</v>
      </c>
      <c r="J8774" s="27">
        <v>9300</v>
      </c>
      <c r="K8774" s="18">
        <f t="shared" ref="K8774:K8837" si="275">IFERROR(IF(ROUND((J8774-L8774)/J8774,2)&lt;=0.05,J8774,0),0)</f>
        <v>0</v>
      </c>
      <c r="L8774" s="27">
        <v>6718.23</v>
      </c>
      <c r="M8774" s="36">
        <v>309.77</v>
      </c>
      <c r="T8774" s="41">
        <v>0</v>
      </c>
      <c r="U8774" s="41">
        <v>0</v>
      </c>
      <c r="V8774" s="42" t="s">
        <v>113</v>
      </c>
      <c r="W8774" s="42">
        <v>0</v>
      </c>
      <c r="X8774" s="42">
        <v>0</v>
      </c>
    </row>
    <row r="8775" spans="1:24">
      <c r="A8775" s="27" t="s">
        <v>15995</v>
      </c>
      <c r="B8775" s="28" t="s">
        <v>12240</v>
      </c>
      <c r="C8775" s="27" t="s">
        <v>15996</v>
      </c>
      <c r="D8775" s="27" t="s">
        <v>230</v>
      </c>
      <c r="E8775" s="29">
        <v>40843</v>
      </c>
      <c r="F8775" s="27">
        <v>15</v>
      </c>
      <c r="G8775" s="18">
        <v>9300</v>
      </c>
      <c r="H8775" s="27">
        <f t="shared" si="274"/>
        <v>0</v>
      </c>
      <c r="I8775" s="18">
        <v>6408.46</v>
      </c>
      <c r="J8775" s="27">
        <v>9300</v>
      </c>
      <c r="K8775" s="18">
        <f t="shared" si="275"/>
        <v>0</v>
      </c>
      <c r="L8775" s="27">
        <v>6718.23</v>
      </c>
      <c r="M8775" s="36">
        <v>309.77</v>
      </c>
      <c r="T8775" s="41">
        <v>0</v>
      </c>
      <c r="U8775" s="41">
        <v>0</v>
      </c>
      <c r="V8775" s="42" t="s">
        <v>113</v>
      </c>
      <c r="W8775" s="42">
        <v>0</v>
      </c>
      <c r="X8775" s="42">
        <v>0</v>
      </c>
    </row>
    <row r="8776" spans="1:24">
      <c r="A8776" s="27" t="s">
        <v>15997</v>
      </c>
      <c r="B8776" s="28" t="s">
        <v>12240</v>
      </c>
      <c r="C8776" s="27" t="s">
        <v>15998</v>
      </c>
      <c r="D8776" s="27" t="s">
        <v>230</v>
      </c>
      <c r="E8776" s="29">
        <v>37226</v>
      </c>
      <c r="F8776" s="27">
        <v>15</v>
      </c>
      <c r="G8776" s="18">
        <v>14878.78</v>
      </c>
      <c r="H8776" s="27">
        <f t="shared" si="274"/>
        <v>14878.78</v>
      </c>
      <c r="I8776" s="18">
        <v>14134.84</v>
      </c>
      <c r="J8776" s="27">
        <v>14878.78</v>
      </c>
      <c r="K8776" s="18">
        <f t="shared" si="275"/>
        <v>14878.78</v>
      </c>
      <c r="L8776" s="27">
        <v>14134.84</v>
      </c>
      <c r="M8776" s="36">
        <v>0</v>
      </c>
      <c r="T8776" s="41">
        <v>0</v>
      </c>
      <c r="U8776" s="41">
        <v>0</v>
      </c>
      <c r="V8776" s="42" t="s">
        <v>113</v>
      </c>
      <c r="W8776" s="42">
        <v>14878.78</v>
      </c>
      <c r="X8776" s="42">
        <v>14878.78</v>
      </c>
    </row>
    <row r="8777" spans="1:24">
      <c r="A8777" s="27" t="s">
        <v>15999</v>
      </c>
      <c r="B8777" s="28" t="s">
        <v>12240</v>
      </c>
      <c r="C8777" s="27" t="s">
        <v>16000</v>
      </c>
      <c r="D8777" s="27" t="s">
        <v>230</v>
      </c>
      <c r="E8777" s="29">
        <v>38078</v>
      </c>
      <c r="F8777" s="27">
        <v>15</v>
      </c>
      <c r="G8777" s="18">
        <v>19693.3</v>
      </c>
      <c r="H8777" s="27">
        <f t="shared" si="274"/>
        <v>19693.3</v>
      </c>
      <c r="I8777" s="18">
        <v>18708.63</v>
      </c>
      <c r="J8777" s="27">
        <v>19693.3</v>
      </c>
      <c r="K8777" s="18">
        <f t="shared" si="275"/>
        <v>19693.3</v>
      </c>
      <c r="L8777" s="27">
        <v>18708.63</v>
      </c>
      <c r="M8777" s="36">
        <v>0</v>
      </c>
      <c r="T8777" s="41">
        <v>0</v>
      </c>
      <c r="U8777" s="41">
        <v>0</v>
      </c>
      <c r="V8777" s="42" t="s">
        <v>113</v>
      </c>
      <c r="W8777" s="42">
        <v>19693.3</v>
      </c>
      <c r="X8777" s="42">
        <v>19693.3</v>
      </c>
    </row>
    <row r="8778" spans="1:24">
      <c r="A8778" s="27" t="s">
        <v>16001</v>
      </c>
      <c r="B8778" s="28" t="s">
        <v>12240</v>
      </c>
      <c r="C8778" s="27" t="s">
        <v>16002</v>
      </c>
      <c r="D8778" s="27" t="s">
        <v>230</v>
      </c>
      <c r="E8778" s="29">
        <v>40843</v>
      </c>
      <c r="F8778" s="27">
        <v>15</v>
      </c>
      <c r="G8778" s="18">
        <v>9300</v>
      </c>
      <c r="H8778" s="27">
        <f t="shared" si="274"/>
        <v>0</v>
      </c>
      <c r="I8778" s="18">
        <v>6408.45</v>
      </c>
      <c r="J8778" s="27">
        <v>9300</v>
      </c>
      <c r="K8778" s="18">
        <f t="shared" si="275"/>
        <v>0</v>
      </c>
      <c r="L8778" s="27">
        <v>6718.22</v>
      </c>
      <c r="M8778" s="36">
        <v>309.77</v>
      </c>
      <c r="T8778" s="41">
        <v>0</v>
      </c>
      <c r="U8778" s="41">
        <v>0</v>
      </c>
      <c r="V8778" s="42" t="s">
        <v>113</v>
      </c>
      <c r="W8778" s="42">
        <v>0</v>
      </c>
      <c r="X8778" s="42">
        <v>0</v>
      </c>
    </row>
    <row r="8779" spans="1:24">
      <c r="A8779" s="27" t="s">
        <v>16003</v>
      </c>
      <c r="B8779" s="28" t="s">
        <v>12240</v>
      </c>
      <c r="C8779" s="27" t="s">
        <v>16004</v>
      </c>
      <c r="D8779" s="27" t="s">
        <v>230</v>
      </c>
      <c r="E8779" s="29">
        <v>40843</v>
      </c>
      <c r="F8779" s="27">
        <v>15</v>
      </c>
      <c r="G8779" s="18">
        <v>9300</v>
      </c>
      <c r="H8779" s="27">
        <f t="shared" si="274"/>
        <v>0</v>
      </c>
      <c r="I8779" s="18">
        <v>6408.46</v>
      </c>
      <c r="J8779" s="27">
        <v>9300</v>
      </c>
      <c r="K8779" s="18">
        <f t="shared" si="275"/>
        <v>0</v>
      </c>
      <c r="L8779" s="27">
        <v>6718.23</v>
      </c>
      <c r="M8779" s="36">
        <v>309.77</v>
      </c>
      <c r="T8779" s="41">
        <v>0</v>
      </c>
      <c r="U8779" s="41">
        <v>0</v>
      </c>
      <c r="V8779" s="42" t="s">
        <v>113</v>
      </c>
      <c r="W8779" s="42">
        <v>0</v>
      </c>
      <c r="X8779" s="42">
        <v>0</v>
      </c>
    </row>
    <row r="8780" spans="1:24">
      <c r="A8780" s="27" t="s">
        <v>16005</v>
      </c>
      <c r="B8780" s="28" t="s">
        <v>12240</v>
      </c>
      <c r="C8780" s="27" t="s">
        <v>16006</v>
      </c>
      <c r="D8780" s="27" t="s">
        <v>230</v>
      </c>
      <c r="E8780" s="29">
        <v>37226</v>
      </c>
      <c r="F8780" s="27">
        <v>15</v>
      </c>
      <c r="G8780" s="18">
        <v>14878.78</v>
      </c>
      <c r="H8780" s="27">
        <f t="shared" si="274"/>
        <v>14878.78</v>
      </c>
      <c r="I8780" s="18">
        <v>14134.84</v>
      </c>
      <c r="J8780" s="27">
        <v>14878.78</v>
      </c>
      <c r="K8780" s="18">
        <f t="shared" si="275"/>
        <v>14878.78</v>
      </c>
      <c r="L8780" s="27">
        <v>14134.84</v>
      </c>
      <c r="M8780" s="36">
        <v>0</v>
      </c>
      <c r="T8780" s="41">
        <v>0</v>
      </c>
      <c r="U8780" s="41">
        <v>0</v>
      </c>
      <c r="V8780" s="42" t="s">
        <v>113</v>
      </c>
      <c r="W8780" s="42">
        <v>14878.78</v>
      </c>
      <c r="X8780" s="42">
        <v>14878.78</v>
      </c>
    </row>
    <row r="8781" spans="1:24">
      <c r="A8781" s="27" t="s">
        <v>16007</v>
      </c>
      <c r="B8781" s="28" t="s">
        <v>12240</v>
      </c>
      <c r="C8781" s="27" t="s">
        <v>16008</v>
      </c>
      <c r="D8781" s="27" t="s">
        <v>230</v>
      </c>
      <c r="E8781" s="29">
        <v>40843</v>
      </c>
      <c r="F8781" s="27">
        <v>15</v>
      </c>
      <c r="G8781" s="18">
        <v>9300</v>
      </c>
      <c r="H8781" s="27">
        <f t="shared" si="274"/>
        <v>0</v>
      </c>
      <c r="I8781" s="18">
        <v>6408.46</v>
      </c>
      <c r="J8781" s="27">
        <v>9300</v>
      </c>
      <c r="K8781" s="18">
        <f t="shared" si="275"/>
        <v>0</v>
      </c>
      <c r="L8781" s="27">
        <v>6718.23</v>
      </c>
      <c r="M8781" s="36">
        <v>309.77</v>
      </c>
      <c r="T8781" s="41">
        <v>0</v>
      </c>
      <c r="U8781" s="41">
        <v>0</v>
      </c>
      <c r="V8781" s="42" t="s">
        <v>113</v>
      </c>
      <c r="W8781" s="42">
        <v>0</v>
      </c>
      <c r="X8781" s="42">
        <v>0</v>
      </c>
    </row>
    <row r="8782" spans="1:24">
      <c r="A8782" s="27" t="s">
        <v>16009</v>
      </c>
      <c r="B8782" s="28" t="s">
        <v>12240</v>
      </c>
      <c r="C8782" s="27" t="s">
        <v>16010</v>
      </c>
      <c r="D8782" s="27" t="s">
        <v>230</v>
      </c>
      <c r="E8782" s="29">
        <v>40843</v>
      </c>
      <c r="F8782" s="27">
        <v>15</v>
      </c>
      <c r="G8782" s="18">
        <v>9300</v>
      </c>
      <c r="H8782" s="27">
        <f t="shared" si="274"/>
        <v>0</v>
      </c>
      <c r="I8782" s="18">
        <v>6408.45</v>
      </c>
      <c r="J8782" s="27">
        <v>9300</v>
      </c>
      <c r="K8782" s="18">
        <f t="shared" si="275"/>
        <v>0</v>
      </c>
      <c r="L8782" s="27">
        <v>6718.22</v>
      </c>
      <c r="M8782" s="36">
        <v>309.77</v>
      </c>
      <c r="T8782" s="41">
        <v>0</v>
      </c>
      <c r="U8782" s="41">
        <v>0</v>
      </c>
      <c r="V8782" s="42" t="s">
        <v>113</v>
      </c>
      <c r="W8782" s="42">
        <v>0</v>
      </c>
      <c r="X8782" s="42">
        <v>0</v>
      </c>
    </row>
    <row r="8783" spans="1:24">
      <c r="A8783" s="27" t="s">
        <v>16011</v>
      </c>
      <c r="B8783" s="28" t="s">
        <v>12240</v>
      </c>
      <c r="C8783" s="27" t="s">
        <v>16012</v>
      </c>
      <c r="D8783" s="27" t="s">
        <v>230</v>
      </c>
      <c r="E8783" s="29">
        <v>40843</v>
      </c>
      <c r="F8783" s="27">
        <v>15</v>
      </c>
      <c r="G8783" s="18">
        <v>9300</v>
      </c>
      <c r="H8783" s="27">
        <f t="shared" si="274"/>
        <v>0</v>
      </c>
      <c r="I8783" s="18">
        <v>6408.45</v>
      </c>
      <c r="J8783" s="27">
        <v>49110.5</v>
      </c>
      <c r="K8783" s="18">
        <f t="shared" si="275"/>
        <v>0</v>
      </c>
      <c r="L8783" s="27">
        <v>6718.22</v>
      </c>
      <c r="M8783" s="36">
        <v>309.77</v>
      </c>
      <c r="N8783" s="18" t="s">
        <v>14637</v>
      </c>
      <c r="O8783" s="19">
        <v>39810.5</v>
      </c>
      <c r="T8783" s="41">
        <v>0</v>
      </c>
      <c r="U8783" s="41">
        <v>0</v>
      </c>
      <c r="V8783" s="42" t="s">
        <v>113</v>
      </c>
      <c r="W8783" s="42">
        <v>0</v>
      </c>
      <c r="X8783" s="42">
        <v>0</v>
      </c>
    </row>
    <row r="8784" spans="1:24">
      <c r="A8784" s="27" t="s">
        <v>16013</v>
      </c>
      <c r="B8784" s="28" t="s">
        <v>12240</v>
      </c>
      <c r="C8784" s="27" t="s">
        <v>16014</v>
      </c>
      <c r="D8784" s="27" t="s">
        <v>230</v>
      </c>
      <c r="E8784" s="29">
        <v>40843</v>
      </c>
      <c r="F8784" s="27">
        <v>15</v>
      </c>
      <c r="G8784" s="18">
        <v>9300</v>
      </c>
      <c r="H8784" s="27">
        <f t="shared" si="274"/>
        <v>0</v>
      </c>
      <c r="I8784" s="18">
        <v>6408.46</v>
      </c>
      <c r="J8784" s="27">
        <v>9300</v>
      </c>
      <c r="K8784" s="18">
        <f t="shared" si="275"/>
        <v>0</v>
      </c>
      <c r="L8784" s="27">
        <v>6718.23</v>
      </c>
      <c r="M8784" s="36">
        <v>309.77</v>
      </c>
      <c r="T8784" s="41">
        <v>0</v>
      </c>
      <c r="U8784" s="41">
        <v>0</v>
      </c>
      <c r="V8784" s="42" t="s">
        <v>113</v>
      </c>
      <c r="W8784" s="42">
        <v>0</v>
      </c>
      <c r="X8784" s="42">
        <v>0</v>
      </c>
    </row>
    <row r="8785" spans="1:24">
      <c r="A8785" s="27" t="s">
        <v>16015</v>
      </c>
      <c r="B8785" s="28" t="s">
        <v>12240</v>
      </c>
      <c r="C8785" s="27" t="s">
        <v>16016</v>
      </c>
      <c r="D8785" s="27" t="s">
        <v>230</v>
      </c>
      <c r="E8785" s="29">
        <v>40843</v>
      </c>
      <c r="F8785" s="27">
        <v>15</v>
      </c>
      <c r="G8785" s="18">
        <v>9300</v>
      </c>
      <c r="H8785" s="27">
        <f t="shared" si="274"/>
        <v>0</v>
      </c>
      <c r="I8785" s="18">
        <v>6408.45</v>
      </c>
      <c r="J8785" s="27">
        <v>9300</v>
      </c>
      <c r="K8785" s="18">
        <f t="shared" si="275"/>
        <v>0</v>
      </c>
      <c r="L8785" s="27">
        <v>6718.22</v>
      </c>
      <c r="M8785" s="36">
        <v>309.77</v>
      </c>
      <c r="T8785" s="41">
        <v>0</v>
      </c>
      <c r="U8785" s="41">
        <v>0</v>
      </c>
      <c r="V8785" s="42" t="s">
        <v>113</v>
      </c>
      <c r="W8785" s="42">
        <v>0</v>
      </c>
      <c r="X8785" s="42">
        <v>0</v>
      </c>
    </row>
    <row r="8786" spans="1:24">
      <c r="A8786" s="27" t="s">
        <v>16017</v>
      </c>
      <c r="B8786" s="28" t="s">
        <v>12240</v>
      </c>
      <c r="C8786" s="27" t="s">
        <v>16018</v>
      </c>
      <c r="D8786" s="27" t="s">
        <v>230</v>
      </c>
      <c r="E8786" s="29">
        <v>40843</v>
      </c>
      <c r="F8786" s="27">
        <v>15</v>
      </c>
      <c r="G8786" s="18">
        <v>9300</v>
      </c>
      <c r="H8786" s="27">
        <f t="shared" si="274"/>
        <v>0</v>
      </c>
      <c r="I8786" s="18">
        <v>6408.45</v>
      </c>
      <c r="J8786" s="27">
        <v>9300</v>
      </c>
      <c r="K8786" s="18">
        <f t="shared" si="275"/>
        <v>0</v>
      </c>
      <c r="L8786" s="27">
        <v>6718.22</v>
      </c>
      <c r="M8786" s="36">
        <v>309.77</v>
      </c>
      <c r="T8786" s="41">
        <v>0</v>
      </c>
      <c r="U8786" s="41">
        <v>0</v>
      </c>
      <c r="V8786" s="42" t="s">
        <v>113</v>
      </c>
      <c r="W8786" s="42">
        <v>0</v>
      </c>
      <c r="X8786" s="42">
        <v>0</v>
      </c>
    </row>
    <row r="8787" spans="1:24">
      <c r="A8787" s="27" t="s">
        <v>16019</v>
      </c>
      <c r="B8787" s="28" t="s">
        <v>12240</v>
      </c>
      <c r="C8787" s="27" t="s">
        <v>16020</v>
      </c>
      <c r="D8787" s="27" t="s">
        <v>230</v>
      </c>
      <c r="E8787" s="29">
        <v>40843</v>
      </c>
      <c r="F8787" s="27">
        <v>15</v>
      </c>
      <c r="G8787" s="18">
        <v>9300</v>
      </c>
      <c r="H8787" s="27">
        <f t="shared" si="274"/>
        <v>0</v>
      </c>
      <c r="I8787" s="18">
        <v>6408.46</v>
      </c>
      <c r="J8787" s="27">
        <v>9300</v>
      </c>
      <c r="K8787" s="18">
        <f t="shared" si="275"/>
        <v>0</v>
      </c>
      <c r="L8787" s="27">
        <v>6718.23</v>
      </c>
      <c r="M8787" s="36">
        <v>309.77</v>
      </c>
      <c r="T8787" s="41">
        <v>0</v>
      </c>
      <c r="U8787" s="41">
        <v>0</v>
      </c>
      <c r="V8787" s="42" t="s">
        <v>113</v>
      </c>
      <c r="W8787" s="42">
        <v>0</v>
      </c>
      <c r="X8787" s="42">
        <v>0</v>
      </c>
    </row>
    <row r="8788" spans="1:24">
      <c r="A8788" s="27" t="s">
        <v>16021</v>
      </c>
      <c r="B8788" s="28" t="s">
        <v>12240</v>
      </c>
      <c r="C8788" s="27" t="s">
        <v>16022</v>
      </c>
      <c r="D8788" s="27" t="s">
        <v>230</v>
      </c>
      <c r="E8788" s="29">
        <v>37226</v>
      </c>
      <c r="F8788" s="27">
        <v>15</v>
      </c>
      <c r="G8788" s="18">
        <v>14878.79</v>
      </c>
      <c r="H8788" s="27">
        <f t="shared" si="274"/>
        <v>14878.79</v>
      </c>
      <c r="I8788" s="18">
        <v>14134.85</v>
      </c>
      <c r="J8788" s="27">
        <v>14878.79</v>
      </c>
      <c r="K8788" s="18">
        <f t="shared" si="275"/>
        <v>14878.79</v>
      </c>
      <c r="L8788" s="27">
        <v>14134.85</v>
      </c>
      <c r="M8788" s="36">
        <v>0</v>
      </c>
      <c r="T8788" s="41">
        <v>0</v>
      </c>
      <c r="U8788" s="41">
        <v>0</v>
      </c>
      <c r="V8788" s="42" t="s">
        <v>113</v>
      </c>
      <c r="W8788" s="42">
        <v>14878.79</v>
      </c>
      <c r="X8788" s="42">
        <v>14878.79</v>
      </c>
    </row>
    <row r="8789" spans="1:24">
      <c r="A8789" s="27" t="s">
        <v>16023</v>
      </c>
      <c r="B8789" s="28" t="s">
        <v>12240</v>
      </c>
      <c r="C8789" s="27" t="s">
        <v>16024</v>
      </c>
      <c r="D8789" s="27" t="s">
        <v>230</v>
      </c>
      <c r="E8789" s="29">
        <v>40843</v>
      </c>
      <c r="F8789" s="27">
        <v>15</v>
      </c>
      <c r="G8789" s="18">
        <v>9300</v>
      </c>
      <c r="H8789" s="27">
        <f t="shared" si="274"/>
        <v>0</v>
      </c>
      <c r="I8789" s="18">
        <v>6408.46</v>
      </c>
      <c r="J8789" s="27">
        <v>9300</v>
      </c>
      <c r="K8789" s="18">
        <f t="shared" si="275"/>
        <v>0</v>
      </c>
      <c r="L8789" s="27">
        <v>6718.23</v>
      </c>
      <c r="M8789" s="36">
        <v>309.77</v>
      </c>
      <c r="T8789" s="41">
        <v>0</v>
      </c>
      <c r="U8789" s="41">
        <v>0</v>
      </c>
      <c r="V8789" s="42" t="s">
        <v>113</v>
      </c>
      <c r="W8789" s="42">
        <v>0</v>
      </c>
      <c r="X8789" s="42">
        <v>0</v>
      </c>
    </row>
    <row r="8790" spans="1:24">
      <c r="A8790" s="27" t="s">
        <v>16025</v>
      </c>
      <c r="B8790" s="28" t="s">
        <v>12240</v>
      </c>
      <c r="C8790" s="27" t="s">
        <v>16026</v>
      </c>
      <c r="D8790" s="27" t="s">
        <v>230</v>
      </c>
      <c r="E8790" s="29">
        <v>40843</v>
      </c>
      <c r="F8790" s="27">
        <v>15</v>
      </c>
      <c r="G8790" s="18">
        <v>9300</v>
      </c>
      <c r="H8790" s="27">
        <f t="shared" si="274"/>
        <v>0</v>
      </c>
      <c r="I8790" s="18">
        <v>6408.46</v>
      </c>
      <c r="J8790" s="27">
        <v>9300</v>
      </c>
      <c r="K8790" s="18">
        <f t="shared" si="275"/>
        <v>0</v>
      </c>
      <c r="L8790" s="27">
        <v>6718.23</v>
      </c>
      <c r="M8790" s="36">
        <v>309.77</v>
      </c>
      <c r="T8790" s="41">
        <v>0</v>
      </c>
      <c r="U8790" s="41">
        <v>0</v>
      </c>
      <c r="V8790" s="42" t="s">
        <v>113</v>
      </c>
      <c r="W8790" s="42">
        <v>0</v>
      </c>
      <c r="X8790" s="42">
        <v>0</v>
      </c>
    </row>
    <row r="8791" spans="1:24">
      <c r="A8791" s="27" t="s">
        <v>16027</v>
      </c>
      <c r="B8791" s="28" t="s">
        <v>12240</v>
      </c>
      <c r="C8791" s="27" t="s">
        <v>16028</v>
      </c>
      <c r="D8791" s="27" t="s">
        <v>230</v>
      </c>
      <c r="E8791" s="29">
        <v>41452</v>
      </c>
      <c r="F8791" s="27">
        <v>15</v>
      </c>
      <c r="G8791" s="18">
        <v>42163.22</v>
      </c>
      <c r="H8791" s="27">
        <f t="shared" si="274"/>
        <v>0</v>
      </c>
      <c r="I8791" s="18">
        <v>17404.87</v>
      </c>
      <c r="J8791" s="27">
        <v>42163.22</v>
      </c>
      <c r="K8791" s="18">
        <f t="shared" si="275"/>
        <v>0</v>
      </c>
      <c r="L8791" s="27">
        <v>19789.099999999999</v>
      </c>
      <c r="M8791" s="36">
        <v>2384.23</v>
      </c>
      <c r="T8791" s="41">
        <v>0</v>
      </c>
      <c r="U8791" s="41">
        <v>0</v>
      </c>
      <c r="V8791" s="42" t="s">
        <v>113</v>
      </c>
      <c r="W8791" s="42">
        <v>0</v>
      </c>
      <c r="X8791" s="42">
        <v>0</v>
      </c>
    </row>
    <row r="8792" spans="1:24">
      <c r="A8792" s="27" t="s">
        <v>16029</v>
      </c>
      <c r="B8792" s="28" t="s">
        <v>12240</v>
      </c>
      <c r="C8792" s="27" t="s">
        <v>16030</v>
      </c>
      <c r="D8792" s="27" t="s">
        <v>230</v>
      </c>
      <c r="E8792" s="29">
        <v>40843</v>
      </c>
      <c r="F8792" s="27">
        <v>15</v>
      </c>
      <c r="G8792" s="18">
        <v>32594.34</v>
      </c>
      <c r="H8792" s="27">
        <f t="shared" si="274"/>
        <v>0</v>
      </c>
      <c r="I8792" s="18">
        <v>18873.12</v>
      </c>
      <c r="J8792" s="27">
        <v>32594.34</v>
      </c>
      <c r="K8792" s="18">
        <f t="shared" si="275"/>
        <v>0</v>
      </c>
      <c r="L8792" s="27">
        <v>20416.72</v>
      </c>
      <c r="M8792" s="36">
        <v>1543.6</v>
      </c>
      <c r="T8792" s="41">
        <v>0</v>
      </c>
      <c r="U8792" s="41">
        <v>0</v>
      </c>
      <c r="V8792" s="42" t="s">
        <v>113</v>
      </c>
      <c r="W8792" s="42">
        <v>0</v>
      </c>
      <c r="X8792" s="42">
        <v>0</v>
      </c>
    </row>
    <row r="8793" spans="1:24">
      <c r="A8793" s="27" t="s">
        <v>16031</v>
      </c>
      <c r="B8793" s="28" t="s">
        <v>12240</v>
      </c>
      <c r="C8793" s="27" t="s">
        <v>16032</v>
      </c>
      <c r="D8793" s="27" t="s">
        <v>230</v>
      </c>
      <c r="E8793" s="29">
        <v>40843</v>
      </c>
      <c r="F8793" s="27">
        <v>15</v>
      </c>
      <c r="G8793" s="18">
        <v>9300</v>
      </c>
      <c r="H8793" s="27">
        <f t="shared" si="274"/>
        <v>0</v>
      </c>
      <c r="I8793" s="18">
        <v>6408.46</v>
      </c>
      <c r="J8793" s="27">
        <v>9300</v>
      </c>
      <c r="K8793" s="18">
        <f t="shared" si="275"/>
        <v>0</v>
      </c>
      <c r="L8793" s="27">
        <v>6718.23</v>
      </c>
      <c r="M8793" s="36">
        <v>309.77</v>
      </c>
      <c r="T8793" s="41">
        <v>0</v>
      </c>
      <c r="U8793" s="41">
        <v>0</v>
      </c>
      <c r="V8793" s="42" t="s">
        <v>113</v>
      </c>
      <c r="W8793" s="42">
        <v>0</v>
      </c>
      <c r="X8793" s="42">
        <v>0</v>
      </c>
    </row>
    <row r="8794" spans="1:24">
      <c r="A8794" s="27" t="s">
        <v>16033</v>
      </c>
      <c r="B8794" s="28" t="s">
        <v>12240</v>
      </c>
      <c r="C8794" s="27" t="s">
        <v>16034</v>
      </c>
      <c r="D8794" s="27" t="s">
        <v>230</v>
      </c>
      <c r="E8794" s="29">
        <v>40843</v>
      </c>
      <c r="F8794" s="27">
        <v>15</v>
      </c>
      <c r="G8794" s="18">
        <v>9300</v>
      </c>
      <c r="H8794" s="27">
        <f t="shared" si="274"/>
        <v>0</v>
      </c>
      <c r="I8794" s="18">
        <v>6408.46</v>
      </c>
      <c r="J8794" s="27">
        <v>9300</v>
      </c>
      <c r="K8794" s="18">
        <f t="shared" si="275"/>
        <v>0</v>
      </c>
      <c r="L8794" s="27">
        <v>6718.23</v>
      </c>
      <c r="M8794" s="36">
        <v>309.77</v>
      </c>
      <c r="T8794" s="41">
        <v>0</v>
      </c>
      <c r="U8794" s="41">
        <v>0</v>
      </c>
      <c r="V8794" s="42" t="s">
        <v>113</v>
      </c>
      <c r="W8794" s="42">
        <v>0</v>
      </c>
      <c r="X8794" s="42">
        <v>0</v>
      </c>
    </row>
    <row r="8795" spans="1:24">
      <c r="A8795" s="27" t="s">
        <v>16035</v>
      </c>
      <c r="B8795" s="28" t="s">
        <v>12240</v>
      </c>
      <c r="C8795" s="27" t="s">
        <v>16036</v>
      </c>
      <c r="D8795" s="27" t="s">
        <v>230</v>
      </c>
      <c r="E8795" s="29">
        <v>40843</v>
      </c>
      <c r="F8795" s="27">
        <v>15</v>
      </c>
      <c r="G8795" s="18">
        <v>9300</v>
      </c>
      <c r="H8795" s="27">
        <f t="shared" si="274"/>
        <v>0</v>
      </c>
      <c r="I8795" s="18">
        <v>6408.45</v>
      </c>
      <c r="J8795" s="27">
        <v>9300</v>
      </c>
      <c r="K8795" s="18">
        <f t="shared" si="275"/>
        <v>0</v>
      </c>
      <c r="L8795" s="27">
        <v>6718.22</v>
      </c>
      <c r="M8795" s="36">
        <v>309.77</v>
      </c>
      <c r="T8795" s="41">
        <v>0</v>
      </c>
      <c r="U8795" s="41">
        <v>0</v>
      </c>
      <c r="V8795" s="42" t="s">
        <v>113</v>
      </c>
      <c r="W8795" s="42">
        <v>0</v>
      </c>
      <c r="X8795" s="42">
        <v>0</v>
      </c>
    </row>
    <row r="8796" spans="1:24">
      <c r="A8796" s="27" t="s">
        <v>16037</v>
      </c>
      <c r="B8796" s="28" t="s">
        <v>12240</v>
      </c>
      <c r="C8796" s="27" t="s">
        <v>16038</v>
      </c>
      <c r="D8796" s="27" t="s">
        <v>230</v>
      </c>
      <c r="E8796" s="29">
        <v>40843</v>
      </c>
      <c r="F8796" s="27">
        <v>15</v>
      </c>
      <c r="G8796" s="18">
        <v>9300</v>
      </c>
      <c r="H8796" s="27">
        <f t="shared" si="274"/>
        <v>0</v>
      </c>
      <c r="I8796" s="18">
        <v>6408.45</v>
      </c>
      <c r="J8796" s="27">
        <v>9300</v>
      </c>
      <c r="K8796" s="18">
        <f t="shared" si="275"/>
        <v>0</v>
      </c>
      <c r="L8796" s="27">
        <v>6718.22</v>
      </c>
      <c r="M8796" s="36">
        <v>309.77</v>
      </c>
      <c r="T8796" s="41">
        <v>0</v>
      </c>
      <c r="U8796" s="41">
        <v>0</v>
      </c>
      <c r="V8796" s="42" t="s">
        <v>113</v>
      </c>
      <c r="W8796" s="42">
        <v>0</v>
      </c>
      <c r="X8796" s="42">
        <v>0</v>
      </c>
    </row>
    <row r="8797" spans="1:24">
      <c r="A8797" s="27" t="s">
        <v>16039</v>
      </c>
      <c r="B8797" s="28" t="s">
        <v>12240</v>
      </c>
      <c r="C8797" s="27" t="s">
        <v>16040</v>
      </c>
      <c r="D8797" s="27" t="s">
        <v>230</v>
      </c>
      <c r="E8797" s="29">
        <v>41973</v>
      </c>
      <c r="F8797" s="27">
        <v>15</v>
      </c>
      <c r="G8797" s="18">
        <v>35891.760000000002</v>
      </c>
      <c r="H8797" s="27">
        <f t="shared" si="274"/>
        <v>0</v>
      </c>
      <c r="I8797" s="18">
        <v>10887.19</v>
      </c>
      <c r="J8797" s="27">
        <v>35891.760000000002</v>
      </c>
      <c r="K8797" s="18">
        <f t="shared" si="275"/>
        <v>0</v>
      </c>
      <c r="L8797" s="27">
        <v>13013.3</v>
      </c>
      <c r="M8797" s="36">
        <v>2126.11</v>
      </c>
      <c r="T8797" s="41">
        <v>0</v>
      </c>
      <c r="U8797" s="41">
        <v>0</v>
      </c>
      <c r="V8797" s="42" t="s">
        <v>113</v>
      </c>
      <c r="W8797" s="42">
        <v>0</v>
      </c>
      <c r="X8797" s="42">
        <v>0</v>
      </c>
    </row>
    <row r="8798" spans="1:24">
      <c r="A8798" s="27" t="s">
        <v>16041</v>
      </c>
      <c r="B8798" s="28" t="s">
        <v>12240</v>
      </c>
      <c r="C8798" s="27" t="s">
        <v>16042</v>
      </c>
      <c r="D8798" s="27" t="s">
        <v>230</v>
      </c>
      <c r="E8798" s="29">
        <v>40843</v>
      </c>
      <c r="F8798" s="27">
        <v>15</v>
      </c>
      <c r="G8798" s="18">
        <v>9300</v>
      </c>
      <c r="H8798" s="27">
        <f t="shared" si="274"/>
        <v>0</v>
      </c>
      <c r="I8798" s="18">
        <v>6408.46</v>
      </c>
      <c r="J8798" s="27">
        <v>9300</v>
      </c>
      <c r="K8798" s="18">
        <f t="shared" si="275"/>
        <v>0</v>
      </c>
      <c r="L8798" s="27">
        <v>6718.23</v>
      </c>
      <c r="M8798" s="36">
        <v>309.77</v>
      </c>
      <c r="T8798" s="41">
        <v>0</v>
      </c>
      <c r="U8798" s="41">
        <v>0</v>
      </c>
      <c r="V8798" s="42" t="s">
        <v>113</v>
      </c>
      <c r="W8798" s="42">
        <v>0</v>
      </c>
      <c r="X8798" s="42">
        <v>0</v>
      </c>
    </row>
    <row r="8799" spans="1:24">
      <c r="A8799" s="27" t="s">
        <v>16043</v>
      </c>
      <c r="B8799" s="28" t="s">
        <v>12240</v>
      </c>
      <c r="C8799" s="27" t="s">
        <v>16044</v>
      </c>
      <c r="D8799" s="27" t="s">
        <v>230</v>
      </c>
      <c r="E8799" s="29">
        <v>40843</v>
      </c>
      <c r="F8799" s="27">
        <v>15</v>
      </c>
      <c r="G8799" s="18">
        <v>9300</v>
      </c>
      <c r="H8799" s="27">
        <f t="shared" si="274"/>
        <v>0</v>
      </c>
      <c r="I8799" s="18">
        <v>6408.45</v>
      </c>
      <c r="J8799" s="27">
        <v>9300</v>
      </c>
      <c r="K8799" s="18">
        <f t="shared" si="275"/>
        <v>0</v>
      </c>
      <c r="L8799" s="27">
        <v>6718.22</v>
      </c>
      <c r="M8799" s="36">
        <v>309.77</v>
      </c>
      <c r="T8799" s="41">
        <v>0</v>
      </c>
      <c r="U8799" s="41">
        <v>0</v>
      </c>
      <c r="V8799" s="42" t="s">
        <v>113</v>
      </c>
      <c r="W8799" s="42">
        <v>0</v>
      </c>
      <c r="X8799" s="42">
        <v>0</v>
      </c>
    </row>
    <row r="8800" spans="1:24">
      <c r="A8800" s="27" t="s">
        <v>16045</v>
      </c>
      <c r="B8800" s="28" t="s">
        <v>12240</v>
      </c>
      <c r="C8800" s="27" t="s">
        <v>16046</v>
      </c>
      <c r="D8800" s="27" t="s">
        <v>230</v>
      </c>
      <c r="E8800" s="29">
        <v>40843</v>
      </c>
      <c r="F8800" s="27">
        <v>15</v>
      </c>
      <c r="G8800" s="18">
        <v>9300</v>
      </c>
      <c r="H8800" s="27">
        <f t="shared" si="274"/>
        <v>0</v>
      </c>
      <c r="I8800" s="18">
        <v>6408.46</v>
      </c>
      <c r="J8800" s="27">
        <v>9300</v>
      </c>
      <c r="K8800" s="18">
        <f t="shared" si="275"/>
        <v>0</v>
      </c>
      <c r="L8800" s="27">
        <v>6718.23</v>
      </c>
      <c r="M8800" s="36">
        <v>309.77</v>
      </c>
      <c r="T8800" s="41">
        <v>0</v>
      </c>
      <c r="U8800" s="41">
        <v>0</v>
      </c>
      <c r="V8800" s="42" t="s">
        <v>113</v>
      </c>
      <c r="W8800" s="42">
        <v>0</v>
      </c>
      <c r="X8800" s="42">
        <v>0</v>
      </c>
    </row>
    <row r="8801" spans="1:24">
      <c r="A8801" s="27" t="s">
        <v>16047</v>
      </c>
      <c r="B8801" s="28" t="s">
        <v>12240</v>
      </c>
      <c r="C8801" s="27" t="s">
        <v>16048</v>
      </c>
      <c r="D8801" s="27" t="s">
        <v>230</v>
      </c>
      <c r="E8801" s="29">
        <v>40843</v>
      </c>
      <c r="F8801" s="27">
        <v>15</v>
      </c>
      <c r="G8801" s="18">
        <v>9300</v>
      </c>
      <c r="H8801" s="27">
        <f t="shared" si="274"/>
        <v>0</v>
      </c>
      <c r="I8801" s="18">
        <v>6408.45</v>
      </c>
      <c r="J8801" s="27">
        <v>9300</v>
      </c>
      <c r="K8801" s="18">
        <f t="shared" si="275"/>
        <v>0</v>
      </c>
      <c r="L8801" s="27">
        <v>6718.22</v>
      </c>
      <c r="M8801" s="36">
        <v>309.77</v>
      </c>
      <c r="T8801" s="41">
        <v>0</v>
      </c>
      <c r="U8801" s="41">
        <v>0</v>
      </c>
      <c r="V8801" s="42" t="s">
        <v>113</v>
      </c>
      <c r="W8801" s="42">
        <v>0</v>
      </c>
      <c r="X8801" s="42">
        <v>0</v>
      </c>
    </row>
    <row r="8802" spans="1:24">
      <c r="A8802" s="27" t="s">
        <v>16049</v>
      </c>
      <c r="B8802" s="28" t="s">
        <v>12240</v>
      </c>
      <c r="C8802" s="27" t="s">
        <v>16050</v>
      </c>
      <c r="D8802" s="27" t="s">
        <v>230</v>
      </c>
      <c r="E8802" s="29">
        <v>40843</v>
      </c>
      <c r="F8802" s="27">
        <v>15</v>
      </c>
      <c r="G8802" s="18">
        <v>9300</v>
      </c>
      <c r="H8802" s="27">
        <f t="shared" si="274"/>
        <v>0</v>
      </c>
      <c r="I8802" s="18">
        <v>6408.46</v>
      </c>
      <c r="J8802" s="27">
        <v>9300</v>
      </c>
      <c r="K8802" s="18">
        <f t="shared" si="275"/>
        <v>0</v>
      </c>
      <c r="L8802" s="27">
        <v>6718.23</v>
      </c>
      <c r="M8802" s="36">
        <v>309.77</v>
      </c>
      <c r="T8802" s="41">
        <v>0</v>
      </c>
      <c r="U8802" s="41">
        <v>0</v>
      </c>
      <c r="V8802" s="42" t="s">
        <v>113</v>
      </c>
      <c r="W8802" s="42">
        <v>0</v>
      </c>
      <c r="X8802" s="42">
        <v>0</v>
      </c>
    </row>
    <row r="8803" spans="1:24">
      <c r="A8803" s="27" t="s">
        <v>16051</v>
      </c>
      <c r="B8803" s="28" t="s">
        <v>12240</v>
      </c>
      <c r="C8803" s="27" t="s">
        <v>16052</v>
      </c>
      <c r="D8803" s="27" t="s">
        <v>230</v>
      </c>
      <c r="E8803" s="29">
        <v>40843</v>
      </c>
      <c r="F8803" s="27">
        <v>15</v>
      </c>
      <c r="G8803" s="18">
        <v>9300</v>
      </c>
      <c r="H8803" s="27">
        <f t="shared" si="274"/>
        <v>0</v>
      </c>
      <c r="I8803" s="18">
        <v>6408.46</v>
      </c>
      <c r="J8803" s="27">
        <v>9300</v>
      </c>
      <c r="K8803" s="18">
        <f t="shared" si="275"/>
        <v>0</v>
      </c>
      <c r="L8803" s="27">
        <v>6718.23</v>
      </c>
      <c r="M8803" s="36">
        <v>309.77</v>
      </c>
      <c r="T8803" s="41">
        <v>0</v>
      </c>
      <c r="U8803" s="41">
        <v>0</v>
      </c>
      <c r="V8803" s="42" t="s">
        <v>113</v>
      </c>
      <c r="W8803" s="42">
        <v>0</v>
      </c>
      <c r="X8803" s="42">
        <v>0</v>
      </c>
    </row>
    <row r="8804" spans="1:24">
      <c r="A8804" s="27" t="s">
        <v>16053</v>
      </c>
      <c r="B8804" s="28" t="s">
        <v>12240</v>
      </c>
      <c r="C8804" s="27" t="s">
        <v>16054</v>
      </c>
      <c r="D8804" s="27" t="s">
        <v>230</v>
      </c>
      <c r="E8804" s="29">
        <v>40843</v>
      </c>
      <c r="F8804" s="27">
        <v>15</v>
      </c>
      <c r="G8804" s="18">
        <v>9300</v>
      </c>
      <c r="H8804" s="27">
        <f t="shared" si="274"/>
        <v>0</v>
      </c>
      <c r="I8804" s="18">
        <v>6408.46</v>
      </c>
      <c r="J8804" s="27">
        <v>9300</v>
      </c>
      <c r="K8804" s="18">
        <f t="shared" si="275"/>
        <v>0</v>
      </c>
      <c r="L8804" s="27">
        <v>6718.23</v>
      </c>
      <c r="M8804" s="36">
        <v>309.77</v>
      </c>
      <c r="T8804" s="41">
        <v>0</v>
      </c>
      <c r="U8804" s="41">
        <v>0</v>
      </c>
      <c r="V8804" s="42" t="s">
        <v>113</v>
      </c>
      <c r="W8804" s="42">
        <v>0</v>
      </c>
      <c r="X8804" s="42">
        <v>0</v>
      </c>
    </row>
    <row r="8805" spans="1:24">
      <c r="A8805" s="27" t="s">
        <v>16055</v>
      </c>
      <c r="B8805" s="28" t="s">
        <v>12240</v>
      </c>
      <c r="C8805" s="27" t="s">
        <v>16056</v>
      </c>
      <c r="D8805" s="27" t="s">
        <v>230</v>
      </c>
      <c r="E8805" s="29">
        <v>40843</v>
      </c>
      <c r="F8805" s="27">
        <v>15</v>
      </c>
      <c r="G8805" s="18">
        <v>9300</v>
      </c>
      <c r="H8805" s="27">
        <f t="shared" si="274"/>
        <v>0</v>
      </c>
      <c r="I8805" s="18">
        <v>6408.45</v>
      </c>
      <c r="J8805" s="27">
        <v>9300</v>
      </c>
      <c r="K8805" s="18">
        <f t="shared" si="275"/>
        <v>0</v>
      </c>
      <c r="L8805" s="27">
        <v>6718.22</v>
      </c>
      <c r="M8805" s="36">
        <v>309.77</v>
      </c>
      <c r="T8805" s="41">
        <v>0</v>
      </c>
      <c r="U8805" s="41">
        <v>0</v>
      </c>
      <c r="V8805" s="42" t="s">
        <v>113</v>
      </c>
      <c r="W8805" s="42">
        <v>0</v>
      </c>
      <c r="X8805" s="42">
        <v>0</v>
      </c>
    </row>
    <row r="8806" spans="1:24">
      <c r="A8806" s="27" t="s">
        <v>16057</v>
      </c>
      <c r="B8806" s="28" t="s">
        <v>12240</v>
      </c>
      <c r="C8806" s="27" t="s">
        <v>16058</v>
      </c>
      <c r="D8806" s="27" t="s">
        <v>230</v>
      </c>
      <c r="E8806" s="29">
        <v>40843</v>
      </c>
      <c r="F8806" s="27">
        <v>15</v>
      </c>
      <c r="G8806" s="18">
        <v>9300</v>
      </c>
      <c r="H8806" s="27">
        <f t="shared" si="274"/>
        <v>0</v>
      </c>
      <c r="I8806" s="18">
        <v>6408.46</v>
      </c>
      <c r="J8806" s="27">
        <v>9300</v>
      </c>
      <c r="K8806" s="18">
        <f t="shared" si="275"/>
        <v>0</v>
      </c>
      <c r="L8806" s="27">
        <v>6718.23</v>
      </c>
      <c r="M8806" s="36">
        <v>309.77</v>
      </c>
      <c r="T8806" s="41">
        <v>0</v>
      </c>
      <c r="U8806" s="41">
        <v>0</v>
      </c>
      <c r="V8806" s="42" t="s">
        <v>113</v>
      </c>
      <c r="W8806" s="42">
        <v>0</v>
      </c>
      <c r="X8806" s="42">
        <v>0</v>
      </c>
    </row>
    <row r="8807" spans="1:24">
      <c r="A8807" s="27" t="s">
        <v>16059</v>
      </c>
      <c r="B8807" s="28" t="s">
        <v>12240</v>
      </c>
      <c r="C8807" s="27" t="s">
        <v>16060</v>
      </c>
      <c r="D8807" s="27" t="s">
        <v>230</v>
      </c>
      <c r="E8807" s="29">
        <v>40843</v>
      </c>
      <c r="F8807" s="27">
        <v>15</v>
      </c>
      <c r="G8807" s="18">
        <v>9300</v>
      </c>
      <c r="H8807" s="27">
        <f t="shared" si="274"/>
        <v>0</v>
      </c>
      <c r="I8807" s="18">
        <v>6408.45</v>
      </c>
      <c r="J8807" s="27">
        <v>9300</v>
      </c>
      <c r="K8807" s="18">
        <f t="shared" si="275"/>
        <v>0</v>
      </c>
      <c r="L8807" s="27">
        <v>6718.22</v>
      </c>
      <c r="M8807" s="36">
        <v>309.77</v>
      </c>
      <c r="T8807" s="41">
        <v>0</v>
      </c>
      <c r="U8807" s="41">
        <v>0</v>
      </c>
      <c r="V8807" s="42" t="s">
        <v>113</v>
      </c>
      <c r="W8807" s="42">
        <v>0</v>
      </c>
      <c r="X8807" s="42">
        <v>0</v>
      </c>
    </row>
    <row r="8808" spans="1:24">
      <c r="A8808" s="27" t="s">
        <v>16061</v>
      </c>
      <c r="B8808" s="28" t="s">
        <v>12240</v>
      </c>
      <c r="C8808" s="27" t="s">
        <v>16062</v>
      </c>
      <c r="D8808" s="27" t="s">
        <v>230</v>
      </c>
      <c r="E8808" s="29">
        <v>37226</v>
      </c>
      <c r="F8808" s="27">
        <v>15</v>
      </c>
      <c r="G8808" s="18">
        <v>39987.49</v>
      </c>
      <c r="H8808" s="27">
        <f t="shared" si="274"/>
        <v>39987.49</v>
      </c>
      <c r="I8808" s="18">
        <v>37988.120000000003</v>
      </c>
      <c r="J8808" s="27">
        <v>39987.49</v>
      </c>
      <c r="K8808" s="18">
        <f t="shared" si="275"/>
        <v>39987.49</v>
      </c>
      <c r="L8808" s="27">
        <v>37988.120000000003</v>
      </c>
      <c r="M8808" s="36">
        <v>0</v>
      </c>
      <c r="T8808" s="41">
        <v>0</v>
      </c>
      <c r="U8808" s="41">
        <v>0</v>
      </c>
      <c r="V8808" s="42" t="s">
        <v>113</v>
      </c>
      <c r="W8808" s="42">
        <v>39987.49</v>
      </c>
      <c r="X8808" s="42">
        <v>39987.49</v>
      </c>
    </row>
    <row r="8809" spans="1:24">
      <c r="A8809" s="27" t="s">
        <v>16063</v>
      </c>
      <c r="B8809" s="28" t="s">
        <v>12240</v>
      </c>
      <c r="C8809" s="27" t="s">
        <v>16064</v>
      </c>
      <c r="D8809" s="27" t="s">
        <v>230</v>
      </c>
      <c r="E8809" s="29">
        <v>38078</v>
      </c>
      <c r="F8809" s="27">
        <v>15</v>
      </c>
      <c r="G8809" s="18">
        <v>28808.080000000002</v>
      </c>
      <c r="H8809" s="27">
        <f t="shared" si="274"/>
        <v>28808.080000000002</v>
      </c>
      <c r="I8809" s="18">
        <v>27367.68</v>
      </c>
      <c r="J8809" s="27">
        <v>28808.080000000002</v>
      </c>
      <c r="K8809" s="18">
        <f t="shared" si="275"/>
        <v>28808.080000000002</v>
      </c>
      <c r="L8809" s="27">
        <v>27367.68</v>
      </c>
      <c r="M8809" s="36">
        <v>0</v>
      </c>
      <c r="T8809" s="41">
        <v>0</v>
      </c>
      <c r="U8809" s="41">
        <v>0</v>
      </c>
      <c r="V8809" s="42" t="s">
        <v>113</v>
      </c>
      <c r="W8809" s="42">
        <v>28808.080000000002</v>
      </c>
      <c r="X8809" s="42">
        <v>28808.080000000002</v>
      </c>
    </row>
    <row r="8810" spans="1:24">
      <c r="A8810" s="27" t="s">
        <v>16065</v>
      </c>
      <c r="B8810" s="28" t="s">
        <v>12240</v>
      </c>
      <c r="C8810" s="27" t="s">
        <v>16066</v>
      </c>
      <c r="D8810" s="27" t="s">
        <v>230</v>
      </c>
      <c r="E8810" s="29">
        <v>40843</v>
      </c>
      <c r="F8810" s="27">
        <v>15</v>
      </c>
      <c r="G8810" s="18">
        <v>9300</v>
      </c>
      <c r="H8810" s="27">
        <f t="shared" si="274"/>
        <v>0</v>
      </c>
      <c r="I8810" s="18">
        <v>6408.46</v>
      </c>
      <c r="J8810" s="27">
        <v>9300</v>
      </c>
      <c r="K8810" s="18">
        <f t="shared" si="275"/>
        <v>0</v>
      </c>
      <c r="L8810" s="27">
        <v>6718.23</v>
      </c>
      <c r="M8810" s="36">
        <v>309.77</v>
      </c>
      <c r="T8810" s="41">
        <v>0</v>
      </c>
      <c r="U8810" s="41">
        <v>0</v>
      </c>
      <c r="V8810" s="42" t="s">
        <v>113</v>
      </c>
      <c r="W8810" s="42">
        <v>0</v>
      </c>
      <c r="X8810" s="42">
        <v>0</v>
      </c>
    </row>
    <row r="8811" spans="1:24">
      <c r="A8811" s="27" t="s">
        <v>16067</v>
      </c>
      <c r="B8811" s="28" t="s">
        <v>12240</v>
      </c>
      <c r="C8811" s="27" t="s">
        <v>16068</v>
      </c>
      <c r="D8811" s="27" t="s">
        <v>230</v>
      </c>
      <c r="E8811" s="29">
        <v>37226</v>
      </c>
      <c r="F8811" s="27">
        <v>15</v>
      </c>
      <c r="G8811" s="18">
        <v>20294.2</v>
      </c>
      <c r="H8811" s="27">
        <f t="shared" si="274"/>
        <v>20294.2</v>
      </c>
      <c r="I8811" s="18">
        <v>19279.490000000002</v>
      </c>
      <c r="J8811" s="27">
        <v>20294.2</v>
      </c>
      <c r="K8811" s="18">
        <f t="shared" si="275"/>
        <v>20294.2</v>
      </c>
      <c r="L8811" s="27">
        <v>19279.490000000002</v>
      </c>
      <c r="M8811" s="36">
        <v>0</v>
      </c>
      <c r="T8811" s="41">
        <v>0</v>
      </c>
      <c r="U8811" s="41">
        <v>0</v>
      </c>
      <c r="V8811" s="42" t="s">
        <v>113</v>
      </c>
      <c r="W8811" s="42">
        <v>20294.2</v>
      </c>
      <c r="X8811" s="42">
        <v>20294.2</v>
      </c>
    </row>
    <row r="8812" spans="1:24">
      <c r="A8812" s="27" t="s">
        <v>16069</v>
      </c>
      <c r="B8812" s="28" t="s">
        <v>12240</v>
      </c>
      <c r="C8812" s="27" t="s">
        <v>16070</v>
      </c>
      <c r="D8812" s="27" t="s">
        <v>230</v>
      </c>
      <c r="E8812" s="29">
        <v>40843</v>
      </c>
      <c r="F8812" s="27">
        <v>15</v>
      </c>
      <c r="G8812" s="18">
        <v>47700.1</v>
      </c>
      <c r="H8812" s="27">
        <f t="shared" si="274"/>
        <v>0</v>
      </c>
      <c r="I8812" s="18">
        <v>27619.79</v>
      </c>
      <c r="J8812" s="27">
        <v>47700.1</v>
      </c>
      <c r="K8812" s="18">
        <f t="shared" si="275"/>
        <v>0</v>
      </c>
      <c r="L8812" s="27">
        <v>29878.76</v>
      </c>
      <c r="M8812" s="36">
        <v>2258.9699999999998</v>
      </c>
      <c r="T8812" s="41">
        <v>0</v>
      </c>
      <c r="U8812" s="41">
        <v>0</v>
      </c>
      <c r="V8812" s="42" t="s">
        <v>113</v>
      </c>
      <c r="W8812" s="42">
        <v>0</v>
      </c>
      <c r="X8812" s="42">
        <v>0</v>
      </c>
    </row>
    <row r="8813" spans="1:24">
      <c r="A8813" s="27" t="s">
        <v>16071</v>
      </c>
      <c r="B8813" s="28" t="s">
        <v>12240</v>
      </c>
      <c r="C8813" s="27" t="s">
        <v>16072</v>
      </c>
      <c r="D8813" s="27" t="s">
        <v>230</v>
      </c>
      <c r="E8813" s="29">
        <v>40843</v>
      </c>
      <c r="F8813" s="27">
        <v>15</v>
      </c>
      <c r="G8813" s="18">
        <v>9300</v>
      </c>
      <c r="H8813" s="27">
        <f t="shared" si="274"/>
        <v>0</v>
      </c>
      <c r="I8813" s="18">
        <v>6408.45</v>
      </c>
      <c r="J8813" s="27">
        <v>9300</v>
      </c>
      <c r="K8813" s="18">
        <f t="shared" si="275"/>
        <v>0</v>
      </c>
      <c r="L8813" s="27">
        <v>6718.22</v>
      </c>
      <c r="M8813" s="36">
        <v>309.77</v>
      </c>
      <c r="T8813" s="41">
        <v>0</v>
      </c>
      <c r="U8813" s="41">
        <v>0</v>
      </c>
      <c r="V8813" s="42" t="s">
        <v>113</v>
      </c>
      <c r="W8813" s="42">
        <v>0</v>
      </c>
      <c r="X8813" s="42">
        <v>0</v>
      </c>
    </row>
    <row r="8814" spans="1:24">
      <c r="A8814" s="27" t="s">
        <v>16073</v>
      </c>
      <c r="B8814" s="28" t="s">
        <v>12240</v>
      </c>
      <c r="C8814" s="27" t="s">
        <v>16074</v>
      </c>
      <c r="D8814" s="27" t="s">
        <v>230</v>
      </c>
      <c r="E8814" s="29">
        <v>40843</v>
      </c>
      <c r="F8814" s="27">
        <v>15</v>
      </c>
      <c r="G8814" s="18">
        <v>9300</v>
      </c>
      <c r="H8814" s="27">
        <f t="shared" si="274"/>
        <v>0</v>
      </c>
      <c r="I8814" s="18">
        <v>6408.45</v>
      </c>
      <c r="J8814" s="27">
        <v>9300</v>
      </c>
      <c r="K8814" s="18">
        <f t="shared" si="275"/>
        <v>0</v>
      </c>
      <c r="L8814" s="27">
        <v>6718.22</v>
      </c>
      <c r="M8814" s="36">
        <v>309.77</v>
      </c>
      <c r="T8814" s="41">
        <v>0</v>
      </c>
      <c r="U8814" s="41">
        <v>0</v>
      </c>
      <c r="V8814" s="42" t="s">
        <v>113</v>
      </c>
      <c r="W8814" s="42">
        <v>0</v>
      </c>
      <c r="X8814" s="42">
        <v>0</v>
      </c>
    </row>
    <row r="8815" spans="1:24">
      <c r="A8815" s="27" t="s">
        <v>16075</v>
      </c>
      <c r="B8815" s="28" t="s">
        <v>12240</v>
      </c>
      <c r="C8815" s="27" t="s">
        <v>16076</v>
      </c>
      <c r="D8815" s="27" t="s">
        <v>230</v>
      </c>
      <c r="E8815" s="29">
        <v>40843</v>
      </c>
      <c r="F8815" s="27">
        <v>15</v>
      </c>
      <c r="G8815" s="18">
        <v>9300</v>
      </c>
      <c r="H8815" s="27">
        <f t="shared" si="274"/>
        <v>0</v>
      </c>
      <c r="I8815" s="18">
        <v>6408.46</v>
      </c>
      <c r="J8815" s="27">
        <v>9300</v>
      </c>
      <c r="K8815" s="18">
        <f t="shared" si="275"/>
        <v>0</v>
      </c>
      <c r="L8815" s="27">
        <v>6718.23</v>
      </c>
      <c r="M8815" s="36">
        <v>309.77</v>
      </c>
      <c r="T8815" s="41">
        <v>0</v>
      </c>
      <c r="U8815" s="41">
        <v>0</v>
      </c>
      <c r="V8815" s="42" t="s">
        <v>113</v>
      </c>
      <c r="W8815" s="42">
        <v>0</v>
      </c>
      <c r="X8815" s="42">
        <v>0</v>
      </c>
    </row>
    <row r="8816" spans="1:24">
      <c r="A8816" s="27" t="s">
        <v>16077</v>
      </c>
      <c r="B8816" s="28" t="s">
        <v>12240</v>
      </c>
      <c r="C8816" s="27" t="s">
        <v>16078</v>
      </c>
      <c r="D8816" s="27" t="s">
        <v>230</v>
      </c>
      <c r="E8816" s="29">
        <v>40843</v>
      </c>
      <c r="F8816" s="27">
        <v>15</v>
      </c>
      <c r="G8816" s="18">
        <v>9300</v>
      </c>
      <c r="H8816" s="27">
        <f t="shared" si="274"/>
        <v>0</v>
      </c>
      <c r="I8816" s="18">
        <v>6408.45</v>
      </c>
      <c r="J8816" s="27">
        <v>9300</v>
      </c>
      <c r="K8816" s="18">
        <f t="shared" si="275"/>
        <v>0</v>
      </c>
      <c r="L8816" s="27">
        <v>6718.22</v>
      </c>
      <c r="M8816" s="36">
        <v>309.77</v>
      </c>
      <c r="T8816" s="41">
        <v>0</v>
      </c>
      <c r="U8816" s="41">
        <v>0</v>
      </c>
      <c r="V8816" s="42" t="s">
        <v>113</v>
      </c>
      <c r="W8816" s="42">
        <v>0</v>
      </c>
      <c r="X8816" s="42">
        <v>0</v>
      </c>
    </row>
    <row r="8817" spans="1:24">
      <c r="A8817" s="27" t="s">
        <v>16079</v>
      </c>
      <c r="B8817" s="28" t="s">
        <v>12240</v>
      </c>
      <c r="C8817" s="27" t="s">
        <v>16080</v>
      </c>
      <c r="D8817" s="27" t="s">
        <v>230</v>
      </c>
      <c r="E8817" s="29">
        <v>40843</v>
      </c>
      <c r="F8817" s="27">
        <v>15</v>
      </c>
      <c r="G8817" s="18">
        <v>9300</v>
      </c>
      <c r="H8817" s="27">
        <f t="shared" si="274"/>
        <v>0</v>
      </c>
      <c r="I8817" s="18">
        <v>6408.45</v>
      </c>
      <c r="J8817" s="27">
        <v>9300</v>
      </c>
      <c r="K8817" s="18">
        <f t="shared" si="275"/>
        <v>0</v>
      </c>
      <c r="L8817" s="27">
        <v>6718.22</v>
      </c>
      <c r="M8817" s="36">
        <v>309.77</v>
      </c>
      <c r="T8817" s="41">
        <v>0</v>
      </c>
      <c r="U8817" s="41">
        <v>0</v>
      </c>
      <c r="V8817" s="42" t="s">
        <v>113</v>
      </c>
      <c r="W8817" s="42">
        <v>0</v>
      </c>
      <c r="X8817" s="42">
        <v>0</v>
      </c>
    </row>
    <row r="8818" spans="1:24">
      <c r="A8818" s="27" t="s">
        <v>16081</v>
      </c>
      <c r="B8818" s="28" t="s">
        <v>12240</v>
      </c>
      <c r="C8818" s="27" t="s">
        <v>16082</v>
      </c>
      <c r="D8818" s="27" t="s">
        <v>230</v>
      </c>
      <c r="E8818" s="29">
        <v>40843</v>
      </c>
      <c r="F8818" s="27">
        <v>15</v>
      </c>
      <c r="G8818" s="18">
        <v>9300</v>
      </c>
      <c r="H8818" s="27">
        <f t="shared" si="274"/>
        <v>0</v>
      </c>
      <c r="I8818" s="18">
        <v>6408.46</v>
      </c>
      <c r="J8818" s="27">
        <v>9300</v>
      </c>
      <c r="K8818" s="18">
        <f t="shared" si="275"/>
        <v>0</v>
      </c>
      <c r="L8818" s="27">
        <v>6718.23</v>
      </c>
      <c r="M8818" s="36">
        <v>309.77</v>
      </c>
      <c r="T8818" s="41">
        <v>0</v>
      </c>
      <c r="U8818" s="41">
        <v>0</v>
      </c>
      <c r="V8818" s="42" t="s">
        <v>113</v>
      </c>
      <c r="W8818" s="42">
        <v>0</v>
      </c>
      <c r="X8818" s="42">
        <v>0</v>
      </c>
    </row>
    <row r="8819" spans="1:24">
      <c r="A8819" s="27" t="s">
        <v>16083</v>
      </c>
      <c r="B8819" s="28" t="s">
        <v>12240</v>
      </c>
      <c r="C8819" s="27" t="s">
        <v>16084</v>
      </c>
      <c r="D8819" s="27" t="s">
        <v>230</v>
      </c>
      <c r="E8819" s="29">
        <v>40843</v>
      </c>
      <c r="F8819" s="27">
        <v>15</v>
      </c>
      <c r="G8819" s="18">
        <v>9300</v>
      </c>
      <c r="H8819" s="27">
        <f t="shared" si="274"/>
        <v>0</v>
      </c>
      <c r="I8819" s="18">
        <v>6408.46</v>
      </c>
      <c r="J8819" s="27">
        <v>9300</v>
      </c>
      <c r="K8819" s="18">
        <f t="shared" si="275"/>
        <v>0</v>
      </c>
      <c r="L8819" s="27">
        <v>6718.23</v>
      </c>
      <c r="M8819" s="36">
        <v>309.77</v>
      </c>
      <c r="T8819" s="41">
        <v>0</v>
      </c>
      <c r="U8819" s="41">
        <v>0</v>
      </c>
      <c r="V8819" s="42" t="s">
        <v>113</v>
      </c>
      <c r="W8819" s="42">
        <v>0</v>
      </c>
      <c r="X8819" s="42">
        <v>0</v>
      </c>
    </row>
    <row r="8820" spans="1:24">
      <c r="A8820" s="27" t="s">
        <v>16085</v>
      </c>
      <c r="B8820" s="28" t="s">
        <v>12240</v>
      </c>
      <c r="C8820" s="27" t="s">
        <v>16086</v>
      </c>
      <c r="D8820" s="27" t="s">
        <v>230</v>
      </c>
      <c r="E8820" s="29">
        <v>40843</v>
      </c>
      <c r="F8820" s="27">
        <v>15</v>
      </c>
      <c r="G8820" s="18">
        <v>9300</v>
      </c>
      <c r="H8820" s="27">
        <f t="shared" si="274"/>
        <v>0</v>
      </c>
      <c r="I8820" s="18">
        <v>6408.45</v>
      </c>
      <c r="J8820" s="27">
        <v>9300</v>
      </c>
      <c r="K8820" s="18">
        <f t="shared" si="275"/>
        <v>0</v>
      </c>
      <c r="L8820" s="27">
        <v>6718.22</v>
      </c>
      <c r="M8820" s="36">
        <v>309.77</v>
      </c>
      <c r="T8820" s="41">
        <v>0</v>
      </c>
      <c r="U8820" s="41">
        <v>0</v>
      </c>
      <c r="V8820" s="42" t="s">
        <v>113</v>
      </c>
      <c r="W8820" s="42">
        <v>0</v>
      </c>
      <c r="X8820" s="42">
        <v>0</v>
      </c>
    </row>
    <row r="8821" spans="1:24">
      <c r="A8821" s="27" t="s">
        <v>16087</v>
      </c>
      <c r="B8821" s="28" t="s">
        <v>12240</v>
      </c>
      <c r="C8821" s="27" t="s">
        <v>16088</v>
      </c>
      <c r="D8821" s="27" t="s">
        <v>230</v>
      </c>
      <c r="E8821" s="29">
        <v>40843</v>
      </c>
      <c r="F8821" s="27">
        <v>15</v>
      </c>
      <c r="G8821" s="18">
        <v>9300</v>
      </c>
      <c r="H8821" s="27">
        <f t="shared" si="274"/>
        <v>0</v>
      </c>
      <c r="I8821" s="18">
        <v>6408.46</v>
      </c>
      <c r="J8821" s="27">
        <v>9300</v>
      </c>
      <c r="K8821" s="18">
        <f t="shared" si="275"/>
        <v>0</v>
      </c>
      <c r="L8821" s="27">
        <v>6718.23</v>
      </c>
      <c r="M8821" s="36">
        <v>309.77</v>
      </c>
      <c r="T8821" s="41">
        <v>0</v>
      </c>
      <c r="U8821" s="41">
        <v>0</v>
      </c>
      <c r="V8821" s="42" t="s">
        <v>113</v>
      </c>
      <c r="W8821" s="42">
        <v>0</v>
      </c>
      <c r="X8821" s="42">
        <v>0</v>
      </c>
    </row>
    <row r="8822" spans="1:24">
      <c r="A8822" s="27" t="s">
        <v>16089</v>
      </c>
      <c r="B8822" s="28" t="s">
        <v>12240</v>
      </c>
      <c r="C8822" s="27" t="s">
        <v>16090</v>
      </c>
      <c r="D8822" s="27" t="s">
        <v>230</v>
      </c>
      <c r="E8822" s="29">
        <v>40843</v>
      </c>
      <c r="F8822" s="27">
        <v>15</v>
      </c>
      <c r="G8822" s="18">
        <v>57832.71</v>
      </c>
      <c r="H8822" s="27">
        <f t="shared" si="274"/>
        <v>0</v>
      </c>
      <c r="I8822" s="18">
        <v>33484.660000000003</v>
      </c>
      <c r="J8822" s="27">
        <v>57832.71</v>
      </c>
      <c r="K8822" s="18">
        <f t="shared" si="275"/>
        <v>0</v>
      </c>
      <c r="L8822" s="27">
        <v>36223.78</v>
      </c>
      <c r="M8822" s="36">
        <v>2739.12</v>
      </c>
      <c r="T8822" s="41">
        <v>0</v>
      </c>
      <c r="U8822" s="41">
        <v>0</v>
      </c>
      <c r="V8822" s="42" t="s">
        <v>113</v>
      </c>
      <c r="W8822" s="42">
        <v>0</v>
      </c>
      <c r="X8822" s="42">
        <v>0</v>
      </c>
    </row>
    <row r="8823" spans="1:24">
      <c r="A8823" s="27" t="s">
        <v>16091</v>
      </c>
      <c r="B8823" s="28" t="s">
        <v>12240</v>
      </c>
      <c r="C8823" s="27" t="s">
        <v>16092</v>
      </c>
      <c r="D8823" s="27" t="s">
        <v>230</v>
      </c>
      <c r="E8823" s="29">
        <v>40843</v>
      </c>
      <c r="F8823" s="27">
        <v>15</v>
      </c>
      <c r="G8823" s="18">
        <v>9300</v>
      </c>
      <c r="H8823" s="27">
        <f t="shared" si="274"/>
        <v>0</v>
      </c>
      <c r="I8823" s="18">
        <v>6408.45</v>
      </c>
      <c r="J8823" s="27">
        <v>9300</v>
      </c>
      <c r="K8823" s="18">
        <f t="shared" si="275"/>
        <v>0</v>
      </c>
      <c r="L8823" s="27">
        <v>6718.22</v>
      </c>
      <c r="M8823" s="36">
        <v>309.77</v>
      </c>
      <c r="T8823" s="41">
        <v>0</v>
      </c>
      <c r="U8823" s="41">
        <v>0</v>
      </c>
      <c r="V8823" s="42" t="s">
        <v>113</v>
      </c>
      <c r="W8823" s="42">
        <v>0</v>
      </c>
      <c r="X8823" s="42">
        <v>0</v>
      </c>
    </row>
    <row r="8824" spans="1:24">
      <c r="A8824" s="27" t="s">
        <v>16093</v>
      </c>
      <c r="B8824" s="28" t="s">
        <v>12240</v>
      </c>
      <c r="C8824" s="27" t="s">
        <v>16094</v>
      </c>
      <c r="D8824" s="27" t="s">
        <v>230</v>
      </c>
      <c r="E8824" s="29">
        <v>36495</v>
      </c>
      <c r="F8824" s="27">
        <v>15</v>
      </c>
      <c r="G8824" s="18">
        <v>6031.97</v>
      </c>
      <c r="H8824" s="27">
        <f t="shared" si="274"/>
        <v>6031.97</v>
      </c>
      <c r="I8824" s="18">
        <v>5730.37</v>
      </c>
      <c r="J8824" s="27">
        <v>6031.97</v>
      </c>
      <c r="K8824" s="18">
        <f t="shared" si="275"/>
        <v>6031.97</v>
      </c>
      <c r="L8824" s="27">
        <v>5730.37</v>
      </c>
      <c r="M8824" s="36">
        <v>0</v>
      </c>
      <c r="T8824" s="41">
        <v>0</v>
      </c>
      <c r="U8824" s="41">
        <v>0</v>
      </c>
      <c r="V8824" s="42" t="s">
        <v>113</v>
      </c>
      <c r="W8824" s="42">
        <v>6031.97</v>
      </c>
      <c r="X8824" s="42">
        <v>6031.97</v>
      </c>
    </row>
    <row r="8825" spans="1:24">
      <c r="A8825" s="27" t="s">
        <v>16095</v>
      </c>
      <c r="B8825" s="28" t="s">
        <v>12240</v>
      </c>
      <c r="C8825" s="27" t="s">
        <v>16096</v>
      </c>
      <c r="D8825" s="27" t="s">
        <v>230</v>
      </c>
      <c r="E8825" s="29">
        <v>40843</v>
      </c>
      <c r="F8825" s="27">
        <v>15</v>
      </c>
      <c r="G8825" s="18">
        <v>9300</v>
      </c>
      <c r="H8825" s="27">
        <f t="shared" si="274"/>
        <v>0</v>
      </c>
      <c r="I8825" s="18">
        <v>6408.46</v>
      </c>
      <c r="J8825" s="27">
        <v>9300</v>
      </c>
      <c r="K8825" s="18">
        <f t="shared" si="275"/>
        <v>0</v>
      </c>
      <c r="L8825" s="27">
        <v>6718.23</v>
      </c>
      <c r="M8825" s="36">
        <v>309.77</v>
      </c>
      <c r="T8825" s="41">
        <v>0</v>
      </c>
      <c r="U8825" s="41">
        <v>0</v>
      </c>
      <c r="V8825" s="42" t="s">
        <v>113</v>
      </c>
      <c r="W8825" s="42">
        <v>0</v>
      </c>
      <c r="X8825" s="42">
        <v>0</v>
      </c>
    </row>
    <row r="8826" spans="1:24">
      <c r="A8826" s="27" t="s">
        <v>16097</v>
      </c>
      <c r="B8826" s="28" t="s">
        <v>12240</v>
      </c>
      <c r="C8826" s="27" t="s">
        <v>16098</v>
      </c>
      <c r="D8826" s="27" t="s">
        <v>230</v>
      </c>
      <c r="E8826" s="29">
        <v>40843</v>
      </c>
      <c r="F8826" s="27">
        <v>15</v>
      </c>
      <c r="G8826" s="18">
        <v>9300</v>
      </c>
      <c r="H8826" s="27">
        <f t="shared" si="274"/>
        <v>0</v>
      </c>
      <c r="I8826" s="18">
        <v>6408.45</v>
      </c>
      <c r="J8826" s="27">
        <v>9300</v>
      </c>
      <c r="K8826" s="18">
        <f t="shared" si="275"/>
        <v>0</v>
      </c>
      <c r="L8826" s="27">
        <v>6718.22</v>
      </c>
      <c r="M8826" s="36">
        <v>309.77</v>
      </c>
      <c r="T8826" s="41">
        <v>0</v>
      </c>
      <c r="U8826" s="41">
        <v>0</v>
      </c>
      <c r="V8826" s="42" t="s">
        <v>113</v>
      </c>
      <c r="W8826" s="42">
        <v>0</v>
      </c>
      <c r="X8826" s="42">
        <v>0</v>
      </c>
    </row>
    <row r="8827" spans="1:24">
      <c r="A8827" s="27" t="s">
        <v>16099</v>
      </c>
      <c r="B8827" s="28" t="s">
        <v>12240</v>
      </c>
      <c r="C8827" s="27" t="s">
        <v>16100</v>
      </c>
      <c r="D8827" s="27" t="s">
        <v>230</v>
      </c>
      <c r="E8827" s="29">
        <v>40843</v>
      </c>
      <c r="F8827" s="27">
        <v>15</v>
      </c>
      <c r="G8827" s="18">
        <v>9300</v>
      </c>
      <c r="H8827" s="27">
        <f t="shared" si="274"/>
        <v>0</v>
      </c>
      <c r="I8827" s="18">
        <v>6408.46</v>
      </c>
      <c r="J8827" s="27">
        <v>9300</v>
      </c>
      <c r="K8827" s="18">
        <f t="shared" si="275"/>
        <v>0</v>
      </c>
      <c r="L8827" s="27">
        <v>6718.23</v>
      </c>
      <c r="M8827" s="36">
        <v>309.77</v>
      </c>
      <c r="T8827" s="41">
        <v>0</v>
      </c>
      <c r="U8827" s="41">
        <v>0</v>
      </c>
      <c r="V8827" s="42" t="s">
        <v>113</v>
      </c>
      <c r="W8827" s="42">
        <v>0</v>
      </c>
      <c r="X8827" s="42">
        <v>0</v>
      </c>
    </row>
    <row r="8828" spans="1:24">
      <c r="A8828" s="27" t="s">
        <v>16101</v>
      </c>
      <c r="B8828" s="28" t="s">
        <v>12240</v>
      </c>
      <c r="C8828" s="27" t="s">
        <v>16102</v>
      </c>
      <c r="D8828" s="27" t="s">
        <v>230</v>
      </c>
      <c r="E8828" s="29">
        <v>40843</v>
      </c>
      <c r="F8828" s="27">
        <v>15</v>
      </c>
      <c r="G8828" s="18">
        <v>9300</v>
      </c>
      <c r="H8828" s="27">
        <f t="shared" si="274"/>
        <v>0</v>
      </c>
      <c r="I8828" s="18">
        <v>6408.46</v>
      </c>
      <c r="J8828" s="27">
        <v>9300</v>
      </c>
      <c r="K8828" s="18">
        <f t="shared" si="275"/>
        <v>0</v>
      </c>
      <c r="L8828" s="27">
        <v>6718.23</v>
      </c>
      <c r="M8828" s="36">
        <v>309.77</v>
      </c>
      <c r="T8828" s="41">
        <v>0</v>
      </c>
      <c r="U8828" s="41">
        <v>0</v>
      </c>
      <c r="V8828" s="42" t="s">
        <v>113</v>
      </c>
      <c r="W8828" s="42">
        <v>0</v>
      </c>
      <c r="X8828" s="42">
        <v>0</v>
      </c>
    </row>
    <row r="8829" spans="1:24">
      <c r="A8829" s="27" t="s">
        <v>16103</v>
      </c>
      <c r="B8829" s="28" t="s">
        <v>12240</v>
      </c>
      <c r="C8829" s="27" t="s">
        <v>16104</v>
      </c>
      <c r="D8829" s="27" t="s">
        <v>230</v>
      </c>
      <c r="E8829" s="29">
        <v>40843</v>
      </c>
      <c r="F8829" s="27">
        <v>15</v>
      </c>
      <c r="G8829" s="18">
        <v>9300</v>
      </c>
      <c r="H8829" s="27">
        <f t="shared" si="274"/>
        <v>0</v>
      </c>
      <c r="I8829" s="18">
        <v>6408.46</v>
      </c>
      <c r="J8829" s="27">
        <v>9300</v>
      </c>
      <c r="K8829" s="18">
        <f t="shared" si="275"/>
        <v>0</v>
      </c>
      <c r="L8829" s="27">
        <v>6718.23</v>
      </c>
      <c r="M8829" s="36">
        <v>309.77</v>
      </c>
      <c r="T8829" s="41">
        <v>0</v>
      </c>
      <c r="U8829" s="41">
        <v>0</v>
      </c>
      <c r="V8829" s="42" t="s">
        <v>113</v>
      </c>
      <c r="W8829" s="42">
        <v>0</v>
      </c>
      <c r="X8829" s="42">
        <v>0</v>
      </c>
    </row>
    <row r="8830" spans="1:24">
      <c r="A8830" s="27" t="s">
        <v>16105</v>
      </c>
      <c r="B8830" s="28" t="s">
        <v>12240</v>
      </c>
      <c r="C8830" s="27" t="s">
        <v>14801</v>
      </c>
      <c r="D8830" s="27" t="s">
        <v>230</v>
      </c>
      <c r="E8830" s="29">
        <v>40843</v>
      </c>
      <c r="F8830" s="27">
        <v>15</v>
      </c>
      <c r="G8830" s="18">
        <v>9300</v>
      </c>
      <c r="H8830" s="27">
        <f t="shared" si="274"/>
        <v>0</v>
      </c>
      <c r="I8830" s="18">
        <v>6408.45</v>
      </c>
      <c r="J8830" s="27">
        <v>9300</v>
      </c>
      <c r="K8830" s="18">
        <f t="shared" si="275"/>
        <v>0</v>
      </c>
      <c r="L8830" s="27">
        <v>6718.22</v>
      </c>
      <c r="M8830" s="36">
        <v>309.77</v>
      </c>
      <c r="T8830" s="41">
        <v>0</v>
      </c>
      <c r="U8830" s="41">
        <v>0</v>
      </c>
      <c r="V8830" s="42" t="s">
        <v>113</v>
      </c>
      <c r="W8830" s="42">
        <v>0</v>
      </c>
      <c r="X8830" s="42">
        <v>0</v>
      </c>
    </row>
    <row r="8831" spans="1:24">
      <c r="A8831" s="27" t="s">
        <v>16106</v>
      </c>
      <c r="B8831" s="28" t="s">
        <v>12240</v>
      </c>
      <c r="C8831" s="27" t="s">
        <v>16107</v>
      </c>
      <c r="D8831" s="27" t="s">
        <v>230</v>
      </c>
      <c r="E8831" s="29">
        <v>40843</v>
      </c>
      <c r="F8831" s="27">
        <v>15</v>
      </c>
      <c r="G8831" s="18">
        <v>9300</v>
      </c>
      <c r="H8831" s="27">
        <f t="shared" si="274"/>
        <v>0</v>
      </c>
      <c r="I8831" s="18">
        <v>6408.46</v>
      </c>
      <c r="J8831" s="27">
        <v>9300</v>
      </c>
      <c r="K8831" s="18">
        <f t="shared" si="275"/>
        <v>0</v>
      </c>
      <c r="L8831" s="27">
        <v>6718.23</v>
      </c>
      <c r="M8831" s="36">
        <v>309.77</v>
      </c>
      <c r="T8831" s="41">
        <v>0</v>
      </c>
      <c r="U8831" s="41">
        <v>0</v>
      </c>
      <c r="V8831" s="42" t="s">
        <v>113</v>
      </c>
      <c r="W8831" s="42">
        <v>0</v>
      </c>
      <c r="X8831" s="42">
        <v>0</v>
      </c>
    </row>
    <row r="8832" spans="1:24">
      <c r="A8832" s="27" t="s">
        <v>16108</v>
      </c>
      <c r="B8832" s="28" t="s">
        <v>12240</v>
      </c>
      <c r="C8832" s="27" t="s">
        <v>16109</v>
      </c>
      <c r="D8832" s="27" t="s">
        <v>230</v>
      </c>
      <c r="E8832" s="29">
        <v>40843</v>
      </c>
      <c r="F8832" s="27">
        <v>15</v>
      </c>
      <c r="G8832" s="18">
        <v>9300</v>
      </c>
      <c r="H8832" s="27">
        <f t="shared" si="274"/>
        <v>0</v>
      </c>
      <c r="I8832" s="18">
        <v>6408.46</v>
      </c>
      <c r="J8832" s="27">
        <v>9300</v>
      </c>
      <c r="K8832" s="18">
        <f t="shared" si="275"/>
        <v>0</v>
      </c>
      <c r="L8832" s="27">
        <v>6718.23</v>
      </c>
      <c r="M8832" s="36">
        <v>309.77</v>
      </c>
      <c r="T8832" s="41">
        <v>0</v>
      </c>
      <c r="U8832" s="41">
        <v>0</v>
      </c>
      <c r="V8832" s="42" t="s">
        <v>113</v>
      </c>
      <c r="W8832" s="42">
        <v>0</v>
      </c>
      <c r="X8832" s="42">
        <v>0</v>
      </c>
    </row>
    <row r="8833" spans="1:24">
      <c r="A8833" s="27" t="s">
        <v>16110</v>
      </c>
      <c r="B8833" s="28" t="s">
        <v>12240</v>
      </c>
      <c r="C8833" s="27" t="s">
        <v>16111</v>
      </c>
      <c r="D8833" s="27" t="s">
        <v>230</v>
      </c>
      <c r="E8833" s="29">
        <v>40843</v>
      </c>
      <c r="F8833" s="27">
        <v>15</v>
      </c>
      <c r="G8833" s="18">
        <v>9300</v>
      </c>
      <c r="H8833" s="27">
        <f t="shared" si="274"/>
        <v>0</v>
      </c>
      <c r="I8833" s="18">
        <v>6408.45</v>
      </c>
      <c r="J8833" s="27">
        <v>9300</v>
      </c>
      <c r="K8833" s="18">
        <f t="shared" si="275"/>
        <v>0</v>
      </c>
      <c r="L8833" s="27">
        <v>6718.22</v>
      </c>
      <c r="M8833" s="36">
        <v>309.77</v>
      </c>
      <c r="T8833" s="41">
        <v>0</v>
      </c>
      <c r="U8833" s="41">
        <v>0</v>
      </c>
      <c r="V8833" s="42" t="s">
        <v>113</v>
      </c>
      <c r="W8833" s="42">
        <v>0</v>
      </c>
      <c r="X8833" s="42">
        <v>0</v>
      </c>
    </row>
    <row r="8834" spans="1:24">
      <c r="A8834" s="27" t="s">
        <v>16112</v>
      </c>
      <c r="B8834" s="28" t="s">
        <v>12240</v>
      </c>
      <c r="C8834" s="27" t="s">
        <v>16113</v>
      </c>
      <c r="D8834" s="27" t="s">
        <v>230</v>
      </c>
      <c r="E8834" s="29">
        <v>40843</v>
      </c>
      <c r="F8834" s="27">
        <v>15</v>
      </c>
      <c r="G8834" s="18">
        <v>9300</v>
      </c>
      <c r="H8834" s="27">
        <f t="shared" si="274"/>
        <v>0</v>
      </c>
      <c r="I8834" s="18">
        <v>6408.45</v>
      </c>
      <c r="J8834" s="27">
        <v>9300</v>
      </c>
      <c r="K8834" s="18">
        <f t="shared" si="275"/>
        <v>0</v>
      </c>
      <c r="L8834" s="27">
        <v>6718.22</v>
      </c>
      <c r="M8834" s="36">
        <v>309.77</v>
      </c>
      <c r="T8834" s="41">
        <v>0</v>
      </c>
      <c r="U8834" s="41">
        <v>0</v>
      </c>
      <c r="V8834" s="42" t="s">
        <v>113</v>
      </c>
      <c r="W8834" s="42">
        <v>0</v>
      </c>
      <c r="X8834" s="42">
        <v>0</v>
      </c>
    </row>
    <row r="8835" spans="1:24">
      <c r="A8835" s="27" t="s">
        <v>16114</v>
      </c>
      <c r="B8835" s="28" t="s">
        <v>12240</v>
      </c>
      <c r="C8835" s="27" t="s">
        <v>16115</v>
      </c>
      <c r="D8835" s="27" t="s">
        <v>230</v>
      </c>
      <c r="E8835" s="29">
        <v>40843</v>
      </c>
      <c r="F8835" s="27">
        <v>15</v>
      </c>
      <c r="G8835" s="18">
        <v>9300</v>
      </c>
      <c r="H8835" s="27">
        <f t="shared" si="274"/>
        <v>0</v>
      </c>
      <c r="I8835" s="18">
        <v>6408.46</v>
      </c>
      <c r="J8835" s="27">
        <v>9300</v>
      </c>
      <c r="K8835" s="18">
        <f t="shared" si="275"/>
        <v>0</v>
      </c>
      <c r="L8835" s="27">
        <v>6718.23</v>
      </c>
      <c r="M8835" s="36">
        <v>309.77</v>
      </c>
      <c r="T8835" s="41">
        <v>0</v>
      </c>
      <c r="U8835" s="41">
        <v>0</v>
      </c>
      <c r="V8835" s="42" t="s">
        <v>113</v>
      </c>
      <c r="W8835" s="42">
        <v>0</v>
      </c>
      <c r="X8835" s="42">
        <v>0</v>
      </c>
    </row>
    <row r="8836" spans="1:24">
      <c r="A8836" s="27" t="s">
        <v>16116</v>
      </c>
      <c r="B8836" s="28" t="s">
        <v>12240</v>
      </c>
      <c r="C8836" s="27" t="s">
        <v>16117</v>
      </c>
      <c r="D8836" s="27" t="s">
        <v>230</v>
      </c>
      <c r="E8836" s="29">
        <v>40843</v>
      </c>
      <c r="F8836" s="27">
        <v>15</v>
      </c>
      <c r="G8836" s="18">
        <v>9300</v>
      </c>
      <c r="H8836" s="27">
        <f t="shared" si="274"/>
        <v>0</v>
      </c>
      <c r="I8836" s="18">
        <v>6408.46</v>
      </c>
      <c r="J8836" s="27">
        <v>9300</v>
      </c>
      <c r="K8836" s="18">
        <f t="shared" si="275"/>
        <v>0</v>
      </c>
      <c r="L8836" s="27">
        <v>6718.23</v>
      </c>
      <c r="M8836" s="36">
        <v>309.77</v>
      </c>
      <c r="T8836" s="41">
        <v>0</v>
      </c>
      <c r="U8836" s="41">
        <v>0</v>
      </c>
      <c r="V8836" s="42" t="s">
        <v>113</v>
      </c>
      <c r="W8836" s="42">
        <v>0</v>
      </c>
      <c r="X8836" s="42">
        <v>0</v>
      </c>
    </row>
    <row r="8837" spans="1:24">
      <c r="A8837" s="27" t="s">
        <v>16118</v>
      </c>
      <c r="B8837" s="28" t="s">
        <v>12240</v>
      </c>
      <c r="C8837" s="27" t="s">
        <v>16119</v>
      </c>
      <c r="D8837" s="27" t="s">
        <v>230</v>
      </c>
      <c r="E8837" s="29">
        <v>40843</v>
      </c>
      <c r="F8837" s="27">
        <v>15</v>
      </c>
      <c r="G8837" s="18">
        <v>9300</v>
      </c>
      <c r="H8837" s="27">
        <f t="shared" si="274"/>
        <v>0</v>
      </c>
      <c r="I8837" s="18">
        <v>6408.45</v>
      </c>
      <c r="J8837" s="27">
        <v>9300</v>
      </c>
      <c r="K8837" s="18">
        <f t="shared" si="275"/>
        <v>0</v>
      </c>
      <c r="L8837" s="27">
        <v>6718.22</v>
      </c>
      <c r="M8837" s="36">
        <v>309.77</v>
      </c>
      <c r="T8837" s="41">
        <v>0</v>
      </c>
      <c r="U8837" s="41">
        <v>0</v>
      </c>
      <c r="V8837" s="42" t="s">
        <v>113</v>
      </c>
      <c r="W8837" s="42">
        <v>0</v>
      </c>
      <c r="X8837" s="42">
        <v>0</v>
      </c>
    </row>
    <row r="8838" spans="1:24">
      <c r="A8838" s="27" t="s">
        <v>16120</v>
      </c>
      <c r="B8838" s="28" t="s">
        <v>12240</v>
      </c>
      <c r="C8838" s="27" t="s">
        <v>16121</v>
      </c>
      <c r="D8838" s="27" t="s">
        <v>230</v>
      </c>
      <c r="E8838" s="29">
        <v>40843</v>
      </c>
      <c r="F8838" s="27">
        <v>15</v>
      </c>
      <c r="G8838" s="18">
        <v>9300</v>
      </c>
      <c r="H8838" s="27">
        <f t="shared" ref="H8838:H8901" si="276">IFERROR(IF(ROUND((G8838-I8838)/G8838,2)&lt;=0.05,G8838,0),0)</f>
        <v>0</v>
      </c>
      <c r="I8838" s="18">
        <v>6408.47</v>
      </c>
      <c r="J8838" s="27">
        <v>9300</v>
      </c>
      <c r="K8838" s="18">
        <f t="shared" ref="K8838:K8901" si="277">IFERROR(IF(ROUND((J8838-L8838)/J8838,2)&lt;=0.05,J8838,0),0)</f>
        <v>0</v>
      </c>
      <c r="L8838" s="27">
        <v>6718.24</v>
      </c>
      <c r="M8838" s="36">
        <v>309.77</v>
      </c>
      <c r="T8838" s="41">
        <v>0</v>
      </c>
      <c r="U8838" s="41">
        <v>0</v>
      </c>
      <c r="V8838" s="42" t="s">
        <v>113</v>
      </c>
      <c r="W8838" s="42">
        <v>0</v>
      </c>
      <c r="X8838" s="42">
        <v>0</v>
      </c>
    </row>
    <row r="8839" spans="1:24">
      <c r="A8839" s="27" t="s">
        <v>16122</v>
      </c>
      <c r="B8839" s="28" t="s">
        <v>12240</v>
      </c>
      <c r="C8839" s="27" t="s">
        <v>16123</v>
      </c>
      <c r="D8839" s="27" t="s">
        <v>230</v>
      </c>
      <c r="E8839" s="29">
        <v>40843</v>
      </c>
      <c r="F8839" s="27">
        <v>15</v>
      </c>
      <c r="G8839" s="18">
        <v>9300</v>
      </c>
      <c r="H8839" s="27">
        <f t="shared" si="276"/>
        <v>0</v>
      </c>
      <c r="I8839" s="18">
        <v>6408.45</v>
      </c>
      <c r="J8839" s="27">
        <v>9300</v>
      </c>
      <c r="K8839" s="18">
        <f t="shared" si="277"/>
        <v>0</v>
      </c>
      <c r="L8839" s="27">
        <v>6718.22</v>
      </c>
      <c r="M8839" s="36">
        <v>309.77</v>
      </c>
      <c r="T8839" s="41">
        <v>0</v>
      </c>
      <c r="U8839" s="41">
        <v>0</v>
      </c>
      <c r="V8839" s="42" t="s">
        <v>113</v>
      </c>
      <c r="W8839" s="42">
        <v>0</v>
      </c>
      <c r="X8839" s="42">
        <v>0</v>
      </c>
    </row>
    <row r="8840" spans="1:24">
      <c r="A8840" s="27" t="s">
        <v>16124</v>
      </c>
      <c r="B8840" s="28" t="s">
        <v>12240</v>
      </c>
      <c r="C8840" s="27" t="s">
        <v>16125</v>
      </c>
      <c r="D8840" s="27" t="s">
        <v>230</v>
      </c>
      <c r="E8840" s="29">
        <v>40843</v>
      </c>
      <c r="F8840" s="27">
        <v>15</v>
      </c>
      <c r="G8840" s="18">
        <v>9300</v>
      </c>
      <c r="H8840" s="27">
        <f t="shared" si="276"/>
        <v>0</v>
      </c>
      <c r="I8840" s="18">
        <v>6408.45</v>
      </c>
      <c r="J8840" s="27">
        <v>9300</v>
      </c>
      <c r="K8840" s="18">
        <f t="shared" si="277"/>
        <v>0</v>
      </c>
      <c r="L8840" s="27">
        <v>6718.22</v>
      </c>
      <c r="M8840" s="36">
        <v>309.77</v>
      </c>
      <c r="T8840" s="41">
        <v>0</v>
      </c>
      <c r="U8840" s="41">
        <v>0</v>
      </c>
      <c r="V8840" s="42" t="s">
        <v>113</v>
      </c>
      <c r="W8840" s="42">
        <v>0</v>
      </c>
      <c r="X8840" s="42">
        <v>0</v>
      </c>
    </row>
    <row r="8841" spans="1:24">
      <c r="A8841" s="27" t="s">
        <v>16126</v>
      </c>
      <c r="B8841" s="28" t="s">
        <v>12240</v>
      </c>
      <c r="C8841" s="27" t="s">
        <v>16127</v>
      </c>
      <c r="D8841" s="27" t="s">
        <v>230</v>
      </c>
      <c r="E8841" s="29">
        <v>40843</v>
      </c>
      <c r="F8841" s="27">
        <v>15</v>
      </c>
      <c r="G8841" s="18">
        <v>9300</v>
      </c>
      <c r="H8841" s="27">
        <f t="shared" si="276"/>
        <v>0</v>
      </c>
      <c r="I8841" s="18">
        <v>6408.47</v>
      </c>
      <c r="J8841" s="27">
        <v>9300</v>
      </c>
      <c r="K8841" s="18">
        <f t="shared" si="277"/>
        <v>0</v>
      </c>
      <c r="L8841" s="27">
        <v>6718.24</v>
      </c>
      <c r="M8841" s="36">
        <v>309.77</v>
      </c>
      <c r="T8841" s="41">
        <v>0</v>
      </c>
      <c r="U8841" s="41">
        <v>0</v>
      </c>
      <c r="V8841" s="42" t="s">
        <v>113</v>
      </c>
      <c r="W8841" s="42">
        <v>0</v>
      </c>
      <c r="X8841" s="42">
        <v>0</v>
      </c>
    </row>
    <row r="8842" spans="1:24">
      <c r="A8842" s="27" t="s">
        <v>16128</v>
      </c>
      <c r="B8842" s="28" t="s">
        <v>12240</v>
      </c>
      <c r="C8842" s="27" t="s">
        <v>16129</v>
      </c>
      <c r="D8842" s="27" t="s">
        <v>230</v>
      </c>
      <c r="E8842" s="29">
        <v>40843</v>
      </c>
      <c r="F8842" s="27">
        <v>15</v>
      </c>
      <c r="G8842" s="18">
        <v>9300</v>
      </c>
      <c r="H8842" s="27">
        <f t="shared" si="276"/>
        <v>0</v>
      </c>
      <c r="I8842" s="18">
        <v>6408.45</v>
      </c>
      <c r="J8842" s="27">
        <v>9300</v>
      </c>
      <c r="K8842" s="18">
        <f t="shared" si="277"/>
        <v>0</v>
      </c>
      <c r="L8842" s="27">
        <v>6718.22</v>
      </c>
      <c r="M8842" s="36">
        <v>309.77</v>
      </c>
      <c r="T8842" s="41">
        <v>0</v>
      </c>
      <c r="U8842" s="41">
        <v>0</v>
      </c>
      <c r="V8842" s="42" t="s">
        <v>113</v>
      </c>
      <c r="W8842" s="42">
        <v>0</v>
      </c>
      <c r="X8842" s="42">
        <v>0</v>
      </c>
    </row>
    <row r="8843" spans="1:24">
      <c r="A8843" s="27" t="s">
        <v>16130</v>
      </c>
      <c r="B8843" s="28" t="s">
        <v>12240</v>
      </c>
      <c r="C8843" s="27" t="s">
        <v>16131</v>
      </c>
      <c r="D8843" s="27" t="s">
        <v>230</v>
      </c>
      <c r="E8843" s="29">
        <v>40843</v>
      </c>
      <c r="F8843" s="27">
        <v>15</v>
      </c>
      <c r="G8843" s="18">
        <v>9300</v>
      </c>
      <c r="H8843" s="27">
        <f t="shared" si="276"/>
        <v>0</v>
      </c>
      <c r="I8843" s="18">
        <v>6408.47</v>
      </c>
      <c r="J8843" s="27">
        <v>9300</v>
      </c>
      <c r="K8843" s="18">
        <f t="shared" si="277"/>
        <v>0</v>
      </c>
      <c r="L8843" s="27">
        <v>6718.24</v>
      </c>
      <c r="M8843" s="36">
        <v>309.77</v>
      </c>
      <c r="T8843" s="41">
        <v>0</v>
      </c>
      <c r="U8843" s="41">
        <v>0</v>
      </c>
      <c r="V8843" s="42" t="s">
        <v>113</v>
      </c>
      <c r="W8843" s="42">
        <v>0</v>
      </c>
      <c r="X8843" s="42">
        <v>0</v>
      </c>
    </row>
    <row r="8844" spans="1:24">
      <c r="A8844" s="27" t="s">
        <v>16132</v>
      </c>
      <c r="B8844" s="28" t="s">
        <v>12240</v>
      </c>
      <c r="C8844" s="27" t="s">
        <v>16133</v>
      </c>
      <c r="D8844" s="27" t="s">
        <v>230</v>
      </c>
      <c r="E8844" s="29">
        <v>40843</v>
      </c>
      <c r="F8844" s="27">
        <v>15</v>
      </c>
      <c r="G8844" s="18">
        <v>9300</v>
      </c>
      <c r="H8844" s="27">
        <f t="shared" si="276"/>
        <v>0</v>
      </c>
      <c r="I8844" s="18">
        <v>6408.47</v>
      </c>
      <c r="J8844" s="27">
        <v>9300</v>
      </c>
      <c r="K8844" s="18">
        <f t="shared" si="277"/>
        <v>0</v>
      </c>
      <c r="L8844" s="27">
        <v>6718.24</v>
      </c>
      <c r="M8844" s="36">
        <v>309.77</v>
      </c>
      <c r="T8844" s="41">
        <v>0</v>
      </c>
      <c r="U8844" s="41">
        <v>0</v>
      </c>
      <c r="V8844" s="42" t="s">
        <v>113</v>
      </c>
      <c r="W8844" s="42">
        <v>0</v>
      </c>
      <c r="X8844" s="42">
        <v>0</v>
      </c>
    </row>
    <row r="8845" spans="1:24">
      <c r="A8845" s="27" t="s">
        <v>16134</v>
      </c>
      <c r="B8845" s="28" t="s">
        <v>12240</v>
      </c>
      <c r="C8845" s="27" t="s">
        <v>16135</v>
      </c>
      <c r="D8845" s="27" t="s">
        <v>230</v>
      </c>
      <c r="E8845" s="29">
        <v>40843</v>
      </c>
      <c r="F8845" s="27">
        <v>15</v>
      </c>
      <c r="G8845" s="18">
        <v>9300</v>
      </c>
      <c r="H8845" s="27">
        <f t="shared" si="276"/>
        <v>0</v>
      </c>
      <c r="I8845" s="18">
        <v>6408.45</v>
      </c>
      <c r="J8845" s="27">
        <v>9300</v>
      </c>
      <c r="K8845" s="18">
        <f t="shared" si="277"/>
        <v>0</v>
      </c>
      <c r="L8845" s="27">
        <v>6718.22</v>
      </c>
      <c r="M8845" s="36">
        <v>309.77</v>
      </c>
      <c r="T8845" s="41">
        <v>0</v>
      </c>
      <c r="U8845" s="41">
        <v>0</v>
      </c>
      <c r="V8845" s="42" t="s">
        <v>113</v>
      </c>
      <c r="W8845" s="42">
        <v>0</v>
      </c>
      <c r="X8845" s="42">
        <v>0</v>
      </c>
    </row>
    <row r="8846" spans="1:24">
      <c r="A8846" s="27" t="s">
        <v>16136</v>
      </c>
      <c r="B8846" s="28" t="s">
        <v>12240</v>
      </c>
      <c r="C8846" s="27" t="s">
        <v>16137</v>
      </c>
      <c r="D8846" s="27" t="s">
        <v>230</v>
      </c>
      <c r="E8846" s="29">
        <v>40843</v>
      </c>
      <c r="F8846" s="27">
        <v>15</v>
      </c>
      <c r="G8846" s="18">
        <v>9300</v>
      </c>
      <c r="H8846" s="27">
        <f t="shared" si="276"/>
        <v>0</v>
      </c>
      <c r="I8846" s="18">
        <v>6408.47</v>
      </c>
      <c r="J8846" s="27">
        <v>9300</v>
      </c>
      <c r="K8846" s="18">
        <f t="shared" si="277"/>
        <v>0</v>
      </c>
      <c r="L8846" s="27">
        <v>6718.24</v>
      </c>
      <c r="M8846" s="36">
        <v>309.77</v>
      </c>
      <c r="T8846" s="41">
        <v>0</v>
      </c>
      <c r="U8846" s="41">
        <v>0</v>
      </c>
      <c r="V8846" s="42" t="s">
        <v>113</v>
      </c>
      <c r="W8846" s="42">
        <v>0</v>
      </c>
      <c r="X8846" s="42">
        <v>0</v>
      </c>
    </row>
    <row r="8847" spans="1:24">
      <c r="A8847" s="27" t="s">
        <v>16138</v>
      </c>
      <c r="B8847" s="28" t="s">
        <v>12240</v>
      </c>
      <c r="C8847" s="27" t="s">
        <v>16139</v>
      </c>
      <c r="D8847" s="27" t="s">
        <v>230</v>
      </c>
      <c r="E8847" s="29">
        <v>40843</v>
      </c>
      <c r="F8847" s="27">
        <v>15</v>
      </c>
      <c r="G8847" s="18">
        <v>9300</v>
      </c>
      <c r="H8847" s="27">
        <f t="shared" si="276"/>
        <v>0</v>
      </c>
      <c r="I8847" s="18">
        <v>6408.45</v>
      </c>
      <c r="J8847" s="27">
        <v>9300</v>
      </c>
      <c r="K8847" s="18">
        <f t="shared" si="277"/>
        <v>0</v>
      </c>
      <c r="L8847" s="27">
        <v>6718.22</v>
      </c>
      <c r="M8847" s="36">
        <v>309.77</v>
      </c>
      <c r="T8847" s="41">
        <v>0</v>
      </c>
      <c r="U8847" s="41">
        <v>0</v>
      </c>
      <c r="V8847" s="42" t="s">
        <v>113</v>
      </c>
      <c r="W8847" s="42">
        <v>0</v>
      </c>
      <c r="X8847" s="42">
        <v>0</v>
      </c>
    </row>
    <row r="8848" spans="1:24">
      <c r="A8848" s="27" t="s">
        <v>16140</v>
      </c>
      <c r="B8848" s="28" t="s">
        <v>12240</v>
      </c>
      <c r="C8848" s="27" t="s">
        <v>16141</v>
      </c>
      <c r="D8848" s="27" t="s">
        <v>230</v>
      </c>
      <c r="E8848" s="29">
        <v>40843</v>
      </c>
      <c r="F8848" s="27">
        <v>15</v>
      </c>
      <c r="G8848" s="18">
        <v>9300</v>
      </c>
      <c r="H8848" s="27">
        <f t="shared" si="276"/>
        <v>0</v>
      </c>
      <c r="I8848" s="18">
        <v>6408.47</v>
      </c>
      <c r="J8848" s="27">
        <v>9300</v>
      </c>
      <c r="K8848" s="18">
        <f t="shared" si="277"/>
        <v>0</v>
      </c>
      <c r="L8848" s="27">
        <v>6718.24</v>
      </c>
      <c r="M8848" s="36">
        <v>309.77</v>
      </c>
      <c r="T8848" s="41">
        <v>0</v>
      </c>
      <c r="U8848" s="41">
        <v>0</v>
      </c>
      <c r="V8848" s="42" t="s">
        <v>113</v>
      </c>
      <c r="W8848" s="42">
        <v>0</v>
      </c>
      <c r="X8848" s="42">
        <v>0</v>
      </c>
    </row>
    <row r="8849" spans="1:24">
      <c r="A8849" s="27" t="s">
        <v>16142</v>
      </c>
      <c r="B8849" s="28" t="s">
        <v>12240</v>
      </c>
      <c r="C8849" s="27" t="s">
        <v>16143</v>
      </c>
      <c r="D8849" s="27" t="s">
        <v>230</v>
      </c>
      <c r="E8849" s="29">
        <v>40843</v>
      </c>
      <c r="F8849" s="27">
        <v>15</v>
      </c>
      <c r="G8849" s="18">
        <v>9300</v>
      </c>
      <c r="H8849" s="27">
        <f t="shared" si="276"/>
        <v>0</v>
      </c>
      <c r="I8849" s="18">
        <v>6408.47</v>
      </c>
      <c r="J8849" s="27">
        <v>9300</v>
      </c>
      <c r="K8849" s="18">
        <f t="shared" si="277"/>
        <v>0</v>
      </c>
      <c r="L8849" s="27">
        <v>6718.24</v>
      </c>
      <c r="M8849" s="36">
        <v>309.77</v>
      </c>
      <c r="T8849" s="41">
        <v>0</v>
      </c>
      <c r="U8849" s="41">
        <v>0</v>
      </c>
      <c r="V8849" s="42" t="s">
        <v>113</v>
      </c>
      <c r="W8849" s="42">
        <v>0</v>
      </c>
      <c r="X8849" s="42">
        <v>0</v>
      </c>
    </row>
    <row r="8850" spans="1:24">
      <c r="A8850" s="27" t="s">
        <v>16144</v>
      </c>
      <c r="B8850" s="28" t="s">
        <v>12240</v>
      </c>
      <c r="C8850" s="27" t="s">
        <v>16145</v>
      </c>
      <c r="D8850" s="27" t="s">
        <v>230</v>
      </c>
      <c r="E8850" s="29">
        <v>40843</v>
      </c>
      <c r="F8850" s="27">
        <v>15</v>
      </c>
      <c r="G8850" s="18">
        <v>9300</v>
      </c>
      <c r="H8850" s="27">
        <f t="shared" si="276"/>
        <v>0</v>
      </c>
      <c r="I8850" s="18">
        <v>6408.45</v>
      </c>
      <c r="J8850" s="27">
        <v>9300</v>
      </c>
      <c r="K8850" s="18">
        <f t="shared" si="277"/>
        <v>0</v>
      </c>
      <c r="L8850" s="27">
        <v>6718.22</v>
      </c>
      <c r="M8850" s="36">
        <v>309.77</v>
      </c>
      <c r="T8850" s="41">
        <v>0</v>
      </c>
      <c r="U8850" s="41">
        <v>0</v>
      </c>
      <c r="V8850" s="42" t="s">
        <v>113</v>
      </c>
      <c r="W8850" s="42">
        <v>0</v>
      </c>
      <c r="X8850" s="42">
        <v>0</v>
      </c>
    </row>
    <row r="8851" spans="1:24">
      <c r="A8851" s="27" t="s">
        <v>16146</v>
      </c>
      <c r="B8851" s="28" t="s">
        <v>12240</v>
      </c>
      <c r="C8851" s="27" t="s">
        <v>16147</v>
      </c>
      <c r="D8851" s="27" t="s">
        <v>230</v>
      </c>
      <c r="E8851" s="29">
        <v>40843</v>
      </c>
      <c r="F8851" s="27">
        <v>15</v>
      </c>
      <c r="G8851" s="18">
        <v>9300</v>
      </c>
      <c r="H8851" s="27">
        <f t="shared" si="276"/>
        <v>0</v>
      </c>
      <c r="I8851" s="18">
        <v>6408.45</v>
      </c>
      <c r="J8851" s="27">
        <v>9300</v>
      </c>
      <c r="K8851" s="18">
        <f t="shared" si="277"/>
        <v>0</v>
      </c>
      <c r="L8851" s="27">
        <v>6718.22</v>
      </c>
      <c r="M8851" s="36">
        <v>309.77</v>
      </c>
      <c r="T8851" s="41">
        <v>0</v>
      </c>
      <c r="U8851" s="41">
        <v>0</v>
      </c>
      <c r="V8851" s="42" t="s">
        <v>113</v>
      </c>
      <c r="W8851" s="42">
        <v>0</v>
      </c>
      <c r="X8851" s="42">
        <v>0</v>
      </c>
    </row>
    <row r="8852" spans="1:24">
      <c r="A8852" s="27" t="s">
        <v>16148</v>
      </c>
      <c r="B8852" s="28" t="s">
        <v>12240</v>
      </c>
      <c r="C8852" s="27" t="s">
        <v>16149</v>
      </c>
      <c r="D8852" s="27" t="s">
        <v>230</v>
      </c>
      <c r="E8852" s="29">
        <v>40843</v>
      </c>
      <c r="F8852" s="27">
        <v>15</v>
      </c>
      <c r="G8852" s="18">
        <v>9300</v>
      </c>
      <c r="H8852" s="27">
        <f t="shared" si="276"/>
        <v>0</v>
      </c>
      <c r="I8852" s="18">
        <v>6408.47</v>
      </c>
      <c r="J8852" s="27">
        <v>9300</v>
      </c>
      <c r="K8852" s="18">
        <f t="shared" si="277"/>
        <v>0</v>
      </c>
      <c r="L8852" s="27">
        <v>6718.24</v>
      </c>
      <c r="M8852" s="36">
        <v>309.77</v>
      </c>
      <c r="T8852" s="41">
        <v>0</v>
      </c>
      <c r="U8852" s="41">
        <v>0</v>
      </c>
      <c r="V8852" s="42" t="s">
        <v>113</v>
      </c>
      <c r="W8852" s="42">
        <v>0</v>
      </c>
      <c r="X8852" s="42">
        <v>0</v>
      </c>
    </row>
    <row r="8853" spans="1:24">
      <c r="A8853" s="27" t="s">
        <v>16150</v>
      </c>
      <c r="B8853" s="28" t="s">
        <v>12240</v>
      </c>
      <c r="C8853" s="27" t="s">
        <v>16151</v>
      </c>
      <c r="D8853" s="27" t="s">
        <v>230</v>
      </c>
      <c r="E8853" s="29">
        <v>40843</v>
      </c>
      <c r="F8853" s="27">
        <v>15</v>
      </c>
      <c r="G8853" s="18">
        <v>9300</v>
      </c>
      <c r="H8853" s="27">
        <f t="shared" si="276"/>
        <v>0</v>
      </c>
      <c r="I8853" s="18">
        <v>6408.47</v>
      </c>
      <c r="J8853" s="27">
        <v>9300</v>
      </c>
      <c r="K8853" s="18">
        <f t="shared" si="277"/>
        <v>0</v>
      </c>
      <c r="L8853" s="27">
        <v>6718.24</v>
      </c>
      <c r="M8853" s="36">
        <v>309.77</v>
      </c>
      <c r="T8853" s="41">
        <v>0</v>
      </c>
      <c r="U8853" s="41">
        <v>0</v>
      </c>
      <c r="V8853" s="42" t="s">
        <v>113</v>
      </c>
      <c r="W8853" s="42">
        <v>0</v>
      </c>
      <c r="X8853" s="42">
        <v>0</v>
      </c>
    </row>
    <row r="8854" spans="1:24">
      <c r="A8854" s="27" t="s">
        <v>16152</v>
      </c>
      <c r="B8854" s="28" t="s">
        <v>12240</v>
      </c>
      <c r="C8854" s="27" t="s">
        <v>16153</v>
      </c>
      <c r="D8854" s="27" t="s">
        <v>230</v>
      </c>
      <c r="E8854" s="29">
        <v>40843</v>
      </c>
      <c r="F8854" s="27">
        <v>15</v>
      </c>
      <c r="G8854" s="18">
        <v>9300</v>
      </c>
      <c r="H8854" s="27">
        <f t="shared" si="276"/>
        <v>0</v>
      </c>
      <c r="I8854" s="18">
        <v>6408.47</v>
      </c>
      <c r="J8854" s="27">
        <v>9300</v>
      </c>
      <c r="K8854" s="18">
        <f t="shared" si="277"/>
        <v>0</v>
      </c>
      <c r="L8854" s="27">
        <v>6718.24</v>
      </c>
      <c r="M8854" s="36">
        <v>309.77</v>
      </c>
      <c r="T8854" s="41">
        <v>0</v>
      </c>
      <c r="U8854" s="41">
        <v>0</v>
      </c>
      <c r="V8854" s="42" t="s">
        <v>113</v>
      </c>
      <c r="W8854" s="42">
        <v>0</v>
      </c>
      <c r="X8854" s="42">
        <v>0</v>
      </c>
    </row>
    <row r="8855" spans="1:24">
      <c r="A8855" s="27" t="s">
        <v>16154</v>
      </c>
      <c r="B8855" s="28" t="s">
        <v>12240</v>
      </c>
      <c r="C8855" s="27" t="s">
        <v>16155</v>
      </c>
      <c r="D8855" s="27" t="s">
        <v>230</v>
      </c>
      <c r="E8855" s="29">
        <v>40843</v>
      </c>
      <c r="F8855" s="27">
        <v>15</v>
      </c>
      <c r="G8855" s="18">
        <v>140000</v>
      </c>
      <c r="H8855" s="27">
        <f t="shared" si="276"/>
        <v>0</v>
      </c>
      <c r="I8855" s="18">
        <v>96471.48</v>
      </c>
      <c r="J8855" s="27">
        <v>140000</v>
      </c>
      <c r="K8855" s="18">
        <f t="shared" si="277"/>
        <v>0</v>
      </c>
      <c r="L8855" s="27">
        <v>101134.7</v>
      </c>
      <c r="M8855" s="36">
        <v>4663.22</v>
      </c>
      <c r="T8855" s="41">
        <v>0</v>
      </c>
      <c r="U8855" s="41">
        <v>0</v>
      </c>
      <c r="V8855" s="42" t="s">
        <v>113</v>
      </c>
      <c r="W8855" s="42">
        <v>0</v>
      </c>
      <c r="X8855" s="42">
        <v>0</v>
      </c>
    </row>
    <row r="8856" spans="1:24">
      <c r="A8856" s="27" t="s">
        <v>16156</v>
      </c>
      <c r="B8856" s="28" t="s">
        <v>12240</v>
      </c>
      <c r="C8856" s="27" t="s">
        <v>16157</v>
      </c>
      <c r="D8856" s="27" t="s">
        <v>230</v>
      </c>
      <c r="E8856" s="29">
        <v>38078</v>
      </c>
      <c r="F8856" s="27">
        <v>15</v>
      </c>
      <c r="G8856" s="18">
        <v>21148.45</v>
      </c>
      <c r="H8856" s="27">
        <f t="shared" si="276"/>
        <v>21148.45</v>
      </c>
      <c r="I8856" s="18">
        <v>20091.03</v>
      </c>
      <c r="J8856" s="27">
        <v>21148.45</v>
      </c>
      <c r="K8856" s="18">
        <f t="shared" si="277"/>
        <v>21148.45</v>
      </c>
      <c r="L8856" s="27">
        <v>20091.03</v>
      </c>
      <c r="M8856" s="36">
        <v>0</v>
      </c>
      <c r="T8856" s="41">
        <v>0</v>
      </c>
      <c r="U8856" s="41">
        <v>0</v>
      </c>
      <c r="V8856" s="42" t="s">
        <v>113</v>
      </c>
      <c r="W8856" s="42">
        <v>21148.45</v>
      </c>
      <c r="X8856" s="42">
        <v>21148.45</v>
      </c>
    </row>
    <row r="8857" spans="1:24">
      <c r="A8857" s="27" t="s">
        <v>16158</v>
      </c>
      <c r="B8857" s="28" t="s">
        <v>12240</v>
      </c>
      <c r="C8857" s="27" t="s">
        <v>16159</v>
      </c>
      <c r="D8857" s="27" t="s">
        <v>230</v>
      </c>
      <c r="E8857" s="29">
        <v>37226</v>
      </c>
      <c r="F8857" s="27">
        <v>15</v>
      </c>
      <c r="G8857" s="18">
        <v>15082.65</v>
      </c>
      <c r="H8857" s="27">
        <f t="shared" si="276"/>
        <v>15082.65</v>
      </c>
      <c r="I8857" s="18">
        <v>14328.52</v>
      </c>
      <c r="J8857" s="27">
        <v>15082.65</v>
      </c>
      <c r="K8857" s="18">
        <f t="shared" si="277"/>
        <v>15082.65</v>
      </c>
      <c r="L8857" s="27">
        <v>14328.52</v>
      </c>
      <c r="M8857" s="36">
        <v>0</v>
      </c>
      <c r="T8857" s="41">
        <v>0</v>
      </c>
      <c r="U8857" s="41">
        <v>0</v>
      </c>
      <c r="V8857" s="42" t="s">
        <v>113</v>
      </c>
      <c r="W8857" s="42">
        <v>15082.65</v>
      </c>
      <c r="X8857" s="42">
        <v>15082.65</v>
      </c>
    </row>
    <row r="8858" spans="1:24">
      <c r="A8858" s="27" t="s">
        <v>16160</v>
      </c>
      <c r="B8858" s="28" t="s">
        <v>12240</v>
      </c>
      <c r="C8858" s="27" t="s">
        <v>16161</v>
      </c>
      <c r="D8858" s="27" t="s">
        <v>230</v>
      </c>
      <c r="E8858" s="29">
        <v>41975</v>
      </c>
      <c r="F8858" s="27">
        <v>15</v>
      </c>
      <c r="G8858" s="18">
        <v>62378.83</v>
      </c>
      <c r="H8858" s="27">
        <f t="shared" si="276"/>
        <v>0</v>
      </c>
      <c r="I8858" s="18">
        <v>18515.5</v>
      </c>
      <c r="J8858" s="27">
        <v>62378.83</v>
      </c>
      <c r="K8858" s="18">
        <f t="shared" si="277"/>
        <v>0</v>
      </c>
      <c r="L8858" s="27">
        <v>22219.54</v>
      </c>
      <c r="M8858" s="36">
        <v>3704.04</v>
      </c>
      <c r="T8858" s="41">
        <v>0</v>
      </c>
      <c r="U8858" s="41">
        <v>0</v>
      </c>
      <c r="V8858" s="42" t="s">
        <v>113</v>
      </c>
      <c r="W8858" s="42">
        <v>0</v>
      </c>
      <c r="X8858" s="42">
        <v>0</v>
      </c>
    </row>
    <row r="8859" spans="1:24">
      <c r="A8859" s="27" t="s">
        <v>16162</v>
      </c>
      <c r="B8859" s="28" t="s">
        <v>12240</v>
      </c>
      <c r="C8859" s="27" t="s">
        <v>16163</v>
      </c>
      <c r="D8859" s="27" t="s">
        <v>230</v>
      </c>
      <c r="E8859" s="29">
        <v>37226</v>
      </c>
      <c r="F8859" s="27">
        <v>15</v>
      </c>
      <c r="G8859" s="18">
        <v>21285.21</v>
      </c>
      <c r="H8859" s="27">
        <f t="shared" si="276"/>
        <v>21285.21</v>
      </c>
      <c r="I8859" s="18">
        <v>20220.95</v>
      </c>
      <c r="J8859" s="27">
        <v>21285.21</v>
      </c>
      <c r="K8859" s="18">
        <f t="shared" si="277"/>
        <v>21285.21</v>
      </c>
      <c r="L8859" s="27">
        <v>20220.95</v>
      </c>
      <c r="M8859" s="36">
        <v>0</v>
      </c>
      <c r="T8859" s="41">
        <v>0</v>
      </c>
      <c r="U8859" s="41">
        <v>0</v>
      </c>
      <c r="V8859" s="42" t="s">
        <v>113</v>
      </c>
      <c r="W8859" s="42">
        <v>21285.21</v>
      </c>
      <c r="X8859" s="42">
        <v>21285.21</v>
      </c>
    </row>
    <row r="8860" spans="1:24">
      <c r="A8860" s="27" t="s">
        <v>16164</v>
      </c>
      <c r="B8860" s="28" t="s">
        <v>12240</v>
      </c>
      <c r="C8860" s="27" t="s">
        <v>16165</v>
      </c>
      <c r="D8860" s="27" t="s">
        <v>230</v>
      </c>
      <c r="E8860" s="29">
        <v>37226</v>
      </c>
      <c r="F8860" s="27">
        <v>15</v>
      </c>
      <c r="G8860" s="18">
        <v>15082.65</v>
      </c>
      <c r="H8860" s="27">
        <f t="shared" si="276"/>
        <v>15082.65</v>
      </c>
      <c r="I8860" s="18">
        <v>14328.52</v>
      </c>
      <c r="J8860" s="27">
        <v>15082.65</v>
      </c>
      <c r="K8860" s="18">
        <f t="shared" si="277"/>
        <v>15082.65</v>
      </c>
      <c r="L8860" s="27">
        <v>14328.52</v>
      </c>
      <c r="M8860" s="36">
        <v>0</v>
      </c>
      <c r="T8860" s="41">
        <v>0</v>
      </c>
      <c r="U8860" s="41">
        <v>0</v>
      </c>
      <c r="V8860" s="42" t="s">
        <v>113</v>
      </c>
      <c r="W8860" s="42">
        <v>15082.65</v>
      </c>
      <c r="X8860" s="42">
        <v>15082.65</v>
      </c>
    </row>
    <row r="8861" spans="1:24">
      <c r="A8861" s="27" t="s">
        <v>16166</v>
      </c>
      <c r="B8861" s="28" t="s">
        <v>12240</v>
      </c>
      <c r="C8861" s="27" t="s">
        <v>16167</v>
      </c>
      <c r="D8861" s="27" t="s">
        <v>230</v>
      </c>
      <c r="E8861" s="29">
        <v>40843</v>
      </c>
      <c r="F8861" s="27">
        <v>15</v>
      </c>
      <c r="G8861" s="18">
        <v>120000</v>
      </c>
      <c r="H8861" s="27">
        <f t="shared" si="276"/>
        <v>0</v>
      </c>
      <c r="I8861" s="18">
        <v>82689.83</v>
      </c>
      <c r="J8861" s="27">
        <v>120000</v>
      </c>
      <c r="K8861" s="18">
        <f t="shared" si="277"/>
        <v>0</v>
      </c>
      <c r="L8861" s="27">
        <v>86686.87</v>
      </c>
      <c r="M8861" s="36">
        <v>3997.04</v>
      </c>
      <c r="T8861" s="41">
        <v>0</v>
      </c>
      <c r="U8861" s="41">
        <v>0</v>
      </c>
      <c r="V8861" s="42" t="s">
        <v>113</v>
      </c>
      <c r="W8861" s="42">
        <v>0</v>
      </c>
      <c r="X8861" s="42">
        <v>0</v>
      </c>
    </row>
    <row r="8862" spans="1:24">
      <c r="A8862" s="27" t="s">
        <v>16168</v>
      </c>
      <c r="B8862" s="28" t="s">
        <v>12240</v>
      </c>
      <c r="C8862" s="27" t="s">
        <v>16169</v>
      </c>
      <c r="D8862" s="27" t="s">
        <v>230</v>
      </c>
      <c r="E8862" s="29">
        <v>40843</v>
      </c>
      <c r="F8862" s="27">
        <v>15</v>
      </c>
      <c r="G8862" s="18">
        <v>120000</v>
      </c>
      <c r="H8862" s="27">
        <f t="shared" si="276"/>
        <v>0</v>
      </c>
      <c r="I8862" s="18">
        <v>82689.83</v>
      </c>
      <c r="J8862" s="27">
        <v>120000</v>
      </c>
      <c r="K8862" s="18">
        <f t="shared" si="277"/>
        <v>0</v>
      </c>
      <c r="L8862" s="27">
        <v>86686.87</v>
      </c>
      <c r="M8862" s="36">
        <v>3997.04</v>
      </c>
      <c r="T8862" s="41">
        <v>0</v>
      </c>
      <c r="U8862" s="41">
        <v>0</v>
      </c>
      <c r="V8862" s="42" t="s">
        <v>113</v>
      </c>
      <c r="W8862" s="42">
        <v>0</v>
      </c>
      <c r="X8862" s="42">
        <v>0</v>
      </c>
    </row>
    <row r="8863" spans="1:24">
      <c r="A8863" s="27" t="s">
        <v>16170</v>
      </c>
      <c r="B8863" s="28" t="s">
        <v>12240</v>
      </c>
      <c r="C8863" s="27" t="s">
        <v>16171</v>
      </c>
      <c r="D8863" s="27" t="s">
        <v>230</v>
      </c>
      <c r="E8863" s="29">
        <v>40843</v>
      </c>
      <c r="F8863" s="27">
        <v>15</v>
      </c>
      <c r="G8863" s="18">
        <v>120000</v>
      </c>
      <c r="H8863" s="27">
        <f t="shared" si="276"/>
        <v>0</v>
      </c>
      <c r="I8863" s="18">
        <v>82689.83</v>
      </c>
      <c r="J8863" s="27">
        <v>120000</v>
      </c>
      <c r="K8863" s="18">
        <f t="shared" si="277"/>
        <v>0</v>
      </c>
      <c r="L8863" s="27">
        <v>86686.87</v>
      </c>
      <c r="M8863" s="36">
        <v>3997.04</v>
      </c>
      <c r="T8863" s="41">
        <v>0</v>
      </c>
      <c r="U8863" s="41">
        <v>0</v>
      </c>
      <c r="V8863" s="42" t="s">
        <v>113</v>
      </c>
      <c r="W8863" s="42">
        <v>0</v>
      </c>
      <c r="X8863" s="42">
        <v>0</v>
      </c>
    </row>
    <row r="8864" spans="1:24">
      <c r="A8864" s="27" t="s">
        <v>16172</v>
      </c>
      <c r="B8864" s="28" t="s">
        <v>12240</v>
      </c>
      <c r="C8864" s="27" t="s">
        <v>16173</v>
      </c>
      <c r="D8864" s="27" t="s">
        <v>230</v>
      </c>
      <c r="E8864" s="29">
        <v>40843</v>
      </c>
      <c r="F8864" s="27">
        <v>15</v>
      </c>
      <c r="G8864" s="18">
        <v>120000</v>
      </c>
      <c r="H8864" s="27">
        <f t="shared" si="276"/>
        <v>0</v>
      </c>
      <c r="I8864" s="18">
        <v>82689.83</v>
      </c>
      <c r="J8864" s="27">
        <v>120000</v>
      </c>
      <c r="K8864" s="18">
        <f t="shared" si="277"/>
        <v>0</v>
      </c>
      <c r="L8864" s="27">
        <v>86686.87</v>
      </c>
      <c r="M8864" s="36">
        <v>3997.04</v>
      </c>
      <c r="T8864" s="41">
        <v>0</v>
      </c>
      <c r="U8864" s="41">
        <v>0</v>
      </c>
      <c r="V8864" s="42" t="s">
        <v>113</v>
      </c>
      <c r="W8864" s="42">
        <v>0</v>
      </c>
      <c r="X8864" s="42">
        <v>0</v>
      </c>
    </row>
    <row r="8865" spans="1:24">
      <c r="A8865" s="27" t="s">
        <v>16174</v>
      </c>
      <c r="B8865" s="28" t="s">
        <v>12240</v>
      </c>
      <c r="C8865" s="27" t="s">
        <v>16175</v>
      </c>
      <c r="D8865" s="27" t="s">
        <v>230</v>
      </c>
      <c r="E8865" s="29">
        <v>40843</v>
      </c>
      <c r="F8865" s="27">
        <v>15</v>
      </c>
      <c r="G8865" s="18">
        <v>120000</v>
      </c>
      <c r="H8865" s="27">
        <f t="shared" si="276"/>
        <v>0</v>
      </c>
      <c r="I8865" s="18">
        <v>82689.83</v>
      </c>
      <c r="J8865" s="27">
        <v>120000</v>
      </c>
      <c r="K8865" s="18">
        <f t="shared" si="277"/>
        <v>0</v>
      </c>
      <c r="L8865" s="27">
        <v>86686.87</v>
      </c>
      <c r="M8865" s="36">
        <v>3997.04</v>
      </c>
      <c r="T8865" s="41">
        <v>0</v>
      </c>
      <c r="U8865" s="41">
        <v>0</v>
      </c>
      <c r="V8865" s="42" t="s">
        <v>113</v>
      </c>
      <c r="W8865" s="42">
        <v>0</v>
      </c>
      <c r="X8865" s="42">
        <v>0</v>
      </c>
    </row>
    <row r="8866" spans="1:24">
      <c r="A8866" s="27" t="s">
        <v>16176</v>
      </c>
      <c r="B8866" s="28" t="s">
        <v>12240</v>
      </c>
      <c r="C8866" s="27" t="s">
        <v>16177</v>
      </c>
      <c r="D8866" s="27" t="s">
        <v>230</v>
      </c>
      <c r="E8866" s="29">
        <v>40843</v>
      </c>
      <c r="F8866" s="27">
        <v>15</v>
      </c>
      <c r="G8866" s="18">
        <v>120000</v>
      </c>
      <c r="H8866" s="27">
        <f t="shared" si="276"/>
        <v>0</v>
      </c>
      <c r="I8866" s="18">
        <v>82689.83</v>
      </c>
      <c r="J8866" s="27">
        <v>120000</v>
      </c>
      <c r="K8866" s="18">
        <f t="shared" si="277"/>
        <v>0</v>
      </c>
      <c r="L8866" s="27">
        <v>86686.87</v>
      </c>
      <c r="M8866" s="36">
        <v>3997.04</v>
      </c>
      <c r="T8866" s="41">
        <v>0</v>
      </c>
      <c r="U8866" s="41">
        <v>0</v>
      </c>
      <c r="V8866" s="42" t="s">
        <v>113</v>
      </c>
      <c r="W8866" s="42">
        <v>0</v>
      </c>
      <c r="X8866" s="42">
        <v>0</v>
      </c>
    </row>
    <row r="8867" spans="1:24">
      <c r="A8867" s="27" t="s">
        <v>16178</v>
      </c>
      <c r="B8867" s="28" t="s">
        <v>12240</v>
      </c>
      <c r="C8867" s="27" t="s">
        <v>16179</v>
      </c>
      <c r="D8867" s="27" t="s">
        <v>230</v>
      </c>
      <c r="E8867" s="29">
        <v>40843</v>
      </c>
      <c r="F8867" s="27">
        <v>15</v>
      </c>
      <c r="G8867" s="18">
        <v>120000</v>
      </c>
      <c r="H8867" s="27">
        <f t="shared" si="276"/>
        <v>0</v>
      </c>
      <c r="I8867" s="18">
        <v>82689.83</v>
      </c>
      <c r="J8867" s="27">
        <v>120000</v>
      </c>
      <c r="K8867" s="18">
        <f t="shared" si="277"/>
        <v>0</v>
      </c>
      <c r="L8867" s="27">
        <v>86686.87</v>
      </c>
      <c r="M8867" s="36">
        <v>3997.04</v>
      </c>
      <c r="T8867" s="41">
        <v>0</v>
      </c>
      <c r="U8867" s="41">
        <v>0</v>
      </c>
      <c r="V8867" s="42" t="s">
        <v>113</v>
      </c>
      <c r="W8867" s="42">
        <v>0</v>
      </c>
      <c r="X8867" s="42">
        <v>0</v>
      </c>
    </row>
    <row r="8868" spans="1:24">
      <c r="A8868" s="27" t="s">
        <v>16180</v>
      </c>
      <c r="B8868" s="28" t="s">
        <v>12240</v>
      </c>
      <c r="C8868" s="27" t="s">
        <v>16181</v>
      </c>
      <c r="D8868" s="27" t="s">
        <v>230</v>
      </c>
      <c r="E8868" s="29">
        <v>40843</v>
      </c>
      <c r="F8868" s="27">
        <v>15</v>
      </c>
      <c r="G8868" s="18">
        <v>120000</v>
      </c>
      <c r="H8868" s="27">
        <f t="shared" si="276"/>
        <v>0</v>
      </c>
      <c r="I8868" s="18">
        <v>82689.83</v>
      </c>
      <c r="J8868" s="27">
        <v>120000</v>
      </c>
      <c r="K8868" s="18">
        <f t="shared" si="277"/>
        <v>0</v>
      </c>
      <c r="L8868" s="27">
        <v>86686.87</v>
      </c>
      <c r="M8868" s="36">
        <v>3997.04</v>
      </c>
      <c r="T8868" s="41">
        <v>0</v>
      </c>
      <c r="U8868" s="41">
        <v>0</v>
      </c>
      <c r="V8868" s="42" t="s">
        <v>113</v>
      </c>
      <c r="W8868" s="42">
        <v>0</v>
      </c>
      <c r="X8868" s="42">
        <v>0</v>
      </c>
    </row>
    <row r="8869" spans="1:24">
      <c r="A8869" s="27" t="s">
        <v>16182</v>
      </c>
      <c r="B8869" s="28" t="s">
        <v>12240</v>
      </c>
      <c r="C8869" s="27" t="s">
        <v>16183</v>
      </c>
      <c r="D8869" s="27" t="s">
        <v>230</v>
      </c>
      <c r="E8869" s="29">
        <v>40843</v>
      </c>
      <c r="F8869" s="27">
        <v>15</v>
      </c>
      <c r="G8869" s="18">
        <v>120000</v>
      </c>
      <c r="H8869" s="27">
        <f t="shared" si="276"/>
        <v>0</v>
      </c>
      <c r="I8869" s="18">
        <v>82689.83</v>
      </c>
      <c r="J8869" s="27">
        <v>120000</v>
      </c>
      <c r="K8869" s="18">
        <f t="shared" si="277"/>
        <v>0</v>
      </c>
      <c r="L8869" s="27">
        <v>86686.87</v>
      </c>
      <c r="M8869" s="36">
        <v>3997.04</v>
      </c>
      <c r="T8869" s="41">
        <v>0</v>
      </c>
      <c r="U8869" s="41">
        <v>0</v>
      </c>
      <c r="V8869" s="42" t="s">
        <v>113</v>
      </c>
      <c r="W8869" s="42">
        <v>0</v>
      </c>
      <c r="X8869" s="42">
        <v>0</v>
      </c>
    </row>
    <row r="8870" spans="1:24">
      <c r="A8870" s="27" t="s">
        <v>16184</v>
      </c>
      <c r="B8870" s="28" t="s">
        <v>12240</v>
      </c>
      <c r="C8870" s="27" t="s">
        <v>16185</v>
      </c>
      <c r="D8870" s="27" t="s">
        <v>230</v>
      </c>
      <c r="E8870" s="29">
        <v>40843</v>
      </c>
      <c r="F8870" s="27">
        <v>15</v>
      </c>
      <c r="G8870" s="18">
        <v>140000</v>
      </c>
      <c r="H8870" s="27">
        <f t="shared" si="276"/>
        <v>0</v>
      </c>
      <c r="I8870" s="18">
        <v>96471.48</v>
      </c>
      <c r="J8870" s="27">
        <v>140000</v>
      </c>
      <c r="K8870" s="18">
        <f t="shared" si="277"/>
        <v>0</v>
      </c>
      <c r="L8870" s="27">
        <v>101134.7</v>
      </c>
      <c r="M8870" s="36">
        <v>4663.22</v>
      </c>
      <c r="T8870" s="41">
        <v>0</v>
      </c>
      <c r="U8870" s="41">
        <v>0</v>
      </c>
      <c r="V8870" s="42" t="s">
        <v>113</v>
      </c>
      <c r="W8870" s="42">
        <v>0</v>
      </c>
      <c r="X8870" s="42">
        <v>0</v>
      </c>
    </row>
    <row r="8871" spans="1:24">
      <c r="A8871" s="27" t="s">
        <v>16186</v>
      </c>
      <c r="B8871" s="28" t="s">
        <v>12240</v>
      </c>
      <c r="C8871" s="27" t="s">
        <v>16187</v>
      </c>
      <c r="D8871" s="27" t="s">
        <v>230</v>
      </c>
      <c r="E8871" s="29">
        <v>40843</v>
      </c>
      <c r="F8871" s="27">
        <v>15</v>
      </c>
      <c r="G8871" s="18">
        <v>140000</v>
      </c>
      <c r="H8871" s="27">
        <f t="shared" si="276"/>
        <v>0</v>
      </c>
      <c r="I8871" s="18">
        <v>96471.48</v>
      </c>
      <c r="J8871" s="27">
        <v>140000</v>
      </c>
      <c r="K8871" s="18">
        <f t="shared" si="277"/>
        <v>0</v>
      </c>
      <c r="L8871" s="27">
        <v>101134.7</v>
      </c>
      <c r="M8871" s="36">
        <v>4663.22</v>
      </c>
      <c r="T8871" s="41">
        <v>0</v>
      </c>
      <c r="U8871" s="41">
        <v>0</v>
      </c>
      <c r="V8871" s="42" t="s">
        <v>113</v>
      </c>
      <c r="W8871" s="42">
        <v>0</v>
      </c>
      <c r="X8871" s="42">
        <v>0</v>
      </c>
    </row>
    <row r="8872" spans="1:24">
      <c r="A8872" s="27" t="s">
        <v>16188</v>
      </c>
      <c r="B8872" s="28" t="s">
        <v>12240</v>
      </c>
      <c r="C8872" s="27" t="s">
        <v>16189</v>
      </c>
      <c r="D8872" s="27" t="s">
        <v>230</v>
      </c>
      <c r="E8872" s="29">
        <v>40843</v>
      </c>
      <c r="F8872" s="27">
        <v>15</v>
      </c>
      <c r="G8872" s="18">
        <v>162379.18</v>
      </c>
      <c r="H8872" s="27">
        <f t="shared" si="276"/>
        <v>0</v>
      </c>
      <c r="I8872" s="18">
        <v>94022.46</v>
      </c>
      <c r="J8872" s="27">
        <v>162379.18</v>
      </c>
      <c r="K8872" s="18">
        <f t="shared" si="277"/>
        <v>0</v>
      </c>
      <c r="L8872" s="27">
        <v>101712.39</v>
      </c>
      <c r="M8872" s="36">
        <v>7689.93</v>
      </c>
      <c r="T8872" s="41">
        <v>0</v>
      </c>
      <c r="U8872" s="41">
        <v>0</v>
      </c>
      <c r="V8872" s="42" t="s">
        <v>113</v>
      </c>
      <c r="W8872" s="42">
        <v>0</v>
      </c>
      <c r="X8872" s="42">
        <v>0</v>
      </c>
    </row>
    <row r="8873" spans="1:24">
      <c r="A8873" s="27" t="s">
        <v>16190</v>
      </c>
      <c r="B8873" s="28" t="s">
        <v>12240</v>
      </c>
      <c r="C8873" s="27" t="s">
        <v>16191</v>
      </c>
      <c r="D8873" s="27" t="s">
        <v>230</v>
      </c>
      <c r="E8873" s="29">
        <v>40843</v>
      </c>
      <c r="F8873" s="27">
        <v>15</v>
      </c>
      <c r="G8873" s="18">
        <v>162379.18</v>
      </c>
      <c r="H8873" s="27">
        <f t="shared" si="276"/>
        <v>0</v>
      </c>
      <c r="I8873" s="18">
        <v>94022.46</v>
      </c>
      <c r="J8873" s="27">
        <v>162379.18</v>
      </c>
      <c r="K8873" s="18">
        <f t="shared" si="277"/>
        <v>0</v>
      </c>
      <c r="L8873" s="27">
        <v>101712.39</v>
      </c>
      <c r="M8873" s="36">
        <v>7689.93</v>
      </c>
      <c r="T8873" s="41">
        <v>0</v>
      </c>
      <c r="U8873" s="41">
        <v>0</v>
      </c>
      <c r="V8873" s="42" t="s">
        <v>113</v>
      </c>
      <c r="W8873" s="42">
        <v>0</v>
      </c>
      <c r="X8873" s="42">
        <v>0</v>
      </c>
    </row>
    <row r="8874" spans="1:24">
      <c r="A8874" s="27" t="s">
        <v>16192</v>
      </c>
      <c r="B8874" s="28" t="s">
        <v>12240</v>
      </c>
      <c r="C8874" s="27" t="s">
        <v>16193</v>
      </c>
      <c r="D8874" s="27" t="s">
        <v>230</v>
      </c>
      <c r="E8874" s="29">
        <v>40843</v>
      </c>
      <c r="F8874" s="27">
        <v>15</v>
      </c>
      <c r="G8874" s="18">
        <v>162379.18</v>
      </c>
      <c r="H8874" s="27">
        <f t="shared" si="276"/>
        <v>0</v>
      </c>
      <c r="I8874" s="18">
        <v>94022.46</v>
      </c>
      <c r="J8874" s="27">
        <v>162379.18</v>
      </c>
      <c r="K8874" s="18">
        <f t="shared" si="277"/>
        <v>0</v>
      </c>
      <c r="L8874" s="27">
        <v>101712.39</v>
      </c>
      <c r="M8874" s="36">
        <v>7689.93</v>
      </c>
      <c r="T8874" s="41">
        <v>0</v>
      </c>
      <c r="U8874" s="41">
        <v>0</v>
      </c>
      <c r="V8874" s="42" t="s">
        <v>113</v>
      </c>
      <c r="W8874" s="42">
        <v>0</v>
      </c>
      <c r="X8874" s="42">
        <v>0</v>
      </c>
    </row>
    <row r="8875" spans="1:24">
      <c r="A8875" s="27" t="s">
        <v>16194</v>
      </c>
      <c r="B8875" s="28" t="s">
        <v>12240</v>
      </c>
      <c r="C8875" s="27" t="s">
        <v>16195</v>
      </c>
      <c r="D8875" s="27" t="s">
        <v>230</v>
      </c>
      <c r="E8875" s="29">
        <v>40843</v>
      </c>
      <c r="F8875" s="27">
        <v>15</v>
      </c>
      <c r="G8875" s="18">
        <v>162379.18</v>
      </c>
      <c r="H8875" s="27">
        <f t="shared" si="276"/>
        <v>0</v>
      </c>
      <c r="I8875" s="18">
        <v>94022.46</v>
      </c>
      <c r="J8875" s="27">
        <v>162379.18</v>
      </c>
      <c r="K8875" s="18">
        <f t="shared" si="277"/>
        <v>0</v>
      </c>
      <c r="L8875" s="27">
        <v>101712.39</v>
      </c>
      <c r="M8875" s="36">
        <v>7689.93</v>
      </c>
      <c r="T8875" s="41">
        <v>0</v>
      </c>
      <c r="U8875" s="41">
        <v>0</v>
      </c>
      <c r="V8875" s="42" t="s">
        <v>113</v>
      </c>
      <c r="W8875" s="42">
        <v>0</v>
      </c>
      <c r="X8875" s="42">
        <v>0</v>
      </c>
    </row>
    <row r="8876" spans="1:24">
      <c r="A8876" s="27" t="s">
        <v>16196</v>
      </c>
      <c r="B8876" s="28" t="s">
        <v>12240</v>
      </c>
      <c r="C8876" s="27" t="s">
        <v>16197</v>
      </c>
      <c r="D8876" s="27" t="s">
        <v>230</v>
      </c>
      <c r="E8876" s="29">
        <v>40843</v>
      </c>
      <c r="F8876" s="27">
        <v>15</v>
      </c>
      <c r="G8876" s="18">
        <v>162379.18</v>
      </c>
      <c r="H8876" s="27">
        <f t="shared" si="276"/>
        <v>0</v>
      </c>
      <c r="I8876" s="18">
        <v>94022.46</v>
      </c>
      <c r="J8876" s="27">
        <v>162379.18</v>
      </c>
      <c r="K8876" s="18">
        <f t="shared" si="277"/>
        <v>0</v>
      </c>
      <c r="L8876" s="27">
        <v>101712.39</v>
      </c>
      <c r="M8876" s="36">
        <v>7689.93</v>
      </c>
      <c r="T8876" s="41">
        <v>0</v>
      </c>
      <c r="U8876" s="41">
        <v>0</v>
      </c>
      <c r="V8876" s="42" t="s">
        <v>113</v>
      </c>
      <c r="W8876" s="42">
        <v>0</v>
      </c>
      <c r="X8876" s="42">
        <v>0</v>
      </c>
    </row>
    <row r="8877" spans="1:24">
      <c r="A8877" s="27" t="s">
        <v>16198</v>
      </c>
      <c r="B8877" s="28" t="s">
        <v>12240</v>
      </c>
      <c r="C8877" s="27" t="s">
        <v>16199</v>
      </c>
      <c r="D8877" s="27" t="s">
        <v>230</v>
      </c>
      <c r="E8877" s="29">
        <v>40843</v>
      </c>
      <c r="F8877" s="27">
        <v>15</v>
      </c>
      <c r="G8877" s="18">
        <v>162379.18</v>
      </c>
      <c r="H8877" s="27">
        <f t="shared" si="276"/>
        <v>0</v>
      </c>
      <c r="I8877" s="18">
        <v>94022.46</v>
      </c>
      <c r="J8877" s="27">
        <v>162379.18</v>
      </c>
      <c r="K8877" s="18">
        <f t="shared" si="277"/>
        <v>0</v>
      </c>
      <c r="L8877" s="27">
        <v>101712.39</v>
      </c>
      <c r="M8877" s="36">
        <v>7689.93</v>
      </c>
      <c r="T8877" s="41">
        <v>0</v>
      </c>
      <c r="U8877" s="41">
        <v>0</v>
      </c>
      <c r="V8877" s="42" t="s">
        <v>113</v>
      </c>
      <c r="W8877" s="42">
        <v>0</v>
      </c>
      <c r="X8877" s="42">
        <v>0</v>
      </c>
    </row>
    <row r="8878" spans="1:24">
      <c r="A8878" s="27" t="s">
        <v>16200</v>
      </c>
      <c r="B8878" s="28" t="s">
        <v>12240</v>
      </c>
      <c r="C8878" s="27" t="s">
        <v>16201</v>
      </c>
      <c r="D8878" s="27" t="s">
        <v>230</v>
      </c>
      <c r="E8878" s="29">
        <v>40843</v>
      </c>
      <c r="F8878" s="27">
        <v>15</v>
      </c>
      <c r="G8878" s="18">
        <v>32501.47</v>
      </c>
      <c r="H8878" s="27">
        <f t="shared" si="276"/>
        <v>0</v>
      </c>
      <c r="I8878" s="18">
        <v>18819.34</v>
      </c>
      <c r="J8878" s="27">
        <v>32501.47</v>
      </c>
      <c r="K8878" s="18">
        <f t="shared" si="277"/>
        <v>0</v>
      </c>
      <c r="L8878" s="27">
        <v>20358.54</v>
      </c>
      <c r="M8878" s="36">
        <v>1539.2</v>
      </c>
      <c r="T8878" s="41">
        <v>0</v>
      </c>
      <c r="U8878" s="41">
        <v>0</v>
      </c>
      <c r="V8878" s="42" t="s">
        <v>113</v>
      </c>
      <c r="W8878" s="42">
        <v>0</v>
      </c>
      <c r="X8878" s="42">
        <v>0</v>
      </c>
    </row>
    <row r="8879" spans="1:24">
      <c r="A8879" s="27" t="s">
        <v>16202</v>
      </c>
      <c r="B8879" s="28" t="s">
        <v>12240</v>
      </c>
      <c r="C8879" s="27" t="s">
        <v>16203</v>
      </c>
      <c r="D8879" s="27" t="s">
        <v>230</v>
      </c>
      <c r="E8879" s="29">
        <v>40843</v>
      </c>
      <c r="F8879" s="27">
        <v>15</v>
      </c>
      <c r="G8879" s="18">
        <v>9300</v>
      </c>
      <c r="H8879" s="27">
        <f t="shared" si="276"/>
        <v>0</v>
      </c>
      <c r="I8879" s="18">
        <v>6408.45</v>
      </c>
      <c r="J8879" s="27">
        <v>9300</v>
      </c>
      <c r="K8879" s="18">
        <f t="shared" si="277"/>
        <v>0</v>
      </c>
      <c r="L8879" s="27">
        <v>6718.22</v>
      </c>
      <c r="M8879" s="36">
        <v>309.77</v>
      </c>
      <c r="T8879" s="41">
        <v>0</v>
      </c>
      <c r="U8879" s="41">
        <v>0</v>
      </c>
      <c r="V8879" s="42" t="s">
        <v>113</v>
      </c>
      <c r="W8879" s="42">
        <v>0</v>
      </c>
      <c r="X8879" s="42">
        <v>0</v>
      </c>
    </row>
    <row r="8880" spans="1:24">
      <c r="A8880" s="27" t="s">
        <v>16204</v>
      </c>
      <c r="B8880" s="28" t="s">
        <v>12240</v>
      </c>
      <c r="C8880" s="27" t="s">
        <v>16205</v>
      </c>
      <c r="D8880" s="27" t="s">
        <v>230</v>
      </c>
      <c r="E8880" s="29">
        <v>41271</v>
      </c>
      <c r="F8880" s="27">
        <v>15</v>
      </c>
      <c r="G8880" s="18">
        <v>1182538</v>
      </c>
      <c r="H8880" s="27">
        <f t="shared" si="276"/>
        <v>0</v>
      </c>
      <c r="I8880" s="18">
        <v>623656.41</v>
      </c>
      <c r="J8880" s="27">
        <v>1182538</v>
      </c>
      <c r="K8880" s="18">
        <f t="shared" si="277"/>
        <v>0</v>
      </c>
      <c r="L8880" s="27">
        <v>679184.71</v>
      </c>
      <c r="M8880" s="36">
        <v>55528.3</v>
      </c>
      <c r="T8880" s="41">
        <v>0</v>
      </c>
      <c r="U8880" s="41">
        <v>0</v>
      </c>
      <c r="V8880" s="42" t="s">
        <v>113</v>
      </c>
      <c r="W8880" s="42">
        <v>0</v>
      </c>
      <c r="X8880" s="42">
        <v>0</v>
      </c>
    </row>
    <row r="8881" spans="1:24">
      <c r="A8881" s="27" t="s">
        <v>16206</v>
      </c>
      <c r="B8881" s="28" t="s">
        <v>12240</v>
      </c>
      <c r="C8881" s="27" t="s">
        <v>16207</v>
      </c>
      <c r="D8881" s="27" t="s">
        <v>230</v>
      </c>
      <c r="E8881" s="29">
        <v>40843</v>
      </c>
      <c r="F8881" s="27">
        <v>15</v>
      </c>
      <c r="G8881" s="18">
        <v>9300</v>
      </c>
      <c r="H8881" s="27">
        <f t="shared" si="276"/>
        <v>0</v>
      </c>
      <c r="I8881" s="18">
        <v>6408.45</v>
      </c>
      <c r="J8881" s="27">
        <v>9300</v>
      </c>
      <c r="K8881" s="18">
        <f t="shared" si="277"/>
        <v>0</v>
      </c>
      <c r="L8881" s="27">
        <v>6718.22</v>
      </c>
      <c r="M8881" s="36">
        <v>309.77</v>
      </c>
      <c r="T8881" s="41">
        <v>0</v>
      </c>
      <c r="U8881" s="41">
        <v>0</v>
      </c>
      <c r="V8881" s="42" t="s">
        <v>113</v>
      </c>
      <c r="W8881" s="42">
        <v>0</v>
      </c>
      <c r="X8881" s="42">
        <v>0</v>
      </c>
    </row>
    <row r="8882" spans="1:24">
      <c r="A8882" s="27" t="s">
        <v>16208</v>
      </c>
      <c r="B8882" s="28" t="s">
        <v>12240</v>
      </c>
      <c r="C8882" s="27" t="s">
        <v>16209</v>
      </c>
      <c r="D8882" s="27" t="s">
        <v>230</v>
      </c>
      <c r="E8882" s="29">
        <v>40843</v>
      </c>
      <c r="F8882" s="27">
        <v>15</v>
      </c>
      <c r="G8882" s="18">
        <v>9300</v>
      </c>
      <c r="H8882" s="27">
        <f t="shared" si="276"/>
        <v>0</v>
      </c>
      <c r="I8882" s="18">
        <v>6408.46</v>
      </c>
      <c r="J8882" s="27">
        <v>9300</v>
      </c>
      <c r="K8882" s="18">
        <f t="shared" si="277"/>
        <v>0</v>
      </c>
      <c r="L8882" s="27">
        <v>6718.23</v>
      </c>
      <c r="M8882" s="36">
        <v>309.77</v>
      </c>
      <c r="T8882" s="41">
        <v>0</v>
      </c>
      <c r="U8882" s="41">
        <v>0</v>
      </c>
      <c r="V8882" s="42" t="s">
        <v>113</v>
      </c>
      <c r="W8882" s="42">
        <v>0</v>
      </c>
      <c r="X8882" s="42">
        <v>0</v>
      </c>
    </row>
    <row r="8883" spans="1:24">
      <c r="A8883" s="27" t="s">
        <v>16210</v>
      </c>
      <c r="B8883" s="28" t="s">
        <v>12240</v>
      </c>
      <c r="C8883" s="27" t="s">
        <v>16211</v>
      </c>
      <c r="D8883" s="27" t="s">
        <v>230</v>
      </c>
      <c r="E8883" s="29">
        <v>40843</v>
      </c>
      <c r="F8883" s="27">
        <v>15</v>
      </c>
      <c r="G8883" s="18">
        <v>9300</v>
      </c>
      <c r="H8883" s="27">
        <f t="shared" si="276"/>
        <v>0</v>
      </c>
      <c r="I8883" s="18">
        <v>6408.45</v>
      </c>
      <c r="J8883" s="27">
        <v>9300</v>
      </c>
      <c r="K8883" s="18">
        <f t="shared" si="277"/>
        <v>0</v>
      </c>
      <c r="L8883" s="27">
        <v>6718.22</v>
      </c>
      <c r="M8883" s="36">
        <v>309.77</v>
      </c>
      <c r="T8883" s="41">
        <v>0</v>
      </c>
      <c r="U8883" s="41">
        <v>0</v>
      </c>
      <c r="V8883" s="42" t="s">
        <v>113</v>
      </c>
      <c r="W8883" s="42">
        <v>0</v>
      </c>
      <c r="X8883" s="42">
        <v>0</v>
      </c>
    </row>
    <row r="8884" spans="1:24">
      <c r="A8884" s="27" t="s">
        <v>16212</v>
      </c>
      <c r="B8884" s="28" t="s">
        <v>12240</v>
      </c>
      <c r="C8884" s="27" t="s">
        <v>16213</v>
      </c>
      <c r="D8884" s="27" t="s">
        <v>230</v>
      </c>
      <c r="E8884" s="29">
        <v>40843</v>
      </c>
      <c r="F8884" s="27">
        <v>15</v>
      </c>
      <c r="G8884" s="18">
        <v>9300</v>
      </c>
      <c r="H8884" s="27">
        <f t="shared" si="276"/>
        <v>0</v>
      </c>
      <c r="I8884" s="18">
        <v>6408.45</v>
      </c>
      <c r="J8884" s="27">
        <v>9300</v>
      </c>
      <c r="K8884" s="18">
        <f t="shared" si="277"/>
        <v>0</v>
      </c>
      <c r="L8884" s="27">
        <v>6718.22</v>
      </c>
      <c r="M8884" s="36">
        <v>309.77</v>
      </c>
      <c r="T8884" s="41">
        <v>0</v>
      </c>
      <c r="U8884" s="41">
        <v>0</v>
      </c>
      <c r="V8884" s="42" t="s">
        <v>113</v>
      </c>
      <c r="W8884" s="42">
        <v>0</v>
      </c>
      <c r="X8884" s="42">
        <v>0</v>
      </c>
    </row>
    <row r="8885" spans="1:24">
      <c r="A8885" s="27" t="s">
        <v>16214</v>
      </c>
      <c r="B8885" s="28" t="s">
        <v>12240</v>
      </c>
      <c r="C8885" s="27" t="s">
        <v>16215</v>
      </c>
      <c r="D8885" s="27" t="s">
        <v>230</v>
      </c>
      <c r="E8885" s="29">
        <v>40843</v>
      </c>
      <c r="F8885" s="27">
        <v>15</v>
      </c>
      <c r="G8885" s="18">
        <v>9300</v>
      </c>
      <c r="H8885" s="27">
        <f t="shared" si="276"/>
        <v>0</v>
      </c>
      <c r="I8885" s="18">
        <v>6408.46</v>
      </c>
      <c r="J8885" s="27">
        <v>9300</v>
      </c>
      <c r="K8885" s="18">
        <f t="shared" si="277"/>
        <v>0</v>
      </c>
      <c r="L8885" s="27">
        <v>6718.23</v>
      </c>
      <c r="M8885" s="36">
        <v>309.77</v>
      </c>
      <c r="T8885" s="41">
        <v>0</v>
      </c>
      <c r="U8885" s="41">
        <v>0</v>
      </c>
      <c r="V8885" s="42" t="s">
        <v>113</v>
      </c>
      <c r="W8885" s="42">
        <v>0</v>
      </c>
      <c r="X8885" s="42">
        <v>0</v>
      </c>
    </row>
    <row r="8886" spans="1:24">
      <c r="A8886" s="27" t="s">
        <v>16216</v>
      </c>
      <c r="B8886" s="28" t="s">
        <v>12240</v>
      </c>
      <c r="C8886" s="27" t="s">
        <v>16217</v>
      </c>
      <c r="D8886" s="27" t="s">
        <v>230</v>
      </c>
      <c r="E8886" s="29">
        <v>40843</v>
      </c>
      <c r="F8886" s="27">
        <v>15</v>
      </c>
      <c r="G8886" s="18">
        <v>9300</v>
      </c>
      <c r="H8886" s="27">
        <f t="shared" si="276"/>
        <v>0</v>
      </c>
      <c r="I8886" s="18">
        <v>6408.45</v>
      </c>
      <c r="J8886" s="27">
        <v>9300</v>
      </c>
      <c r="K8886" s="18">
        <f t="shared" si="277"/>
        <v>0</v>
      </c>
      <c r="L8886" s="27">
        <v>6718.22</v>
      </c>
      <c r="M8886" s="36">
        <v>309.77</v>
      </c>
      <c r="T8886" s="41">
        <v>0</v>
      </c>
      <c r="U8886" s="41">
        <v>0</v>
      </c>
      <c r="V8886" s="42" t="s">
        <v>113</v>
      </c>
      <c r="W8886" s="42">
        <v>0</v>
      </c>
      <c r="X8886" s="42">
        <v>0</v>
      </c>
    </row>
    <row r="8887" spans="1:24">
      <c r="A8887" s="27" t="s">
        <v>16218</v>
      </c>
      <c r="B8887" s="28" t="s">
        <v>12240</v>
      </c>
      <c r="C8887" s="27" t="s">
        <v>16219</v>
      </c>
      <c r="D8887" s="27" t="s">
        <v>230</v>
      </c>
      <c r="E8887" s="29">
        <v>40843</v>
      </c>
      <c r="F8887" s="27">
        <v>15</v>
      </c>
      <c r="G8887" s="18">
        <v>9300</v>
      </c>
      <c r="H8887" s="27">
        <f t="shared" si="276"/>
        <v>0</v>
      </c>
      <c r="I8887" s="18">
        <v>6408.46</v>
      </c>
      <c r="J8887" s="27">
        <v>9300</v>
      </c>
      <c r="K8887" s="18">
        <f t="shared" si="277"/>
        <v>0</v>
      </c>
      <c r="L8887" s="27">
        <v>6718.23</v>
      </c>
      <c r="M8887" s="36">
        <v>309.77</v>
      </c>
      <c r="T8887" s="41">
        <v>0</v>
      </c>
      <c r="U8887" s="41">
        <v>0</v>
      </c>
      <c r="V8887" s="42" t="s">
        <v>113</v>
      </c>
      <c r="W8887" s="42">
        <v>0</v>
      </c>
      <c r="X8887" s="42">
        <v>0</v>
      </c>
    </row>
    <row r="8888" spans="1:24">
      <c r="A8888" s="27" t="s">
        <v>16220</v>
      </c>
      <c r="B8888" s="28" t="s">
        <v>12240</v>
      </c>
      <c r="C8888" s="27" t="s">
        <v>16221</v>
      </c>
      <c r="D8888" s="27" t="s">
        <v>230</v>
      </c>
      <c r="E8888" s="29">
        <v>40843</v>
      </c>
      <c r="F8888" s="27">
        <v>15</v>
      </c>
      <c r="G8888" s="18">
        <v>9300</v>
      </c>
      <c r="H8888" s="27">
        <f t="shared" si="276"/>
        <v>0</v>
      </c>
      <c r="I8888" s="18">
        <v>6408.45</v>
      </c>
      <c r="J8888" s="27">
        <v>9300</v>
      </c>
      <c r="K8888" s="18">
        <f t="shared" si="277"/>
        <v>0</v>
      </c>
      <c r="L8888" s="27">
        <v>6718.22</v>
      </c>
      <c r="M8888" s="36">
        <v>309.77</v>
      </c>
      <c r="T8888" s="41">
        <v>0</v>
      </c>
      <c r="U8888" s="41">
        <v>0</v>
      </c>
      <c r="V8888" s="42" t="s">
        <v>113</v>
      </c>
      <c r="W8888" s="42">
        <v>0</v>
      </c>
      <c r="X8888" s="42">
        <v>0</v>
      </c>
    </row>
    <row r="8889" spans="1:24">
      <c r="A8889" s="27" t="s">
        <v>16222</v>
      </c>
      <c r="B8889" s="28" t="s">
        <v>12240</v>
      </c>
      <c r="C8889" s="27" t="s">
        <v>16223</v>
      </c>
      <c r="D8889" s="27" t="s">
        <v>230</v>
      </c>
      <c r="E8889" s="29">
        <v>40843</v>
      </c>
      <c r="F8889" s="27">
        <v>15</v>
      </c>
      <c r="G8889" s="18">
        <v>9300</v>
      </c>
      <c r="H8889" s="27">
        <f t="shared" si="276"/>
        <v>0</v>
      </c>
      <c r="I8889" s="18">
        <v>6408.46</v>
      </c>
      <c r="J8889" s="27">
        <v>9300</v>
      </c>
      <c r="K8889" s="18">
        <f t="shared" si="277"/>
        <v>0</v>
      </c>
      <c r="L8889" s="27">
        <v>6718.23</v>
      </c>
      <c r="M8889" s="36">
        <v>309.77</v>
      </c>
      <c r="T8889" s="41">
        <v>0</v>
      </c>
      <c r="U8889" s="41">
        <v>0</v>
      </c>
      <c r="V8889" s="42" t="s">
        <v>113</v>
      </c>
      <c r="W8889" s="42">
        <v>0</v>
      </c>
      <c r="X8889" s="42">
        <v>0</v>
      </c>
    </row>
    <row r="8890" spans="1:24">
      <c r="A8890" s="27" t="s">
        <v>16224</v>
      </c>
      <c r="B8890" s="28" t="s">
        <v>12240</v>
      </c>
      <c r="C8890" s="27" t="s">
        <v>16225</v>
      </c>
      <c r="D8890" s="27" t="s">
        <v>230</v>
      </c>
      <c r="E8890" s="29">
        <v>40843</v>
      </c>
      <c r="F8890" s="27">
        <v>15</v>
      </c>
      <c r="G8890" s="18">
        <v>9300</v>
      </c>
      <c r="H8890" s="27">
        <f t="shared" si="276"/>
        <v>0</v>
      </c>
      <c r="I8890" s="18">
        <v>6408.46</v>
      </c>
      <c r="J8890" s="27">
        <v>9300</v>
      </c>
      <c r="K8890" s="18">
        <f t="shared" si="277"/>
        <v>0</v>
      </c>
      <c r="L8890" s="27">
        <v>6718.23</v>
      </c>
      <c r="M8890" s="36">
        <v>309.77</v>
      </c>
      <c r="T8890" s="41">
        <v>0</v>
      </c>
      <c r="U8890" s="41">
        <v>0</v>
      </c>
      <c r="V8890" s="42" t="s">
        <v>113</v>
      </c>
      <c r="W8890" s="42">
        <v>0</v>
      </c>
      <c r="X8890" s="42">
        <v>0</v>
      </c>
    </row>
    <row r="8891" spans="1:24">
      <c r="A8891" s="27" t="s">
        <v>16226</v>
      </c>
      <c r="B8891" s="28" t="s">
        <v>12240</v>
      </c>
      <c r="C8891" s="27" t="s">
        <v>12321</v>
      </c>
      <c r="D8891" s="27" t="s">
        <v>230</v>
      </c>
      <c r="E8891" s="29">
        <v>40544</v>
      </c>
      <c r="F8891" s="27">
        <v>15</v>
      </c>
      <c r="G8891" s="18">
        <v>34829.07</v>
      </c>
      <c r="H8891" s="27">
        <f t="shared" si="276"/>
        <v>0</v>
      </c>
      <c r="I8891" s="18">
        <v>25705.3</v>
      </c>
      <c r="J8891" s="27">
        <v>34829.07</v>
      </c>
      <c r="K8891" s="18">
        <f t="shared" si="277"/>
        <v>0</v>
      </c>
      <c r="L8891" s="27">
        <v>26747.51</v>
      </c>
      <c r="M8891" s="36">
        <v>1042.21</v>
      </c>
      <c r="T8891" s="41">
        <v>0</v>
      </c>
      <c r="U8891" s="41">
        <v>0</v>
      </c>
      <c r="V8891" s="42" t="s">
        <v>113</v>
      </c>
      <c r="W8891" s="42">
        <v>0</v>
      </c>
      <c r="X8891" s="42">
        <v>0</v>
      </c>
    </row>
    <row r="8892" spans="1:24">
      <c r="A8892" s="27" t="s">
        <v>16227</v>
      </c>
      <c r="B8892" s="28" t="s">
        <v>12240</v>
      </c>
      <c r="C8892" s="27" t="s">
        <v>16228</v>
      </c>
      <c r="D8892" s="27" t="s">
        <v>230</v>
      </c>
      <c r="E8892" s="29">
        <v>40843</v>
      </c>
      <c r="F8892" s="27">
        <v>15</v>
      </c>
      <c r="G8892" s="18">
        <v>9300</v>
      </c>
      <c r="H8892" s="27">
        <f t="shared" si="276"/>
        <v>0</v>
      </c>
      <c r="I8892" s="18">
        <v>6408.45</v>
      </c>
      <c r="J8892" s="27">
        <v>9300</v>
      </c>
      <c r="K8892" s="18">
        <f t="shared" si="277"/>
        <v>0</v>
      </c>
      <c r="L8892" s="27">
        <v>6718.22</v>
      </c>
      <c r="M8892" s="36">
        <v>309.77</v>
      </c>
      <c r="T8892" s="41">
        <v>0</v>
      </c>
      <c r="U8892" s="41">
        <v>0</v>
      </c>
      <c r="V8892" s="42" t="s">
        <v>113</v>
      </c>
      <c r="W8892" s="42">
        <v>0</v>
      </c>
      <c r="X8892" s="42">
        <v>0</v>
      </c>
    </row>
    <row r="8893" spans="1:24">
      <c r="A8893" s="27" t="s">
        <v>16229</v>
      </c>
      <c r="B8893" s="28" t="s">
        <v>12240</v>
      </c>
      <c r="C8893" s="27" t="s">
        <v>16230</v>
      </c>
      <c r="D8893" s="27" t="s">
        <v>230</v>
      </c>
      <c r="E8893" s="29">
        <v>40843</v>
      </c>
      <c r="F8893" s="27">
        <v>15</v>
      </c>
      <c r="G8893" s="18">
        <v>9300</v>
      </c>
      <c r="H8893" s="27">
        <f t="shared" si="276"/>
        <v>0</v>
      </c>
      <c r="I8893" s="18">
        <v>6408.47</v>
      </c>
      <c r="J8893" s="27">
        <v>9300</v>
      </c>
      <c r="K8893" s="18">
        <f t="shared" si="277"/>
        <v>0</v>
      </c>
      <c r="L8893" s="27">
        <v>6718.24</v>
      </c>
      <c r="M8893" s="36">
        <v>309.77</v>
      </c>
      <c r="T8893" s="41">
        <v>0</v>
      </c>
      <c r="U8893" s="41">
        <v>0</v>
      </c>
      <c r="V8893" s="42" t="s">
        <v>113</v>
      </c>
      <c r="W8893" s="42">
        <v>0</v>
      </c>
      <c r="X8893" s="42">
        <v>0</v>
      </c>
    </row>
    <row r="8894" spans="1:24">
      <c r="A8894" s="27" t="s">
        <v>16231</v>
      </c>
      <c r="B8894" s="28" t="s">
        <v>12240</v>
      </c>
      <c r="C8894" s="27" t="s">
        <v>16232</v>
      </c>
      <c r="D8894" s="27" t="s">
        <v>230</v>
      </c>
      <c r="E8894" s="29">
        <v>40843</v>
      </c>
      <c r="F8894" s="27">
        <v>15</v>
      </c>
      <c r="G8894" s="18">
        <v>9300</v>
      </c>
      <c r="H8894" s="27">
        <f t="shared" si="276"/>
        <v>0</v>
      </c>
      <c r="I8894" s="18">
        <v>6408.45</v>
      </c>
      <c r="J8894" s="27">
        <v>9300</v>
      </c>
      <c r="K8894" s="18">
        <f t="shared" si="277"/>
        <v>0</v>
      </c>
      <c r="L8894" s="27">
        <v>6718.22</v>
      </c>
      <c r="M8894" s="36">
        <v>309.77</v>
      </c>
      <c r="T8894" s="41">
        <v>0</v>
      </c>
      <c r="U8894" s="41">
        <v>0</v>
      </c>
      <c r="V8894" s="42" t="s">
        <v>113</v>
      </c>
      <c r="W8894" s="42">
        <v>0</v>
      </c>
      <c r="X8894" s="42">
        <v>0</v>
      </c>
    </row>
    <row r="8895" spans="1:24">
      <c r="A8895" s="27" t="s">
        <v>16233</v>
      </c>
      <c r="B8895" s="28" t="s">
        <v>12240</v>
      </c>
      <c r="C8895" s="27" t="s">
        <v>16234</v>
      </c>
      <c r="D8895" s="27" t="s">
        <v>230</v>
      </c>
      <c r="E8895" s="29">
        <v>40843</v>
      </c>
      <c r="F8895" s="27">
        <v>15</v>
      </c>
      <c r="G8895" s="18">
        <v>9300</v>
      </c>
      <c r="H8895" s="27">
        <f t="shared" si="276"/>
        <v>0</v>
      </c>
      <c r="I8895" s="18">
        <v>6408.45</v>
      </c>
      <c r="J8895" s="27">
        <v>9300</v>
      </c>
      <c r="K8895" s="18">
        <f t="shared" si="277"/>
        <v>0</v>
      </c>
      <c r="L8895" s="27">
        <v>6718.22</v>
      </c>
      <c r="M8895" s="36">
        <v>309.77</v>
      </c>
      <c r="T8895" s="41">
        <v>0</v>
      </c>
      <c r="U8895" s="41">
        <v>0</v>
      </c>
      <c r="V8895" s="42" t="s">
        <v>113</v>
      </c>
      <c r="W8895" s="42">
        <v>0</v>
      </c>
      <c r="X8895" s="42">
        <v>0</v>
      </c>
    </row>
    <row r="8896" spans="1:24">
      <c r="A8896" s="27" t="s">
        <v>16235</v>
      </c>
      <c r="B8896" s="28" t="s">
        <v>12240</v>
      </c>
      <c r="C8896" s="27" t="s">
        <v>16236</v>
      </c>
      <c r="D8896" s="27" t="s">
        <v>230</v>
      </c>
      <c r="E8896" s="29">
        <v>40843</v>
      </c>
      <c r="F8896" s="27">
        <v>15</v>
      </c>
      <c r="G8896" s="18">
        <v>9300</v>
      </c>
      <c r="H8896" s="27">
        <f t="shared" si="276"/>
        <v>0</v>
      </c>
      <c r="I8896" s="18">
        <v>6408.47</v>
      </c>
      <c r="J8896" s="27">
        <v>9300</v>
      </c>
      <c r="K8896" s="18">
        <f t="shared" si="277"/>
        <v>0</v>
      </c>
      <c r="L8896" s="27">
        <v>6718.24</v>
      </c>
      <c r="M8896" s="36">
        <v>309.77</v>
      </c>
      <c r="T8896" s="41">
        <v>0</v>
      </c>
      <c r="U8896" s="41">
        <v>0</v>
      </c>
      <c r="V8896" s="42" t="s">
        <v>113</v>
      </c>
      <c r="W8896" s="42">
        <v>0</v>
      </c>
      <c r="X8896" s="42">
        <v>0</v>
      </c>
    </row>
    <row r="8897" spans="1:24">
      <c r="A8897" s="27" t="s">
        <v>16237</v>
      </c>
      <c r="B8897" s="28" t="s">
        <v>12240</v>
      </c>
      <c r="C8897" s="27" t="s">
        <v>16238</v>
      </c>
      <c r="D8897" s="27" t="s">
        <v>230</v>
      </c>
      <c r="E8897" s="29">
        <v>40843</v>
      </c>
      <c r="F8897" s="27">
        <v>15</v>
      </c>
      <c r="G8897" s="18">
        <v>9300</v>
      </c>
      <c r="H8897" s="27">
        <f t="shared" si="276"/>
        <v>0</v>
      </c>
      <c r="I8897" s="18">
        <v>6408.45</v>
      </c>
      <c r="J8897" s="27">
        <v>9300</v>
      </c>
      <c r="K8897" s="18">
        <f t="shared" si="277"/>
        <v>0</v>
      </c>
      <c r="L8897" s="27">
        <v>6718.22</v>
      </c>
      <c r="M8897" s="36">
        <v>309.77</v>
      </c>
      <c r="T8897" s="41">
        <v>0</v>
      </c>
      <c r="U8897" s="41">
        <v>0</v>
      </c>
      <c r="V8897" s="42" t="s">
        <v>113</v>
      </c>
      <c r="W8897" s="42">
        <v>0</v>
      </c>
      <c r="X8897" s="42">
        <v>0</v>
      </c>
    </row>
    <row r="8898" spans="1:24">
      <c r="A8898" s="27" t="s">
        <v>16239</v>
      </c>
      <c r="B8898" s="28" t="s">
        <v>12240</v>
      </c>
      <c r="C8898" s="27" t="s">
        <v>16240</v>
      </c>
      <c r="D8898" s="27" t="s">
        <v>230</v>
      </c>
      <c r="E8898" s="29">
        <v>40843</v>
      </c>
      <c r="F8898" s="27">
        <v>15</v>
      </c>
      <c r="G8898" s="18">
        <v>9300</v>
      </c>
      <c r="H8898" s="27">
        <f t="shared" si="276"/>
        <v>0</v>
      </c>
      <c r="I8898" s="18">
        <v>6408.45</v>
      </c>
      <c r="J8898" s="27">
        <v>9300</v>
      </c>
      <c r="K8898" s="18">
        <f t="shared" si="277"/>
        <v>0</v>
      </c>
      <c r="L8898" s="27">
        <v>6718.22</v>
      </c>
      <c r="M8898" s="36">
        <v>309.77</v>
      </c>
      <c r="T8898" s="41">
        <v>0</v>
      </c>
      <c r="U8898" s="41">
        <v>0</v>
      </c>
      <c r="V8898" s="42" t="s">
        <v>113</v>
      </c>
      <c r="W8898" s="42">
        <v>0</v>
      </c>
      <c r="X8898" s="42">
        <v>0</v>
      </c>
    </row>
    <row r="8899" spans="1:24">
      <c r="A8899" s="27" t="s">
        <v>16241</v>
      </c>
      <c r="B8899" s="28" t="s">
        <v>12240</v>
      </c>
      <c r="C8899" s="27" t="s">
        <v>16242</v>
      </c>
      <c r="D8899" s="27" t="s">
        <v>230</v>
      </c>
      <c r="E8899" s="29">
        <v>40843</v>
      </c>
      <c r="F8899" s="27">
        <v>15</v>
      </c>
      <c r="G8899" s="18">
        <v>9300</v>
      </c>
      <c r="H8899" s="27">
        <f t="shared" si="276"/>
        <v>0</v>
      </c>
      <c r="I8899" s="18">
        <v>6408.47</v>
      </c>
      <c r="J8899" s="27">
        <v>9300</v>
      </c>
      <c r="K8899" s="18">
        <f t="shared" si="277"/>
        <v>0</v>
      </c>
      <c r="L8899" s="27">
        <v>6718.24</v>
      </c>
      <c r="M8899" s="36">
        <v>309.77</v>
      </c>
      <c r="T8899" s="41">
        <v>0</v>
      </c>
      <c r="U8899" s="41">
        <v>0</v>
      </c>
      <c r="V8899" s="42" t="s">
        <v>113</v>
      </c>
      <c r="W8899" s="42">
        <v>0</v>
      </c>
      <c r="X8899" s="42">
        <v>0</v>
      </c>
    </row>
    <row r="8900" spans="1:24">
      <c r="A8900" s="27" t="s">
        <v>16243</v>
      </c>
      <c r="B8900" s="28" t="s">
        <v>12240</v>
      </c>
      <c r="C8900" s="27" t="s">
        <v>16244</v>
      </c>
      <c r="D8900" s="27" t="s">
        <v>230</v>
      </c>
      <c r="E8900" s="29">
        <v>40843</v>
      </c>
      <c r="F8900" s="27">
        <v>15</v>
      </c>
      <c r="G8900" s="18">
        <v>9300</v>
      </c>
      <c r="H8900" s="27">
        <f t="shared" si="276"/>
        <v>0</v>
      </c>
      <c r="I8900" s="18">
        <v>6408.45</v>
      </c>
      <c r="J8900" s="27">
        <v>9300</v>
      </c>
      <c r="K8900" s="18">
        <f t="shared" si="277"/>
        <v>0</v>
      </c>
      <c r="L8900" s="27">
        <v>6718.22</v>
      </c>
      <c r="M8900" s="36">
        <v>309.77</v>
      </c>
      <c r="T8900" s="41">
        <v>0</v>
      </c>
      <c r="U8900" s="41">
        <v>0</v>
      </c>
      <c r="V8900" s="42" t="s">
        <v>113</v>
      </c>
      <c r="W8900" s="42">
        <v>0</v>
      </c>
      <c r="X8900" s="42">
        <v>0</v>
      </c>
    </row>
    <row r="8901" spans="1:24">
      <c r="A8901" s="27" t="s">
        <v>16245</v>
      </c>
      <c r="B8901" s="28" t="s">
        <v>12240</v>
      </c>
      <c r="C8901" s="27" t="s">
        <v>16246</v>
      </c>
      <c r="D8901" s="27" t="s">
        <v>230</v>
      </c>
      <c r="E8901" s="29">
        <v>40843</v>
      </c>
      <c r="F8901" s="27">
        <v>15</v>
      </c>
      <c r="G8901" s="18">
        <v>9300</v>
      </c>
      <c r="H8901" s="27">
        <f t="shared" si="276"/>
        <v>0</v>
      </c>
      <c r="I8901" s="18">
        <v>6408.45</v>
      </c>
      <c r="J8901" s="27">
        <v>9300</v>
      </c>
      <c r="K8901" s="18">
        <f t="shared" si="277"/>
        <v>0</v>
      </c>
      <c r="L8901" s="27">
        <v>6718.22</v>
      </c>
      <c r="M8901" s="36">
        <v>309.77</v>
      </c>
      <c r="T8901" s="41">
        <v>0</v>
      </c>
      <c r="U8901" s="41">
        <v>0</v>
      </c>
      <c r="V8901" s="42" t="s">
        <v>113</v>
      </c>
      <c r="W8901" s="42">
        <v>0</v>
      </c>
      <c r="X8901" s="42">
        <v>0</v>
      </c>
    </row>
    <row r="8902" spans="1:24">
      <c r="A8902" s="27" t="s">
        <v>16247</v>
      </c>
      <c r="B8902" s="28" t="s">
        <v>12240</v>
      </c>
      <c r="C8902" s="27" t="s">
        <v>16248</v>
      </c>
      <c r="D8902" s="27" t="s">
        <v>230</v>
      </c>
      <c r="E8902" s="29">
        <v>40843</v>
      </c>
      <c r="F8902" s="27">
        <v>15</v>
      </c>
      <c r="G8902" s="18">
        <v>9300</v>
      </c>
      <c r="H8902" s="27">
        <f t="shared" ref="H8902:H8965" si="278">IFERROR(IF(ROUND((G8902-I8902)/G8902,2)&lt;=0.05,G8902,0),0)</f>
        <v>0</v>
      </c>
      <c r="I8902" s="18">
        <v>6408.47</v>
      </c>
      <c r="J8902" s="27">
        <v>9300</v>
      </c>
      <c r="K8902" s="18">
        <f t="shared" ref="K8902:K8965" si="279">IFERROR(IF(ROUND((J8902-L8902)/J8902,2)&lt;=0.05,J8902,0),0)</f>
        <v>0</v>
      </c>
      <c r="L8902" s="27">
        <v>6718.24</v>
      </c>
      <c r="M8902" s="36">
        <v>309.77</v>
      </c>
      <c r="T8902" s="41">
        <v>0</v>
      </c>
      <c r="U8902" s="41">
        <v>0</v>
      </c>
      <c r="V8902" s="42" t="s">
        <v>113</v>
      </c>
      <c r="W8902" s="42">
        <v>0</v>
      </c>
      <c r="X8902" s="42">
        <v>0</v>
      </c>
    </row>
    <row r="8903" spans="1:24">
      <c r="A8903" s="27" t="s">
        <v>16249</v>
      </c>
      <c r="B8903" s="28" t="s">
        <v>12240</v>
      </c>
      <c r="C8903" s="27" t="s">
        <v>16250</v>
      </c>
      <c r="D8903" s="27" t="s">
        <v>230</v>
      </c>
      <c r="E8903" s="29">
        <v>40843</v>
      </c>
      <c r="F8903" s="27">
        <v>15</v>
      </c>
      <c r="G8903" s="18">
        <v>120000</v>
      </c>
      <c r="H8903" s="27">
        <f t="shared" si="278"/>
        <v>0</v>
      </c>
      <c r="I8903" s="18">
        <v>82689.83</v>
      </c>
      <c r="J8903" s="27">
        <v>120000</v>
      </c>
      <c r="K8903" s="18">
        <f t="shared" si="279"/>
        <v>0</v>
      </c>
      <c r="L8903" s="27">
        <v>86686.87</v>
      </c>
      <c r="M8903" s="36">
        <v>3997.04</v>
      </c>
      <c r="T8903" s="41">
        <v>0</v>
      </c>
      <c r="U8903" s="41">
        <v>0</v>
      </c>
      <c r="V8903" s="42" t="s">
        <v>113</v>
      </c>
      <c r="W8903" s="42">
        <v>0</v>
      </c>
      <c r="X8903" s="42">
        <v>0</v>
      </c>
    </row>
    <row r="8904" spans="1:24">
      <c r="A8904" s="27" t="s">
        <v>16251</v>
      </c>
      <c r="B8904" s="28" t="s">
        <v>12240</v>
      </c>
      <c r="C8904" s="27" t="s">
        <v>16252</v>
      </c>
      <c r="D8904" s="27" t="s">
        <v>230</v>
      </c>
      <c r="E8904" s="29">
        <v>40843</v>
      </c>
      <c r="F8904" s="27">
        <v>15</v>
      </c>
      <c r="G8904" s="18">
        <v>61461.41</v>
      </c>
      <c r="H8904" s="27">
        <f t="shared" si="278"/>
        <v>0</v>
      </c>
      <c r="I8904" s="18">
        <v>35749.5</v>
      </c>
      <c r="J8904" s="27">
        <v>61461.41</v>
      </c>
      <c r="K8904" s="18">
        <f t="shared" si="279"/>
        <v>0</v>
      </c>
      <c r="L8904" s="27">
        <v>38639.56</v>
      </c>
      <c r="M8904" s="36">
        <v>2890.06</v>
      </c>
      <c r="T8904" s="41">
        <v>0</v>
      </c>
      <c r="U8904" s="41">
        <v>0</v>
      </c>
      <c r="V8904" s="42" t="s">
        <v>113</v>
      </c>
      <c r="W8904" s="42">
        <v>0</v>
      </c>
      <c r="X8904" s="42">
        <v>0</v>
      </c>
    </row>
    <row r="8905" spans="1:24">
      <c r="A8905" s="27" t="s">
        <v>16253</v>
      </c>
      <c r="B8905" s="28" t="s">
        <v>12240</v>
      </c>
      <c r="C8905" s="27" t="s">
        <v>16254</v>
      </c>
      <c r="D8905" s="27" t="s">
        <v>230</v>
      </c>
      <c r="E8905" s="29">
        <v>40843</v>
      </c>
      <c r="F8905" s="27">
        <v>15</v>
      </c>
      <c r="G8905" s="18">
        <v>9300</v>
      </c>
      <c r="H8905" s="27">
        <f t="shared" si="278"/>
        <v>0</v>
      </c>
      <c r="I8905" s="18">
        <v>6408.47</v>
      </c>
      <c r="J8905" s="27">
        <v>9300</v>
      </c>
      <c r="K8905" s="18">
        <f t="shared" si="279"/>
        <v>0</v>
      </c>
      <c r="L8905" s="27">
        <v>6718.24</v>
      </c>
      <c r="M8905" s="36">
        <v>309.77</v>
      </c>
      <c r="T8905" s="41">
        <v>0</v>
      </c>
      <c r="U8905" s="41">
        <v>0</v>
      </c>
      <c r="V8905" s="42" t="s">
        <v>113</v>
      </c>
      <c r="W8905" s="42">
        <v>0</v>
      </c>
      <c r="X8905" s="42">
        <v>0</v>
      </c>
    </row>
    <row r="8906" spans="1:24">
      <c r="A8906" s="27" t="s">
        <v>16255</v>
      </c>
      <c r="B8906" s="28" t="s">
        <v>12240</v>
      </c>
      <c r="C8906" s="27" t="s">
        <v>16256</v>
      </c>
      <c r="D8906" s="27" t="s">
        <v>230</v>
      </c>
      <c r="E8906" s="29">
        <v>40843</v>
      </c>
      <c r="F8906" s="27">
        <v>15</v>
      </c>
      <c r="G8906" s="18">
        <v>9300</v>
      </c>
      <c r="H8906" s="27">
        <f t="shared" si="278"/>
        <v>0</v>
      </c>
      <c r="I8906" s="18">
        <v>6408.45</v>
      </c>
      <c r="J8906" s="27">
        <v>9300</v>
      </c>
      <c r="K8906" s="18">
        <f t="shared" si="279"/>
        <v>0</v>
      </c>
      <c r="L8906" s="27">
        <v>6718.22</v>
      </c>
      <c r="M8906" s="36">
        <v>309.77</v>
      </c>
      <c r="T8906" s="41">
        <v>0</v>
      </c>
      <c r="U8906" s="41">
        <v>0</v>
      </c>
      <c r="V8906" s="42" t="s">
        <v>113</v>
      </c>
      <c r="W8906" s="42">
        <v>0</v>
      </c>
      <c r="X8906" s="42">
        <v>0</v>
      </c>
    </row>
    <row r="8907" spans="1:24">
      <c r="A8907" s="27" t="s">
        <v>16257</v>
      </c>
      <c r="B8907" s="28" t="s">
        <v>12240</v>
      </c>
      <c r="C8907" s="27" t="s">
        <v>16258</v>
      </c>
      <c r="D8907" s="27" t="s">
        <v>230</v>
      </c>
      <c r="E8907" s="29">
        <v>40843</v>
      </c>
      <c r="F8907" s="27">
        <v>15</v>
      </c>
      <c r="G8907" s="18">
        <v>36803.81</v>
      </c>
      <c r="H8907" s="27">
        <f t="shared" si="278"/>
        <v>0</v>
      </c>
      <c r="I8907" s="18">
        <v>21504.79</v>
      </c>
      <c r="J8907" s="27">
        <v>36803.81</v>
      </c>
      <c r="K8907" s="18">
        <f t="shared" si="279"/>
        <v>0</v>
      </c>
      <c r="L8907" s="27">
        <v>23222.94</v>
      </c>
      <c r="M8907" s="36">
        <v>1718.15</v>
      </c>
      <c r="T8907" s="41">
        <v>0</v>
      </c>
      <c r="U8907" s="41">
        <v>0</v>
      </c>
      <c r="V8907" s="42" t="s">
        <v>113</v>
      </c>
      <c r="W8907" s="42">
        <v>0</v>
      </c>
      <c r="X8907" s="42">
        <v>0</v>
      </c>
    </row>
    <row r="8908" spans="1:24">
      <c r="A8908" s="27" t="s">
        <v>16259</v>
      </c>
      <c r="B8908" s="28" t="s">
        <v>12240</v>
      </c>
      <c r="C8908" s="27" t="s">
        <v>16260</v>
      </c>
      <c r="D8908" s="27" t="s">
        <v>230</v>
      </c>
      <c r="E8908" s="29">
        <v>42216</v>
      </c>
      <c r="F8908" s="27">
        <v>15</v>
      </c>
      <c r="G8908" s="18">
        <v>30846.959999999999</v>
      </c>
      <c r="H8908" s="27">
        <f t="shared" si="278"/>
        <v>0</v>
      </c>
      <c r="I8908" s="18">
        <v>7905.41</v>
      </c>
      <c r="J8908" s="27">
        <v>30846.959999999999</v>
      </c>
      <c r="K8908" s="18">
        <f t="shared" si="279"/>
        <v>0</v>
      </c>
      <c r="L8908" s="27">
        <v>9807.56</v>
      </c>
      <c r="M8908" s="36">
        <v>1902.15</v>
      </c>
      <c r="T8908" s="41">
        <v>0</v>
      </c>
      <c r="U8908" s="41">
        <v>0</v>
      </c>
      <c r="V8908" s="42" t="s">
        <v>113</v>
      </c>
      <c r="W8908" s="42">
        <v>0</v>
      </c>
      <c r="X8908" s="42">
        <v>0</v>
      </c>
    </row>
    <row r="8909" spans="1:24">
      <c r="A8909" s="27" t="s">
        <v>16261</v>
      </c>
      <c r="B8909" s="28" t="s">
        <v>12240</v>
      </c>
      <c r="C8909" s="27" t="s">
        <v>12245</v>
      </c>
      <c r="D8909" s="27" t="s">
        <v>5104</v>
      </c>
      <c r="E8909" s="29">
        <v>40843</v>
      </c>
      <c r="F8909" s="27">
        <v>15</v>
      </c>
      <c r="G8909" s="18">
        <v>21980785.289999999</v>
      </c>
      <c r="H8909" s="27">
        <f t="shared" si="278"/>
        <v>0</v>
      </c>
      <c r="I8909" s="18">
        <v>13821751.33</v>
      </c>
      <c r="J8909" s="27">
        <v>21980785.289999999</v>
      </c>
      <c r="K8909" s="18">
        <f t="shared" si="279"/>
        <v>0</v>
      </c>
      <c r="L8909" s="27">
        <v>14723027.25</v>
      </c>
      <c r="M8909" s="36">
        <v>901275.92</v>
      </c>
      <c r="T8909" s="41">
        <v>0</v>
      </c>
      <c r="U8909" s="41">
        <v>0</v>
      </c>
      <c r="V8909" s="42" t="s">
        <v>113</v>
      </c>
      <c r="W8909" s="42">
        <v>0</v>
      </c>
      <c r="X8909" s="42">
        <v>0</v>
      </c>
    </row>
    <row r="8910" spans="1:24">
      <c r="A8910" s="27" t="s">
        <v>16262</v>
      </c>
      <c r="B8910" s="28" t="s">
        <v>12240</v>
      </c>
      <c r="C8910" s="27" t="s">
        <v>16263</v>
      </c>
      <c r="D8910" s="27" t="s">
        <v>230</v>
      </c>
      <c r="E8910" s="29">
        <v>29587</v>
      </c>
      <c r="F8910" s="27">
        <v>15</v>
      </c>
      <c r="G8910" s="18">
        <v>54118.2</v>
      </c>
      <c r="H8910" s="27">
        <f t="shared" si="278"/>
        <v>0</v>
      </c>
      <c r="I8910" s="18">
        <v>33867.71</v>
      </c>
      <c r="J8910" s="27">
        <v>54118.2</v>
      </c>
      <c r="K8910" s="18">
        <f t="shared" si="279"/>
        <v>0</v>
      </c>
      <c r="L8910" s="27">
        <v>36751.75</v>
      </c>
      <c r="M8910" s="36">
        <v>2884.04</v>
      </c>
      <c r="T8910" s="41">
        <v>0</v>
      </c>
      <c r="U8910" s="41">
        <v>0</v>
      </c>
      <c r="V8910" s="42" t="s">
        <v>124</v>
      </c>
      <c r="W8910" s="42">
        <v>54118.2</v>
      </c>
      <c r="X8910" s="42">
        <v>54118.2</v>
      </c>
    </row>
    <row r="8911" spans="1:24">
      <c r="A8911" s="27" t="s">
        <v>16264</v>
      </c>
      <c r="B8911" s="28" t="s">
        <v>12240</v>
      </c>
      <c r="C8911" s="27" t="s">
        <v>16265</v>
      </c>
      <c r="D8911" s="27" t="s">
        <v>5104</v>
      </c>
      <c r="E8911" s="29">
        <v>41269</v>
      </c>
      <c r="F8911" s="27">
        <v>15</v>
      </c>
      <c r="G8911" s="18">
        <v>5736.97</v>
      </c>
      <c r="H8911" s="27">
        <f t="shared" si="278"/>
        <v>0</v>
      </c>
      <c r="I8911" s="18">
        <v>2970.38</v>
      </c>
      <c r="J8911" s="27">
        <v>5736.97</v>
      </c>
      <c r="K8911" s="18">
        <f t="shared" si="279"/>
        <v>0</v>
      </c>
      <c r="L8911" s="27">
        <v>3245.91</v>
      </c>
      <c r="M8911" s="36">
        <v>275.52999999999997</v>
      </c>
      <c r="T8911" s="41">
        <v>0</v>
      </c>
      <c r="U8911" s="41">
        <v>0</v>
      </c>
      <c r="V8911" s="42" t="s">
        <v>113</v>
      </c>
      <c r="W8911" s="42">
        <v>0</v>
      </c>
      <c r="X8911" s="42">
        <v>0</v>
      </c>
    </row>
    <row r="8912" spans="1:24">
      <c r="A8912" s="27" t="s">
        <v>16266</v>
      </c>
      <c r="B8912" s="28" t="s">
        <v>12240</v>
      </c>
      <c r="C8912" s="27" t="s">
        <v>16267</v>
      </c>
      <c r="D8912" s="27" t="s">
        <v>5104</v>
      </c>
      <c r="E8912" s="29">
        <v>41269</v>
      </c>
      <c r="F8912" s="27">
        <v>15</v>
      </c>
      <c r="G8912" s="18">
        <v>5736.97</v>
      </c>
      <c r="H8912" s="27">
        <f t="shared" si="278"/>
        <v>0</v>
      </c>
      <c r="I8912" s="18">
        <v>2970.38</v>
      </c>
      <c r="J8912" s="27">
        <v>5736.97</v>
      </c>
      <c r="K8912" s="18">
        <f t="shared" si="279"/>
        <v>0</v>
      </c>
      <c r="L8912" s="27">
        <v>3245.91</v>
      </c>
      <c r="M8912" s="36">
        <v>275.52999999999997</v>
      </c>
      <c r="T8912" s="41">
        <v>0</v>
      </c>
      <c r="U8912" s="41">
        <v>0</v>
      </c>
      <c r="V8912" s="42" t="s">
        <v>113</v>
      </c>
      <c r="W8912" s="42">
        <v>0</v>
      </c>
      <c r="X8912" s="42">
        <v>0</v>
      </c>
    </row>
    <row r="8913" spans="1:24">
      <c r="A8913" s="27" t="s">
        <v>16268</v>
      </c>
      <c r="B8913" s="28" t="s">
        <v>12240</v>
      </c>
      <c r="C8913" s="27" t="s">
        <v>16269</v>
      </c>
      <c r="D8913" s="27" t="s">
        <v>5104</v>
      </c>
      <c r="E8913" s="29">
        <v>41269</v>
      </c>
      <c r="F8913" s="27">
        <v>15</v>
      </c>
      <c r="G8913" s="18">
        <v>5736.97</v>
      </c>
      <c r="H8913" s="27">
        <f t="shared" si="278"/>
        <v>0</v>
      </c>
      <c r="I8913" s="18">
        <v>2970.38</v>
      </c>
      <c r="J8913" s="27">
        <v>5736.97</v>
      </c>
      <c r="K8913" s="18">
        <f t="shared" si="279"/>
        <v>0</v>
      </c>
      <c r="L8913" s="27">
        <v>3245.91</v>
      </c>
      <c r="M8913" s="36">
        <v>275.52999999999997</v>
      </c>
      <c r="T8913" s="41">
        <v>0</v>
      </c>
      <c r="U8913" s="41">
        <v>0</v>
      </c>
      <c r="V8913" s="42" t="s">
        <v>113</v>
      </c>
      <c r="W8913" s="42">
        <v>0</v>
      </c>
      <c r="X8913" s="42">
        <v>0</v>
      </c>
    </row>
    <row r="8914" spans="1:24">
      <c r="A8914" s="27" t="s">
        <v>16270</v>
      </c>
      <c r="B8914" s="28" t="s">
        <v>12240</v>
      </c>
      <c r="C8914" s="27" t="s">
        <v>16271</v>
      </c>
      <c r="D8914" s="27" t="s">
        <v>5104</v>
      </c>
      <c r="E8914" s="29">
        <v>41269</v>
      </c>
      <c r="F8914" s="27">
        <v>15</v>
      </c>
      <c r="G8914" s="18">
        <v>5736.97</v>
      </c>
      <c r="H8914" s="27">
        <f t="shared" si="278"/>
        <v>0</v>
      </c>
      <c r="I8914" s="18">
        <v>2970.38</v>
      </c>
      <c r="J8914" s="27">
        <v>5736.97</v>
      </c>
      <c r="K8914" s="18">
        <f t="shared" si="279"/>
        <v>0</v>
      </c>
      <c r="L8914" s="27">
        <v>3245.91</v>
      </c>
      <c r="M8914" s="36">
        <v>275.52999999999997</v>
      </c>
      <c r="T8914" s="41">
        <v>0</v>
      </c>
      <c r="U8914" s="41">
        <v>0</v>
      </c>
      <c r="V8914" s="42" t="s">
        <v>113</v>
      </c>
      <c r="W8914" s="42">
        <v>0</v>
      </c>
      <c r="X8914" s="42">
        <v>0</v>
      </c>
    </row>
    <row r="8915" spans="1:24">
      <c r="A8915" s="27" t="s">
        <v>16272</v>
      </c>
      <c r="B8915" s="28" t="s">
        <v>12240</v>
      </c>
      <c r="C8915" s="27" t="s">
        <v>16273</v>
      </c>
      <c r="D8915" s="27" t="s">
        <v>5104</v>
      </c>
      <c r="E8915" s="29">
        <v>41269</v>
      </c>
      <c r="F8915" s="27">
        <v>15</v>
      </c>
      <c r="G8915" s="18">
        <v>5736.97</v>
      </c>
      <c r="H8915" s="27">
        <f t="shared" si="278"/>
        <v>0</v>
      </c>
      <c r="I8915" s="18">
        <v>2970.37</v>
      </c>
      <c r="J8915" s="27">
        <v>5736.97</v>
      </c>
      <c r="K8915" s="18">
        <f t="shared" si="279"/>
        <v>0</v>
      </c>
      <c r="L8915" s="27">
        <v>3245.9</v>
      </c>
      <c r="M8915" s="36">
        <v>275.52999999999997</v>
      </c>
      <c r="T8915" s="41">
        <v>0</v>
      </c>
      <c r="U8915" s="41">
        <v>0</v>
      </c>
      <c r="V8915" s="42" t="s">
        <v>113</v>
      </c>
      <c r="W8915" s="42">
        <v>0</v>
      </c>
      <c r="X8915" s="42">
        <v>0</v>
      </c>
    </row>
    <row r="8916" spans="1:24">
      <c r="A8916" s="27" t="s">
        <v>16274</v>
      </c>
      <c r="B8916" s="28" t="s">
        <v>12240</v>
      </c>
      <c r="C8916" s="27" t="s">
        <v>16275</v>
      </c>
      <c r="D8916" s="27" t="s">
        <v>5104</v>
      </c>
      <c r="E8916" s="29">
        <v>41269</v>
      </c>
      <c r="F8916" s="27">
        <v>15</v>
      </c>
      <c r="G8916" s="18">
        <v>5736.97</v>
      </c>
      <c r="H8916" s="27">
        <f t="shared" si="278"/>
        <v>0</v>
      </c>
      <c r="I8916" s="18">
        <v>2970.38</v>
      </c>
      <c r="J8916" s="27">
        <v>5736.97</v>
      </c>
      <c r="K8916" s="18">
        <f t="shared" si="279"/>
        <v>0</v>
      </c>
      <c r="L8916" s="27">
        <v>3245.91</v>
      </c>
      <c r="M8916" s="36">
        <v>275.52999999999997</v>
      </c>
      <c r="T8916" s="41">
        <v>0</v>
      </c>
      <c r="U8916" s="41">
        <v>0</v>
      </c>
      <c r="V8916" s="42" t="s">
        <v>113</v>
      </c>
      <c r="W8916" s="42">
        <v>0</v>
      </c>
      <c r="X8916" s="42">
        <v>0</v>
      </c>
    </row>
    <row r="8917" spans="1:24">
      <c r="A8917" s="27" t="s">
        <v>16276</v>
      </c>
      <c r="B8917" s="28" t="s">
        <v>12240</v>
      </c>
      <c r="C8917" s="27" t="s">
        <v>16277</v>
      </c>
      <c r="D8917" s="27" t="s">
        <v>5104</v>
      </c>
      <c r="E8917" s="29">
        <v>41269</v>
      </c>
      <c r="F8917" s="27">
        <v>15</v>
      </c>
      <c r="G8917" s="18">
        <v>5736.97</v>
      </c>
      <c r="H8917" s="27">
        <f t="shared" si="278"/>
        <v>0</v>
      </c>
      <c r="I8917" s="18">
        <v>2970.37</v>
      </c>
      <c r="J8917" s="27">
        <v>5736.97</v>
      </c>
      <c r="K8917" s="18">
        <f t="shared" si="279"/>
        <v>0</v>
      </c>
      <c r="L8917" s="27">
        <v>3245.9</v>
      </c>
      <c r="M8917" s="36">
        <v>275.52999999999997</v>
      </c>
      <c r="T8917" s="41">
        <v>0</v>
      </c>
      <c r="U8917" s="41">
        <v>0</v>
      </c>
      <c r="V8917" s="42" t="s">
        <v>113</v>
      </c>
      <c r="W8917" s="42">
        <v>0</v>
      </c>
      <c r="X8917" s="42">
        <v>0</v>
      </c>
    </row>
    <row r="8918" spans="1:24">
      <c r="A8918" s="27" t="s">
        <v>16278</v>
      </c>
      <c r="B8918" s="28" t="s">
        <v>12240</v>
      </c>
      <c r="C8918" s="27" t="s">
        <v>16277</v>
      </c>
      <c r="D8918" s="27" t="s">
        <v>5104</v>
      </c>
      <c r="E8918" s="29">
        <v>41269</v>
      </c>
      <c r="F8918" s="27">
        <v>15</v>
      </c>
      <c r="G8918" s="18">
        <v>5736.97</v>
      </c>
      <c r="H8918" s="27">
        <f t="shared" si="278"/>
        <v>0</v>
      </c>
      <c r="I8918" s="18">
        <v>2970.38</v>
      </c>
      <c r="J8918" s="27">
        <v>5736.97</v>
      </c>
      <c r="K8918" s="18">
        <f t="shared" si="279"/>
        <v>0</v>
      </c>
      <c r="L8918" s="27">
        <v>3245.91</v>
      </c>
      <c r="M8918" s="36">
        <v>275.52999999999997</v>
      </c>
      <c r="T8918" s="41">
        <v>0</v>
      </c>
      <c r="U8918" s="41">
        <v>0</v>
      </c>
      <c r="V8918" s="42" t="s">
        <v>113</v>
      </c>
      <c r="W8918" s="42">
        <v>0</v>
      </c>
      <c r="X8918" s="42">
        <v>0</v>
      </c>
    </row>
    <row r="8919" spans="1:24">
      <c r="A8919" s="27" t="s">
        <v>16279</v>
      </c>
      <c r="B8919" s="28" t="s">
        <v>12240</v>
      </c>
      <c r="C8919" s="27" t="s">
        <v>16280</v>
      </c>
      <c r="D8919" s="27" t="s">
        <v>5104</v>
      </c>
      <c r="E8919" s="29">
        <v>41269</v>
      </c>
      <c r="F8919" s="27">
        <v>15</v>
      </c>
      <c r="G8919" s="18">
        <v>5736.97</v>
      </c>
      <c r="H8919" s="27">
        <f t="shared" si="278"/>
        <v>0</v>
      </c>
      <c r="I8919" s="18">
        <v>2970.37</v>
      </c>
      <c r="J8919" s="27">
        <v>5736.97</v>
      </c>
      <c r="K8919" s="18">
        <f t="shared" si="279"/>
        <v>0</v>
      </c>
      <c r="L8919" s="27">
        <v>3245.9</v>
      </c>
      <c r="M8919" s="36">
        <v>275.52999999999997</v>
      </c>
      <c r="T8919" s="41">
        <v>0</v>
      </c>
      <c r="U8919" s="41">
        <v>0</v>
      </c>
      <c r="V8919" s="42" t="s">
        <v>113</v>
      </c>
      <c r="W8919" s="42">
        <v>0</v>
      </c>
      <c r="X8919" s="42">
        <v>0</v>
      </c>
    </row>
    <row r="8920" spans="1:24">
      <c r="A8920" s="27" t="s">
        <v>16281</v>
      </c>
      <c r="B8920" s="28" t="s">
        <v>12240</v>
      </c>
      <c r="C8920" s="27" t="s">
        <v>16280</v>
      </c>
      <c r="D8920" s="27" t="s">
        <v>5104</v>
      </c>
      <c r="E8920" s="29">
        <v>41269</v>
      </c>
      <c r="F8920" s="27">
        <v>15</v>
      </c>
      <c r="G8920" s="18">
        <v>5736.97</v>
      </c>
      <c r="H8920" s="27">
        <f t="shared" si="278"/>
        <v>0</v>
      </c>
      <c r="I8920" s="18">
        <v>2970.38</v>
      </c>
      <c r="J8920" s="27">
        <v>5736.97</v>
      </c>
      <c r="K8920" s="18">
        <f t="shared" si="279"/>
        <v>0</v>
      </c>
      <c r="L8920" s="27">
        <v>3245.91</v>
      </c>
      <c r="M8920" s="36">
        <v>275.52999999999997</v>
      </c>
      <c r="T8920" s="41">
        <v>0</v>
      </c>
      <c r="U8920" s="41">
        <v>0</v>
      </c>
      <c r="V8920" s="42" t="s">
        <v>113</v>
      </c>
      <c r="W8920" s="42">
        <v>0</v>
      </c>
      <c r="X8920" s="42">
        <v>0</v>
      </c>
    </row>
    <row r="8921" spans="1:24">
      <c r="A8921" s="27" t="s">
        <v>16282</v>
      </c>
      <c r="B8921" s="28" t="s">
        <v>12240</v>
      </c>
      <c r="C8921" s="27" t="s">
        <v>16283</v>
      </c>
      <c r="D8921" s="27" t="s">
        <v>5104</v>
      </c>
      <c r="E8921" s="29">
        <v>41269</v>
      </c>
      <c r="F8921" s="27">
        <v>15</v>
      </c>
      <c r="G8921" s="18">
        <v>5736.97</v>
      </c>
      <c r="H8921" s="27">
        <f t="shared" si="278"/>
        <v>0</v>
      </c>
      <c r="I8921" s="18">
        <v>2970.37</v>
      </c>
      <c r="J8921" s="27">
        <v>5736.97</v>
      </c>
      <c r="K8921" s="18">
        <f t="shared" si="279"/>
        <v>0</v>
      </c>
      <c r="L8921" s="27">
        <v>3245.9</v>
      </c>
      <c r="M8921" s="36">
        <v>275.52999999999997</v>
      </c>
      <c r="T8921" s="41">
        <v>0</v>
      </c>
      <c r="U8921" s="41">
        <v>0</v>
      </c>
      <c r="V8921" s="42" t="s">
        <v>113</v>
      </c>
      <c r="W8921" s="42">
        <v>0</v>
      </c>
      <c r="X8921" s="42">
        <v>0</v>
      </c>
    </row>
    <row r="8922" spans="1:24">
      <c r="A8922" s="27" t="s">
        <v>16284</v>
      </c>
      <c r="B8922" s="28" t="s">
        <v>12240</v>
      </c>
      <c r="C8922" s="27" t="s">
        <v>16285</v>
      </c>
      <c r="D8922" s="27" t="s">
        <v>5104</v>
      </c>
      <c r="E8922" s="29">
        <v>41269</v>
      </c>
      <c r="F8922" s="27">
        <v>15</v>
      </c>
      <c r="G8922" s="18">
        <v>5736.97</v>
      </c>
      <c r="H8922" s="27">
        <f t="shared" si="278"/>
        <v>0</v>
      </c>
      <c r="I8922" s="18">
        <v>2970.38</v>
      </c>
      <c r="J8922" s="27">
        <v>5736.97</v>
      </c>
      <c r="K8922" s="18">
        <f t="shared" si="279"/>
        <v>0</v>
      </c>
      <c r="L8922" s="27">
        <v>3245.91</v>
      </c>
      <c r="M8922" s="36">
        <v>275.52999999999997</v>
      </c>
      <c r="T8922" s="41">
        <v>0</v>
      </c>
      <c r="U8922" s="41">
        <v>0</v>
      </c>
      <c r="V8922" s="42" t="s">
        <v>113</v>
      </c>
      <c r="W8922" s="42">
        <v>0</v>
      </c>
      <c r="X8922" s="42">
        <v>0</v>
      </c>
    </row>
    <row r="8923" spans="1:24">
      <c r="A8923" s="27" t="s">
        <v>16286</v>
      </c>
      <c r="B8923" s="28" t="s">
        <v>12240</v>
      </c>
      <c r="C8923" s="27" t="s">
        <v>16287</v>
      </c>
      <c r="D8923" s="27" t="s">
        <v>5104</v>
      </c>
      <c r="E8923" s="29">
        <v>41269</v>
      </c>
      <c r="F8923" s="27">
        <v>15</v>
      </c>
      <c r="G8923" s="18">
        <v>5736.97</v>
      </c>
      <c r="H8923" s="27">
        <f t="shared" si="278"/>
        <v>0</v>
      </c>
      <c r="I8923" s="18">
        <v>2970.37</v>
      </c>
      <c r="J8923" s="27">
        <v>5736.97</v>
      </c>
      <c r="K8923" s="18">
        <f t="shared" si="279"/>
        <v>0</v>
      </c>
      <c r="L8923" s="27">
        <v>3245.9</v>
      </c>
      <c r="M8923" s="36">
        <v>275.52999999999997</v>
      </c>
      <c r="T8923" s="41">
        <v>0</v>
      </c>
      <c r="U8923" s="41">
        <v>0</v>
      </c>
      <c r="V8923" s="42" t="s">
        <v>113</v>
      </c>
      <c r="W8923" s="42">
        <v>0</v>
      </c>
      <c r="X8923" s="42">
        <v>0</v>
      </c>
    </row>
    <row r="8924" spans="1:24">
      <c r="A8924" s="27" t="s">
        <v>16288</v>
      </c>
      <c r="B8924" s="28" t="s">
        <v>12240</v>
      </c>
      <c r="C8924" s="27" t="s">
        <v>16289</v>
      </c>
      <c r="D8924" s="27" t="s">
        <v>230</v>
      </c>
      <c r="E8924" s="29">
        <v>42369</v>
      </c>
      <c r="F8924" s="27">
        <v>15</v>
      </c>
      <c r="G8924" s="18">
        <v>516859.65</v>
      </c>
      <c r="H8924" s="27">
        <f t="shared" si="278"/>
        <v>0</v>
      </c>
      <c r="I8924" s="18">
        <v>113311.55</v>
      </c>
      <c r="J8924" s="27">
        <v>516859.65</v>
      </c>
      <c r="K8924" s="18">
        <f t="shared" si="279"/>
        <v>0</v>
      </c>
      <c r="L8924" s="27">
        <v>144786.98000000001</v>
      </c>
      <c r="M8924" s="36">
        <v>31475.43</v>
      </c>
      <c r="T8924" s="41">
        <v>0</v>
      </c>
      <c r="U8924" s="41">
        <v>0</v>
      </c>
      <c r="V8924" s="42" t="s">
        <v>113</v>
      </c>
      <c r="W8924" s="42">
        <v>0</v>
      </c>
      <c r="X8924" s="42">
        <v>0</v>
      </c>
    </row>
    <row r="8925" spans="1:24">
      <c r="A8925" s="27" t="s">
        <v>16290</v>
      </c>
      <c r="B8925" s="28" t="s">
        <v>12240</v>
      </c>
      <c r="C8925" s="27" t="s">
        <v>16291</v>
      </c>
      <c r="D8925" s="27" t="s">
        <v>230</v>
      </c>
      <c r="E8925" s="29">
        <v>42369</v>
      </c>
      <c r="F8925" s="27">
        <v>15</v>
      </c>
      <c r="G8925" s="18">
        <v>514309.21</v>
      </c>
      <c r="H8925" s="27">
        <f t="shared" si="278"/>
        <v>0</v>
      </c>
      <c r="I8925" s="18">
        <v>112921.84</v>
      </c>
      <c r="J8925" s="27">
        <v>514309.21</v>
      </c>
      <c r="K8925" s="18">
        <f t="shared" si="279"/>
        <v>0</v>
      </c>
      <c r="L8925" s="27">
        <v>144227.82999999999</v>
      </c>
      <c r="M8925" s="36">
        <v>31305.99</v>
      </c>
      <c r="T8925" s="41">
        <v>0</v>
      </c>
      <c r="U8925" s="41">
        <v>0</v>
      </c>
      <c r="V8925" s="42" t="s">
        <v>113</v>
      </c>
      <c r="W8925" s="42">
        <v>0</v>
      </c>
      <c r="X8925" s="42">
        <v>0</v>
      </c>
    </row>
    <row r="8926" spans="1:24">
      <c r="A8926" s="27" t="s">
        <v>16292</v>
      </c>
      <c r="B8926" s="28" t="s">
        <v>12240</v>
      </c>
      <c r="C8926" s="27" t="s">
        <v>16293</v>
      </c>
      <c r="D8926" s="27" t="s">
        <v>230</v>
      </c>
      <c r="E8926" s="29">
        <v>42369</v>
      </c>
      <c r="F8926" s="27">
        <v>15</v>
      </c>
      <c r="G8926" s="18">
        <v>663904.66</v>
      </c>
      <c r="H8926" s="27">
        <f t="shared" si="278"/>
        <v>0</v>
      </c>
      <c r="I8926" s="18">
        <v>145564.91</v>
      </c>
      <c r="J8926" s="27">
        <v>663904.66</v>
      </c>
      <c r="K8926" s="18">
        <f t="shared" si="279"/>
        <v>0</v>
      </c>
      <c r="L8926" s="27">
        <v>185993.62</v>
      </c>
      <c r="M8926" s="36">
        <v>40428.71</v>
      </c>
      <c r="T8926" s="41">
        <v>0</v>
      </c>
      <c r="U8926" s="41">
        <v>0</v>
      </c>
      <c r="V8926" s="42" t="s">
        <v>113</v>
      </c>
      <c r="W8926" s="42">
        <v>0</v>
      </c>
      <c r="X8926" s="42">
        <v>0</v>
      </c>
    </row>
    <row r="8927" spans="1:24">
      <c r="A8927" s="27" t="s">
        <v>16294</v>
      </c>
      <c r="B8927" s="28" t="s">
        <v>12240</v>
      </c>
      <c r="C8927" s="27" t="s">
        <v>16295</v>
      </c>
      <c r="D8927" s="27" t="s">
        <v>230</v>
      </c>
      <c r="E8927" s="29">
        <v>40843</v>
      </c>
      <c r="F8927" s="27">
        <v>15</v>
      </c>
      <c r="G8927" s="18">
        <v>9300</v>
      </c>
      <c r="H8927" s="27">
        <f t="shared" si="278"/>
        <v>0</v>
      </c>
      <c r="I8927" s="18">
        <v>6408.45</v>
      </c>
      <c r="J8927" s="27">
        <v>9300</v>
      </c>
      <c r="K8927" s="18">
        <f t="shared" si="279"/>
        <v>0</v>
      </c>
      <c r="L8927" s="27">
        <v>6718.22</v>
      </c>
      <c r="M8927" s="36">
        <v>309.77</v>
      </c>
      <c r="T8927" s="41">
        <v>0</v>
      </c>
      <c r="U8927" s="41">
        <v>0</v>
      </c>
      <c r="V8927" s="42" t="s">
        <v>113</v>
      </c>
      <c r="W8927" s="42">
        <v>0</v>
      </c>
      <c r="X8927" s="42">
        <v>0</v>
      </c>
    </row>
    <row r="8928" spans="1:24">
      <c r="A8928" s="27" t="s">
        <v>16296</v>
      </c>
      <c r="B8928" s="28" t="s">
        <v>12240</v>
      </c>
      <c r="C8928" s="27" t="s">
        <v>16297</v>
      </c>
      <c r="D8928" s="27" t="s">
        <v>230</v>
      </c>
      <c r="E8928" s="29">
        <v>42369</v>
      </c>
      <c r="F8928" s="27">
        <v>15</v>
      </c>
      <c r="G8928" s="18">
        <v>10383.52</v>
      </c>
      <c r="H8928" s="27">
        <f t="shared" si="278"/>
        <v>0</v>
      </c>
      <c r="I8928" s="18">
        <v>2276.39</v>
      </c>
      <c r="J8928" s="27">
        <v>10383.52</v>
      </c>
      <c r="K8928" s="18">
        <f t="shared" si="279"/>
        <v>0</v>
      </c>
      <c r="L8928" s="27">
        <v>2908.72</v>
      </c>
      <c r="M8928" s="36">
        <v>632.33000000000004</v>
      </c>
      <c r="T8928" s="41">
        <v>0</v>
      </c>
      <c r="U8928" s="41">
        <v>0</v>
      </c>
      <c r="V8928" s="42" t="s">
        <v>113</v>
      </c>
      <c r="W8928" s="42">
        <v>0</v>
      </c>
      <c r="X8928" s="42">
        <v>0</v>
      </c>
    </row>
    <row r="8929" spans="1:24">
      <c r="A8929" s="27" t="s">
        <v>16298</v>
      </c>
      <c r="B8929" s="28" t="s">
        <v>12240</v>
      </c>
      <c r="C8929" s="27" t="s">
        <v>16299</v>
      </c>
      <c r="D8929" s="27" t="s">
        <v>230</v>
      </c>
      <c r="E8929" s="29">
        <v>42369</v>
      </c>
      <c r="F8929" s="27">
        <v>15</v>
      </c>
      <c r="G8929" s="18">
        <v>13338.34</v>
      </c>
      <c r="H8929" s="27">
        <f t="shared" si="278"/>
        <v>0</v>
      </c>
      <c r="I8929" s="18">
        <v>2924.17</v>
      </c>
      <c r="J8929" s="27">
        <v>13338.34</v>
      </c>
      <c r="K8929" s="18">
        <f t="shared" si="279"/>
        <v>0</v>
      </c>
      <c r="L8929" s="27">
        <v>3736.44</v>
      </c>
      <c r="M8929" s="36">
        <v>812.27</v>
      </c>
      <c r="T8929" s="41">
        <v>0</v>
      </c>
      <c r="U8929" s="41">
        <v>0</v>
      </c>
      <c r="V8929" s="42" t="s">
        <v>113</v>
      </c>
      <c r="W8929" s="42">
        <v>0</v>
      </c>
      <c r="X8929" s="42">
        <v>0</v>
      </c>
    </row>
    <row r="8930" spans="1:24">
      <c r="A8930" s="27" t="s">
        <v>16300</v>
      </c>
      <c r="B8930" s="28" t="s">
        <v>12240</v>
      </c>
      <c r="C8930" s="27" t="s">
        <v>16301</v>
      </c>
      <c r="D8930" s="27" t="s">
        <v>230</v>
      </c>
      <c r="E8930" s="29">
        <v>42369</v>
      </c>
      <c r="F8930" s="27">
        <v>15</v>
      </c>
      <c r="G8930" s="18">
        <v>42183.56</v>
      </c>
      <c r="H8930" s="27">
        <f t="shared" si="278"/>
        <v>0</v>
      </c>
      <c r="I8930" s="18">
        <v>9247.93</v>
      </c>
      <c r="J8930" s="27">
        <v>42183.56</v>
      </c>
      <c r="K8930" s="18">
        <f t="shared" si="279"/>
        <v>0</v>
      </c>
      <c r="L8930" s="27">
        <v>11816.8</v>
      </c>
      <c r="M8930" s="36">
        <v>2568.87</v>
      </c>
      <c r="T8930" s="41">
        <v>0</v>
      </c>
      <c r="U8930" s="41">
        <v>0</v>
      </c>
      <c r="V8930" s="42" t="s">
        <v>113</v>
      </c>
      <c r="W8930" s="42">
        <v>0</v>
      </c>
      <c r="X8930" s="42">
        <v>0</v>
      </c>
    </row>
    <row r="8931" spans="1:24">
      <c r="A8931" s="27" t="s">
        <v>16302</v>
      </c>
      <c r="B8931" s="28" t="s">
        <v>12240</v>
      </c>
      <c r="C8931" s="27" t="s">
        <v>16225</v>
      </c>
      <c r="D8931" s="27" t="s">
        <v>230</v>
      </c>
      <c r="E8931" s="29">
        <v>42369</v>
      </c>
      <c r="F8931" s="27">
        <v>15</v>
      </c>
      <c r="G8931" s="18">
        <v>42183.56</v>
      </c>
      <c r="H8931" s="27">
        <f t="shared" si="278"/>
        <v>0</v>
      </c>
      <c r="I8931" s="18">
        <v>9247.93</v>
      </c>
      <c r="J8931" s="27">
        <v>42183.56</v>
      </c>
      <c r="K8931" s="18">
        <f t="shared" si="279"/>
        <v>0</v>
      </c>
      <c r="L8931" s="27">
        <v>11816.8</v>
      </c>
      <c r="M8931" s="36">
        <v>2568.87</v>
      </c>
      <c r="T8931" s="41">
        <v>0</v>
      </c>
      <c r="U8931" s="41">
        <v>0</v>
      </c>
      <c r="V8931" s="42" t="s">
        <v>113</v>
      </c>
      <c r="W8931" s="42">
        <v>0</v>
      </c>
      <c r="X8931" s="42">
        <v>0</v>
      </c>
    </row>
    <row r="8932" spans="1:24">
      <c r="A8932" s="27" t="s">
        <v>16303</v>
      </c>
      <c r="B8932" s="28" t="s">
        <v>12240</v>
      </c>
      <c r="C8932" s="27" t="s">
        <v>16304</v>
      </c>
      <c r="D8932" s="27" t="s">
        <v>230</v>
      </c>
      <c r="E8932" s="29">
        <v>42369</v>
      </c>
      <c r="F8932" s="27">
        <v>15</v>
      </c>
      <c r="G8932" s="18">
        <v>45989.84</v>
      </c>
      <c r="H8932" s="27">
        <f t="shared" si="278"/>
        <v>0</v>
      </c>
      <c r="I8932" s="18">
        <v>10082.379999999999</v>
      </c>
      <c r="J8932" s="27">
        <v>45989.84</v>
      </c>
      <c r="K8932" s="18">
        <f t="shared" si="279"/>
        <v>0</v>
      </c>
      <c r="L8932" s="27">
        <v>12883.04</v>
      </c>
      <c r="M8932" s="36">
        <v>2800.66</v>
      </c>
      <c r="T8932" s="41">
        <v>0</v>
      </c>
      <c r="U8932" s="41">
        <v>0</v>
      </c>
      <c r="V8932" s="42" t="s">
        <v>113</v>
      </c>
      <c r="W8932" s="42">
        <v>0</v>
      </c>
      <c r="X8932" s="42">
        <v>0</v>
      </c>
    </row>
    <row r="8933" spans="1:24">
      <c r="A8933" s="27" t="s">
        <v>16305</v>
      </c>
      <c r="B8933" s="28" t="s">
        <v>12240</v>
      </c>
      <c r="C8933" s="27" t="s">
        <v>16306</v>
      </c>
      <c r="D8933" s="27" t="s">
        <v>230</v>
      </c>
      <c r="E8933" s="29">
        <v>42369</v>
      </c>
      <c r="F8933" s="27">
        <v>15</v>
      </c>
      <c r="G8933" s="18">
        <v>45989.84</v>
      </c>
      <c r="H8933" s="27">
        <f t="shared" si="278"/>
        <v>0</v>
      </c>
      <c r="I8933" s="18">
        <v>10082.379999999999</v>
      </c>
      <c r="J8933" s="27">
        <v>45989.84</v>
      </c>
      <c r="K8933" s="18">
        <f t="shared" si="279"/>
        <v>0</v>
      </c>
      <c r="L8933" s="27">
        <v>12883.04</v>
      </c>
      <c r="M8933" s="36">
        <v>2800.66</v>
      </c>
      <c r="T8933" s="41">
        <v>0</v>
      </c>
      <c r="U8933" s="41">
        <v>0</v>
      </c>
      <c r="V8933" s="42" t="s">
        <v>113</v>
      </c>
      <c r="W8933" s="42">
        <v>0</v>
      </c>
      <c r="X8933" s="42">
        <v>0</v>
      </c>
    </row>
    <row r="8934" spans="1:24">
      <c r="A8934" s="27" t="s">
        <v>16307</v>
      </c>
      <c r="B8934" s="28" t="s">
        <v>12240</v>
      </c>
      <c r="C8934" s="27" t="s">
        <v>16308</v>
      </c>
      <c r="D8934" s="27" t="s">
        <v>230</v>
      </c>
      <c r="E8934" s="29">
        <v>42369</v>
      </c>
      <c r="F8934" s="27">
        <v>15</v>
      </c>
      <c r="G8934" s="18">
        <v>45989.85</v>
      </c>
      <c r="H8934" s="27">
        <f t="shared" si="278"/>
        <v>0</v>
      </c>
      <c r="I8934" s="18">
        <v>10082.379999999999</v>
      </c>
      <c r="J8934" s="27">
        <v>45989.85</v>
      </c>
      <c r="K8934" s="18">
        <f t="shared" si="279"/>
        <v>0</v>
      </c>
      <c r="L8934" s="27">
        <v>12883.05</v>
      </c>
      <c r="M8934" s="36">
        <v>2800.67</v>
      </c>
      <c r="T8934" s="41">
        <v>0</v>
      </c>
      <c r="U8934" s="41">
        <v>0</v>
      </c>
      <c r="V8934" s="42" t="s">
        <v>113</v>
      </c>
      <c r="W8934" s="42">
        <v>0</v>
      </c>
      <c r="X8934" s="42">
        <v>0</v>
      </c>
    </row>
    <row r="8935" spans="1:24">
      <c r="A8935" s="27" t="s">
        <v>16309</v>
      </c>
      <c r="B8935" s="28" t="s">
        <v>12240</v>
      </c>
      <c r="C8935" s="27" t="s">
        <v>16310</v>
      </c>
      <c r="D8935" s="27" t="s">
        <v>230</v>
      </c>
      <c r="E8935" s="29">
        <v>42369</v>
      </c>
      <c r="F8935" s="27">
        <v>15</v>
      </c>
      <c r="G8935" s="18">
        <v>45989.83</v>
      </c>
      <c r="H8935" s="27">
        <f t="shared" si="278"/>
        <v>0</v>
      </c>
      <c r="I8935" s="18">
        <v>10082.379999999999</v>
      </c>
      <c r="J8935" s="27">
        <v>45989.83</v>
      </c>
      <c r="K8935" s="18">
        <f t="shared" si="279"/>
        <v>0</v>
      </c>
      <c r="L8935" s="27">
        <v>12883.04</v>
      </c>
      <c r="M8935" s="36">
        <v>2800.66</v>
      </c>
      <c r="T8935" s="41">
        <v>0</v>
      </c>
      <c r="U8935" s="41">
        <v>0</v>
      </c>
      <c r="V8935" s="42" t="s">
        <v>113</v>
      </c>
      <c r="W8935" s="42">
        <v>0</v>
      </c>
      <c r="X8935" s="42">
        <v>0</v>
      </c>
    </row>
    <row r="8936" spans="1:24">
      <c r="A8936" s="27" t="s">
        <v>16311</v>
      </c>
      <c r="B8936" s="28" t="s">
        <v>12240</v>
      </c>
      <c r="C8936" s="27" t="s">
        <v>16312</v>
      </c>
      <c r="D8936" s="27" t="s">
        <v>230</v>
      </c>
      <c r="E8936" s="29">
        <v>42370</v>
      </c>
      <c r="F8936" s="27">
        <v>15</v>
      </c>
      <c r="G8936" s="18">
        <v>253742.3</v>
      </c>
      <c r="H8936" s="27">
        <f t="shared" si="278"/>
        <v>0</v>
      </c>
      <c r="I8936" s="18">
        <v>54331.43</v>
      </c>
      <c r="J8936" s="27">
        <v>253742.3</v>
      </c>
      <c r="K8936" s="18">
        <f t="shared" si="279"/>
        <v>0</v>
      </c>
      <c r="L8936" s="27">
        <v>69891.740000000005</v>
      </c>
      <c r="M8936" s="36">
        <v>15560.31</v>
      </c>
      <c r="T8936" s="41">
        <v>0</v>
      </c>
      <c r="U8936" s="41">
        <v>0</v>
      </c>
      <c r="V8936" s="42" t="s">
        <v>113</v>
      </c>
      <c r="W8936" s="42">
        <v>0</v>
      </c>
      <c r="X8936" s="42">
        <v>0</v>
      </c>
    </row>
    <row r="8937" spans="1:24">
      <c r="A8937" s="27" t="s">
        <v>16313</v>
      </c>
      <c r="B8937" s="28" t="s">
        <v>12240</v>
      </c>
      <c r="C8937" s="27" t="s">
        <v>16314</v>
      </c>
      <c r="D8937" s="27" t="s">
        <v>230</v>
      </c>
      <c r="E8937" s="29">
        <v>41547</v>
      </c>
      <c r="F8937" s="27">
        <v>15</v>
      </c>
      <c r="G8937" s="18">
        <v>129174.28</v>
      </c>
      <c r="H8937" s="27">
        <f t="shared" si="278"/>
        <v>0</v>
      </c>
      <c r="I8937" s="18">
        <v>33901.24</v>
      </c>
      <c r="J8937" s="27">
        <v>129174.28</v>
      </c>
      <c r="K8937" s="18">
        <f t="shared" si="279"/>
        <v>0</v>
      </c>
      <c r="L8937" s="27">
        <v>43088.93</v>
      </c>
      <c r="M8937" s="36">
        <v>9187.69</v>
      </c>
      <c r="T8937" s="41">
        <v>0</v>
      </c>
      <c r="U8937" s="41">
        <v>0</v>
      </c>
      <c r="V8937" s="42" t="s">
        <v>113</v>
      </c>
      <c r="W8937" s="42">
        <v>0</v>
      </c>
      <c r="X8937" s="42">
        <v>0</v>
      </c>
    </row>
    <row r="8938" spans="1:24">
      <c r="A8938" s="27" t="s">
        <v>16315</v>
      </c>
      <c r="B8938" s="28" t="s">
        <v>12240</v>
      </c>
      <c r="C8938" s="27" t="s">
        <v>16316</v>
      </c>
      <c r="D8938" s="27" t="s">
        <v>230</v>
      </c>
      <c r="E8938" s="29">
        <v>41547</v>
      </c>
      <c r="F8938" s="27">
        <v>15</v>
      </c>
      <c r="G8938" s="18">
        <v>129174.28</v>
      </c>
      <c r="H8938" s="27">
        <f t="shared" si="278"/>
        <v>0</v>
      </c>
      <c r="I8938" s="18">
        <v>33901.24</v>
      </c>
      <c r="J8938" s="27">
        <v>129174.28</v>
      </c>
      <c r="K8938" s="18">
        <f t="shared" si="279"/>
        <v>0</v>
      </c>
      <c r="L8938" s="27">
        <v>43088.93</v>
      </c>
      <c r="M8938" s="36">
        <v>9187.69</v>
      </c>
      <c r="T8938" s="41">
        <v>0</v>
      </c>
      <c r="U8938" s="41">
        <v>0</v>
      </c>
      <c r="V8938" s="42" t="s">
        <v>113</v>
      </c>
      <c r="W8938" s="42">
        <v>0</v>
      </c>
      <c r="X8938" s="42">
        <v>0</v>
      </c>
    </row>
    <row r="8939" spans="1:24">
      <c r="A8939" s="27" t="s">
        <v>16317</v>
      </c>
      <c r="B8939" s="28" t="s">
        <v>12240</v>
      </c>
      <c r="C8939" s="27" t="s">
        <v>16318</v>
      </c>
      <c r="D8939" s="27" t="s">
        <v>230</v>
      </c>
      <c r="E8939" s="29">
        <v>41547</v>
      </c>
      <c r="F8939" s="27">
        <v>15</v>
      </c>
      <c r="G8939" s="18">
        <v>94782.19</v>
      </c>
      <c r="H8939" s="27">
        <f t="shared" si="278"/>
        <v>0</v>
      </c>
      <c r="I8939" s="18">
        <v>24875.19</v>
      </c>
      <c r="J8939" s="27">
        <v>94782.19</v>
      </c>
      <c r="K8939" s="18">
        <f t="shared" si="279"/>
        <v>0</v>
      </c>
      <c r="L8939" s="27">
        <v>31616.7</v>
      </c>
      <c r="M8939" s="36">
        <v>6741.51</v>
      </c>
      <c r="T8939" s="41">
        <v>0</v>
      </c>
      <c r="U8939" s="41">
        <v>0</v>
      </c>
      <c r="V8939" s="42" t="s">
        <v>113</v>
      </c>
      <c r="W8939" s="42">
        <v>0</v>
      </c>
      <c r="X8939" s="42">
        <v>0</v>
      </c>
    </row>
    <row r="8940" spans="1:24">
      <c r="A8940" s="27" t="s">
        <v>16319</v>
      </c>
      <c r="B8940" s="28" t="s">
        <v>12240</v>
      </c>
      <c r="C8940" s="27" t="s">
        <v>16320</v>
      </c>
      <c r="D8940" s="27" t="s">
        <v>230</v>
      </c>
      <c r="E8940" s="29">
        <v>41547</v>
      </c>
      <c r="F8940" s="27">
        <v>15</v>
      </c>
      <c r="G8940" s="18">
        <v>169414.51</v>
      </c>
      <c r="H8940" s="27">
        <f t="shared" si="278"/>
        <v>0</v>
      </c>
      <c r="I8940" s="18">
        <v>44462.11</v>
      </c>
      <c r="J8940" s="27">
        <v>169414.51</v>
      </c>
      <c r="K8940" s="18">
        <f t="shared" si="279"/>
        <v>0</v>
      </c>
      <c r="L8940" s="27">
        <v>56511.94</v>
      </c>
      <c r="M8940" s="36">
        <v>12049.83</v>
      </c>
      <c r="T8940" s="41">
        <v>0</v>
      </c>
      <c r="U8940" s="41">
        <v>0</v>
      </c>
      <c r="V8940" s="42" t="s">
        <v>113</v>
      </c>
      <c r="W8940" s="42">
        <v>0</v>
      </c>
      <c r="X8940" s="42">
        <v>0</v>
      </c>
    </row>
    <row r="8941" spans="1:24">
      <c r="A8941" s="27" t="s">
        <v>16321</v>
      </c>
      <c r="B8941" s="28" t="s">
        <v>12240</v>
      </c>
      <c r="C8941" s="27" t="s">
        <v>16322</v>
      </c>
      <c r="D8941" s="27" t="s">
        <v>230</v>
      </c>
      <c r="E8941" s="29">
        <v>41547</v>
      </c>
      <c r="F8941" s="27">
        <v>15</v>
      </c>
      <c r="G8941" s="18">
        <v>116109.97</v>
      </c>
      <c r="H8941" s="27">
        <f t="shared" si="278"/>
        <v>0</v>
      </c>
      <c r="I8941" s="18">
        <v>30472.560000000001</v>
      </c>
      <c r="J8941" s="27">
        <v>116109.97</v>
      </c>
      <c r="K8941" s="18">
        <f t="shared" si="279"/>
        <v>0</v>
      </c>
      <c r="L8941" s="27">
        <v>38731.03</v>
      </c>
      <c r="M8941" s="36">
        <v>8258.4699999999993</v>
      </c>
      <c r="T8941" s="41">
        <v>0</v>
      </c>
      <c r="U8941" s="41">
        <v>0</v>
      </c>
      <c r="V8941" s="42" t="s">
        <v>113</v>
      </c>
      <c r="W8941" s="42">
        <v>0</v>
      </c>
      <c r="X8941" s="42">
        <v>0</v>
      </c>
    </row>
    <row r="8942" spans="1:24">
      <c r="A8942" s="27" t="s">
        <v>16323</v>
      </c>
      <c r="B8942" s="28" t="s">
        <v>12240</v>
      </c>
      <c r="C8942" s="27" t="s">
        <v>16324</v>
      </c>
      <c r="D8942" s="27" t="s">
        <v>230</v>
      </c>
      <c r="E8942" s="29">
        <v>41271</v>
      </c>
      <c r="F8942" s="27">
        <v>15</v>
      </c>
      <c r="G8942" s="18">
        <v>148309.04999999999</v>
      </c>
      <c r="H8942" s="27">
        <f t="shared" si="278"/>
        <v>0</v>
      </c>
      <c r="I8942" s="18">
        <v>108129.52</v>
      </c>
      <c r="J8942" s="27">
        <v>148309.04999999999</v>
      </c>
      <c r="K8942" s="18">
        <f t="shared" si="279"/>
        <v>0</v>
      </c>
      <c r="L8942" s="27">
        <v>111769.97</v>
      </c>
      <c r="M8942" s="36">
        <v>3640.45</v>
      </c>
      <c r="T8942" s="41">
        <v>0</v>
      </c>
      <c r="U8942" s="41">
        <v>0</v>
      </c>
      <c r="V8942" s="42" t="s">
        <v>113</v>
      </c>
      <c r="W8942" s="42">
        <v>0</v>
      </c>
      <c r="X8942" s="42">
        <v>0</v>
      </c>
    </row>
    <row r="8943" spans="1:24">
      <c r="A8943" s="27" t="s">
        <v>16325</v>
      </c>
      <c r="B8943" s="28" t="s">
        <v>12240</v>
      </c>
      <c r="C8943" s="27" t="s">
        <v>13208</v>
      </c>
      <c r="D8943" s="27" t="s">
        <v>230</v>
      </c>
      <c r="E8943" s="29">
        <v>41271</v>
      </c>
      <c r="F8943" s="27">
        <v>15</v>
      </c>
      <c r="G8943" s="18">
        <v>139142.23000000001</v>
      </c>
      <c r="H8943" s="27">
        <f t="shared" si="278"/>
        <v>0</v>
      </c>
      <c r="I8943" s="18">
        <v>101446.15</v>
      </c>
      <c r="J8943" s="27">
        <v>139142.23000000001</v>
      </c>
      <c r="K8943" s="18">
        <f t="shared" si="279"/>
        <v>0</v>
      </c>
      <c r="L8943" s="27">
        <v>104861.59</v>
      </c>
      <c r="M8943" s="36">
        <v>3415.44</v>
      </c>
      <c r="T8943" s="41">
        <v>0</v>
      </c>
      <c r="U8943" s="41">
        <v>0</v>
      </c>
      <c r="V8943" s="42" t="s">
        <v>113</v>
      </c>
      <c r="W8943" s="42">
        <v>0</v>
      </c>
      <c r="X8943" s="42">
        <v>0</v>
      </c>
    </row>
    <row r="8944" spans="1:24">
      <c r="A8944" s="27" t="s">
        <v>16326</v>
      </c>
      <c r="B8944" s="28" t="s">
        <v>12240</v>
      </c>
      <c r="C8944" s="27" t="s">
        <v>16327</v>
      </c>
      <c r="D8944" s="27" t="s">
        <v>230</v>
      </c>
      <c r="E8944" s="29">
        <v>41271</v>
      </c>
      <c r="F8944" s="27">
        <v>15</v>
      </c>
      <c r="G8944" s="18">
        <v>239874.41</v>
      </c>
      <c r="H8944" s="27">
        <f t="shared" si="278"/>
        <v>0</v>
      </c>
      <c r="I8944" s="18">
        <v>174888.22</v>
      </c>
      <c r="J8944" s="27">
        <v>239874.41</v>
      </c>
      <c r="K8944" s="18">
        <f t="shared" si="279"/>
        <v>0</v>
      </c>
      <c r="L8944" s="27">
        <v>180776.27</v>
      </c>
      <c r="M8944" s="36">
        <v>5888.05</v>
      </c>
      <c r="T8944" s="41">
        <v>0</v>
      </c>
      <c r="U8944" s="41">
        <v>0</v>
      </c>
      <c r="V8944" s="42" t="s">
        <v>113</v>
      </c>
      <c r="W8944" s="42">
        <v>0</v>
      </c>
      <c r="X8944" s="42">
        <v>0</v>
      </c>
    </row>
    <row r="8945" spans="1:24">
      <c r="A8945" s="27" t="s">
        <v>16328</v>
      </c>
      <c r="B8945" s="28" t="s">
        <v>12240</v>
      </c>
      <c r="C8945" s="27" t="s">
        <v>16329</v>
      </c>
      <c r="D8945" s="27" t="s">
        <v>230</v>
      </c>
      <c r="E8945" s="29">
        <v>35796</v>
      </c>
      <c r="F8945" s="27">
        <v>15</v>
      </c>
      <c r="G8945" s="18">
        <v>8445.5400000000009</v>
      </c>
      <c r="H8945" s="27">
        <f t="shared" si="278"/>
        <v>8445.5400000000009</v>
      </c>
      <c r="I8945" s="18">
        <v>8023.26</v>
      </c>
      <c r="J8945" s="27">
        <v>8445.5400000000009</v>
      </c>
      <c r="K8945" s="18">
        <f t="shared" si="279"/>
        <v>8445.5400000000009</v>
      </c>
      <c r="L8945" s="27">
        <v>8023.26</v>
      </c>
      <c r="M8945" s="36">
        <v>0</v>
      </c>
      <c r="T8945" s="41">
        <v>0</v>
      </c>
      <c r="U8945" s="41">
        <v>0</v>
      </c>
      <c r="V8945" s="42" t="s">
        <v>113</v>
      </c>
      <c r="W8945" s="42">
        <v>8445.5400000000009</v>
      </c>
      <c r="X8945" s="42">
        <v>8445.5400000000009</v>
      </c>
    </row>
    <row r="8946" spans="1:24">
      <c r="A8946" s="27" t="s">
        <v>16330</v>
      </c>
      <c r="B8946" s="28" t="s">
        <v>12240</v>
      </c>
      <c r="C8946" s="27" t="s">
        <v>16331</v>
      </c>
      <c r="D8946" s="27" t="s">
        <v>230</v>
      </c>
      <c r="E8946" s="29">
        <v>40843</v>
      </c>
      <c r="F8946" s="27">
        <v>15</v>
      </c>
      <c r="G8946" s="18">
        <v>48523.99</v>
      </c>
      <c r="H8946" s="27">
        <f t="shared" si="278"/>
        <v>0</v>
      </c>
      <c r="I8946" s="18">
        <v>28096.86</v>
      </c>
      <c r="J8946" s="27">
        <v>48523.99</v>
      </c>
      <c r="K8946" s="18">
        <f t="shared" si="279"/>
        <v>0</v>
      </c>
      <c r="L8946" s="27">
        <v>30394.85</v>
      </c>
      <c r="M8946" s="36">
        <v>2297.9899999999998</v>
      </c>
      <c r="T8946" s="41">
        <v>0</v>
      </c>
      <c r="U8946" s="41">
        <v>0</v>
      </c>
      <c r="V8946" s="42" t="s">
        <v>113</v>
      </c>
      <c r="W8946" s="42">
        <v>0</v>
      </c>
      <c r="X8946" s="42">
        <v>0</v>
      </c>
    </row>
    <row r="8947" spans="1:24">
      <c r="A8947" s="27" t="s">
        <v>16332</v>
      </c>
      <c r="B8947" s="28" t="s">
        <v>12240</v>
      </c>
      <c r="C8947" s="27" t="s">
        <v>16333</v>
      </c>
      <c r="D8947" s="27" t="s">
        <v>230</v>
      </c>
      <c r="E8947" s="29">
        <v>43101</v>
      </c>
      <c r="F8947" s="27">
        <v>15</v>
      </c>
      <c r="G8947" s="18">
        <v>59623.360000000001</v>
      </c>
      <c r="H8947" s="27">
        <f t="shared" si="278"/>
        <v>0</v>
      </c>
      <c r="I8947" s="18">
        <v>3461.47</v>
      </c>
      <c r="J8947" s="27">
        <v>59623.360000000001</v>
      </c>
      <c r="K8947" s="18">
        <f t="shared" si="279"/>
        <v>0</v>
      </c>
      <c r="L8947" s="27">
        <v>7237.62</v>
      </c>
      <c r="M8947" s="36">
        <v>3776.15</v>
      </c>
      <c r="T8947" s="41">
        <v>0</v>
      </c>
      <c r="U8947" s="41">
        <v>0</v>
      </c>
      <c r="V8947" s="42" t="s">
        <v>113</v>
      </c>
      <c r="W8947" s="42">
        <v>0</v>
      </c>
      <c r="X8947" s="42">
        <v>0</v>
      </c>
    </row>
    <row r="8948" spans="1:24">
      <c r="A8948" s="27" t="s">
        <v>16334</v>
      </c>
      <c r="B8948" s="28" t="s">
        <v>12240</v>
      </c>
      <c r="C8948" s="27" t="s">
        <v>16335</v>
      </c>
      <c r="D8948" s="27" t="s">
        <v>230</v>
      </c>
      <c r="E8948" s="29">
        <v>43668</v>
      </c>
      <c r="F8948" s="27">
        <v>15</v>
      </c>
      <c r="G8948" s="18">
        <v>0</v>
      </c>
      <c r="H8948" s="27">
        <f t="shared" si="278"/>
        <v>0</v>
      </c>
      <c r="I8948" s="18">
        <v>0</v>
      </c>
      <c r="J8948" s="27">
        <v>53601.18</v>
      </c>
      <c r="K8948" s="18">
        <f t="shared" si="279"/>
        <v>0</v>
      </c>
      <c r="L8948" s="27">
        <v>1414.48</v>
      </c>
      <c r="M8948" s="36">
        <v>1414.48</v>
      </c>
      <c r="N8948" s="18" t="s">
        <v>123</v>
      </c>
      <c r="O8948" s="19">
        <v>53601.18</v>
      </c>
      <c r="T8948" s="41">
        <v>0</v>
      </c>
      <c r="U8948" s="41">
        <v>0</v>
      </c>
      <c r="V8948" s="42" t="s">
        <v>113</v>
      </c>
      <c r="W8948" s="42">
        <v>0</v>
      </c>
      <c r="X8948" s="42">
        <v>0</v>
      </c>
    </row>
    <row r="8949" spans="1:24">
      <c r="A8949" s="27" t="s">
        <v>16336</v>
      </c>
      <c r="B8949" s="28" t="s">
        <v>12240</v>
      </c>
      <c r="C8949" s="27" t="s">
        <v>16337</v>
      </c>
      <c r="D8949" s="27" t="s">
        <v>230</v>
      </c>
      <c r="E8949" s="29">
        <v>43809</v>
      </c>
      <c r="F8949" s="27">
        <v>15</v>
      </c>
      <c r="G8949" s="18">
        <v>0</v>
      </c>
      <c r="H8949" s="27">
        <f t="shared" si="278"/>
        <v>0</v>
      </c>
      <c r="I8949" s="18">
        <v>0</v>
      </c>
      <c r="J8949" s="27">
        <v>166554.17000000001</v>
      </c>
      <c r="K8949" s="18">
        <f t="shared" si="279"/>
        <v>0</v>
      </c>
      <c r="L8949" s="27">
        <v>0</v>
      </c>
      <c r="M8949" s="36">
        <v>0</v>
      </c>
      <c r="N8949" s="18" t="s">
        <v>123</v>
      </c>
      <c r="O8949" s="19">
        <v>166554.17000000001</v>
      </c>
      <c r="T8949" s="41">
        <v>0</v>
      </c>
      <c r="U8949" s="41">
        <v>0</v>
      </c>
      <c r="V8949" s="42" t="s">
        <v>113</v>
      </c>
      <c r="W8949" s="42">
        <v>0</v>
      </c>
      <c r="X8949" s="42">
        <v>0</v>
      </c>
    </row>
    <row r="8950" spans="1:24">
      <c r="A8950" s="27" t="s">
        <v>16338</v>
      </c>
      <c r="B8950" s="28" t="s">
        <v>12240</v>
      </c>
      <c r="C8950" s="27" t="s">
        <v>16339</v>
      </c>
      <c r="D8950" s="27" t="s">
        <v>230</v>
      </c>
      <c r="E8950" s="29">
        <v>43466</v>
      </c>
      <c r="F8950" s="27">
        <v>15</v>
      </c>
      <c r="G8950" s="18">
        <v>0</v>
      </c>
      <c r="H8950" s="27">
        <f t="shared" si="278"/>
        <v>0</v>
      </c>
      <c r="I8950" s="18">
        <v>0</v>
      </c>
      <c r="J8950" s="27">
        <v>216395.57</v>
      </c>
      <c r="K8950" s="18">
        <f t="shared" si="279"/>
        <v>0</v>
      </c>
      <c r="L8950" s="27">
        <v>12562.96</v>
      </c>
      <c r="M8950" s="36">
        <v>12562.96</v>
      </c>
      <c r="N8950" s="18" t="s">
        <v>123</v>
      </c>
      <c r="O8950" s="19">
        <v>216395.57</v>
      </c>
      <c r="T8950" s="41">
        <v>0</v>
      </c>
      <c r="U8950" s="41">
        <v>0</v>
      </c>
      <c r="V8950" s="42" t="s">
        <v>113</v>
      </c>
      <c r="W8950" s="42">
        <v>0</v>
      </c>
      <c r="X8950" s="42">
        <v>0</v>
      </c>
    </row>
    <row r="8951" spans="1:24">
      <c r="A8951" s="27" t="s">
        <v>16340</v>
      </c>
      <c r="B8951" s="28" t="s">
        <v>12240</v>
      </c>
      <c r="C8951" s="27" t="s">
        <v>16341</v>
      </c>
      <c r="D8951" s="27" t="s">
        <v>230</v>
      </c>
      <c r="E8951" s="29">
        <v>43466</v>
      </c>
      <c r="F8951" s="27">
        <v>15</v>
      </c>
      <c r="G8951" s="18">
        <v>0</v>
      </c>
      <c r="H8951" s="27">
        <f t="shared" si="278"/>
        <v>0</v>
      </c>
      <c r="I8951" s="18">
        <v>0</v>
      </c>
      <c r="J8951" s="27">
        <v>216395.57</v>
      </c>
      <c r="K8951" s="18">
        <f t="shared" si="279"/>
        <v>0</v>
      </c>
      <c r="L8951" s="27">
        <v>12562.96</v>
      </c>
      <c r="M8951" s="36">
        <v>12562.96</v>
      </c>
      <c r="N8951" s="18" t="s">
        <v>123</v>
      </c>
      <c r="O8951" s="19">
        <v>216395.57</v>
      </c>
      <c r="T8951" s="41">
        <v>0</v>
      </c>
      <c r="U8951" s="41">
        <v>0</v>
      </c>
      <c r="V8951" s="42" t="s">
        <v>113</v>
      </c>
      <c r="W8951" s="42">
        <v>0</v>
      </c>
      <c r="X8951" s="42">
        <v>0</v>
      </c>
    </row>
    <row r="8952" spans="1:24">
      <c r="A8952" s="27" t="s">
        <v>16342</v>
      </c>
      <c r="B8952" s="28" t="s">
        <v>12240</v>
      </c>
      <c r="C8952" s="27" t="s">
        <v>16343</v>
      </c>
      <c r="D8952" s="27" t="s">
        <v>230</v>
      </c>
      <c r="E8952" s="29">
        <v>43466</v>
      </c>
      <c r="F8952" s="27">
        <v>15</v>
      </c>
      <c r="G8952" s="18">
        <v>0</v>
      </c>
      <c r="H8952" s="27">
        <f t="shared" si="278"/>
        <v>0</v>
      </c>
      <c r="I8952" s="18">
        <v>0</v>
      </c>
      <c r="J8952" s="27">
        <v>216395.57</v>
      </c>
      <c r="K8952" s="18">
        <f t="shared" si="279"/>
        <v>0</v>
      </c>
      <c r="L8952" s="27">
        <v>12562.96</v>
      </c>
      <c r="M8952" s="36">
        <v>12562.96</v>
      </c>
      <c r="N8952" s="18" t="s">
        <v>123</v>
      </c>
      <c r="O8952" s="19">
        <v>216395.57</v>
      </c>
      <c r="T8952" s="41">
        <v>0</v>
      </c>
      <c r="U8952" s="41">
        <v>0</v>
      </c>
      <c r="V8952" s="42" t="s">
        <v>113</v>
      </c>
      <c r="W8952" s="42">
        <v>0</v>
      </c>
      <c r="X8952" s="42">
        <v>0</v>
      </c>
    </row>
    <row r="8953" spans="1:24">
      <c r="A8953" s="27" t="s">
        <v>16344</v>
      </c>
      <c r="B8953" s="28" t="s">
        <v>12240</v>
      </c>
      <c r="C8953" s="27" t="s">
        <v>16345</v>
      </c>
      <c r="D8953" s="27" t="s">
        <v>230</v>
      </c>
      <c r="E8953" s="29">
        <v>43466</v>
      </c>
      <c r="F8953" s="27">
        <v>15</v>
      </c>
      <c r="G8953" s="18">
        <v>0</v>
      </c>
      <c r="H8953" s="27">
        <f t="shared" si="278"/>
        <v>0</v>
      </c>
      <c r="I8953" s="18">
        <v>0</v>
      </c>
      <c r="J8953" s="27">
        <v>216395.58</v>
      </c>
      <c r="K8953" s="18">
        <f t="shared" si="279"/>
        <v>0</v>
      </c>
      <c r="L8953" s="27">
        <v>12562.97</v>
      </c>
      <c r="M8953" s="36">
        <v>12562.97</v>
      </c>
      <c r="N8953" s="18" t="s">
        <v>123</v>
      </c>
      <c r="O8953" s="19">
        <v>216395.58</v>
      </c>
      <c r="T8953" s="41">
        <v>0</v>
      </c>
      <c r="U8953" s="41">
        <v>0</v>
      </c>
      <c r="V8953" s="42" t="s">
        <v>113</v>
      </c>
      <c r="W8953" s="42">
        <v>0</v>
      </c>
      <c r="X8953" s="42">
        <v>0</v>
      </c>
    </row>
    <row r="8954" spans="1:24">
      <c r="A8954" s="27" t="s">
        <v>16346</v>
      </c>
      <c r="B8954" s="28" t="s">
        <v>12240</v>
      </c>
      <c r="C8954" s="27" t="s">
        <v>16347</v>
      </c>
      <c r="D8954" s="27" t="s">
        <v>230</v>
      </c>
      <c r="E8954" s="29">
        <v>43466</v>
      </c>
      <c r="F8954" s="27">
        <v>15</v>
      </c>
      <c r="G8954" s="18">
        <v>0</v>
      </c>
      <c r="H8954" s="27">
        <f t="shared" si="278"/>
        <v>0</v>
      </c>
      <c r="I8954" s="18">
        <v>0</v>
      </c>
      <c r="J8954" s="27">
        <v>216395.58</v>
      </c>
      <c r="K8954" s="18">
        <f t="shared" si="279"/>
        <v>0</v>
      </c>
      <c r="L8954" s="27">
        <v>12562.97</v>
      </c>
      <c r="M8954" s="36">
        <v>12562.97</v>
      </c>
      <c r="N8954" s="18" t="s">
        <v>123</v>
      </c>
      <c r="O8954" s="19">
        <v>216395.58</v>
      </c>
      <c r="T8954" s="41">
        <v>0</v>
      </c>
      <c r="U8954" s="41">
        <v>0</v>
      </c>
      <c r="V8954" s="42" t="s">
        <v>113</v>
      </c>
      <c r="W8954" s="42">
        <v>0</v>
      </c>
      <c r="X8954" s="42">
        <v>0</v>
      </c>
    </row>
    <row r="8955" spans="1:24">
      <c r="A8955" s="27" t="s">
        <v>16348</v>
      </c>
      <c r="B8955" s="28" t="s">
        <v>12240</v>
      </c>
      <c r="C8955" s="27" t="s">
        <v>16349</v>
      </c>
      <c r="D8955" s="27" t="s">
        <v>230</v>
      </c>
      <c r="E8955" s="29">
        <v>43466</v>
      </c>
      <c r="F8955" s="27">
        <v>15</v>
      </c>
      <c r="G8955" s="18">
        <v>0</v>
      </c>
      <c r="H8955" s="27">
        <f t="shared" si="278"/>
        <v>0</v>
      </c>
      <c r="I8955" s="18">
        <v>0</v>
      </c>
      <c r="J8955" s="27">
        <v>131393.78</v>
      </c>
      <c r="K8955" s="18">
        <f t="shared" si="279"/>
        <v>0</v>
      </c>
      <c r="L8955" s="27">
        <v>7628.14</v>
      </c>
      <c r="M8955" s="36">
        <v>7628.14</v>
      </c>
      <c r="N8955" s="18" t="s">
        <v>123</v>
      </c>
      <c r="O8955" s="19">
        <v>131393.78</v>
      </c>
      <c r="T8955" s="41">
        <v>0</v>
      </c>
      <c r="U8955" s="41">
        <v>0</v>
      </c>
      <c r="V8955" s="42" t="s">
        <v>113</v>
      </c>
      <c r="W8955" s="42">
        <v>0</v>
      </c>
      <c r="X8955" s="42">
        <v>0</v>
      </c>
    </row>
    <row r="8956" spans="1:24">
      <c r="A8956" s="27" t="s">
        <v>16350</v>
      </c>
      <c r="B8956" s="28" t="s">
        <v>12240</v>
      </c>
      <c r="C8956" s="27" t="s">
        <v>16351</v>
      </c>
      <c r="D8956" s="27" t="s">
        <v>230</v>
      </c>
      <c r="E8956" s="29">
        <v>43466</v>
      </c>
      <c r="F8956" s="27">
        <v>15</v>
      </c>
      <c r="G8956" s="18">
        <v>0</v>
      </c>
      <c r="H8956" s="27">
        <f t="shared" si="278"/>
        <v>0</v>
      </c>
      <c r="I8956" s="18">
        <v>0</v>
      </c>
      <c r="J8956" s="27">
        <v>131393.79</v>
      </c>
      <c r="K8956" s="18">
        <f t="shared" si="279"/>
        <v>0</v>
      </c>
      <c r="L8956" s="27">
        <v>7628.14</v>
      </c>
      <c r="M8956" s="36">
        <v>7628.14</v>
      </c>
      <c r="N8956" s="18" t="s">
        <v>123</v>
      </c>
      <c r="O8956" s="19">
        <v>131393.79</v>
      </c>
      <c r="T8956" s="41">
        <v>0</v>
      </c>
      <c r="U8956" s="41">
        <v>0</v>
      </c>
      <c r="V8956" s="42" t="s">
        <v>113</v>
      </c>
      <c r="W8956" s="42">
        <v>0</v>
      </c>
      <c r="X8956" s="42">
        <v>0</v>
      </c>
    </row>
    <row r="8957" spans="1:24">
      <c r="A8957" s="27" t="s">
        <v>16352</v>
      </c>
      <c r="B8957" s="28" t="s">
        <v>12240</v>
      </c>
      <c r="C8957" s="27" t="s">
        <v>16353</v>
      </c>
      <c r="D8957" s="27" t="s">
        <v>230</v>
      </c>
      <c r="E8957" s="29">
        <v>43466</v>
      </c>
      <c r="F8957" s="27">
        <v>15</v>
      </c>
      <c r="G8957" s="18">
        <v>0</v>
      </c>
      <c r="H8957" s="27">
        <f t="shared" si="278"/>
        <v>0</v>
      </c>
      <c r="I8957" s="18">
        <v>0</v>
      </c>
      <c r="J8957" s="27">
        <v>131393.76999999999</v>
      </c>
      <c r="K8957" s="18">
        <f t="shared" si="279"/>
        <v>0</v>
      </c>
      <c r="L8957" s="27">
        <v>7628.14</v>
      </c>
      <c r="M8957" s="36">
        <v>7628.14</v>
      </c>
      <c r="N8957" s="18" t="s">
        <v>123</v>
      </c>
      <c r="O8957" s="19">
        <v>131393.76999999999</v>
      </c>
      <c r="T8957" s="41">
        <v>0</v>
      </c>
      <c r="U8957" s="41">
        <v>0</v>
      </c>
      <c r="V8957" s="42" t="s">
        <v>113</v>
      </c>
      <c r="W8957" s="42">
        <v>0</v>
      </c>
      <c r="X8957" s="42">
        <v>0</v>
      </c>
    </row>
    <row r="8958" spans="1:24">
      <c r="A8958" s="27" t="s">
        <v>16354</v>
      </c>
      <c r="B8958" s="28" t="s">
        <v>12240</v>
      </c>
      <c r="C8958" s="27" t="s">
        <v>16355</v>
      </c>
      <c r="D8958" s="27" t="s">
        <v>230</v>
      </c>
      <c r="E8958" s="29">
        <v>43466</v>
      </c>
      <c r="F8958" s="27">
        <v>15</v>
      </c>
      <c r="G8958" s="18">
        <v>0</v>
      </c>
      <c r="H8958" s="27">
        <f t="shared" si="278"/>
        <v>0</v>
      </c>
      <c r="I8958" s="18">
        <v>0</v>
      </c>
      <c r="J8958" s="27">
        <v>216395.58</v>
      </c>
      <c r="K8958" s="18">
        <f t="shared" si="279"/>
        <v>0</v>
      </c>
      <c r="L8958" s="27">
        <v>12562.97</v>
      </c>
      <c r="M8958" s="36">
        <v>12562.97</v>
      </c>
      <c r="N8958" s="18" t="s">
        <v>123</v>
      </c>
      <c r="O8958" s="19">
        <v>216395.58</v>
      </c>
      <c r="T8958" s="41">
        <v>0</v>
      </c>
      <c r="U8958" s="41">
        <v>0</v>
      </c>
      <c r="V8958" s="42" t="s">
        <v>113</v>
      </c>
      <c r="W8958" s="42">
        <v>0</v>
      </c>
      <c r="X8958" s="42">
        <v>0</v>
      </c>
    </row>
    <row r="8959" spans="1:24">
      <c r="A8959" s="27" t="s">
        <v>16356</v>
      </c>
      <c r="B8959" s="28" t="s">
        <v>12240</v>
      </c>
      <c r="C8959" s="27" t="s">
        <v>16357</v>
      </c>
      <c r="D8959" s="27" t="s">
        <v>230</v>
      </c>
      <c r="E8959" s="29">
        <v>43466</v>
      </c>
      <c r="F8959" s="27">
        <v>15</v>
      </c>
      <c r="G8959" s="18">
        <v>0</v>
      </c>
      <c r="H8959" s="27">
        <f t="shared" si="278"/>
        <v>0</v>
      </c>
      <c r="I8959" s="18">
        <v>0</v>
      </c>
      <c r="J8959" s="27">
        <v>216395.58</v>
      </c>
      <c r="K8959" s="18">
        <f t="shared" si="279"/>
        <v>0</v>
      </c>
      <c r="L8959" s="27">
        <v>12562.97</v>
      </c>
      <c r="M8959" s="36">
        <v>12562.97</v>
      </c>
      <c r="N8959" s="18" t="s">
        <v>123</v>
      </c>
      <c r="O8959" s="19">
        <v>216395.58</v>
      </c>
      <c r="T8959" s="41">
        <v>0</v>
      </c>
      <c r="U8959" s="41">
        <v>0</v>
      </c>
      <c r="V8959" s="42" t="s">
        <v>113</v>
      </c>
      <c r="W8959" s="42">
        <v>0</v>
      </c>
      <c r="X8959" s="42">
        <v>0</v>
      </c>
    </row>
    <row r="8960" spans="1:24">
      <c r="A8960" s="27" t="s">
        <v>16358</v>
      </c>
      <c r="B8960" s="28" t="s">
        <v>12240</v>
      </c>
      <c r="C8960" s="27" t="s">
        <v>16359</v>
      </c>
      <c r="D8960" s="27" t="s">
        <v>230</v>
      </c>
      <c r="E8960" s="29">
        <v>43466</v>
      </c>
      <c r="F8960" s="27">
        <v>15</v>
      </c>
      <c r="G8960" s="18">
        <v>0</v>
      </c>
      <c r="H8960" s="27">
        <f t="shared" si="278"/>
        <v>0</v>
      </c>
      <c r="I8960" s="18">
        <v>0</v>
      </c>
      <c r="J8960" s="27">
        <v>131393.76999999999</v>
      </c>
      <c r="K8960" s="18">
        <f t="shared" si="279"/>
        <v>0</v>
      </c>
      <c r="L8960" s="27">
        <v>7628.14</v>
      </c>
      <c r="M8960" s="36">
        <v>7628.14</v>
      </c>
      <c r="N8960" s="18" t="s">
        <v>123</v>
      </c>
      <c r="O8960" s="19">
        <v>131393.76999999999</v>
      </c>
      <c r="T8960" s="41">
        <v>0</v>
      </c>
      <c r="U8960" s="41">
        <v>0</v>
      </c>
      <c r="V8960" s="42" t="s">
        <v>113</v>
      </c>
      <c r="W8960" s="42">
        <v>0</v>
      </c>
      <c r="X8960" s="42">
        <v>0</v>
      </c>
    </row>
    <row r="8961" spans="1:24">
      <c r="A8961" s="27" t="s">
        <v>16360</v>
      </c>
      <c r="B8961" s="28" t="s">
        <v>12240</v>
      </c>
      <c r="C8961" s="27" t="s">
        <v>16361</v>
      </c>
      <c r="D8961" s="27" t="s">
        <v>230</v>
      </c>
      <c r="E8961" s="29">
        <v>43466</v>
      </c>
      <c r="F8961" s="27">
        <v>15</v>
      </c>
      <c r="G8961" s="18">
        <v>0</v>
      </c>
      <c r="H8961" s="27">
        <f t="shared" si="278"/>
        <v>0</v>
      </c>
      <c r="I8961" s="18">
        <v>0</v>
      </c>
      <c r="J8961" s="27">
        <v>131393.76999999999</v>
      </c>
      <c r="K8961" s="18">
        <f t="shared" si="279"/>
        <v>0</v>
      </c>
      <c r="L8961" s="27">
        <v>7628.14</v>
      </c>
      <c r="M8961" s="36">
        <v>7628.14</v>
      </c>
      <c r="N8961" s="18" t="s">
        <v>123</v>
      </c>
      <c r="O8961" s="19">
        <v>131393.76999999999</v>
      </c>
      <c r="T8961" s="41">
        <v>0</v>
      </c>
      <c r="U8961" s="41">
        <v>0</v>
      </c>
      <c r="V8961" s="42" t="s">
        <v>113</v>
      </c>
      <c r="W8961" s="42">
        <v>0</v>
      </c>
      <c r="X8961" s="42">
        <v>0</v>
      </c>
    </row>
    <row r="8962" spans="1:24">
      <c r="A8962" s="27" t="s">
        <v>16362</v>
      </c>
      <c r="B8962" s="28" t="s">
        <v>12240</v>
      </c>
      <c r="C8962" s="27" t="s">
        <v>16363</v>
      </c>
      <c r="D8962" s="27" t="s">
        <v>230</v>
      </c>
      <c r="E8962" s="29">
        <v>43466</v>
      </c>
      <c r="F8962" s="27">
        <v>15</v>
      </c>
      <c r="G8962" s="18">
        <v>0</v>
      </c>
      <c r="H8962" s="27">
        <f t="shared" si="278"/>
        <v>0</v>
      </c>
      <c r="I8962" s="18">
        <v>0</v>
      </c>
      <c r="J8962" s="27">
        <v>131393.78</v>
      </c>
      <c r="K8962" s="18">
        <f t="shared" si="279"/>
        <v>0</v>
      </c>
      <c r="L8962" s="27">
        <v>7628.14</v>
      </c>
      <c r="M8962" s="36">
        <v>7628.14</v>
      </c>
      <c r="N8962" s="18" t="s">
        <v>123</v>
      </c>
      <c r="O8962" s="19">
        <v>131393.78</v>
      </c>
      <c r="T8962" s="41">
        <v>0</v>
      </c>
      <c r="U8962" s="41">
        <v>0</v>
      </c>
      <c r="V8962" s="42" t="s">
        <v>113</v>
      </c>
      <c r="W8962" s="42">
        <v>0</v>
      </c>
      <c r="X8962" s="42">
        <v>0</v>
      </c>
    </row>
    <row r="8963" spans="1:24">
      <c r="A8963" s="27" t="s">
        <v>16364</v>
      </c>
      <c r="B8963" s="28" t="s">
        <v>12240</v>
      </c>
      <c r="C8963" s="27" t="s">
        <v>16365</v>
      </c>
      <c r="D8963" s="27" t="s">
        <v>230</v>
      </c>
      <c r="E8963" s="29">
        <v>43466</v>
      </c>
      <c r="F8963" s="27">
        <v>15</v>
      </c>
      <c r="G8963" s="18">
        <v>0</v>
      </c>
      <c r="H8963" s="27">
        <f t="shared" si="278"/>
        <v>0</v>
      </c>
      <c r="I8963" s="18">
        <v>0</v>
      </c>
      <c r="J8963" s="27">
        <v>131393.78</v>
      </c>
      <c r="K8963" s="18">
        <f t="shared" si="279"/>
        <v>0</v>
      </c>
      <c r="L8963" s="27">
        <v>7628.14</v>
      </c>
      <c r="M8963" s="36">
        <v>7628.14</v>
      </c>
      <c r="N8963" s="18" t="s">
        <v>123</v>
      </c>
      <c r="O8963" s="19">
        <v>131393.78</v>
      </c>
      <c r="T8963" s="41">
        <v>0</v>
      </c>
      <c r="U8963" s="41">
        <v>0</v>
      </c>
      <c r="V8963" s="42" t="s">
        <v>113</v>
      </c>
      <c r="W8963" s="42">
        <v>0</v>
      </c>
      <c r="X8963" s="42">
        <v>0</v>
      </c>
    </row>
    <row r="8964" spans="1:24">
      <c r="A8964" s="27" t="s">
        <v>16366</v>
      </c>
      <c r="B8964" s="28" t="s">
        <v>12240</v>
      </c>
      <c r="C8964" s="27" t="s">
        <v>16367</v>
      </c>
      <c r="D8964" s="27" t="s">
        <v>230</v>
      </c>
      <c r="E8964" s="29">
        <v>43466</v>
      </c>
      <c r="F8964" s="27">
        <v>15</v>
      </c>
      <c r="G8964" s="18">
        <v>0</v>
      </c>
      <c r="H8964" s="27">
        <f t="shared" si="278"/>
        <v>0</v>
      </c>
      <c r="I8964" s="18">
        <v>0</v>
      </c>
      <c r="J8964" s="27">
        <v>131393.79</v>
      </c>
      <c r="K8964" s="18">
        <f t="shared" si="279"/>
        <v>0</v>
      </c>
      <c r="L8964" s="27">
        <v>7628.14</v>
      </c>
      <c r="M8964" s="36">
        <v>7628.14</v>
      </c>
      <c r="N8964" s="18" t="s">
        <v>123</v>
      </c>
      <c r="O8964" s="19">
        <v>131393.79</v>
      </c>
      <c r="T8964" s="41">
        <v>0</v>
      </c>
      <c r="U8964" s="41">
        <v>0</v>
      </c>
      <c r="V8964" s="42" t="s">
        <v>113</v>
      </c>
      <c r="W8964" s="42">
        <v>0</v>
      </c>
      <c r="X8964" s="42">
        <v>0</v>
      </c>
    </row>
    <row r="8965" spans="1:24">
      <c r="A8965" s="27" t="s">
        <v>16368</v>
      </c>
      <c r="B8965" s="28" t="s">
        <v>12240</v>
      </c>
      <c r="C8965" s="27" t="s">
        <v>16369</v>
      </c>
      <c r="D8965" s="27" t="s">
        <v>230</v>
      </c>
      <c r="E8965" s="29">
        <v>43466</v>
      </c>
      <c r="F8965" s="27">
        <v>15</v>
      </c>
      <c r="G8965" s="18">
        <v>0</v>
      </c>
      <c r="H8965" s="27">
        <f t="shared" si="278"/>
        <v>0</v>
      </c>
      <c r="I8965" s="18">
        <v>0</v>
      </c>
      <c r="J8965" s="27">
        <v>131393.79</v>
      </c>
      <c r="K8965" s="18">
        <f t="shared" si="279"/>
        <v>0</v>
      </c>
      <c r="L8965" s="27">
        <v>7628.14</v>
      </c>
      <c r="M8965" s="36">
        <v>7628.14</v>
      </c>
      <c r="N8965" s="18" t="s">
        <v>123</v>
      </c>
      <c r="O8965" s="19">
        <v>131393.79</v>
      </c>
      <c r="T8965" s="41">
        <v>0</v>
      </c>
      <c r="U8965" s="41">
        <v>0</v>
      </c>
      <c r="V8965" s="42" t="s">
        <v>113</v>
      </c>
      <c r="W8965" s="42">
        <v>0</v>
      </c>
      <c r="X8965" s="42">
        <v>0</v>
      </c>
    </row>
    <row r="8966" spans="1:24">
      <c r="A8966" s="27" t="s">
        <v>16370</v>
      </c>
      <c r="B8966" s="28" t="s">
        <v>12240</v>
      </c>
      <c r="C8966" s="27" t="s">
        <v>16371</v>
      </c>
      <c r="D8966" s="27" t="s">
        <v>230</v>
      </c>
      <c r="E8966" s="29">
        <v>43466</v>
      </c>
      <c r="F8966" s="27">
        <v>15</v>
      </c>
      <c r="G8966" s="18">
        <v>0</v>
      </c>
      <c r="H8966" s="27">
        <f t="shared" ref="H8966:H9029" si="280">IFERROR(IF(ROUND((G8966-I8966)/G8966,2)&lt;=0.05,G8966,0),0)</f>
        <v>0</v>
      </c>
      <c r="I8966" s="18">
        <v>0</v>
      </c>
      <c r="J8966" s="27">
        <v>131393.79</v>
      </c>
      <c r="K8966" s="18">
        <f t="shared" ref="K8966:K9029" si="281">IFERROR(IF(ROUND((J8966-L8966)/J8966,2)&lt;=0.05,J8966,0),0)</f>
        <v>0</v>
      </c>
      <c r="L8966" s="27">
        <v>7628.14</v>
      </c>
      <c r="M8966" s="36">
        <v>7628.14</v>
      </c>
      <c r="N8966" s="18" t="s">
        <v>123</v>
      </c>
      <c r="O8966" s="19">
        <v>131393.79</v>
      </c>
      <c r="T8966" s="41">
        <v>0</v>
      </c>
      <c r="U8966" s="41">
        <v>0</v>
      </c>
      <c r="V8966" s="42" t="s">
        <v>113</v>
      </c>
      <c r="W8966" s="42">
        <v>0</v>
      </c>
      <c r="X8966" s="42">
        <v>0</v>
      </c>
    </row>
    <row r="8967" spans="1:24">
      <c r="A8967" s="27" t="s">
        <v>16372</v>
      </c>
      <c r="B8967" s="28" t="s">
        <v>12240</v>
      </c>
      <c r="C8967" s="27" t="s">
        <v>16373</v>
      </c>
      <c r="D8967" s="27" t="s">
        <v>230</v>
      </c>
      <c r="E8967" s="29">
        <v>43466</v>
      </c>
      <c r="F8967" s="27">
        <v>15</v>
      </c>
      <c r="G8967" s="18">
        <v>0</v>
      </c>
      <c r="H8967" s="27">
        <f t="shared" si="280"/>
        <v>0</v>
      </c>
      <c r="I8967" s="18">
        <v>0</v>
      </c>
      <c r="J8967" s="27">
        <v>131393.79</v>
      </c>
      <c r="K8967" s="18">
        <f t="shared" si="281"/>
        <v>0</v>
      </c>
      <c r="L8967" s="27">
        <v>7628.14</v>
      </c>
      <c r="M8967" s="36">
        <v>7628.14</v>
      </c>
      <c r="N8967" s="18" t="s">
        <v>123</v>
      </c>
      <c r="O8967" s="19">
        <v>131393.79</v>
      </c>
      <c r="T8967" s="41">
        <v>0</v>
      </c>
      <c r="U8967" s="41">
        <v>0</v>
      </c>
      <c r="V8967" s="42" t="s">
        <v>113</v>
      </c>
      <c r="W8967" s="42">
        <v>0</v>
      </c>
      <c r="X8967" s="42">
        <v>0</v>
      </c>
    </row>
    <row r="8968" spans="1:24">
      <c r="A8968" s="27" t="s">
        <v>16374</v>
      </c>
      <c r="B8968" s="28" t="s">
        <v>12240</v>
      </c>
      <c r="C8968" s="27" t="s">
        <v>16375</v>
      </c>
      <c r="D8968" s="27" t="s">
        <v>230</v>
      </c>
      <c r="E8968" s="29">
        <v>43466</v>
      </c>
      <c r="F8968" s="27">
        <v>15</v>
      </c>
      <c r="G8968" s="18">
        <v>0</v>
      </c>
      <c r="H8968" s="27">
        <f t="shared" si="280"/>
        <v>0</v>
      </c>
      <c r="I8968" s="18">
        <v>0</v>
      </c>
      <c r="J8968" s="27">
        <v>216395.58</v>
      </c>
      <c r="K8968" s="18">
        <f t="shared" si="281"/>
        <v>0</v>
      </c>
      <c r="L8968" s="27">
        <v>12562.97</v>
      </c>
      <c r="M8968" s="36">
        <v>12562.97</v>
      </c>
      <c r="N8968" s="18" t="s">
        <v>123</v>
      </c>
      <c r="O8968" s="19">
        <v>216395.58</v>
      </c>
      <c r="T8968" s="41">
        <v>0</v>
      </c>
      <c r="U8968" s="41">
        <v>0</v>
      </c>
      <c r="V8968" s="42" t="s">
        <v>113</v>
      </c>
      <c r="W8968" s="42">
        <v>0</v>
      </c>
      <c r="X8968" s="42">
        <v>0</v>
      </c>
    </row>
    <row r="8969" spans="1:24">
      <c r="A8969" s="27" t="s">
        <v>16376</v>
      </c>
      <c r="B8969" s="28" t="s">
        <v>12240</v>
      </c>
      <c r="C8969" s="27" t="s">
        <v>16377</v>
      </c>
      <c r="D8969" s="27" t="s">
        <v>230</v>
      </c>
      <c r="E8969" s="29">
        <v>43466</v>
      </c>
      <c r="F8969" s="27">
        <v>15</v>
      </c>
      <c r="G8969" s="18">
        <v>0</v>
      </c>
      <c r="H8969" s="27">
        <f t="shared" si="280"/>
        <v>0</v>
      </c>
      <c r="I8969" s="18">
        <v>0</v>
      </c>
      <c r="J8969" s="27">
        <v>216395.59</v>
      </c>
      <c r="K8969" s="18">
        <f t="shared" si="281"/>
        <v>0</v>
      </c>
      <c r="L8969" s="27">
        <v>12562.97</v>
      </c>
      <c r="M8969" s="36">
        <v>12562.97</v>
      </c>
      <c r="N8969" s="18" t="s">
        <v>123</v>
      </c>
      <c r="O8969" s="19">
        <v>216395.59</v>
      </c>
      <c r="T8969" s="41">
        <v>0</v>
      </c>
      <c r="U8969" s="41">
        <v>0</v>
      </c>
      <c r="V8969" s="42" t="s">
        <v>113</v>
      </c>
      <c r="W8969" s="42">
        <v>0</v>
      </c>
      <c r="X8969" s="42">
        <v>0</v>
      </c>
    </row>
    <row r="8970" spans="1:24">
      <c r="A8970" s="27" t="s">
        <v>16378</v>
      </c>
      <c r="B8970" s="28" t="s">
        <v>12240</v>
      </c>
      <c r="C8970" s="27" t="s">
        <v>16379</v>
      </c>
      <c r="D8970" s="27" t="s">
        <v>230</v>
      </c>
      <c r="E8970" s="29">
        <v>40908</v>
      </c>
      <c r="F8970" s="27">
        <v>15</v>
      </c>
      <c r="G8970" s="18">
        <v>27503.82</v>
      </c>
      <c r="H8970" s="27">
        <f t="shared" si="280"/>
        <v>0</v>
      </c>
      <c r="I8970" s="18">
        <v>15015.78</v>
      </c>
      <c r="J8970" s="27">
        <v>27503.82</v>
      </c>
      <c r="K8970" s="18">
        <f t="shared" si="281"/>
        <v>0</v>
      </c>
      <c r="L8970" s="27">
        <v>16404.89</v>
      </c>
      <c r="M8970" s="36">
        <v>1389.11</v>
      </c>
      <c r="T8970" s="41">
        <v>0</v>
      </c>
      <c r="U8970" s="41">
        <v>0</v>
      </c>
      <c r="V8970" s="42" t="s">
        <v>113</v>
      </c>
      <c r="W8970" s="42">
        <v>0</v>
      </c>
      <c r="X8970" s="42">
        <v>0</v>
      </c>
    </row>
    <row r="8971" spans="1:24">
      <c r="A8971" s="27" t="s">
        <v>16380</v>
      </c>
      <c r="B8971" s="28" t="s">
        <v>12240</v>
      </c>
      <c r="C8971" s="27" t="s">
        <v>16381</v>
      </c>
      <c r="D8971" s="27" t="s">
        <v>230</v>
      </c>
      <c r="E8971" s="29">
        <v>43668</v>
      </c>
      <c r="F8971" s="27">
        <v>15</v>
      </c>
      <c r="G8971" s="18">
        <v>0</v>
      </c>
      <c r="H8971" s="27">
        <f t="shared" si="280"/>
        <v>0</v>
      </c>
      <c r="I8971" s="18">
        <v>0</v>
      </c>
      <c r="J8971" s="27">
        <v>53601.16</v>
      </c>
      <c r="K8971" s="18">
        <f t="shared" si="281"/>
        <v>0</v>
      </c>
      <c r="L8971" s="27">
        <v>1414.48</v>
      </c>
      <c r="M8971" s="36">
        <v>1414.48</v>
      </c>
      <c r="N8971" s="18" t="s">
        <v>123</v>
      </c>
      <c r="O8971" s="19">
        <v>53601.16</v>
      </c>
      <c r="T8971" s="41">
        <v>0</v>
      </c>
      <c r="U8971" s="41">
        <v>0</v>
      </c>
      <c r="V8971" s="42" t="s">
        <v>113</v>
      </c>
      <c r="W8971" s="42">
        <v>0</v>
      </c>
      <c r="X8971" s="42">
        <v>0</v>
      </c>
    </row>
    <row r="8972" spans="1:24">
      <c r="A8972" s="27" t="s">
        <v>16382</v>
      </c>
      <c r="B8972" s="28" t="s">
        <v>12240</v>
      </c>
      <c r="C8972" s="27" t="s">
        <v>16383</v>
      </c>
      <c r="D8972" s="27" t="s">
        <v>230</v>
      </c>
      <c r="E8972" s="29">
        <v>40908</v>
      </c>
      <c r="F8972" s="27">
        <v>15</v>
      </c>
      <c r="G8972" s="18">
        <v>27503.82</v>
      </c>
      <c r="H8972" s="27">
        <f t="shared" si="280"/>
        <v>0</v>
      </c>
      <c r="I8972" s="18">
        <v>15015.77</v>
      </c>
      <c r="J8972" s="27">
        <v>27503.82</v>
      </c>
      <c r="K8972" s="18">
        <f t="shared" si="281"/>
        <v>0</v>
      </c>
      <c r="L8972" s="27">
        <v>16404.88</v>
      </c>
      <c r="M8972" s="36">
        <v>1389.11</v>
      </c>
      <c r="T8972" s="41">
        <v>0</v>
      </c>
      <c r="U8972" s="41">
        <v>0</v>
      </c>
      <c r="V8972" s="42" t="s">
        <v>113</v>
      </c>
      <c r="W8972" s="42">
        <v>0</v>
      </c>
      <c r="X8972" s="42">
        <v>0</v>
      </c>
    </row>
    <row r="8973" spans="1:24">
      <c r="A8973" s="27" t="s">
        <v>16384</v>
      </c>
      <c r="B8973" s="28" t="s">
        <v>12240</v>
      </c>
      <c r="C8973" s="27" t="s">
        <v>16385</v>
      </c>
      <c r="D8973" s="27" t="s">
        <v>230</v>
      </c>
      <c r="E8973" s="29">
        <v>43466</v>
      </c>
      <c r="F8973" s="27">
        <v>15</v>
      </c>
      <c r="G8973" s="18">
        <v>0</v>
      </c>
      <c r="H8973" s="27">
        <f t="shared" si="280"/>
        <v>0</v>
      </c>
      <c r="I8973" s="18">
        <v>0</v>
      </c>
      <c r="J8973" s="27">
        <v>131393.79</v>
      </c>
      <c r="K8973" s="18">
        <f t="shared" si="281"/>
        <v>0</v>
      </c>
      <c r="L8973" s="27">
        <v>7628.14</v>
      </c>
      <c r="M8973" s="36">
        <v>7628.14</v>
      </c>
      <c r="N8973" s="18" t="s">
        <v>123</v>
      </c>
      <c r="O8973" s="19">
        <v>131393.79</v>
      </c>
      <c r="T8973" s="41">
        <v>0</v>
      </c>
      <c r="U8973" s="41">
        <v>0</v>
      </c>
      <c r="V8973" s="42" t="s">
        <v>113</v>
      </c>
      <c r="W8973" s="42">
        <v>0</v>
      </c>
      <c r="X8973" s="42">
        <v>0</v>
      </c>
    </row>
    <row r="8974" spans="1:24">
      <c r="A8974" s="27" t="s">
        <v>16386</v>
      </c>
      <c r="B8974" s="28" t="s">
        <v>12240</v>
      </c>
      <c r="C8974" s="27" t="s">
        <v>16387</v>
      </c>
      <c r="D8974" s="27" t="s">
        <v>230</v>
      </c>
      <c r="E8974" s="29">
        <v>43802</v>
      </c>
      <c r="F8974" s="27">
        <v>15</v>
      </c>
      <c r="G8974" s="18">
        <v>0</v>
      </c>
      <c r="H8974" s="27">
        <f t="shared" si="280"/>
        <v>0</v>
      </c>
      <c r="I8974" s="18">
        <v>0</v>
      </c>
      <c r="J8974" s="27">
        <v>21196.58</v>
      </c>
      <c r="K8974" s="18">
        <f t="shared" si="281"/>
        <v>0</v>
      </c>
      <c r="L8974" s="27">
        <v>0</v>
      </c>
      <c r="M8974" s="36">
        <v>0</v>
      </c>
      <c r="N8974" s="18" t="s">
        <v>14637</v>
      </c>
      <c r="O8974" s="19">
        <v>21196.58</v>
      </c>
      <c r="T8974" s="41">
        <v>0</v>
      </c>
      <c r="U8974" s="41">
        <v>0</v>
      </c>
      <c r="V8974" s="42" t="s">
        <v>113</v>
      </c>
      <c r="W8974" s="42">
        <v>0</v>
      </c>
      <c r="X8974" s="42">
        <v>0</v>
      </c>
    </row>
    <row r="8975" spans="1:24">
      <c r="A8975" s="27" t="s">
        <v>16388</v>
      </c>
      <c r="B8975" s="28" t="s">
        <v>12240</v>
      </c>
      <c r="C8975" s="27" t="s">
        <v>16389</v>
      </c>
      <c r="D8975" s="27" t="s">
        <v>230</v>
      </c>
      <c r="E8975" s="29">
        <v>42510</v>
      </c>
      <c r="F8975" s="27">
        <v>15</v>
      </c>
      <c r="G8975" s="18">
        <v>51397.2</v>
      </c>
      <c r="H8975" s="27">
        <f t="shared" si="280"/>
        <v>0</v>
      </c>
      <c r="I8975" s="18">
        <v>9600.42</v>
      </c>
      <c r="J8975" s="27">
        <v>51397.2</v>
      </c>
      <c r="K8975" s="18">
        <f t="shared" si="281"/>
        <v>0</v>
      </c>
      <c r="L8975" s="27">
        <v>12759.64</v>
      </c>
      <c r="M8975" s="36">
        <v>3159.22</v>
      </c>
      <c r="T8975" s="41">
        <v>0</v>
      </c>
      <c r="U8975" s="41">
        <v>0</v>
      </c>
      <c r="V8975" s="42" t="s">
        <v>113</v>
      </c>
      <c r="W8975" s="42">
        <v>0</v>
      </c>
      <c r="X8975" s="42">
        <v>0</v>
      </c>
    </row>
    <row r="8976" spans="1:24">
      <c r="A8976" s="27" t="s">
        <v>16390</v>
      </c>
      <c r="B8976" s="28" t="s">
        <v>12240</v>
      </c>
      <c r="C8976" s="27" t="s">
        <v>16391</v>
      </c>
      <c r="D8976" s="27" t="s">
        <v>230</v>
      </c>
      <c r="E8976" s="29">
        <v>33756</v>
      </c>
      <c r="F8976" s="27">
        <v>15</v>
      </c>
      <c r="G8976" s="18">
        <v>6082.4</v>
      </c>
      <c r="H8976" s="27">
        <f t="shared" si="280"/>
        <v>6082.4</v>
      </c>
      <c r="I8976" s="18">
        <v>5778.28</v>
      </c>
      <c r="J8976" s="27">
        <v>6082.4</v>
      </c>
      <c r="K8976" s="18">
        <f t="shared" si="281"/>
        <v>6082.4</v>
      </c>
      <c r="L8976" s="27">
        <v>5778.28</v>
      </c>
      <c r="M8976" s="36">
        <v>0</v>
      </c>
      <c r="T8976" s="41">
        <v>0</v>
      </c>
      <c r="U8976" s="41">
        <v>0</v>
      </c>
      <c r="V8976" s="42" t="s">
        <v>113</v>
      </c>
      <c r="W8976" s="42">
        <v>6082.4</v>
      </c>
      <c r="X8976" s="42">
        <v>6082.4</v>
      </c>
    </row>
    <row r="8977" spans="1:24">
      <c r="A8977" s="27" t="s">
        <v>16392</v>
      </c>
      <c r="B8977" s="28" t="s">
        <v>12240</v>
      </c>
      <c r="C8977" s="27" t="s">
        <v>16393</v>
      </c>
      <c r="D8977" s="27" t="s">
        <v>230</v>
      </c>
      <c r="E8977" s="29">
        <v>42510</v>
      </c>
      <c r="F8977" s="27">
        <v>15</v>
      </c>
      <c r="G8977" s="18">
        <v>39365.71</v>
      </c>
      <c r="H8977" s="27">
        <f t="shared" si="280"/>
        <v>0</v>
      </c>
      <c r="I8977" s="18">
        <v>7353.08</v>
      </c>
      <c r="J8977" s="27">
        <v>39365.71</v>
      </c>
      <c r="K8977" s="18">
        <f t="shared" si="281"/>
        <v>0</v>
      </c>
      <c r="L8977" s="27">
        <v>9772.76</v>
      </c>
      <c r="M8977" s="36">
        <v>2419.6799999999998</v>
      </c>
      <c r="T8977" s="41">
        <v>0</v>
      </c>
      <c r="U8977" s="41">
        <v>0</v>
      </c>
      <c r="V8977" s="42" t="s">
        <v>113</v>
      </c>
      <c r="W8977" s="42">
        <v>0</v>
      </c>
      <c r="X8977" s="42">
        <v>0</v>
      </c>
    </row>
    <row r="8978" spans="1:24">
      <c r="A8978" s="27" t="s">
        <v>16394</v>
      </c>
      <c r="B8978" s="28" t="s">
        <v>12240</v>
      </c>
      <c r="C8978" s="27" t="s">
        <v>16395</v>
      </c>
      <c r="D8978" s="27" t="s">
        <v>230</v>
      </c>
      <c r="E8978" s="29">
        <v>40843</v>
      </c>
      <c r="F8978" s="27">
        <v>15</v>
      </c>
      <c r="G8978" s="18">
        <v>53399.38</v>
      </c>
      <c r="H8978" s="27">
        <f t="shared" si="280"/>
        <v>0</v>
      </c>
      <c r="I8978" s="18">
        <v>10066.01</v>
      </c>
      <c r="J8978" s="27">
        <v>53399.38</v>
      </c>
      <c r="K8978" s="18">
        <f t="shared" si="281"/>
        <v>0</v>
      </c>
      <c r="L8978" s="27">
        <v>15257.08</v>
      </c>
      <c r="M8978" s="36">
        <v>5191.07</v>
      </c>
      <c r="T8978" s="41">
        <v>0</v>
      </c>
      <c r="U8978" s="41">
        <v>0</v>
      </c>
      <c r="V8978" s="42" t="s">
        <v>113</v>
      </c>
      <c r="W8978" s="42">
        <v>0</v>
      </c>
      <c r="X8978" s="42">
        <v>0</v>
      </c>
    </row>
    <row r="8979" spans="1:24">
      <c r="A8979" s="27" t="s">
        <v>16396</v>
      </c>
      <c r="B8979" s="28" t="s">
        <v>12240</v>
      </c>
      <c r="C8979" s="27" t="s">
        <v>16397</v>
      </c>
      <c r="D8979" s="27" t="s">
        <v>230</v>
      </c>
      <c r="E8979" s="29">
        <v>40843</v>
      </c>
      <c r="F8979" s="27">
        <v>15</v>
      </c>
      <c r="G8979" s="18">
        <v>9300</v>
      </c>
      <c r="H8979" s="27">
        <f t="shared" si="280"/>
        <v>0</v>
      </c>
      <c r="I8979" s="18">
        <v>6408.47</v>
      </c>
      <c r="J8979" s="27">
        <v>9300</v>
      </c>
      <c r="K8979" s="18">
        <f t="shared" si="281"/>
        <v>0</v>
      </c>
      <c r="L8979" s="27">
        <v>6718.24</v>
      </c>
      <c r="M8979" s="36">
        <v>309.77</v>
      </c>
      <c r="T8979" s="41">
        <v>0</v>
      </c>
      <c r="U8979" s="41">
        <v>0</v>
      </c>
      <c r="V8979" s="42" t="s">
        <v>113</v>
      </c>
      <c r="W8979" s="42">
        <v>0</v>
      </c>
      <c r="X8979" s="42">
        <v>0</v>
      </c>
    </row>
    <row r="8980" spans="1:24">
      <c r="A8980" s="27" t="s">
        <v>16398</v>
      </c>
      <c r="B8980" s="28" t="s">
        <v>12240</v>
      </c>
      <c r="C8980" s="27" t="s">
        <v>16399</v>
      </c>
      <c r="D8980" s="27" t="s">
        <v>230</v>
      </c>
      <c r="E8980" s="29">
        <v>43466</v>
      </c>
      <c r="F8980" s="27">
        <v>15</v>
      </c>
      <c r="G8980" s="18">
        <v>0</v>
      </c>
      <c r="H8980" s="27">
        <f t="shared" si="280"/>
        <v>0</v>
      </c>
      <c r="I8980" s="18">
        <v>0</v>
      </c>
      <c r="J8980" s="27">
        <v>131393.79</v>
      </c>
      <c r="K8980" s="18">
        <f t="shared" si="281"/>
        <v>0</v>
      </c>
      <c r="L8980" s="27">
        <v>7628.14</v>
      </c>
      <c r="M8980" s="36">
        <v>7628.14</v>
      </c>
      <c r="N8980" s="18" t="s">
        <v>123</v>
      </c>
      <c r="O8980" s="19">
        <v>131393.79</v>
      </c>
      <c r="T8980" s="41">
        <v>0</v>
      </c>
      <c r="U8980" s="41">
        <v>0</v>
      </c>
      <c r="V8980" s="42" t="s">
        <v>113</v>
      </c>
      <c r="W8980" s="42">
        <v>0</v>
      </c>
      <c r="X8980" s="42">
        <v>0</v>
      </c>
    </row>
    <row r="8981" spans="1:24">
      <c r="A8981" s="27" t="s">
        <v>16400</v>
      </c>
      <c r="B8981" s="28" t="s">
        <v>12240</v>
      </c>
      <c r="C8981" s="27" t="s">
        <v>16401</v>
      </c>
      <c r="D8981" s="27" t="s">
        <v>230</v>
      </c>
      <c r="E8981" s="29">
        <v>43466</v>
      </c>
      <c r="F8981" s="27">
        <v>15</v>
      </c>
      <c r="G8981" s="18">
        <v>0</v>
      </c>
      <c r="H8981" s="27">
        <f t="shared" si="280"/>
        <v>0</v>
      </c>
      <c r="I8981" s="18">
        <v>0</v>
      </c>
      <c r="J8981" s="27">
        <v>131393.79</v>
      </c>
      <c r="K8981" s="18">
        <f t="shared" si="281"/>
        <v>0</v>
      </c>
      <c r="L8981" s="27">
        <v>7628.14</v>
      </c>
      <c r="M8981" s="36">
        <v>7628.14</v>
      </c>
      <c r="N8981" s="18" t="s">
        <v>123</v>
      </c>
      <c r="O8981" s="19">
        <v>131393.79</v>
      </c>
      <c r="T8981" s="41">
        <v>0</v>
      </c>
      <c r="U8981" s="41">
        <v>0</v>
      </c>
      <c r="V8981" s="42" t="s">
        <v>113</v>
      </c>
      <c r="W8981" s="42">
        <v>0</v>
      </c>
      <c r="X8981" s="42">
        <v>0</v>
      </c>
    </row>
    <row r="8982" spans="1:24">
      <c r="A8982" s="27" t="s">
        <v>16402</v>
      </c>
      <c r="B8982" s="28" t="s">
        <v>12240</v>
      </c>
      <c r="C8982" s="27" t="s">
        <v>16403</v>
      </c>
      <c r="D8982" s="27" t="s">
        <v>230</v>
      </c>
      <c r="E8982" s="29">
        <v>43466</v>
      </c>
      <c r="F8982" s="27">
        <v>15</v>
      </c>
      <c r="G8982" s="18">
        <v>0</v>
      </c>
      <c r="H8982" s="27">
        <f t="shared" si="280"/>
        <v>0</v>
      </c>
      <c r="I8982" s="18">
        <v>0</v>
      </c>
      <c r="J8982" s="27">
        <v>131393.79</v>
      </c>
      <c r="K8982" s="18">
        <f t="shared" si="281"/>
        <v>0</v>
      </c>
      <c r="L8982" s="27">
        <v>7628.14</v>
      </c>
      <c r="M8982" s="36">
        <v>7628.14</v>
      </c>
      <c r="N8982" s="18" t="s">
        <v>123</v>
      </c>
      <c r="O8982" s="19">
        <v>131393.79</v>
      </c>
      <c r="T8982" s="41">
        <v>0</v>
      </c>
      <c r="U8982" s="41">
        <v>0</v>
      </c>
      <c r="V8982" s="42" t="s">
        <v>113</v>
      </c>
      <c r="W8982" s="42">
        <v>0</v>
      </c>
      <c r="X8982" s="42">
        <v>0</v>
      </c>
    </row>
    <row r="8983" spans="1:24">
      <c r="A8983" s="27" t="s">
        <v>16404</v>
      </c>
      <c r="B8983" s="28" t="s">
        <v>12240</v>
      </c>
      <c r="C8983" s="27" t="s">
        <v>16405</v>
      </c>
      <c r="D8983" s="27" t="s">
        <v>230</v>
      </c>
      <c r="E8983" s="29">
        <v>40297</v>
      </c>
      <c r="F8983" s="27">
        <v>15</v>
      </c>
      <c r="G8983" s="18">
        <v>43347.57</v>
      </c>
      <c r="H8983" s="27">
        <f t="shared" si="280"/>
        <v>0</v>
      </c>
      <c r="I8983" s="18">
        <v>30145.05</v>
      </c>
      <c r="J8983" s="27">
        <v>43347.57</v>
      </c>
      <c r="K8983" s="18">
        <f t="shared" si="281"/>
        <v>0</v>
      </c>
      <c r="L8983" s="27">
        <v>32010.14</v>
      </c>
      <c r="M8983" s="36">
        <v>1865.09</v>
      </c>
      <c r="T8983" s="41">
        <v>0</v>
      </c>
      <c r="U8983" s="41">
        <v>0</v>
      </c>
      <c r="V8983" s="42" t="s">
        <v>113</v>
      </c>
      <c r="W8983" s="42">
        <v>0</v>
      </c>
      <c r="X8983" s="42">
        <v>0</v>
      </c>
    </row>
    <row r="8984" spans="1:24">
      <c r="A8984" s="27" t="s">
        <v>16406</v>
      </c>
      <c r="B8984" s="28" t="s">
        <v>12240</v>
      </c>
      <c r="C8984" s="27" t="s">
        <v>16407</v>
      </c>
      <c r="D8984" s="27" t="s">
        <v>230</v>
      </c>
      <c r="E8984" s="29">
        <v>43189</v>
      </c>
      <c r="F8984" s="27">
        <v>15</v>
      </c>
      <c r="G8984" s="18">
        <v>44420.37</v>
      </c>
      <c r="H8984" s="27">
        <f t="shared" si="280"/>
        <v>0</v>
      </c>
      <c r="I8984" s="18">
        <v>2108.16</v>
      </c>
      <c r="J8984" s="27">
        <v>44420.37</v>
      </c>
      <c r="K8984" s="18">
        <f t="shared" si="281"/>
        <v>0</v>
      </c>
      <c r="L8984" s="27">
        <v>4921.58</v>
      </c>
      <c r="M8984" s="36">
        <v>2813.42</v>
      </c>
      <c r="T8984" s="41">
        <v>0</v>
      </c>
      <c r="U8984" s="41">
        <v>0</v>
      </c>
      <c r="V8984" s="42" t="s">
        <v>113</v>
      </c>
      <c r="W8984" s="42">
        <v>0</v>
      </c>
      <c r="X8984" s="42">
        <v>0</v>
      </c>
    </row>
    <row r="8985" spans="1:24">
      <c r="A8985" s="27" t="s">
        <v>16408</v>
      </c>
      <c r="B8985" s="28" t="s">
        <v>12240</v>
      </c>
      <c r="C8985" s="27" t="s">
        <v>16409</v>
      </c>
      <c r="D8985" s="27" t="s">
        <v>230</v>
      </c>
      <c r="E8985" s="29">
        <v>40843</v>
      </c>
      <c r="F8985" s="27">
        <v>15</v>
      </c>
      <c r="G8985" s="18">
        <v>9300</v>
      </c>
      <c r="H8985" s="27">
        <f t="shared" si="280"/>
        <v>0</v>
      </c>
      <c r="I8985" s="18">
        <v>6408.45</v>
      </c>
      <c r="J8985" s="27">
        <v>9300</v>
      </c>
      <c r="K8985" s="18">
        <f t="shared" si="281"/>
        <v>0</v>
      </c>
      <c r="L8985" s="27">
        <v>6718.22</v>
      </c>
      <c r="M8985" s="36">
        <v>309.77</v>
      </c>
      <c r="T8985" s="41">
        <v>0</v>
      </c>
      <c r="U8985" s="41">
        <v>0</v>
      </c>
      <c r="V8985" s="42" t="s">
        <v>113</v>
      </c>
      <c r="W8985" s="42">
        <v>0</v>
      </c>
      <c r="X8985" s="42">
        <v>0</v>
      </c>
    </row>
    <row r="8986" spans="1:24">
      <c r="A8986" s="27" t="s">
        <v>16410</v>
      </c>
      <c r="B8986" s="28" t="s">
        <v>12240</v>
      </c>
      <c r="C8986" s="27" t="s">
        <v>16411</v>
      </c>
      <c r="D8986" s="27" t="s">
        <v>230</v>
      </c>
      <c r="E8986" s="29">
        <v>41785</v>
      </c>
      <c r="F8986" s="27">
        <v>15</v>
      </c>
      <c r="G8986" s="18">
        <v>70464.789999999994</v>
      </c>
      <c r="H8986" s="27">
        <f t="shared" si="280"/>
        <v>0</v>
      </c>
      <c r="I8986" s="18">
        <v>18623.48</v>
      </c>
      <c r="J8986" s="27">
        <v>70464.789999999994</v>
      </c>
      <c r="K8986" s="18">
        <f t="shared" si="281"/>
        <v>0</v>
      </c>
      <c r="L8986" s="27">
        <v>23262.01</v>
      </c>
      <c r="M8986" s="36">
        <v>4638.53</v>
      </c>
      <c r="T8986" s="41">
        <v>0</v>
      </c>
      <c r="U8986" s="41">
        <v>0</v>
      </c>
      <c r="V8986" s="42" t="s">
        <v>113</v>
      </c>
      <c r="W8986" s="42">
        <v>0</v>
      </c>
      <c r="X8986" s="42">
        <v>0</v>
      </c>
    </row>
    <row r="8987" spans="1:24">
      <c r="A8987" s="27" t="s">
        <v>16412</v>
      </c>
      <c r="B8987" s="28" t="s">
        <v>12240</v>
      </c>
      <c r="C8987" s="27" t="s">
        <v>16413</v>
      </c>
      <c r="D8987" s="27" t="s">
        <v>230</v>
      </c>
      <c r="E8987" s="29">
        <v>42510</v>
      </c>
      <c r="F8987" s="27">
        <v>15</v>
      </c>
      <c r="G8987" s="18">
        <v>32212.23</v>
      </c>
      <c r="H8987" s="27">
        <f t="shared" si="280"/>
        <v>0</v>
      </c>
      <c r="I8987" s="18">
        <v>6016.89</v>
      </c>
      <c r="J8987" s="27">
        <v>32212.23</v>
      </c>
      <c r="K8987" s="18">
        <f t="shared" si="281"/>
        <v>0</v>
      </c>
      <c r="L8987" s="27">
        <v>7996.87</v>
      </c>
      <c r="M8987" s="36">
        <v>1979.98</v>
      </c>
      <c r="T8987" s="41">
        <v>0</v>
      </c>
      <c r="U8987" s="41">
        <v>0</v>
      </c>
      <c r="V8987" s="42" t="s">
        <v>113</v>
      </c>
      <c r="W8987" s="42">
        <v>0</v>
      </c>
      <c r="X8987" s="42">
        <v>0</v>
      </c>
    </row>
    <row r="8988" spans="1:24">
      <c r="A8988" s="27" t="s">
        <v>16414</v>
      </c>
      <c r="B8988" s="28" t="s">
        <v>12240</v>
      </c>
      <c r="C8988" s="27" t="s">
        <v>16415</v>
      </c>
      <c r="D8988" s="27" t="s">
        <v>230</v>
      </c>
      <c r="E8988" s="29">
        <v>42510</v>
      </c>
      <c r="F8988" s="27">
        <v>15</v>
      </c>
      <c r="G8988" s="18">
        <v>51275.34</v>
      </c>
      <c r="H8988" s="27">
        <f t="shared" si="280"/>
        <v>0</v>
      </c>
      <c r="I8988" s="18">
        <v>9577.66</v>
      </c>
      <c r="J8988" s="27">
        <v>51275.34</v>
      </c>
      <c r="K8988" s="18">
        <f t="shared" si="281"/>
        <v>0</v>
      </c>
      <c r="L8988" s="27">
        <v>12729.38</v>
      </c>
      <c r="M8988" s="36">
        <v>3151.72</v>
      </c>
      <c r="T8988" s="41">
        <v>0</v>
      </c>
      <c r="U8988" s="41">
        <v>0</v>
      </c>
      <c r="V8988" s="42" t="s">
        <v>113</v>
      </c>
      <c r="W8988" s="42">
        <v>0</v>
      </c>
      <c r="X8988" s="42">
        <v>0</v>
      </c>
    </row>
    <row r="8989" spans="1:24">
      <c r="A8989" s="27" t="s">
        <v>16416</v>
      </c>
      <c r="B8989" s="28" t="s">
        <v>12240</v>
      </c>
      <c r="C8989" s="27" t="s">
        <v>16417</v>
      </c>
      <c r="D8989" s="27" t="s">
        <v>230</v>
      </c>
      <c r="E8989" s="29">
        <v>40843</v>
      </c>
      <c r="F8989" s="27">
        <v>15</v>
      </c>
      <c r="G8989" s="18">
        <v>9300</v>
      </c>
      <c r="H8989" s="27">
        <f t="shared" si="280"/>
        <v>0</v>
      </c>
      <c r="I8989" s="18">
        <v>6408.46</v>
      </c>
      <c r="J8989" s="27">
        <v>9300</v>
      </c>
      <c r="K8989" s="18">
        <f t="shared" si="281"/>
        <v>0</v>
      </c>
      <c r="L8989" s="27">
        <v>6718.23</v>
      </c>
      <c r="M8989" s="36">
        <v>309.77</v>
      </c>
      <c r="T8989" s="41">
        <v>0</v>
      </c>
      <c r="U8989" s="41">
        <v>0</v>
      </c>
      <c r="V8989" s="42" t="s">
        <v>113</v>
      </c>
      <c r="W8989" s="42">
        <v>0</v>
      </c>
      <c r="X8989" s="42">
        <v>0</v>
      </c>
    </row>
    <row r="8990" spans="1:24">
      <c r="A8990" s="27" t="s">
        <v>16418</v>
      </c>
      <c r="B8990" s="28" t="s">
        <v>12240</v>
      </c>
      <c r="C8990" s="27" t="s">
        <v>16419</v>
      </c>
      <c r="D8990" s="27" t="s">
        <v>230</v>
      </c>
      <c r="E8990" s="29">
        <v>43802</v>
      </c>
      <c r="F8990" s="27">
        <v>15</v>
      </c>
      <c r="G8990" s="18">
        <v>0</v>
      </c>
      <c r="H8990" s="27">
        <f t="shared" si="280"/>
        <v>0</v>
      </c>
      <c r="I8990" s="18">
        <v>0</v>
      </c>
      <c r="J8990" s="27">
        <v>32905.99</v>
      </c>
      <c r="K8990" s="18">
        <f t="shared" si="281"/>
        <v>0</v>
      </c>
      <c r="L8990" s="27">
        <v>0</v>
      </c>
      <c r="M8990" s="36">
        <v>0</v>
      </c>
      <c r="N8990" s="18" t="s">
        <v>14637</v>
      </c>
      <c r="O8990" s="19">
        <v>32905.99</v>
      </c>
      <c r="T8990" s="41">
        <v>0</v>
      </c>
      <c r="U8990" s="41">
        <v>0</v>
      </c>
      <c r="V8990" s="42" t="s">
        <v>113</v>
      </c>
      <c r="W8990" s="42">
        <v>0</v>
      </c>
      <c r="X8990" s="42">
        <v>0</v>
      </c>
    </row>
    <row r="8991" spans="1:24">
      <c r="A8991" s="27" t="s">
        <v>16420</v>
      </c>
      <c r="B8991" s="28" t="s">
        <v>12240</v>
      </c>
      <c r="C8991" s="27" t="s">
        <v>16421</v>
      </c>
      <c r="D8991" s="27" t="s">
        <v>230</v>
      </c>
      <c r="E8991" s="29">
        <v>39417</v>
      </c>
      <c r="F8991" s="27">
        <v>15</v>
      </c>
      <c r="G8991" s="18">
        <v>21320</v>
      </c>
      <c r="H8991" s="27">
        <f t="shared" si="280"/>
        <v>0</v>
      </c>
      <c r="I8991" s="18">
        <v>18526.36</v>
      </c>
      <c r="J8991" s="27">
        <v>21320</v>
      </c>
      <c r="K8991" s="18">
        <f t="shared" si="281"/>
        <v>0</v>
      </c>
      <c r="L8991" s="27">
        <v>18958.27</v>
      </c>
      <c r="M8991" s="36">
        <v>431.91</v>
      </c>
      <c r="T8991" s="41">
        <v>0</v>
      </c>
      <c r="U8991" s="41">
        <v>0</v>
      </c>
      <c r="V8991" s="42" t="s">
        <v>113</v>
      </c>
      <c r="W8991" s="42">
        <v>0</v>
      </c>
      <c r="X8991" s="42">
        <v>0</v>
      </c>
    </row>
    <row r="8992" spans="1:24">
      <c r="A8992" s="27" t="s">
        <v>16422</v>
      </c>
      <c r="B8992" s="28" t="s">
        <v>12240</v>
      </c>
      <c r="C8992" s="27" t="s">
        <v>16423</v>
      </c>
      <c r="D8992" s="27" t="s">
        <v>230</v>
      </c>
      <c r="E8992" s="29">
        <v>41254</v>
      </c>
      <c r="F8992" s="27">
        <v>15</v>
      </c>
      <c r="G8992" s="18">
        <v>17292.77</v>
      </c>
      <c r="H8992" s="27">
        <f t="shared" si="280"/>
        <v>0</v>
      </c>
      <c r="I8992" s="18">
        <v>7865.4</v>
      </c>
      <c r="J8992" s="27">
        <v>17292.77</v>
      </c>
      <c r="K8992" s="18">
        <f t="shared" si="281"/>
        <v>0</v>
      </c>
      <c r="L8992" s="27">
        <v>8816.81</v>
      </c>
      <c r="M8992" s="36">
        <v>951.41</v>
      </c>
      <c r="T8992" s="41">
        <v>0</v>
      </c>
      <c r="U8992" s="41">
        <v>0</v>
      </c>
      <c r="V8992" s="42" t="s">
        <v>113</v>
      </c>
      <c r="W8992" s="42">
        <v>0</v>
      </c>
      <c r="X8992" s="42">
        <v>0</v>
      </c>
    </row>
    <row r="8993" spans="1:24">
      <c r="A8993" s="27" t="s">
        <v>16424</v>
      </c>
      <c r="B8993" s="28" t="s">
        <v>12240</v>
      </c>
      <c r="C8993" s="27" t="s">
        <v>16425</v>
      </c>
      <c r="D8993" s="27" t="s">
        <v>230</v>
      </c>
      <c r="E8993" s="29">
        <v>41254</v>
      </c>
      <c r="F8993" s="27">
        <v>15</v>
      </c>
      <c r="G8993" s="18">
        <v>70394.679999999993</v>
      </c>
      <c r="H8993" s="27">
        <f t="shared" si="280"/>
        <v>0</v>
      </c>
      <c r="I8993" s="18">
        <v>14475.68</v>
      </c>
      <c r="J8993" s="27">
        <v>70394.679999999993</v>
      </c>
      <c r="K8993" s="18">
        <f t="shared" si="281"/>
        <v>0</v>
      </c>
      <c r="L8993" s="27">
        <v>20297.82</v>
      </c>
      <c r="M8993" s="36">
        <v>5822.14</v>
      </c>
      <c r="T8993" s="41">
        <v>0</v>
      </c>
      <c r="U8993" s="41">
        <v>0</v>
      </c>
      <c r="V8993" s="42" t="s">
        <v>113</v>
      </c>
      <c r="W8993" s="42">
        <v>0</v>
      </c>
      <c r="X8993" s="42">
        <v>0</v>
      </c>
    </row>
    <row r="8994" spans="1:24">
      <c r="A8994" s="27" t="s">
        <v>16426</v>
      </c>
      <c r="B8994" s="28" t="s">
        <v>12240</v>
      </c>
      <c r="C8994" s="27" t="s">
        <v>16427</v>
      </c>
      <c r="D8994" s="27" t="s">
        <v>230</v>
      </c>
      <c r="E8994" s="29">
        <v>37226</v>
      </c>
      <c r="F8994" s="27">
        <v>15</v>
      </c>
      <c r="G8994" s="18">
        <v>14525.85</v>
      </c>
      <c r="H8994" s="27">
        <f t="shared" si="280"/>
        <v>14525.85</v>
      </c>
      <c r="I8994" s="18">
        <v>13799.56</v>
      </c>
      <c r="J8994" s="27">
        <v>14525.85</v>
      </c>
      <c r="K8994" s="18">
        <f t="shared" si="281"/>
        <v>14525.85</v>
      </c>
      <c r="L8994" s="27">
        <v>13799.56</v>
      </c>
      <c r="M8994" s="36">
        <v>0</v>
      </c>
      <c r="T8994" s="41">
        <v>0</v>
      </c>
      <c r="U8994" s="41">
        <v>0</v>
      </c>
      <c r="V8994" s="42" t="s">
        <v>113</v>
      </c>
      <c r="W8994" s="42">
        <v>14525.85</v>
      </c>
      <c r="X8994" s="42">
        <v>14525.85</v>
      </c>
    </row>
    <row r="8995" spans="1:24">
      <c r="A8995" s="27" t="s">
        <v>16428</v>
      </c>
      <c r="B8995" s="28" t="s">
        <v>12240</v>
      </c>
      <c r="C8995" s="27" t="s">
        <v>16429</v>
      </c>
      <c r="D8995" s="27" t="s">
        <v>230</v>
      </c>
      <c r="E8995" s="29">
        <v>43189</v>
      </c>
      <c r="F8995" s="27">
        <v>15</v>
      </c>
      <c r="G8995" s="18">
        <v>41159.47</v>
      </c>
      <c r="H8995" s="27">
        <f t="shared" si="280"/>
        <v>0</v>
      </c>
      <c r="I8995" s="18">
        <v>1953.16</v>
      </c>
      <c r="J8995" s="27">
        <v>41159.47</v>
      </c>
      <c r="K8995" s="18">
        <f t="shared" si="281"/>
        <v>0</v>
      </c>
      <c r="L8995" s="27">
        <v>4560.0600000000004</v>
      </c>
      <c r="M8995" s="36">
        <v>2606.9</v>
      </c>
      <c r="T8995" s="41">
        <v>0</v>
      </c>
      <c r="U8995" s="41">
        <v>0</v>
      </c>
      <c r="V8995" s="42" t="s">
        <v>113</v>
      </c>
      <c r="W8995" s="42">
        <v>0</v>
      </c>
      <c r="X8995" s="42">
        <v>0</v>
      </c>
    </row>
    <row r="8996" spans="1:24">
      <c r="A8996" s="27" t="s">
        <v>16430</v>
      </c>
      <c r="B8996" s="28" t="s">
        <v>12240</v>
      </c>
      <c r="C8996" s="27" t="s">
        <v>16431</v>
      </c>
      <c r="D8996" s="27" t="s">
        <v>230</v>
      </c>
      <c r="E8996" s="29">
        <v>43189</v>
      </c>
      <c r="F8996" s="27">
        <v>15</v>
      </c>
      <c r="G8996" s="18">
        <v>53476.43</v>
      </c>
      <c r="H8996" s="27">
        <f t="shared" si="280"/>
        <v>0</v>
      </c>
      <c r="I8996" s="18">
        <v>2537.9899999999998</v>
      </c>
      <c r="J8996" s="27">
        <v>53476.43</v>
      </c>
      <c r="K8996" s="18">
        <f t="shared" si="281"/>
        <v>0</v>
      </c>
      <c r="L8996" s="27">
        <v>5924.98</v>
      </c>
      <c r="M8996" s="36">
        <v>3386.99</v>
      </c>
      <c r="T8996" s="41">
        <v>0</v>
      </c>
      <c r="U8996" s="41">
        <v>0</v>
      </c>
      <c r="V8996" s="42" t="s">
        <v>113</v>
      </c>
      <c r="W8996" s="42">
        <v>0</v>
      </c>
      <c r="X8996" s="42">
        <v>0</v>
      </c>
    </row>
    <row r="8997" spans="1:24">
      <c r="A8997" s="27" t="s">
        <v>16432</v>
      </c>
      <c r="B8997" s="28" t="s">
        <v>12240</v>
      </c>
      <c r="C8997" s="27" t="s">
        <v>16433</v>
      </c>
      <c r="D8997" s="27" t="s">
        <v>230</v>
      </c>
      <c r="E8997" s="29">
        <v>40908</v>
      </c>
      <c r="F8997" s="27">
        <v>15</v>
      </c>
      <c r="G8997" s="18">
        <v>64543.12</v>
      </c>
      <c r="H8997" s="27">
        <f t="shared" si="280"/>
        <v>0</v>
      </c>
      <c r="I8997" s="18">
        <v>36388.44</v>
      </c>
      <c r="J8997" s="27">
        <v>64543.12</v>
      </c>
      <c r="K8997" s="18">
        <f t="shared" si="281"/>
        <v>0</v>
      </c>
      <c r="L8997" s="27">
        <v>39504.379999999997</v>
      </c>
      <c r="M8997" s="36">
        <v>3115.94</v>
      </c>
      <c r="T8997" s="41">
        <v>0</v>
      </c>
      <c r="U8997" s="41">
        <v>0</v>
      </c>
      <c r="V8997" s="42" t="s">
        <v>113</v>
      </c>
      <c r="W8997" s="42">
        <v>0</v>
      </c>
      <c r="X8997" s="42">
        <v>0</v>
      </c>
    </row>
    <row r="8998" spans="1:24">
      <c r="A8998" s="27" t="s">
        <v>16434</v>
      </c>
      <c r="B8998" s="28" t="s">
        <v>12240</v>
      </c>
      <c r="C8998" s="27" t="s">
        <v>16435</v>
      </c>
      <c r="D8998" s="27" t="s">
        <v>230</v>
      </c>
      <c r="E8998" s="29">
        <v>35674</v>
      </c>
      <c r="F8998" s="27">
        <v>15</v>
      </c>
      <c r="G8998" s="18">
        <v>61180.68</v>
      </c>
      <c r="H8998" s="27">
        <f t="shared" si="280"/>
        <v>61180.68</v>
      </c>
      <c r="I8998" s="18">
        <v>58121.65</v>
      </c>
      <c r="J8998" s="27">
        <v>61180.68</v>
      </c>
      <c r="K8998" s="18">
        <f t="shared" si="281"/>
        <v>61180.68</v>
      </c>
      <c r="L8998" s="27">
        <v>58121.65</v>
      </c>
      <c r="M8998" s="36">
        <v>0</v>
      </c>
      <c r="T8998" s="41">
        <v>0</v>
      </c>
      <c r="U8998" s="41">
        <v>0</v>
      </c>
      <c r="V8998" s="42" t="s">
        <v>113</v>
      </c>
      <c r="W8998" s="42">
        <v>61180.68</v>
      </c>
      <c r="X8998" s="42">
        <v>61180.68</v>
      </c>
    </row>
    <row r="8999" spans="1:24">
      <c r="A8999" s="27" t="s">
        <v>16436</v>
      </c>
      <c r="B8999" s="28" t="s">
        <v>12240</v>
      </c>
      <c r="C8999" s="27" t="s">
        <v>16437</v>
      </c>
      <c r="D8999" s="27" t="s">
        <v>230</v>
      </c>
      <c r="E8999" s="29">
        <v>41729</v>
      </c>
      <c r="F8999" s="27">
        <v>15</v>
      </c>
      <c r="G8999" s="18">
        <v>53126.21</v>
      </c>
      <c r="H8999" s="27">
        <f t="shared" si="280"/>
        <v>0</v>
      </c>
      <c r="I8999" s="18">
        <v>18629.650000000001</v>
      </c>
      <c r="J8999" s="27">
        <v>53126.21</v>
      </c>
      <c r="K8999" s="18">
        <f t="shared" si="281"/>
        <v>0</v>
      </c>
      <c r="L8999" s="27">
        <v>21761.48</v>
      </c>
      <c r="M8999" s="36">
        <v>3131.83</v>
      </c>
      <c r="T8999" s="41">
        <v>0</v>
      </c>
      <c r="U8999" s="41">
        <v>0</v>
      </c>
      <c r="V8999" s="42" t="s">
        <v>113</v>
      </c>
      <c r="W8999" s="42">
        <v>0</v>
      </c>
      <c r="X8999" s="42">
        <v>0</v>
      </c>
    </row>
    <row r="9000" spans="1:24">
      <c r="A9000" s="27" t="s">
        <v>16438</v>
      </c>
      <c r="B9000" s="28" t="s">
        <v>12240</v>
      </c>
      <c r="C9000" s="27" t="s">
        <v>16439</v>
      </c>
      <c r="D9000" s="27" t="s">
        <v>230</v>
      </c>
      <c r="E9000" s="29">
        <v>41729</v>
      </c>
      <c r="F9000" s="27">
        <v>15</v>
      </c>
      <c r="G9000" s="18">
        <v>66836.06</v>
      </c>
      <c r="H9000" s="27">
        <f t="shared" si="280"/>
        <v>0</v>
      </c>
      <c r="I9000" s="18">
        <v>23437.26</v>
      </c>
      <c r="J9000" s="27">
        <v>66836.06</v>
      </c>
      <c r="K9000" s="18">
        <f t="shared" si="281"/>
        <v>0</v>
      </c>
      <c r="L9000" s="27">
        <v>27377.29</v>
      </c>
      <c r="M9000" s="36">
        <v>3940.03</v>
      </c>
      <c r="T9000" s="41">
        <v>0</v>
      </c>
      <c r="U9000" s="41">
        <v>0</v>
      </c>
      <c r="V9000" s="42" t="s">
        <v>113</v>
      </c>
      <c r="W9000" s="42">
        <v>0</v>
      </c>
      <c r="X9000" s="42">
        <v>0</v>
      </c>
    </row>
    <row r="9001" spans="1:24">
      <c r="A9001" s="27" t="s">
        <v>16440</v>
      </c>
      <c r="B9001" s="28" t="s">
        <v>12240</v>
      </c>
      <c r="C9001" s="27" t="s">
        <v>16441</v>
      </c>
      <c r="D9001" s="27" t="s">
        <v>230</v>
      </c>
      <c r="E9001" s="29">
        <v>41729</v>
      </c>
      <c r="F9001" s="27">
        <v>15</v>
      </c>
      <c r="G9001" s="18">
        <v>5312.61</v>
      </c>
      <c r="H9001" s="27">
        <f t="shared" si="280"/>
        <v>0</v>
      </c>
      <c r="I9001" s="18">
        <v>1862.96</v>
      </c>
      <c r="J9001" s="27">
        <v>5312.61</v>
      </c>
      <c r="K9001" s="18">
        <f t="shared" si="281"/>
        <v>0</v>
      </c>
      <c r="L9001" s="27">
        <v>2176.14</v>
      </c>
      <c r="M9001" s="36">
        <v>313.18</v>
      </c>
      <c r="T9001" s="41">
        <v>0</v>
      </c>
      <c r="U9001" s="41">
        <v>0</v>
      </c>
      <c r="V9001" s="42" t="s">
        <v>113</v>
      </c>
      <c r="W9001" s="42">
        <v>0</v>
      </c>
      <c r="X9001" s="42">
        <v>0</v>
      </c>
    </row>
    <row r="9002" spans="1:24">
      <c r="A9002" s="27" t="s">
        <v>16442</v>
      </c>
      <c r="B9002" s="28" t="s">
        <v>12240</v>
      </c>
      <c r="C9002" s="27" t="s">
        <v>16443</v>
      </c>
      <c r="D9002" s="27" t="s">
        <v>230</v>
      </c>
      <c r="E9002" s="29">
        <v>42551</v>
      </c>
      <c r="F9002" s="27">
        <v>15</v>
      </c>
      <c r="G9002" s="18">
        <v>75312.63</v>
      </c>
      <c r="H9002" s="27">
        <f t="shared" si="280"/>
        <v>0</v>
      </c>
      <c r="I9002" s="18">
        <v>13580.69</v>
      </c>
      <c r="J9002" s="27">
        <v>75312.63</v>
      </c>
      <c r="K9002" s="18">
        <f t="shared" si="281"/>
        <v>0</v>
      </c>
      <c r="L9002" s="27">
        <v>18217.990000000002</v>
      </c>
      <c r="M9002" s="36">
        <v>4637.3</v>
      </c>
      <c r="T9002" s="41">
        <v>0</v>
      </c>
      <c r="U9002" s="41">
        <v>0</v>
      </c>
      <c r="V9002" s="42" t="s">
        <v>113</v>
      </c>
      <c r="W9002" s="42">
        <v>0</v>
      </c>
      <c r="X9002" s="42">
        <v>0</v>
      </c>
    </row>
    <row r="9003" spans="1:24">
      <c r="A9003" s="27" t="s">
        <v>16444</v>
      </c>
      <c r="B9003" s="28" t="s">
        <v>12240</v>
      </c>
      <c r="C9003" s="27" t="s">
        <v>16445</v>
      </c>
      <c r="D9003" s="27" t="s">
        <v>230</v>
      </c>
      <c r="E9003" s="29">
        <v>42551</v>
      </c>
      <c r="F9003" s="27">
        <v>15</v>
      </c>
      <c r="G9003" s="18">
        <v>86113.4</v>
      </c>
      <c r="H9003" s="27">
        <f t="shared" si="280"/>
        <v>0</v>
      </c>
      <c r="I9003" s="18">
        <v>15528.32</v>
      </c>
      <c r="J9003" s="27">
        <v>86113.4</v>
      </c>
      <c r="K9003" s="18">
        <f t="shared" si="281"/>
        <v>0</v>
      </c>
      <c r="L9003" s="27">
        <v>20830.669999999998</v>
      </c>
      <c r="M9003" s="36">
        <v>5302.35</v>
      </c>
      <c r="T9003" s="41">
        <v>0</v>
      </c>
      <c r="U9003" s="41">
        <v>0</v>
      </c>
      <c r="V9003" s="42" t="s">
        <v>113</v>
      </c>
      <c r="W9003" s="42">
        <v>0</v>
      </c>
      <c r="X9003" s="42">
        <v>0</v>
      </c>
    </row>
    <row r="9004" spans="1:24">
      <c r="A9004" s="27" t="s">
        <v>16446</v>
      </c>
      <c r="B9004" s="28" t="s">
        <v>12240</v>
      </c>
      <c r="C9004" s="27" t="s">
        <v>16447</v>
      </c>
      <c r="D9004" s="27" t="s">
        <v>230</v>
      </c>
      <c r="E9004" s="29">
        <v>40908</v>
      </c>
      <c r="F9004" s="27">
        <v>15</v>
      </c>
      <c r="G9004" s="18">
        <v>27503.82</v>
      </c>
      <c r="H9004" s="27">
        <f t="shared" si="280"/>
        <v>0</v>
      </c>
      <c r="I9004" s="18">
        <v>15015.78</v>
      </c>
      <c r="J9004" s="27">
        <v>27503.82</v>
      </c>
      <c r="K9004" s="18">
        <f t="shared" si="281"/>
        <v>0</v>
      </c>
      <c r="L9004" s="27">
        <v>16404.89</v>
      </c>
      <c r="M9004" s="36">
        <v>1389.11</v>
      </c>
      <c r="T9004" s="41">
        <v>0</v>
      </c>
      <c r="U9004" s="41">
        <v>0</v>
      </c>
      <c r="V9004" s="42" t="s">
        <v>113</v>
      </c>
      <c r="W9004" s="42">
        <v>0</v>
      </c>
      <c r="X9004" s="42">
        <v>0</v>
      </c>
    </row>
    <row r="9005" spans="1:24">
      <c r="A9005" s="27" t="s">
        <v>16448</v>
      </c>
      <c r="B9005" s="28" t="s">
        <v>12240</v>
      </c>
      <c r="C9005" s="27" t="s">
        <v>16449</v>
      </c>
      <c r="D9005" s="27" t="s">
        <v>230</v>
      </c>
      <c r="E9005" s="29">
        <v>39417</v>
      </c>
      <c r="F9005" s="27">
        <v>15</v>
      </c>
      <c r="G9005" s="18">
        <v>98480.9</v>
      </c>
      <c r="H9005" s="27">
        <f t="shared" si="280"/>
        <v>0</v>
      </c>
      <c r="I9005" s="18">
        <v>84173.31</v>
      </c>
      <c r="J9005" s="27">
        <v>98480.9</v>
      </c>
      <c r="K9005" s="18">
        <f t="shared" si="281"/>
        <v>0</v>
      </c>
      <c r="L9005" s="27">
        <v>86519.2</v>
      </c>
      <c r="M9005" s="36">
        <v>2345.89</v>
      </c>
      <c r="T9005" s="41">
        <v>0</v>
      </c>
      <c r="U9005" s="41">
        <v>0</v>
      </c>
      <c r="V9005" s="42" t="s">
        <v>113</v>
      </c>
      <c r="W9005" s="42">
        <v>0</v>
      </c>
      <c r="X9005" s="42">
        <v>0</v>
      </c>
    </row>
    <row r="9006" spans="1:24">
      <c r="A9006" s="27" t="s">
        <v>16450</v>
      </c>
      <c r="B9006" s="28" t="s">
        <v>12240</v>
      </c>
      <c r="C9006" s="27" t="s">
        <v>16451</v>
      </c>
      <c r="D9006" s="27" t="s">
        <v>230</v>
      </c>
      <c r="E9006" s="29">
        <v>39417</v>
      </c>
      <c r="F9006" s="27">
        <v>15</v>
      </c>
      <c r="G9006" s="18">
        <v>31837.03</v>
      </c>
      <c r="H9006" s="27">
        <f t="shared" si="280"/>
        <v>0</v>
      </c>
      <c r="I9006" s="18">
        <v>27153.77</v>
      </c>
      <c r="J9006" s="27">
        <v>31837.03</v>
      </c>
      <c r="K9006" s="18">
        <f t="shared" si="281"/>
        <v>0</v>
      </c>
      <c r="L9006" s="27">
        <v>27926.62</v>
      </c>
      <c r="M9006" s="36">
        <v>772.85</v>
      </c>
      <c r="T9006" s="41">
        <v>0</v>
      </c>
      <c r="U9006" s="41">
        <v>0</v>
      </c>
      <c r="V9006" s="42" t="s">
        <v>113</v>
      </c>
      <c r="W9006" s="42">
        <v>0</v>
      </c>
      <c r="X9006" s="42">
        <v>0</v>
      </c>
    </row>
    <row r="9007" spans="1:24">
      <c r="A9007" s="27" t="s">
        <v>16452</v>
      </c>
      <c r="B9007" s="28" t="s">
        <v>12240</v>
      </c>
      <c r="C9007" s="27" t="s">
        <v>16453</v>
      </c>
      <c r="D9007" s="27" t="s">
        <v>230</v>
      </c>
      <c r="E9007" s="29">
        <v>40843</v>
      </c>
      <c r="F9007" s="27">
        <v>15</v>
      </c>
      <c r="G9007" s="18">
        <v>9300</v>
      </c>
      <c r="H9007" s="27">
        <f t="shared" si="280"/>
        <v>0</v>
      </c>
      <c r="I9007" s="18">
        <v>6408.45</v>
      </c>
      <c r="J9007" s="27">
        <v>9300</v>
      </c>
      <c r="K9007" s="18">
        <f t="shared" si="281"/>
        <v>0</v>
      </c>
      <c r="L9007" s="27">
        <v>6718.22</v>
      </c>
      <c r="M9007" s="36">
        <v>309.77</v>
      </c>
      <c r="T9007" s="41">
        <v>0</v>
      </c>
      <c r="U9007" s="41">
        <v>0</v>
      </c>
      <c r="V9007" s="42" t="s">
        <v>113</v>
      </c>
      <c r="W9007" s="42">
        <v>0</v>
      </c>
      <c r="X9007" s="42">
        <v>0</v>
      </c>
    </row>
    <row r="9008" spans="1:24">
      <c r="A9008" s="27" t="s">
        <v>16454</v>
      </c>
      <c r="B9008" s="28" t="s">
        <v>12240</v>
      </c>
      <c r="C9008" s="27" t="s">
        <v>16060</v>
      </c>
      <c r="D9008" s="27" t="s">
        <v>230</v>
      </c>
      <c r="E9008" s="29">
        <v>40843</v>
      </c>
      <c r="F9008" s="27">
        <v>15</v>
      </c>
      <c r="G9008" s="18">
        <v>9300</v>
      </c>
      <c r="H9008" s="27">
        <f t="shared" si="280"/>
        <v>0</v>
      </c>
      <c r="I9008" s="18">
        <v>6408.46</v>
      </c>
      <c r="J9008" s="27">
        <v>9300</v>
      </c>
      <c r="K9008" s="18">
        <f t="shared" si="281"/>
        <v>0</v>
      </c>
      <c r="L9008" s="27">
        <v>6718.23</v>
      </c>
      <c r="M9008" s="36">
        <v>309.77</v>
      </c>
      <c r="T9008" s="41">
        <v>0</v>
      </c>
      <c r="U9008" s="41">
        <v>0</v>
      </c>
      <c r="V9008" s="42" t="s">
        <v>113</v>
      </c>
      <c r="W9008" s="42">
        <v>0</v>
      </c>
      <c r="X9008" s="42">
        <v>0</v>
      </c>
    </row>
    <row r="9009" spans="1:24">
      <c r="A9009" s="27" t="s">
        <v>16455</v>
      </c>
      <c r="B9009" s="28" t="s">
        <v>12240</v>
      </c>
      <c r="C9009" s="27" t="s">
        <v>16456</v>
      </c>
      <c r="D9009" s="27" t="s">
        <v>230</v>
      </c>
      <c r="E9009" s="29">
        <v>40843</v>
      </c>
      <c r="F9009" s="27">
        <v>15</v>
      </c>
      <c r="G9009" s="18">
        <v>60197.55</v>
      </c>
      <c r="H9009" s="27">
        <f t="shared" si="280"/>
        <v>0</v>
      </c>
      <c r="I9009" s="18">
        <v>34854.42</v>
      </c>
      <c r="J9009" s="27">
        <v>60197.55</v>
      </c>
      <c r="K9009" s="18">
        <f t="shared" si="281"/>
        <v>0</v>
      </c>
      <c r="L9009" s="27">
        <v>37705.47</v>
      </c>
      <c r="M9009" s="36">
        <v>2851.05</v>
      </c>
      <c r="T9009" s="41">
        <v>0</v>
      </c>
      <c r="U9009" s="41">
        <v>0</v>
      </c>
      <c r="V9009" s="42" t="s">
        <v>113</v>
      </c>
      <c r="W9009" s="42">
        <v>0</v>
      </c>
      <c r="X9009" s="42">
        <v>0</v>
      </c>
    </row>
    <row r="9010" spans="1:24">
      <c r="A9010" s="27" t="s">
        <v>16457</v>
      </c>
      <c r="B9010" s="28" t="s">
        <v>12240</v>
      </c>
      <c r="C9010" s="27" t="s">
        <v>16458</v>
      </c>
      <c r="D9010" s="27" t="s">
        <v>230</v>
      </c>
      <c r="E9010" s="29">
        <v>42510</v>
      </c>
      <c r="F9010" s="27">
        <v>15</v>
      </c>
      <c r="G9010" s="18">
        <v>43452.480000000003</v>
      </c>
      <c r="H9010" s="27">
        <f t="shared" si="280"/>
        <v>0</v>
      </c>
      <c r="I9010" s="18">
        <v>8116.44</v>
      </c>
      <c r="J9010" s="27">
        <v>43452.480000000003</v>
      </c>
      <c r="K9010" s="18">
        <f t="shared" si="281"/>
        <v>0</v>
      </c>
      <c r="L9010" s="27">
        <v>10787.32</v>
      </c>
      <c r="M9010" s="36">
        <v>2670.88</v>
      </c>
      <c r="T9010" s="41">
        <v>0</v>
      </c>
      <c r="U9010" s="41">
        <v>0</v>
      </c>
      <c r="V9010" s="42" t="s">
        <v>113</v>
      </c>
      <c r="W9010" s="42">
        <v>0</v>
      </c>
      <c r="X9010" s="42">
        <v>0</v>
      </c>
    </row>
    <row r="9011" spans="1:24">
      <c r="A9011" s="27" t="s">
        <v>16459</v>
      </c>
      <c r="B9011" s="28" t="s">
        <v>12240</v>
      </c>
      <c r="C9011" s="27" t="s">
        <v>16460</v>
      </c>
      <c r="D9011" s="27" t="s">
        <v>230</v>
      </c>
      <c r="E9011" s="29">
        <v>42457</v>
      </c>
      <c r="F9011" s="27">
        <v>15</v>
      </c>
      <c r="G9011" s="18">
        <v>43232.53</v>
      </c>
      <c r="H9011" s="27">
        <f t="shared" si="280"/>
        <v>0</v>
      </c>
      <c r="I9011" s="18">
        <v>8156.65</v>
      </c>
      <c r="J9011" s="27">
        <v>43232.53</v>
      </c>
      <c r="K9011" s="18">
        <f t="shared" si="281"/>
        <v>0</v>
      </c>
      <c r="L9011" s="27">
        <v>10843.53</v>
      </c>
      <c r="M9011" s="36">
        <v>2686.88</v>
      </c>
      <c r="T9011" s="41">
        <v>0</v>
      </c>
      <c r="U9011" s="41">
        <v>0</v>
      </c>
      <c r="V9011" s="42" t="s">
        <v>113</v>
      </c>
      <c r="W9011" s="42">
        <v>0</v>
      </c>
      <c r="X9011" s="42">
        <v>0</v>
      </c>
    </row>
    <row r="9012" spans="1:24">
      <c r="A9012" s="27" t="s">
        <v>16461</v>
      </c>
      <c r="B9012" s="28" t="s">
        <v>12240</v>
      </c>
      <c r="C9012" s="27" t="s">
        <v>16462</v>
      </c>
      <c r="D9012" s="27" t="s">
        <v>230</v>
      </c>
      <c r="E9012" s="29">
        <v>42457</v>
      </c>
      <c r="F9012" s="27">
        <v>15</v>
      </c>
      <c r="G9012" s="18">
        <v>29326.49</v>
      </c>
      <c r="H9012" s="27">
        <f t="shared" si="280"/>
        <v>0</v>
      </c>
      <c r="I9012" s="18">
        <v>5533.01</v>
      </c>
      <c r="J9012" s="27">
        <v>29326.49</v>
      </c>
      <c r="K9012" s="18">
        <f t="shared" si="281"/>
        <v>0</v>
      </c>
      <c r="L9012" s="27">
        <v>7355.64</v>
      </c>
      <c r="M9012" s="36">
        <v>1822.63</v>
      </c>
      <c r="T9012" s="41">
        <v>0</v>
      </c>
      <c r="U9012" s="41">
        <v>0</v>
      </c>
      <c r="V9012" s="42" t="s">
        <v>113</v>
      </c>
      <c r="W9012" s="42">
        <v>0</v>
      </c>
      <c r="X9012" s="42">
        <v>0</v>
      </c>
    </row>
    <row r="9013" spans="1:24">
      <c r="A9013" s="27" t="s">
        <v>16463</v>
      </c>
      <c r="B9013" s="28" t="s">
        <v>12240</v>
      </c>
      <c r="C9013" s="27" t="s">
        <v>16464</v>
      </c>
      <c r="D9013" s="27" t="s">
        <v>230</v>
      </c>
      <c r="E9013" s="29">
        <v>42457</v>
      </c>
      <c r="F9013" s="27">
        <v>15</v>
      </c>
      <c r="G9013" s="18">
        <v>31545.3</v>
      </c>
      <c r="H9013" s="27">
        <f t="shared" si="280"/>
        <v>0</v>
      </c>
      <c r="I9013" s="18">
        <v>5951.63</v>
      </c>
      <c r="J9013" s="27">
        <v>31545.3</v>
      </c>
      <c r="K9013" s="18">
        <f t="shared" si="281"/>
        <v>0</v>
      </c>
      <c r="L9013" s="27">
        <v>7912.15</v>
      </c>
      <c r="M9013" s="36">
        <v>1960.52</v>
      </c>
      <c r="T9013" s="41">
        <v>0</v>
      </c>
      <c r="U9013" s="41">
        <v>0</v>
      </c>
      <c r="V9013" s="42" t="s">
        <v>113</v>
      </c>
      <c r="W9013" s="42">
        <v>0</v>
      </c>
      <c r="X9013" s="42">
        <v>0</v>
      </c>
    </row>
    <row r="9014" spans="1:24">
      <c r="A9014" s="27" t="s">
        <v>16465</v>
      </c>
      <c r="B9014" s="28" t="s">
        <v>12240</v>
      </c>
      <c r="C9014" s="27" t="s">
        <v>16466</v>
      </c>
      <c r="D9014" s="27" t="s">
        <v>230</v>
      </c>
      <c r="E9014" s="29">
        <v>42457</v>
      </c>
      <c r="F9014" s="27">
        <v>15</v>
      </c>
      <c r="G9014" s="18">
        <v>28144.27</v>
      </c>
      <c r="H9014" s="27">
        <f t="shared" si="280"/>
        <v>0</v>
      </c>
      <c r="I9014" s="18">
        <v>5309.97</v>
      </c>
      <c r="J9014" s="27">
        <v>28144.27</v>
      </c>
      <c r="K9014" s="18">
        <f t="shared" si="281"/>
        <v>0</v>
      </c>
      <c r="L9014" s="27">
        <v>7059.12</v>
      </c>
      <c r="M9014" s="36">
        <v>1749.15</v>
      </c>
      <c r="T9014" s="41">
        <v>0</v>
      </c>
      <c r="U9014" s="41">
        <v>0</v>
      </c>
      <c r="V9014" s="42" t="s">
        <v>113</v>
      </c>
      <c r="W9014" s="42">
        <v>0</v>
      </c>
      <c r="X9014" s="42">
        <v>0</v>
      </c>
    </row>
    <row r="9015" spans="1:24">
      <c r="A9015" s="27" t="s">
        <v>16467</v>
      </c>
      <c r="B9015" s="28" t="s">
        <v>12240</v>
      </c>
      <c r="C9015" s="27" t="s">
        <v>16468</v>
      </c>
      <c r="D9015" s="27" t="s">
        <v>230</v>
      </c>
      <c r="E9015" s="29">
        <v>42457</v>
      </c>
      <c r="F9015" s="27">
        <v>15</v>
      </c>
      <c r="G9015" s="18">
        <v>42514.23</v>
      </c>
      <c r="H9015" s="27">
        <f t="shared" si="280"/>
        <v>0</v>
      </c>
      <c r="I9015" s="18">
        <v>8021.13</v>
      </c>
      <c r="J9015" s="27">
        <v>42514.23</v>
      </c>
      <c r="K9015" s="18">
        <f t="shared" si="281"/>
        <v>0</v>
      </c>
      <c r="L9015" s="27">
        <v>10663.37</v>
      </c>
      <c r="M9015" s="36">
        <v>2642.24</v>
      </c>
      <c r="T9015" s="41">
        <v>0</v>
      </c>
      <c r="U9015" s="41">
        <v>0</v>
      </c>
      <c r="V9015" s="42" t="s">
        <v>113</v>
      </c>
      <c r="W9015" s="42">
        <v>0</v>
      </c>
      <c r="X9015" s="42">
        <v>0</v>
      </c>
    </row>
    <row r="9016" spans="1:24">
      <c r="A9016" s="27" t="s">
        <v>16469</v>
      </c>
      <c r="B9016" s="28" t="s">
        <v>12240</v>
      </c>
      <c r="C9016" s="27" t="s">
        <v>16470</v>
      </c>
      <c r="D9016" s="27" t="s">
        <v>230</v>
      </c>
      <c r="E9016" s="29">
        <v>42457</v>
      </c>
      <c r="F9016" s="27">
        <v>15</v>
      </c>
      <c r="G9016" s="18">
        <v>38371.75</v>
      </c>
      <c r="H9016" s="27">
        <f t="shared" si="280"/>
        <v>0</v>
      </c>
      <c r="I9016" s="18">
        <v>7239.58</v>
      </c>
      <c r="J9016" s="27">
        <v>38371.75</v>
      </c>
      <c r="K9016" s="18">
        <f t="shared" si="281"/>
        <v>0</v>
      </c>
      <c r="L9016" s="27">
        <v>9624.36</v>
      </c>
      <c r="M9016" s="36">
        <v>2384.7800000000002</v>
      </c>
      <c r="T9016" s="41">
        <v>0</v>
      </c>
      <c r="U9016" s="41">
        <v>0</v>
      </c>
      <c r="V9016" s="42" t="s">
        <v>113</v>
      </c>
      <c r="W9016" s="42">
        <v>0</v>
      </c>
      <c r="X9016" s="42">
        <v>0</v>
      </c>
    </row>
    <row r="9017" spans="1:24">
      <c r="A9017" s="27" t="s">
        <v>16471</v>
      </c>
      <c r="B9017" s="28" t="s">
        <v>12240</v>
      </c>
      <c r="C9017" s="27" t="s">
        <v>16472</v>
      </c>
      <c r="D9017" s="27" t="s">
        <v>230</v>
      </c>
      <c r="E9017" s="29">
        <v>42457</v>
      </c>
      <c r="F9017" s="27">
        <v>15</v>
      </c>
      <c r="G9017" s="18">
        <v>44959.72</v>
      </c>
      <c r="H9017" s="27">
        <f t="shared" si="280"/>
        <v>0</v>
      </c>
      <c r="I9017" s="18">
        <v>8482.5300000000007</v>
      </c>
      <c r="J9017" s="27">
        <v>44959.72</v>
      </c>
      <c r="K9017" s="18">
        <f t="shared" si="281"/>
        <v>0</v>
      </c>
      <c r="L9017" s="27">
        <v>11276.75</v>
      </c>
      <c r="M9017" s="36">
        <v>2794.22</v>
      </c>
      <c r="T9017" s="41">
        <v>0</v>
      </c>
      <c r="U9017" s="41">
        <v>0</v>
      </c>
      <c r="V9017" s="42" t="s">
        <v>113</v>
      </c>
      <c r="W9017" s="42">
        <v>0</v>
      </c>
      <c r="X9017" s="42">
        <v>0</v>
      </c>
    </row>
    <row r="9018" spans="1:24">
      <c r="A9018" s="27" t="s">
        <v>16473</v>
      </c>
      <c r="B9018" s="28" t="s">
        <v>12240</v>
      </c>
      <c r="C9018" s="27" t="s">
        <v>16474</v>
      </c>
      <c r="D9018" s="27" t="s">
        <v>230</v>
      </c>
      <c r="E9018" s="29">
        <v>42457</v>
      </c>
      <c r="F9018" s="27">
        <v>15</v>
      </c>
      <c r="G9018" s="18">
        <v>54773.91</v>
      </c>
      <c r="H9018" s="27">
        <f t="shared" si="280"/>
        <v>0</v>
      </c>
      <c r="I9018" s="18">
        <v>10334.16</v>
      </c>
      <c r="J9018" s="27">
        <v>54773.91</v>
      </c>
      <c r="K9018" s="18">
        <f t="shared" si="281"/>
        <v>0</v>
      </c>
      <c r="L9018" s="27">
        <v>13738.33</v>
      </c>
      <c r="M9018" s="36">
        <v>3404.17</v>
      </c>
      <c r="T9018" s="41">
        <v>0</v>
      </c>
      <c r="U9018" s="41">
        <v>0</v>
      </c>
      <c r="V9018" s="42" t="s">
        <v>113</v>
      </c>
      <c r="W9018" s="42">
        <v>0</v>
      </c>
      <c r="X9018" s="42">
        <v>0</v>
      </c>
    </row>
    <row r="9019" spans="1:24">
      <c r="A9019" s="27" t="s">
        <v>16475</v>
      </c>
      <c r="B9019" s="28" t="s">
        <v>12240</v>
      </c>
      <c r="C9019" s="27" t="s">
        <v>16476</v>
      </c>
      <c r="D9019" s="27" t="s">
        <v>230</v>
      </c>
      <c r="E9019" s="29">
        <v>42457</v>
      </c>
      <c r="F9019" s="27">
        <v>15</v>
      </c>
      <c r="G9019" s="18">
        <v>39742.82</v>
      </c>
      <c r="H9019" s="27">
        <f t="shared" si="280"/>
        <v>0</v>
      </c>
      <c r="I9019" s="18">
        <v>7498.26</v>
      </c>
      <c r="J9019" s="27">
        <v>39742.82</v>
      </c>
      <c r="K9019" s="18">
        <f t="shared" si="281"/>
        <v>0</v>
      </c>
      <c r="L9019" s="27">
        <v>9968.25</v>
      </c>
      <c r="M9019" s="36">
        <v>2469.9899999999998</v>
      </c>
      <c r="T9019" s="41">
        <v>0</v>
      </c>
      <c r="U9019" s="41">
        <v>0</v>
      </c>
      <c r="V9019" s="42" t="s">
        <v>113</v>
      </c>
      <c r="W9019" s="42">
        <v>0</v>
      </c>
      <c r="X9019" s="42">
        <v>0</v>
      </c>
    </row>
    <row r="9020" spans="1:24">
      <c r="A9020" s="27" t="s">
        <v>16477</v>
      </c>
      <c r="B9020" s="28" t="s">
        <v>12240</v>
      </c>
      <c r="C9020" s="27" t="s">
        <v>16478</v>
      </c>
      <c r="D9020" s="27" t="s">
        <v>230</v>
      </c>
      <c r="E9020" s="29">
        <v>42457</v>
      </c>
      <c r="F9020" s="27">
        <v>15</v>
      </c>
      <c r="G9020" s="18">
        <v>29414.22</v>
      </c>
      <c r="H9020" s="27">
        <f t="shared" si="280"/>
        <v>0</v>
      </c>
      <c r="I9020" s="18">
        <v>5549.57</v>
      </c>
      <c r="J9020" s="27">
        <v>29414.22</v>
      </c>
      <c r="K9020" s="18">
        <f t="shared" si="281"/>
        <v>0</v>
      </c>
      <c r="L9020" s="27">
        <v>7377.65</v>
      </c>
      <c r="M9020" s="36">
        <v>1828.08</v>
      </c>
      <c r="T9020" s="41">
        <v>0</v>
      </c>
      <c r="U9020" s="41">
        <v>0</v>
      </c>
      <c r="V9020" s="42" t="s">
        <v>113</v>
      </c>
      <c r="W9020" s="42">
        <v>0</v>
      </c>
      <c r="X9020" s="42">
        <v>0</v>
      </c>
    </row>
    <row r="9021" spans="1:24">
      <c r="A9021" s="27" t="s">
        <v>16479</v>
      </c>
      <c r="B9021" s="28" t="s">
        <v>12240</v>
      </c>
      <c r="C9021" s="27" t="s">
        <v>16480</v>
      </c>
      <c r="D9021" s="27" t="s">
        <v>230</v>
      </c>
      <c r="E9021" s="29">
        <v>42457</v>
      </c>
      <c r="F9021" s="27">
        <v>15</v>
      </c>
      <c r="G9021" s="18">
        <v>29004.43</v>
      </c>
      <c r="H9021" s="27">
        <f t="shared" si="280"/>
        <v>0</v>
      </c>
      <c r="I9021" s="18">
        <v>5472.25</v>
      </c>
      <c r="J9021" s="27">
        <v>29004.43</v>
      </c>
      <c r="K9021" s="18">
        <f t="shared" si="281"/>
        <v>0</v>
      </c>
      <c r="L9021" s="27">
        <v>7274.86</v>
      </c>
      <c r="M9021" s="36">
        <v>1802.61</v>
      </c>
      <c r="T9021" s="41">
        <v>0</v>
      </c>
      <c r="U9021" s="41">
        <v>0</v>
      </c>
      <c r="V9021" s="42" t="s">
        <v>113</v>
      </c>
      <c r="W9021" s="42">
        <v>0</v>
      </c>
      <c r="X9021" s="42">
        <v>0</v>
      </c>
    </row>
    <row r="9022" spans="1:24">
      <c r="A9022" s="27" t="s">
        <v>16481</v>
      </c>
      <c r="B9022" s="28" t="s">
        <v>12240</v>
      </c>
      <c r="C9022" s="27" t="s">
        <v>16482</v>
      </c>
      <c r="D9022" s="27" t="s">
        <v>230</v>
      </c>
      <c r="E9022" s="29">
        <v>42457</v>
      </c>
      <c r="F9022" s="27">
        <v>15</v>
      </c>
      <c r="G9022" s="18">
        <v>42255.34</v>
      </c>
      <c r="H9022" s="27">
        <f t="shared" si="280"/>
        <v>0</v>
      </c>
      <c r="I9022" s="18">
        <v>7972.3</v>
      </c>
      <c r="J9022" s="27">
        <v>42255.34</v>
      </c>
      <c r="K9022" s="18">
        <f t="shared" si="281"/>
        <v>0</v>
      </c>
      <c r="L9022" s="27">
        <v>10598.44</v>
      </c>
      <c r="M9022" s="36">
        <v>2626.14</v>
      </c>
      <c r="T9022" s="41">
        <v>0</v>
      </c>
      <c r="U9022" s="41">
        <v>0</v>
      </c>
      <c r="V9022" s="42" t="s">
        <v>113</v>
      </c>
      <c r="W9022" s="42">
        <v>0</v>
      </c>
      <c r="X9022" s="42">
        <v>0</v>
      </c>
    </row>
    <row r="9023" spans="1:24">
      <c r="A9023" s="27" t="s">
        <v>16483</v>
      </c>
      <c r="B9023" s="28" t="s">
        <v>12240</v>
      </c>
      <c r="C9023" s="27" t="s">
        <v>16484</v>
      </c>
      <c r="D9023" s="27" t="s">
        <v>230</v>
      </c>
      <c r="E9023" s="29">
        <v>42457</v>
      </c>
      <c r="F9023" s="27">
        <v>15</v>
      </c>
      <c r="G9023" s="18">
        <v>41178.79</v>
      </c>
      <c r="H9023" s="27">
        <f t="shared" si="280"/>
        <v>0</v>
      </c>
      <c r="I9023" s="18">
        <v>7769.18</v>
      </c>
      <c r="J9023" s="27">
        <v>41178.79</v>
      </c>
      <c r="K9023" s="18">
        <f t="shared" si="281"/>
        <v>0</v>
      </c>
      <c r="L9023" s="27">
        <v>10328.42</v>
      </c>
      <c r="M9023" s="36">
        <v>2559.2399999999998</v>
      </c>
      <c r="T9023" s="41">
        <v>0</v>
      </c>
      <c r="U9023" s="41">
        <v>0</v>
      </c>
      <c r="V9023" s="42" t="s">
        <v>113</v>
      </c>
      <c r="W9023" s="42">
        <v>0</v>
      </c>
      <c r="X9023" s="42">
        <v>0</v>
      </c>
    </row>
    <row r="9024" spans="1:24">
      <c r="A9024" s="27" t="s">
        <v>16485</v>
      </c>
      <c r="B9024" s="28" t="s">
        <v>12240</v>
      </c>
      <c r="C9024" s="27" t="s">
        <v>16486</v>
      </c>
      <c r="D9024" s="27" t="s">
        <v>230</v>
      </c>
      <c r="E9024" s="29">
        <v>42457</v>
      </c>
      <c r="F9024" s="27">
        <v>15</v>
      </c>
      <c r="G9024" s="18">
        <v>31092.45</v>
      </c>
      <c r="H9024" s="27">
        <f t="shared" si="280"/>
        <v>0</v>
      </c>
      <c r="I9024" s="18">
        <v>5866.2</v>
      </c>
      <c r="J9024" s="27">
        <v>31092.45</v>
      </c>
      <c r="K9024" s="18">
        <f t="shared" si="281"/>
        <v>0</v>
      </c>
      <c r="L9024" s="27">
        <v>7798.58</v>
      </c>
      <c r="M9024" s="36">
        <v>1932.38</v>
      </c>
      <c r="T9024" s="41">
        <v>0</v>
      </c>
      <c r="U9024" s="41">
        <v>0</v>
      </c>
      <c r="V9024" s="42" t="s">
        <v>113</v>
      </c>
      <c r="W9024" s="42">
        <v>0</v>
      </c>
      <c r="X9024" s="42">
        <v>0</v>
      </c>
    </row>
    <row r="9025" spans="1:24">
      <c r="A9025" s="27" t="s">
        <v>16487</v>
      </c>
      <c r="B9025" s="28" t="s">
        <v>12240</v>
      </c>
      <c r="C9025" s="27" t="s">
        <v>16488</v>
      </c>
      <c r="D9025" s="27" t="s">
        <v>230</v>
      </c>
      <c r="E9025" s="29">
        <v>42457</v>
      </c>
      <c r="F9025" s="27">
        <v>15</v>
      </c>
      <c r="G9025" s="18">
        <v>28250.57</v>
      </c>
      <c r="H9025" s="27">
        <f t="shared" si="280"/>
        <v>0</v>
      </c>
      <c r="I9025" s="18">
        <v>5330.03</v>
      </c>
      <c r="J9025" s="27">
        <v>28250.57</v>
      </c>
      <c r="K9025" s="18">
        <f t="shared" si="281"/>
        <v>0</v>
      </c>
      <c r="L9025" s="27">
        <v>7085.79</v>
      </c>
      <c r="M9025" s="36">
        <v>1755.76</v>
      </c>
      <c r="T9025" s="41">
        <v>0</v>
      </c>
      <c r="U9025" s="41">
        <v>0</v>
      </c>
      <c r="V9025" s="42" t="s">
        <v>113</v>
      </c>
      <c r="W9025" s="42">
        <v>0</v>
      </c>
      <c r="X9025" s="42">
        <v>0</v>
      </c>
    </row>
    <row r="9026" spans="1:24">
      <c r="A9026" s="27" t="s">
        <v>16489</v>
      </c>
      <c r="B9026" s="28" t="s">
        <v>12240</v>
      </c>
      <c r="C9026" s="27" t="s">
        <v>16490</v>
      </c>
      <c r="D9026" s="27" t="s">
        <v>230</v>
      </c>
      <c r="E9026" s="29">
        <v>42457</v>
      </c>
      <c r="F9026" s="27">
        <v>15</v>
      </c>
      <c r="G9026" s="18">
        <v>39046.080000000002</v>
      </c>
      <c r="H9026" s="27">
        <f t="shared" si="280"/>
        <v>0</v>
      </c>
      <c r="I9026" s="18">
        <v>7366.8</v>
      </c>
      <c r="J9026" s="27">
        <v>39046.080000000002</v>
      </c>
      <c r="K9026" s="18">
        <f t="shared" si="281"/>
        <v>0</v>
      </c>
      <c r="L9026" s="27">
        <v>9793.49</v>
      </c>
      <c r="M9026" s="36">
        <v>2426.69</v>
      </c>
      <c r="T9026" s="41">
        <v>0</v>
      </c>
      <c r="U9026" s="41">
        <v>0</v>
      </c>
      <c r="V9026" s="42" t="s">
        <v>113</v>
      </c>
      <c r="W9026" s="42">
        <v>0</v>
      </c>
      <c r="X9026" s="42">
        <v>0</v>
      </c>
    </row>
    <row r="9027" spans="1:24">
      <c r="A9027" s="27" t="s">
        <v>16491</v>
      </c>
      <c r="B9027" s="28" t="s">
        <v>12240</v>
      </c>
      <c r="C9027" s="27" t="s">
        <v>16492</v>
      </c>
      <c r="D9027" s="27" t="s">
        <v>230</v>
      </c>
      <c r="E9027" s="29">
        <v>42457</v>
      </c>
      <c r="F9027" s="27">
        <v>15</v>
      </c>
      <c r="G9027" s="18">
        <v>37941.800000000003</v>
      </c>
      <c r="H9027" s="27">
        <f t="shared" si="280"/>
        <v>0</v>
      </c>
      <c r="I9027" s="18">
        <v>7158.45</v>
      </c>
      <c r="J9027" s="27">
        <v>37941.800000000003</v>
      </c>
      <c r="K9027" s="18">
        <f t="shared" si="281"/>
        <v>0</v>
      </c>
      <c r="L9027" s="27">
        <v>9516.51</v>
      </c>
      <c r="M9027" s="36">
        <v>2358.06</v>
      </c>
      <c r="T9027" s="41">
        <v>0</v>
      </c>
      <c r="U9027" s="41">
        <v>0</v>
      </c>
      <c r="V9027" s="42" t="s">
        <v>113</v>
      </c>
      <c r="W9027" s="42">
        <v>0</v>
      </c>
      <c r="X9027" s="42">
        <v>0</v>
      </c>
    </row>
    <row r="9028" spans="1:24">
      <c r="A9028" s="27" t="s">
        <v>16493</v>
      </c>
      <c r="B9028" s="28" t="s">
        <v>12240</v>
      </c>
      <c r="C9028" s="27" t="s">
        <v>16494</v>
      </c>
      <c r="D9028" s="27" t="s">
        <v>230</v>
      </c>
      <c r="E9028" s="29">
        <v>42457</v>
      </c>
      <c r="F9028" s="27">
        <v>15</v>
      </c>
      <c r="G9028" s="18">
        <v>41297.589999999997</v>
      </c>
      <c r="H9028" s="27">
        <f t="shared" si="280"/>
        <v>0</v>
      </c>
      <c r="I9028" s="18">
        <v>7791.6</v>
      </c>
      <c r="J9028" s="27">
        <v>41297.589999999997</v>
      </c>
      <c r="K9028" s="18">
        <f t="shared" si="281"/>
        <v>0</v>
      </c>
      <c r="L9028" s="27">
        <v>10358.219999999999</v>
      </c>
      <c r="M9028" s="36">
        <v>2566.62</v>
      </c>
      <c r="T9028" s="41">
        <v>0</v>
      </c>
      <c r="U9028" s="41">
        <v>0</v>
      </c>
      <c r="V9028" s="42" t="s">
        <v>113</v>
      </c>
      <c r="W9028" s="42">
        <v>0</v>
      </c>
      <c r="X9028" s="42">
        <v>0</v>
      </c>
    </row>
    <row r="9029" spans="1:24">
      <c r="A9029" s="27" t="s">
        <v>16495</v>
      </c>
      <c r="B9029" s="28" t="s">
        <v>12240</v>
      </c>
      <c r="C9029" s="27" t="s">
        <v>16496</v>
      </c>
      <c r="D9029" s="27" t="s">
        <v>230</v>
      </c>
      <c r="E9029" s="29">
        <v>42457</v>
      </c>
      <c r="F9029" s="27">
        <v>15</v>
      </c>
      <c r="G9029" s="18">
        <v>40461.96</v>
      </c>
      <c r="H9029" s="27">
        <f t="shared" si="280"/>
        <v>0</v>
      </c>
      <c r="I9029" s="18">
        <v>7633.95</v>
      </c>
      <c r="J9029" s="27">
        <v>40461.96</v>
      </c>
      <c r="K9029" s="18">
        <f t="shared" si="281"/>
        <v>0</v>
      </c>
      <c r="L9029" s="27">
        <v>10148.64</v>
      </c>
      <c r="M9029" s="36">
        <v>2514.69</v>
      </c>
      <c r="T9029" s="41">
        <v>0</v>
      </c>
      <c r="U9029" s="41">
        <v>0</v>
      </c>
      <c r="V9029" s="42" t="s">
        <v>113</v>
      </c>
      <c r="W9029" s="42">
        <v>0</v>
      </c>
      <c r="X9029" s="42">
        <v>0</v>
      </c>
    </row>
    <row r="9030" spans="1:24">
      <c r="A9030" s="27" t="s">
        <v>16497</v>
      </c>
      <c r="B9030" s="28" t="s">
        <v>12240</v>
      </c>
      <c r="C9030" s="27" t="s">
        <v>16498</v>
      </c>
      <c r="D9030" s="27" t="s">
        <v>230</v>
      </c>
      <c r="E9030" s="29">
        <v>42457</v>
      </c>
      <c r="F9030" s="27">
        <v>15</v>
      </c>
      <c r="G9030" s="18">
        <v>49309.36</v>
      </c>
      <c r="H9030" s="27">
        <f t="shared" ref="H9030:H9093" si="282">IFERROR(IF(ROUND((G9030-I9030)/G9030,2)&lt;=0.05,G9030,0),0)</f>
        <v>0</v>
      </c>
      <c r="I9030" s="18">
        <v>9303.17</v>
      </c>
      <c r="J9030" s="27">
        <v>49309.36</v>
      </c>
      <c r="K9030" s="18">
        <f t="shared" ref="K9030:K9093" si="283">IFERROR(IF(ROUND((J9030-L9030)/J9030,2)&lt;=0.05,J9030,0),0)</f>
        <v>0</v>
      </c>
      <c r="L9030" s="27">
        <v>12367.72</v>
      </c>
      <c r="M9030" s="36">
        <v>3064.55</v>
      </c>
      <c r="T9030" s="41">
        <v>0</v>
      </c>
      <c r="U9030" s="41">
        <v>0</v>
      </c>
      <c r="V9030" s="42" t="s">
        <v>113</v>
      </c>
      <c r="W9030" s="42">
        <v>0</v>
      </c>
      <c r="X9030" s="42">
        <v>0</v>
      </c>
    </row>
    <row r="9031" spans="1:24">
      <c r="A9031" s="27" t="s">
        <v>16499</v>
      </c>
      <c r="B9031" s="28" t="s">
        <v>12240</v>
      </c>
      <c r="C9031" s="27" t="s">
        <v>16500</v>
      </c>
      <c r="D9031" s="27" t="s">
        <v>230</v>
      </c>
      <c r="E9031" s="29">
        <v>42457</v>
      </c>
      <c r="F9031" s="27">
        <v>15</v>
      </c>
      <c r="G9031" s="18">
        <v>28791.06</v>
      </c>
      <c r="H9031" s="27">
        <f t="shared" si="282"/>
        <v>0</v>
      </c>
      <c r="I9031" s="18">
        <v>5432</v>
      </c>
      <c r="J9031" s="27">
        <v>28791.06</v>
      </c>
      <c r="K9031" s="18">
        <f t="shared" si="283"/>
        <v>0</v>
      </c>
      <c r="L9031" s="27">
        <v>7221.35</v>
      </c>
      <c r="M9031" s="36">
        <v>1789.35</v>
      </c>
      <c r="T9031" s="41">
        <v>0</v>
      </c>
      <c r="U9031" s="41">
        <v>0</v>
      </c>
      <c r="V9031" s="42" t="s">
        <v>113</v>
      </c>
      <c r="W9031" s="42">
        <v>0</v>
      </c>
      <c r="X9031" s="42">
        <v>0</v>
      </c>
    </row>
    <row r="9032" spans="1:24">
      <c r="A9032" s="27" t="s">
        <v>16501</v>
      </c>
      <c r="B9032" s="28" t="s">
        <v>12240</v>
      </c>
      <c r="C9032" s="27" t="s">
        <v>16502</v>
      </c>
      <c r="D9032" s="27" t="s">
        <v>230</v>
      </c>
      <c r="E9032" s="29">
        <v>42457</v>
      </c>
      <c r="F9032" s="27">
        <v>15</v>
      </c>
      <c r="G9032" s="18">
        <v>31721.38</v>
      </c>
      <c r="H9032" s="27">
        <f t="shared" si="282"/>
        <v>0</v>
      </c>
      <c r="I9032" s="18">
        <v>5984.86</v>
      </c>
      <c r="J9032" s="27">
        <v>31721.38</v>
      </c>
      <c r="K9032" s="18">
        <f t="shared" si="283"/>
        <v>0</v>
      </c>
      <c r="L9032" s="27">
        <v>7956.33</v>
      </c>
      <c r="M9032" s="36">
        <v>1971.47</v>
      </c>
      <c r="T9032" s="41">
        <v>0</v>
      </c>
      <c r="U9032" s="41">
        <v>0</v>
      </c>
      <c r="V9032" s="42" t="s">
        <v>113</v>
      </c>
      <c r="W9032" s="42">
        <v>0</v>
      </c>
      <c r="X9032" s="42">
        <v>0</v>
      </c>
    </row>
    <row r="9033" spans="1:24">
      <c r="A9033" s="27" t="s">
        <v>16503</v>
      </c>
      <c r="B9033" s="28" t="s">
        <v>12240</v>
      </c>
      <c r="C9033" s="27" t="s">
        <v>16504</v>
      </c>
      <c r="D9033" s="27" t="s">
        <v>230</v>
      </c>
      <c r="E9033" s="29">
        <v>42457</v>
      </c>
      <c r="F9033" s="27">
        <v>15</v>
      </c>
      <c r="G9033" s="18">
        <v>32493.77</v>
      </c>
      <c r="H9033" s="27">
        <f t="shared" si="282"/>
        <v>0</v>
      </c>
      <c r="I9033" s="18">
        <v>6130.58</v>
      </c>
      <c r="J9033" s="27">
        <v>32493.77</v>
      </c>
      <c r="K9033" s="18">
        <f t="shared" si="283"/>
        <v>0</v>
      </c>
      <c r="L9033" s="27">
        <v>8150.05</v>
      </c>
      <c r="M9033" s="36">
        <v>2019.47</v>
      </c>
      <c r="T9033" s="41">
        <v>0</v>
      </c>
      <c r="U9033" s="41">
        <v>0</v>
      </c>
      <c r="V9033" s="42" t="s">
        <v>113</v>
      </c>
      <c r="W9033" s="42">
        <v>0</v>
      </c>
      <c r="X9033" s="42">
        <v>0</v>
      </c>
    </row>
    <row r="9034" spans="1:24">
      <c r="A9034" s="27" t="s">
        <v>16505</v>
      </c>
      <c r="B9034" s="28" t="s">
        <v>12240</v>
      </c>
      <c r="C9034" s="27" t="s">
        <v>16506</v>
      </c>
      <c r="D9034" s="27" t="s">
        <v>230</v>
      </c>
      <c r="E9034" s="29">
        <v>42457</v>
      </c>
      <c r="F9034" s="27">
        <v>15</v>
      </c>
      <c r="G9034" s="18">
        <v>35997.24</v>
      </c>
      <c r="H9034" s="27">
        <f t="shared" si="282"/>
        <v>0</v>
      </c>
      <c r="I9034" s="18">
        <v>6791.57</v>
      </c>
      <c r="J9034" s="27">
        <v>35997.24</v>
      </c>
      <c r="K9034" s="18">
        <f t="shared" si="283"/>
        <v>0</v>
      </c>
      <c r="L9034" s="27">
        <v>9028.7800000000007</v>
      </c>
      <c r="M9034" s="36">
        <v>2237.21</v>
      </c>
      <c r="T9034" s="41">
        <v>0</v>
      </c>
      <c r="U9034" s="41">
        <v>0</v>
      </c>
      <c r="V9034" s="42" t="s">
        <v>113</v>
      </c>
      <c r="W9034" s="42">
        <v>0</v>
      </c>
      <c r="X9034" s="42">
        <v>0</v>
      </c>
    </row>
    <row r="9035" spans="1:24">
      <c r="A9035" s="27" t="s">
        <v>16507</v>
      </c>
      <c r="B9035" s="28" t="s">
        <v>12240</v>
      </c>
      <c r="C9035" s="27" t="s">
        <v>16508</v>
      </c>
      <c r="D9035" s="27" t="s">
        <v>230</v>
      </c>
      <c r="E9035" s="29">
        <v>42457</v>
      </c>
      <c r="F9035" s="27">
        <v>15</v>
      </c>
      <c r="G9035" s="18">
        <v>36992.81</v>
      </c>
      <c r="H9035" s="27">
        <f t="shared" si="282"/>
        <v>0</v>
      </c>
      <c r="I9035" s="18">
        <v>6979.42</v>
      </c>
      <c r="J9035" s="27">
        <v>36992.81</v>
      </c>
      <c r="K9035" s="18">
        <f t="shared" si="283"/>
        <v>0</v>
      </c>
      <c r="L9035" s="27">
        <v>9278.5</v>
      </c>
      <c r="M9035" s="36">
        <v>2299.08</v>
      </c>
      <c r="T9035" s="41">
        <v>0</v>
      </c>
      <c r="U9035" s="41">
        <v>0</v>
      </c>
      <c r="V9035" s="42" t="s">
        <v>113</v>
      </c>
      <c r="W9035" s="42">
        <v>0</v>
      </c>
      <c r="X9035" s="42">
        <v>0</v>
      </c>
    </row>
    <row r="9036" spans="1:24">
      <c r="A9036" s="27" t="s">
        <v>16509</v>
      </c>
      <c r="B9036" s="28" t="s">
        <v>12240</v>
      </c>
      <c r="C9036" s="27" t="s">
        <v>16510</v>
      </c>
      <c r="D9036" s="27" t="s">
        <v>230</v>
      </c>
      <c r="E9036" s="29">
        <v>39813</v>
      </c>
      <c r="F9036" s="27">
        <v>15</v>
      </c>
      <c r="G9036" s="18">
        <v>31300.880000000001</v>
      </c>
      <c r="H9036" s="27">
        <f t="shared" si="282"/>
        <v>0</v>
      </c>
      <c r="I9036" s="18">
        <v>16875.07</v>
      </c>
      <c r="J9036" s="27">
        <v>31300.880000000001</v>
      </c>
      <c r="K9036" s="18">
        <f t="shared" si="283"/>
        <v>0</v>
      </c>
      <c r="L9036" s="27">
        <v>19447.22</v>
      </c>
      <c r="M9036" s="36">
        <v>2572.15</v>
      </c>
      <c r="T9036" s="41">
        <v>0</v>
      </c>
      <c r="U9036" s="41">
        <v>0</v>
      </c>
      <c r="V9036" s="42" t="s">
        <v>113</v>
      </c>
      <c r="W9036" s="42">
        <v>0</v>
      </c>
      <c r="X9036" s="42">
        <v>0</v>
      </c>
    </row>
    <row r="9037" spans="1:24">
      <c r="A9037" s="27" t="s">
        <v>16511</v>
      </c>
      <c r="B9037" s="28" t="s">
        <v>12240</v>
      </c>
      <c r="C9037" s="27" t="s">
        <v>16512</v>
      </c>
      <c r="D9037" s="27" t="s">
        <v>230</v>
      </c>
      <c r="E9037" s="29">
        <v>41115</v>
      </c>
      <c r="F9037" s="27">
        <v>15</v>
      </c>
      <c r="G9037" s="18">
        <v>19260.68</v>
      </c>
      <c r="H9037" s="27">
        <f t="shared" si="282"/>
        <v>0</v>
      </c>
      <c r="I9037" s="18">
        <v>9302</v>
      </c>
      <c r="J9037" s="27">
        <v>19260.68</v>
      </c>
      <c r="K9037" s="18">
        <f t="shared" si="283"/>
        <v>0</v>
      </c>
      <c r="L9037" s="27">
        <v>10350.040000000001</v>
      </c>
      <c r="M9037" s="36">
        <v>1048.04</v>
      </c>
      <c r="T9037" s="41">
        <v>0</v>
      </c>
      <c r="U9037" s="41">
        <v>0</v>
      </c>
      <c r="V9037" s="42" t="s">
        <v>113</v>
      </c>
      <c r="W9037" s="42">
        <v>0</v>
      </c>
      <c r="X9037" s="42">
        <v>0</v>
      </c>
    </row>
    <row r="9038" spans="1:24">
      <c r="A9038" s="27" t="s">
        <v>16513</v>
      </c>
      <c r="B9038" s="28" t="s">
        <v>12240</v>
      </c>
      <c r="C9038" s="27" t="s">
        <v>16512</v>
      </c>
      <c r="D9038" s="27" t="s">
        <v>230</v>
      </c>
      <c r="E9038" s="29">
        <v>41115</v>
      </c>
      <c r="F9038" s="27">
        <v>15</v>
      </c>
      <c r="G9038" s="18">
        <v>19260.68</v>
      </c>
      <c r="H9038" s="27">
        <f t="shared" si="282"/>
        <v>0</v>
      </c>
      <c r="I9038" s="18">
        <v>9302</v>
      </c>
      <c r="J9038" s="27">
        <v>19260.68</v>
      </c>
      <c r="K9038" s="18">
        <f t="shared" si="283"/>
        <v>0</v>
      </c>
      <c r="L9038" s="27">
        <v>10350.040000000001</v>
      </c>
      <c r="M9038" s="36">
        <v>1048.04</v>
      </c>
      <c r="T9038" s="41">
        <v>0</v>
      </c>
      <c r="U9038" s="41">
        <v>0</v>
      </c>
      <c r="V9038" s="42" t="s">
        <v>113</v>
      </c>
      <c r="W9038" s="42">
        <v>0</v>
      </c>
      <c r="X9038" s="42">
        <v>0</v>
      </c>
    </row>
    <row r="9039" spans="1:24">
      <c r="A9039" s="27" t="s">
        <v>16514</v>
      </c>
      <c r="B9039" s="28" t="s">
        <v>12240</v>
      </c>
      <c r="C9039" s="27" t="s">
        <v>16512</v>
      </c>
      <c r="D9039" s="27" t="s">
        <v>230</v>
      </c>
      <c r="E9039" s="29">
        <v>41115</v>
      </c>
      <c r="F9039" s="27">
        <v>15</v>
      </c>
      <c r="G9039" s="18">
        <v>15136.76</v>
      </c>
      <c r="H9039" s="27">
        <f t="shared" si="282"/>
        <v>0</v>
      </c>
      <c r="I9039" s="18">
        <v>7310.33</v>
      </c>
      <c r="J9039" s="27">
        <v>15136.76</v>
      </c>
      <c r="K9039" s="18">
        <f t="shared" si="283"/>
        <v>0</v>
      </c>
      <c r="L9039" s="27">
        <v>8133.97</v>
      </c>
      <c r="M9039" s="36">
        <v>823.64</v>
      </c>
      <c r="T9039" s="41">
        <v>0</v>
      </c>
      <c r="U9039" s="41">
        <v>0</v>
      </c>
      <c r="V9039" s="42" t="s">
        <v>113</v>
      </c>
      <c r="W9039" s="42">
        <v>0</v>
      </c>
      <c r="X9039" s="42">
        <v>0</v>
      </c>
    </row>
    <row r="9040" spans="1:24">
      <c r="A9040" s="27" t="s">
        <v>16515</v>
      </c>
      <c r="B9040" s="28" t="s">
        <v>12240</v>
      </c>
      <c r="C9040" s="27" t="s">
        <v>16512</v>
      </c>
      <c r="D9040" s="27" t="s">
        <v>230</v>
      </c>
      <c r="E9040" s="29">
        <v>41115</v>
      </c>
      <c r="F9040" s="27">
        <v>15</v>
      </c>
      <c r="G9040" s="18">
        <v>15136.75</v>
      </c>
      <c r="H9040" s="27">
        <f t="shared" si="282"/>
        <v>0</v>
      </c>
      <c r="I9040" s="18">
        <v>7310.33</v>
      </c>
      <c r="J9040" s="27">
        <v>15136.75</v>
      </c>
      <c r="K9040" s="18">
        <f t="shared" si="283"/>
        <v>0</v>
      </c>
      <c r="L9040" s="27">
        <v>8133.97</v>
      </c>
      <c r="M9040" s="36">
        <v>823.64</v>
      </c>
      <c r="T9040" s="41">
        <v>0</v>
      </c>
      <c r="U9040" s="41">
        <v>0</v>
      </c>
      <c r="V9040" s="42" t="s">
        <v>113</v>
      </c>
      <c r="W9040" s="42">
        <v>0</v>
      </c>
      <c r="X9040" s="42">
        <v>0</v>
      </c>
    </row>
    <row r="9041" spans="1:24">
      <c r="A9041" s="27" t="s">
        <v>16516</v>
      </c>
      <c r="B9041" s="28" t="s">
        <v>12240</v>
      </c>
      <c r="C9041" s="27" t="s">
        <v>16512</v>
      </c>
      <c r="D9041" s="27" t="s">
        <v>230</v>
      </c>
      <c r="E9041" s="29">
        <v>41115</v>
      </c>
      <c r="F9041" s="27">
        <v>15</v>
      </c>
      <c r="G9041" s="18">
        <v>15136.75</v>
      </c>
      <c r="H9041" s="27">
        <f t="shared" si="282"/>
        <v>0</v>
      </c>
      <c r="I9041" s="18">
        <v>7310.33</v>
      </c>
      <c r="J9041" s="27">
        <v>15136.75</v>
      </c>
      <c r="K9041" s="18">
        <f t="shared" si="283"/>
        <v>0</v>
      </c>
      <c r="L9041" s="27">
        <v>8133.97</v>
      </c>
      <c r="M9041" s="36">
        <v>823.64</v>
      </c>
      <c r="T9041" s="41">
        <v>0</v>
      </c>
      <c r="U9041" s="41">
        <v>0</v>
      </c>
      <c r="V9041" s="42" t="s">
        <v>113</v>
      </c>
      <c r="W9041" s="42">
        <v>0</v>
      </c>
      <c r="X9041" s="42">
        <v>0</v>
      </c>
    </row>
    <row r="9042" spans="1:24">
      <c r="A9042" s="27" t="s">
        <v>16517</v>
      </c>
      <c r="B9042" s="28" t="s">
        <v>12240</v>
      </c>
      <c r="C9042" s="27" t="s">
        <v>16512</v>
      </c>
      <c r="D9042" s="27" t="s">
        <v>230</v>
      </c>
      <c r="E9042" s="29">
        <v>41115</v>
      </c>
      <c r="F9042" s="27">
        <v>15</v>
      </c>
      <c r="G9042" s="18">
        <v>15136.75</v>
      </c>
      <c r="H9042" s="27">
        <f t="shared" si="282"/>
        <v>0</v>
      </c>
      <c r="I9042" s="18">
        <v>7310.33</v>
      </c>
      <c r="J9042" s="27">
        <v>15136.75</v>
      </c>
      <c r="K9042" s="18">
        <f t="shared" si="283"/>
        <v>0</v>
      </c>
      <c r="L9042" s="27">
        <v>8133.97</v>
      </c>
      <c r="M9042" s="36">
        <v>823.64</v>
      </c>
      <c r="T9042" s="41">
        <v>0</v>
      </c>
      <c r="U9042" s="41">
        <v>0</v>
      </c>
      <c r="V9042" s="42" t="s">
        <v>113</v>
      </c>
      <c r="W9042" s="42">
        <v>0</v>
      </c>
      <c r="X9042" s="42">
        <v>0</v>
      </c>
    </row>
    <row r="9043" spans="1:24">
      <c r="A9043" s="27" t="s">
        <v>16518</v>
      </c>
      <c r="B9043" s="28" t="s">
        <v>12240</v>
      </c>
      <c r="C9043" s="27" t="s">
        <v>16512</v>
      </c>
      <c r="D9043" s="27" t="s">
        <v>230</v>
      </c>
      <c r="E9043" s="29">
        <v>41115</v>
      </c>
      <c r="F9043" s="27">
        <v>15</v>
      </c>
      <c r="G9043" s="18">
        <v>11837.61</v>
      </c>
      <c r="H9043" s="27">
        <f t="shared" si="282"/>
        <v>0</v>
      </c>
      <c r="I9043" s="18">
        <v>5717.02</v>
      </c>
      <c r="J9043" s="27">
        <v>11837.61</v>
      </c>
      <c r="K9043" s="18">
        <f t="shared" si="283"/>
        <v>0</v>
      </c>
      <c r="L9043" s="27">
        <v>6361.14</v>
      </c>
      <c r="M9043" s="36">
        <v>644.12</v>
      </c>
      <c r="T9043" s="41">
        <v>0</v>
      </c>
      <c r="U9043" s="41">
        <v>0</v>
      </c>
      <c r="V9043" s="42" t="s">
        <v>113</v>
      </c>
      <c r="W9043" s="42">
        <v>0</v>
      </c>
      <c r="X9043" s="42">
        <v>0</v>
      </c>
    </row>
    <row r="9044" spans="1:24">
      <c r="A9044" s="27" t="s">
        <v>16519</v>
      </c>
      <c r="B9044" s="28" t="s">
        <v>12240</v>
      </c>
      <c r="C9044" s="27" t="s">
        <v>16512</v>
      </c>
      <c r="D9044" s="27" t="s">
        <v>230</v>
      </c>
      <c r="E9044" s="29">
        <v>41115</v>
      </c>
      <c r="F9044" s="27">
        <v>15</v>
      </c>
      <c r="G9044" s="18">
        <v>11837.6</v>
      </c>
      <c r="H9044" s="27">
        <f t="shared" si="282"/>
        <v>0</v>
      </c>
      <c r="I9044" s="18">
        <v>5717.01</v>
      </c>
      <c r="J9044" s="27">
        <v>11837.6</v>
      </c>
      <c r="K9044" s="18">
        <f t="shared" si="283"/>
        <v>0</v>
      </c>
      <c r="L9044" s="27">
        <v>6361.13</v>
      </c>
      <c r="M9044" s="36">
        <v>644.12</v>
      </c>
      <c r="T9044" s="41">
        <v>0</v>
      </c>
      <c r="U9044" s="41">
        <v>0</v>
      </c>
      <c r="V9044" s="42" t="s">
        <v>113</v>
      </c>
      <c r="W9044" s="42">
        <v>0</v>
      </c>
      <c r="X9044" s="42">
        <v>0</v>
      </c>
    </row>
    <row r="9045" spans="1:24">
      <c r="A9045" s="27" t="s">
        <v>16520</v>
      </c>
      <c r="B9045" s="28" t="s">
        <v>12240</v>
      </c>
      <c r="C9045" s="27" t="s">
        <v>16512</v>
      </c>
      <c r="D9045" s="27" t="s">
        <v>230</v>
      </c>
      <c r="E9045" s="29">
        <v>41115</v>
      </c>
      <c r="F9045" s="27">
        <v>15</v>
      </c>
      <c r="G9045" s="18">
        <v>11837.6</v>
      </c>
      <c r="H9045" s="27">
        <f t="shared" si="282"/>
        <v>0</v>
      </c>
      <c r="I9045" s="18">
        <v>5717.01</v>
      </c>
      <c r="J9045" s="27">
        <v>11837.6</v>
      </c>
      <c r="K9045" s="18">
        <f t="shared" si="283"/>
        <v>0</v>
      </c>
      <c r="L9045" s="27">
        <v>6361.13</v>
      </c>
      <c r="M9045" s="36">
        <v>644.12</v>
      </c>
      <c r="T9045" s="41">
        <v>0</v>
      </c>
      <c r="U9045" s="41">
        <v>0</v>
      </c>
      <c r="V9045" s="42" t="s">
        <v>113</v>
      </c>
      <c r="W9045" s="42">
        <v>0</v>
      </c>
      <c r="X9045" s="42">
        <v>0</v>
      </c>
    </row>
    <row r="9046" spans="1:24">
      <c r="A9046" s="27" t="s">
        <v>16521</v>
      </c>
      <c r="B9046" s="28" t="s">
        <v>12240</v>
      </c>
      <c r="C9046" s="27" t="s">
        <v>16512</v>
      </c>
      <c r="D9046" s="27" t="s">
        <v>230</v>
      </c>
      <c r="E9046" s="29">
        <v>41115</v>
      </c>
      <c r="F9046" s="27">
        <v>15</v>
      </c>
      <c r="G9046" s="18">
        <v>11837.6</v>
      </c>
      <c r="H9046" s="27">
        <f t="shared" si="282"/>
        <v>0</v>
      </c>
      <c r="I9046" s="18">
        <v>5717.01</v>
      </c>
      <c r="J9046" s="27">
        <v>11837.6</v>
      </c>
      <c r="K9046" s="18">
        <f t="shared" si="283"/>
        <v>0</v>
      </c>
      <c r="L9046" s="27">
        <v>6361.13</v>
      </c>
      <c r="M9046" s="36">
        <v>644.12</v>
      </c>
      <c r="T9046" s="41">
        <v>0</v>
      </c>
      <c r="U9046" s="41">
        <v>0</v>
      </c>
      <c r="V9046" s="42" t="s">
        <v>113</v>
      </c>
      <c r="W9046" s="42">
        <v>0</v>
      </c>
      <c r="X9046" s="42">
        <v>0</v>
      </c>
    </row>
    <row r="9047" spans="1:24">
      <c r="A9047" s="27" t="s">
        <v>16522</v>
      </c>
      <c r="B9047" s="28" t="s">
        <v>12240</v>
      </c>
      <c r="C9047" s="27" t="s">
        <v>16512</v>
      </c>
      <c r="D9047" s="27" t="s">
        <v>230</v>
      </c>
      <c r="E9047" s="29">
        <v>41115</v>
      </c>
      <c r="F9047" s="27">
        <v>15</v>
      </c>
      <c r="G9047" s="18">
        <v>11837.6</v>
      </c>
      <c r="H9047" s="27">
        <f t="shared" si="282"/>
        <v>0</v>
      </c>
      <c r="I9047" s="18">
        <v>5717.01</v>
      </c>
      <c r="J9047" s="27">
        <v>11837.6</v>
      </c>
      <c r="K9047" s="18">
        <f t="shared" si="283"/>
        <v>0</v>
      </c>
      <c r="L9047" s="27">
        <v>6361.13</v>
      </c>
      <c r="M9047" s="36">
        <v>644.12</v>
      </c>
      <c r="T9047" s="41">
        <v>0</v>
      </c>
      <c r="U9047" s="41">
        <v>0</v>
      </c>
      <c r="V9047" s="42" t="s">
        <v>113</v>
      </c>
      <c r="W9047" s="42">
        <v>0</v>
      </c>
      <c r="X9047" s="42">
        <v>0</v>
      </c>
    </row>
    <row r="9048" spans="1:24">
      <c r="A9048" s="27" t="s">
        <v>16523</v>
      </c>
      <c r="B9048" s="28" t="s">
        <v>12240</v>
      </c>
      <c r="C9048" s="27" t="s">
        <v>16512</v>
      </c>
      <c r="D9048" s="27" t="s">
        <v>230</v>
      </c>
      <c r="E9048" s="29">
        <v>41115</v>
      </c>
      <c r="F9048" s="27">
        <v>15</v>
      </c>
      <c r="G9048" s="18">
        <v>11837.6</v>
      </c>
      <c r="H9048" s="27">
        <f t="shared" si="282"/>
        <v>0</v>
      </c>
      <c r="I9048" s="18">
        <v>5717.01</v>
      </c>
      <c r="J9048" s="27">
        <v>11837.6</v>
      </c>
      <c r="K9048" s="18">
        <f t="shared" si="283"/>
        <v>0</v>
      </c>
      <c r="L9048" s="27">
        <v>6361.13</v>
      </c>
      <c r="M9048" s="36">
        <v>644.12</v>
      </c>
      <c r="T9048" s="41">
        <v>0</v>
      </c>
      <c r="U9048" s="41">
        <v>0</v>
      </c>
      <c r="V9048" s="42" t="s">
        <v>113</v>
      </c>
      <c r="W9048" s="42">
        <v>0</v>
      </c>
      <c r="X9048" s="42">
        <v>0</v>
      </c>
    </row>
    <row r="9049" spans="1:24">
      <c r="A9049" s="27" t="s">
        <v>16524</v>
      </c>
      <c r="B9049" s="28" t="s">
        <v>12240</v>
      </c>
      <c r="C9049" s="27" t="s">
        <v>16512</v>
      </c>
      <c r="D9049" s="27" t="s">
        <v>230</v>
      </c>
      <c r="E9049" s="29">
        <v>41115</v>
      </c>
      <c r="F9049" s="27">
        <v>15</v>
      </c>
      <c r="G9049" s="18">
        <v>10000</v>
      </c>
      <c r="H9049" s="27">
        <f t="shared" si="282"/>
        <v>0</v>
      </c>
      <c r="I9049" s="18">
        <v>4829.51</v>
      </c>
      <c r="J9049" s="27">
        <v>10000</v>
      </c>
      <c r="K9049" s="18">
        <f t="shared" si="283"/>
        <v>0</v>
      </c>
      <c r="L9049" s="27">
        <v>5373.64</v>
      </c>
      <c r="M9049" s="36">
        <v>544.13</v>
      </c>
      <c r="T9049" s="41">
        <v>0</v>
      </c>
      <c r="U9049" s="41">
        <v>0</v>
      </c>
      <c r="V9049" s="42" t="s">
        <v>113</v>
      </c>
      <c r="W9049" s="42">
        <v>0</v>
      </c>
      <c r="X9049" s="42">
        <v>0</v>
      </c>
    </row>
    <row r="9050" spans="1:24">
      <c r="A9050" s="27" t="s">
        <v>16525</v>
      </c>
      <c r="B9050" s="28" t="s">
        <v>12240</v>
      </c>
      <c r="C9050" s="27" t="s">
        <v>16512</v>
      </c>
      <c r="D9050" s="27" t="s">
        <v>230</v>
      </c>
      <c r="E9050" s="29">
        <v>41115</v>
      </c>
      <c r="F9050" s="27">
        <v>15</v>
      </c>
      <c r="G9050" s="18">
        <v>10000</v>
      </c>
      <c r="H9050" s="27">
        <f t="shared" si="282"/>
        <v>0</v>
      </c>
      <c r="I9050" s="18">
        <v>4829.51</v>
      </c>
      <c r="J9050" s="27">
        <v>10000</v>
      </c>
      <c r="K9050" s="18">
        <f t="shared" si="283"/>
        <v>0</v>
      </c>
      <c r="L9050" s="27">
        <v>5373.64</v>
      </c>
      <c r="M9050" s="36">
        <v>544.13</v>
      </c>
      <c r="T9050" s="41">
        <v>0</v>
      </c>
      <c r="U9050" s="41">
        <v>0</v>
      </c>
      <c r="V9050" s="42" t="s">
        <v>113</v>
      </c>
      <c r="W9050" s="42">
        <v>0</v>
      </c>
      <c r="X9050" s="42">
        <v>0</v>
      </c>
    </row>
    <row r="9051" spans="1:24">
      <c r="A9051" s="27" t="s">
        <v>16526</v>
      </c>
      <c r="B9051" s="28" t="s">
        <v>12240</v>
      </c>
      <c r="C9051" s="27" t="s">
        <v>16512</v>
      </c>
      <c r="D9051" s="27" t="s">
        <v>230</v>
      </c>
      <c r="E9051" s="29">
        <v>41115</v>
      </c>
      <c r="F9051" s="27">
        <v>15</v>
      </c>
      <c r="G9051" s="18">
        <v>10000</v>
      </c>
      <c r="H9051" s="27">
        <f t="shared" si="282"/>
        <v>0</v>
      </c>
      <c r="I9051" s="18">
        <v>4829.51</v>
      </c>
      <c r="J9051" s="27">
        <v>10000</v>
      </c>
      <c r="K9051" s="18">
        <f t="shared" si="283"/>
        <v>0</v>
      </c>
      <c r="L9051" s="27">
        <v>5373.64</v>
      </c>
      <c r="M9051" s="36">
        <v>544.13</v>
      </c>
      <c r="T9051" s="41">
        <v>0</v>
      </c>
      <c r="U9051" s="41">
        <v>0</v>
      </c>
      <c r="V9051" s="42" t="s">
        <v>113</v>
      </c>
      <c r="W9051" s="42">
        <v>0</v>
      </c>
      <c r="X9051" s="42">
        <v>0</v>
      </c>
    </row>
    <row r="9052" spans="1:24">
      <c r="A9052" s="27" t="s">
        <v>16527</v>
      </c>
      <c r="B9052" s="28" t="s">
        <v>12240</v>
      </c>
      <c r="C9052" s="27" t="s">
        <v>16512</v>
      </c>
      <c r="D9052" s="27" t="s">
        <v>230</v>
      </c>
      <c r="E9052" s="29">
        <v>41115</v>
      </c>
      <c r="F9052" s="27">
        <v>15</v>
      </c>
      <c r="G9052" s="18">
        <v>10000</v>
      </c>
      <c r="H9052" s="27">
        <f t="shared" si="282"/>
        <v>0</v>
      </c>
      <c r="I9052" s="18">
        <v>4829.51</v>
      </c>
      <c r="J9052" s="27">
        <v>10000</v>
      </c>
      <c r="K9052" s="18">
        <f t="shared" si="283"/>
        <v>0</v>
      </c>
      <c r="L9052" s="27">
        <v>5373.64</v>
      </c>
      <c r="M9052" s="36">
        <v>544.13</v>
      </c>
      <c r="T9052" s="41">
        <v>0</v>
      </c>
      <c r="U9052" s="41">
        <v>0</v>
      </c>
      <c r="V9052" s="42" t="s">
        <v>113</v>
      </c>
      <c r="W9052" s="42">
        <v>0</v>
      </c>
      <c r="X9052" s="42">
        <v>0</v>
      </c>
    </row>
    <row r="9053" spans="1:24">
      <c r="A9053" s="27" t="s">
        <v>16528</v>
      </c>
      <c r="B9053" s="28" t="s">
        <v>12240</v>
      </c>
      <c r="C9053" s="27" t="s">
        <v>16512</v>
      </c>
      <c r="D9053" s="27" t="s">
        <v>230</v>
      </c>
      <c r="E9053" s="29">
        <v>41115</v>
      </c>
      <c r="F9053" s="27">
        <v>15</v>
      </c>
      <c r="G9053" s="18">
        <v>10000</v>
      </c>
      <c r="H9053" s="27">
        <f t="shared" si="282"/>
        <v>0</v>
      </c>
      <c r="I9053" s="18">
        <v>4829.51</v>
      </c>
      <c r="J9053" s="27">
        <v>10000</v>
      </c>
      <c r="K9053" s="18">
        <f t="shared" si="283"/>
        <v>0</v>
      </c>
      <c r="L9053" s="27">
        <v>5373.64</v>
      </c>
      <c r="M9053" s="36">
        <v>544.13</v>
      </c>
      <c r="T9053" s="41">
        <v>0</v>
      </c>
      <c r="U9053" s="41">
        <v>0</v>
      </c>
      <c r="V9053" s="42" t="s">
        <v>113</v>
      </c>
      <c r="W9053" s="42">
        <v>0</v>
      </c>
      <c r="X9053" s="42">
        <v>0</v>
      </c>
    </row>
    <row r="9054" spans="1:24">
      <c r="A9054" s="27" t="s">
        <v>16529</v>
      </c>
      <c r="B9054" s="28" t="s">
        <v>12240</v>
      </c>
      <c r="C9054" s="27" t="s">
        <v>16512</v>
      </c>
      <c r="D9054" s="27" t="s">
        <v>230</v>
      </c>
      <c r="E9054" s="29">
        <v>41115</v>
      </c>
      <c r="F9054" s="27">
        <v>15</v>
      </c>
      <c r="G9054" s="18">
        <v>7611.11</v>
      </c>
      <c r="H9054" s="27">
        <f t="shared" si="282"/>
        <v>0</v>
      </c>
      <c r="I9054" s="18">
        <v>3675.8</v>
      </c>
      <c r="J9054" s="27">
        <v>7611.11</v>
      </c>
      <c r="K9054" s="18">
        <f t="shared" si="283"/>
        <v>0</v>
      </c>
      <c r="L9054" s="27">
        <v>4089.95</v>
      </c>
      <c r="M9054" s="36">
        <v>414.15</v>
      </c>
      <c r="T9054" s="41">
        <v>0</v>
      </c>
      <c r="U9054" s="41">
        <v>0</v>
      </c>
      <c r="V9054" s="42" t="s">
        <v>113</v>
      </c>
      <c r="W9054" s="42">
        <v>0</v>
      </c>
      <c r="X9054" s="42">
        <v>0</v>
      </c>
    </row>
    <row r="9055" spans="1:24">
      <c r="A9055" s="27" t="s">
        <v>16530</v>
      </c>
      <c r="B9055" s="28" t="s">
        <v>12240</v>
      </c>
      <c r="C9055" s="27" t="s">
        <v>16512</v>
      </c>
      <c r="D9055" s="27" t="s">
        <v>230</v>
      </c>
      <c r="E9055" s="29">
        <v>41115</v>
      </c>
      <c r="F9055" s="27">
        <v>15</v>
      </c>
      <c r="G9055" s="18">
        <v>7611.11</v>
      </c>
      <c r="H9055" s="27">
        <f t="shared" si="282"/>
        <v>0</v>
      </c>
      <c r="I9055" s="18">
        <v>3675.8</v>
      </c>
      <c r="J9055" s="27">
        <v>7611.11</v>
      </c>
      <c r="K9055" s="18">
        <f t="shared" si="283"/>
        <v>0</v>
      </c>
      <c r="L9055" s="27">
        <v>4089.95</v>
      </c>
      <c r="M9055" s="36">
        <v>414.15</v>
      </c>
      <c r="T9055" s="41">
        <v>0</v>
      </c>
      <c r="U9055" s="41">
        <v>0</v>
      </c>
      <c r="V9055" s="42" t="s">
        <v>113</v>
      </c>
      <c r="W9055" s="42">
        <v>0</v>
      </c>
      <c r="X9055" s="42">
        <v>0</v>
      </c>
    </row>
    <row r="9056" spans="1:24">
      <c r="A9056" s="27" t="s">
        <v>16531</v>
      </c>
      <c r="B9056" s="28" t="s">
        <v>12240</v>
      </c>
      <c r="C9056" s="27" t="s">
        <v>16512</v>
      </c>
      <c r="D9056" s="27" t="s">
        <v>230</v>
      </c>
      <c r="E9056" s="29">
        <v>41115</v>
      </c>
      <c r="F9056" s="27">
        <v>15</v>
      </c>
      <c r="G9056" s="18">
        <v>7611.11</v>
      </c>
      <c r="H9056" s="27">
        <f t="shared" si="282"/>
        <v>0</v>
      </c>
      <c r="I9056" s="18">
        <v>3675.8</v>
      </c>
      <c r="J9056" s="27">
        <v>7611.11</v>
      </c>
      <c r="K9056" s="18">
        <f t="shared" si="283"/>
        <v>0</v>
      </c>
      <c r="L9056" s="27">
        <v>4089.95</v>
      </c>
      <c r="M9056" s="36">
        <v>414.15</v>
      </c>
      <c r="T9056" s="41">
        <v>0</v>
      </c>
      <c r="U9056" s="41">
        <v>0</v>
      </c>
      <c r="V9056" s="42" t="s">
        <v>113</v>
      </c>
      <c r="W9056" s="42">
        <v>0</v>
      </c>
      <c r="X9056" s="42">
        <v>0</v>
      </c>
    </row>
    <row r="9057" spans="1:24">
      <c r="A9057" s="27" t="s">
        <v>16532</v>
      </c>
      <c r="B9057" s="28" t="s">
        <v>12240</v>
      </c>
      <c r="C9057" s="27" t="s">
        <v>16533</v>
      </c>
      <c r="D9057" s="27" t="s">
        <v>230</v>
      </c>
      <c r="E9057" s="29">
        <v>35795</v>
      </c>
      <c r="F9057" s="27">
        <v>15</v>
      </c>
      <c r="G9057" s="18">
        <v>19862.62</v>
      </c>
      <c r="H9057" s="27">
        <f t="shared" si="282"/>
        <v>19862.62</v>
      </c>
      <c r="I9057" s="18">
        <v>18869.490000000002</v>
      </c>
      <c r="J9057" s="27">
        <v>19862.62</v>
      </c>
      <c r="K9057" s="18">
        <f t="shared" si="283"/>
        <v>19862.62</v>
      </c>
      <c r="L9057" s="27">
        <v>18869.490000000002</v>
      </c>
      <c r="M9057" s="36">
        <v>0</v>
      </c>
      <c r="T9057" s="41">
        <v>0</v>
      </c>
      <c r="U9057" s="41">
        <v>0</v>
      </c>
      <c r="V9057" s="42" t="s">
        <v>113</v>
      </c>
      <c r="W9057" s="42">
        <v>19862.62</v>
      </c>
      <c r="X9057" s="42">
        <v>19862.62</v>
      </c>
    </row>
    <row r="9058" spans="1:24">
      <c r="A9058" s="27" t="s">
        <v>16534</v>
      </c>
      <c r="B9058" s="28" t="s">
        <v>12240</v>
      </c>
      <c r="C9058" s="27" t="s">
        <v>16535</v>
      </c>
      <c r="D9058" s="27" t="s">
        <v>230</v>
      </c>
      <c r="E9058" s="29">
        <v>35795</v>
      </c>
      <c r="F9058" s="27">
        <v>15</v>
      </c>
      <c r="G9058" s="18">
        <v>19862.62</v>
      </c>
      <c r="H9058" s="27">
        <f t="shared" si="282"/>
        <v>19862.62</v>
      </c>
      <c r="I9058" s="18">
        <v>18869.490000000002</v>
      </c>
      <c r="J9058" s="27">
        <v>19862.62</v>
      </c>
      <c r="K9058" s="18">
        <f t="shared" si="283"/>
        <v>19862.62</v>
      </c>
      <c r="L9058" s="27">
        <v>18869.490000000002</v>
      </c>
      <c r="M9058" s="36">
        <v>0</v>
      </c>
      <c r="T9058" s="41">
        <v>0</v>
      </c>
      <c r="U9058" s="41">
        <v>0</v>
      </c>
      <c r="V9058" s="42" t="s">
        <v>113</v>
      </c>
      <c r="W9058" s="42">
        <v>19862.62</v>
      </c>
      <c r="X9058" s="42">
        <v>19862.62</v>
      </c>
    </row>
    <row r="9059" spans="1:24">
      <c r="A9059" s="27" t="s">
        <v>16536</v>
      </c>
      <c r="B9059" s="28" t="s">
        <v>12240</v>
      </c>
      <c r="C9059" s="27" t="s">
        <v>16537</v>
      </c>
      <c r="D9059" s="27" t="s">
        <v>230</v>
      </c>
      <c r="E9059" s="29">
        <v>35795</v>
      </c>
      <c r="F9059" s="27">
        <v>15</v>
      </c>
      <c r="G9059" s="18">
        <v>19862.62</v>
      </c>
      <c r="H9059" s="27">
        <f t="shared" si="282"/>
        <v>19862.62</v>
      </c>
      <c r="I9059" s="18">
        <v>18869.490000000002</v>
      </c>
      <c r="J9059" s="27">
        <v>19862.62</v>
      </c>
      <c r="K9059" s="18">
        <f t="shared" si="283"/>
        <v>19862.62</v>
      </c>
      <c r="L9059" s="27">
        <v>18869.490000000002</v>
      </c>
      <c r="M9059" s="36">
        <v>0</v>
      </c>
      <c r="T9059" s="41">
        <v>0</v>
      </c>
      <c r="U9059" s="41">
        <v>0</v>
      </c>
      <c r="V9059" s="42" t="s">
        <v>113</v>
      </c>
      <c r="W9059" s="42">
        <v>19862.62</v>
      </c>
      <c r="X9059" s="42">
        <v>19862.62</v>
      </c>
    </row>
    <row r="9060" spans="1:24">
      <c r="A9060" s="27" t="s">
        <v>16538</v>
      </c>
      <c r="B9060" s="28" t="s">
        <v>12240</v>
      </c>
      <c r="C9060" s="27" t="s">
        <v>16539</v>
      </c>
      <c r="D9060" s="27" t="s">
        <v>230</v>
      </c>
      <c r="E9060" s="29">
        <v>35795</v>
      </c>
      <c r="F9060" s="27">
        <v>15</v>
      </c>
      <c r="G9060" s="18">
        <v>19862.62</v>
      </c>
      <c r="H9060" s="27">
        <f t="shared" si="282"/>
        <v>19862.62</v>
      </c>
      <c r="I9060" s="18">
        <v>18869.490000000002</v>
      </c>
      <c r="J9060" s="27">
        <v>19862.62</v>
      </c>
      <c r="K9060" s="18">
        <f t="shared" si="283"/>
        <v>19862.62</v>
      </c>
      <c r="L9060" s="27">
        <v>18869.490000000002</v>
      </c>
      <c r="M9060" s="36">
        <v>0</v>
      </c>
      <c r="T9060" s="41">
        <v>0</v>
      </c>
      <c r="U9060" s="41">
        <v>0</v>
      </c>
      <c r="V9060" s="42" t="s">
        <v>113</v>
      </c>
      <c r="W9060" s="42">
        <v>19862.62</v>
      </c>
      <c r="X9060" s="42">
        <v>19862.62</v>
      </c>
    </row>
    <row r="9061" spans="1:24">
      <c r="A9061" s="27" t="s">
        <v>16540</v>
      </c>
      <c r="B9061" s="28" t="s">
        <v>12240</v>
      </c>
      <c r="C9061" s="27" t="s">
        <v>16541</v>
      </c>
      <c r="D9061" s="27" t="s">
        <v>230</v>
      </c>
      <c r="E9061" s="29">
        <v>35795</v>
      </c>
      <c r="F9061" s="27">
        <v>15</v>
      </c>
      <c r="G9061" s="18">
        <v>19862.62</v>
      </c>
      <c r="H9061" s="27">
        <f t="shared" si="282"/>
        <v>19862.62</v>
      </c>
      <c r="I9061" s="18">
        <v>18869.490000000002</v>
      </c>
      <c r="J9061" s="27">
        <v>19862.62</v>
      </c>
      <c r="K9061" s="18">
        <f t="shared" si="283"/>
        <v>19862.62</v>
      </c>
      <c r="L9061" s="27">
        <v>18869.490000000002</v>
      </c>
      <c r="M9061" s="36">
        <v>0</v>
      </c>
      <c r="T9061" s="41">
        <v>0</v>
      </c>
      <c r="U9061" s="41">
        <v>0</v>
      </c>
      <c r="V9061" s="42" t="s">
        <v>113</v>
      </c>
      <c r="W9061" s="42">
        <v>19862.62</v>
      </c>
      <c r="X9061" s="42">
        <v>19862.62</v>
      </c>
    </row>
    <row r="9062" spans="1:24">
      <c r="A9062" s="27" t="s">
        <v>16542</v>
      </c>
      <c r="B9062" s="28" t="s">
        <v>12240</v>
      </c>
      <c r="C9062" s="27" t="s">
        <v>16543</v>
      </c>
      <c r="D9062" s="27" t="s">
        <v>230</v>
      </c>
      <c r="E9062" s="29">
        <v>35795</v>
      </c>
      <c r="F9062" s="27">
        <v>15</v>
      </c>
      <c r="G9062" s="18">
        <v>19862.62</v>
      </c>
      <c r="H9062" s="27">
        <f t="shared" si="282"/>
        <v>19862.62</v>
      </c>
      <c r="I9062" s="18">
        <v>18869.490000000002</v>
      </c>
      <c r="J9062" s="27">
        <v>19862.62</v>
      </c>
      <c r="K9062" s="18">
        <f t="shared" si="283"/>
        <v>19862.62</v>
      </c>
      <c r="L9062" s="27">
        <v>18869.490000000002</v>
      </c>
      <c r="M9062" s="36">
        <v>0</v>
      </c>
      <c r="T9062" s="41">
        <v>0</v>
      </c>
      <c r="U9062" s="41">
        <v>0</v>
      </c>
      <c r="V9062" s="42" t="s">
        <v>113</v>
      </c>
      <c r="W9062" s="42">
        <v>19862.62</v>
      </c>
      <c r="X9062" s="42">
        <v>19862.62</v>
      </c>
    </row>
    <row r="9063" spans="1:24">
      <c r="A9063" s="27" t="s">
        <v>16544</v>
      </c>
      <c r="B9063" s="28" t="s">
        <v>12240</v>
      </c>
      <c r="C9063" s="27" t="s">
        <v>16545</v>
      </c>
      <c r="D9063" s="27" t="s">
        <v>230</v>
      </c>
      <c r="E9063" s="29">
        <v>35795</v>
      </c>
      <c r="F9063" s="27">
        <v>15</v>
      </c>
      <c r="G9063" s="18">
        <v>19862.62</v>
      </c>
      <c r="H9063" s="27">
        <f t="shared" si="282"/>
        <v>19862.62</v>
      </c>
      <c r="I9063" s="18">
        <v>18869.490000000002</v>
      </c>
      <c r="J9063" s="27">
        <v>19862.62</v>
      </c>
      <c r="K9063" s="18">
        <f t="shared" si="283"/>
        <v>19862.62</v>
      </c>
      <c r="L9063" s="27">
        <v>18869.490000000002</v>
      </c>
      <c r="M9063" s="36">
        <v>0</v>
      </c>
      <c r="T9063" s="41">
        <v>0</v>
      </c>
      <c r="U9063" s="41">
        <v>0</v>
      </c>
      <c r="V9063" s="42" t="s">
        <v>113</v>
      </c>
      <c r="W9063" s="42">
        <v>19862.62</v>
      </c>
      <c r="X9063" s="42">
        <v>19862.62</v>
      </c>
    </row>
    <row r="9064" spans="1:24">
      <c r="A9064" s="27" t="s">
        <v>16546</v>
      </c>
      <c r="B9064" s="28" t="s">
        <v>12240</v>
      </c>
      <c r="C9064" s="27" t="s">
        <v>16547</v>
      </c>
      <c r="D9064" s="27" t="s">
        <v>230</v>
      </c>
      <c r="E9064" s="29">
        <v>35795</v>
      </c>
      <c r="F9064" s="27">
        <v>15</v>
      </c>
      <c r="G9064" s="18">
        <v>19862.62</v>
      </c>
      <c r="H9064" s="27">
        <f t="shared" si="282"/>
        <v>19862.62</v>
      </c>
      <c r="I9064" s="18">
        <v>18869.490000000002</v>
      </c>
      <c r="J9064" s="27">
        <v>19862.62</v>
      </c>
      <c r="K9064" s="18">
        <f t="shared" si="283"/>
        <v>19862.62</v>
      </c>
      <c r="L9064" s="27">
        <v>18869.490000000002</v>
      </c>
      <c r="M9064" s="36">
        <v>0</v>
      </c>
      <c r="T9064" s="41">
        <v>0</v>
      </c>
      <c r="U9064" s="41">
        <v>0</v>
      </c>
      <c r="V9064" s="42" t="s">
        <v>113</v>
      </c>
      <c r="W9064" s="42">
        <v>19862.62</v>
      </c>
      <c r="X9064" s="42">
        <v>19862.62</v>
      </c>
    </row>
    <row r="9065" spans="1:24">
      <c r="A9065" s="27" t="s">
        <v>16548</v>
      </c>
      <c r="B9065" s="28" t="s">
        <v>12240</v>
      </c>
      <c r="C9065" s="27" t="s">
        <v>16533</v>
      </c>
      <c r="D9065" s="27" t="s">
        <v>230</v>
      </c>
      <c r="E9065" s="29">
        <v>35795</v>
      </c>
      <c r="F9065" s="27">
        <v>15</v>
      </c>
      <c r="G9065" s="18">
        <v>9626.11</v>
      </c>
      <c r="H9065" s="27">
        <f t="shared" si="282"/>
        <v>9626.11</v>
      </c>
      <c r="I9065" s="18">
        <v>9144.7999999999993</v>
      </c>
      <c r="J9065" s="27">
        <v>9626.11</v>
      </c>
      <c r="K9065" s="18">
        <f t="shared" si="283"/>
        <v>9626.11</v>
      </c>
      <c r="L9065" s="27">
        <v>9144.7999999999993</v>
      </c>
      <c r="M9065" s="36">
        <v>0</v>
      </c>
      <c r="T9065" s="41">
        <v>0</v>
      </c>
      <c r="U9065" s="41">
        <v>0</v>
      </c>
      <c r="V9065" s="42" t="s">
        <v>113</v>
      </c>
      <c r="W9065" s="42">
        <v>9626.11</v>
      </c>
      <c r="X9065" s="42">
        <v>9626.11</v>
      </c>
    </row>
    <row r="9066" spans="1:24">
      <c r="A9066" s="27" t="s">
        <v>16549</v>
      </c>
      <c r="B9066" s="28" t="s">
        <v>12240</v>
      </c>
      <c r="C9066" s="27" t="s">
        <v>16535</v>
      </c>
      <c r="D9066" s="27" t="s">
        <v>230</v>
      </c>
      <c r="E9066" s="29">
        <v>35795</v>
      </c>
      <c r="F9066" s="27">
        <v>15</v>
      </c>
      <c r="G9066" s="18">
        <v>9626.11</v>
      </c>
      <c r="H9066" s="27">
        <f t="shared" si="282"/>
        <v>9626.11</v>
      </c>
      <c r="I9066" s="18">
        <v>9144.7999999999993</v>
      </c>
      <c r="J9066" s="27">
        <v>9626.11</v>
      </c>
      <c r="K9066" s="18">
        <f t="shared" si="283"/>
        <v>9626.11</v>
      </c>
      <c r="L9066" s="27">
        <v>9144.7999999999993</v>
      </c>
      <c r="M9066" s="36">
        <v>0</v>
      </c>
      <c r="T9066" s="41">
        <v>0</v>
      </c>
      <c r="U9066" s="41">
        <v>0</v>
      </c>
      <c r="V9066" s="42" t="s">
        <v>113</v>
      </c>
      <c r="W9066" s="42">
        <v>9626.11</v>
      </c>
      <c r="X9066" s="42">
        <v>9626.11</v>
      </c>
    </row>
    <row r="9067" spans="1:24">
      <c r="A9067" s="27" t="s">
        <v>16550</v>
      </c>
      <c r="B9067" s="28" t="s">
        <v>12240</v>
      </c>
      <c r="C9067" s="27" t="s">
        <v>16537</v>
      </c>
      <c r="D9067" s="27" t="s">
        <v>230</v>
      </c>
      <c r="E9067" s="29">
        <v>35795</v>
      </c>
      <c r="F9067" s="27">
        <v>15</v>
      </c>
      <c r="G9067" s="18">
        <v>9626.11</v>
      </c>
      <c r="H9067" s="27">
        <f t="shared" si="282"/>
        <v>9626.11</v>
      </c>
      <c r="I9067" s="18">
        <v>9144.7999999999993</v>
      </c>
      <c r="J9067" s="27">
        <v>9626.11</v>
      </c>
      <c r="K9067" s="18">
        <f t="shared" si="283"/>
        <v>9626.11</v>
      </c>
      <c r="L9067" s="27">
        <v>9144.7999999999993</v>
      </c>
      <c r="M9067" s="36">
        <v>0</v>
      </c>
      <c r="T9067" s="41">
        <v>0</v>
      </c>
      <c r="U9067" s="41">
        <v>0</v>
      </c>
      <c r="V9067" s="42" t="s">
        <v>113</v>
      </c>
      <c r="W9067" s="42">
        <v>9626.11</v>
      </c>
      <c r="X9067" s="42">
        <v>9626.11</v>
      </c>
    </row>
    <row r="9068" spans="1:24">
      <c r="A9068" s="27" t="s">
        <v>16551</v>
      </c>
      <c r="B9068" s="28" t="s">
        <v>12240</v>
      </c>
      <c r="C9068" s="27" t="s">
        <v>16539</v>
      </c>
      <c r="D9068" s="27" t="s">
        <v>230</v>
      </c>
      <c r="E9068" s="29">
        <v>35795</v>
      </c>
      <c r="F9068" s="27">
        <v>15</v>
      </c>
      <c r="G9068" s="18">
        <v>9626.11</v>
      </c>
      <c r="H9068" s="27">
        <f t="shared" si="282"/>
        <v>9626.11</v>
      </c>
      <c r="I9068" s="18">
        <v>9144.7999999999993</v>
      </c>
      <c r="J9068" s="27">
        <v>9626.11</v>
      </c>
      <c r="K9068" s="18">
        <f t="shared" si="283"/>
        <v>9626.11</v>
      </c>
      <c r="L9068" s="27">
        <v>9144.7999999999993</v>
      </c>
      <c r="M9068" s="36">
        <v>0</v>
      </c>
      <c r="T9068" s="41">
        <v>0</v>
      </c>
      <c r="U9068" s="41">
        <v>0</v>
      </c>
      <c r="V9068" s="42" t="s">
        <v>113</v>
      </c>
      <c r="W9068" s="42">
        <v>9626.11</v>
      </c>
      <c r="X9068" s="42">
        <v>9626.11</v>
      </c>
    </row>
    <row r="9069" spans="1:24">
      <c r="A9069" s="27" t="s">
        <v>16552</v>
      </c>
      <c r="B9069" s="28" t="s">
        <v>12240</v>
      </c>
      <c r="C9069" s="27" t="s">
        <v>16541</v>
      </c>
      <c r="D9069" s="27" t="s">
        <v>230</v>
      </c>
      <c r="E9069" s="29">
        <v>35795</v>
      </c>
      <c r="F9069" s="27">
        <v>15</v>
      </c>
      <c r="G9069" s="18">
        <v>9626.11</v>
      </c>
      <c r="H9069" s="27">
        <f t="shared" si="282"/>
        <v>9626.11</v>
      </c>
      <c r="I9069" s="18">
        <v>9144.7999999999993</v>
      </c>
      <c r="J9069" s="27">
        <v>9626.11</v>
      </c>
      <c r="K9069" s="18">
        <f t="shared" si="283"/>
        <v>9626.11</v>
      </c>
      <c r="L9069" s="27">
        <v>9144.7999999999993</v>
      </c>
      <c r="M9069" s="36">
        <v>0</v>
      </c>
      <c r="T9069" s="41">
        <v>0</v>
      </c>
      <c r="U9069" s="41">
        <v>0</v>
      </c>
      <c r="V9069" s="42" t="s">
        <v>113</v>
      </c>
      <c r="W9069" s="42">
        <v>9626.11</v>
      </c>
      <c r="X9069" s="42">
        <v>9626.11</v>
      </c>
    </row>
    <row r="9070" spans="1:24">
      <c r="A9070" s="27" t="s">
        <v>16553</v>
      </c>
      <c r="B9070" s="28" t="s">
        <v>12240</v>
      </c>
      <c r="C9070" s="27" t="s">
        <v>16543</v>
      </c>
      <c r="D9070" s="27" t="s">
        <v>230</v>
      </c>
      <c r="E9070" s="29">
        <v>35795</v>
      </c>
      <c r="F9070" s="27">
        <v>15</v>
      </c>
      <c r="G9070" s="18">
        <v>9626.11</v>
      </c>
      <c r="H9070" s="27">
        <f t="shared" si="282"/>
        <v>9626.11</v>
      </c>
      <c r="I9070" s="18">
        <v>9144.7999999999993</v>
      </c>
      <c r="J9070" s="27">
        <v>9626.11</v>
      </c>
      <c r="K9070" s="18">
        <f t="shared" si="283"/>
        <v>9626.11</v>
      </c>
      <c r="L9070" s="27">
        <v>9144.7999999999993</v>
      </c>
      <c r="M9070" s="36">
        <v>0</v>
      </c>
      <c r="T9070" s="41">
        <v>0</v>
      </c>
      <c r="U9070" s="41">
        <v>0</v>
      </c>
      <c r="V9070" s="42" t="s">
        <v>113</v>
      </c>
      <c r="W9070" s="42">
        <v>9626.11</v>
      </c>
      <c r="X9070" s="42">
        <v>9626.11</v>
      </c>
    </row>
    <row r="9071" spans="1:24">
      <c r="A9071" s="27" t="s">
        <v>16554</v>
      </c>
      <c r="B9071" s="28" t="s">
        <v>12240</v>
      </c>
      <c r="C9071" s="27" t="s">
        <v>16545</v>
      </c>
      <c r="D9071" s="27" t="s">
        <v>230</v>
      </c>
      <c r="E9071" s="29">
        <v>35795</v>
      </c>
      <c r="F9071" s="27">
        <v>15</v>
      </c>
      <c r="G9071" s="18">
        <v>9626.11</v>
      </c>
      <c r="H9071" s="27">
        <f t="shared" si="282"/>
        <v>9626.11</v>
      </c>
      <c r="I9071" s="18">
        <v>9144.7999999999993</v>
      </c>
      <c r="J9071" s="27">
        <v>9626.11</v>
      </c>
      <c r="K9071" s="18">
        <f t="shared" si="283"/>
        <v>9626.11</v>
      </c>
      <c r="L9071" s="27">
        <v>9144.7999999999993</v>
      </c>
      <c r="M9071" s="36">
        <v>0</v>
      </c>
      <c r="T9071" s="41">
        <v>0</v>
      </c>
      <c r="U9071" s="41">
        <v>0</v>
      </c>
      <c r="V9071" s="42" t="s">
        <v>113</v>
      </c>
      <c r="W9071" s="42">
        <v>9626.11</v>
      </c>
      <c r="X9071" s="42">
        <v>9626.11</v>
      </c>
    </row>
    <row r="9072" spans="1:24">
      <c r="A9072" s="27" t="s">
        <v>16555</v>
      </c>
      <c r="B9072" s="28" t="s">
        <v>12240</v>
      </c>
      <c r="C9072" s="27" t="s">
        <v>16547</v>
      </c>
      <c r="D9072" s="27" t="s">
        <v>230</v>
      </c>
      <c r="E9072" s="29">
        <v>35795</v>
      </c>
      <c r="F9072" s="27">
        <v>15</v>
      </c>
      <c r="G9072" s="18">
        <v>9626.11</v>
      </c>
      <c r="H9072" s="27">
        <f t="shared" si="282"/>
        <v>9626.11</v>
      </c>
      <c r="I9072" s="18">
        <v>9144.7999999999993</v>
      </c>
      <c r="J9072" s="27">
        <v>9626.11</v>
      </c>
      <c r="K9072" s="18">
        <f t="shared" si="283"/>
        <v>9626.11</v>
      </c>
      <c r="L9072" s="27">
        <v>9144.7999999999993</v>
      </c>
      <c r="M9072" s="36">
        <v>0</v>
      </c>
      <c r="T9072" s="41">
        <v>0</v>
      </c>
      <c r="U9072" s="41">
        <v>0</v>
      </c>
      <c r="V9072" s="42" t="s">
        <v>113</v>
      </c>
      <c r="W9072" s="42">
        <v>9626.11</v>
      </c>
      <c r="X9072" s="42">
        <v>9626.11</v>
      </c>
    </row>
    <row r="9073" spans="1:24">
      <c r="A9073" s="27" t="s">
        <v>16556</v>
      </c>
      <c r="B9073" s="28" t="s">
        <v>12240</v>
      </c>
      <c r="C9073" s="27" t="s">
        <v>16557</v>
      </c>
      <c r="D9073" s="27" t="s">
        <v>230</v>
      </c>
      <c r="E9073" s="29">
        <v>40543</v>
      </c>
      <c r="F9073" s="27">
        <v>15</v>
      </c>
      <c r="G9073" s="18">
        <v>7450</v>
      </c>
      <c r="H9073" s="27">
        <f t="shared" si="282"/>
        <v>0</v>
      </c>
      <c r="I9073" s="18">
        <v>4627.3100000000004</v>
      </c>
      <c r="J9073" s="27">
        <v>7450</v>
      </c>
      <c r="K9073" s="18">
        <f t="shared" si="283"/>
        <v>0</v>
      </c>
      <c r="L9073" s="27">
        <v>4977.34</v>
      </c>
      <c r="M9073" s="36">
        <v>350.03</v>
      </c>
      <c r="T9073" s="41">
        <v>0</v>
      </c>
      <c r="U9073" s="41">
        <v>0</v>
      </c>
      <c r="V9073" s="42" t="s">
        <v>113</v>
      </c>
      <c r="W9073" s="42">
        <v>0</v>
      </c>
      <c r="X9073" s="42">
        <v>0</v>
      </c>
    </row>
    <row r="9074" spans="1:24">
      <c r="A9074" s="27" t="s">
        <v>16558</v>
      </c>
      <c r="B9074" s="28" t="s">
        <v>12240</v>
      </c>
      <c r="C9074" s="27" t="s">
        <v>16559</v>
      </c>
      <c r="D9074" s="27" t="s">
        <v>230</v>
      </c>
      <c r="E9074" s="29">
        <v>40543</v>
      </c>
      <c r="F9074" s="27">
        <v>15</v>
      </c>
      <c r="G9074" s="18">
        <v>7450</v>
      </c>
      <c r="H9074" s="27">
        <f t="shared" si="282"/>
        <v>0</v>
      </c>
      <c r="I9074" s="18">
        <v>4627.3</v>
      </c>
      <c r="J9074" s="27">
        <v>7450</v>
      </c>
      <c r="K9074" s="18">
        <f t="shared" si="283"/>
        <v>0</v>
      </c>
      <c r="L9074" s="27">
        <v>4977.33</v>
      </c>
      <c r="M9074" s="36">
        <v>350.03</v>
      </c>
      <c r="T9074" s="41">
        <v>0</v>
      </c>
      <c r="U9074" s="41">
        <v>0</v>
      </c>
      <c r="V9074" s="42" t="s">
        <v>113</v>
      </c>
      <c r="W9074" s="42">
        <v>0</v>
      </c>
      <c r="X9074" s="42">
        <v>0</v>
      </c>
    </row>
    <row r="9075" spans="1:24">
      <c r="A9075" s="27" t="s">
        <v>16560</v>
      </c>
      <c r="B9075" s="28" t="s">
        <v>12240</v>
      </c>
      <c r="C9075" s="27" t="s">
        <v>16561</v>
      </c>
      <c r="D9075" s="27" t="s">
        <v>230</v>
      </c>
      <c r="E9075" s="29">
        <v>40543</v>
      </c>
      <c r="F9075" s="27">
        <v>15</v>
      </c>
      <c r="G9075" s="18">
        <v>7450</v>
      </c>
      <c r="H9075" s="27">
        <f t="shared" si="282"/>
        <v>0</v>
      </c>
      <c r="I9075" s="18">
        <v>4627.3100000000004</v>
      </c>
      <c r="J9075" s="27">
        <v>7450</v>
      </c>
      <c r="K9075" s="18">
        <f t="shared" si="283"/>
        <v>0</v>
      </c>
      <c r="L9075" s="27">
        <v>4977.34</v>
      </c>
      <c r="M9075" s="36">
        <v>350.03</v>
      </c>
      <c r="T9075" s="41">
        <v>0</v>
      </c>
      <c r="U9075" s="41">
        <v>0</v>
      </c>
      <c r="V9075" s="42" t="s">
        <v>113</v>
      </c>
      <c r="W9075" s="42">
        <v>0</v>
      </c>
      <c r="X9075" s="42">
        <v>0</v>
      </c>
    </row>
    <row r="9076" spans="1:24">
      <c r="A9076" s="27" t="s">
        <v>16562</v>
      </c>
      <c r="B9076" s="28" t="s">
        <v>12240</v>
      </c>
      <c r="C9076" s="27" t="s">
        <v>16563</v>
      </c>
      <c r="D9076" s="27" t="s">
        <v>230</v>
      </c>
      <c r="E9076" s="29">
        <v>40543</v>
      </c>
      <c r="F9076" s="27">
        <v>15</v>
      </c>
      <c r="G9076" s="18">
        <v>7450</v>
      </c>
      <c r="H9076" s="27">
        <f t="shared" si="282"/>
        <v>0</v>
      </c>
      <c r="I9076" s="18">
        <v>4627.3</v>
      </c>
      <c r="J9076" s="27">
        <v>7450</v>
      </c>
      <c r="K9076" s="18">
        <f t="shared" si="283"/>
        <v>0</v>
      </c>
      <c r="L9076" s="27">
        <v>4977.33</v>
      </c>
      <c r="M9076" s="36">
        <v>350.03</v>
      </c>
      <c r="T9076" s="41">
        <v>0</v>
      </c>
      <c r="U9076" s="41">
        <v>0</v>
      </c>
      <c r="V9076" s="42" t="s">
        <v>113</v>
      </c>
      <c r="W9076" s="42">
        <v>0</v>
      </c>
      <c r="X9076" s="42">
        <v>0</v>
      </c>
    </row>
    <row r="9077" spans="1:24">
      <c r="A9077" s="27" t="s">
        <v>16564</v>
      </c>
      <c r="B9077" s="28" t="s">
        <v>12240</v>
      </c>
      <c r="C9077" s="27" t="s">
        <v>16565</v>
      </c>
      <c r="D9077" s="27" t="s">
        <v>230</v>
      </c>
      <c r="E9077" s="29">
        <v>40543</v>
      </c>
      <c r="F9077" s="27">
        <v>15</v>
      </c>
      <c r="G9077" s="18">
        <v>7450</v>
      </c>
      <c r="H9077" s="27">
        <f t="shared" si="282"/>
        <v>0</v>
      </c>
      <c r="I9077" s="18">
        <v>4627.3100000000004</v>
      </c>
      <c r="J9077" s="27">
        <v>7450</v>
      </c>
      <c r="K9077" s="18">
        <f t="shared" si="283"/>
        <v>0</v>
      </c>
      <c r="L9077" s="27">
        <v>4977.34</v>
      </c>
      <c r="M9077" s="36">
        <v>350.03</v>
      </c>
      <c r="T9077" s="41">
        <v>0</v>
      </c>
      <c r="U9077" s="41">
        <v>0</v>
      </c>
      <c r="V9077" s="42" t="s">
        <v>113</v>
      </c>
      <c r="W9077" s="42">
        <v>0</v>
      </c>
      <c r="X9077" s="42">
        <v>0</v>
      </c>
    </row>
    <row r="9078" spans="1:24">
      <c r="A9078" s="27" t="s">
        <v>16566</v>
      </c>
      <c r="B9078" s="28" t="s">
        <v>12240</v>
      </c>
      <c r="C9078" s="27" t="s">
        <v>16567</v>
      </c>
      <c r="D9078" s="27" t="s">
        <v>230</v>
      </c>
      <c r="E9078" s="29">
        <v>40543</v>
      </c>
      <c r="F9078" s="27">
        <v>15</v>
      </c>
      <c r="G9078" s="18">
        <v>7450</v>
      </c>
      <c r="H9078" s="27">
        <f t="shared" si="282"/>
        <v>0</v>
      </c>
      <c r="I9078" s="18">
        <v>4627.3</v>
      </c>
      <c r="J9078" s="27">
        <v>7450</v>
      </c>
      <c r="K9078" s="18">
        <f t="shared" si="283"/>
        <v>0</v>
      </c>
      <c r="L9078" s="27">
        <v>4977.33</v>
      </c>
      <c r="M9078" s="36">
        <v>350.03</v>
      </c>
      <c r="T9078" s="41">
        <v>0</v>
      </c>
      <c r="U9078" s="41">
        <v>0</v>
      </c>
      <c r="V9078" s="42" t="s">
        <v>113</v>
      </c>
      <c r="W9078" s="42">
        <v>0</v>
      </c>
      <c r="X9078" s="42">
        <v>0</v>
      </c>
    </row>
    <row r="9079" spans="1:24">
      <c r="A9079" s="27" t="s">
        <v>16568</v>
      </c>
      <c r="B9079" s="28" t="s">
        <v>12240</v>
      </c>
      <c r="C9079" s="27" t="s">
        <v>16569</v>
      </c>
      <c r="D9079" s="27" t="s">
        <v>230</v>
      </c>
      <c r="E9079" s="29">
        <v>40543</v>
      </c>
      <c r="F9079" s="27">
        <v>15</v>
      </c>
      <c r="G9079" s="18">
        <v>7450</v>
      </c>
      <c r="H9079" s="27">
        <f t="shared" si="282"/>
        <v>0</v>
      </c>
      <c r="I9079" s="18">
        <v>4627.3</v>
      </c>
      <c r="J9079" s="27">
        <v>7450</v>
      </c>
      <c r="K9079" s="18">
        <f t="shared" si="283"/>
        <v>0</v>
      </c>
      <c r="L9079" s="27">
        <v>4977.33</v>
      </c>
      <c r="M9079" s="36">
        <v>350.03</v>
      </c>
      <c r="T9079" s="41">
        <v>0</v>
      </c>
      <c r="U9079" s="41">
        <v>0</v>
      </c>
      <c r="V9079" s="42" t="s">
        <v>113</v>
      </c>
      <c r="W9079" s="42">
        <v>0</v>
      </c>
      <c r="X9079" s="42">
        <v>0</v>
      </c>
    </row>
    <row r="9080" spans="1:24">
      <c r="A9080" s="27" t="s">
        <v>16570</v>
      </c>
      <c r="B9080" s="28" t="s">
        <v>12240</v>
      </c>
      <c r="C9080" s="27" t="s">
        <v>16571</v>
      </c>
      <c r="D9080" s="27" t="s">
        <v>230</v>
      </c>
      <c r="E9080" s="29">
        <v>40543</v>
      </c>
      <c r="F9080" s="27">
        <v>15</v>
      </c>
      <c r="G9080" s="18">
        <v>7450</v>
      </c>
      <c r="H9080" s="27">
        <f t="shared" si="282"/>
        <v>0</v>
      </c>
      <c r="I9080" s="18">
        <v>4627.3100000000004</v>
      </c>
      <c r="J9080" s="27">
        <v>7450</v>
      </c>
      <c r="K9080" s="18">
        <f t="shared" si="283"/>
        <v>0</v>
      </c>
      <c r="L9080" s="27">
        <v>4977.34</v>
      </c>
      <c r="M9080" s="36">
        <v>350.03</v>
      </c>
      <c r="T9080" s="41">
        <v>0</v>
      </c>
      <c r="U9080" s="41">
        <v>0</v>
      </c>
      <c r="V9080" s="42" t="s">
        <v>113</v>
      </c>
      <c r="W9080" s="42">
        <v>0</v>
      </c>
      <c r="X9080" s="42">
        <v>0</v>
      </c>
    </row>
    <row r="9081" spans="1:24">
      <c r="A9081" s="27" t="s">
        <v>16572</v>
      </c>
      <c r="B9081" s="28" t="s">
        <v>12240</v>
      </c>
      <c r="C9081" s="27" t="s">
        <v>16573</v>
      </c>
      <c r="D9081" s="27" t="s">
        <v>230</v>
      </c>
      <c r="E9081" s="29">
        <v>40543</v>
      </c>
      <c r="F9081" s="27">
        <v>15</v>
      </c>
      <c r="G9081" s="18">
        <v>7450</v>
      </c>
      <c r="H9081" s="27">
        <f t="shared" si="282"/>
        <v>0</v>
      </c>
      <c r="I9081" s="18">
        <v>4627.3</v>
      </c>
      <c r="J9081" s="27">
        <v>7450</v>
      </c>
      <c r="K9081" s="18">
        <f t="shared" si="283"/>
        <v>0</v>
      </c>
      <c r="L9081" s="27">
        <v>4977.33</v>
      </c>
      <c r="M9081" s="36">
        <v>350.03</v>
      </c>
      <c r="T9081" s="41">
        <v>0</v>
      </c>
      <c r="U9081" s="41">
        <v>0</v>
      </c>
      <c r="V9081" s="42" t="s">
        <v>113</v>
      </c>
      <c r="W9081" s="42">
        <v>0</v>
      </c>
      <c r="X9081" s="42">
        <v>0</v>
      </c>
    </row>
    <row r="9082" spans="1:24">
      <c r="A9082" s="27" t="s">
        <v>16574</v>
      </c>
      <c r="B9082" s="28" t="s">
        <v>12240</v>
      </c>
      <c r="C9082" s="27" t="s">
        <v>16575</v>
      </c>
      <c r="D9082" s="27" t="s">
        <v>230</v>
      </c>
      <c r="E9082" s="29">
        <v>40543</v>
      </c>
      <c r="F9082" s="27">
        <v>15</v>
      </c>
      <c r="G9082" s="18">
        <v>7450</v>
      </c>
      <c r="H9082" s="27">
        <f t="shared" si="282"/>
        <v>0</v>
      </c>
      <c r="I9082" s="18">
        <v>4627.3100000000004</v>
      </c>
      <c r="J9082" s="27">
        <v>7450</v>
      </c>
      <c r="K9082" s="18">
        <f t="shared" si="283"/>
        <v>0</v>
      </c>
      <c r="L9082" s="27">
        <v>4977.34</v>
      </c>
      <c r="M9082" s="36">
        <v>350.03</v>
      </c>
      <c r="T9082" s="41">
        <v>0</v>
      </c>
      <c r="U9082" s="41">
        <v>0</v>
      </c>
      <c r="V9082" s="42" t="s">
        <v>113</v>
      </c>
      <c r="W9082" s="42">
        <v>0</v>
      </c>
      <c r="X9082" s="42">
        <v>0</v>
      </c>
    </row>
    <row r="9083" spans="1:24">
      <c r="A9083" s="27" t="s">
        <v>16576</v>
      </c>
      <c r="B9083" s="28" t="s">
        <v>12240</v>
      </c>
      <c r="C9083" s="27" t="s">
        <v>16577</v>
      </c>
      <c r="D9083" s="27" t="s">
        <v>230</v>
      </c>
      <c r="E9083" s="29">
        <v>40543</v>
      </c>
      <c r="F9083" s="27">
        <v>15</v>
      </c>
      <c r="G9083" s="18">
        <v>7450</v>
      </c>
      <c r="H9083" s="27">
        <f t="shared" si="282"/>
        <v>0</v>
      </c>
      <c r="I9083" s="18">
        <v>4627.3100000000004</v>
      </c>
      <c r="J9083" s="27">
        <v>7450</v>
      </c>
      <c r="K9083" s="18">
        <f t="shared" si="283"/>
        <v>0</v>
      </c>
      <c r="L9083" s="27">
        <v>4977.34</v>
      </c>
      <c r="M9083" s="36">
        <v>350.03</v>
      </c>
      <c r="T9083" s="41">
        <v>0</v>
      </c>
      <c r="U9083" s="41">
        <v>0</v>
      </c>
      <c r="V9083" s="42" t="s">
        <v>113</v>
      </c>
      <c r="W9083" s="42">
        <v>0</v>
      </c>
      <c r="X9083" s="42">
        <v>0</v>
      </c>
    </row>
    <row r="9084" spans="1:24">
      <c r="A9084" s="27" t="s">
        <v>16578</v>
      </c>
      <c r="B9084" s="28" t="s">
        <v>12240</v>
      </c>
      <c r="C9084" s="27" t="s">
        <v>16579</v>
      </c>
      <c r="D9084" s="27" t="s">
        <v>230</v>
      </c>
      <c r="E9084" s="29">
        <v>40178</v>
      </c>
      <c r="F9084" s="27">
        <v>15</v>
      </c>
      <c r="G9084" s="18">
        <v>59138.29</v>
      </c>
      <c r="H9084" s="27">
        <f t="shared" si="282"/>
        <v>0</v>
      </c>
      <c r="I9084" s="18">
        <v>40723.49</v>
      </c>
      <c r="J9084" s="27">
        <v>59138.29</v>
      </c>
      <c r="K9084" s="18">
        <f t="shared" si="283"/>
        <v>0</v>
      </c>
      <c r="L9084" s="27">
        <v>43299.81</v>
      </c>
      <c r="M9084" s="36">
        <v>2576.3200000000002</v>
      </c>
      <c r="T9084" s="41">
        <v>0</v>
      </c>
      <c r="U9084" s="41">
        <v>0</v>
      </c>
      <c r="V9084" s="42" t="s">
        <v>113</v>
      </c>
      <c r="W9084" s="42">
        <v>0</v>
      </c>
      <c r="X9084" s="42">
        <v>0</v>
      </c>
    </row>
    <row r="9085" spans="1:24">
      <c r="A9085" s="27" t="s">
        <v>16580</v>
      </c>
      <c r="B9085" s="28" t="s">
        <v>12240</v>
      </c>
      <c r="C9085" s="27" t="s">
        <v>16581</v>
      </c>
      <c r="D9085" s="27" t="s">
        <v>230</v>
      </c>
      <c r="E9085" s="29">
        <v>40178</v>
      </c>
      <c r="F9085" s="27">
        <v>15</v>
      </c>
      <c r="G9085" s="18">
        <v>59138.29</v>
      </c>
      <c r="H9085" s="27">
        <f t="shared" si="282"/>
        <v>0</v>
      </c>
      <c r="I9085" s="18">
        <v>40723.49</v>
      </c>
      <c r="J9085" s="27">
        <v>59138.29</v>
      </c>
      <c r="K9085" s="18">
        <f t="shared" si="283"/>
        <v>0</v>
      </c>
      <c r="L9085" s="27">
        <v>43299.81</v>
      </c>
      <c r="M9085" s="36">
        <v>2576.3200000000002</v>
      </c>
      <c r="T9085" s="41">
        <v>0</v>
      </c>
      <c r="U9085" s="41">
        <v>0</v>
      </c>
      <c r="V9085" s="42" t="s">
        <v>113</v>
      </c>
      <c r="W9085" s="42">
        <v>0</v>
      </c>
      <c r="X9085" s="42">
        <v>0</v>
      </c>
    </row>
    <row r="9086" spans="1:24">
      <c r="A9086" s="27" t="s">
        <v>16582</v>
      </c>
      <c r="B9086" s="28" t="s">
        <v>12240</v>
      </c>
      <c r="C9086" s="27" t="s">
        <v>16583</v>
      </c>
      <c r="D9086" s="27" t="s">
        <v>230</v>
      </c>
      <c r="E9086" s="29">
        <v>40178</v>
      </c>
      <c r="F9086" s="27">
        <v>15</v>
      </c>
      <c r="G9086" s="18">
        <v>59138.29</v>
      </c>
      <c r="H9086" s="27">
        <f t="shared" si="282"/>
        <v>0</v>
      </c>
      <c r="I9086" s="18">
        <v>40723.49</v>
      </c>
      <c r="J9086" s="27">
        <v>59138.29</v>
      </c>
      <c r="K9086" s="18">
        <f t="shared" si="283"/>
        <v>0</v>
      </c>
      <c r="L9086" s="27">
        <v>43299.81</v>
      </c>
      <c r="M9086" s="36">
        <v>2576.3200000000002</v>
      </c>
      <c r="T9086" s="41">
        <v>0</v>
      </c>
      <c r="U9086" s="41">
        <v>0</v>
      </c>
      <c r="V9086" s="42" t="s">
        <v>113</v>
      </c>
      <c r="W9086" s="42">
        <v>0</v>
      </c>
      <c r="X9086" s="42">
        <v>0</v>
      </c>
    </row>
    <row r="9087" spans="1:24">
      <c r="A9087" s="27" t="s">
        <v>16584</v>
      </c>
      <c r="B9087" s="28" t="s">
        <v>12240</v>
      </c>
      <c r="C9087" s="27" t="s">
        <v>16585</v>
      </c>
      <c r="D9087" s="27" t="s">
        <v>230</v>
      </c>
      <c r="E9087" s="29">
        <v>40178</v>
      </c>
      <c r="F9087" s="27">
        <v>15</v>
      </c>
      <c r="G9087" s="18">
        <v>59138.29</v>
      </c>
      <c r="H9087" s="27">
        <f t="shared" si="282"/>
        <v>0</v>
      </c>
      <c r="I9087" s="18">
        <v>40723.49</v>
      </c>
      <c r="J9087" s="27">
        <v>59138.29</v>
      </c>
      <c r="K9087" s="18">
        <f t="shared" si="283"/>
        <v>0</v>
      </c>
      <c r="L9087" s="27">
        <v>43299.81</v>
      </c>
      <c r="M9087" s="36">
        <v>2576.3200000000002</v>
      </c>
      <c r="T9087" s="41">
        <v>0</v>
      </c>
      <c r="U9087" s="41">
        <v>0</v>
      </c>
      <c r="V9087" s="42" t="s">
        <v>113</v>
      </c>
      <c r="W9087" s="42">
        <v>0</v>
      </c>
      <c r="X9087" s="42">
        <v>0</v>
      </c>
    </row>
    <row r="9088" spans="1:24">
      <c r="A9088" s="27" t="s">
        <v>16586</v>
      </c>
      <c r="B9088" s="28" t="s">
        <v>12240</v>
      </c>
      <c r="C9088" s="27" t="s">
        <v>16587</v>
      </c>
      <c r="D9088" s="27" t="s">
        <v>230</v>
      </c>
      <c r="E9088" s="29">
        <v>40178</v>
      </c>
      <c r="F9088" s="27">
        <v>15</v>
      </c>
      <c r="G9088" s="18">
        <v>59138.29</v>
      </c>
      <c r="H9088" s="27">
        <f t="shared" si="282"/>
        <v>0</v>
      </c>
      <c r="I9088" s="18">
        <v>40723.49</v>
      </c>
      <c r="J9088" s="27">
        <v>59138.29</v>
      </c>
      <c r="K9088" s="18">
        <f t="shared" si="283"/>
        <v>0</v>
      </c>
      <c r="L9088" s="27">
        <v>43299.81</v>
      </c>
      <c r="M9088" s="36">
        <v>2576.3200000000002</v>
      </c>
      <c r="T9088" s="41">
        <v>0</v>
      </c>
      <c r="U9088" s="41">
        <v>0</v>
      </c>
      <c r="V9088" s="42" t="s">
        <v>113</v>
      </c>
      <c r="W9088" s="42">
        <v>0</v>
      </c>
      <c r="X9088" s="42">
        <v>0</v>
      </c>
    </row>
    <row r="9089" spans="1:24">
      <c r="A9089" s="27" t="s">
        <v>16588</v>
      </c>
      <c r="B9089" s="28" t="s">
        <v>12240</v>
      </c>
      <c r="C9089" s="27" t="s">
        <v>16589</v>
      </c>
      <c r="D9089" s="27" t="s">
        <v>230</v>
      </c>
      <c r="E9089" s="29">
        <v>40178</v>
      </c>
      <c r="F9089" s="27">
        <v>15</v>
      </c>
      <c r="G9089" s="18">
        <v>59138.29</v>
      </c>
      <c r="H9089" s="27">
        <f t="shared" si="282"/>
        <v>0</v>
      </c>
      <c r="I9089" s="18">
        <v>40723.49</v>
      </c>
      <c r="J9089" s="27">
        <v>59138.29</v>
      </c>
      <c r="K9089" s="18">
        <f t="shared" si="283"/>
        <v>0</v>
      </c>
      <c r="L9089" s="27">
        <v>43299.81</v>
      </c>
      <c r="M9089" s="36">
        <v>2576.3200000000002</v>
      </c>
      <c r="T9089" s="41">
        <v>0</v>
      </c>
      <c r="U9089" s="41">
        <v>0</v>
      </c>
      <c r="V9089" s="42" t="s">
        <v>113</v>
      </c>
      <c r="W9089" s="42">
        <v>0</v>
      </c>
      <c r="X9089" s="42">
        <v>0</v>
      </c>
    </row>
    <row r="9090" spans="1:24">
      <c r="A9090" s="27" t="s">
        <v>16590</v>
      </c>
      <c r="B9090" s="28" t="s">
        <v>12240</v>
      </c>
      <c r="C9090" s="27" t="s">
        <v>16591</v>
      </c>
      <c r="D9090" s="27" t="s">
        <v>230</v>
      </c>
      <c r="E9090" s="29">
        <v>39813</v>
      </c>
      <c r="F9090" s="27">
        <v>15</v>
      </c>
      <c r="G9090" s="18">
        <v>31300.89</v>
      </c>
      <c r="H9090" s="27">
        <f t="shared" si="282"/>
        <v>0</v>
      </c>
      <c r="I9090" s="18">
        <v>24123.49</v>
      </c>
      <c r="J9090" s="27">
        <v>31300.89</v>
      </c>
      <c r="K9090" s="18">
        <f t="shared" si="283"/>
        <v>0</v>
      </c>
      <c r="L9090" s="27">
        <v>25245.96</v>
      </c>
      <c r="M9090" s="36">
        <v>1122.47</v>
      </c>
      <c r="T9090" s="41">
        <v>0</v>
      </c>
      <c r="U9090" s="41">
        <v>0</v>
      </c>
      <c r="V9090" s="42" t="s">
        <v>113</v>
      </c>
      <c r="W9090" s="42">
        <v>0</v>
      </c>
      <c r="X9090" s="42">
        <v>0</v>
      </c>
    </row>
    <row r="9091" spans="1:24">
      <c r="A9091" s="27" t="s">
        <v>16592</v>
      </c>
      <c r="B9091" s="28" t="s">
        <v>12240</v>
      </c>
      <c r="C9091" s="27" t="s">
        <v>16593</v>
      </c>
      <c r="D9091" s="27" t="s">
        <v>230</v>
      </c>
      <c r="E9091" s="29">
        <v>39813</v>
      </c>
      <c r="F9091" s="27">
        <v>15</v>
      </c>
      <c r="G9091" s="18">
        <v>31300.89</v>
      </c>
      <c r="H9091" s="27">
        <f t="shared" si="282"/>
        <v>0</v>
      </c>
      <c r="I9091" s="18">
        <v>24123.49</v>
      </c>
      <c r="J9091" s="27">
        <v>31300.89</v>
      </c>
      <c r="K9091" s="18">
        <f t="shared" si="283"/>
        <v>0</v>
      </c>
      <c r="L9091" s="27">
        <v>25245.96</v>
      </c>
      <c r="M9091" s="36">
        <v>1122.47</v>
      </c>
      <c r="T9091" s="41">
        <v>0</v>
      </c>
      <c r="U9091" s="41">
        <v>0</v>
      </c>
      <c r="V9091" s="42" t="s">
        <v>113</v>
      </c>
      <c r="W9091" s="42">
        <v>0</v>
      </c>
      <c r="X9091" s="42">
        <v>0</v>
      </c>
    </row>
    <row r="9092" spans="1:24">
      <c r="A9092" s="27" t="s">
        <v>16594</v>
      </c>
      <c r="B9092" s="28" t="s">
        <v>12240</v>
      </c>
      <c r="C9092" s="27" t="s">
        <v>16595</v>
      </c>
      <c r="D9092" s="27" t="s">
        <v>230</v>
      </c>
      <c r="E9092" s="29">
        <v>39813</v>
      </c>
      <c r="F9092" s="27">
        <v>15</v>
      </c>
      <c r="G9092" s="18">
        <v>31300.89</v>
      </c>
      <c r="H9092" s="27">
        <f t="shared" si="282"/>
        <v>0</v>
      </c>
      <c r="I9092" s="18">
        <v>24123.49</v>
      </c>
      <c r="J9092" s="27">
        <v>31300.89</v>
      </c>
      <c r="K9092" s="18">
        <f t="shared" si="283"/>
        <v>0</v>
      </c>
      <c r="L9092" s="27">
        <v>25245.96</v>
      </c>
      <c r="M9092" s="36">
        <v>1122.47</v>
      </c>
      <c r="T9092" s="41">
        <v>0</v>
      </c>
      <c r="U9092" s="41">
        <v>0</v>
      </c>
      <c r="V9092" s="42" t="s">
        <v>113</v>
      </c>
      <c r="W9092" s="42">
        <v>0</v>
      </c>
      <c r="X9092" s="42">
        <v>0</v>
      </c>
    </row>
    <row r="9093" spans="1:24">
      <c r="A9093" s="27" t="s">
        <v>16596</v>
      </c>
      <c r="B9093" s="28" t="s">
        <v>12240</v>
      </c>
      <c r="C9093" s="27" t="s">
        <v>16597</v>
      </c>
      <c r="D9093" s="27" t="s">
        <v>230</v>
      </c>
      <c r="E9093" s="29">
        <v>39813</v>
      </c>
      <c r="F9093" s="27">
        <v>15</v>
      </c>
      <c r="G9093" s="18">
        <v>31300.89</v>
      </c>
      <c r="H9093" s="27">
        <f t="shared" si="282"/>
        <v>0</v>
      </c>
      <c r="I9093" s="18">
        <v>24123.49</v>
      </c>
      <c r="J9093" s="27">
        <v>31300.89</v>
      </c>
      <c r="K9093" s="18">
        <f t="shared" si="283"/>
        <v>0</v>
      </c>
      <c r="L9093" s="27">
        <v>25245.96</v>
      </c>
      <c r="M9093" s="36">
        <v>1122.47</v>
      </c>
      <c r="T9093" s="41">
        <v>0</v>
      </c>
      <c r="U9093" s="41">
        <v>0</v>
      </c>
      <c r="V9093" s="42" t="s">
        <v>113</v>
      </c>
      <c r="W9093" s="42">
        <v>0</v>
      </c>
      <c r="X9093" s="42">
        <v>0</v>
      </c>
    </row>
    <row r="9094" spans="1:24">
      <c r="A9094" s="27" t="s">
        <v>16598</v>
      </c>
      <c r="B9094" s="28" t="s">
        <v>12240</v>
      </c>
      <c r="C9094" s="27" t="s">
        <v>16599</v>
      </c>
      <c r="D9094" s="27" t="s">
        <v>230</v>
      </c>
      <c r="E9094" s="29">
        <v>39813</v>
      </c>
      <c r="F9094" s="27">
        <v>15</v>
      </c>
      <c r="G9094" s="18">
        <v>31300.89</v>
      </c>
      <c r="H9094" s="27">
        <f t="shared" ref="H9094:H9157" si="284">IFERROR(IF(ROUND((G9094-I9094)/G9094,2)&lt;=0.05,G9094,0),0)</f>
        <v>0</v>
      </c>
      <c r="I9094" s="18">
        <v>24123.49</v>
      </c>
      <c r="J9094" s="27">
        <v>31300.89</v>
      </c>
      <c r="K9094" s="18">
        <f t="shared" ref="K9094:K9157" si="285">IFERROR(IF(ROUND((J9094-L9094)/J9094,2)&lt;=0.05,J9094,0),0)</f>
        <v>0</v>
      </c>
      <c r="L9094" s="27">
        <v>25245.96</v>
      </c>
      <c r="M9094" s="36">
        <v>1122.47</v>
      </c>
      <c r="T9094" s="41">
        <v>0</v>
      </c>
      <c r="U9094" s="41">
        <v>0</v>
      </c>
      <c r="V9094" s="42" t="s">
        <v>113</v>
      </c>
      <c r="W9094" s="42">
        <v>0</v>
      </c>
      <c r="X9094" s="42">
        <v>0</v>
      </c>
    </row>
    <row r="9095" spans="1:24">
      <c r="A9095" s="27" t="s">
        <v>16600</v>
      </c>
      <c r="B9095" s="28" t="s">
        <v>12240</v>
      </c>
      <c r="C9095" s="27" t="s">
        <v>16601</v>
      </c>
      <c r="D9095" s="27" t="s">
        <v>230</v>
      </c>
      <c r="E9095" s="29">
        <v>39813</v>
      </c>
      <c r="F9095" s="27">
        <v>15</v>
      </c>
      <c r="G9095" s="18">
        <v>31300.89</v>
      </c>
      <c r="H9095" s="27">
        <f t="shared" si="284"/>
        <v>0</v>
      </c>
      <c r="I9095" s="18">
        <v>24123.49</v>
      </c>
      <c r="J9095" s="27">
        <v>31300.89</v>
      </c>
      <c r="K9095" s="18">
        <f t="shared" si="285"/>
        <v>0</v>
      </c>
      <c r="L9095" s="27">
        <v>25245.96</v>
      </c>
      <c r="M9095" s="36">
        <v>1122.47</v>
      </c>
      <c r="T9095" s="41">
        <v>0</v>
      </c>
      <c r="U9095" s="41">
        <v>0</v>
      </c>
      <c r="V9095" s="42" t="s">
        <v>113</v>
      </c>
      <c r="W9095" s="42">
        <v>0</v>
      </c>
      <c r="X9095" s="42">
        <v>0</v>
      </c>
    </row>
    <row r="9096" spans="1:24">
      <c r="A9096" s="27" t="s">
        <v>16602</v>
      </c>
      <c r="B9096" s="28" t="s">
        <v>12240</v>
      </c>
      <c r="C9096" s="27" t="s">
        <v>16603</v>
      </c>
      <c r="D9096" s="27" t="s">
        <v>230</v>
      </c>
      <c r="E9096" s="29">
        <v>39813</v>
      </c>
      <c r="F9096" s="27">
        <v>15</v>
      </c>
      <c r="G9096" s="18">
        <v>31300.89</v>
      </c>
      <c r="H9096" s="27">
        <f t="shared" si="284"/>
        <v>0</v>
      </c>
      <c r="I9096" s="18">
        <v>24123.49</v>
      </c>
      <c r="J9096" s="27">
        <v>31300.89</v>
      </c>
      <c r="K9096" s="18">
        <f t="shared" si="285"/>
        <v>0</v>
      </c>
      <c r="L9096" s="27">
        <v>25245.96</v>
      </c>
      <c r="M9096" s="36">
        <v>1122.47</v>
      </c>
      <c r="T9096" s="41">
        <v>0</v>
      </c>
      <c r="U9096" s="41">
        <v>0</v>
      </c>
      <c r="V9096" s="42" t="s">
        <v>113</v>
      </c>
      <c r="W9096" s="42">
        <v>0</v>
      </c>
      <c r="X9096" s="42">
        <v>0</v>
      </c>
    </row>
    <row r="9097" spans="1:24">
      <c r="A9097" s="27" t="s">
        <v>16604</v>
      </c>
      <c r="B9097" s="28" t="s">
        <v>12240</v>
      </c>
      <c r="C9097" s="27" t="s">
        <v>16605</v>
      </c>
      <c r="D9097" s="27" t="s">
        <v>230</v>
      </c>
      <c r="E9097" s="29">
        <v>39813</v>
      </c>
      <c r="F9097" s="27">
        <v>15</v>
      </c>
      <c r="G9097" s="18">
        <v>31300.89</v>
      </c>
      <c r="H9097" s="27">
        <f t="shared" si="284"/>
        <v>0</v>
      </c>
      <c r="I9097" s="18">
        <v>24123.49</v>
      </c>
      <c r="J9097" s="27">
        <v>31300.89</v>
      </c>
      <c r="K9097" s="18">
        <f t="shared" si="285"/>
        <v>0</v>
      </c>
      <c r="L9097" s="27">
        <v>25245.96</v>
      </c>
      <c r="M9097" s="36">
        <v>1122.47</v>
      </c>
      <c r="T9097" s="41">
        <v>0</v>
      </c>
      <c r="U9097" s="41">
        <v>0</v>
      </c>
      <c r="V9097" s="42" t="s">
        <v>113</v>
      </c>
      <c r="W9097" s="42">
        <v>0</v>
      </c>
      <c r="X9097" s="42">
        <v>0</v>
      </c>
    </row>
    <row r="9098" spans="1:24">
      <c r="A9098" s="27" t="s">
        <v>16606</v>
      </c>
      <c r="B9098" s="28" t="s">
        <v>12240</v>
      </c>
      <c r="C9098" s="27" t="s">
        <v>16512</v>
      </c>
      <c r="D9098" s="27" t="s">
        <v>230</v>
      </c>
      <c r="E9098" s="29">
        <v>41115</v>
      </c>
      <c r="F9098" s="27">
        <v>15</v>
      </c>
      <c r="G9098" s="18">
        <v>19260.689999999999</v>
      </c>
      <c r="H9098" s="27">
        <f t="shared" si="284"/>
        <v>0</v>
      </c>
      <c r="I9098" s="18">
        <v>9441.02</v>
      </c>
      <c r="J9098" s="27">
        <v>19260.689999999999</v>
      </c>
      <c r="K9098" s="18">
        <f t="shared" si="285"/>
        <v>0</v>
      </c>
      <c r="L9098" s="27">
        <v>10472.86</v>
      </c>
      <c r="M9098" s="36">
        <v>1031.8399999999999</v>
      </c>
      <c r="T9098" s="41">
        <v>0</v>
      </c>
      <c r="U9098" s="41">
        <v>0</v>
      </c>
      <c r="V9098" s="42" t="s">
        <v>113</v>
      </c>
      <c r="W9098" s="42">
        <v>0</v>
      </c>
      <c r="X9098" s="42">
        <v>0</v>
      </c>
    </row>
    <row r="9099" spans="1:24">
      <c r="A9099" s="27" t="s">
        <v>16607</v>
      </c>
      <c r="B9099" s="28" t="s">
        <v>12240</v>
      </c>
      <c r="C9099" s="27" t="s">
        <v>16512</v>
      </c>
      <c r="D9099" s="27" t="s">
        <v>230</v>
      </c>
      <c r="E9099" s="29">
        <v>41115</v>
      </c>
      <c r="F9099" s="27">
        <v>15</v>
      </c>
      <c r="G9099" s="18">
        <v>19260.689999999999</v>
      </c>
      <c r="H9099" s="27">
        <f t="shared" si="284"/>
        <v>0</v>
      </c>
      <c r="I9099" s="18">
        <v>9441.02</v>
      </c>
      <c r="J9099" s="27">
        <v>19260.689999999999</v>
      </c>
      <c r="K9099" s="18">
        <f t="shared" si="285"/>
        <v>0</v>
      </c>
      <c r="L9099" s="27">
        <v>10472.86</v>
      </c>
      <c r="M9099" s="36">
        <v>1031.8399999999999</v>
      </c>
      <c r="T9099" s="41">
        <v>0</v>
      </c>
      <c r="U9099" s="41">
        <v>0</v>
      </c>
      <c r="V9099" s="42" t="s">
        <v>113</v>
      </c>
      <c r="W9099" s="42">
        <v>0</v>
      </c>
      <c r="X9099" s="42">
        <v>0</v>
      </c>
    </row>
    <row r="9100" spans="1:24">
      <c r="A9100" s="27" t="s">
        <v>16608</v>
      </c>
      <c r="B9100" s="28" t="s">
        <v>12240</v>
      </c>
      <c r="C9100" s="27" t="s">
        <v>16512</v>
      </c>
      <c r="D9100" s="27" t="s">
        <v>230</v>
      </c>
      <c r="E9100" s="29">
        <v>41115</v>
      </c>
      <c r="F9100" s="27">
        <v>15</v>
      </c>
      <c r="G9100" s="18">
        <v>15136.76</v>
      </c>
      <c r="H9100" s="27">
        <f t="shared" si="284"/>
        <v>0</v>
      </c>
      <c r="I9100" s="18">
        <v>7419.6</v>
      </c>
      <c r="J9100" s="27">
        <v>15136.76</v>
      </c>
      <c r="K9100" s="18">
        <f t="shared" si="285"/>
        <v>0</v>
      </c>
      <c r="L9100" s="27">
        <v>8230.51</v>
      </c>
      <c r="M9100" s="36">
        <v>810.91</v>
      </c>
      <c r="T9100" s="41">
        <v>0</v>
      </c>
      <c r="U9100" s="41">
        <v>0</v>
      </c>
      <c r="V9100" s="42" t="s">
        <v>113</v>
      </c>
      <c r="W9100" s="42">
        <v>0</v>
      </c>
      <c r="X9100" s="42">
        <v>0</v>
      </c>
    </row>
    <row r="9101" spans="1:24">
      <c r="A9101" s="27" t="s">
        <v>16609</v>
      </c>
      <c r="B9101" s="28" t="s">
        <v>12240</v>
      </c>
      <c r="C9101" s="27" t="s">
        <v>16512</v>
      </c>
      <c r="D9101" s="27" t="s">
        <v>230</v>
      </c>
      <c r="E9101" s="29">
        <v>41115</v>
      </c>
      <c r="F9101" s="27">
        <v>15</v>
      </c>
      <c r="G9101" s="18">
        <v>15136.75</v>
      </c>
      <c r="H9101" s="27">
        <f t="shared" si="284"/>
        <v>0</v>
      </c>
      <c r="I9101" s="18">
        <v>7419.6</v>
      </c>
      <c r="J9101" s="27">
        <v>15136.75</v>
      </c>
      <c r="K9101" s="18">
        <f t="shared" si="285"/>
        <v>0</v>
      </c>
      <c r="L9101" s="27">
        <v>8230.51</v>
      </c>
      <c r="M9101" s="36">
        <v>810.91</v>
      </c>
      <c r="T9101" s="41">
        <v>0</v>
      </c>
      <c r="U9101" s="41">
        <v>0</v>
      </c>
      <c r="V9101" s="42" t="s">
        <v>113</v>
      </c>
      <c r="W9101" s="42">
        <v>0</v>
      </c>
      <c r="X9101" s="42">
        <v>0</v>
      </c>
    </row>
    <row r="9102" spans="1:24">
      <c r="A9102" s="27" t="s">
        <v>16610</v>
      </c>
      <c r="B9102" s="28" t="s">
        <v>12240</v>
      </c>
      <c r="C9102" s="27" t="s">
        <v>16512</v>
      </c>
      <c r="D9102" s="27" t="s">
        <v>230</v>
      </c>
      <c r="E9102" s="29">
        <v>41115</v>
      </c>
      <c r="F9102" s="27">
        <v>15</v>
      </c>
      <c r="G9102" s="18">
        <v>15136.75</v>
      </c>
      <c r="H9102" s="27">
        <f t="shared" si="284"/>
        <v>0</v>
      </c>
      <c r="I9102" s="18">
        <v>7419.6</v>
      </c>
      <c r="J9102" s="27">
        <v>15136.75</v>
      </c>
      <c r="K9102" s="18">
        <f t="shared" si="285"/>
        <v>0</v>
      </c>
      <c r="L9102" s="27">
        <v>8230.51</v>
      </c>
      <c r="M9102" s="36">
        <v>810.91</v>
      </c>
      <c r="T9102" s="41">
        <v>0</v>
      </c>
      <c r="U9102" s="41">
        <v>0</v>
      </c>
      <c r="V9102" s="42" t="s">
        <v>113</v>
      </c>
      <c r="W9102" s="42">
        <v>0</v>
      </c>
      <c r="X9102" s="42">
        <v>0</v>
      </c>
    </row>
    <row r="9103" spans="1:24">
      <c r="A9103" s="27" t="s">
        <v>16611</v>
      </c>
      <c r="B9103" s="28" t="s">
        <v>12240</v>
      </c>
      <c r="C9103" s="27" t="s">
        <v>16512</v>
      </c>
      <c r="D9103" s="27" t="s">
        <v>230</v>
      </c>
      <c r="E9103" s="29">
        <v>41115</v>
      </c>
      <c r="F9103" s="27">
        <v>15</v>
      </c>
      <c r="G9103" s="18">
        <v>15136.75</v>
      </c>
      <c r="H9103" s="27">
        <f t="shared" si="284"/>
        <v>0</v>
      </c>
      <c r="I9103" s="18">
        <v>7419.6</v>
      </c>
      <c r="J9103" s="27">
        <v>15136.75</v>
      </c>
      <c r="K9103" s="18">
        <f t="shared" si="285"/>
        <v>0</v>
      </c>
      <c r="L9103" s="27">
        <v>8230.51</v>
      </c>
      <c r="M9103" s="36">
        <v>810.91</v>
      </c>
      <c r="T9103" s="41">
        <v>0</v>
      </c>
      <c r="U9103" s="41">
        <v>0</v>
      </c>
      <c r="V9103" s="42" t="s">
        <v>113</v>
      </c>
      <c r="W9103" s="42">
        <v>0</v>
      </c>
      <c r="X9103" s="42">
        <v>0</v>
      </c>
    </row>
    <row r="9104" spans="1:24">
      <c r="A9104" s="27" t="s">
        <v>16612</v>
      </c>
      <c r="B9104" s="28" t="s">
        <v>12240</v>
      </c>
      <c r="C9104" s="27" t="s">
        <v>16512</v>
      </c>
      <c r="D9104" s="27" t="s">
        <v>230</v>
      </c>
      <c r="E9104" s="29">
        <v>41115</v>
      </c>
      <c r="F9104" s="27">
        <v>15</v>
      </c>
      <c r="G9104" s="18">
        <v>11837.62</v>
      </c>
      <c r="H9104" s="27">
        <f t="shared" si="284"/>
        <v>0</v>
      </c>
      <c r="I9104" s="18">
        <v>5802.46</v>
      </c>
      <c r="J9104" s="27">
        <v>11837.62</v>
      </c>
      <c r="K9104" s="18">
        <f t="shared" si="285"/>
        <v>0</v>
      </c>
      <c r="L9104" s="27">
        <v>6436.63</v>
      </c>
      <c r="M9104" s="36">
        <v>634.16999999999996</v>
      </c>
      <c r="T9104" s="41">
        <v>0</v>
      </c>
      <c r="U9104" s="41">
        <v>0</v>
      </c>
      <c r="V9104" s="42" t="s">
        <v>113</v>
      </c>
      <c r="W9104" s="42">
        <v>0</v>
      </c>
      <c r="X9104" s="42">
        <v>0</v>
      </c>
    </row>
    <row r="9105" spans="1:24">
      <c r="A9105" s="27" t="s">
        <v>16613</v>
      </c>
      <c r="B9105" s="28" t="s">
        <v>12240</v>
      </c>
      <c r="C9105" s="27" t="s">
        <v>16512</v>
      </c>
      <c r="D9105" s="27" t="s">
        <v>230</v>
      </c>
      <c r="E9105" s="29">
        <v>41115</v>
      </c>
      <c r="F9105" s="27">
        <v>15</v>
      </c>
      <c r="G9105" s="18">
        <v>11837.61</v>
      </c>
      <c r="H9105" s="27">
        <f t="shared" si="284"/>
        <v>0</v>
      </c>
      <c r="I9105" s="18">
        <v>5802.46</v>
      </c>
      <c r="J9105" s="27">
        <v>11837.61</v>
      </c>
      <c r="K9105" s="18">
        <f t="shared" si="285"/>
        <v>0</v>
      </c>
      <c r="L9105" s="27">
        <v>6436.63</v>
      </c>
      <c r="M9105" s="36">
        <v>634.16999999999996</v>
      </c>
      <c r="T9105" s="41">
        <v>0</v>
      </c>
      <c r="U9105" s="41">
        <v>0</v>
      </c>
      <c r="V9105" s="42" t="s">
        <v>113</v>
      </c>
      <c r="W9105" s="42">
        <v>0</v>
      </c>
      <c r="X9105" s="42">
        <v>0</v>
      </c>
    </row>
    <row r="9106" spans="1:24">
      <c r="A9106" s="27" t="s">
        <v>16614</v>
      </c>
      <c r="B9106" s="28" t="s">
        <v>12240</v>
      </c>
      <c r="C9106" s="27" t="s">
        <v>16512</v>
      </c>
      <c r="D9106" s="27" t="s">
        <v>230</v>
      </c>
      <c r="E9106" s="29">
        <v>41115</v>
      </c>
      <c r="F9106" s="27">
        <v>15</v>
      </c>
      <c r="G9106" s="18">
        <v>11837.61</v>
      </c>
      <c r="H9106" s="27">
        <f t="shared" si="284"/>
        <v>0</v>
      </c>
      <c r="I9106" s="18">
        <v>5802.46</v>
      </c>
      <c r="J9106" s="27">
        <v>11837.61</v>
      </c>
      <c r="K9106" s="18">
        <f t="shared" si="285"/>
        <v>0</v>
      </c>
      <c r="L9106" s="27">
        <v>6436.63</v>
      </c>
      <c r="M9106" s="36">
        <v>634.16999999999996</v>
      </c>
      <c r="T9106" s="41">
        <v>0</v>
      </c>
      <c r="U9106" s="41">
        <v>0</v>
      </c>
      <c r="V9106" s="42" t="s">
        <v>113</v>
      </c>
      <c r="W9106" s="42">
        <v>0</v>
      </c>
      <c r="X9106" s="42">
        <v>0</v>
      </c>
    </row>
    <row r="9107" spans="1:24">
      <c r="A9107" s="27" t="s">
        <v>16615</v>
      </c>
      <c r="B9107" s="28" t="s">
        <v>12240</v>
      </c>
      <c r="C9107" s="27" t="s">
        <v>16512</v>
      </c>
      <c r="D9107" s="27" t="s">
        <v>230</v>
      </c>
      <c r="E9107" s="29">
        <v>41115</v>
      </c>
      <c r="F9107" s="27">
        <v>15</v>
      </c>
      <c r="G9107" s="18">
        <v>11837.61</v>
      </c>
      <c r="H9107" s="27">
        <f t="shared" si="284"/>
        <v>0</v>
      </c>
      <c r="I9107" s="18">
        <v>5802.46</v>
      </c>
      <c r="J9107" s="27">
        <v>11837.61</v>
      </c>
      <c r="K9107" s="18">
        <f t="shared" si="285"/>
        <v>0</v>
      </c>
      <c r="L9107" s="27">
        <v>6436.63</v>
      </c>
      <c r="M9107" s="36">
        <v>634.16999999999996</v>
      </c>
      <c r="T9107" s="41">
        <v>0</v>
      </c>
      <c r="U9107" s="41">
        <v>0</v>
      </c>
      <c r="V9107" s="42" t="s">
        <v>113</v>
      </c>
      <c r="W9107" s="42">
        <v>0</v>
      </c>
      <c r="X9107" s="42">
        <v>0</v>
      </c>
    </row>
    <row r="9108" spans="1:24">
      <c r="A9108" s="27" t="s">
        <v>16616</v>
      </c>
      <c r="B9108" s="28" t="s">
        <v>12240</v>
      </c>
      <c r="C9108" s="27" t="s">
        <v>16512</v>
      </c>
      <c r="D9108" s="27" t="s">
        <v>230</v>
      </c>
      <c r="E9108" s="29">
        <v>41115</v>
      </c>
      <c r="F9108" s="27">
        <v>15</v>
      </c>
      <c r="G9108" s="18">
        <v>11837.61</v>
      </c>
      <c r="H9108" s="27">
        <f t="shared" si="284"/>
        <v>0</v>
      </c>
      <c r="I9108" s="18">
        <v>5802.46</v>
      </c>
      <c r="J9108" s="27">
        <v>11837.61</v>
      </c>
      <c r="K9108" s="18">
        <f t="shared" si="285"/>
        <v>0</v>
      </c>
      <c r="L9108" s="27">
        <v>6436.63</v>
      </c>
      <c r="M9108" s="36">
        <v>634.16999999999996</v>
      </c>
      <c r="T9108" s="41">
        <v>0</v>
      </c>
      <c r="U9108" s="41">
        <v>0</v>
      </c>
      <c r="V9108" s="42" t="s">
        <v>113</v>
      </c>
      <c r="W9108" s="42">
        <v>0</v>
      </c>
      <c r="X9108" s="42">
        <v>0</v>
      </c>
    </row>
    <row r="9109" spans="1:24">
      <c r="A9109" s="27" t="s">
        <v>16617</v>
      </c>
      <c r="B9109" s="28" t="s">
        <v>12240</v>
      </c>
      <c r="C9109" s="27" t="s">
        <v>16512</v>
      </c>
      <c r="D9109" s="27" t="s">
        <v>230</v>
      </c>
      <c r="E9109" s="29">
        <v>41115</v>
      </c>
      <c r="F9109" s="27">
        <v>15</v>
      </c>
      <c r="G9109" s="18">
        <v>11837.61</v>
      </c>
      <c r="H9109" s="27">
        <f t="shared" si="284"/>
        <v>0</v>
      </c>
      <c r="I9109" s="18">
        <v>5802.46</v>
      </c>
      <c r="J9109" s="27">
        <v>11837.61</v>
      </c>
      <c r="K9109" s="18">
        <f t="shared" si="285"/>
        <v>0</v>
      </c>
      <c r="L9109" s="27">
        <v>6436.63</v>
      </c>
      <c r="M9109" s="36">
        <v>634.16999999999996</v>
      </c>
      <c r="T9109" s="41">
        <v>0</v>
      </c>
      <c r="U9109" s="41">
        <v>0</v>
      </c>
      <c r="V9109" s="42" t="s">
        <v>113</v>
      </c>
      <c r="W9109" s="42">
        <v>0</v>
      </c>
      <c r="X9109" s="42">
        <v>0</v>
      </c>
    </row>
    <row r="9110" spans="1:24">
      <c r="A9110" s="27" t="s">
        <v>16618</v>
      </c>
      <c r="B9110" s="28" t="s">
        <v>12240</v>
      </c>
      <c r="C9110" s="27" t="s">
        <v>16512</v>
      </c>
      <c r="D9110" s="27" t="s">
        <v>230</v>
      </c>
      <c r="E9110" s="29">
        <v>41115</v>
      </c>
      <c r="F9110" s="27">
        <v>15</v>
      </c>
      <c r="G9110" s="18">
        <v>10000</v>
      </c>
      <c r="H9110" s="27">
        <f t="shared" si="284"/>
        <v>0</v>
      </c>
      <c r="I9110" s="18">
        <v>4901.71</v>
      </c>
      <c r="J9110" s="27">
        <v>10000</v>
      </c>
      <c r="K9110" s="18">
        <f t="shared" si="285"/>
        <v>0</v>
      </c>
      <c r="L9110" s="27">
        <v>5437.43</v>
      </c>
      <c r="M9110" s="36">
        <v>535.72</v>
      </c>
      <c r="T9110" s="41">
        <v>0</v>
      </c>
      <c r="U9110" s="41">
        <v>0</v>
      </c>
      <c r="V9110" s="42" t="s">
        <v>113</v>
      </c>
      <c r="W9110" s="42">
        <v>0</v>
      </c>
      <c r="X9110" s="42">
        <v>0</v>
      </c>
    </row>
    <row r="9111" spans="1:24">
      <c r="A9111" s="27" t="s">
        <v>16619</v>
      </c>
      <c r="B9111" s="28" t="s">
        <v>12240</v>
      </c>
      <c r="C9111" s="27" t="s">
        <v>16512</v>
      </c>
      <c r="D9111" s="27" t="s">
        <v>230</v>
      </c>
      <c r="E9111" s="29">
        <v>41115</v>
      </c>
      <c r="F9111" s="27">
        <v>15</v>
      </c>
      <c r="G9111" s="18">
        <v>10000</v>
      </c>
      <c r="H9111" s="27">
        <f t="shared" si="284"/>
        <v>0</v>
      </c>
      <c r="I9111" s="18">
        <v>4901.71</v>
      </c>
      <c r="J9111" s="27">
        <v>10000</v>
      </c>
      <c r="K9111" s="18">
        <f t="shared" si="285"/>
        <v>0</v>
      </c>
      <c r="L9111" s="27">
        <v>5437.43</v>
      </c>
      <c r="M9111" s="36">
        <v>535.72</v>
      </c>
      <c r="T9111" s="41">
        <v>0</v>
      </c>
      <c r="U9111" s="41">
        <v>0</v>
      </c>
      <c r="V9111" s="42" t="s">
        <v>113</v>
      </c>
      <c r="W9111" s="42">
        <v>0</v>
      </c>
      <c r="X9111" s="42">
        <v>0</v>
      </c>
    </row>
    <row r="9112" spans="1:24">
      <c r="A9112" s="27" t="s">
        <v>16620</v>
      </c>
      <c r="B9112" s="28" t="s">
        <v>12240</v>
      </c>
      <c r="C9112" s="27" t="s">
        <v>16512</v>
      </c>
      <c r="D9112" s="27" t="s">
        <v>230</v>
      </c>
      <c r="E9112" s="29">
        <v>41115</v>
      </c>
      <c r="F9112" s="27">
        <v>15</v>
      </c>
      <c r="G9112" s="18">
        <v>10000</v>
      </c>
      <c r="H9112" s="27">
        <f t="shared" si="284"/>
        <v>0</v>
      </c>
      <c r="I9112" s="18">
        <v>4901.71</v>
      </c>
      <c r="J9112" s="27">
        <v>10000</v>
      </c>
      <c r="K9112" s="18">
        <f t="shared" si="285"/>
        <v>0</v>
      </c>
      <c r="L9112" s="27">
        <v>5437.43</v>
      </c>
      <c r="M9112" s="36">
        <v>535.72</v>
      </c>
      <c r="T9112" s="41">
        <v>0</v>
      </c>
      <c r="U9112" s="41">
        <v>0</v>
      </c>
      <c r="V9112" s="42" t="s">
        <v>113</v>
      </c>
      <c r="W9112" s="42">
        <v>0</v>
      </c>
      <c r="X9112" s="42">
        <v>0</v>
      </c>
    </row>
    <row r="9113" spans="1:24">
      <c r="A9113" s="27" t="s">
        <v>16621</v>
      </c>
      <c r="B9113" s="28" t="s">
        <v>12240</v>
      </c>
      <c r="C9113" s="27" t="s">
        <v>16512</v>
      </c>
      <c r="D9113" s="27" t="s">
        <v>230</v>
      </c>
      <c r="E9113" s="29">
        <v>41115</v>
      </c>
      <c r="F9113" s="27">
        <v>15</v>
      </c>
      <c r="G9113" s="18">
        <v>10000</v>
      </c>
      <c r="H9113" s="27">
        <f t="shared" si="284"/>
        <v>0</v>
      </c>
      <c r="I9113" s="18">
        <v>4901.71</v>
      </c>
      <c r="J9113" s="27">
        <v>10000</v>
      </c>
      <c r="K9113" s="18">
        <f t="shared" si="285"/>
        <v>0</v>
      </c>
      <c r="L9113" s="27">
        <v>5437.43</v>
      </c>
      <c r="M9113" s="36">
        <v>535.72</v>
      </c>
      <c r="T9113" s="41">
        <v>0</v>
      </c>
      <c r="U9113" s="41">
        <v>0</v>
      </c>
      <c r="V9113" s="42" t="s">
        <v>113</v>
      </c>
      <c r="W9113" s="42">
        <v>0</v>
      </c>
      <c r="X9113" s="42">
        <v>0</v>
      </c>
    </row>
    <row r="9114" spans="1:24">
      <c r="A9114" s="27" t="s">
        <v>16622</v>
      </c>
      <c r="B9114" s="28" t="s">
        <v>12240</v>
      </c>
      <c r="C9114" s="27" t="s">
        <v>16512</v>
      </c>
      <c r="D9114" s="27" t="s">
        <v>230</v>
      </c>
      <c r="E9114" s="29">
        <v>41115</v>
      </c>
      <c r="F9114" s="27">
        <v>15</v>
      </c>
      <c r="G9114" s="18">
        <v>10000</v>
      </c>
      <c r="H9114" s="27">
        <f t="shared" si="284"/>
        <v>0</v>
      </c>
      <c r="I9114" s="18">
        <v>4901.71</v>
      </c>
      <c r="J9114" s="27">
        <v>10000</v>
      </c>
      <c r="K9114" s="18">
        <f t="shared" si="285"/>
        <v>0</v>
      </c>
      <c r="L9114" s="27">
        <v>5437.43</v>
      </c>
      <c r="M9114" s="36">
        <v>535.72</v>
      </c>
      <c r="T9114" s="41">
        <v>0</v>
      </c>
      <c r="U9114" s="41">
        <v>0</v>
      </c>
      <c r="V9114" s="42" t="s">
        <v>113</v>
      </c>
      <c r="W9114" s="42">
        <v>0</v>
      </c>
      <c r="X9114" s="42">
        <v>0</v>
      </c>
    </row>
    <row r="9115" spans="1:24">
      <c r="A9115" s="27" t="s">
        <v>16623</v>
      </c>
      <c r="B9115" s="28" t="s">
        <v>12240</v>
      </c>
      <c r="C9115" s="27" t="s">
        <v>16512</v>
      </c>
      <c r="D9115" s="27" t="s">
        <v>230</v>
      </c>
      <c r="E9115" s="29">
        <v>41115</v>
      </c>
      <c r="F9115" s="27">
        <v>15</v>
      </c>
      <c r="G9115" s="18">
        <v>7611.11</v>
      </c>
      <c r="H9115" s="27">
        <f t="shared" si="284"/>
        <v>0</v>
      </c>
      <c r="I9115" s="18">
        <v>3730.74</v>
      </c>
      <c r="J9115" s="27">
        <v>7611.11</v>
      </c>
      <c r="K9115" s="18">
        <f t="shared" si="285"/>
        <v>0</v>
      </c>
      <c r="L9115" s="27">
        <v>4138.4799999999996</v>
      </c>
      <c r="M9115" s="36">
        <v>407.74</v>
      </c>
      <c r="T9115" s="41">
        <v>0</v>
      </c>
      <c r="U9115" s="41">
        <v>0</v>
      </c>
      <c r="V9115" s="42" t="s">
        <v>113</v>
      </c>
      <c r="W9115" s="42">
        <v>0</v>
      </c>
      <c r="X9115" s="42">
        <v>0</v>
      </c>
    </row>
    <row r="9116" spans="1:24">
      <c r="A9116" s="27" t="s">
        <v>16624</v>
      </c>
      <c r="B9116" s="28" t="s">
        <v>12240</v>
      </c>
      <c r="C9116" s="27" t="s">
        <v>16512</v>
      </c>
      <c r="D9116" s="27" t="s">
        <v>230</v>
      </c>
      <c r="E9116" s="29">
        <v>41115</v>
      </c>
      <c r="F9116" s="27">
        <v>15</v>
      </c>
      <c r="G9116" s="18">
        <v>7611.11</v>
      </c>
      <c r="H9116" s="27">
        <f t="shared" si="284"/>
        <v>0</v>
      </c>
      <c r="I9116" s="18">
        <v>3730.74</v>
      </c>
      <c r="J9116" s="27">
        <v>7611.11</v>
      </c>
      <c r="K9116" s="18">
        <f t="shared" si="285"/>
        <v>0</v>
      </c>
      <c r="L9116" s="27">
        <v>4138.4799999999996</v>
      </c>
      <c r="M9116" s="36">
        <v>407.74</v>
      </c>
      <c r="T9116" s="41">
        <v>0</v>
      </c>
      <c r="U9116" s="41">
        <v>0</v>
      </c>
      <c r="V9116" s="42" t="s">
        <v>113</v>
      </c>
      <c r="W9116" s="42">
        <v>0</v>
      </c>
      <c r="X9116" s="42">
        <v>0</v>
      </c>
    </row>
    <row r="9117" spans="1:24">
      <c r="A9117" s="27" t="s">
        <v>16625</v>
      </c>
      <c r="B9117" s="28" t="s">
        <v>12240</v>
      </c>
      <c r="C9117" s="27" t="s">
        <v>16512</v>
      </c>
      <c r="D9117" s="27" t="s">
        <v>230</v>
      </c>
      <c r="E9117" s="29">
        <v>41115</v>
      </c>
      <c r="F9117" s="27">
        <v>15</v>
      </c>
      <c r="G9117" s="18">
        <v>7611.12</v>
      </c>
      <c r="H9117" s="27">
        <f t="shared" si="284"/>
        <v>0</v>
      </c>
      <c r="I9117" s="18">
        <v>3730.75</v>
      </c>
      <c r="J9117" s="27">
        <v>7611.12</v>
      </c>
      <c r="K9117" s="18">
        <f t="shared" si="285"/>
        <v>0</v>
      </c>
      <c r="L9117" s="27">
        <v>4138.49</v>
      </c>
      <c r="M9117" s="36">
        <v>407.74</v>
      </c>
      <c r="T9117" s="41">
        <v>0</v>
      </c>
      <c r="U9117" s="41">
        <v>0</v>
      </c>
      <c r="V9117" s="42" t="s">
        <v>113</v>
      </c>
      <c r="W9117" s="42">
        <v>0</v>
      </c>
      <c r="X9117" s="42">
        <v>0</v>
      </c>
    </row>
    <row r="9118" spans="1:24">
      <c r="A9118" s="27" t="s">
        <v>16626</v>
      </c>
      <c r="B9118" s="28" t="s">
        <v>12240</v>
      </c>
      <c r="C9118" s="27" t="s">
        <v>16627</v>
      </c>
      <c r="D9118" s="27" t="s">
        <v>230</v>
      </c>
      <c r="E9118" s="29">
        <v>41254</v>
      </c>
      <c r="F9118" s="27">
        <v>15</v>
      </c>
      <c r="G9118" s="18">
        <v>20904.91</v>
      </c>
      <c r="H9118" s="27">
        <f t="shared" si="284"/>
        <v>0</v>
      </c>
      <c r="I9118" s="18">
        <v>9524</v>
      </c>
      <c r="J9118" s="27">
        <v>20904.91</v>
      </c>
      <c r="K9118" s="18">
        <f t="shared" si="285"/>
        <v>0</v>
      </c>
      <c r="L9118" s="27">
        <v>10672.41</v>
      </c>
      <c r="M9118" s="36">
        <v>1148.4100000000001</v>
      </c>
      <c r="T9118" s="41">
        <v>0</v>
      </c>
      <c r="U9118" s="41">
        <v>0</v>
      </c>
      <c r="V9118" s="42" t="s">
        <v>113</v>
      </c>
      <c r="W9118" s="42">
        <v>0</v>
      </c>
      <c r="X9118" s="42">
        <v>0</v>
      </c>
    </row>
    <row r="9119" spans="1:24">
      <c r="A9119" s="27" t="s">
        <v>16628</v>
      </c>
      <c r="B9119" s="28" t="s">
        <v>12240</v>
      </c>
      <c r="C9119" s="27" t="s">
        <v>16629</v>
      </c>
      <c r="D9119" s="27" t="s">
        <v>230</v>
      </c>
      <c r="E9119" s="29">
        <v>41254</v>
      </c>
      <c r="F9119" s="27">
        <v>15</v>
      </c>
      <c r="G9119" s="18">
        <v>20904.91</v>
      </c>
      <c r="H9119" s="27">
        <f t="shared" si="284"/>
        <v>0</v>
      </c>
      <c r="I9119" s="18">
        <v>9524</v>
      </c>
      <c r="J9119" s="27">
        <v>20904.91</v>
      </c>
      <c r="K9119" s="18">
        <f t="shared" si="285"/>
        <v>0</v>
      </c>
      <c r="L9119" s="27">
        <v>10672.41</v>
      </c>
      <c r="M9119" s="36">
        <v>1148.4100000000001</v>
      </c>
      <c r="T9119" s="41">
        <v>0</v>
      </c>
      <c r="U9119" s="41">
        <v>0</v>
      </c>
      <c r="V9119" s="42" t="s">
        <v>113</v>
      </c>
      <c r="W9119" s="42">
        <v>0</v>
      </c>
      <c r="X9119" s="42">
        <v>0</v>
      </c>
    </row>
    <row r="9120" spans="1:24">
      <c r="A9120" s="27" t="s">
        <v>16630</v>
      </c>
      <c r="B9120" s="28" t="s">
        <v>12240</v>
      </c>
      <c r="C9120" s="27" t="s">
        <v>16631</v>
      </c>
      <c r="D9120" s="27" t="s">
        <v>230</v>
      </c>
      <c r="E9120" s="29">
        <v>41254</v>
      </c>
      <c r="F9120" s="27">
        <v>15</v>
      </c>
      <c r="G9120" s="18">
        <v>20904.91</v>
      </c>
      <c r="H9120" s="27">
        <f t="shared" si="284"/>
        <v>0</v>
      </c>
      <c r="I9120" s="18">
        <v>9524</v>
      </c>
      <c r="J9120" s="27">
        <v>20904.91</v>
      </c>
      <c r="K9120" s="18">
        <f t="shared" si="285"/>
        <v>0</v>
      </c>
      <c r="L9120" s="27">
        <v>10672.41</v>
      </c>
      <c r="M9120" s="36">
        <v>1148.4100000000001</v>
      </c>
      <c r="T9120" s="41">
        <v>0</v>
      </c>
      <c r="U9120" s="41">
        <v>0</v>
      </c>
      <c r="V9120" s="42" t="s">
        <v>113</v>
      </c>
      <c r="W9120" s="42">
        <v>0</v>
      </c>
      <c r="X9120" s="42">
        <v>0</v>
      </c>
    </row>
    <row r="9121" spans="1:24">
      <c r="A9121" s="27" t="s">
        <v>16632</v>
      </c>
      <c r="B9121" s="28" t="s">
        <v>12240</v>
      </c>
      <c r="C9121" s="27" t="s">
        <v>16633</v>
      </c>
      <c r="D9121" s="27" t="s">
        <v>230</v>
      </c>
      <c r="E9121" s="29">
        <v>41254</v>
      </c>
      <c r="F9121" s="27">
        <v>15</v>
      </c>
      <c r="G9121" s="18">
        <v>20904.91</v>
      </c>
      <c r="H9121" s="27">
        <f t="shared" si="284"/>
        <v>0</v>
      </c>
      <c r="I9121" s="18">
        <v>9524</v>
      </c>
      <c r="J9121" s="27">
        <v>20904.91</v>
      </c>
      <c r="K9121" s="18">
        <f t="shared" si="285"/>
        <v>0</v>
      </c>
      <c r="L9121" s="27">
        <v>10672.41</v>
      </c>
      <c r="M9121" s="36">
        <v>1148.4100000000001</v>
      </c>
      <c r="T9121" s="41">
        <v>0</v>
      </c>
      <c r="U9121" s="41">
        <v>0</v>
      </c>
      <c r="V9121" s="42" t="s">
        <v>113</v>
      </c>
      <c r="W9121" s="42">
        <v>0</v>
      </c>
      <c r="X9121" s="42">
        <v>0</v>
      </c>
    </row>
    <row r="9122" spans="1:24">
      <c r="A9122" s="27" t="s">
        <v>16634</v>
      </c>
      <c r="B9122" s="28" t="s">
        <v>12240</v>
      </c>
      <c r="C9122" s="27" t="s">
        <v>16635</v>
      </c>
      <c r="D9122" s="27" t="s">
        <v>230</v>
      </c>
      <c r="E9122" s="29">
        <v>41254</v>
      </c>
      <c r="F9122" s="27">
        <v>15</v>
      </c>
      <c r="G9122" s="18">
        <v>20904.91</v>
      </c>
      <c r="H9122" s="27">
        <f t="shared" si="284"/>
        <v>0</v>
      </c>
      <c r="I9122" s="18">
        <v>9524</v>
      </c>
      <c r="J9122" s="27">
        <v>20904.91</v>
      </c>
      <c r="K9122" s="18">
        <f t="shared" si="285"/>
        <v>0</v>
      </c>
      <c r="L9122" s="27">
        <v>10672.41</v>
      </c>
      <c r="M9122" s="36">
        <v>1148.4100000000001</v>
      </c>
      <c r="T9122" s="41">
        <v>0</v>
      </c>
      <c r="U9122" s="41">
        <v>0</v>
      </c>
      <c r="V9122" s="42" t="s">
        <v>113</v>
      </c>
      <c r="W9122" s="42">
        <v>0</v>
      </c>
      <c r="X9122" s="42">
        <v>0</v>
      </c>
    </row>
    <row r="9123" spans="1:24">
      <c r="A9123" s="27" t="s">
        <v>16636</v>
      </c>
      <c r="B9123" s="28" t="s">
        <v>12240</v>
      </c>
      <c r="C9123" s="27" t="s">
        <v>16637</v>
      </c>
      <c r="D9123" s="27" t="s">
        <v>230</v>
      </c>
      <c r="E9123" s="29">
        <v>41254</v>
      </c>
      <c r="F9123" s="27">
        <v>15</v>
      </c>
      <c r="G9123" s="18">
        <v>20904.91</v>
      </c>
      <c r="H9123" s="27">
        <f t="shared" si="284"/>
        <v>0</v>
      </c>
      <c r="I9123" s="18">
        <v>9524</v>
      </c>
      <c r="J9123" s="27">
        <v>20904.91</v>
      </c>
      <c r="K9123" s="18">
        <f t="shared" si="285"/>
        <v>0</v>
      </c>
      <c r="L9123" s="27">
        <v>10672.41</v>
      </c>
      <c r="M9123" s="36">
        <v>1148.4100000000001</v>
      </c>
      <c r="T9123" s="41">
        <v>0</v>
      </c>
      <c r="U9123" s="41">
        <v>0</v>
      </c>
      <c r="V9123" s="42" t="s">
        <v>113</v>
      </c>
      <c r="W9123" s="42">
        <v>0</v>
      </c>
      <c r="X9123" s="42">
        <v>0</v>
      </c>
    </row>
    <row r="9124" spans="1:24">
      <c r="A9124" s="27" t="s">
        <v>16638</v>
      </c>
      <c r="B9124" s="28" t="s">
        <v>12240</v>
      </c>
      <c r="C9124" s="27" t="s">
        <v>16639</v>
      </c>
      <c r="D9124" s="27" t="s">
        <v>230</v>
      </c>
      <c r="E9124" s="29">
        <v>41254</v>
      </c>
      <c r="F9124" s="27">
        <v>15</v>
      </c>
      <c r="G9124" s="18">
        <v>20904.91</v>
      </c>
      <c r="H9124" s="27">
        <f t="shared" si="284"/>
        <v>0</v>
      </c>
      <c r="I9124" s="18">
        <v>9524</v>
      </c>
      <c r="J9124" s="27">
        <v>20904.91</v>
      </c>
      <c r="K9124" s="18">
        <f t="shared" si="285"/>
        <v>0</v>
      </c>
      <c r="L9124" s="27">
        <v>10672.41</v>
      </c>
      <c r="M9124" s="36">
        <v>1148.4100000000001</v>
      </c>
      <c r="T9124" s="41">
        <v>0</v>
      </c>
      <c r="U9124" s="41">
        <v>0</v>
      </c>
      <c r="V9124" s="42" t="s">
        <v>113</v>
      </c>
      <c r="W9124" s="42">
        <v>0</v>
      </c>
      <c r="X9124" s="42">
        <v>0</v>
      </c>
    </row>
    <row r="9125" spans="1:24">
      <c r="A9125" s="27" t="s">
        <v>16640</v>
      </c>
      <c r="B9125" s="28" t="s">
        <v>12240</v>
      </c>
      <c r="C9125" s="27" t="s">
        <v>16641</v>
      </c>
      <c r="D9125" s="27" t="s">
        <v>230</v>
      </c>
      <c r="E9125" s="29">
        <v>41254</v>
      </c>
      <c r="F9125" s="27">
        <v>15</v>
      </c>
      <c r="G9125" s="18">
        <v>20904.91</v>
      </c>
      <c r="H9125" s="27">
        <f t="shared" si="284"/>
        <v>0</v>
      </c>
      <c r="I9125" s="18">
        <v>9524.01</v>
      </c>
      <c r="J9125" s="27">
        <v>20904.91</v>
      </c>
      <c r="K9125" s="18">
        <f t="shared" si="285"/>
        <v>0</v>
      </c>
      <c r="L9125" s="27">
        <v>10672.42</v>
      </c>
      <c r="M9125" s="36">
        <v>1148.4100000000001</v>
      </c>
      <c r="T9125" s="41">
        <v>0</v>
      </c>
      <c r="U9125" s="41">
        <v>0</v>
      </c>
      <c r="V9125" s="42" t="s">
        <v>113</v>
      </c>
      <c r="W9125" s="42">
        <v>0</v>
      </c>
      <c r="X9125" s="42">
        <v>0</v>
      </c>
    </row>
    <row r="9126" spans="1:24">
      <c r="A9126" s="27" t="s">
        <v>16642</v>
      </c>
      <c r="B9126" s="28" t="s">
        <v>12240</v>
      </c>
      <c r="C9126" s="27" t="s">
        <v>16643</v>
      </c>
      <c r="D9126" s="27" t="s">
        <v>230</v>
      </c>
      <c r="E9126" s="29">
        <v>41254</v>
      </c>
      <c r="F9126" s="27">
        <v>15</v>
      </c>
      <c r="G9126" s="18">
        <v>20904.91</v>
      </c>
      <c r="H9126" s="27">
        <f t="shared" si="284"/>
        <v>0</v>
      </c>
      <c r="I9126" s="18">
        <v>9524</v>
      </c>
      <c r="J9126" s="27">
        <v>20904.91</v>
      </c>
      <c r="K9126" s="18">
        <f t="shared" si="285"/>
        <v>0</v>
      </c>
      <c r="L9126" s="27">
        <v>10672.41</v>
      </c>
      <c r="M9126" s="36">
        <v>1148.4100000000001</v>
      </c>
      <c r="T9126" s="41">
        <v>0</v>
      </c>
      <c r="U9126" s="41">
        <v>0</v>
      </c>
      <c r="V9126" s="42" t="s">
        <v>113</v>
      </c>
      <c r="W9126" s="42">
        <v>0</v>
      </c>
      <c r="X9126" s="42">
        <v>0</v>
      </c>
    </row>
    <row r="9127" spans="1:24">
      <c r="A9127" s="27" t="s">
        <v>16644</v>
      </c>
      <c r="B9127" s="28" t="s">
        <v>12240</v>
      </c>
      <c r="C9127" s="27" t="s">
        <v>16645</v>
      </c>
      <c r="D9127" s="27" t="s">
        <v>230</v>
      </c>
      <c r="E9127" s="29">
        <v>41254</v>
      </c>
      <c r="F9127" s="27">
        <v>15</v>
      </c>
      <c r="G9127" s="18">
        <v>20904.91</v>
      </c>
      <c r="H9127" s="27">
        <f t="shared" si="284"/>
        <v>0</v>
      </c>
      <c r="I9127" s="18">
        <v>9524.01</v>
      </c>
      <c r="J9127" s="27">
        <v>20904.91</v>
      </c>
      <c r="K9127" s="18">
        <f t="shared" si="285"/>
        <v>0</v>
      </c>
      <c r="L9127" s="27">
        <v>10672.42</v>
      </c>
      <c r="M9127" s="36">
        <v>1148.4100000000001</v>
      </c>
      <c r="T9127" s="41">
        <v>0</v>
      </c>
      <c r="U9127" s="41">
        <v>0</v>
      </c>
      <c r="V9127" s="42" t="s">
        <v>113</v>
      </c>
      <c r="W9127" s="42">
        <v>0</v>
      </c>
      <c r="X9127" s="42">
        <v>0</v>
      </c>
    </row>
    <row r="9128" spans="1:24">
      <c r="A9128" s="27" t="s">
        <v>16646</v>
      </c>
      <c r="B9128" s="28" t="s">
        <v>12240</v>
      </c>
      <c r="C9128" s="27" t="s">
        <v>16647</v>
      </c>
      <c r="D9128" s="27" t="s">
        <v>230</v>
      </c>
      <c r="E9128" s="29">
        <v>41254</v>
      </c>
      <c r="F9128" s="27">
        <v>15</v>
      </c>
      <c r="G9128" s="18">
        <v>20904.91</v>
      </c>
      <c r="H9128" s="27">
        <f t="shared" si="284"/>
        <v>0</v>
      </c>
      <c r="I9128" s="18">
        <v>9524</v>
      </c>
      <c r="J9128" s="27">
        <v>20904.91</v>
      </c>
      <c r="K9128" s="18">
        <f t="shared" si="285"/>
        <v>0</v>
      </c>
      <c r="L9128" s="27">
        <v>10672.41</v>
      </c>
      <c r="M9128" s="36">
        <v>1148.4100000000001</v>
      </c>
      <c r="T9128" s="41">
        <v>0</v>
      </c>
      <c r="U9128" s="41">
        <v>0</v>
      </c>
      <c r="V9128" s="42" t="s">
        <v>113</v>
      </c>
      <c r="W9128" s="42">
        <v>0</v>
      </c>
      <c r="X9128" s="42">
        <v>0</v>
      </c>
    </row>
    <row r="9129" spans="1:24">
      <c r="A9129" s="27" t="s">
        <v>16648</v>
      </c>
      <c r="B9129" s="28" t="s">
        <v>12240</v>
      </c>
      <c r="C9129" s="27" t="s">
        <v>16649</v>
      </c>
      <c r="D9129" s="27" t="s">
        <v>230</v>
      </c>
      <c r="E9129" s="29">
        <v>41254</v>
      </c>
      <c r="F9129" s="27">
        <v>15</v>
      </c>
      <c r="G9129" s="18">
        <v>20904.91</v>
      </c>
      <c r="H9129" s="27">
        <f t="shared" si="284"/>
        <v>0</v>
      </c>
      <c r="I9129" s="18">
        <v>9524.01</v>
      </c>
      <c r="J9129" s="27">
        <v>20904.91</v>
      </c>
      <c r="K9129" s="18">
        <f t="shared" si="285"/>
        <v>0</v>
      </c>
      <c r="L9129" s="27">
        <v>10672.42</v>
      </c>
      <c r="M9129" s="36">
        <v>1148.4100000000001</v>
      </c>
      <c r="T9129" s="41">
        <v>0</v>
      </c>
      <c r="U9129" s="41">
        <v>0</v>
      </c>
      <c r="V9129" s="42" t="s">
        <v>113</v>
      </c>
      <c r="W9129" s="42">
        <v>0</v>
      </c>
      <c r="X9129" s="42">
        <v>0</v>
      </c>
    </row>
    <row r="9130" spans="1:24">
      <c r="A9130" s="27" t="s">
        <v>16650</v>
      </c>
      <c r="B9130" s="28" t="s">
        <v>12240</v>
      </c>
      <c r="C9130" s="27" t="s">
        <v>16651</v>
      </c>
      <c r="D9130" s="27" t="s">
        <v>230</v>
      </c>
      <c r="E9130" s="29">
        <v>41254</v>
      </c>
      <c r="F9130" s="27">
        <v>15</v>
      </c>
      <c r="G9130" s="18">
        <v>20904.91</v>
      </c>
      <c r="H9130" s="27">
        <f t="shared" si="284"/>
        <v>0</v>
      </c>
      <c r="I9130" s="18">
        <v>9524</v>
      </c>
      <c r="J9130" s="27">
        <v>20904.91</v>
      </c>
      <c r="K9130" s="18">
        <f t="shared" si="285"/>
        <v>0</v>
      </c>
      <c r="L9130" s="27">
        <v>10672.41</v>
      </c>
      <c r="M9130" s="36">
        <v>1148.4100000000001</v>
      </c>
      <c r="T9130" s="41">
        <v>0</v>
      </c>
      <c r="U9130" s="41">
        <v>0</v>
      </c>
      <c r="V9130" s="42" t="s">
        <v>113</v>
      </c>
      <c r="W9130" s="42">
        <v>0</v>
      </c>
      <c r="X9130" s="42">
        <v>0</v>
      </c>
    </row>
    <row r="9131" spans="1:24">
      <c r="A9131" s="27" t="s">
        <v>16652</v>
      </c>
      <c r="B9131" s="28" t="s">
        <v>12240</v>
      </c>
      <c r="C9131" s="27" t="s">
        <v>16653</v>
      </c>
      <c r="D9131" s="27" t="s">
        <v>230</v>
      </c>
      <c r="E9131" s="29">
        <v>41254</v>
      </c>
      <c r="F9131" s="27">
        <v>15</v>
      </c>
      <c r="G9131" s="18">
        <v>20904.91</v>
      </c>
      <c r="H9131" s="27">
        <f t="shared" si="284"/>
        <v>0</v>
      </c>
      <c r="I9131" s="18">
        <v>9524.01</v>
      </c>
      <c r="J9131" s="27">
        <v>20904.91</v>
      </c>
      <c r="K9131" s="18">
        <f t="shared" si="285"/>
        <v>0</v>
      </c>
      <c r="L9131" s="27">
        <v>10672.42</v>
      </c>
      <c r="M9131" s="36">
        <v>1148.4100000000001</v>
      </c>
      <c r="T9131" s="41">
        <v>0</v>
      </c>
      <c r="U9131" s="41">
        <v>0</v>
      </c>
      <c r="V9131" s="42" t="s">
        <v>113</v>
      </c>
      <c r="W9131" s="42">
        <v>0</v>
      </c>
      <c r="X9131" s="42">
        <v>0</v>
      </c>
    </row>
    <row r="9132" spans="1:24">
      <c r="A9132" s="27" t="s">
        <v>16654</v>
      </c>
      <c r="B9132" s="28" t="s">
        <v>12240</v>
      </c>
      <c r="C9132" s="27" t="s">
        <v>16655</v>
      </c>
      <c r="D9132" s="27" t="s">
        <v>230</v>
      </c>
      <c r="E9132" s="29">
        <v>41254</v>
      </c>
      <c r="F9132" s="27">
        <v>15</v>
      </c>
      <c r="G9132" s="18">
        <v>20904.91</v>
      </c>
      <c r="H9132" s="27">
        <f t="shared" si="284"/>
        <v>0</v>
      </c>
      <c r="I9132" s="18">
        <v>9524</v>
      </c>
      <c r="J9132" s="27">
        <v>20904.91</v>
      </c>
      <c r="K9132" s="18">
        <f t="shared" si="285"/>
        <v>0</v>
      </c>
      <c r="L9132" s="27">
        <v>10672.41</v>
      </c>
      <c r="M9132" s="36">
        <v>1148.4100000000001</v>
      </c>
      <c r="T9132" s="41">
        <v>0</v>
      </c>
      <c r="U9132" s="41">
        <v>0</v>
      </c>
      <c r="V9132" s="42" t="s">
        <v>113</v>
      </c>
      <c r="W9132" s="42">
        <v>0</v>
      </c>
      <c r="X9132" s="42">
        <v>0</v>
      </c>
    </row>
    <row r="9133" spans="1:24">
      <c r="A9133" s="27" t="s">
        <v>16656</v>
      </c>
      <c r="B9133" s="28" t="s">
        <v>12240</v>
      </c>
      <c r="C9133" s="27" t="s">
        <v>16657</v>
      </c>
      <c r="D9133" s="27" t="s">
        <v>230</v>
      </c>
      <c r="E9133" s="29">
        <v>41254</v>
      </c>
      <c r="F9133" s="27">
        <v>15</v>
      </c>
      <c r="G9133" s="18">
        <v>20904.91</v>
      </c>
      <c r="H9133" s="27">
        <f t="shared" si="284"/>
        <v>0</v>
      </c>
      <c r="I9133" s="18">
        <v>9524.01</v>
      </c>
      <c r="J9133" s="27">
        <v>20904.91</v>
      </c>
      <c r="K9133" s="18">
        <f t="shared" si="285"/>
        <v>0</v>
      </c>
      <c r="L9133" s="27">
        <v>10672.42</v>
      </c>
      <c r="M9133" s="36">
        <v>1148.4100000000001</v>
      </c>
      <c r="T9133" s="41">
        <v>0</v>
      </c>
      <c r="U9133" s="41">
        <v>0</v>
      </c>
      <c r="V9133" s="42" t="s">
        <v>113</v>
      </c>
      <c r="W9133" s="42">
        <v>0</v>
      </c>
      <c r="X9133" s="42">
        <v>0</v>
      </c>
    </row>
    <row r="9134" spans="1:24">
      <c r="A9134" s="27" t="s">
        <v>16658</v>
      </c>
      <c r="B9134" s="28" t="s">
        <v>12240</v>
      </c>
      <c r="C9134" s="27" t="s">
        <v>16659</v>
      </c>
      <c r="D9134" s="27" t="s">
        <v>230</v>
      </c>
      <c r="E9134" s="29">
        <v>41254</v>
      </c>
      <c r="F9134" s="27">
        <v>15</v>
      </c>
      <c r="G9134" s="18">
        <v>20904.91</v>
      </c>
      <c r="H9134" s="27">
        <f t="shared" si="284"/>
        <v>0</v>
      </c>
      <c r="I9134" s="18">
        <v>9524</v>
      </c>
      <c r="J9134" s="27">
        <v>20904.91</v>
      </c>
      <c r="K9134" s="18">
        <f t="shared" si="285"/>
        <v>0</v>
      </c>
      <c r="L9134" s="27">
        <v>10672.41</v>
      </c>
      <c r="M9134" s="36">
        <v>1148.4100000000001</v>
      </c>
      <c r="T9134" s="41">
        <v>0</v>
      </c>
      <c r="U9134" s="41">
        <v>0</v>
      </c>
      <c r="V9134" s="42" t="s">
        <v>113</v>
      </c>
      <c r="W9134" s="42">
        <v>0</v>
      </c>
      <c r="X9134" s="42">
        <v>0</v>
      </c>
    </row>
    <row r="9135" spans="1:24">
      <c r="A9135" s="27" t="s">
        <v>16660</v>
      </c>
      <c r="B9135" s="28" t="s">
        <v>12240</v>
      </c>
      <c r="C9135" s="27" t="s">
        <v>16661</v>
      </c>
      <c r="D9135" s="27" t="s">
        <v>230</v>
      </c>
      <c r="E9135" s="29">
        <v>41254</v>
      </c>
      <c r="F9135" s="27">
        <v>15</v>
      </c>
      <c r="G9135" s="18">
        <v>20904.91</v>
      </c>
      <c r="H9135" s="27">
        <f t="shared" si="284"/>
        <v>0</v>
      </c>
      <c r="I9135" s="18">
        <v>9524.01</v>
      </c>
      <c r="J9135" s="27">
        <v>20904.91</v>
      </c>
      <c r="K9135" s="18">
        <f t="shared" si="285"/>
        <v>0</v>
      </c>
      <c r="L9135" s="27">
        <v>10672.42</v>
      </c>
      <c r="M9135" s="36">
        <v>1148.4100000000001</v>
      </c>
      <c r="T9135" s="41">
        <v>0</v>
      </c>
      <c r="U9135" s="41">
        <v>0</v>
      </c>
      <c r="V9135" s="42" t="s">
        <v>113</v>
      </c>
      <c r="W9135" s="42">
        <v>0</v>
      </c>
      <c r="X9135" s="42">
        <v>0</v>
      </c>
    </row>
    <row r="9136" spans="1:24">
      <c r="A9136" s="27" t="s">
        <v>16662</v>
      </c>
      <c r="B9136" s="28" t="s">
        <v>12240</v>
      </c>
      <c r="C9136" s="27" t="s">
        <v>16663</v>
      </c>
      <c r="D9136" s="27" t="s">
        <v>230</v>
      </c>
      <c r="E9136" s="29">
        <v>41254</v>
      </c>
      <c r="F9136" s="27">
        <v>15</v>
      </c>
      <c r="G9136" s="18">
        <v>20904.91</v>
      </c>
      <c r="H9136" s="27">
        <f t="shared" si="284"/>
        <v>0</v>
      </c>
      <c r="I9136" s="18">
        <v>9524</v>
      </c>
      <c r="J9136" s="27">
        <v>20904.91</v>
      </c>
      <c r="K9136" s="18">
        <f t="shared" si="285"/>
        <v>0</v>
      </c>
      <c r="L9136" s="27">
        <v>10672.41</v>
      </c>
      <c r="M9136" s="36">
        <v>1148.4100000000001</v>
      </c>
      <c r="T9136" s="41">
        <v>0</v>
      </c>
      <c r="U9136" s="41">
        <v>0</v>
      </c>
      <c r="V9136" s="42" t="s">
        <v>113</v>
      </c>
      <c r="W9136" s="42">
        <v>0</v>
      </c>
      <c r="X9136" s="42">
        <v>0</v>
      </c>
    </row>
    <row r="9137" spans="1:24">
      <c r="A9137" s="27" t="s">
        <v>16664</v>
      </c>
      <c r="B9137" s="28" t="s">
        <v>12240</v>
      </c>
      <c r="C9137" s="27" t="s">
        <v>16665</v>
      </c>
      <c r="D9137" s="27" t="s">
        <v>230</v>
      </c>
      <c r="E9137" s="29">
        <v>41254</v>
      </c>
      <c r="F9137" s="27">
        <v>15</v>
      </c>
      <c r="G9137" s="18">
        <v>20905</v>
      </c>
      <c r="H9137" s="27">
        <f t="shared" si="284"/>
        <v>0</v>
      </c>
      <c r="I9137" s="18">
        <v>9524.0499999999993</v>
      </c>
      <c r="J9137" s="27">
        <v>20905</v>
      </c>
      <c r="K9137" s="18">
        <f t="shared" si="285"/>
        <v>0</v>
      </c>
      <c r="L9137" s="27">
        <v>10672.46</v>
      </c>
      <c r="M9137" s="36">
        <v>1148.4100000000001</v>
      </c>
      <c r="T9137" s="41">
        <v>0</v>
      </c>
      <c r="U9137" s="41">
        <v>0</v>
      </c>
      <c r="V9137" s="42" t="s">
        <v>113</v>
      </c>
      <c r="W9137" s="42">
        <v>0</v>
      </c>
      <c r="X9137" s="42">
        <v>0</v>
      </c>
    </row>
    <row r="9138" spans="1:24">
      <c r="A9138" s="27" t="s">
        <v>16666</v>
      </c>
      <c r="B9138" s="28" t="s">
        <v>12240</v>
      </c>
      <c r="C9138" s="27" t="s">
        <v>16667</v>
      </c>
      <c r="D9138" s="27" t="s">
        <v>230</v>
      </c>
      <c r="E9138" s="29">
        <v>41274</v>
      </c>
      <c r="F9138" s="27">
        <v>15</v>
      </c>
      <c r="G9138" s="18">
        <v>28290.26</v>
      </c>
      <c r="H9138" s="27">
        <f t="shared" si="284"/>
        <v>0</v>
      </c>
      <c r="I9138" s="18">
        <v>12888.68</v>
      </c>
      <c r="J9138" s="27">
        <v>28290.26</v>
      </c>
      <c r="K9138" s="18">
        <f t="shared" si="285"/>
        <v>0</v>
      </c>
      <c r="L9138" s="27">
        <v>14442.8</v>
      </c>
      <c r="M9138" s="36">
        <v>1554.12</v>
      </c>
      <c r="T9138" s="41">
        <v>0</v>
      </c>
      <c r="U9138" s="41">
        <v>0</v>
      </c>
      <c r="V9138" s="42" t="s">
        <v>113</v>
      </c>
      <c r="W9138" s="42">
        <v>0</v>
      </c>
      <c r="X9138" s="42">
        <v>0</v>
      </c>
    </row>
    <row r="9139" spans="1:24">
      <c r="A9139" s="27" t="s">
        <v>16668</v>
      </c>
      <c r="B9139" s="28" t="s">
        <v>12240</v>
      </c>
      <c r="C9139" s="27" t="s">
        <v>16669</v>
      </c>
      <c r="D9139" s="27" t="s">
        <v>230</v>
      </c>
      <c r="E9139" s="29">
        <v>41274</v>
      </c>
      <c r="F9139" s="27">
        <v>15</v>
      </c>
      <c r="G9139" s="18">
        <v>28290.26</v>
      </c>
      <c r="H9139" s="27">
        <f t="shared" si="284"/>
        <v>0</v>
      </c>
      <c r="I9139" s="18">
        <v>12888.68</v>
      </c>
      <c r="J9139" s="27">
        <v>28290.26</v>
      </c>
      <c r="K9139" s="18">
        <f t="shared" si="285"/>
        <v>0</v>
      </c>
      <c r="L9139" s="27">
        <v>14442.8</v>
      </c>
      <c r="M9139" s="36">
        <v>1554.12</v>
      </c>
      <c r="T9139" s="41">
        <v>0</v>
      </c>
      <c r="U9139" s="41">
        <v>0</v>
      </c>
      <c r="V9139" s="42" t="s">
        <v>113</v>
      </c>
      <c r="W9139" s="42">
        <v>0</v>
      </c>
      <c r="X9139" s="42">
        <v>0</v>
      </c>
    </row>
    <row r="9140" spans="1:24">
      <c r="A9140" s="27" t="s">
        <v>16670</v>
      </c>
      <c r="B9140" s="28" t="s">
        <v>12240</v>
      </c>
      <c r="C9140" s="27" t="s">
        <v>16671</v>
      </c>
      <c r="D9140" s="27" t="s">
        <v>230</v>
      </c>
      <c r="E9140" s="29">
        <v>41274</v>
      </c>
      <c r="F9140" s="27">
        <v>15</v>
      </c>
      <c r="G9140" s="18">
        <v>28290.26</v>
      </c>
      <c r="H9140" s="27">
        <f t="shared" si="284"/>
        <v>0</v>
      </c>
      <c r="I9140" s="18">
        <v>12888.68</v>
      </c>
      <c r="J9140" s="27">
        <v>28290.26</v>
      </c>
      <c r="K9140" s="18">
        <f t="shared" si="285"/>
        <v>0</v>
      </c>
      <c r="L9140" s="27">
        <v>14442.8</v>
      </c>
      <c r="M9140" s="36">
        <v>1554.12</v>
      </c>
      <c r="T9140" s="41">
        <v>0</v>
      </c>
      <c r="U9140" s="41">
        <v>0</v>
      </c>
      <c r="V9140" s="42" t="s">
        <v>113</v>
      </c>
      <c r="W9140" s="42">
        <v>0</v>
      </c>
      <c r="X9140" s="42">
        <v>0</v>
      </c>
    </row>
    <row r="9141" spans="1:24">
      <c r="A9141" s="27" t="s">
        <v>16672</v>
      </c>
      <c r="B9141" s="28" t="s">
        <v>12240</v>
      </c>
      <c r="C9141" s="27" t="s">
        <v>16673</v>
      </c>
      <c r="D9141" s="27" t="s">
        <v>230</v>
      </c>
      <c r="E9141" s="29">
        <v>41274</v>
      </c>
      <c r="F9141" s="27">
        <v>15</v>
      </c>
      <c r="G9141" s="18">
        <v>28290.26</v>
      </c>
      <c r="H9141" s="27">
        <f t="shared" si="284"/>
        <v>0</v>
      </c>
      <c r="I9141" s="18">
        <v>12888.68</v>
      </c>
      <c r="J9141" s="27">
        <v>28290.26</v>
      </c>
      <c r="K9141" s="18">
        <f t="shared" si="285"/>
        <v>0</v>
      </c>
      <c r="L9141" s="27">
        <v>14442.8</v>
      </c>
      <c r="M9141" s="36">
        <v>1554.12</v>
      </c>
      <c r="T9141" s="41">
        <v>0</v>
      </c>
      <c r="U9141" s="41">
        <v>0</v>
      </c>
      <c r="V9141" s="42" t="s">
        <v>113</v>
      </c>
      <c r="W9141" s="42">
        <v>0</v>
      </c>
      <c r="X9141" s="42">
        <v>0</v>
      </c>
    </row>
    <row r="9142" spans="1:24">
      <c r="A9142" s="27" t="s">
        <v>16674</v>
      </c>
      <c r="B9142" s="28" t="s">
        <v>12240</v>
      </c>
      <c r="C9142" s="27" t="s">
        <v>16675</v>
      </c>
      <c r="D9142" s="27" t="s">
        <v>230</v>
      </c>
      <c r="E9142" s="29">
        <v>41274</v>
      </c>
      <c r="F9142" s="27">
        <v>15</v>
      </c>
      <c r="G9142" s="18">
        <v>28290.26</v>
      </c>
      <c r="H9142" s="27">
        <f t="shared" si="284"/>
        <v>0</v>
      </c>
      <c r="I9142" s="18">
        <v>12888.68</v>
      </c>
      <c r="J9142" s="27">
        <v>28290.26</v>
      </c>
      <c r="K9142" s="18">
        <f t="shared" si="285"/>
        <v>0</v>
      </c>
      <c r="L9142" s="27">
        <v>14442.8</v>
      </c>
      <c r="M9142" s="36">
        <v>1554.12</v>
      </c>
      <c r="T9142" s="41">
        <v>0</v>
      </c>
      <c r="U9142" s="41">
        <v>0</v>
      </c>
      <c r="V9142" s="42" t="s">
        <v>113</v>
      </c>
      <c r="W9142" s="42">
        <v>0</v>
      </c>
      <c r="X9142" s="42">
        <v>0</v>
      </c>
    </row>
    <row r="9143" spans="1:24">
      <c r="A9143" s="27" t="s">
        <v>16676</v>
      </c>
      <c r="B9143" s="28" t="s">
        <v>12240</v>
      </c>
      <c r="C9143" s="27" t="s">
        <v>16677</v>
      </c>
      <c r="D9143" s="27" t="s">
        <v>230</v>
      </c>
      <c r="E9143" s="29">
        <v>41274</v>
      </c>
      <c r="F9143" s="27">
        <v>15</v>
      </c>
      <c r="G9143" s="18">
        <v>28290.26</v>
      </c>
      <c r="H9143" s="27">
        <f t="shared" si="284"/>
        <v>0</v>
      </c>
      <c r="I9143" s="18">
        <v>12888.68</v>
      </c>
      <c r="J9143" s="27">
        <v>28290.26</v>
      </c>
      <c r="K9143" s="18">
        <f t="shared" si="285"/>
        <v>0</v>
      </c>
      <c r="L9143" s="27">
        <v>14442.8</v>
      </c>
      <c r="M9143" s="36">
        <v>1554.12</v>
      </c>
      <c r="T9143" s="41">
        <v>0</v>
      </c>
      <c r="U9143" s="41">
        <v>0</v>
      </c>
      <c r="V9143" s="42" t="s">
        <v>113</v>
      </c>
      <c r="W9143" s="42">
        <v>0</v>
      </c>
      <c r="X9143" s="42">
        <v>0</v>
      </c>
    </row>
    <row r="9144" spans="1:24">
      <c r="A9144" s="27" t="s">
        <v>16678</v>
      </c>
      <c r="B9144" s="28" t="s">
        <v>12240</v>
      </c>
      <c r="C9144" s="27" t="s">
        <v>16679</v>
      </c>
      <c r="D9144" s="27" t="s">
        <v>230</v>
      </c>
      <c r="E9144" s="29">
        <v>41274</v>
      </c>
      <c r="F9144" s="27">
        <v>15</v>
      </c>
      <c r="G9144" s="18">
        <v>28290.26</v>
      </c>
      <c r="H9144" s="27">
        <f t="shared" si="284"/>
        <v>0</v>
      </c>
      <c r="I9144" s="18">
        <v>12888.68</v>
      </c>
      <c r="J9144" s="27">
        <v>28290.26</v>
      </c>
      <c r="K9144" s="18">
        <f t="shared" si="285"/>
        <v>0</v>
      </c>
      <c r="L9144" s="27">
        <v>14442.8</v>
      </c>
      <c r="M9144" s="36">
        <v>1554.12</v>
      </c>
      <c r="T9144" s="41">
        <v>0</v>
      </c>
      <c r="U9144" s="41">
        <v>0</v>
      </c>
      <c r="V9144" s="42" t="s">
        <v>113</v>
      </c>
      <c r="W9144" s="42">
        <v>0</v>
      </c>
      <c r="X9144" s="42">
        <v>0</v>
      </c>
    </row>
    <row r="9145" spans="1:24">
      <c r="A9145" s="27" t="s">
        <v>16680</v>
      </c>
      <c r="B9145" s="28" t="s">
        <v>12240</v>
      </c>
      <c r="C9145" s="27" t="s">
        <v>16681</v>
      </c>
      <c r="D9145" s="27" t="s">
        <v>230</v>
      </c>
      <c r="E9145" s="29">
        <v>41274</v>
      </c>
      <c r="F9145" s="27">
        <v>15</v>
      </c>
      <c r="G9145" s="18">
        <v>28290.26</v>
      </c>
      <c r="H9145" s="27">
        <f t="shared" si="284"/>
        <v>0</v>
      </c>
      <c r="I9145" s="18">
        <v>12888.68</v>
      </c>
      <c r="J9145" s="27">
        <v>28290.26</v>
      </c>
      <c r="K9145" s="18">
        <f t="shared" si="285"/>
        <v>0</v>
      </c>
      <c r="L9145" s="27">
        <v>14442.8</v>
      </c>
      <c r="M9145" s="36">
        <v>1554.12</v>
      </c>
      <c r="T9145" s="41">
        <v>0</v>
      </c>
      <c r="U9145" s="41">
        <v>0</v>
      </c>
      <c r="V9145" s="42" t="s">
        <v>113</v>
      </c>
      <c r="W9145" s="42">
        <v>0</v>
      </c>
      <c r="X9145" s="42">
        <v>0</v>
      </c>
    </row>
    <row r="9146" spans="1:24">
      <c r="A9146" s="27" t="s">
        <v>16682</v>
      </c>
      <c r="B9146" s="28" t="s">
        <v>12240</v>
      </c>
      <c r="C9146" s="27" t="s">
        <v>16683</v>
      </c>
      <c r="D9146" s="27" t="s">
        <v>230</v>
      </c>
      <c r="E9146" s="29">
        <v>41274</v>
      </c>
      <c r="F9146" s="27">
        <v>15</v>
      </c>
      <c r="G9146" s="18">
        <v>28290.26</v>
      </c>
      <c r="H9146" s="27">
        <f t="shared" si="284"/>
        <v>0</v>
      </c>
      <c r="I9146" s="18">
        <v>12888.68</v>
      </c>
      <c r="J9146" s="27">
        <v>28290.26</v>
      </c>
      <c r="K9146" s="18">
        <f t="shared" si="285"/>
        <v>0</v>
      </c>
      <c r="L9146" s="27">
        <v>14442.8</v>
      </c>
      <c r="M9146" s="36">
        <v>1554.12</v>
      </c>
      <c r="T9146" s="41">
        <v>0</v>
      </c>
      <c r="U9146" s="41">
        <v>0</v>
      </c>
      <c r="V9146" s="42" t="s">
        <v>113</v>
      </c>
      <c r="W9146" s="42">
        <v>0</v>
      </c>
      <c r="X9146" s="42">
        <v>0</v>
      </c>
    </row>
    <row r="9147" spans="1:24">
      <c r="A9147" s="27" t="s">
        <v>16684</v>
      </c>
      <c r="B9147" s="28" t="s">
        <v>12240</v>
      </c>
      <c r="C9147" s="27" t="s">
        <v>16685</v>
      </c>
      <c r="D9147" s="27" t="s">
        <v>230</v>
      </c>
      <c r="E9147" s="29">
        <v>41274</v>
      </c>
      <c r="F9147" s="27">
        <v>15</v>
      </c>
      <c r="G9147" s="18">
        <v>28290.26</v>
      </c>
      <c r="H9147" s="27">
        <f t="shared" si="284"/>
        <v>0</v>
      </c>
      <c r="I9147" s="18">
        <v>12888.68</v>
      </c>
      <c r="J9147" s="27">
        <v>28290.26</v>
      </c>
      <c r="K9147" s="18">
        <f t="shared" si="285"/>
        <v>0</v>
      </c>
      <c r="L9147" s="27">
        <v>14442.8</v>
      </c>
      <c r="M9147" s="36">
        <v>1554.12</v>
      </c>
      <c r="T9147" s="41">
        <v>0</v>
      </c>
      <c r="U9147" s="41">
        <v>0</v>
      </c>
      <c r="V9147" s="42" t="s">
        <v>113</v>
      </c>
      <c r="W9147" s="42">
        <v>0</v>
      </c>
      <c r="X9147" s="42">
        <v>0</v>
      </c>
    </row>
    <row r="9148" spans="1:24">
      <c r="A9148" s="27" t="s">
        <v>16686</v>
      </c>
      <c r="B9148" s="28" t="s">
        <v>12240</v>
      </c>
      <c r="C9148" s="27" t="s">
        <v>16687</v>
      </c>
      <c r="D9148" s="27" t="s">
        <v>230</v>
      </c>
      <c r="E9148" s="29">
        <v>41274</v>
      </c>
      <c r="F9148" s="27">
        <v>15</v>
      </c>
      <c r="G9148" s="18">
        <v>28290.26</v>
      </c>
      <c r="H9148" s="27">
        <f t="shared" si="284"/>
        <v>0</v>
      </c>
      <c r="I9148" s="18">
        <v>12888.68</v>
      </c>
      <c r="J9148" s="27">
        <v>28290.26</v>
      </c>
      <c r="K9148" s="18">
        <f t="shared" si="285"/>
        <v>0</v>
      </c>
      <c r="L9148" s="27">
        <v>14442.8</v>
      </c>
      <c r="M9148" s="36">
        <v>1554.12</v>
      </c>
      <c r="T9148" s="41">
        <v>0</v>
      </c>
      <c r="U9148" s="41">
        <v>0</v>
      </c>
      <c r="V9148" s="42" t="s">
        <v>113</v>
      </c>
      <c r="W9148" s="42">
        <v>0</v>
      </c>
      <c r="X9148" s="42">
        <v>0</v>
      </c>
    </row>
    <row r="9149" spans="1:24">
      <c r="A9149" s="27" t="s">
        <v>16688</v>
      </c>
      <c r="B9149" s="28" t="s">
        <v>12240</v>
      </c>
      <c r="C9149" s="27" t="s">
        <v>16689</v>
      </c>
      <c r="D9149" s="27" t="s">
        <v>230</v>
      </c>
      <c r="E9149" s="29">
        <v>41274</v>
      </c>
      <c r="F9149" s="27">
        <v>15</v>
      </c>
      <c r="G9149" s="18">
        <v>28290.26</v>
      </c>
      <c r="H9149" s="27">
        <f t="shared" si="284"/>
        <v>0</v>
      </c>
      <c r="I9149" s="18">
        <v>12888.68</v>
      </c>
      <c r="J9149" s="27">
        <v>28290.26</v>
      </c>
      <c r="K9149" s="18">
        <f t="shared" si="285"/>
        <v>0</v>
      </c>
      <c r="L9149" s="27">
        <v>14442.8</v>
      </c>
      <c r="M9149" s="36">
        <v>1554.12</v>
      </c>
      <c r="T9149" s="41">
        <v>0</v>
      </c>
      <c r="U9149" s="41">
        <v>0</v>
      </c>
      <c r="V9149" s="42" t="s">
        <v>113</v>
      </c>
      <c r="W9149" s="42">
        <v>0</v>
      </c>
      <c r="X9149" s="42">
        <v>0</v>
      </c>
    </row>
    <row r="9150" spans="1:24">
      <c r="A9150" s="27" t="s">
        <v>16690</v>
      </c>
      <c r="B9150" s="28" t="s">
        <v>12240</v>
      </c>
      <c r="C9150" s="27" t="s">
        <v>16691</v>
      </c>
      <c r="D9150" s="27" t="s">
        <v>230</v>
      </c>
      <c r="E9150" s="29">
        <v>41274</v>
      </c>
      <c r="F9150" s="27">
        <v>15</v>
      </c>
      <c r="G9150" s="18">
        <v>28290.26</v>
      </c>
      <c r="H9150" s="27">
        <f t="shared" si="284"/>
        <v>0</v>
      </c>
      <c r="I9150" s="18">
        <v>12888.68</v>
      </c>
      <c r="J9150" s="27">
        <v>28290.26</v>
      </c>
      <c r="K9150" s="18">
        <f t="shared" si="285"/>
        <v>0</v>
      </c>
      <c r="L9150" s="27">
        <v>14442.8</v>
      </c>
      <c r="M9150" s="36">
        <v>1554.12</v>
      </c>
      <c r="T9150" s="41">
        <v>0</v>
      </c>
      <c r="U9150" s="41">
        <v>0</v>
      </c>
      <c r="V9150" s="42" t="s">
        <v>113</v>
      </c>
      <c r="W9150" s="42">
        <v>0</v>
      </c>
      <c r="X9150" s="42">
        <v>0</v>
      </c>
    </row>
    <row r="9151" spans="1:24">
      <c r="A9151" s="27" t="s">
        <v>16692</v>
      </c>
      <c r="B9151" s="28" t="s">
        <v>12240</v>
      </c>
      <c r="C9151" s="27" t="s">
        <v>16693</v>
      </c>
      <c r="D9151" s="27" t="s">
        <v>230</v>
      </c>
      <c r="E9151" s="29">
        <v>41274</v>
      </c>
      <c r="F9151" s="27">
        <v>15</v>
      </c>
      <c r="G9151" s="18">
        <v>28290.26</v>
      </c>
      <c r="H9151" s="27">
        <f t="shared" si="284"/>
        <v>0</v>
      </c>
      <c r="I9151" s="18">
        <v>12888.68</v>
      </c>
      <c r="J9151" s="27">
        <v>28290.26</v>
      </c>
      <c r="K9151" s="18">
        <f t="shared" si="285"/>
        <v>0</v>
      </c>
      <c r="L9151" s="27">
        <v>14442.8</v>
      </c>
      <c r="M9151" s="36">
        <v>1554.12</v>
      </c>
      <c r="T9151" s="41">
        <v>0</v>
      </c>
      <c r="U9151" s="41">
        <v>0</v>
      </c>
      <c r="V9151" s="42" t="s">
        <v>113</v>
      </c>
      <c r="W9151" s="42">
        <v>0</v>
      </c>
      <c r="X9151" s="42">
        <v>0</v>
      </c>
    </row>
    <row r="9152" spans="1:24">
      <c r="A9152" s="27" t="s">
        <v>16694</v>
      </c>
      <c r="B9152" s="28" t="s">
        <v>12240</v>
      </c>
      <c r="C9152" s="27" t="s">
        <v>16695</v>
      </c>
      <c r="D9152" s="27" t="s">
        <v>230</v>
      </c>
      <c r="E9152" s="29">
        <v>41274</v>
      </c>
      <c r="F9152" s="27">
        <v>15</v>
      </c>
      <c r="G9152" s="18">
        <v>28290.26</v>
      </c>
      <c r="H9152" s="27">
        <f t="shared" si="284"/>
        <v>0</v>
      </c>
      <c r="I9152" s="18">
        <v>12888.68</v>
      </c>
      <c r="J9152" s="27">
        <v>28290.26</v>
      </c>
      <c r="K9152" s="18">
        <f t="shared" si="285"/>
        <v>0</v>
      </c>
      <c r="L9152" s="27">
        <v>14442.8</v>
      </c>
      <c r="M9152" s="36">
        <v>1554.12</v>
      </c>
      <c r="T9152" s="41">
        <v>0</v>
      </c>
      <c r="U9152" s="41">
        <v>0</v>
      </c>
      <c r="V9152" s="42" t="s">
        <v>113</v>
      </c>
      <c r="W9152" s="42">
        <v>0</v>
      </c>
      <c r="X9152" s="42">
        <v>0</v>
      </c>
    </row>
    <row r="9153" spans="1:24">
      <c r="A9153" s="27" t="s">
        <v>16696</v>
      </c>
      <c r="B9153" s="28" t="s">
        <v>12240</v>
      </c>
      <c r="C9153" s="27" t="s">
        <v>16697</v>
      </c>
      <c r="D9153" s="27" t="s">
        <v>230</v>
      </c>
      <c r="E9153" s="29">
        <v>41274</v>
      </c>
      <c r="F9153" s="27">
        <v>15</v>
      </c>
      <c r="G9153" s="18">
        <v>28290.26</v>
      </c>
      <c r="H9153" s="27">
        <f t="shared" si="284"/>
        <v>0</v>
      </c>
      <c r="I9153" s="18">
        <v>12888.68</v>
      </c>
      <c r="J9153" s="27">
        <v>28290.26</v>
      </c>
      <c r="K9153" s="18">
        <f t="shared" si="285"/>
        <v>0</v>
      </c>
      <c r="L9153" s="27">
        <v>14442.8</v>
      </c>
      <c r="M9153" s="36">
        <v>1554.12</v>
      </c>
      <c r="T9153" s="41">
        <v>0</v>
      </c>
      <c r="U9153" s="41">
        <v>0</v>
      </c>
      <c r="V9153" s="42" t="s">
        <v>113</v>
      </c>
      <c r="W9153" s="42">
        <v>0</v>
      </c>
      <c r="X9153" s="42">
        <v>0</v>
      </c>
    </row>
    <row r="9154" spans="1:24">
      <c r="A9154" s="27" t="s">
        <v>16698</v>
      </c>
      <c r="B9154" s="28" t="s">
        <v>12240</v>
      </c>
      <c r="C9154" s="27" t="s">
        <v>16699</v>
      </c>
      <c r="D9154" s="27" t="s">
        <v>230</v>
      </c>
      <c r="E9154" s="29">
        <v>41274</v>
      </c>
      <c r="F9154" s="27">
        <v>15</v>
      </c>
      <c r="G9154" s="18">
        <v>28290.26</v>
      </c>
      <c r="H9154" s="27">
        <f t="shared" si="284"/>
        <v>0</v>
      </c>
      <c r="I9154" s="18">
        <v>12888.68</v>
      </c>
      <c r="J9154" s="27">
        <v>28290.26</v>
      </c>
      <c r="K9154" s="18">
        <f t="shared" si="285"/>
        <v>0</v>
      </c>
      <c r="L9154" s="27">
        <v>14442.8</v>
      </c>
      <c r="M9154" s="36">
        <v>1554.12</v>
      </c>
      <c r="T9154" s="41">
        <v>0</v>
      </c>
      <c r="U9154" s="41">
        <v>0</v>
      </c>
      <c r="V9154" s="42" t="s">
        <v>113</v>
      </c>
      <c r="W9154" s="42">
        <v>0</v>
      </c>
      <c r="X9154" s="42">
        <v>0</v>
      </c>
    </row>
    <row r="9155" spans="1:24">
      <c r="A9155" s="27" t="s">
        <v>16700</v>
      </c>
      <c r="B9155" s="28" t="s">
        <v>12240</v>
      </c>
      <c r="C9155" s="27" t="s">
        <v>16701</v>
      </c>
      <c r="D9155" s="27" t="s">
        <v>230</v>
      </c>
      <c r="E9155" s="29">
        <v>41274</v>
      </c>
      <c r="F9155" s="27">
        <v>15</v>
      </c>
      <c r="G9155" s="18">
        <v>28290.26</v>
      </c>
      <c r="H9155" s="27">
        <f t="shared" si="284"/>
        <v>0</v>
      </c>
      <c r="I9155" s="18">
        <v>12888.68</v>
      </c>
      <c r="J9155" s="27">
        <v>28290.26</v>
      </c>
      <c r="K9155" s="18">
        <f t="shared" si="285"/>
        <v>0</v>
      </c>
      <c r="L9155" s="27">
        <v>14442.8</v>
      </c>
      <c r="M9155" s="36">
        <v>1554.12</v>
      </c>
      <c r="T9155" s="41">
        <v>0</v>
      </c>
      <c r="U9155" s="41">
        <v>0</v>
      </c>
      <c r="V9155" s="42" t="s">
        <v>113</v>
      </c>
      <c r="W9155" s="42">
        <v>0</v>
      </c>
      <c r="X9155" s="42">
        <v>0</v>
      </c>
    </row>
    <row r="9156" spans="1:24">
      <c r="A9156" s="27" t="s">
        <v>16702</v>
      </c>
      <c r="B9156" s="28" t="s">
        <v>12240</v>
      </c>
      <c r="C9156" s="27" t="s">
        <v>16703</v>
      </c>
      <c r="D9156" s="27" t="s">
        <v>230</v>
      </c>
      <c r="E9156" s="29">
        <v>41274</v>
      </c>
      <c r="F9156" s="27">
        <v>15</v>
      </c>
      <c r="G9156" s="18">
        <v>28290.26</v>
      </c>
      <c r="H9156" s="27">
        <f t="shared" si="284"/>
        <v>0</v>
      </c>
      <c r="I9156" s="18">
        <v>12888.68</v>
      </c>
      <c r="J9156" s="27">
        <v>28290.26</v>
      </c>
      <c r="K9156" s="18">
        <f t="shared" si="285"/>
        <v>0</v>
      </c>
      <c r="L9156" s="27">
        <v>14442.8</v>
      </c>
      <c r="M9156" s="36">
        <v>1554.12</v>
      </c>
      <c r="T9156" s="41">
        <v>0</v>
      </c>
      <c r="U9156" s="41">
        <v>0</v>
      </c>
      <c r="V9156" s="42" t="s">
        <v>113</v>
      </c>
      <c r="W9156" s="42">
        <v>0</v>
      </c>
      <c r="X9156" s="42">
        <v>0</v>
      </c>
    </row>
    <row r="9157" spans="1:24">
      <c r="A9157" s="27" t="s">
        <v>16704</v>
      </c>
      <c r="B9157" s="28" t="s">
        <v>12240</v>
      </c>
      <c r="C9157" s="27" t="s">
        <v>16705</v>
      </c>
      <c r="D9157" s="27" t="s">
        <v>230</v>
      </c>
      <c r="E9157" s="29">
        <v>41274</v>
      </c>
      <c r="F9157" s="27">
        <v>15</v>
      </c>
      <c r="G9157" s="18">
        <v>28290.26</v>
      </c>
      <c r="H9157" s="27">
        <f t="shared" si="284"/>
        <v>0</v>
      </c>
      <c r="I9157" s="18">
        <v>12888.68</v>
      </c>
      <c r="J9157" s="27">
        <v>28290.26</v>
      </c>
      <c r="K9157" s="18">
        <f t="shared" si="285"/>
        <v>0</v>
      </c>
      <c r="L9157" s="27">
        <v>14442.8</v>
      </c>
      <c r="M9157" s="36">
        <v>1554.12</v>
      </c>
      <c r="T9157" s="41">
        <v>0</v>
      </c>
      <c r="U9157" s="41">
        <v>0</v>
      </c>
      <c r="V9157" s="42" t="s">
        <v>113</v>
      </c>
      <c r="W9157" s="42">
        <v>0</v>
      </c>
      <c r="X9157" s="42">
        <v>0</v>
      </c>
    </row>
    <row r="9158" spans="1:24">
      <c r="A9158" s="27" t="s">
        <v>16706</v>
      </c>
      <c r="B9158" s="28" t="s">
        <v>12240</v>
      </c>
      <c r="C9158" s="27" t="s">
        <v>16707</v>
      </c>
      <c r="D9158" s="27" t="s">
        <v>230</v>
      </c>
      <c r="E9158" s="29">
        <v>41274</v>
      </c>
      <c r="F9158" s="27">
        <v>15</v>
      </c>
      <c r="G9158" s="18">
        <v>28290.26</v>
      </c>
      <c r="H9158" s="27">
        <f t="shared" ref="H9158:H9221" si="286">IFERROR(IF(ROUND((G9158-I9158)/G9158,2)&lt;=0.05,G9158,0),0)</f>
        <v>0</v>
      </c>
      <c r="I9158" s="18">
        <v>12888.68</v>
      </c>
      <c r="J9158" s="27">
        <v>28290.26</v>
      </c>
      <c r="K9158" s="18">
        <f t="shared" ref="K9158:K9221" si="287">IFERROR(IF(ROUND((J9158-L9158)/J9158,2)&lt;=0.05,J9158,0),0)</f>
        <v>0</v>
      </c>
      <c r="L9158" s="27">
        <v>14442.8</v>
      </c>
      <c r="M9158" s="36">
        <v>1554.12</v>
      </c>
      <c r="T9158" s="41">
        <v>0</v>
      </c>
      <c r="U9158" s="41">
        <v>0</v>
      </c>
      <c r="V9158" s="42" t="s">
        <v>113</v>
      </c>
      <c r="W9158" s="42">
        <v>0</v>
      </c>
      <c r="X9158" s="42">
        <v>0</v>
      </c>
    </row>
    <row r="9159" spans="1:24">
      <c r="A9159" s="27" t="s">
        <v>16708</v>
      </c>
      <c r="B9159" s="28" t="s">
        <v>12240</v>
      </c>
      <c r="C9159" s="27" t="s">
        <v>16709</v>
      </c>
      <c r="D9159" s="27" t="s">
        <v>230</v>
      </c>
      <c r="E9159" s="29">
        <v>41274</v>
      </c>
      <c r="F9159" s="27">
        <v>15</v>
      </c>
      <c r="G9159" s="18">
        <v>28290.26</v>
      </c>
      <c r="H9159" s="27">
        <f t="shared" si="286"/>
        <v>0</v>
      </c>
      <c r="I9159" s="18">
        <v>12888.68</v>
      </c>
      <c r="J9159" s="27">
        <v>28290.26</v>
      </c>
      <c r="K9159" s="18">
        <f t="shared" si="287"/>
        <v>0</v>
      </c>
      <c r="L9159" s="27">
        <v>14442.8</v>
      </c>
      <c r="M9159" s="36">
        <v>1554.12</v>
      </c>
      <c r="T9159" s="41">
        <v>0</v>
      </c>
      <c r="U9159" s="41">
        <v>0</v>
      </c>
      <c r="V9159" s="42" t="s">
        <v>113</v>
      </c>
      <c r="W9159" s="42">
        <v>0</v>
      </c>
      <c r="X9159" s="42">
        <v>0</v>
      </c>
    </row>
    <row r="9160" spans="1:24">
      <c r="A9160" s="27" t="s">
        <v>16710</v>
      </c>
      <c r="B9160" s="28" t="s">
        <v>12240</v>
      </c>
      <c r="C9160" s="27" t="s">
        <v>16711</v>
      </c>
      <c r="D9160" s="27" t="s">
        <v>230</v>
      </c>
      <c r="E9160" s="29">
        <v>41274</v>
      </c>
      <c r="F9160" s="27">
        <v>15</v>
      </c>
      <c r="G9160" s="18">
        <v>28290.26</v>
      </c>
      <c r="H9160" s="27">
        <f t="shared" si="286"/>
        <v>0</v>
      </c>
      <c r="I9160" s="18">
        <v>12888.68</v>
      </c>
      <c r="J9160" s="27">
        <v>28290.26</v>
      </c>
      <c r="K9160" s="18">
        <f t="shared" si="287"/>
        <v>0</v>
      </c>
      <c r="L9160" s="27">
        <v>14442.8</v>
      </c>
      <c r="M9160" s="36">
        <v>1554.12</v>
      </c>
      <c r="T9160" s="41">
        <v>0</v>
      </c>
      <c r="U9160" s="41">
        <v>0</v>
      </c>
      <c r="V9160" s="42" t="s">
        <v>113</v>
      </c>
      <c r="W9160" s="42">
        <v>0</v>
      </c>
      <c r="X9160" s="42">
        <v>0</v>
      </c>
    </row>
    <row r="9161" spans="1:24">
      <c r="A9161" s="27" t="s">
        <v>16712</v>
      </c>
      <c r="B9161" s="28" t="s">
        <v>12240</v>
      </c>
      <c r="C9161" s="27" t="s">
        <v>16713</v>
      </c>
      <c r="D9161" s="27" t="s">
        <v>230</v>
      </c>
      <c r="E9161" s="29">
        <v>41274</v>
      </c>
      <c r="F9161" s="27">
        <v>15</v>
      </c>
      <c r="G9161" s="18">
        <v>28290.26</v>
      </c>
      <c r="H9161" s="27">
        <f t="shared" si="286"/>
        <v>0</v>
      </c>
      <c r="I9161" s="18">
        <v>12888.68</v>
      </c>
      <c r="J9161" s="27">
        <v>28290.26</v>
      </c>
      <c r="K9161" s="18">
        <f t="shared" si="287"/>
        <v>0</v>
      </c>
      <c r="L9161" s="27">
        <v>14442.8</v>
      </c>
      <c r="M9161" s="36">
        <v>1554.12</v>
      </c>
      <c r="T9161" s="41">
        <v>0</v>
      </c>
      <c r="U9161" s="41">
        <v>0</v>
      </c>
      <c r="V9161" s="42" t="s">
        <v>113</v>
      </c>
      <c r="W9161" s="42">
        <v>0</v>
      </c>
      <c r="X9161" s="42">
        <v>0</v>
      </c>
    </row>
    <row r="9162" spans="1:24">
      <c r="A9162" s="27" t="s">
        <v>16714</v>
      </c>
      <c r="B9162" s="28" t="s">
        <v>12240</v>
      </c>
      <c r="C9162" s="27" t="s">
        <v>16715</v>
      </c>
      <c r="D9162" s="27" t="s">
        <v>230</v>
      </c>
      <c r="E9162" s="29">
        <v>41274</v>
      </c>
      <c r="F9162" s="27">
        <v>15</v>
      </c>
      <c r="G9162" s="18">
        <v>28290.26</v>
      </c>
      <c r="H9162" s="27">
        <f t="shared" si="286"/>
        <v>0</v>
      </c>
      <c r="I9162" s="18">
        <v>12888.68</v>
      </c>
      <c r="J9162" s="27">
        <v>28290.26</v>
      </c>
      <c r="K9162" s="18">
        <f t="shared" si="287"/>
        <v>0</v>
      </c>
      <c r="L9162" s="27">
        <v>14442.8</v>
      </c>
      <c r="M9162" s="36">
        <v>1554.12</v>
      </c>
      <c r="T9162" s="41">
        <v>0</v>
      </c>
      <c r="U9162" s="41">
        <v>0</v>
      </c>
      <c r="V9162" s="42" t="s">
        <v>113</v>
      </c>
      <c r="W9162" s="42">
        <v>0</v>
      </c>
      <c r="X9162" s="42">
        <v>0</v>
      </c>
    </row>
    <row r="9163" spans="1:24">
      <c r="A9163" s="27" t="s">
        <v>16716</v>
      </c>
      <c r="B9163" s="28" t="s">
        <v>12240</v>
      </c>
      <c r="C9163" s="27" t="s">
        <v>16717</v>
      </c>
      <c r="D9163" s="27" t="s">
        <v>230</v>
      </c>
      <c r="E9163" s="29">
        <v>41274</v>
      </c>
      <c r="F9163" s="27">
        <v>15</v>
      </c>
      <c r="G9163" s="18">
        <v>28290.26</v>
      </c>
      <c r="H9163" s="27">
        <f t="shared" si="286"/>
        <v>0</v>
      </c>
      <c r="I9163" s="18">
        <v>12888.68</v>
      </c>
      <c r="J9163" s="27">
        <v>28290.26</v>
      </c>
      <c r="K9163" s="18">
        <f t="shared" si="287"/>
        <v>0</v>
      </c>
      <c r="L9163" s="27">
        <v>14442.8</v>
      </c>
      <c r="M9163" s="36">
        <v>1554.12</v>
      </c>
      <c r="T9163" s="41">
        <v>0</v>
      </c>
      <c r="U9163" s="41">
        <v>0</v>
      </c>
      <c r="V9163" s="42" t="s">
        <v>113</v>
      </c>
      <c r="W9163" s="42">
        <v>0</v>
      </c>
      <c r="X9163" s="42">
        <v>0</v>
      </c>
    </row>
    <row r="9164" spans="1:24">
      <c r="A9164" s="27" t="s">
        <v>16718</v>
      </c>
      <c r="B9164" s="28" t="s">
        <v>12240</v>
      </c>
      <c r="C9164" s="27" t="s">
        <v>16719</v>
      </c>
      <c r="D9164" s="27" t="s">
        <v>230</v>
      </c>
      <c r="E9164" s="29">
        <v>41274</v>
      </c>
      <c r="F9164" s="27">
        <v>15</v>
      </c>
      <c r="G9164" s="18">
        <v>28290.26</v>
      </c>
      <c r="H9164" s="27">
        <f t="shared" si="286"/>
        <v>0</v>
      </c>
      <c r="I9164" s="18">
        <v>12888.68</v>
      </c>
      <c r="J9164" s="27">
        <v>28290.26</v>
      </c>
      <c r="K9164" s="18">
        <f t="shared" si="287"/>
        <v>0</v>
      </c>
      <c r="L9164" s="27">
        <v>14442.8</v>
      </c>
      <c r="M9164" s="36">
        <v>1554.12</v>
      </c>
      <c r="T9164" s="41">
        <v>0</v>
      </c>
      <c r="U9164" s="41">
        <v>0</v>
      </c>
      <c r="V9164" s="42" t="s">
        <v>113</v>
      </c>
      <c r="W9164" s="42">
        <v>0</v>
      </c>
      <c r="X9164" s="42">
        <v>0</v>
      </c>
    </row>
    <row r="9165" spans="1:24">
      <c r="A9165" s="27" t="s">
        <v>16720</v>
      </c>
      <c r="B9165" s="28" t="s">
        <v>12240</v>
      </c>
      <c r="C9165" s="27" t="s">
        <v>16721</v>
      </c>
      <c r="D9165" s="27" t="s">
        <v>230</v>
      </c>
      <c r="E9165" s="29">
        <v>41274</v>
      </c>
      <c r="F9165" s="27">
        <v>15</v>
      </c>
      <c r="G9165" s="18">
        <v>28290.26</v>
      </c>
      <c r="H9165" s="27">
        <f t="shared" si="286"/>
        <v>0</v>
      </c>
      <c r="I9165" s="18">
        <v>12888.68</v>
      </c>
      <c r="J9165" s="27">
        <v>28290.26</v>
      </c>
      <c r="K9165" s="18">
        <f t="shared" si="287"/>
        <v>0</v>
      </c>
      <c r="L9165" s="27">
        <v>14442.8</v>
      </c>
      <c r="M9165" s="36">
        <v>1554.12</v>
      </c>
      <c r="T9165" s="41">
        <v>0</v>
      </c>
      <c r="U9165" s="41">
        <v>0</v>
      </c>
      <c r="V9165" s="42" t="s">
        <v>113</v>
      </c>
      <c r="W9165" s="42">
        <v>0</v>
      </c>
      <c r="X9165" s="42">
        <v>0</v>
      </c>
    </row>
    <row r="9166" spans="1:24">
      <c r="A9166" s="27" t="s">
        <v>16722</v>
      </c>
      <c r="B9166" s="28" t="s">
        <v>12240</v>
      </c>
      <c r="C9166" s="27" t="s">
        <v>16723</v>
      </c>
      <c r="D9166" s="27" t="s">
        <v>230</v>
      </c>
      <c r="E9166" s="29">
        <v>41274</v>
      </c>
      <c r="F9166" s="27">
        <v>15</v>
      </c>
      <c r="G9166" s="18">
        <v>28290.26</v>
      </c>
      <c r="H9166" s="27">
        <f t="shared" si="286"/>
        <v>0</v>
      </c>
      <c r="I9166" s="18">
        <v>12888.68</v>
      </c>
      <c r="J9166" s="27">
        <v>28290.26</v>
      </c>
      <c r="K9166" s="18">
        <f t="shared" si="287"/>
        <v>0</v>
      </c>
      <c r="L9166" s="27">
        <v>14442.8</v>
      </c>
      <c r="M9166" s="36">
        <v>1554.12</v>
      </c>
      <c r="T9166" s="41">
        <v>0</v>
      </c>
      <c r="U9166" s="41">
        <v>0</v>
      </c>
      <c r="V9166" s="42" t="s">
        <v>113</v>
      </c>
      <c r="W9166" s="42">
        <v>0</v>
      </c>
      <c r="X9166" s="42">
        <v>0</v>
      </c>
    </row>
    <row r="9167" spans="1:24">
      <c r="A9167" s="27" t="s">
        <v>16724</v>
      </c>
      <c r="B9167" s="28" t="s">
        <v>12240</v>
      </c>
      <c r="C9167" s="27" t="s">
        <v>16725</v>
      </c>
      <c r="D9167" s="27" t="s">
        <v>230</v>
      </c>
      <c r="E9167" s="29">
        <v>41274</v>
      </c>
      <c r="F9167" s="27">
        <v>15</v>
      </c>
      <c r="G9167" s="18">
        <v>28290.26</v>
      </c>
      <c r="H9167" s="27">
        <f t="shared" si="286"/>
        <v>0</v>
      </c>
      <c r="I9167" s="18">
        <v>12888.68</v>
      </c>
      <c r="J9167" s="27">
        <v>28290.26</v>
      </c>
      <c r="K9167" s="18">
        <f t="shared" si="287"/>
        <v>0</v>
      </c>
      <c r="L9167" s="27">
        <v>14442.8</v>
      </c>
      <c r="M9167" s="36">
        <v>1554.12</v>
      </c>
      <c r="T9167" s="41">
        <v>0</v>
      </c>
      <c r="U9167" s="41">
        <v>0</v>
      </c>
      <c r="V9167" s="42" t="s">
        <v>113</v>
      </c>
      <c r="W9167" s="42">
        <v>0</v>
      </c>
      <c r="X9167" s="42">
        <v>0</v>
      </c>
    </row>
    <row r="9168" spans="1:24">
      <c r="A9168" s="27" t="s">
        <v>16726</v>
      </c>
      <c r="B9168" s="28" t="s">
        <v>12240</v>
      </c>
      <c r="C9168" s="27" t="s">
        <v>16727</v>
      </c>
      <c r="D9168" s="27" t="s">
        <v>230</v>
      </c>
      <c r="E9168" s="29">
        <v>41274</v>
      </c>
      <c r="F9168" s="27">
        <v>15</v>
      </c>
      <c r="G9168" s="18">
        <v>28290.26</v>
      </c>
      <c r="H9168" s="27">
        <f t="shared" si="286"/>
        <v>0</v>
      </c>
      <c r="I9168" s="18">
        <v>12888.68</v>
      </c>
      <c r="J9168" s="27">
        <v>28290.26</v>
      </c>
      <c r="K9168" s="18">
        <f t="shared" si="287"/>
        <v>0</v>
      </c>
      <c r="L9168" s="27">
        <v>14442.8</v>
      </c>
      <c r="M9168" s="36">
        <v>1554.12</v>
      </c>
      <c r="T9168" s="41">
        <v>0</v>
      </c>
      <c r="U9168" s="41">
        <v>0</v>
      </c>
      <c r="V9168" s="42" t="s">
        <v>113</v>
      </c>
      <c r="W9168" s="42">
        <v>0</v>
      </c>
      <c r="X9168" s="42">
        <v>0</v>
      </c>
    </row>
    <row r="9169" spans="1:24">
      <c r="A9169" s="27" t="s">
        <v>16728</v>
      </c>
      <c r="B9169" s="28" t="s">
        <v>12240</v>
      </c>
      <c r="C9169" s="27" t="s">
        <v>16729</v>
      </c>
      <c r="D9169" s="27" t="s">
        <v>230</v>
      </c>
      <c r="E9169" s="29">
        <v>41274</v>
      </c>
      <c r="F9169" s="27">
        <v>15</v>
      </c>
      <c r="G9169" s="18">
        <v>28290.26</v>
      </c>
      <c r="H9169" s="27">
        <f t="shared" si="286"/>
        <v>0</v>
      </c>
      <c r="I9169" s="18">
        <v>12888.68</v>
      </c>
      <c r="J9169" s="27">
        <v>28290.26</v>
      </c>
      <c r="K9169" s="18">
        <f t="shared" si="287"/>
        <v>0</v>
      </c>
      <c r="L9169" s="27">
        <v>14442.8</v>
      </c>
      <c r="M9169" s="36">
        <v>1554.12</v>
      </c>
      <c r="T9169" s="41">
        <v>0</v>
      </c>
      <c r="U9169" s="41">
        <v>0</v>
      </c>
      <c r="V9169" s="42" t="s">
        <v>113</v>
      </c>
      <c r="W9169" s="42">
        <v>0</v>
      </c>
      <c r="X9169" s="42">
        <v>0</v>
      </c>
    </row>
    <row r="9170" spans="1:24">
      <c r="A9170" s="27" t="s">
        <v>16730</v>
      </c>
      <c r="B9170" s="28" t="s">
        <v>12240</v>
      </c>
      <c r="C9170" s="27" t="s">
        <v>16731</v>
      </c>
      <c r="D9170" s="27" t="s">
        <v>230</v>
      </c>
      <c r="E9170" s="29">
        <v>41274</v>
      </c>
      <c r="F9170" s="27">
        <v>15</v>
      </c>
      <c r="G9170" s="18">
        <v>28290.26</v>
      </c>
      <c r="H9170" s="27">
        <f t="shared" si="286"/>
        <v>0</v>
      </c>
      <c r="I9170" s="18">
        <v>12888.68</v>
      </c>
      <c r="J9170" s="27">
        <v>28290.26</v>
      </c>
      <c r="K9170" s="18">
        <f t="shared" si="287"/>
        <v>0</v>
      </c>
      <c r="L9170" s="27">
        <v>14442.8</v>
      </c>
      <c r="M9170" s="36">
        <v>1554.12</v>
      </c>
      <c r="T9170" s="41">
        <v>0</v>
      </c>
      <c r="U9170" s="41">
        <v>0</v>
      </c>
      <c r="V9170" s="42" t="s">
        <v>113</v>
      </c>
      <c r="W9170" s="42">
        <v>0</v>
      </c>
      <c r="X9170" s="42">
        <v>0</v>
      </c>
    </row>
    <row r="9171" spans="1:24">
      <c r="A9171" s="27" t="s">
        <v>16732</v>
      </c>
      <c r="B9171" s="28" t="s">
        <v>12240</v>
      </c>
      <c r="C9171" s="27" t="s">
        <v>16733</v>
      </c>
      <c r="D9171" s="27" t="s">
        <v>230</v>
      </c>
      <c r="E9171" s="29">
        <v>41274</v>
      </c>
      <c r="F9171" s="27">
        <v>15</v>
      </c>
      <c r="G9171" s="18">
        <v>28290.26</v>
      </c>
      <c r="H9171" s="27">
        <f t="shared" si="286"/>
        <v>0</v>
      </c>
      <c r="I9171" s="18">
        <v>12888.68</v>
      </c>
      <c r="J9171" s="27">
        <v>28290.26</v>
      </c>
      <c r="K9171" s="18">
        <f t="shared" si="287"/>
        <v>0</v>
      </c>
      <c r="L9171" s="27">
        <v>14442.8</v>
      </c>
      <c r="M9171" s="36">
        <v>1554.12</v>
      </c>
      <c r="T9171" s="41">
        <v>0</v>
      </c>
      <c r="U9171" s="41">
        <v>0</v>
      </c>
      <c r="V9171" s="42" t="s">
        <v>113</v>
      </c>
      <c r="W9171" s="42">
        <v>0</v>
      </c>
      <c r="X9171" s="42">
        <v>0</v>
      </c>
    </row>
    <row r="9172" spans="1:24">
      <c r="A9172" s="27" t="s">
        <v>16734</v>
      </c>
      <c r="B9172" s="28" t="s">
        <v>12240</v>
      </c>
      <c r="C9172" s="27" t="s">
        <v>16735</v>
      </c>
      <c r="D9172" s="27" t="s">
        <v>230</v>
      </c>
      <c r="E9172" s="29">
        <v>41274</v>
      </c>
      <c r="F9172" s="27">
        <v>15</v>
      </c>
      <c r="G9172" s="18">
        <v>28290.26</v>
      </c>
      <c r="H9172" s="27">
        <f t="shared" si="286"/>
        <v>0</v>
      </c>
      <c r="I9172" s="18">
        <v>12888.68</v>
      </c>
      <c r="J9172" s="27">
        <v>28290.26</v>
      </c>
      <c r="K9172" s="18">
        <f t="shared" si="287"/>
        <v>0</v>
      </c>
      <c r="L9172" s="27">
        <v>14442.8</v>
      </c>
      <c r="M9172" s="36">
        <v>1554.12</v>
      </c>
      <c r="T9172" s="41">
        <v>0</v>
      </c>
      <c r="U9172" s="41">
        <v>0</v>
      </c>
      <c r="V9172" s="42" t="s">
        <v>113</v>
      </c>
      <c r="W9172" s="42">
        <v>0</v>
      </c>
      <c r="X9172" s="42">
        <v>0</v>
      </c>
    </row>
    <row r="9173" spans="1:24">
      <c r="A9173" s="27" t="s">
        <v>16736</v>
      </c>
      <c r="B9173" s="28" t="s">
        <v>12240</v>
      </c>
      <c r="C9173" s="27" t="s">
        <v>16737</v>
      </c>
      <c r="D9173" s="27" t="s">
        <v>230</v>
      </c>
      <c r="E9173" s="29">
        <v>41274</v>
      </c>
      <c r="F9173" s="27">
        <v>15</v>
      </c>
      <c r="G9173" s="18">
        <v>28290.26</v>
      </c>
      <c r="H9173" s="27">
        <f t="shared" si="286"/>
        <v>0</v>
      </c>
      <c r="I9173" s="18">
        <v>12888.68</v>
      </c>
      <c r="J9173" s="27">
        <v>28290.26</v>
      </c>
      <c r="K9173" s="18">
        <f t="shared" si="287"/>
        <v>0</v>
      </c>
      <c r="L9173" s="27">
        <v>14442.8</v>
      </c>
      <c r="M9173" s="36">
        <v>1554.12</v>
      </c>
      <c r="T9173" s="41">
        <v>0</v>
      </c>
      <c r="U9173" s="41">
        <v>0</v>
      </c>
      <c r="V9173" s="42" t="s">
        <v>113</v>
      </c>
      <c r="W9173" s="42">
        <v>0</v>
      </c>
      <c r="X9173" s="42">
        <v>0</v>
      </c>
    </row>
    <row r="9174" spans="1:24">
      <c r="A9174" s="27" t="s">
        <v>16738</v>
      </c>
      <c r="B9174" s="28" t="s">
        <v>12240</v>
      </c>
      <c r="C9174" s="27" t="s">
        <v>16739</v>
      </c>
      <c r="D9174" s="27" t="s">
        <v>230</v>
      </c>
      <c r="E9174" s="29">
        <v>41274</v>
      </c>
      <c r="F9174" s="27">
        <v>15</v>
      </c>
      <c r="G9174" s="18">
        <v>28290.26</v>
      </c>
      <c r="H9174" s="27">
        <f t="shared" si="286"/>
        <v>0</v>
      </c>
      <c r="I9174" s="18">
        <v>12888.68</v>
      </c>
      <c r="J9174" s="27">
        <v>28290.26</v>
      </c>
      <c r="K9174" s="18">
        <f t="shared" si="287"/>
        <v>0</v>
      </c>
      <c r="L9174" s="27">
        <v>14442.8</v>
      </c>
      <c r="M9174" s="36">
        <v>1554.12</v>
      </c>
      <c r="T9174" s="41">
        <v>0</v>
      </c>
      <c r="U9174" s="41">
        <v>0</v>
      </c>
      <c r="V9174" s="42" t="s">
        <v>113</v>
      </c>
      <c r="W9174" s="42">
        <v>0</v>
      </c>
      <c r="X9174" s="42">
        <v>0</v>
      </c>
    </row>
    <row r="9175" spans="1:24">
      <c r="A9175" s="27" t="s">
        <v>16740</v>
      </c>
      <c r="B9175" s="28" t="s">
        <v>12240</v>
      </c>
      <c r="C9175" s="27" t="s">
        <v>16741</v>
      </c>
      <c r="D9175" s="27" t="s">
        <v>230</v>
      </c>
      <c r="E9175" s="29">
        <v>41274</v>
      </c>
      <c r="F9175" s="27">
        <v>15</v>
      </c>
      <c r="G9175" s="18">
        <v>28290.26</v>
      </c>
      <c r="H9175" s="27">
        <f t="shared" si="286"/>
        <v>0</v>
      </c>
      <c r="I9175" s="18">
        <v>12888.68</v>
      </c>
      <c r="J9175" s="27">
        <v>28290.26</v>
      </c>
      <c r="K9175" s="18">
        <f t="shared" si="287"/>
        <v>0</v>
      </c>
      <c r="L9175" s="27">
        <v>14442.8</v>
      </c>
      <c r="M9175" s="36">
        <v>1554.12</v>
      </c>
      <c r="T9175" s="41">
        <v>0</v>
      </c>
      <c r="U9175" s="41">
        <v>0</v>
      </c>
      <c r="V9175" s="42" t="s">
        <v>113</v>
      </c>
      <c r="W9175" s="42">
        <v>0</v>
      </c>
      <c r="X9175" s="42">
        <v>0</v>
      </c>
    </row>
    <row r="9176" spans="1:24">
      <c r="A9176" s="27" t="s">
        <v>16742</v>
      </c>
      <c r="B9176" s="28" t="s">
        <v>12240</v>
      </c>
      <c r="C9176" s="27" t="s">
        <v>16743</v>
      </c>
      <c r="D9176" s="27" t="s">
        <v>230</v>
      </c>
      <c r="E9176" s="29">
        <v>41274</v>
      </c>
      <c r="F9176" s="27">
        <v>15</v>
      </c>
      <c r="G9176" s="18">
        <v>28290.26</v>
      </c>
      <c r="H9176" s="27">
        <f t="shared" si="286"/>
        <v>0</v>
      </c>
      <c r="I9176" s="18">
        <v>12888.68</v>
      </c>
      <c r="J9176" s="27">
        <v>28290.26</v>
      </c>
      <c r="K9176" s="18">
        <f t="shared" si="287"/>
        <v>0</v>
      </c>
      <c r="L9176" s="27">
        <v>14442.8</v>
      </c>
      <c r="M9176" s="36">
        <v>1554.12</v>
      </c>
      <c r="T9176" s="41">
        <v>0</v>
      </c>
      <c r="U9176" s="41">
        <v>0</v>
      </c>
      <c r="V9176" s="42" t="s">
        <v>113</v>
      </c>
      <c r="W9176" s="42">
        <v>0</v>
      </c>
      <c r="X9176" s="42">
        <v>0</v>
      </c>
    </row>
    <row r="9177" spans="1:24">
      <c r="A9177" s="27" t="s">
        <v>16744</v>
      </c>
      <c r="B9177" s="28" t="s">
        <v>12240</v>
      </c>
      <c r="C9177" s="27" t="s">
        <v>16745</v>
      </c>
      <c r="D9177" s="27" t="s">
        <v>230</v>
      </c>
      <c r="E9177" s="29">
        <v>41274</v>
      </c>
      <c r="F9177" s="27">
        <v>15</v>
      </c>
      <c r="G9177" s="18">
        <v>28290.26</v>
      </c>
      <c r="H9177" s="27">
        <f t="shared" si="286"/>
        <v>0</v>
      </c>
      <c r="I9177" s="18">
        <v>12888.68</v>
      </c>
      <c r="J9177" s="27">
        <v>28290.26</v>
      </c>
      <c r="K9177" s="18">
        <f t="shared" si="287"/>
        <v>0</v>
      </c>
      <c r="L9177" s="27">
        <v>14442.8</v>
      </c>
      <c r="M9177" s="36">
        <v>1554.12</v>
      </c>
      <c r="T9177" s="41">
        <v>0</v>
      </c>
      <c r="U9177" s="41">
        <v>0</v>
      </c>
      <c r="V9177" s="42" t="s">
        <v>113</v>
      </c>
      <c r="W9177" s="42">
        <v>0</v>
      </c>
      <c r="X9177" s="42">
        <v>0</v>
      </c>
    </row>
    <row r="9178" spans="1:24">
      <c r="A9178" s="27" t="s">
        <v>16746</v>
      </c>
      <c r="B9178" s="28" t="s">
        <v>12240</v>
      </c>
      <c r="C9178" s="27" t="s">
        <v>16747</v>
      </c>
      <c r="D9178" s="27" t="s">
        <v>230</v>
      </c>
      <c r="E9178" s="29">
        <v>41274</v>
      </c>
      <c r="F9178" s="27">
        <v>15</v>
      </c>
      <c r="G9178" s="18">
        <v>28290.26</v>
      </c>
      <c r="H9178" s="27">
        <f t="shared" si="286"/>
        <v>0</v>
      </c>
      <c r="I9178" s="18">
        <v>12888.68</v>
      </c>
      <c r="J9178" s="27">
        <v>28290.26</v>
      </c>
      <c r="K9178" s="18">
        <f t="shared" si="287"/>
        <v>0</v>
      </c>
      <c r="L9178" s="27">
        <v>14442.8</v>
      </c>
      <c r="M9178" s="36">
        <v>1554.12</v>
      </c>
      <c r="T9178" s="41">
        <v>0</v>
      </c>
      <c r="U9178" s="41">
        <v>0</v>
      </c>
      <c r="V9178" s="42" t="s">
        <v>113</v>
      </c>
      <c r="W9178" s="42">
        <v>0</v>
      </c>
      <c r="X9178" s="42">
        <v>0</v>
      </c>
    </row>
    <row r="9179" spans="1:24">
      <c r="A9179" s="27" t="s">
        <v>16748</v>
      </c>
      <c r="B9179" s="28" t="s">
        <v>12240</v>
      </c>
      <c r="C9179" s="27" t="s">
        <v>16749</v>
      </c>
      <c r="D9179" s="27" t="s">
        <v>230</v>
      </c>
      <c r="E9179" s="29">
        <v>41274</v>
      </c>
      <c r="F9179" s="27">
        <v>15</v>
      </c>
      <c r="G9179" s="18">
        <v>28290.26</v>
      </c>
      <c r="H9179" s="27">
        <f t="shared" si="286"/>
        <v>0</v>
      </c>
      <c r="I9179" s="18">
        <v>12888.68</v>
      </c>
      <c r="J9179" s="27">
        <v>28290.26</v>
      </c>
      <c r="K9179" s="18">
        <f t="shared" si="287"/>
        <v>0</v>
      </c>
      <c r="L9179" s="27">
        <v>14442.8</v>
      </c>
      <c r="M9179" s="36">
        <v>1554.12</v>
      </c>
      <c r="T9179" s="41">
        <v>0</v>
      </c>
      <c r="U9179" s="41">
        <v>0</v>
      </c>
      <c r="V9179" s="42" t="s">
        <v>113</v>
      </c>
      <c r="W9179" s="42">
        <v>0</v>
      </c>
      <c r="X9179" s="42">
        <v>0</v>
      </c>
    </row>
    <row r="9180" spans="1:24">
      <c r="A9180" s="27" t="s">
        <v>16750</v>
      </c>
      <c r="B9180" s="28" t="s">
        <v>12240</v>
      </c>
      <c r="C9180" s="27" t="s">
        <v>16751</v>
      </c>
      <c r="D9180" s="27" t="s">
        <v>230</v>
      </c>
      <c r="E9180" s="29">
        <v>41274</v>
      </c>
      <c r="F9180" s="27">
        <v>15</v>
      </c>
      <c r="G9180" s="18">
        <v>28290.26</v>
      </c>
      <c r="H9180" s="27">
        <f t="shared" si="286"/>
        <v>0</v>
      </c>
      <c r="I9180" s="18">
        <v>12888.68</v>
      </c>
      <c r="J9180" s="27">
        <v>28290.26</v>
      </c>
      <c r="K9180" s="18">
        <f t="shared" si="287"/>
        <v>0</v>
      </c>
      <c r="L9180" s="27">
        <v>14442.8</v>
      </c>
      <c r="M9180" s="36">
        <v>1554.12</v>
      </c>
      <c r="T9180" s="41">
        <v>0</v>
      </c>
      <c r="U9180" s="41">
        <v>0</v>
      </c>
      <c r="V9180" s="42" t="s">
        <v>113</v>
      </c>
      <c r="W9180" s="42">
        <v>0</v>
      </c>
      <c r="X9180" s="42">
        <v>0</v>
      </c>
    </row>
    <row r="9181" spans="1:24">
      <c r="A9181" s="27" t="s">
        <v>16752</v>
      </c>
      <c r="B9181" s="28" t="s">
        <v>12240</v>
      </c>
      <c r="C9181" s="27" t="s">
        <v>16753</v>
      </c>
      <c r="D9181" s="27" t="s">
        <v>230</v>
      </c>
      <c r="E9181" s="29">
        <v>41274</v>
      </c>
      <c r="F9181" s="27">
        <v>15</v>
      </c>
      <c r="G9181" s="18">
        <v>28290.26</v>
      </c>
      <c r="H9181" s="27">
        <f t="shared" si="286"/>
        <v>0</v>
      </c>
      <c r="I9181" s="18">
        <v>12888.68</v>
      </c>
      <c r="J9181" s="27">
        <v>28290.26</v>
      </c>
      <c r="K9181" s="18">
        <f t="shared" si="287"/>
        <v>0</v>
      </c>
      <c r="L9181" s="27">
        <v>14442.8</v>
      </c>
      <c r="M9181" s="36">
        <v>1554.12</v>
      </c>
      <c r="T9181" s="41">
        <v>0</v>
      </c>
      <c r="U9181" s="41">
        <v>0</v>
      </c>
      <c r="V9181" s="42" t="s">
        <v>113</v>
      </c>
      <c r="W9181" s="42">
        <v>0</v>
      </c>
      <c r="X9181" s="42">
        <v>0</v>
      </c>
    </row>
    <row r="9182" spans="1:24">
      <c r="A9182" s="27" t="s">
        <v>16754</v>
      </c>
      <c r="B9182" s="28" t="s">
        <v>12240</v>
      </c>
      <c r="C9182" s="27" t="s">
        <v>16755</v>
      </c>
      <c r="D9182" s="27" t="s">
        <v>230</v>
      </c>
      <c r="E9182" s="29">
        <v>41274</v>
      </c>
      <c r="F9182" s="27">
        <v>15</v>
      </c>
      <c r="G9182" s="18">
        <v>28290.26</v>
      </c>
      <c r="H9182" s="27">
        <f t="shared" si="286"/>
        <v>0</v>
      </c>
      <c r="I9182" s="18">
        <v>12888.68</v>
      </c>
      <c r="J9182" s="27">
        <v>28290.26</v>
      </c>
      <c r="K9182" s="18">
        <f t="shared" si="287"/>
        <v>0</v>
      </c>
      <c r="L9182" s="27">
        <v>14442.8</v>
      </c>
      <c r="M9182" s="36">
        <v>1554.12</v>
      </c>
      <c r="T9182" s="41">
        <v>0</v>
      </c>
      <c r="U9182" s="41">
        <v>0</v>
      </c>
      <c r="V9182" s="42" t="s">
        <v>113</v>
      </c>
      <c r="W9182" s="42">
        <v>0</v>
      </c>
      <c r="X9182" s="42">
        <v>0</v>
      </c>
    </row>
    <row r="9183" spans="1:24">
      <c r="A9183" s="27" t="s">
        <v>16756</v>
      </c>
      <c r="B9183" s="28" t="s">
        <v>12240</v>
      </c>
      <c r="C9183" s="27" t="s">
        <v>16757</v>
      </c>
      <c r="D9183" s="27" t="s">
        <v>230</v>
      </c>
      <c r="E9183" s="29">
        <v>41274</v>
      </c>
      <c r="F9183" s="27">
        <v>15</v>
      </c>
      <c r="G9183" s="18">
        <v>28290.26</v>
      </c>
      <c r="H9183" s="27">
        <f t="shared" si="286"/>
        <v>0</v>
      </c>
      <c r="I9183" s="18">
        <v>12888.68</v>
      </c>
      <c r="J9183" s="27">
        <v>28290.26</v>
      </c>
      <c r="K9183" s="18">
        <f t="shared" si="287"/>
        <v>0</v>
      </c>
      <c r="L9183" s="27">
        <v>14442.8</v>
      </c>
      <c r="M9183" s="36">
        <v>1554.12</v>
      </c>
      <c r="T9183" s="41">
        <v>0</v>
      </c>
      <c r="U9183" s="41">
        <v>0</v>
      </c>
      <c r="V9183" s="42" t="s">
        <v>113</v>
      </c>
      <c r="W9183" s="42">
        <v>0</v>
      </c>
      <c r="X9183" s="42">
        <v>0</v>
      </c>
    </row>
    <row r="9184" spans="1:24">
      <c r="A9184" s="27" t="s">
        <v>16758</v>
      </c>
      <c r="B9184" s="28" t="s">
        <v>12240</v>
      </c>
      <c r="C9184" s="27" t="s">
        <v>16759</v>
      </c>
      <c r="D9184" s="27" t="s">
        <v>230</v>
      </c>
      <c r="E9184" s="29">
        <v>41274</v>
      </c>
      <c r="F9184" s="27">
        <v>15</v>
      </c>
      <c r="G9184" s="18">
        <v>28290.26</v>
      </c>
      <c r="H9184" s="27">
        <f t="shared" si="286"/>
        <v>0</v>
      </c>
      <c r="I9184" s="18">
        <v>12888.68</v>
      </c>
      <c r="J9184" s="27">
        <v>28290.26</v>
      </c>
      <c r="K9184" s="18">
        <f t="shared" si="287"/>
        <v>0</v>
      </c>
      <c r="L9184" s="27">
        <v>14442.8</v>
      </c>
      <c r="M9184" s="36">
        <v>1554.12</v>
      </c>
      <c r="T9184" s="41">
        <v>0</v>
      </c>
      <c r="U9184" s="41">
        <v>0</v>
      </c>
      <c r="V9184" s="42" t="s">
        <v>113</v>
      </c>
      <c r="W9184" s="42">
        <v>0</v>
      </c>
      <c r="X9184" s="42">
        <v>0</v>
      </c>
    </row>
    <row r="9185" spans="1:24">
      <c r="A9185" s="27" t="s">
        <v>16760</v>
      </c>
      <c r="B9185" s="28" t="s">
        <v>12240</v>
      </c>
      <c r="C9185" s="27" t="s">
        <v>16761</v>
      </c>
      <c r="D9185" s="27" t="s">
        <v>230</v>
      </c>
      <c r="E9185" s="29">
        <v>41274</v>
      </c>
      <c r="F9185" s="27">
        <v>15</v>
      </c>
      <c r="G9185" s="18">
        <v>28290.26</v>
      </c>
      <c r="H9185" s="27">
        <f t="shared" si="286"/>
        <v>0</v>
      </c>
      <c r="I9185" s="18">
        <v>12888.68</v>
      </c>
      <c r="J9185" s="27">
        <v>28290.26</v>
      </c>
      <c r="K9185" s="18">
        <f t="shared" si="287"/>
        <v>0</v>
      </c>
      <c r="L9185" s="27">
        <v>14442.8</v>
      </c>
      <c r="M9185" s="36">
        <v>1554.12</v>
      </c>
      <c r="T9185" s="41">
        <v>0</v>
      </c>
      <c r="U9185" s="41">
        <v>0</v>
      </c>
      <c r="V9185" s="42" t="s">
        <v>113</v>
      </c>
      <c r="W9185" s="42">
        <v>0</v>
      </c>
      <c r="X9185" s="42">
        <v>0</v>
      </c>
    </row>
    <row r="9186" spans="1:24">
      <c r="A9186" s="27" t="s">
        <v>16762</v>
      </c>
      <c r="B9186" s="28" t="s">
        <v>12240</v>
      </c>
      <c r="C9186" s="27" t="s">
        <v>16763</v>
      </c>
      <c r="D9186" s="27" t="s">
        <v>230</v>
      </c>
      <c r="E9186" s="29">
        <v>41274</v>
      </c>
      <c r="F9186" s="27">
        <v>15</v>
      </c>
      <c r="G9186" s="18">
        <v>28290.26</v>
      </c>
      <c r="H9186" s="27">
        <f t="shared" si="286"/>
        <v>0</v>
      </c>
      <c r="I9186" s="18">
        <v>12888.67</v>
      </c>
      <c r="J9186" s="27">
        <v>28290.26</v>
      </c>
      <c r="K9186" s="18">
        <f t="shared" si="287"/>
        <v>0</v>
      </c>
      <c r="L9186" s="27">
        <v>14442.79</v>
      </c>
      <c r="M9186" s="36">
        <v>1554.12</v>
      </c>
      <c r="T9186" s="41">
        <v>0</v>
      </c>
      <c r="U9186" s="41">
        <v>0</v>
      </c>
      <c r="V9186" s="42" t="s">
        <v>113</v>
      </c>
      <c r="W9186" s="42">
        <v>0</v>
      </c>
      <c r="X9186" s="42">
        <v>0</v>
      </c>
    </row>
    <row r="9187" spans="1:24">
      <c r="A9187" s="27" t="s">
        <v>16764</v>
      </c>
      <c r="B9187" s="28" t="s">
        <v>12240</v>
      </c>
      <c r="C9187" s="27" t="s">
        <v>16765</v>
      </c>
      <c r="D9187" s="27" t="s">
        <v>230</v>
      </c>
      <c r="E9187" s="29">
        <v>41274</v>
      </c>
      <c r="F9187" s="27">
        <v>15</v>
      </c>
      <c r="G9187" s="18">
        <v>28290.26</v>
      </c>
      <c r="H9187" s="27">
        <f t="shared" si="286"/>
        <v>0</v>
      </c>
      <c r="I9187" s="18">
        <v>12888.68</v>
      </c>
      <c r="J9187" s="27">
        <v>28290.26</v>
      </c>
      <c r="K9187" s="18">
        <f t="shared" si="287"/>
        <v>0</v>
      </c>
      <c r="L9187" s="27">
        <v>14442.8</v>
      </c>
      <c r="M9187" s="36">
        <v>1554.12</v>
      </c>
      <c r="T9187" s="41">
        <v>0</v>
      </c>
      <c r="U9187" s="41">
        <v>0</v>
      </c>
      <c r="V9187" s="42" t="s">
        <v>113</v>
      </c>
      <c r="W9187" s="42">
        <v>0</v>
      </c>
      <c r="X9187" s="42">
        <v>0</v>
      </c>
    </row>
    <row r="9188" spans="1:24">
      <c r="A9188" s="27" t="s">
        <v>16766</v>
      </c>
      <c r="B9188" s="28" t="s">
        <v>12240</v>
      </c>
      <c r="C9188" s="27" t="s">
        <v>16767</v>
      </c>
      <c r="D9188" s="27" t="s">
        <v>230</v>
      </c>
      <c r="E9188" s="29">
        <v>41274</v>
      </c>
      <c r="F9188" s="27">
        <v>15</v>
      </c>
      <c r="G9188" s="18">
        <v>28290.26</v>
      </c>
      <c r="H9188" s="27">
        <f t="shared" si="286"/>
        <v>0</v>
      </c>
      <c r="I9188" s="18">
        <v>12888.67</v>
      </c>
      <c r="J9188" s="27">
        <v>28290.26</v>
      </c>
      <c r="K9188" s="18">
        <f t="shared" si="287"/>
        <v>0</v>
      </c>
      <c r="L9188" s="27">
        <v>14442.79</v>
      </c>
      <c r="M9188" s="36">
        <v>1554.12</v>
      </c>
      <c r="T9188" s="41">
        <v>0</v>
      </c>
      <c r="U9188" s="41">
        <v>0</v>
      </c>
      <c r="V9188" s="42" t="s">
        <v>113</v>
      </c>
      <c r="W9188" s="42">
        <v>0</v>
      </c>
      <c r="X9188" s="42">
        <v>0</v>
      </c>
    </row>
    <row r="9189" spans="1:24">
      <c r="A9189" s="27" t="s">
        <v>16768</v>
      </c>
      <c r="B9189" s="28" t="s">
        <v>12240</v>
      </c>
      <c r="C9189" s="27" t="s">
        <v>16769</v>
      </c>
      <c r="D9189" s="27" t="s">
        <v>230</v>
      </c>
      <c r="E9189" s="29">
        <v>41274</v>
      </c>
      <c r="F9189" s="27">
        <v>15</v>
      </c>
      <c r="G9189" s="18">
        <v>28290.26</v>
      </c>
      <c r="H9189" s="27">
        <f t="shared" si="286"/>
        <v>0</v>
      </c>
      <c r="I9189" s="18">
        <v>12888.68</v>
      </c>
      <c r="J9189" s="27">
        <v>28290.26</v>
      </c>
      <c r="K9189" s="18">
        <f t="shared" si="287"/>
        <v>0</v>
      </c>
      <c r="L9189" s="27">
        <v>14442.8</v>
      </c>
      <c r="M9189" s="36">
        <v>1554.12</v>
      </c>
      <c r="T9189" s="41">
        <v>0</v>
      </c>
      <c r="U9189" s="41">
        <v>0</v>
      </c>
      <c r="V9189" s="42" t="s">
        <v>113</v>
      </c>
      <c r="W9189" s="42">
        <v>0</v>
      </c>
      <c r="X9189" s="42">
        <v>0</v>
      </c>
    </row>
    <row r="9190" spans="1:24">
      <c r="A9190" s="27" t="s">
        <v>16770</v>
      </c>
      <c r="B9190" s="28" t="s">
        <v>12240</v>
      </c>
      <c r="C9190" s="27" t="s">
        <v>16771</v>
      </c>
      <c r="D9190" s="27" t="s">
        <v>230</v>
      </c>
      <c r="E9190" s="29">
        <v>41274</v>
      </c>
      <c r="F9190" s="27">
        <v>15</v>
      </c>
      <c r="G9190" s="18">
        <v>28290.26</v>
      </c>
      <c r="H9190" s="27">
        <f t="shared" si="286"/>
        <v>0</v>
      </c>
      <c r="I9190" s="18">
        <v>12888.67</v>
      </c>
      <c r="J9190" s="27">
        <v>28290.26</v>
      </c>
      <c r="K9190" s="18">
        <f t="shared" si="287"/>
        <v>0</v>
      </c>
      <c r="L9190" s="27">
        <v>14442.79</v>
      </c>
      <c r="M9190" s="36">
        <v>1554.12</v>
      </c>
      <c r="T9190" s="41">
        <v>0</v>
      </c>
      <c r="U9190" s="41">
        <v>0</v>
      </c>
      <c r="V9190" s="42" t="s">
        <v>113</v>
      </c>
      <c r="W9190" s="42">
        <v>0</v>
      </c>
      <c r="X9190" s="42">
        <v>0</v>
      </c>
    </row>
    <row r="9191" spans="1:24">
      <c r="A9191" s="27" t="s">
        <v>16772</v>
      </c>
      <c r="B9191" s="28" t="s">
        <v>12240</v>
      </c>
      <c r="C9191" s="27" t="s">
        <v>16773</v>
      </c>
      <c r="D9191" s="27" t="s">
        <v>230</v>
      </c>
      <c r="E9191" s="29">
        <v>41274</v>
      </c>
      <c r="F9191" s="27">
        <v>15</v>
      </c>
      <c r="G9191" s="18">
        <v>28290.26</v>
      </c>
      <c r="H9191" s="27">
        <f t="shared" si="286"/>
        <v>0</v>
      </c>
      <c r="I9191" s="18">
        <v>12888.68</v>
      </c>
      <c r="J9191" s="27">
        <v>28290.26</v>
      </c>
      <c r="K9191" s="18">
        <f t="shared" si="287"/>
        <v>0</v>
      </c>
      <c r="L9191" s="27">
        <v>14442.8</v>
      </c>
      <c r="M9191" s="36">
        <v>1554.12</v>
      </c>
      <c r="T9191" s="41">
        <v>0</v>
      </c>
      <c r="U9191" s="41">
        <v>0</v>
      </c>
      <c r="V9191" s="42" t="s">
        <v>113</v>
      </c>
      <c r="W9191" s="42">
        <v>0</v>
      </c>
      <c r="X9191" s="42">
        <v>0</v>
      </c>
    </row>
    <row r="9192" spans="1:24">
      <c r="A9192" s="27" t="s">
        <v>16774</v>
      </c>
      <c r="B9192" s="28" t="s">
        <v>12240</v>
      </c>
      <c r="C9192" s="27" t="s">
        <v>16775</v>
      </c>
      <c r="D9192" s="27" t="s">
        <v>230</v>
      </c>
      <c r="E9192" s="29">
        <v>41274</v>
      </c>
      <c r="F9192" s="27">
        <v>15</v>
      </c>
      <c r="G9192" s="18">
        <v>28290.26</v>
      </c>
      <c r="H9192" s="27">
        <f t="shared" si="286"/>
        <v>0</v>
      </c>
      <c r="I9192" s="18">
        <v>12888.67</v>
      </c>
      <c r="J9192" s="27">
        <v>28290.26</v>
      </c>
      <c r="K9192" s="18">
        <f t="shared" si="287"/>
        <v>0</v>
      </c>
      <c r="L9192" s="27">
        <v>14442.79</v>
      </c>
      <c r="M9192" s="36">
        <v>1554.12</v>
      </c>
      <c r="T9192" s="41">
        <v>0</v>
      </c>
      <c r="U9192" s="41">
        <v>0</v>
      </c>
      <c r="V9192" s="42" t="s">
        <v>113</v>
      </c>
      <c r="W9192" s="42">
        <v>0</v>
      </c>
      <c r="X9192" s="42">
        <v>0</v>
      </c>
    </row>
    <row r="9193" spans="1:24">
      <c r="A9193" s="27" t="s">
        <v>16776</v>
      </c>
      <c r="B9193" s="28" t="s">
        <v>12240</v>
      </c>
      <c r="C9193" s="27" t="s">
        <v>16777</v>
      </c>
      <c r="D9193" s="27" t="s">
        <v>230</v>
      </c>
      <c r="E9193" s="29">
        <v>41274</v>
      </c>
      <c r="F9193" s="27">
        <v>15</v>
      </c>
      <c r="G9193" s="18">
        <v>28290.26</v>
      </c>
      <c r="H9193" s="27">
        <f t="shared" si="286"/>
        <v>0</v>
      </c>
      <c r="I9193" s="18">
        <v>12888.68</v>
      </c>
      <c r="J9193" s="27">
        <v>28290.26</v>
      </c>
      <c r="K9193" s="18">
        <f t="shared" si="287"/>
        <v>0</v>
      </c>
      <c r="L9193" s="27">
        <v>14442.8</v>
      </c>
      <c r="M9193" s="36">
        <v>1554.12</v>
      </c>
      <c r="T9193" s="41">
        <v>0</v>
      </c>
      <c r="U9193" s="41">
        <v>0</v>
      </c>
      <c r="V9193" s="42" t="s">
        <v>113</v>
      </c>
      <c r="W9193" s="42">
        <v>0</v>
      </c>
      <c r="X9193" s="42">
        <v>0</v>
      </c>
    </row>
    <row r="9194" spans="1:24">
      <c r="A9194" s="27" t="s">
        <v>16778</v>
      </c>
      <c r="B9194" s="28" t="s">
        <v>12240</v>
      </c>
      <c r="C9194" s="27" t="s">
        <v>16779</v>
      </c>
      <c r="D9194" s="27" t="s">
        <v>230</v>
      </c>
      <c r="E9194" s="29">
        <v>41274</v>
      </c>
      <c r="F9194" s="27">
        <v>15</v>
      </c>
      <c r="G9194" s="18">
        <v>28290.26</v>
      </c>
      <c r="H9194" s="27">
        <f t="shared" si="286"/>
        <v>0</v>
      </c>
      <c r="I9194" s="18">
        <v>12888.67</v>
      </c>
      <c r="J9194" s="27">
        <v>28290.26</v>
      </c>
      <c r="K9194" s="18">
        <f t="shared" si="287"/>
        <v>0</v>
      </c>
      <c r="L9194" s="27">
        <v>14442.79</v>
      </c>
      <c r="M9194" s="36">
        <v>1554.12</v>
      </c>
      <c r="T9194" s="41">
        <v>0</v>
      </c>
      <c r="U9194" s="41">
        <v>0</v>
      </c>
      <c r="V9194" s="42" t="s">
        <v>113</v>
      </c>
      <c r="W9194" s="42">
        <v>0</v>
      </c>
      <c r="X9194" s="42">
        <v>0</v>
      </c>
    </row>
    <row r="9195" spans="1:24">
      <c r="A9195" s="27" t="s">
        <v>16780</v>
      </c>
      <c r="B9195" s="28" t="s">
        <v>12240</v>
      </c>
      <c r="C9195" s="27" t="s">
        <v>16781</v>
      </c>
      <c r="D9195" s="27" t="s">
        <v>230</v>
      </c>
      <c r="E9195" s="29">
        <v>41274</v>
      </c>
      <c r="F9195" s="27">
        <v>15</v>
      </c>
      <c r="G9195" s="18">
        <v>28290.26</v>
      </c>
      <c r="H9195" s="27">
        <f t="shared" si="286"/>
        <v>0</v>
      </c>
      <c r="I9195" s="18">
        <v>12888.68</v>
      </c>
      <c r="J9195" s="27">
        <v>28290.26</v>
      </c>
      <c r="K9195" s="18">
        <f t="shared" si="287"/>
        <v>0</v>
      </c>
      <c r="L9195" s="27">
        <v>14442.8</v>
      </c>
      <c r="M9195" s="36">
        <v>1554.12</v>
      </c>
      <c r="T9195" s="41">
        <v>0</v>
      </c>
      <c r="U9195" s="41">
        <v>0</v>
      </c>
      <c r="V9195" s="42" t="s">
        <v>113</v>
      </c>
      <c r="W9195" s="42">
        <v>0</v>
      </c>
      <c r="X9195" s="42">
        <v>0</v>
      </c>
    </row>
    <row r="9196" spans="1:24">
      <c r="A9196" s="27" t="s">
        <v>16782</v>
      </c>
      <c r="B9196" s="28" t="s">
        <v>12240</v>
      </c>
      <c r="C9196" s="27" t="s">
        <v>16783</v>
      </c>
      <c r="D9196" s="27" t="s">
        <v>230</v>
      </c>
      <c r="E9196" s="29">
        <v>41274</v>
      </c>
      <c r="F9196" s="27">
        <v>15</v>
      </c>
      <c r="G9196" s="18">
        <v>28290.26</v>
      </c>
      <c r="H9196" s="27">
        <f t="shared" si="286"/>
        <v>0</v>
      </c>
      <c r="I9196" s="18">
        <v>12888.67</v>
      </c>
      <c r="J9196" s="27">
        <v>28290.26</v>
      </c>
      <c r="K9196" s="18">
        <f t="shared" si="287"/>
        <v>0</v>
      </c>
      <c r="L9196" s="27">
        <v>14442.79</v>
      </c>
      <c r="M9196" s="36">
        <v>1554.12</v>
      </c>
      <c r="T9196" s="41">
        <v>0</v>
      </c>
      <c r="U9196" s="41">
        <v>0</v>
      </c>
      <c r="V9196" s="42" t="s">
        <v>113</v>
      </c>
      <c r="W9196" s="42">
        <v>0</v>
      </c>
      <c r="X9196" s="42">
        <v>0</v>
      </c>
    </row>
    <row r="9197" spans="1:24">
      <c r="A9197" s="27" t="s">
        <v>16784</v>
      </c>
      <c r="B9197" s="28" t="s">
        <v>12240</v>
      </c>
      <c r="C9197" s="27" t="s">
        <v>16785</v>
      </c>
      <c r="D9197" s="27" t="s">
        <v>230</v>
      </c>
      <c r="E9197" s="29">
        <v>41274</v>
      </c>
      <c r="F9197" s="27">
        <v>15</v>
      </c>
      <c r="G9197" s="18">
        <v>28290.26</v>
      </c>
      <c r="H9197" s="27">
        <f t="shared" si="286"/>
        <v>0</v>
      </c>
      <c r="I9197" s="18">
        <v>12888.68</v>
      </c>
      <c r="J9197" s="27">
        <v>28290.26</v>
      </c>
      <c r="K9197" s="18">
        <f t="shared" si="287"/>
        <v>0</v>
      </c>
      <c r="L9197" s="27">
        <v>14442.8</v>
      </c>
      <c r="M9197" s="36">
        <v>1554.12</v>
      </c>
      <c r="T9197" s="41">
        <v>0</v>
      </c>
      <c r="U9197" s="41">
        <v>0</v>
      </c>
      <c r="V9197" s="42" t="s">
        <v>113</v>
      </c>
      <c r="W9197" s="42">
        <v>0</v>
      </c>
      <c r="X9197" s="42">
        <v>0</v>
      </c>
    </row>
    <row r="9198" spans="1:24">
      <c r="A9198" s="27" t="s">
        <v>16786</v>
      </c>
      <c r="B9198" s="28" t="s">
        <v>12240</v>
      </c>
      <c r="C9198" s="27" t="s">
        <v>16787</v>
      </c>
      <c r="D9198" s="27" t="s">
        <v>230</v>
      </c>
      <c r="E9198" s="29">
        <v>41274</v>
      </c>
      <c r="F9198" s="27">
        <v>15</v>
      </c>
      <c r="G9198" s="18">
        <v>28290.26</v>
      </c>
      <c r="H9198" s="27">
        <f t="shared" si="286"/>
        <v>0</v>
      </c>
      <c r="I9198" s="18">
        <v>12888.67</v>
      </c>
      <c r="J9198" s="27">
        <v>28290.26</v>
      </c>
      <c r="K9198" s="18">
        <f t="shared" si="287"/>
        <v>0</v>
      </c>
      <c r="L9198" s="27">
        <v>14442.79</v>
      </c>
      <c r="M9198" s="36">
        <v>1554.12</v>
      </c>
      <c r="T9198" s="41">
        <v>0</v>
      </c>
      <c r="U9198" s="41">
        <v>0</v>
      </c>
      <c r="V9198" s="42" t="s">
        <v>113</v>
      </c>
      <c r="W9198" s="42">
        <v>0</v>
      </c>
      <c r="X9198" s="42">
        <v>0</v>
      </c>
    </row>
    <row r="9199" spans="1:24">
      <c r="A9199" s="27" t="s">
        <v>16788</v>
      </c>
      <c r="B9199" s="28" t="s">
        <v>12240</v>
      </c>
      <c r="C9199" s="27" t="s">
        <v>16789</v>
      </c>
      <c r="D9199" s="27" t="s">
        <v>230</v>
      </c>
      <c r="E9199" s="29">
        <v>41274</v>
      </c>
      <c r="F9199" s="27">
        <v>15</v>
      </c>
      <c r="G9199" s="18">
        <v>28290.26</v>
      </c>
      <c r="H9199" s="27">
        <f t="shared" si="286"/>
        <v>0</v>
      </c>
      <c r="I9199" s="18">
        <v>12888.68</v>
      </c>
      <c r="J9199" s="27">
        <v>28290.26</v>
      </c>
      <c r="K9199" s="18">
        <f t="shared" si="287"/>
        <v>0</v>
      </c>
      <c r="L9199" s="27">
        <v>14442.8</v>
      </c>
      <c r="M9199" s="36">
        <v>1554.12</v>
      </c>
      <c r="T9199" s="41">
        <v>0</v>
      </c>
      <c r="U9199" s="41">
        <v>0</v>
      </c>
      <c r="V9199" s="42" t="s">
        <v>113</v>
      </c>
      <c r="W9199" s="42">
        <v>0</v>
      </c>
      <c r="X9199" s="42">
        <v>0</v>
      </c>
    </row>
    <row r="9200" spans="1:24">
      <c r="A9200" s="27" t="s">
        <v>16790</v>
      </c>
      <c r="B9200" s="28" t="s">
        <v>12240</v>
      </c>
      <c r="C9200" s="27" t="s">
        <v>16791</v>
      </c>
      <c r="D9200" s="27" t="s">
        <v>230</v>
      </c>
      <c r="E9200" s="29">
        <v>41274</v>
      </c>
      <c r="F9200" s="27">
        <v>15</v>
      </c>
      <c r="G9200" s="18">
        <v>28290.26</v>
      </c>
      <c r="H9200" s="27">
        <f t="shared" si="286"/>
        <v>0</v>
      </c>
      <c r="I9200" s="18">
        <v>12888.67</v>
      </c>
      <c r="J9200" s="27">
        <v>28290.26</v>
      </c>
      <c r="K9200" s="18">
        <f t="shared" si="287"/>
        <v>0</v>
      </c>
      <c r="L9200" s="27">
        <v>14442.79</v>
      </c>
      <c r="M9200" s="36">
        <v>1554.12</v>
      </c>
      <c r="T9200" s="41">
        <v>0</v>
      </c>
      <c r="U9200" s="41">
        <v>0</v>
      </c>
      <c r="V9200" s="42" t="s">
        <v>113</v>
      </c>
      <c r="W9200" s="42">
        <v>0</v>
      </c>
      <c r="X9200" s="42">
        <v>0</v>
      </c>
    </row>
    <row r="9201" spans="1:24">
      <c r="A9201" s="27" t="s">
        <v>16792</v>
      </c>
      <c r="B9201" s="28" t="s">
        <v>12240</v>
      </c>
      <c r="C9201" s="27" t="s">
        <v>16793</v>
      </c>
      <c r="D9201" s="27" t="s">
        <v>230</v>
      </c>
      <c r="E9201" s="29">
        <v>41274</v>
      </c>
      <c r="F9201" s="27">
        <v>15</v>
      </c>
      <c r="G9201" s="18">
        <v>28290.26</v>
      </c>
      <c r="H9201" s="27">
        <f t="shared" si="286"/>
        <v>0</v>
      </c>
      <c r="I9201" s="18">
        <v>12888.68</v>
      </c>
      <c r="J9201" s="27">
        <v>28290.26</v>
      </c>
      <c r="K9201" s="18">
        <f t="shared" si="287"/>
        <v>0</v>
      </c>
      <c r="L9201" s="27">
        <v>14442.8</v>
      </c>
      <c r="M9201" s="36">
        <v>1554.12</v>
      </c>
      <c r="T9201" s="41">
        <v>0</v>
      </c>
      <c r="U9201" s="41">
        <v>0</v>
      </c>
      <c r="V9201" s="42" t="s">
        <v>113</v>
      </c>
      <c r="W9201" s="42">
        <v>0</v>
      </c>
      <c r="X9201" s="42">
        <v>0</v>
      </c>
    </row>
    <row r="9202" spans="1:24">
      <c r="A9202" s="27" t="s">
        <v>16794</v>
      </c>
      <c r="B9202" s="28" t="s">
        <v>12240</v>
      </c>
      <c r="C9202" s="27" t="s">
        <v>16795</v>
      </c>
      <c r="D9202" s="27" t="s">
        <v>230</v>
      </c>
      <c r="E9202" s="29">
        <v>41274</v>
      </c>
      <c r="F9202" s="27">
        <v>15</v>
      </c>
      <c r="G9202" s="18">
        <v>28290.26</v>
      </c>
      <c r="H9202" s="27">
        <f t="shared" si="286"/>
        <v>0</v>
      </c>
      <c r="I9202" s="18">
        <v>12888.67</v>
      </c>
      <c r="J9202" s="27">
        <v>28290.26</v>
      </c>
      <c r="K9202" s="18">
        <f t="shared" si="287"/>
        <v>0</v>
      </c>
      <c r="L9202" s="27">
        <v>14442.79</v>
      </c>
      <c r="M9202" s="36">
        <v>1554.12</v>
      </c>
      <c r="T9202" s="41">
        <v>0</v>
      </c>
      <c r="U9202" s="41">
        <v>0</v>
      </c>
      <c r="V9202" s="42" t="s">
        <v>113</v>
      </c>
      <c r="W9202" s="42">
        <v>0</v>
      </c>
      <c r="X9202" s="42">
        <v>0</v>
      </c>
    </row>
    <row r="9203" spans="1:24">
      <c r="A9203" s="27" t="s">
        <v>16796</v>
      </c>
      <c r="B9203" s="28" t="s">
        <v>12240</v>
      </c>
      <c r="C9203" s="27" t="s">
        <v>16797</v>
      </c>
      <c r="D9203" s="27" t="s">
        <v>230</v>
      </c>
      <c r="E9203" s="29">
        <v>41274</v>
      </c>
      <c r="F9203" s="27">
        <v>15</v>
      </c>
      <c r="G9203" s="18">
        <v>28290.26</v>
      </c>
      <c r="H9203" s="27">
        <f t="shared" si="286"/>
        <v>0</v>
      </c>
      <c r="I9203" s="18">
        <v>12888.68</v>
      </c>
      <c r="J9203" s="27">
        <v>28290.26</v>
      </c>
      <c r="K9203" s="18">
        <f t="shared" si="287"/>
        <v>0</v>
      </c>
      <c r="L9203" s="27">
        <v>14442.8</v>
      </c>
      <c r="M9203" s="36">
        <v>1554.12</v>
      </c>
      <c r="T9203" s="41">
        <v>0</v>
      </c>
      <c r="U9203" s="41">
        <v>0</v>
      </c>
      <c r="V9203" s="42" t="s">
        <v>113</v>
      </c>
      <c r="W9203" s="42">
        <v>0</v>
      </c>
      <c r="X9203" s="42">
        <v>0</v>
      </c>
    </row>
    <row r="9204" spans="1:24">
      <c r="A9204" s="27" t="s">
        <v>16798</v>
      </c>
      <c r="B9204" s="28" t="s">
        <v>12240</v>
      </c>
      <c r="C9204" s="27" t="s">
        <v>16799</v>
      </c>
      <c r="D9204" s="27" t="s">
        <v>230</v>
      </c>
      <c r="E9204" s="29">
        <v>41274</v>
      </c>
      <c r="F9204" s="27">
        <v>15</v>
      </c>
      <c r="G9204" s="18">
        <v>28290.26</v>
      </c>
      <c r="H9204" s="27">
        <f t="shared" si="286"/>
        <v>0</v>
      </c>
      <c r="I9204" s="18">
        <v>12888.67</v>
      </c>
      <c r="J9204" s="27">
        <v>28290.26</v>
      </c>
      <c r="K9204" s="18">
        <f t="shared" si="287"/>
        <v>0</v>
      </c>
      <c r="L9204" s="27">
        <v>14442.79</v>
      </c>
      <c r="M9204" s="36">
        <v>1554.12</v>
      </c>
      <c r="T9204" s="41">
        <v>0</v>
      </c>
      <c r="U9204" s="41">
        <v>0</v>
      </c>
      <c r="V9204" s="42" t="s">
        <v>113</v>
      </c>
      <c r="W9204" s="42">
        <v>0</v>
      </c>
      <c r="X9204" s="42">
        <v>0</v>
      </c>
    </row>
    <row r="9205" spans="1:24">
      <c r="A9205" s="27" t="s">
        <v>16800</v>
      </c>
      <c r="B9205" s="28" t="s">
        <v>12240</v>
      </c>
      <c r="C9205" s="27" t="s">
        <v>16801</v>
      </c>
      <c r="D9205" s="27" t="s">
        <v>230</v>
      </c>
      <c r="E9205" s="29">
        <v>41274</v>
      </c>
      <c r="F9205" s="27">
        <v>15</v>
      </c>
      <c r="G9205" s="18">
        <v>28290.26</v>
      </c>
      <c r="H9205" s="27">
        <f t="shared" si="286"/>
        <v>0</v>
      </c>
      <c r="I9205" s="18">
        <v>12888.68</v>
      </c>
      <c r="J9205" s="27">
        <v>28290.26</v>
      </c>
      <c r="K9205" s="18">
        <f t="shared" si="287"/>
        <v>0</v>
      </c>
      <c r="L9205" s="27">
        <v>14442.8</v>
      </c>
      <c r="M9205" s="36">
        <v>1554.12</v>
      </c>
      <c r="T9205" s="41">
        <v>0</v>
      </c>
      <c r="U9205" s="41">
        <v>0</v>
      </c>
      <c r="V9205" s="42" t="s">
        <v>113</v>
      </c>
      <c r="W9205" s="42">
        <v>0</v>
      </c>
      <c r="X9205" s="42">
        <v>0</v>
      </c>
    </row>
    <row r="9206" spans="1:24">
      <c r="A9206" s="27" t="s">
        <v>16802</v>
      </c>
      <c r="B9206" s="28" t="s">
        <v>12240</v>
      </c>
      <c r="C9206" s="27" t="s">
        <v>16803</v>
      </c>
      <c r="D9206" s="27" t="s">
        <v>230</v>
      </c>
      <c r="E9206" s="29">
        <v>41274</v>
      </c>
      <c r="F9206" s="27">
        <v>15</v>
      </c>
      <c r="G9206" s="18">
        <v>28290.26</v>
      </c>
      <c r="H9206" s="27">
        <f t="shared" si="286"/>
        <v>0</v>
      </c>
      <c r="I9206" s="18">
        <v>12888.67</v>
      </c>
      <c r="J9206" s="27">
        <v>28290.26</v>
      </c>
      <c r="K9206" s="18">
        <f t="shared" si="287"/>
        <v>0</v>
      </c>
      <c r="L9206" s="27">
        <v>14442.79</v>
      </c>
      <c r="M9206" s="36">
        <v>1554.12</v>
      </c>
      <c r="T9206" s="41">
        <v>0</v>
      </c>
      <c r="U9206" s="41">
        <v>0</v>
      </c>
      <c r="V9206" s="42" t="s">
        <v>113</v>
      </c>
      <c r="W9206" s="42">
        <v>0</v>
      </c>
      <c r="X9206" s="42">
        <v>0</v>
      </c>
    </row>
    <row r="9207" spans="1:24">
      <c r="A9207" s="27" t="s">
        <v>16804</v>
      </c>
      <c r="B9207" s="28" t="s">
        <v>12240</v>
      </c>
      <c r="C9207" s="27" t="s">
        <v>16805</v>
      </c>
      <c r="D9207" s="27" t="s">
        <v>230</v>
      </c>
      <c r="E9207" s="29">
        <v>41274</v>
      </c>
      <c r="F9207" s="27">
        <v>15</v>
      </c>
      <c r="G9207" s="18">
        <v>28290.26</v>
      </c>
      <c r="H9207" s="27">
        <f t="shared" si="286"/>
        <v>0</v>
      </c>
      <c r="I9207" s="18">
        <v>12888.68</v>
      </c>
      <c r="J9207" s="27">
        <v>28290.26</v>
      </c>
      <c r="K9207" s="18">
        <f t="shared" si="287"/>
        <v>0</v>
      </c>
      <c r="L9207" s="27">
        <v>14442.8</v>
      </c>
      <c r="M9207" s="36">
        <v>1554.12</v>
      </c>
      <c r="T9207" s="41">
        <v>0</v>
      </c>
      <c r="U9207" s="41">
        <v>0</v>
      </c>
      <c r="V9207" s="42" t="s">
        <v>113</v>
      </c>
      <c r="W9207" s="42">
        <v>0</v>
      </c>
      <c r="X9207" s="42">
        <v>0</v>
      </c>
    </row>
    <row r="9208" spans="1:24">
      <c r="A9208" s="27" t="s">
        <v>16806</v>
      </c>
      <c r="B9208" s="28" t="s">
        <v>12240</v>
      </c>
      <c r="C9208" s="27" t="s">
        <v>16807</v>
      </c>
      <c r="D9208" s="27" t="s">
        <v>230</v>
      </c>
      <c r="E9208" s="29">
        <v>41274</v>
      </c>
      <c r="F9208" s="27">
        <v>15</v>
      </c>
      <c r="G9208" s="18">
        <v>28290.26</v>
      </c>
      <c r="H9208" s="27">
        <f t="shared" si="286"/>
        <v>0</v>
      </c>
      <c r="I9208" s="18">
        <v>12888.67</v>
      </c>
      <c r="J9208" s="27">
        <v>28290.26</v>
      </c>
      <c r="K9208" s="18">
        <f t="shared" si="287"/>
        <v>0</v>
      </c>
      <c r="L9208" s="27">
        <v>14442.79</v>
      </c>
      <c r="M9208" s="36">
        <v>1554.12</v>
      </c>
      <c r="T9208" s="41">
        <v>0</v>
      </c>
      <c r="U9208" s="41">
        <v>0</v>
      </c>
      <c r="V9208" s="42" t="s">
        <v>113</v>
      </c>
      <c r="W9208" s="42">
        <v>0</v>
      </c>
      <c r="X9208" s="42">
        <v>0</v>
      </c>
    </row>
    <row r="9209" spans="1:24">
      <c r="A9209" s="27" t="s">
        <v>16808</v>
      </c>
      <c r="B9209" s="28" t="s">
        <v>12240</v>
      </c>
      <c r="C9209" s="27" t="s">
        <v>16809</v>
      </c>
      <c r="D9209" s="27" t="s">
        <v>230</v>
      </c>
      <c r="E9209" s="29">
        <v>41274</v>
      </c>
      <c r="F9209" s="27">
        <v>15</v>
      </c>
      <c r="G9209" s="18">
        <v>28290.26</v>
      </c>
      <c r="H9209" s="27">
        <f t="shared" si="286"/>
        <v>0</v>
      </c>
      <c r="I9209" s="18">
        <v>12888.68</v>
      </c>
      <c r="J9209" s="27">
        <v>28290.26</v>
      </c>
      <c r="K9209" s="18">
        <f t="shared" si="287"/>
        <v>0</v>
      </c>
      <c r="L9209" s="27">
        <v>14442.8</v>
      </c>
      <c r="M9209" s="36">
        <v>1554.12</v>
      </c>
      <c r="T9209" s="41">
        <v>0</v>
      </c>
      <c r="U9209" s="41">
        <v>0</v>
      </c>
      <c r="V9209" s="42" t="s">
        <v>113</v>
      </c>
      <c r="W9209" s="42">
        <v>0</v>
      </c>
      <c r="X9209" s="42">
        <v>0</v>
      </c>
    </row>
    <row r="9210" spans="1:24">
      <c r="A9210" s="27" t="s">
        <v>16810</v>
      </c>
      <c r="B9210" s="28" t="s">
        <v>12240</v>
      </c>
      <c r="C9210" s="27" t="s">
        <v>16811</v>
      </c>
      <c r="D9210" s="27" t="s">
        <v>230</v>
      </c>
      <c r="E9210" s="29">
        <v>41274</v>
      </c>
      <c r="F9210" s="27">
        <v>15</v>
      </c>
      <c r="G9210" s="18">
        <v>28290.26</v>
      </c>
      <c r="H9210" s="27">
        <f t="shared" si="286"/>
        <v>0</v>
      </c>
      <c r="I9210" s="18">
        <v>12888.67</v>
      </c>
      <c r="J9210" s="27">
        <v>28290.26</v>
      </c>
      <c r="K9210" s="18">
        <f t="shared" si="287"/>
        <v>0</v>
      </c>
      <c r="L9210" s="27">
        <v>14442.79</v>
      </c>
      <c r="M9210" s="36">
        <v>1554.12</v>
      </c>
      <c r="T9210" s="41">
        <v>0</v>
      </c>
      <c r="U9210" s="41">
        <v>0</v>
      </c>
      <c r="V9210" s="42" t="s">
        <v>113</v>
      </c>
      <c r="W9210" s="42">
        <v>0</v>
      </c>
      <c r="X9210" s="42">
        <v>0</v>
      </c>
    </row>
    <row r="9211" spans="1:24">
      <c r="A9211" s="27" t="s">
        <v>16812</v>
      </c>
      <c r="B9211" s="28" t="s">
        <v>12240</v>
      </c>
      <c r="C9211" s="27" t="s">
        <v>16813</v>
      </c>
      <c r="D9211" s="27" t="s">
        <v>230</v>
      </c>
      <c r="E9211" s="29">
        <v>41274</v>
      </c>
      <c r="F9211" s="27">
        <v>15</v>
      </c>
      <c r="G9211" s="18">
        <v>28290.26</v>
      </c>
      <c r="H9211" s="27">
        <f t="shared" si="286"/>
        <v>0</v>
      </c>
      <c r="I9211" s="18">
        <v>12888.68</v>
      </c>
      <c r="J9211" s="27">
        <v>28290.26</v>
      </c>
      <c r="K9211" s="18">
        <f t="shared" si="287"/>
        <v>0</v>
      </c>
      <c r="L9211" s="27">
        <v>14442.8</v>
      </c>
      <c r="M9211" s="36">
        <v>1554.12</v>
      </c>
      <c r="T9211" s="41">
        <v>0</v>
      </c>
      <c r="U9211" s="41">
        <v>0</v>
      </c>
      <c r="V9211" s="42" t="s">
        <v>113</v>
      </c>
      <c r="W9211" s="42">
        <v>0</v>
      </c>
      <c r="X9211" s="42">
        <v>0</v>
      </c>
    </row>
    <row r="9212" spans="1:24">
      <c r="A9212" s="27" t="s">
        <v>16814</v>
      </c>
      <c r="B9212" s="28" t="s">
        <v>12240</v>
      </c>
      <c r="C9212" s="27" t="s">
        <v>16815</v>
      </c>
      <c r="D9212" s="27" t="s">
        <v>230</v>
      </c>
      <c r="E9212" s="29">
        <v>41274</v>
      </c>
      <c r="F9212" s="27">
        <v>15</v>
      </c>
      <c r="G9212" s="18">
        <v>28290.26</v>
      </c>
      <c r="H9212" s="27">
        <f t="shared" si="286"/>
        <v>0</v>
      </c>
      <c r="I9212" s="18">
        <v>12888.67</v>
      </c>
      <c r="J9212" s="27">
        <v>28290.26</v>
      </c>
      <c r="K9212" s="18">
        <f t="shared" si="287"/>
        <v>0</v>
      </c>
      <c r="L9212" s="27">
        <v>14442.79</v>
      </c>
      <c r="M9212" s="36">
        <v>1554.12</v>
      </c>
      <c r="T9212" s="41">
        <v>0</v>
      </c>
      <c r="U9212" s="41">
        <v>0</v>
      </c>
      <c r="V9212" s="42" t="s">
        <v>113</v>
      </c>
      <c r="W9212" s="42">
        <v>0</v>
      </c>
      <c r="X9212" s="42">
        <v>0</v>
      </c>
    </row>
    <row r="9213" spans="1:24">
      <c r="A9213" s="27" t="s">
        <v>16816</v>
      </c>
      <c r="B9213" s="28" t="s">
        <v>12240</v>
      </c>
      <c r="C9213" s="27" t="s">
        <v>16817</v>
      </c>
      <c r="D9213" s="27" t="s">
        <v>230</v>
      </c>
      <c r="E9213" s="29">
        <v>41274</v>
      </c>
      <c r="F9213" s="27">
        <v>15</v>
      </c>
      <c r="G9213" s="18">
        <v>28290.26</v>
      </c>
      <c r="H9213" s="27">
        <f t="shared" si="286"/>
        <v>0</v>
      </c>
      <c r="I9213" s="18">
        <v>12888.68</v>
      </c>
      <c r="J9213" s="27">
        <v>28290.26</v>
      </c>
      <c r="K9213" s="18">
        <f t="shared" si="287"/>
        <v>0</v>
      </c>
      <c r="L9213" s="27">
        <v>14442.8</v>
      </c>
      <c r="M9213" s="36">
        <v>1554.12</v>
      </c>
      <c r="T9213" s="41">
        <v>0</v>
      </c>
      <c r="U9213" s="41">
        <v>0</v>
      </c>
      <c r="V9213" s="42" t="s">
        <v>113</v>
      </c>
      <c r="W9213" s="42">
        <v>0</v>
      </c>
      <c r="X9213" s="42">
        <v>0</v>
      </c>
    </row>
    <row r="9214" spans="1:24">
      <c r="A9214" s="27" t="s">
        <v>16818</v>
      </c>
      <c r="B9214" s="28" t="s">
        <v>12240</v>
      </c>
      <c r="C9214" s="27" t="s">
        <v>16819</v>
      </c>
      <c r="D9214" s="27" t="s">
        <v>230</v>
      </c>
      <c r="E9214" s="29">
        <v>41274</v>
      </c>
      <c r="F9214" s="27">
        <v>15</v>
      </c>
      <c r="G9214" s="18">
        <v>28290.26</v>
      </c>
      <c r="H9214" s="27">
        <f t="shared" si="286"/>
        <v>0</v>
      </c>
      <c r="I9214" s="18">
        <v>12888.67</v>
      </c>
      <c r="J9214" s="27">
        <v>28290.26</v>
      </c>
      <c r="K9214" s="18">
        <f t="shared" si="287"/>
        <v>0</v>
      </c>
      <c r="L9214" s="27">
        <v>14442.79</v>
      </c>
      <c r="M9214" s="36">
        <v>1554.12</v>
      </c>
      <c r="T9214" s="41">
        <v>0</v>
      </c>
      <c r="U9214" s="41">
        <v>0</v>
      </c>
      <c r="V9214" s="42" t="s">
        <v>113</v>
      </c>
      <c r="W9214" s="42">
        <v>0</v>
      </c>
      <c r="X9214" s="42">
        <v>0</v>
      </c>
    </row>
    <row r="9215" spans="1:24">
      <c r="A9215" s="27" t="s">
        <v>16820</v>
      </c>
      <c r="B9215" s="28" t="s">
        <v>12240</v>
      </c>
      <c r="C9215" s="27" t="s">
        <v>16821</v>
      </c>
      <c r="D9215" s="27" t="s">
        <v>230</v>
      </c>
      <c r="E9215" s="29">
        <v>41274</v>
      </c>
      <c r="F9215" s="27">
        <v>15</v>
      </c>
      <c r="G9215" s="18">
        <v>28290.26</v>
      </c>
      <c r="H9215" s="27">
        <f t="shared" si="286"/>
        <v>0</v>
      </c>
      <c r="I9215" s="18">
        <v>12888.68</v>
      </c>
      <c r="J9215" s="27">
        <v>28290.26</v>
      </c>
      <c r="K9215" s="18">
        <f t="shared" si="287"/>
        <v>0</v>
      </c>
      <c r="L9215" s="27">
        <v>14442.8</v>
      </c>
      <c r="M9215" s="36">
        <v>1554.12</v>
      </c>
      <c r="T9215" s="41">
        <v>0</v>
      </c>
      <c r="U9215" s="41">
        <v>0</v>
      </c>
      <c r="V9215" s="42" t="s">
        <v>113</v>
      </c>
      <c r="W9215" s="42">
        <v>0</v>
      </c>
      <c r="X9215" s="42">
        <v>0</v>
      </c>
    </row>
    <row r="9216" spans="1:24">
      <c r="A9216" s="27" t="s">
        <v>16822</v>
      </c>
      <c r="B9216" s="28" t="s">
        <v>12240</v>
      </c>
      <c r="C9216" s="27" t="s">
        <v>16026</v>
      </c>
      <c r="D9216" s="27" t="s">
        <v>230</v>
      </c>
      <c r="E9216" s="29">
        <v>41274</v>
      </c>
      <c r="F9216" s="27">
        <v>15</v>
      </c>
      <c r="G9216" s="18">
        <v>28290.26</v>
      </c>
      <c r="H9216" s="27">
        <f t="shared" si="286"/>
        <v>0</v>
      </c>
      <c r="I9216" s="18">
        <v>12888.67</v>
      </c>
      <c r="J9216" s="27">
        <v>28290.26</v>
      </c>
      <c r="K9216" s="18">
        <f t="shared" si="287"/>
        <v>0</v>
      </c>
      <c r="L9216" s="27">
        <v>14442.79</v>
      </c>
      <c r="M9216" s="36">
        <v>1554.12</v>
      </c>
      <c r="T9216" s="41">
        <v>0</v>
      </c>
      <c r="U9216" s="41">
        <v>0</v>
      </c>
      <c r="V9216" s="42" t="s">
        <v>113</v>
      </c>
      <c r="W9216" s="42">
        <v>0</v>
      </c>
      <c r="X9216" s="42">
        <v>0</v>
      </c>
    </row>
    <row r="9217" spans="1:24">
      <c r="A9217" s="27" t="s">
        <v>16823</v>
      </c>
      <c r="B9217" s="28" t="s">
        <v>12240</v>
      </c>
      <c r="C9217" s="27" t="s">
        <v>16824</v>
      </c>
      <c r="D9217" s="27" t="s">
        <v>230</v>
      </c>
      <c r="E9217" s="29">
        <v>41274</v>
      </c>
      <c r="F9217" s="27">
        <v>15</v>
      </c>
      <c r="G9217" s="18">
        <v>28290.26</v>
      </c>
      <c r="H9217" s="27">
        <f t="shared" si="286"/>
        <v>0</v>
      </c>
      <c r="I9217" s="18">
        <v>12888.68</v>
      </c>
      <c r="J9217" s="27">
        <v>28290.26</v>
      </c>
      <c r="K9217" s="18">
        <f t="shared" si="287"/>
        <v>0</v>
      </c>
      <c r="L9217" s="27">
        <v>14442.8</v>
      </c>
      <c r="M9217" s="36">
        <v>1554.12</v>
      </c>
      <c r="T9217" s="41">
        <v>0</v>
      </c>
      <c r="U9217" s="41">
        <v>0</v>
      </c>
      <c r="V9217" s="42" t="s">
        <v>113</v>
      </c>
      <c r="W9217" s="42">
        <v>0</v>
      </c>
      <c r="X9217" s="42">
        <v>0</v>
      </c>
    </row>
    <row r="9218" spans="1:24">
      <c r="A9218" s="27" t="s">
        <v>16825</v>
      </c>
      <c r="B9218" s="28" t="s">
        <v>12240</v>
      </c>
      <c r="C9218" s="27" t="s">
        <v>16826</v>
      </c>
      <c r="D9218" s="27" t="s">
        <v>230</v>
      </c>
      <c r="E9218" s="29">
        <v>41274</v>
      </c>
      <c r="F9218" s="27">
        <v>15</v>
      </c>
      <c r="G9218" s="18">
        <v>28290.26</v>
      </c>
      <c r="H9218" s="27">
        <f t="shared" si="286"/>
        <v>0</v>
      </c>
      <c r="I9218" s="18">
        <v>12888.67</v>
      </c>
      <c r="J9218" s="27">
        <v>28290.26</v>
      </c>
      <c r="K9218" s="18">
        <f t="shared" si="287"/>
        <v>0</v>
      </c>
      <c r="L9218" s="27">
        <v>14442.79</v>
      </c>
      <c r="M9218" s="36">
        <v>1554.12</v>
      </c>
      <c r="T9218" s="41">
        <v>0</v>
      </c>
      <c r="U9218" s="41">
        <v>0</v>
      </c>
      <c r="V9218" s="42" t="s">
        <v>113</v>
      </c>
      <c r="W9218" s="42">
        <v>0</v>
      </c>
      <c r="X9218" s="42">
        <v>0</v>
      </c>
    </row>
    <row r="9219" spans="1:24">
      <c r="A9219" s="27" t="s">
        <v>16827</v>
      </c>
      <c r="B9219" s="28" t="s">
        <v>12240</v>
      </c>
      <c r="C9219" s="27" t="s">
        <v>16828</v>
      </c>
      <c r="D9219" s="27" t="s">
        <v>230</v>
      </c>
      <c r="E9219" s="29">
        <v>41274</v>
      </c>
      <c r="F9219" s="27">
        <v>15</v>
      </c>
      <c r="G9219" s="18">
        <v>28290.26</v>
      </c>
      <c r="H9219" s="27">
        <f t="shared" si="286"/>
        <v>0</v>
      </c>
      <c r="I9219" s="18">
        <v>12888.68</v>
      </c>
      <c r="J9219" s="27">
        <v>28290.26</v>
      </c>
      <c r="K9219" s="18">
        <f t="shared" si="287"/>
        <v>0</v>
      </c>
      <c r="L9219" s="27">
        <v>14442.8</v>
      </c>
      <c r="M9219" s="36">
        <v>1554.12</v>
      </c>
      <c r="T9219" s="41">
        <v>0</v>
      </c>
      <c r="U9219" s="41">
        <v>0</v>
      </c>
      <c r="V9219" s="42" t="s">
        <v>113</v>
      </c>
      <c r="W9219" s="42">
        <v>0</v>
      </c>
      <c r="X9219" s="42">
        <v>0</v>
      </c>
    </row>
    <row r="9220" spans="1:24">
      <c r="A9220" s="27" t="s">
        <v>16829</v>
      </c>
      <c r="B9220" s="28" t="s">
        <v>12240</v>
      </c>
      <c r="C9220" s="27" t="s">
        <v>16830</v>
      </c>
      <c r="D9220" s="27" t="s">
        <v>230</v>
      </c>
      <c r="E9220" s="29">
        <v>41274</v>
      </c>
      <c r="F9220" s="27">
        <v>15</v>
      </c>
      <c r="G9220" s="18">
        <v>28290.26</v>
      </c>
      <c r="H9220" s="27">
        <f t="shared" si="286"/>
        <v>0</v>
      </c>
      <c r="I9220" s="18">
        <v>12888.67</v>
      </c>
      <c r="J9220" s="27">
        <v>28290.26</v>
      </c>
      <c r="K9220" s="18">
        <f t="shared" si="287"/>
        <v>0</v>
      </c>
      <c r="L9220" s="27">
        <v>14442.79</v>
      </c>
      <c r="M9220" s="36">
        <v>1554.12</v>
      </c>
      <c r="T9220" s="41">
        <v>0</v>
      </c>
      <c r="U9220" s="41">
        <v>0</v>
      </c>
      <c r="V9220" s="42" t="s">
        <v>113</v>
      </c>
      <c r="W9220" s="42">
        <v>0</v>
      </c>
      <c r="X9220" s="42">
        <v>0</v>
      </c>
    </row>
    <row r="9221" spans="1:24">
      <c r="A9221" s="27" t="s">
        <v>16831</v>
      </c>
      <c r="B9221" s="28" t="s">
        <v>12240</v>
      </c>
      <c r="C9221" s="27" t="s">
        <v>16832</v>
      </c>
      <c r="D9221" s="27" t="s">
        <v>230</v>
      </c>
      <c r="E9221" s="29">
        <v>41274</v>
      </c>
      <c r="F9221" s="27">
        <v>15</v>
      </c>
      <c r="G9221" s="18">
        <v>28290.26</v>
      </c>
      <c r="H9221" s="27">
        <f t="shared" si="286"/>
        <v>0</v>
      </c>
      <c r="I9221" s="18">
        <v>12888.68</v>
      </c>
      <c r="J9221" s="27">
        <v>28290.26</v>
      </c>
      <c r="K9221" s="18">
        <f t="shared" si="287"/>
        <v>0</v>
      </c>
      <c r="L9221" s="27">
        <v>14442.8</v>
      </c>
      <c r="M9221" s="36">
        <v>1554.12</v>
      </c>
      <c r="T9221" s="41">
        <v>0</v>
      </c>
      <c r="U9221" s="41">
        <v>0</v>
      </c>
      <c r="V9221" s="42" t="s">
        <v>113</v>
      </c>
      <c r="W9221" s="42">
        <v>0</v>
      </c>
      <c r="X9221" s="42">
        <v>0</v>
      </c>
    </row>
    <row r="9222" spans="1:24">
      <c r="A9222" s="27" t="s">
        <v>16833</v>
      </c>
      <c r="B9222" s="28" t="s">
        <v>12240</v>
      </c>
      <c r="C9222" s="27" t="s">
        <v>16834</v>
      </c>
      <c r="D9222" s="27" t="s">
        <v>230</v>
      </c>
      <c r="E9222" s="29">
        <v>41274</v>
      </c>
      <c r="F9222" s="27">
        <v>15</v>
      </c>
      <c r="G9222" s="18">
        <v>28290.26</v>
      </c>
      <c r="H9222" s="27">
        <f t="shared" ref="H9222:H9285" si="288">IFERROR(IF(ROUND((G9222-I9222)/G9222,2)&lt;=0.05,G9222,0),0)</f>
        <v>0</v>
      </c>
      <c r="I9222" s="18">
        <v>12888.67</v>
      </c>
      <c r="J9222" s="27">
        <v>28290.26</v>
      </c>
      <c r="K9222" s="18">
        <f t="shared" ref="K9222:K9285" si="289">IFERROR(IF(ROUND((J9222-L9222)/J9222,2)&lt;=0.05,J9222,0),0)</f>
        <v>0</v>
      </c>
      <c r="L9222" s="27">
        <v>14442.79</v>
      </c>
      <c r="M9222" s="36">
        <v>1554.12</v>
      </c>
      <c r="T9222" s="41">
        <v>0</v>
      </c>
      <c r="U9222" s="41">
        <v>0</v>
      </c>
      <c r="V9222" s="42" t="s">
        <v>113</v>
      </c>
      <c r="W9222" s="42">
        <v>0</v>
      </c>
      <c r="X9222" s="42">
        <v>0</v>
      </c>
    </row>
    <row r="9223" spans="1:24">
      <c r="A9223" s="27" t="s">
        <v>16835</v>
      </c>
      <c r="B9223" s="28" t="s">
        <v>12240</v>
      </c>
      <c r="C9223" s="27" t="s">
        <v>16836</v>
      </c>
      <c r="D9223" s="27" t="s">
        <v>230</v>
      </c>
      <c r="E9223" s="29">
        <v>41274</v>
      </c>
      <c r="F9223" s="27">
        <v>15</v>
      </c>
      <c r="G9223" s="18">
        <v>28290.26</v>
      </c>
      <c r="H9223" s="27">
        <f t="shared" si="288"/>
        <v>0</v>
      </c>
      <c r="I9223" s="18">
        <v>12888.68</v>
      </c>
      <c r="J9223" s="27">
        <v>28290.26</v>
      </c>
      <c r="K9223" s="18">
        <f t="shared" si="289"/>
        <v>0</v>
      </c>
      <c r="L9223" s="27">
        <v>14442.8</v>
      </c>
      <c r="M9223" s="36">
        <v>1554.12</v>
      </c>
      <c r="T9223" s="41">
        <v>0</v>
      </c>
      <c r="U9223" s="41">
        <v>0</v>
      </c>
      <c r="V9223" s="42" t="s">
        <v>113</v>
      </c>
      <c r="W9223" s="42">
        <v>0</v>
      </c>
      <c r="X9223" s="42">
        <v>0</v>
      </c>
    </row>
    <row r="9224" spans="1:24">
      <c r="A9224" s="27" t="s">
        <v>16837</v>
      </c>
      <c r="B9224" s="28" t="s">
        <v>12240</v>
      </c>
      <c r="C9224" s="27" t="s">
        <v>16838</v>
      </c>
      <c r="D9224" s="27" t="s">
        <v>230</v>
      </c>
      <c r="E9224" s="29">
        <v>41274</v>
      </c>
      <c r="F9224" s="27">
        <v>15</v>
      </c>
      <c r="G9224" s="18">
        <v>28290.26</v>
      </c>
      <c r="H9224" s="27">
        <f t="shared" si="288"/>
        <v>0</v>
      </c>
      <c r="I9224" s="18">
        <v>12888.67</v>
      </c>
      <c r="J9224" s="27">
        <v>28290.26</v>
      </c>
      <c r="K9224" s="18">
        <f t="shared" si="289"/>
        <v>0</v>
      </c>
      <c r="L9224" s="27">
        <v>14442.79</v>
      </c>
      <c r="M9224" s="36">
        <v>1554.12</v>
      </c>
      <c r="T9224" s="41">
        <v>0</v>
      </c>
      <c r="U9224" s="41">
        <v>0</v>
      </c>
      <c r="V9224" s="42" t="s">
        <v>113</v>
      </c>
      <c r="W9224" s="42">
        <v>0</v>
      </c>
      <c r="X9224" s="42">
        <v>0</v>
      </c>
    </row>
    <row r="9225" spans="1:24">
      <c r="A9225" s="27" t="s">
        <v>16839</v>
      </c>
      <c r="B9225" s="28" t="s">
        <v>12240</v>
      </c>
      <c r="C9225" s="27" t="s">
        <v>16840</v>
      </c>
      <c r="D9225" s="27" t="s">
        <v>230</v>
      </c>
      <c r="E9225" s="29">
        <v>41274</v>
      </c>
      <c r="F9225" s="27">
        <v>15</v>
      </c>
      <c r="G9225" s="18">
        <v>28290.26</v>
      </c>
      <c r="H9225" s="27">
        <f t="shared" si="288"/>
        <v>0</v>
      </c>
      <c r="I9225" s="18">
        <v>12888.68</v>
      </c>
      <c r="J9225" s="27">
        <v>28290.26</v>
      </c>
      <c r="K9225" s="18">
        <f t="shared" si="289"/>
        <v>0</v>
      </c>
      <c r="L9225" s="27">
        <v>14442.8</v>
      </c>
      <c r="M9225" s="36">
        <v>1554.12</v>
      </c>
      <c r="T9225" s="41">
        <v>0</v>
      </c>
      <c r="U9225" s="41">
        <v>0</v>
      </c>
      <c r="V9225" s="42" t="s">
        <v>113</v>
      </c>
      <c r="W9225" s="42">
        <v>0</v>
      </c>
      <c r="X9225" s="42">
        <v>0</v>
      </c>
    </row>
    <row r="9226" spans="1:24">
      <c r="A9226" s="27" t="s">
        <v>16841</v>
      </c>
      <c r="B9226" s="28" t="s">
        <v>12240</v>
      </c>
      <c r="C9226" s="27" t="s">
        <v>16842</v>
      </c>
      <c r="D9226" s="27" t="s">
        <v>230</v>
      </c>
      <c r="E9226" s="29">
        <v>41274</v>
      </c>
      <c r="F9226" s="27">
        <v>15</v>
      </c>
      <c r="G9226" s="18">
        <v>28290.26</v>
      </c>
      <c r="H9226" s="27">
        <f t="shared" si="288"/>
        <v>0</v>
      </c>
      <c r="I9226" s="18">
        <v>12888.67</v>
      </c>
      <c r="J9226" s="27">
        <v>28290.26</v>
      </c>
      <c r="K9226" s="18">
        <f t="shared" si="289"/>
        <v>0</v>
      </c>
      <c r="L9226" s="27">
        <v>14442.79</v>
      </c>
      <c r="M9226" s="36">
        <v>1554.12</v>
      </c>
      <c r="T9226" s="41">
        <v>0</v>
      </c>
      <c r="U9226" s="41">
        <v>0</v>
      </c>
      <c r="V9226" s="42" t="s">
        <v>113</v>
      </c>
      <c r="W9226" s="42">
        <v>0</v>
      </c>
      <c r="X9226" s="42">
        <v>0</v>
      </c>
    </row>
    <row r="9227" spans="1:24">
      <c r="A9227" s="27" t="s">
        <v>16843</v>
      </c>
      <c r="B9227" s="28" t="s">
        <v>12240</v>
      </c>
      <c r="C9227" s="27" t="s">
        <v>16844</v>
      </c>
      <c r="D9227" s="27" t="s">
        <v>230</v>
      </c>
      <c r="E9227" s="29">
        <v>41274</v>
      </c>
      <c r="F9227" s="27">
        <v>15</v>
      </c>
      <c r="G9227" s="18">
        <v>28290.26</v>
      </c>
      <c r="H9227" s="27">
        <f t="shared" si="288"/>
        <v>0</v>
      </c>
      <c r="I9227" s="18">
        <v>12888.68</v>
      </c>
      <c r="J9227" s="27">
        <v>28290.26</v>
      </c>
      <c r="K9227" s="18">
        <f t="shared" si="289"/>
        <v>0</v>
      </c>
      <c r="L9227" s="27">
        <v>14442.8</v>
      </c>
      <c r="M9227" s="36">
        <v>1554.12</v>
      </c>
      <c r="T9227" s="41">
        <v>0</v>
      </c>
      <c r="U9227" s="41">
        <v>0</v>
      </c>
      <c r="V9227" s="42" t="s">
        <v>113</v>
      </c>
      <c r="W9227" s="42">
        <v>0</v>
      </c>
      <c r="X9227" s="42">
        <v>0</v>
      </c>
    </row>
    <row r="9228" spans="1:24">
      <c r="A9228" s="27" t="s">
        <v>16845</v>
      </c>
      <c r="B9228" s="28" t="s">
        <v>12240</v>
      </c>
      <c r="C9228" s="27" t="s">
        <v>16846</v>
      </c>
      <c r="D9228" s="27" t="s">
        <v>230</v>
      </c>
      <c r="E9228" s="29">
        <v>41274</v>
      </c>
      <c r="F9228" s="27">
        <v>15</v>
      </c>
      <c r="G9228" s="18">
        <v>28290.26</v>
      </c>
      <c r="H9228" s="27">
        <f t="shared" si="288"/>
        <v>0</v>
      </c>
      <c r="I9228" s="18">
        <v>12888.67</v>
      </c>
      <c r="J9228" s="27">
        <v>28290.26</v>
      </c>
      <c r="K9228" s="18">
        <f t="shared" si="289"/>
        <v>0</v>
      </c>
      <c r="L9228" s="27">
        <v>14442.79</v>
      </c>
      <c r="M9228" s="36">
        <v>1554.12</v>
      </c>
      <c r="T9228" s="41">
        <v>0</v>
      </c>
      <c r="U9228" s="41">
        <v>0</v>
      </c>
      <c r="V9228" s="42" t="s">
        <v>113</v>
      </c>
      <c r="W9228" s="42">
        <v>0</v>
      </c>
      <c r="X9228" s="42">
        <v>0</v>
      </c>
    </row>
    <row r="9229" spans="1:24">
      <c r="A9229" s="27" t="s">
        <v>16847</v>
      </c>
      <c r="B9229" s="28" t="s">
        <v>12240</v>
      </c>
      <c r="C9229" s="27" t="s">
        <v>16848</v>
      </c>
      <c r="D9229" s="27" t="s">
        <v>230</v>
      </c>
      <c r="E9229" s="29">
        <v>41274</v>
      </c>
      <c r="F9229" s="27">
        <v>15</v>
      </c>
      <c r="G9229" s="18">
        <v>28290.26</v>
      </c>
      <c r="H9229" s="27">
        <f t="shared" si="288"/>
        <v>0</v>
      </c>
      <c r="I9229" s="18">
        <v>12888.68</v>
      </c>
      <c r="J9229" s="27">
        <v>28290.26</v>
      </c>
      <c r="K9229" s="18">
        <f t="shared" si="289"/>
        <v>0</v>
      </c>
      <c r="L9229" s="27">
        <v>14442.8</v>
      </c>
      <c r="M9229" s="36">
        <v>1554.12</v>
      </c>
      <c r="T9229" s="41">
        <v>0</v>
      </c>
      <c r="U9229" s="41">
        <v>0</v>
      </c>
      <c r="V9229" s="42" t="s">
        <v>113</v>
      </c>
      <c r="W9229" s="42">
        <v>0</v>
      </c>
      <c r="X9229" s="42">
        <v>0</v>
      </c>
    </row>
    <row r="9230" spans="1:24">
      <c r="A9230" s="27" t="s">
        <v>16849</v>
      </c>
      <c r="B9230" s="28" t="s">
        <v>12240</v>
      </c>
      <c r="C9230" s="27" t="s">
        <v>16850</v>
      </c>
      <c r="D9230" s="27" t="s">
        <v>230</v>
      </c>
      <c r="E9230" s="29">
        <v>41274</v>
      </c>
      <c r="F9230" s="27">
        <v>15</v>
      </c>
      <c r="G9230" s="18">
        <v>28290.26</v>
      </c>
      <c r="H9230" s="27">
        <f t="shared" si="288"/>
        <v>0</v>
      </c>
      <c r="I9230" s="18">
        <v>12888.67</v>
      </c>
      <c r="J9230" s="27">
        <v>28290.26</v>
      </c>
      <c r="K9230" s="18">
        <f t="shared" si="289"/>
        <v>0</v>
      </c>
      <c r="L9230" s="27">
        <v>14442.79</v>
      </c>
      <c r="M9230" s="36">
        <v>1554.12</v>
      </c>
      <c r="T9230" s="41">
        <v>0</v>
      </c>
      <c r="U9230" s="41">
        <v>0</v>
      </c>
      <c r="V9230" s="42" t="s">
        <v>113</v>
      </c>
      <c r="W9230" s="42">
        <v>0</v>
      </c>
      <c r="X9230" s="42">
        <v>0</v>
      </c>
    </row>
    <row r="9231" spans="1:24">
      <c r="A9231" s="27" t="s">
        <v>16851</v>
      </c>
      <c r="B9231" s="28" t="s">
        <v>12240</v>
      </c>
      <c r="C9231" s="27" t="s">
        <v>16852</v>
      </c>
      <c r="D9231" s="27" t="s">
        <v>230</v>
      </c>
      <c r="E9231" s="29">
        <v>41274</v>
      </c>
      <c r="F9231" s="27">
        <v>15</v>
      </c>
      <c r="G9231" s="18">
        <v>28290.26</v>
      </c>
      <c r="H9231" s="27">
        <f t="shared" si="288"/>
        <v>0</v>
      </c>
      <c r="I9231" s="18">
        <v>12888.68</v>
      </c>
      <c r="J9231" s="27">
        <v>28290.26</v>
      </c>
      <c r="K9231" s="18">
        <f t="shared" si="289"/>
        <v>0</v>
      </c>
      <c r="L9231" s="27">
        <v>14442.8</v>
      </c>
      <c r="M9231" s="36">
        <v>1554.12</v>
      </c>
      <c r="T9231" s="41">
        <v>0</v>
      </c>
      <c r="U9231" s="41">
        <v>0</v>
      </c>
      <c r="V9231" s="42" t="s">
        <v>113</v>
      </c>
      <c r="W9231" s="42">
        <v>0</v>
      </c>
      <c r="X9231" s="42">
        <v>0</v>
      </c>
    </row>
    <row r="9232" spans="1:24">
      <c r="A9232" s="27" t="s">
        <v>16853</v>
      </c>
      <c r="B9232" s="28" t="s">
        <v>12240</v>
      </c>
      <c r="C9232" s="27" t="s">
        <v>16854</v>
      </c>
      <c r="D9232" s="27" t="s">
        <v>230</v>
      </c>
      <c r="E9232" s="29">
        <v>41274</v>
      </c>
      <c r="F9232" s="27">
        <v>15</v>
      </c>
      <c r="G9232" s="18">
        <v>28290.26</v>
      </c>
      <c r="H9232" s="27">
        <f t="shared" si="288"/>
        <v>0</v>
      </c>
      <c r="I9232" s="18">
        <v>12888.67</v>
      </c>
      <c r="J9232" s="27">
        <v>28290.26</v>
      </c>
      <c r="K9232" s="18">
        <f t="shared" si="289"/>
        <v>0</v>
      </c>
      <c r="L9232" s="27">
        <v>14442.79</v>
      </c>
      <c r="M9232" s="36">
        <v>1554.12</v>
      </c>
      <c r="T9232" s="41">
        <v>0</v>
      </c>
      <c r="U9232" s="41">
        <v>0</v>
      </c>
      <c r="V9232" s="42" t="s">
        <v>113</v>
      </c>
      <c r="W9232" s="42">
        <v>0</v>
      </c>
      <c r="X9232" s="42">
        <v>0</v>
      </c>
    </row>
    <row r="9233" spans="1:24">
      <c r="A9233" s="27" t="s">
        <v>16855</v>
      </c>
      <c r="B9233" s="28" t="s">
        <v>12240</v>
      </c>
      <c r="C9233" s="27" t="s">
        <v>16856</v>
      </c>
      <c r="D9233" s="27" t="s">
        <v>230</v>
      </c>
      <c r="E9233" s="29">
        <v>41274</v>
      </c>
      <c r="F9233" s="27">
        <v>15</v>
      </c>
      <c r="G9233" s="18">
        <v>28290.26</v>
      </c>
      <c r="H9233" s="27">
        <f t="shared" si="288"/>
        <v>0</v>
      </c>
      <c r="I9233" s="18">
        <v>12888.68</v>
      </c>
      <c r="J9233" s="27">
        <v>28290.26</v>
      </c>
      <c r="K9233" s="18">
        <f t="shared" si="289"/>
        <v>0</v>
      </c>
      <c r="L9233" s="27">
        <v>14442.8</v>
      </c>
      <c r="M9233" s="36">
        <v>1554.12</v>
      </c>
      <c r="T9233" s="41">
        <v>0</v>
      </c>
      <c r="U9233" s="41">
        <v>0</v>
      </c>
      <c r="V9233" s="42" t="s">
        <v>113</v>
      </c>
      <c r="W9233" s="42">
        <v>0</v>
      </c>
      <c r="X9233" s="42">
        <v>0</v>
      </c>
    </row>
    <row r="9234" spans="1:24">
      <c r="A9234" s="27" t="s">
        <v>16857</v>
      </c>
      <c r="B9234" s="28" t="s">
        <v>12240</v>
      </c>
      <c r="C9234" s="27" t="s">
        <v>16858</v>
      </c>
      <c r="D9234" s="27" t="s">
        <v>230</v>
      </c>
      <c r="E9234" s="29">
        <v>41274</v>
      </c>
      <c r="F9234" s="27">
        <v>15</v>
      </c>
      <c r="G9234" s="18">
        <v>28290.26</v>
      </c>
      <c r="H9234" s="27">
        <f t="shared" si="288"/>
        <v>0</v>
      </c>
      <c r="I9234" s="18">
        <v>12888.67</v>
      </c>
      <c r="J9234" s="27">
        <v>28290.26</v>
      </c>
      <c r="K9234" s="18">
        <f t="shared" si="289"/>
        <v>0</v>
      </c>
      <c r="L9234" s="27">
        <v>14442.79</v>
      </c>
      <c r="M9234" s="36">
        <v>1554.12</v>
      </c>
      <c r="T9234" s="41">
        <v>0</v>
      </c>
      <c r="U9234" s="41">
        <v>0</v>
      </c>
      <c r="V9234" s="42" t="s">
        <v>113</v>
      </c>
      <c r="W9234" s="42">
        <v>0</v>
      </c>
      <c r="X9234" s="42">
        <v>0</v>
      </c>
    </row>
    <row r="9235" spans="1:24">
      <c r="A9235" s="27" t="s">
        <v>16859</v>
      </c>
      <c r="B9235" s="28" t="s">
        <v>12240</v>
      </c>
      <c r="C9235" s="27" t="s">
        <v>16860</v>
      </c>
      <c r="D9235" s="27" t="s">
        <v>230</v>
      </c>
      <c r="E9235" s="29">
        <v>41274</v>
      </c>
      <c r="F9235" s="27">
        <v>15</v>
      </c>
      <c r="G9235" s="18">
        <v>28290.26</v>
      </c>
      <c r="H9235" s="27">
        <f t="shared" si="288"/>
        <v>0</v>
      </c>
      <c r="I9235" s="18">
        <v>12888.68</v>
      </c>
      <c r="J9235" s="27">
        <v>28290.26</v>
      </c>
      <c r="K9235" s="18">
        <f t="shared" si="289"/>
        <v>0</v>
      </c>
      <c r="L9235" s="27">
        <v>14442.8</v>
      </c>
      <c r="M9235" s="36">
        <v>1554.12</v>
      </c>
      <c r="T9235" s="41">
        <v>0</v>
      </c>
      <c r="U9235" s="41">
        <v>0</v>
      </c>
      <c r="V9235" s="42" t="s">
        <v>113</v>
      </c>
      <c r="W9235" s="42">
        <v>0</v>
      </c>
      <c r="X9235" s="42">
        <v>0</v>
      </c>
    </row>
    <row r="9236" spans="1:24">
      <c r="A9236" s="27" t="s">
        <v>16861</v>
      </c>
      <c r="B9236" s="28" t="s">
        <v>12240</v>
      </c>
      <c r="C9236" s="27" t="s">
        <v>16862</v>
      </c>
      <c r="D9236" s="27" t="s">
        <v>230</v>
      </c>
      <c r="E9236" s="29">
        <v>41274</v>
      </c>
      <c r="F9236" s="27">
        <v>15</v>
      </c>
      <c r="G9236" s="18">
        <v>28290.240000000002</v>
      </c>
      <c r="H9236" s="27">
        <f t="shared" si="288"/>
        <v>0</v>
      </c>
      <c r="I9236" s="18">
        <v>12888.66</v>
      </c>
      <c r="J9236" s="27">
        <v>28290.240000000002</v>
      </c>
      <c r="K9236" s="18">
        <f t="shared" si="289"/>
        <v>0</v>
      </c>
      <c r="L9236" s="27">
        <v>14442.78</v>
      </c>
      <c r="M9236" s="36">
        <v>1554.12</v>
      </c>
      <c r="T9236" s="41">
        <v>0</v>
      </c>
      <c r="U9236" s="41">
        <v>0</v>
      </c>
      <c r="V9236" s="42" t="s">
        <v>113</v>
      </c>
      <c r="W9236" s="42">
        <v>0</v>
      </c>
      <c r="X9236" s="42">
        <v>0</v>
      </c>
    </row>
    <row r="9237" spans="1:24">
      <c r="A9237" s="27" t="s">
        <v>16863</v>
      </c>
      <c r="B9237" s="28" t="s">
        <v>12240</v>
      </c>
      <c r="C9237" s="27" t="s">
        <v>16864</v>
      </c>
      <c r="D9237" s="27" t="s">
        <v>230</v>
      </c>
      <c r="E9237" s="29">
        <v>41971</v>
      </c>
      <c r="F9237" s="27">
        <v>15</v>
      </c>
      <c r="G9237" s="18">
        <v>46136.82</v>
      </c>
      <c r="H9237" s="27">
        <f t="shared" si="288"/>
        <v>0</v>
      </c>
      <c r="I9237" s="18">
        <v>13994.86</v>
      </c>
      <c r="J9237" s="27">
        <v>46136.82</v>
      </c>
      <c r="K9237" s="18">
        <f t="shared" si="289"/>
        <v>0</v>
      </c>
      <c r="L9237" s="27">
        <v>16727.849999999999</v>
      </c>
      <c r="M9237" s="36">
        <v>2732.99</v>
      </c>
      <c r="T9237" s="41">
        <v>0</v>
      </c>
      <c r="U9237" s="41">
        <v>0</v>
      </c>
      <c r="V9237" s="42" t="s">
        <v>113</v>
      </c>
      <c r="W9237" s="42">
        <v>0</v>
      </c>
      <c r="X9237" s="42">
        <v>0</v>
      </c>
    </row>
    <row r="9238" spans="1:24">
      <c r="A9238" s="27" t="s">
        <v>16865</v>
      </c>
      <c r="B9238" s="28" t="s">
        <v>12240</v>
      </c>
      <c r="C9238" s="27" t="s">
        <v>16866</v>
      </c>
      <c r="D9238" s="27" t="s">
        <v>230</v>
      </c>
      <c r="E9238" s="29">
        <v>41971</v>
      </c>
      <c r="F9238" s="27">
        <v>15</v>
      </c>
      <c r="G9238" s="18">
        <v>42442.54</v>
      </c>
      <c r="H9238" s="27">
        <f t="shared" si="288"/>
        <v>0</v>
      </c>
      <c r="I9238" s="18">
        <v>12874.25</v>
      </c>
      <c r="J9238" s="27">
        <v>42442.54</v>
      </c>
      <c r="K9238" s="18">
        <f t="shared" si="289"/>
        <v>0</v>
      </c>
      <c r="L9238" s="27">
        <v>15388.4</v>
      </c>
      <c r="M9238" s="36">
        <v>2514.15</v>
      </c>
      <c r="T9238" s="41">
        <v>0</v>
      </c>
      <c r="U9238" s="41">
        <v>0</v>
      </c>
      <c r="V9238" s="42" t="s">
        <v>113</v>
      </c>
      <c r="W9238" s="42">
        <v>0</v>
      </c>
      <c r="X9238" s="42">
        <v>0</v>
      </c>
    </row>
    <row r="9239" spans="1:24">
      <c r="A9239" s="27" t="s">
        <v>16867</v>
      </c>
      <c r="B9239" s="28" t="s">
        <v>12240</v>
      </c>
      <c r="C9239" s="27" t="s">
        <v>16868</v>
      </c>
      <c r="D9239" s="27" t="s">
        <v>230</v>
      </c>
      <c r="E9239" s="29">
        <v>41971</v>
      </c>
      <c r="F9239" s="27">
        <v>15</v>
      </c>
      <c r="G9239" s="18">
        <v>37017.54</v>
      </c>
      <c r="H9239" s="27">
        <f t="shared" si="288"/>
        <v>0</v>
      </c>
      <c r="I9239" s="18">
        <v>11228.67</v>
      </c>
      <c r="J9239" s="27">
        <v>37017.54</v>
      </c>
      <c r="K9239" s="18">
        <f t="shared" si="289"/>
        <v>0</v>
      </c>
      <c r="L9239" s="27">
        <v>13421.46</v>
      </c>
      <c r="M9239" s="36">
        <v>2192.79</v>
      </c>
      <c r="T9239" s="41">
        <v>0</v>
      </c>
      <c r="U9239" s="41">
        <v>0</v>
      </c>
      <c r="V9239" s="42" t="s">
        <v>113</v>
      </c>
      <c r="W9239" s="42">
        <v>0</v>
      </c>
      <c r="X9239" s="42">
        <v>0</v>
      </c>
    </row>
    <row r="9240" spans="1:24">
      <c r="A9240" s="27" t="s">
        <v>16869</v>
      </c>
      <c r="B9240" s="28" t="s">
        <v>12240</v>
      </c>
      <c r="C9240" s="27" t="s">
        <v>16870</v>
      </c>
      <c r="D9240" s="27" t="s">
        <v>230</v>
      </c>
      <c r="E9240" s="29">
        <v>41971</v>
      </c>
      <c r="F9240" s="27">
        <v>15</v>
      </c>
      <c r="G9240" s="18">
        <v>46569.66</v>
      </c>
      <c r="H9240" s="27">
        <f t="shared" si="288"/>
        <v>0</v>
      </c>
      <c r="I9240" s="18">
        <v>14126.16</v>
      </c>
      <c r="J9240" s="27">
        <v>46569.66</v>
      </c>
      <c r="K9240" s="18">
        <f t="shared" si="289"/>
        <v>0</v>
      </c>
      <c r="L9240" s="27">
        <v>16884.79</v>
      </c>
      <c r="M9240" s="36">
        <v>2758.63</v>
      </c>
      <c r="T9240" s="41">
        <v>0</v>
      </c>
      <c r="U9240" s="41">
        <v>0</v>
      </c>
      <c r="V9240" s="42" t="s">
        <v>113</v>
      </c>
      <c r="W9240" s="42">
        <v>0</v>
      </c>
      <c r="X9240" s="42">
        <v>0</v>
      </c>
    </row>
    <row r="9241" spans="1:24">
      <c r="A9241" s="27" t="s">
        <v>16871</v>
      </c>
      <c r="B9241" s="28" t="s">
        <v>12240</v>
      </c>
      <c r="C9241" s="27" t="s">
        <v>16872</v>
      </c>
      <c r="D9241" s="27" t="s">
        <v>230</v>
      </c>
      <c r="E9241" s="29">
        <v>41971</v>
      </c>
      <c r="F9241" s="27">
        <v>15</v>
      </c>
      <c r="G9241" s="18">
        <v>87037.88</v>
      </c>
      <c r="H9241" s="27">
        <f t="shared" si="288"/>
        <v>0</v>
      </c>
      <c r="I9241" s="18">
        <v>26401.54</v>
      </c>
      <c r="J9241" s="27">
        <v>87037.88</v>
      </c>
      <c r="K9241" s="18">
        <f t="shared" si="289"/>
        <v>0</v>
      </c>
      <c r="L9241" s="27">
        <v>31557.37</v>
      </c>
      <c r="M9241" s="36">
        <v>5155.83</v>
      </c>
      <c r="T9241" s="41">
        <v>0</v>
      </c>
      <c r="U9241" s="41">
        <v>0</v>
      </c>
      <c r="V9241" s="42" t="s">
        <v>113</v>
      </c>
      <c r="W9241" s="42">
        <v>0</v>
      </c>
      <c r="X9241" s="42">
        <v>0</v>
      </c>
    </row>
    <row r="9242" spans="1:24">
      <c r="A9242" s="27" t="s">
        <v>16873</v>
      </c>
      <c r="B9242" s="28" t="s">
        <v>12240</v>
      </c>
      <c r="C9242" s="27" t="s">
        <v>16874</v>
      </c>
      <c r="D9242" s="27" t="s">
        <v>230</v>
      </c>
      <c r="E9242" s="29">
        <v>41971</v>
      </c>
      <c r="F9242" s="27">
        <v>15</v>
      </c>
      <c r="G9242" s="18">
        <v>87037.88</v>
      </c>
      <c r="H9242" s="27">
        <f t="shared" si="288"/>
        <v>0</v>
      </c>
      <c r="I9242" s="18">
        <v>26401.54</v>
      </c>
      <c r="J9242" s="27">
        <v>87037.88</v>
      </c>
      <c r="K9242" s="18">
        <f t="shared" si="289"/>
        <v>0</v>
      </c>
      <c r="L9242" s="27">
        <v>31557.37</v>
      </c>
      <c r="M9242" s="36">
        <v>5155.83</v>
      </c>
      <c r="T9242" s="41">
        <v>0</v>
      </c>
      <c r="U9242" s="41">
        <v>0</v>
      </c>
      <c r="V9242" s="42" t="s">
        <v>113</v>
      </c>
      <c r="W9242" s="42">
        <v>0</v>
      </c>
      <c r="X9242" s="42">
        <v>0</v>
      </c>
    </row>
    <row r="9243" spans="1:24">
      <c r="A9243" s="27" t="s">
        <v>16875</v>
      </c>
      <c r="B9243" s="28" t="s">
        <v>12240</v>
      </c>
      <c r="C9243" s="27" t="s">
        <v>16876</v>
      </c>
      <c r="D9243" s="27" t="s">
        <v>230</v>
      </c>
      <c r="E9243" s="29">
        <v>41971</v>
      </c>
      <c r="F9243" s="27">
        <v>15</v>
      </c>
      <c r="G9243" s="18">
        <v>87037.88</v>
      </c>
      <c r="H9243" s="27">
        <f t="shared" si="288"/>
        <v>0</v>
      </c>
      <c r="I9243" s="18">
        <v>26401.54</v>
      </c>
      <c r="J9243" s="27">
        <v>87037.88</v>
      </c>
      <c r="K9243" s="18">
        <f t="shared" si="289"/>
        <v>0</v>
      </c>
      <c r="L9243" s="27">
        <v>31557.37</v>
      </c>
      <c r="M9243" s="36">
        <v>5155.83</v>
      </c>
      <c r="T9243" s="41">
        <v>0</v>
      </c>
      <c r="U9243" s="41">
        <v>0</v>
      </c>
      <c r="V9243" s="42" t="s">
        <v>113</v>
      </c>
      <c r="W9243" s="42">
        <v>0</v>
      </c>
      <c r="X9243" s="42">
        <v>0</v>
      </c>
    </row>
    <row r="9244" spans="1:24">
      <c r="A9244" s="27" t="s">
        <v>16877</v>
      </c>
      <c r="B9244" s="28" t="s">
        <v>12240</v>
      </c>
      <c r="C9244" s="27" t="s">
        <v>16878</v>
      </c>
      <c r="D9244" s="27" t="s">
        <v>230</v>
      </c>
      <c r="E9244" s="29">
        <v>41971</v>
      </c>
      <c r="F9244" s="27">
        <v>15</v>
      </c>
      <c r="G9244" s="18">
        <v>87037.87</v>
      </c>
      <c r="H9244" s="27">
        <f t="shared" si="288"/>
        <v>0</v>
      </c>
      <c r="I9244" s="18">
        <v>26401.54</v>
      </c>
      <c r="J9244" s="27">
        <v>87037.87</v>
      </c>
      <c r="K9244" s="18">
        <f t="shared" si="289"/>
        <v>0</v>
      </c>
      <c r="L9244" s="27">
        <v>31557.37</v>
      </c>
      <c r="M9244" s="36">
        <v>5155.83</v>
      </c>
      <c r="T9244" s="41">
        <v>0</v>
      </c>
      <c r="U9244" s="41">
        <v>0</v>
      </c>
      <c r="V9244" s="42" t="s">
        <v>113</v>
      </c>
      <c r="W9244" s="42">
        <v>0</v>
      </c>
      <c r="X9244" s="42">
        <v>0</v>
      </c>
    </row>
    <row r="9245" spans="1:24">
      <c r="A9245" s="27" t="s">
        <v>16879</v>
      </c>
      <c r="B9245" s="28" t="s">
        <v>12240</v>
      </c>
      <c r="C9245" s="27" t="s">
        <v>16880</v>
      </c>
      <c r="D9245" s="27" t="s">
        <v>230</v>
      </c>
      <c r="E9245" s="29">
        <v>41971</v>
      </c>
      <c r="F9245" s="27">
        <v>15</v>
      </c>
      <c r="G9245" s="18">
        <v>45584.88</v>
      </c>
      <c r="H9245" s="27">
        <f t="shared" si="288"/>
        <v>0</v>
      </c>
      <c r="I9245" s="18">
        <v>13827.42</v>
      </c>
      <c r="J9245" s="27">
        <v>45584.88</v>
      </c>
      <c r="K9245" s="18">
        <f t="shared" si="289"/>
        <v>0</v>
      </c>
      <c r="L9245" s="27">
        <v>16527.71</v>
      </c>
      <c r="M9245" s="36">
        <v>2700.29</v>
      </c>
      <c r="T9245" s="41">
        <v>0</v>
      </c>
      <c r="U9245" s="41">
        <v>0</v>
      </c>
      <c r="V9245" s="42" t="s">
        <v>113</v>
      </c>
      <c r="W9245" s="42">
        <v>0</v>
      </c>
      <c r="X9245" s="42">
        <v>0</v>
      </c>
    </row>
    <row r="9246" spans="1:24">
      <c r="A9246" s="27" t="s">
        <v>16881</v>
      </c>
      <c r="B9246" s="28" t="s">
        <v>12240</v>
      </c>
      <c r="C9246" s="27" t="s">
        <v>16882</v>
      </c>
      <c r="D9246" s="27" t="s">
        <v>230</v>
      </c>
      <c r="E9246" s="29">
        <v>41971</v>
      </c>
      <c r="F9246" s="27">
        <v>15</v>
      </c>
      <c r="G9246" s="18">
        <v>46329.5</v>
      </c>
      <c r="H9246" s="27">
        <f t="shared" si="288"/>
        <v>0</v>
      </c>
      <c r="I9246" s="18">
        <v>14053.3</v>
      </c>
      <c r="J9246" s="27">
        <v>46329.5</v>
      </c>
      <c r="K9246" s="18">
        <f t="shared" si="289"/>
        <v>0</v>
      </c>
      <c r="L9246" s="27">
        <v>16797.7</v>
      </c>
      <c r="M9246" s="36">
        <v>2744.4</v>
      </c>
      <c r="T9246" s="41">
        <v>0</v>
      </c>
      <c r="U9246" s="41">
        <v>0</v>
      </c>
      <c r="V9246" s="42" t="s">
        <v>113</v>
      </c>
      <c r="W9246" s="42">
        <v>0</v>
      </c>
      <c r="X9246" s="42">
        <v>0</v>
      </c>
    </row>
    <row r="9247" spans="1:24">
      <c r="A9247" s="27" t="s">
        <v>16883</v>
      </c>
      <c r="B9247" s="28" t="s">
        <v>12240</v>
      </c>
      <c r="C9247" s="27" t="s">
        <v>16884</v>
      </c>
      <c r="D9247" s="27" t="s">
        <v>230</v>
      </c>
      <c r="E9247" s="29">
        <v>41971</v>
      </c>
      <c r="F9247" s="27">
        <v>15</v>
      </c>
      <c r="G9247" s="18">
        <v>49097.22</v>
      </c>
      <c r="H9247" s="27">
        <f t="shared" si="288"/>
        <v>0</v>
      </c>
      <c r="I9247" s="18">
        <v>14892.84</v>
      </c>
      <c r="J9247" s="27">
        <v>49097.22</v>
      </c>
      <c r="K9247" s="18">
        <f t="shared" si="289"/>
        <v>0</v>
      </c>
      <c r="L9247" s="27">
        <v>17801.189999999999</v>
      </c>
      <c r="M9247" s="36">
        <v>2908.35</v>
      </c>
      <c r="T9247" s="41">
        <v>0</v>
      </c>
      <c r="U9247" s="41">
        <v>0</v>
      </c>
      <c r="V9247" s="42" t="s">
        <v>113</v>
      </c>
      <c r="W9247" s="42">
        <v>0</v>
      </c>
      <c r="X9247" s="42">
        <v>0</v>
      </c>
    </row>
    <row r="9248" spans="1:24">
      <c r="A9248" s="27" t="s">
        <v>16885</v>
      </c>
      <c r="B9248" s="28" t="s">
        <v>12240</v>
      </c>
      <c r="C9248" s="27" t="s">
        <v>16886</v>
      </c>
      <c r="D9248" s="27" t="s">
        <v>230</v>
      </c>
      <c r="E9248" s="29">
        <v>41971</v>
      </c>
      <c r="F9248" s="27">
        <v>15</v>
      </c>
      <c r="G9248" s="18">
        <v>46213.59</v>
      </c>
      <c r="H9248" s="27">
        <f t="shared" si="288"/>
        <v>0</v>
      </c>
      <c r="I9248" s="18">
        <v>14018.15</v>
      </c>
      <c r="J9248" s="27">
        <v>46213.59</v>
      </c>
      <c r="K9248" s="18">
        <f t="shared" si="289"/>
        <v>0</v>
      </c>
      <c r="L9248" s="27">
        <v>16755.689999999999</v>
      </c>
      <c r="M9248" s="36">
        <v>2737.54</v>
      </c>
      <c r="T9248" s="41">
        <v>0</v>
      </c>
      <c r="U9248" s="41">
        <v>0</v>
      </c>
      <c r="V9248" s="42" t="s">
        <v>113</v>
      </c>
      <c r="W9248" s="42">
        <v>0</v>
      </c>
      <c r="X9248" s="42">
        <v>0</v>
      </c>
    </row>
    <row r="9249" spans="1:24">
      <c r="A9249" s="27" t="s">
        <v>16887</v>
      </c>
      <c r="B9249" s="28" t="s">
        <v>12240</v>
      </c>
      <c r="C9249" s="27" t="s">
        <v>16888</v>
      </c>
      <c r="D9249" s="27" t="s">
        <v>230</v>
      </c>
      <c r="E9249" s="29">
        <v>41724</v>
      </c>
      <c r="F9249" s="27">
        <v>15</v>
      </c>
      <c r="G9249" s="18">
        <v>264531.92</v>
      </c>
      <c r="H9249" s="27">
        <f t="shared" si="288"/>
        <v>0</v>
      </c>
      <c r="I9249" s="18">
        <v>93890.46</v>
      </c>
      <c r="J9249" s="27">
        <v>264531.92</v>
      </c>
      <c r="K9249" s="18">
        <f t="shared" si="289"/>
        <v>0</v>
      </c>
      <c r="L9249" s="27">
        <v>109248.01</v>
      </c>
      <c r="M9249" s="36">
        <v>15357.55</v>
      </c>
      <c r="T9249" s="41">
        <v>0</v>
      </c>
      <c r="U9249" s="41">
        <v>0</v>
      </c>
      <c r="V9249" s="42" t="s">
        <v>113</v>
      </c>
      <c r="W9249" s="42">
        <v>0</v>
      </c>
      <c r="X9249" s="42">
        <v>0</v>
      </c>
    </row>
    <row r="9250" spans="1:24">
      <c r="A9250" s="27" t="s">
        <v>16889</v>
      </c>
      <c r="B9250" s="28" t="s">
        <v>12240</v>
      </c>
      <c r="C9250" s="27" t="s">
        <v>16890</v>
      </c>
      <c r="D9250" s="27" t="s">
        <v>230</v>
      </c>
      <c r="E9250" s="29">
        <v>41724</v>
      </c>
      <c r="F9250" s="27">
        <v>15</v>
      </c>
      <c r="G9250" s="18">
        <v>46534.8</v>
      </c>
      <c r="H9250" s="27">
        <f t="shared" si="288"/>
        <v>0</v>
      </c>
      <c r="I9250" s="18">
        <v>16516.62</v>
      </c>
      <c r="J9250" s="27">
        <v>46534.8</v>
      </c>
      <c r="K9250" s="18">
        <f t="shared" si="289"/>
        <v>0</v>
      </c>
      <c r="L9250" s="27">
        <v>19218.22</v>
      </c>
      <c r="M9250" s="36">
        <v>2701.6</v>
      </c>
      <c r="T9250" s="41">
        <v>0</v>
      </c>
      <c r="U9250" s="41">
        <v>0</v>
      </c>
      <c r="V9250" s="42" t="s">
        <v>113</v>
      </c>
      <c r="W9250" s="42">
        <v>0</v>
      </c>
      <c r="X9250" s="42">
        <v>0</v>
      </c>
    </row>
    <row r="9251" spans="1:24">
      <c r="A9251" s="27" t="s">
        <v>16891</v>
      </c>
      <c r="B9251" s="28" t="s">
        <v>12240</v>
      </c>
      <c r="C9251" s="27" t="s">
        <v>16892</v>
      </c>
      <c r="D9251" s="27" t="s">
        <v>230</v>
      </c>
      <c r="E9251" s="29">
        <v>41724</v>
      </c>
      <c r="F9251" s="27">
        <v>15</v>
      </c>
      <c r="G9251" s="18">
        <v>53833.9</v>
      </c>
      <c r="H9251" s="27">
        <f t="shared" si="288"/>
        <v>0</v>
      </c>
      <c r="I9251" s="18">
        <v>19107.3</v>
      </c>
      <c r="J9251" s="27">
        <v>53833.9</v>
      </c>
      <c r="K9251" s="18">
        <f t="shared" si="289"/>
        <v>0</v>
      </c>
      <c r="L9251" s="27">
        <v>22232.66</v>
      </c>
      <c r="M9251" s="36">
        <v>3125.36</v>
      </c>
      <c r="T9251" s="41">
        <v>0</v>
      </c>
      <c r="U9251" s="41">
        <v>0</v>
      </c>
      <c r="V9251" s="42" t="s">
        <v>113</v>
      </c>
      <c r="W9251" s="42">
        <v>0</v>
      </c>
      <c r="X9251" s="42">
        <v>0</v>
      </c>
    </row>
    <row r="9252" spans="1:24">
      <c r="A9252" s="27" t="s">
        <v>16893</v>
      </c>
      <c r="B9252" s="28" t="s">
        <v>12240</v>
      </c>
      <c r="C9252" s="27" t="s">
        <v>16894</v>
      </c>
      <c r="D9252" s="27" t="s">
        <v>230</v>
      </c>
      <c r="E9252" s="29">
        <v>41724</v>
      </c>
      <c r="F9252" s="27">
        <v>15</v>
      </c>
      <c r="G9252" s="18">
        <v>38106.839999999997</v>
      </c>
      <c r="H9252" s="27">
        <f t="shared" si="288"/>
        <v>0</v>
      </c>
      <c r="I9252" s="18">
        <v>13525.27</v>
      </c>
      <c r="J9252" s="27">
        <v>38106.839999999997</v>
      </c>
      <c r="K9252" s="18">
        <f t="shared" si="289"/>
        <v>0</v>
      </c>
      <c r="L9252" s="27">
        <v>15737.59</v>
      </c>
      <c r="M9252" s="36">
        <v>2212.3200000000002</v>
      </c>
      <c r="T9252" s="41">
        <v>0</v>
      </c>
      <c r="U9252" s="41">
        <v>0</v>
      </c>
      <c r="V9252" s="42" t="s">
        <v>113</v>
      </c>
      <c r="W9252" s="42">
        <v>0</v>
      </c>
      <c r="X9252" s="42">
        <v>0</v>
      </c>
    </row>
    <row r="9253" spans="1:24">
      <c r="A9253" s="27" t="s">
        <v>16895</v>
      </c>
      <c r="B9253" s="28" t="s">
        <v>12240</v>
      </c>
      <c r="C9253" s="27" t="s">
        <v>16896</v>
      </c>
      <c r="D9253" s="27" t="s">
        <v>230</v>
      </c>
      <c r="E9253" s="29">
        <v>41724</v>
      </c>
      <c r="F9253" s="27">
        <v>15</v>
      </c>
      <c r="G9253" s="18">
        <v>46534.8</v>
      </c>
      <c r="H9253" s="27">
        <f t="shared" si="288"/>
        <v>0</v>
      </c>
      <c r="I9253" s="18">
        <v>16516.62</v>
      </c>
      <c r="J9253" s="27">
        <v>46534.8</v>
      </c>
      <c r="K9253" s="18">
        <f t="shared" si="289"/>
        <v>0</v>
      </c>
      <c r="L9253" s="27">
        <v>19218.22</v>
      </c>
      <c r="M9253" s="36">
        <v>2701.6</v>
      </c>
      <c r="T9253" s="41">
        <v>0</v>
      </c>
      <c r="U9253" s="41">
        <v>0</v>
      </c>
      <c r="V9253" s="42" t="s">
        <v>113</v>
      </c>
      <c r="W9253" s="42">
        <v>0</v>
      </c>
      <c r="X9253" s="42">
        <v>0</v>
      </c>
    </row>
    <row r="9254" spans="1:24">
      <c r="A9254" s="27" t="s">
        <v>16897</v>
      </c>
      <c r="B9254" s="28" t="s">
        <v>12240</v>
      </c>
      <c r="C9254" s="27" t="s">
        <v>16898</v>
      </c>
      <c r="D9254" s="27" t="s">
        <v>230</v>
      </c>
      <c r="E9254" s="29">
        <v>41724</v>
      </c>
      <c r="F9254" s="27">
        <v>15</v>
      </c>
      <c r="G9254" s="18">
        <v>46534.8</v>
      </c>
      <c r="H9254" s="27">
        <f t="shared" si="288"/>
        <v>0</v>
      </c>
      <c r="I9254" s="18">
        <v>16516.62</v>
      </c>
      <c r="J9254" s="27">
        <v>46534.8</v>
      </c>
      <c r="K9254" s="18">
        <f t="shared" si="289"/>
        <v>0</v>
      </c>
      <c r="L9254" s="27">
        <v>19218.22</v>
      </c>
      <c r="M9254" s="36">
        <v>2701.6</v>
      </c>
      <c r="T9254" s="41">
        <v>0</v>
      </c>
      <c r="U9254" s="41">
        <v>0</v>
      </c>
      <c r="V9254" s="42" t="s">
        <v>113</v>
      </c>
      <c r="W9254" s="42">
        <v>0</v>
      </c>
      <c r="X9254" s="42">
        <v>0</v>
      </c>
    </row>
    <row r="9255" spans="1:24">
      <c r="A9255" s="27" t="s">
        <v>16899</v>
      </c>
      <c r="B9255" s="28" t="s">
        <v>12240</v>
      </c>
      <c r="C9255" s="27" t="s">
        <v>16900</v>
      </c>
      <c r="D9255" s="27" t="s">
        <v>230</v>
      </c>
      <c r="E9255" s="29">
        <v>41724</v>
      </c>
      <c r="F9255" s="27">
        <v>15</v>
      </c>
      <c r="G9255" s="18">
        <v>46534.8</v>
      </c>
      <c r="H9255" s="27">
        <f t="shared" si="288"/>
        <v>0</v>
      </c>
      <c r="I9255" s="18">
        <v>16516.62</v>
      </c>
      <c r="J9255" s="27">
        <v>46534.8</v>
      </c>
      <c r="K9255" s="18">
        <f t="shared" si="289"/>
        <v>0</v>
      </c>
      <c r="L9255" s="27">
        <v>19218.22</v>
      </c>
      <c r="M9255" s="36">
        <v>2701.6</v>
      </c>
      <c r="T9255" s="41">
        <v>0</v>
      </c>
      <c r="U9255" s="41">
        <v>0</v>
      </c>
      <c r="V9255" s="42" t="s">
        <v>113</v>
      </c>
      <c r="W9255" s="42">
        <v>0</v>
      </c>
      <c r="X9255" s="42">
        <v>0</v>
      </c>
    </row>
    <row r="9256" spans="1:24">
      <c r="A9256" s="27" t="s">
        <v>16901</v>
      </c>
      <c r="B9256" s="28" t="s">
        <v>12240</v>
      </c>
      <c r="C9256" s="27" t="s">
        <v>16902</v>
      </c>
      <c r="D9256" s="27" t="s">
        <v>230</v>
      </c>
      <c r="E9256" s="29">
        <v>41724</v>
      </c>
      <c r="F9256" s="27">
        <v>15</v>
      </c>
      <c r="G9256" s="18">
        <v>38106.839999999997</v>
      </c>
      <c r="H9256" s="27">
        <f t="shared" si="288"/>
        <v>0</v>
      </c>
      <c r="I9256" s="18">
        <v>13525.27</v>
      </c>
      <c r="J9256" s="27">
        <v>38106.839999999997</v>
      </c>
      <c r="K9256" s="18">
        <f t="shared" si="289"/>
        <v>0</v>
      </c>
      <c r="L9256" s="27">
        <v>15737.59</v>
      </c>
      <c r="M9256" s="36">
        <v>2212.3200000000002</v>
      </c>
      <c r="T9256" s="41">
        <v>0</v>
      </c>
      <c r="U9256" s="41">
        <v>0</v>
      </c>
      <c r="V9256" s="42" t="s">
        <v>113</v>
      </c>
      <c r="W9256" s="42">
        <v>0</v>
      </c>
      <c r="X9256" s="42">
        <v>0</v>
      </c>
    </row>
    <row r="9257" spans="1:24">
      <c r="A9257" s="27" t="s">
        <v>16903</v>
      </c>
      <c r="B9257" s="28" t="s">
        <v>12240</v>
      </c>
      <c r="C9257" s="27" t="s">
        <v>16904</v>
      </c>
      <c r="D9257" s="27" t="s">
        <v>230</v>
      </c>
      <c r="E9257" s="29">
        <v>41724</v>
      </c>
      <c r="F9257" s="27">
        <v>15</v>
      </c>
      <c r="G9257" s="18">
        <v>46534.8</v>
      </c>
      <c r="H9257" s="27">
        <f t="shared" si="288"/>
        <v>0</v>
      </c>
      <c r="I9257" s="18">
        <v>16516.62</v>
      </c>
      <c r="J9257" s="27">
        <v>46534.8</v>
      </c>
      <c r="K9257" s="18">
        <f t="shared" si="289"/>
        <v>0</v>
      </c>
      <c r="L9257" s="27">
        <v>19218.22</v>
      </c>
      <c r="M9257" s="36">
        <v>2701.6</v>
      </c>
      <c r="T9257" s="41">
        <v>0</v>
      </c>
      <c r="U9257" s="41">
        <v>0</v>
      </c>
      <c r="V9257" s="42" t="s">
        <v>113</v>
      </c>
      <c r="W9257" s="42">
        <v>0</v>
      </c>
      <c r="X9257" s="42">
        <v>0</v>
      </c>
    </row>
    <row r="9258" spans="1:24">
      <c r="A9258" s="27" t="s">
        <v>16905</v>
      </c>
      <c r="B9258" s="28" t="s">
        <v>12240</v>
      </c>
      <c r="C9258" s="27" t="s">
        <v>16906</v>
      </c>
      <c r="D9258" s="27" t="s">
        <v>230</v>
      </c>
      <c r="E9258" s="29">
        <v>41724</v>
      </c>
      <c r="F9258" s="27">
        <v>15</v>
      </c>
      <c r="G9258" s="18">
        <v>39786.07</v>
      </c>
      <c r="H9258" s="27">
        <f t="shared" si="288"/>
        <v>0</v>
      </c>
      <c r="I9258" s="18">
        <v>14121.29</v>
      </c>
      <c r="J9258" s="27">
        <v>39786.07</v>
      </c>
      <c r="K9258" s="18">
        <f t="shared" si="289"/>
        <v>0</v>
      </c>
      <c r="L9258" s="27">
        <v>16431.09</v>
      </c>
      <c r="M9258" s="36">
        <v>2309.8000000000002</v>
      </c>
      <c r="T9258" s="41">
        <v>0</v>
      </c>
      <c r="U9258" s="41">
        <v>0</v>
      </c>
      <c r="V9258" s="42" t="s">
        <v>113</v>
      </c>
      <c r="W9258" s="42">
        <v>0</v>
      </c>
      <c r="X9258" s="42">
        <v>0</v>
      </c>
    </row>
    <row r="9259" spans="1:24">
      <c r="A9259" s="27" t="s">
        <v>16907</v>
      </c>
      <c r="B9259" s="28" t="s">
        <v>12240</v>
      </c>
      <c r="C9259" s="27" t="s">
        <v>16908</v>
      </c>
      <c r="D9259" s="27" t="s">
        <v>230</v>
      </c>
      <c r="E9259" s="29">
        <v>41724</v>
      </c>
      <c r="F9259" s="27">
        <v>15</v>
      </c>
      <c r="G9259" s="18">
        <v>47145.58</v>
      </c>
      <c r="H9259" s="27">
        <f t="shared" si="288"/>
        <v>0</v>
      </c>
      <c r="I9259" s="18">
        <v>16733.41</v>
      </c>
      <c r="J9259" s="27">
        <v>47145.58</v>
      </c>
      <c r="K9259" s="18">
        <f t="shared" si="289"/>
        <v>0</v>
      </c>
      <c r="L9259" s="27">
        <v>19470.47</v>
      </c>
      <c r="M9259" s="36">
        <v>2737.06</v>
      </c>
      <c r="T9259" s="41">
        <v>0</v>
      </c>
      <c r="U9259" s="41">
        <v>0</v>
      </c>
      <c r="V9259" s="42" t="s">
        <v>113</v>
      </c>
      <c r="W9259" s="42">
        <v>0</v>
      </c>
      <c r="X9259" s="42">
        <v>0</v>
      </c>
    </row>
    <row r="9260" spans="1:24">
      <c r="A9260" s="27" t="s">
        <v>16909</v>
      </c>
      <c r="B9260" s="28" t="s">
        <v>12240</v>
      </c>
      <c r="C9260" s="27" t="s">
        <v>16910</v>
      </c>
      <c r="D9260" s="27" t="s">
        <v>230</v>
      </c>
      <c r="E9260" s="29">
        <v>41724</v>
      </c>
      <c r="F9260" s="27">
        <v>15</v>
      </c>
      <c r="G9260" s="18">
        <v>43726.77</v>
      </c>
      <c r="H9260" s="27">
        <f t="shared" si="288"/>
        <v>0</v>
      </c>
      <c r="I9260" s="18">
        <v>15519.96</v>
      </c>
      <c r="J9260" s="27">
        <v>43726.77</v>
      </c>
      <c r="K9260" s="18">
        <f t="shared" si="289"/>
        <v>0</v>
      </c>
      <c r="L9260" s="27">
        <v>18058.54</v>
      </c>
      <c r="M9260" s="36">
        <v>2538.58</v>
      </c>
      <c r="T9260" s="41">
        <v>0</v>
      </c>
      <c r="U9260" s="41">
        <v>0</v>
      </c>
      <c r="V9260" s="42" t="s">
        <v>113</v>
      </c>
      <c r="W9260" s="42">
        <v>0</v>
      </c>
      <c r="X9260" s="42">
        <v>0</v>
      </c>
    </row>
    <row r="9261" spans="1:24">
      <c r="A9261" s="27" t="s">
        <v>16911</v>
      </c>
      <c r="B9261" s="28" t="s">
        <v>12240</v>
      </c>
      <c r="C9261" s="27" t="s">
        <v>16912</v>
      </c>
      <c r="D9261" s="27" t="s">
        <v>230</v>
      </c>
      <c r="E9261" s="29">
        <v>41724</v>
      </c>
      <c r="F9261" s="27">
        <v>15</v>
      </c>
      <c r="G9261" s="18">
        <v>54355.26</v>
      </c>
      <c r="H9261" s="27">
        <f t="shared" si="288"/>
        <v>0</v>
      </c>
      <c r="I9261" s="18">
        <v>19292.34</v>
      </c>
      <c r="J9261" s="27">
        <v>54355.26</v>
      </c>
      <c r="K9261" s="18">
        <f t="shared" si="289"/>
        <v>0</v>
      </c>
      <c r="L9261" s="27">
        <v>22447.97</v>
      </c>
      <c r="M9261" s="36">
        <v>3155.63</v>
      </c>
      <c r="T9261" s="41">
        <v>0</v>
      </c>
      <c r="U9261" s="41">
        <v>0</v>
      </c>
      <c r="V9261" s="42" t="s">
        <v>113</v>
      </c>
      <c r="W9261" s="42">
        <v>0</v>
      </c>
      <c r="X9261" s="42">
        <v>0</v>
      </c>
    </row>
    <row r="9262" spans="1:24">
      <c r="A9262" s="27" t="s">
        <v>16913</v>
      </c>
      <c r="B9262" s="28" t="s">
        <v>12240</v>
      </c>
      <c r="C9262" s="27" t="s">
        <v>16914</v>
      </c>
      <c r="D9262" s="27" t="s">
        <v>230</v>
      </c>
      <c r="E9262" s="29">
        <v>41724</v>
      </c>
      <c r="F9262" s="27">
        <v>15</v>
      </c>
      <c r="G9262" s="18">
        <v>54355.26</v>
      </c>
      <c r="H9262" s="27">
        <f t="shared" si="288"/>
        <v>0</v>
      </c>
      <c r="I9262" s="18">
        <v>19292.34</v>
      </c>
      <c r="J9262" s="27">
        <v>54355.26</v>
      </c>
      <c r="K9262" s="18">
        <f t="shared" si="289"/>
        <v>0</v>
      </c>
      <c r="L9262" s="27">
        <v>22447.97</v>
      </c>
      <c r="M9262" s="36">
        <v>3155.63</v>
      </c>
      <c r="T9262" s="41">
        <v>0</v>
      </c>
      <c r="U9262" s="41">
        <v>0</v>
      </c>
      <c r="V9262" s="42" t="s">
        <v>113</v>
      </c>
      <c r="W9262" s="42">
        <v>0</v>
      </c>
      <c r="X9262" s="42">
        <v>0</v>
      </c>
    </row>
    <row r="9263" spans="1:24">
      <c r="A9263" s="27" t="s">
        <v>16915</v>
      </c>
      <c r="B9263" s="28" t="s">
        <v>12240</v>
      </c>
      <c r="C9263" s="27" t="s">
        <v>16916</v>
      </c>
      <c r="D9263" s="27" t="s">
        <v>230</v>
      </c>
      <c r="E9263" s="29">
        <v>41724</v>
      </c>
      <c r="F9263" s="27">
        <v>15</v>
      </c>
      <c r="G9263" s="18">
        <v>54355.26</v>
      </c>
      <c r="H9263" s="27">
        <f t="shared" si="288"/>
        <v>0</v>
      </c>
      <c r="I9263" s="18">
        <v>19292.34</v>
      </c>
      <c r="J9263" s="27">
        <v>54355.26</v>
      </c>
      <c r="K9263" s="18">
        <f t="shared" si="289"/>
        <v>0</v>
      </c>
      <c r="L9263" s="27">
        <v>22447.97</v>
      </c>
      <c r="M9263" s="36">
        <v>3155.63</v>
      </c>
      <c r="T9263" s="41">
        <v>0</v>
      </c>
      <c r="U9263" s="41">
        <v>0</v>
      </c>
      <c r="V9263" s="42" t="s">
        <v>113</v>
      </c>
      <c r="W9263" s="42">
        <v>0</v>
      </c>
      <c r="X9263" s="42">
        <v>0</v>
      </c>
    </row>
    <row r="9264" spans="1:24">
      <c r="A9264" s="27" t="s">
        <v>16917</v>
      </c>
      <c r="B9264" s="28" t="s">
        <v>12240</v>
      </c>
      <c r="C9264" s="27" t="s">
        <v>16918</v>
      </c>
      <c r="D9264" s="27" t="s">
        <v>230</v>
      </c>
      <c r="E9264" s="29">
        <v>41724</v>
      </c>
      <c r="F9264" s="27">
        <v>15</v>
      </c>
      <c r="G9264" s="18">
        <v>67311.39</v>
      </c>
      <c r="H9264" s="27">
        <f t="shared" si="288"/>
        <v>0</v>
      </c>
      <c r="I9264" s="18">
        <v>23890.87</v>
      </c>
      <c r="J9264" s="27">
        <v>67311.39</v>
      </c>
      <c r="K9264" s="18">
        <f t="shared" si="289"/>
        <v>0</v>
      </c>
      <c r="L9264" s="27">
        <v>27798.67</v>
      </c>
      <c r="M9264" s="36">
        <v>3907.8</v>
      </c>
      <c r="T9264" s="41">
        <v>0</v>
      </c>
      <c r="U9264" s="41">
        <v>0</v>
      </c>
      <c r="V9264" s="42" t="s">
        <v>113</v>
      </c>
      <c r="W9264" s="42">
        <v>0</v>
      </c>
      <c r="X9264" s="42">
        <v>0</v>
      </c>
    </row>
    <row r="9265" spans="1:24">
      <c r="A9265" s="27" t="s">
        <v>16919</v>
      </c>
      <c r="B9265" s="28" t="s">
        <v>12240</v>
      </c>
      <c r="C9265" s="27" t="s">
        <v>16920</v>
      </c>
      <c r="D9265" s="27" t="s">
        <v>230</v>
      </c>
      <c r="E9265" s="29">
        <v>41724</v>
      </c>
      <c r="F9265" s="27">
        <v>15</v>
      </c>
      <c r="G9265" s="18">
        <v>67311.399999999994</v>
      </c>
      <c r="H9265" s="27">
        <f t="shared" si="288"/>
        <v>0</v>
      </c>
      <c r="I9265" s="18">
        <v>23890.87</v>
      </c>
      <c r="J9265" s="27">
        <v>67311.399999999994</v>
      </c>
      <c r="K9265" s="18">
        <f t="shared" si="289"/>
        <v>0</v>
      </c>
      <c r="L9265" s="27">
        <v>27798.67</v>
      </c>
      <c r="M9265" s="36">
        <v>3907.8</v>
      </c>
      <c r="T9265" s="41">
        <v>0</v>
      </c>
      <c r="U9265" s="41">
        <v>0</v>
      </c>
      <c r="V9265" s="42" t="s">
        <v>113</v>
      </c>
      <c r="W9265" s="42">
        <v>0</v>
      </c>
      <c r="X9265" s="42">
        <v>0</v>
      </c>
    </row>
    <row r="9266" spans="1:24">
      <c r="A9266" s="27" t="s">
        <v>16921</v>
      </c>
      <c r="B9266" s="28" t="s">
        <v>12240</v>
      </c>
      <c r="C9266" s="27" t="s">
        <v>16922</v>
      </c>
      <c r="D9266" s="27" t="s">
        <v>230</v>
      </c>
      <c r="E9266" s="29">
        <v>41724</v>
      </c>
      <c r="F9266" s="27">
        <v>15</v>
      </c>
      <c r="G9266" s="18">
        <v>67311.399999999994</v>
      </c>
      <c r="H9266" s="27">
        <f t="shared" si="288"/>
        <v>0</v>
      </c>
      <c r="I9266" s="18">
        <v>23890.87</v>
      </c>
      <c r="J9266" s="27">
        <v>67311.399999999994</v>
      </c>
      <c r="K9266" s="18">
        <f t="shared" si="289"/>
        <v>0</v>
      </c>
      <c r="L9266" s="27">
        <v>27798.67</v>
      </c>
      <c r="M9266" s="36">
        <v>3907.8</v>
      </c>
      <c r="T9266" s="41">
        <v>0</v>
      </c>
      <c r="U9266" s="41">
        <v>0</v>
      </c>
      <c r="V9266" s="42" t="s">
        <v>113</v>
      </c>
      <c r="W9266" s="42">
        <v>0</v>
      </c>
      <c r="X9266" s="42">
        <v>0</v>
      </c>
    </row>
    <row r="9267" spans="1:24">
      <c r="A9267" s="27" t="s">
        <v>16923</v>
      </c>
      <c r="B9267" s="28" t="s">
        <v>12240</v>
      </c>
      <c r="C9267" s="27" t="s">
        <v>16924</v>
      </c>
      <c r="D9267" s="27" t="s">
        <v>230</v>
      </c>
      <c r="E9267" s="29">
        <v>41724</v>
      </c>
      <c r="F9267" s="27">
        <v>15</v>
      </c>
      <c r="G9267" s="18">
        <v>106275.8</v>
      </c>
      <c r="H9267" s="27">
        <f t="shared" si="288"/>
        <v>0</v>
      </c>
      <c r="I9267" s="18">
        <v>26412.560000000001</v>
      </c>
      <c r="J9267" s="27">
        <v>106275.8</v>
      </c>
      <c r="K9267" s="18">
        <f t="shared" si="289"/>
        <v>0</v>
      </c>
      <c r="L9267" s="27">
        <v>33685.68</v>
      </c>
      <c r="M9267" s="36">
        <v>7273.12</v>
      </c>
      <c r="T9267" s="41">
        <v>0</v>
      </c>
      <c r="U9267" s="41">
        <v>0</v>
      </c>
      <c r="V9267" s="42" t="s">
        <v>113</v>
      </c>
      <c r="W9267" s="42">
        <v>0</v>
      </c>
      <c r="X9267" s="42">
        <v>0</v>
      </c>
    </row>
    <row r="9268" spans="1:24">
      <c r="A9268" s="27" t="s">
        <v>16925</v>
      </c>
      <c r="B9268" s="28" t="s">
        <v>12240</v>
      </c>
      <c r="C9268" s="27" t="s">
        <v>16926</v>
      </c>
      <c r="D9268" s="27" t="s">
        <v>230</v>
      </c>
      <c r="E9268" s="29">
        <v>41724</v>
      </c>
      <c r="F9268" s="27">
        <v>15</v>
      </c>
      <c r="G9268" s="18">
        <v>67311.399999999994</v>
      </c>
      <c r="H9268" s="27">
        <f t="shared" si="288"/>
        <v>0</v>
      </c>
      <c r="I9268" s="18">
        <v>23890.87</v>
      </c>
      <c r="J9268" s="27">
        <v>67311.399999999994</v>
      </c>
      <c r="K9268" s="18">
        <f t="shared" si="289"/>
        <v>0</v>
      </c>
      <c r="L9268" s="27">
        <v>27798.67</v>
      </c>
      <c r="M9268" s="36">
        <v>3907.8</v>
      </c>
      <c r="T9268" s="41">
        <v>0</v>
      </c>
      <c r="U9268" s="41">
        <v>0</v>
      </c>
      <c r="V9268" s="42" t="s">
        <v>113</v>
      </c>
      <c r="W9268" s="42">
        <v>0</v>
      </c>
      <c r="X9268" s="42">
        <v>0</v>
      </c>
    </row>
    <row r="9269" spans="1:24">
      <c r="A9269" s="27" t="s">
        <v>16927</v>
      </c>
      <c r="B9269" s="28" t="s">
        <v>12240</v>
      </c>
      <c r="C9269" s="27" t="s">
        <v>16928</v>
      </c>
      <c r="D9269" s="27" t="s">
        <v>230</v>
      </c>
      <c r="E9269" s="29">
        <v>41789</v>
      </c>
      <c r="F9269" s="27">
        <v>15</v>
      </c>
      <c r="G9269" s="18">
        <v>8254.67</v>
      </c>
      <c r="H9269" s="27">
        <f t="shared" si="288"/>
        <v>0</v>
      </c>
      <c r="I9269" s="18">
        <v>2823.46</v>
      </c>
      <c r="J9269" s="27">
        <v>8254.67</v>
      </c>
      <c r="K9269" s="18">
        <f t="shared" si="289"/>
        <v>0</v>
      </c>
      <c r="L9269" s="27">
        <v>3305.23</v>
      </c>
      <c r="M9269" s="36">
        <v>481.77</v>
      </c>
      <c r="T9269" s="41">
        <v>0</v>
      </c>
      <c r="U9269" s="41">
        <v>0</v>
      </c>
      <c r="V9269" s="42" t="s">
        <v>113</v>
      </c>
      <c r="W9269" s="42">
        <v>0</v>
      </c>
      <c r="X9269" s="42">
        <v>0</v>
      </c>
    </row>
    <row r="9270" spans="1:24">
      <c r="A9270" s="27" t="s">
        <v>16929</v>
      </c>
      <c r="B9270" s="28" t="s">
        <v>12240</v>
      </c>
      <c r="C9270" s="27" t="s">
        <v>16930</v>
      </c>
      <c r="D9270" s="27" t="s">
        <v>230</v>
      </c>
      <c r="E9270" s="29">
        <v>41789</v>
      </c>
      <c r="F9270" s="27">
        <v>15</v>
      </c>
      <c r="G9270" s="18">
        <v>33659.81</v>
      </c>
      <c r="H9270" s="27">
        <f t="shared" si="288"/>
        <v>0</v>
      </c>
      <c r="I9270" s="18">
        <v>11513.14</v>
      </c>
      <c r="J9270" s="27">
        <v>33659.81</v>
      </c>
      <c r="K9270" s="18">
        <f t="shared" si="289"/>
        <v>0</v>
      </c>
      <c r="L9270" s="27">
        <v>13477.65</v>
      </c>
      <c r="M9270" s="36">
        <v>1964.51</v>
      </c>
      <c r="T9270" s="41">
        <v>0</v>
      </c>
      <c r="U9270" s="41">
        <v>0</v>
      </c>
      <c r="V9270" s="42" t="s">
        <v>113</v>
      </c>
      <c r="W9270" s="42">
        <v>0</v>
      </c>
      <c r="X9270" s="42">
        <v>0</v>
      </c>
    </row>
    <row r="9271" spans="1:24">
      <c r="A9271" s="27" t="s">
        <v>16931</v>
      </c>
      <c r="B9271" s="28" t="s">
        <v>12240</v>
      </c>
      <c r="C9271" s="27" t="s">
        <v>16932</v>
      </c>
      <c r="D9271" s="27" t="s">
        <v>230</v>
      </c>
      <c r="E9271" s="29">
        <v>41789</v>
      </c>
      <c r="F9271" s="27">
        <v>15</v>
      </c>
      <c r="G9271" s="18">
        <v>37295.19</v>
      </c>
      <c r="H9271" s="27">
        <f t="shared" si="288"/>
        <v>0</v>
      </c>
      <c r="I9271" s="18">
        <v>12756.62</v>
      </c>
      <c r="J9271" s="27">
        <v>37295.19</v>
      </c>
      <c r="K9271" s="18">
        <f t="shared" si="289"/>
        <v>0</v>
      </c>
      <c r="L9271" s="27">
        <v>14933.31</v>
      </c>
      <c r="M9271" s="36">
        <v>2176.69</v>
      </c>
      <c r="T9271" s="41">
        <v>0</v>
      </c>
      <c r="U9271" s="41">
        <v>0</v>
      </c>
      <c r="V9271" s="42" t="s">
        <v>113</v>
      </c>
      <c r="W9271" s="42">
        <v>0</v>
      </c>
      <c r="X9271" s="42">
        <v>0</v>
      </c>
    </row>
    <row r="9272" spans="1:24">
      <c r="A9272" s="27" t="s">
        <v>16933</v>
      </c>
      <c r="B9272" s="28" t="s">
        <v>12240</v>
      </c>
      <c r="C9272" s="27" t="s">
        <v>16934</v>
      </c>
      <c r="D9272" s="27" t="s">
        <v>230</v>
      </c>
      <c r="E9272" s="29">
        <v>41789</v>
      </c>
      <c r="F9272" s="27">
        <v>15</v>
      </c>
      <c r="G9272" s="18">
        <v>37295.19</v>
      </c>
      <c r="H9272" s="27">
        <f t="shared" si="288"/>
        <v>0</v>
      </c>
      <c r="I9272" s="18">
        <v>12756.62</v>
      </c>
      <c r="J9272" s="27">
        <v>37295.19</v>
      </c>
      <c r="K9272" s="18">
        <f t="shared" si="289"/>
        <v>0</v>
      </c>
      <c r="L9272" s="27">
        <v>14933.31</v>
      </c>
      <c r="M9272" s="36">
        <v>2176.69</v>
      </c>
      <c r="T9272" s="41">
        <v>0</v>
      </c>
      <c r="U9272" s="41">
        <v>0</v>
      </c>
      <c r="V9272" s="42" t="s">
        <v>113</v>
      </c>
      <c r="W9272" s="42">
        <v>0</v>
      </c>
      <c r="X9272" s="42">
        <v>0</v>
      </c>
    </row>
    <row r="9273" spans="1:24">
      <c r="A9273" s="27" t="s">
        <v>16935</v>
      </c>
      <c r="B9273" s="28" t="s">
        <v>12240</v>
      </c>
      <c r="C9273" s="27" t="s">
        <v>16936</v>
      </c>
      <c r="D9273" s="27" t="s">
        <v>230</v>
      </c>
      <c r="E9273" s="29">
        <v>41789</v>
      </c>
      <c r="F9273" s="27">
        <v>15</v>
      </c>
      <c r="G9273" s="18">
        <v>38281.49</v>
      </c>
      <c r="H9273" s="27">
        <f t="shared" si="288"/>
        <v>0</v>
      </c>
      <c r="I9273" s="18">
        <v>13093.97</v>
      </c>
      <c r="J9273" s="27">
        <v>38281.49</v>
      </c>
      <c r="K9273" s="18">
        <f t="shared" si="289"/>
        <v>0</v>
      </c>
      <c r="L9273" s="27">
        <v>15328.22</v>
      </c>
      <c r="M9273" s="36">
        <v>2234.25</v>
      </c>
      <c r="T9273" s="41">
        <v>0</v>
      </c>
      <c r="U9273" s="41">
        <v>0</v>
      </c>
      <c r="V9273" s="42" t="s">
        <v>113</v>
      </c>
      <c r="W9273" s="42">
        <v>0</v>
      </c>
      <c r="X9273" s="42">
        <v>0</v>
      </c>
    </row>
    <row r="9274" spans="1:24">
      <c r="A9274" s="27" t="s">
        <v>16937</v>
      </c>
      <c r="B9274" s="28" t="s">
        <v>12240</v>
      </c>
      <c r="C9274" s="27" t="s">
        <v>16938</v>
      </c>
      <c r="D9274" s="27" t="s">
        <v>230</v>
      </c>
      <c r="E9274" s="29">
        <v>41789</v>
      </c>
      <c r="F9274" s="27">
        <v>15</v>
      </c>
      <c r="G9274" s="18">
        <v>45829.47</v>
      </c>
      <c r="H9274" s="27">
        <f t="shared" si="288"/>
        <v>0</v>
      </c>
      <c r="I9274" s="18">
        <v>15675.72</v>
      </c>
      <c r="J9274" s="27">
        <v>45829.47</v>
      </c>
      <c r="K9274" s="18">
        <f t="shared" si="289"/>
        <v>0</v>
      </c>
      <c r="L9274" s="27">
        <v>18350.5</v>
      </c>
      <c r="M9274" s="36">
        <v>2674.78</v>
      </c>
      <c r="T9274" s="41">
        <v>0</v>
      </c>
      <c r="U9274" s="41">
        <v>0</v>
      </c>
      <c r="V9274" s="42" t="s">
        <v>113</v>
      </c>
      <c r="W9274" s="42">
        <v>0</v>
      </c>
      <c r="X9274" s="42">
        <v>0</v>
      </c>
    </row>
    <row r="9275" spans="1:24">
      <c r="A9275" s="27" t="s">
        <v>16939</v>
      </c>
      <c r="B9275" s="28" t="s">
        <v>12240</v>
      </c>
      <c r="C9275" s="27" t="s">
        <v>16940</v>
      </c>
      <c r="D9275" s="27" t="s">
        <v>230</v>
      </c>
      <c r="E9275" s="29">
        <v>41789</v>
      </c>
      <c r="F9275" s="27">
        <v>15</v>
      </c>
      <c r="G9275" s="18">
        <v>36282.449999999997</v>
      </c>
      <c r="H9275" s="27">
        <f t="shared" si="288"/>
        <v>0</v>
      </c>
      <c r="I9275" s="18">
        <v>12410.2</v>
      </c>
      <c r="J9275" s="27">
        <v>36282.449999999997</v>
      </c>
      <c r="K9275" s="18">
        <f t="shared" si="289"/>
        <v>0</v>
      </c>
      <c r="L9275" s="27">
        <v>14527.78</v>
      </c>
      <c r="M9275" s="36">
        <v>2117.58</v>
      </c>
      <c r="T9275" s="41">
        <v>0</v>
      </c>
      <c r="U9275" s="41">
        <v>0</v>
      </c>
      <c r="V9275" s="42" t="s">
        <v>113</v>
      </c>
      <c r="W9275" s="42">
        <v>0</v>
      </c>
      <c r="X9275" s="42">
        <v>0</v>
      </c>
    </row>
    <row r="9276" spans="1:24">
      <c r="A9276" s="27" t="s">
        <v>16941</v>
      </c>
      <c r="B9276" s="28" t="s">
        <v>12240</v>
      </c>
      <c r="C9276" s="27" t="s">
        <v>16942</v>
      </c>
      <c r="D9276" s="27" t="s">
        <v>230</v>
      </c>
      <c r="E9276" s="29">
        <v>41789</v>
      </c>
      <c r="F9276" s="27">
        <v>15</v>
      </c>
      <c r="G9276" s="18">
        <v>45829.47</v>
      </c>
      <c r="H9276" s="27">
        <f t="shared" si="288"/>
        <v>0</v>
      </c>
      <c r="I9276" s="18">
        <v>15675.72</v>
      </c>
      <c r="J9276" s="27">
        <v>45829.47</v>
      </c>
      <c r="K9276" s="18">
        <f t="shared" si="289"/>
        <v>0</v>
      </c>
      <c r="L9276" s="27">
        <v>18350.5</v>
      </c>
      <c r="M9276" s="36">
        <v>2674.78</v>
      </c>
      <c r="T9276" s="41">
        <v>0</v>
      </c>
      <c r="U9276" s="41">
        <v>0</v>
      </c>
      <c r="V9276" s="42" t="s">
        <v>113</v>
      </c>
      <c r="W9276" s="42">
        <v>0</v>
      </c>
      <c r="X9276" s="42">
        <v>0</v>
      </c>
    </row>
    <row r="9277" spans="1:24">
      <c r="A9277" s="27" t="s">
        <v>16943</v>
      </c>
      <c r="B9277" s="28" t="s">
        <v>12240</v>
      </c>
      <c r="C9277" s="27" t="s">
        <v>16944</v>
      </c>
      <c r="D9277" s="27" t="s">
        <v>230</v>
      </c>
      <c r="E9277" s="29">
        <v>41789</v>
      </c>
      <c r="F9277" s="27">
        <v>15</v>
      </c>
      <c r="G9277" s="18">
        <v>31838.01</v>
      </c>
      <c r="H9277" s="27">
        <f t="shared" si="288"/>
        <v>0</v>
      </c>
      <c r="I9277" s="18">
        <v>10890.02</v>
      </c>
      <c r="J9277" s="27">
        <v>31838.01</v>
      </c>
      <c r="K9277" s="18">
        <f t="shared" si="289"/>
        <v>0</v>
      </c>
      <c r="L9277" s="27">
        <v>12748.2</v>
      </c>
      <c r="M9277" s="36">
        <v>1858.18</v>
      </c>
      <c r="T9277" s="41">
        <v>0</v>
      </c>
      <c r="U9277" s="41">
        <v>0</v>
      </c>
      <c r="V9277" s="42" t="s">
        <v>113</v>
      </c>
      <c r="W9277" s="42">
        <v>0</v>
      </c>
      <c r="X9277" s="42">
        <v>0</v>
      </c>
    </row>
    <row r="9278" spans="1:24">
      <c r="A9278" s="27" t="s">
        <v>16945</v>
      </c>
      <c r="B9278" s="28" t="s">
        <v>12240</v>
      </c>
      <c r="C9278" s="27" t="s">
        <v>16946</v>
      </c>
      <c r="D9278" s="27" t="s">
        <v>230</v>
      </c>
      <c r="E9278" s="29">
        <v>41789</v>
      </c>
      <c r="F9278" s="27">
        <v>15</v>
      </c>
      <c r="G9278" s="18">
        <v>36282.449999999997</v>
      </c>
      <c r="H9278" s="27">
        <f t="shared" si="288"/>
        <v>0</v>
      </c>
      <c r="I9278" s="18">
        <v>12410.2</v>
      </c>
      <c r="J9278" s="27">
        <v>36282.449999999997</v>
      </c>
      <c r="K9278" s="18">
        <f t="shared" si="289"/>
        <v>0</v>
      </c>
      <c r="L9278" s="27">
        <v>14527.78</v>
      </c>
      <c r="M9278" s="36">
        <v>2117.58</v>
      </c>
      <c r="T9278" s="41">
        <v>0</v>
      </c>
      <c r="U9278" s="41">
        <v>0</v>
      </c>
      <c r="V9278" s="42" t="s">
        <v>113</v>
      </c>
      <c r="W9278" s="42">
        <v>0</v>
      </c>
      <c r="X9278" s="42">
        <v>0</v>
      </c>
    </row>
    <row r="9279" spans="1:24">
      <c r="A9279" s="27" t="s">
        <v>16947</v>
      </c>
      <c r="B9279" s="28" t="s">
        <v>12240</v>
      </c>
      <c r="C9279" s="27" t="s">
        <v>16948</v>
      </c>
      <c r="D9279" s="27" t="s">
        <v>230</v>
      </c>
      <c r="E9279" s="29">
        <v>41789</v>
      </c>
      <c r="F9279" s="27">
        <v>15</v>
      </c>
      <c r="G9279" s="18">
        <v>36282.449999999997</v>
      </c>
      <c r="H9279" s="27">
        <f t="shared" si="288"/>
        <v>0</v>
      </c>
      <c r="I9279" s="18">
        <v>12410.2</v>
      </c>
      <c r="J9279" s="27">
        <v>36282.449999999997</v>
      </c>
      <c r="K9279" s="18">
        <f t="shared" si="289"/>
        <v>0</v>
      </c>
      <c r="L9279" s="27">
        <v>14527.78</v>
      </c>
      <c r="M9279" s="36">
        <v>2117.58</v>
      </c>
      <c r="T9279" s="41">
        <v>0</v>
      </c>
      <c r="U9279" s="41">
        <v>0</v>
      </c>
      <c r="V9279" s="42" t="s">
        <v>113</v>
      </c>
      <c r="W9279" s="42">
        <v>0</v>
      </c>
      <c r="X9279" s="42">
        <v>0</v>
      </c>
    </row>
    <row r="9280" spans="1:24">
      <c r="A9280" s="27" t="s">
        <v>16949</v>
      </c>
      <c r="B9280" s="28" t="s">
        <v>12240</v>
      </c>
      <c r="C9280" s="27" t="s">
        <v>16950</v>
      </c>
      <c r="D9280" s="27" t="s">
        <v>230</v>
      </c>
      <c r="E9280" s="29">
        <v>41789</v>
      </c>
      <c r="F9280" s="27">
        <v>15</v>
      </c>
      <c r="G9280" s="18">
        <v>65949.3</v>
      </c>
      <c r="H9280" s="27">
        <f t="shared" si="288"/>
        <v>0</v>
      </c>
      <c r="I9280" s="18">
        <v>14301.48</v>
      </c>
      <c r="J9280" s="27">
        <v>65949.3</v>
      </c>
      <c r="K9280" s="18">
        <f t="shared" si="289"/>
        <v>0</v>
      </c>
      <c r="L9280" s="27">
        <v>18943.11</v>
      </c>
      <c r="M9280" s="36">
        <v>4641.63</v>
      </c>
      <c r="T9280" s="41">
        <v>0</v>
      </c>
      <c r="U9280" s="41">
        <v>0</v>
      </c>
      <c r="V9280" s="42" t="s">
        <v>113</v>
      </c>
      <c r="W9280" s="42">
        <v>0</v>
      </c>
      <c r="X9280" s="42">
        <v>0</v>
      </c>
    </row>
    <row r="9281" spans="1:24">
      <c r="A9281" s="27" t="s">
        <v>16951</v>
      </c>
      <c r="B9281" s="28" t="s">
        <v>12240</v>
      </c>
      <c r="C9281" s="27" t="s">
        <v>16952</v>
      </c>
      <c r="D9281" s="27" t="s">
        <v>230</v>
      </c>
      <c r="E9281" s="29">
        <v>41789</v>
      </c>
      <c r="F9281" s="27">
        <v>15</v>
      </c>
      <c r="G9281" s="18">
        <v>38281.49</v>
      </c>
      <c r="H9281" s="27">
        <f t="shared" si="288"/>
        <v>0</v>
      </c>
      <c r="I9281" s="18">
        <v>13093.97</v>
      </c>
      <c r="J9281" s="27">
        <v>38281.49</v>
      </c>
      <c r="K9281" s="18">
        <f t="shared" si="289"/>
        <v>0</v>
      </c>
      <c r="L9281" s="27">
        <v>15328.22</v>
      </c>
      <c r="M9281" s="36">
        <v>2234.25</v>
      </c>
      <c r="T9281" s="41">
        <v>0</v>
      </c>
      <c r="U9281" s="41">
        <v>0</v>
      </c>
      <c r="V9281" s="42" t="s">
        <v>113</v>
      </c>
      <c r="W9281" s="42">
        <v>0</v>
      </c>
      <c r="X9281" s="42">
        <v>0</v>
      </c>
    </row>
    <row r="9282" spans="1:24">
      <c r="A9282" s="27" t="s">
        <v>16953</v>
      </c>
      <c r="B9282" s="28" t="s">
        <v>12240</v>
      </c>
      <c r="C9282" s="27" t="s">
        <v>16954</v>
      </c>
      <c r="D9282" s="27" t="s">
        <v>230</v>
      </c>
      <c r="E9282" s="29">
        <v>41789</v>
      </c>
      <c r="F9282" s="27">
        <v>15</v>
      </c>
      <c r="G9282" s="18">
        <v>40363.339999999997</v>
      </c>
      <c r="H9282" s="27">
        <f t="shared" si="288"/>
        <v>0</v>
      </c>
      <c r="I9282" s="18">
        <v>13850.48</v>
      </c>
      <c r="J9282" s="27">
        <v>40363.339999999997</v>
      </c>
      <c r="K9282" s="18">
        <f t="shared" si="289"/>
        <v>0</v>
      </c>
      <c r="L9282" s="27">
        <v>16201.97</v>
      </c>
      <c r="M9282" s="36">
        <v>2351.4899999999998</v>
      </c>
      <c r="T9282" s="41">
        <v>0</v>
      </c>
      <c r="U9282" s="41">
        <v>0</v>
      </c>
      <c r="V9282" s="42" t="s">
        <v>113</v>
      </c>
      <c r="W9282" s="42">
        <v>0</v>
      </c>
      <c r="X9282" s="42">
        <v>0</v>
      </c>
    </row>
    <row r="9283" spans="1:24">
      <c r="A9283" s="27" t="s">
        <v>16955</v>
      </c>
      <c r="B9283" s="28" t="s">
        <v>12240</v>
      </c>
      <c r="C9283" s="27" t="s">
        <v>16956</v>
      </c>
      <c r="D9283" s="27" t="s">
        <v>230</v>
      </c>
      <c r="E9283" s="29">
        <v>41789</v>
      </c>
      <c r="F9283" s="27">
        <v>15</v>
      </c>
      <c r="G9283" s="18">
        <v>37219.519999999997</v>
      </c>
      <c r="H9283" s="27">
        <f t="shared" si="288"/>
        <v>0</v>
      </c>
      <c r="I9283" s="18">
        <v>12730.72</v>
      </c>
      <c r="J9283" s="27">
        <v>37219.519999999997</v>
      </c>
      <c r="K9283" s="18">
        <f t="shared" si="289"/>
        <v>0</v>
      </c>
      <c r="L9283" s="27">
        <v>14902.99</v>
      </c>
      <c r="M9283" s="36">
        <v>2172.27</v>
      </c>
      <c r="T9283" s="41">
        <v>0</v>
      </c>
      <c r="U9283" s="41">
        <v>0</v>
      </c>
      <c r="V9283" s="42" t="s">
        <v>113</v>
      </c>
      <c r="W9283" s="42">
        <v>0</v>
      </c>
      <c r="X9283" s="42">
        <v>0</v>
      </c>
    </row>
    <row r="9284" spans="1:24">
      <c r="A9284" s="27" t="s">
        <v>16957</v>
      </c>
      <c r="B9284" s="28" t="s">
        <v>12240</v>
      </c>
      <c r="C9284" s="27" t="s">
        <v>16958</v>
      </c>
      <c r="D9284" s="27" t="s">
        <v>230</v>
      </c>
      <c r="E9284" s="29">
        <v>41789</v>
      </c>
      <c r="F9284" s="27">
        <v>15</v>
      </c>
      <c r="G9284" s="18">
        <v>37219.519999999997</v>
      </c>
      <c r="H9284" s="27">
        <f t="shared" si="288"/>
        <v>0</v>
      </c>
      <c r="I9284" s="18">
        <v>12730.72</v>
      </c>
      <c r="J9284" s="27">
        <v>37219.519999999997</v>
      </c>
      <c r="K9284" s="18">
        <f t="shared" si="289"/>
        <v>0</v>
      </c>
      <c r="L9284" s="27">
        <v>14902.99</v>
      </c>
      <c r="M9284" s="36">
        <v>2172.27</v>
      </c>
      <c r="T9284" s="41">
        <v>0</v>
      </c>
      <c r="U9284" s="41">
        <v>0</v>
      </c>
      <c r="V9284" s="42" t="s">
        <v>113</v>
      </c>
      <c r="W9284" s="42">
        <v>0</v>
      </c>
      <c r="X9284" s="42">
        <v>0</v>
      </c>
    </row>
    <row r="9285" spans="1:24">
      <c r="A9285" s="27" t="s">
        <v>16959</v>
      </c>
      <c r="B9285" s="28" t="s">
        <v>12240</v>
      </c>
      <c r="C9285" s="27" t="s">
        <v>16960</v>
      </c>
      <c r="D9285" s="27" t="s">
        <v>230</v>
      </c>
      <c r="E9285" s="29">
        <v>41789</v>
      </c>
      <c r="F9285" s="27">
        <v>15</v>
      </c>
      <c r="G9285" s="18">
        <v>37219.519999999997</v>
      </c>
      <c r="H9285" s="27">
        <f t="shared" si="288"/>
        <v>0</v>
      </c>
      <c r="I9285" s="18">
        <v>12730.72</v>
      </c>
      <c r="J9285" s="27">
        <v>37219.519999999997</v>
      </c>
      <c r="K9285" s="18">
        <f t="shared" si="289"/>
        <v>0</v>
      </c>
      <c r="L9285" s="27">
        <v>14902.99</v>
      </c>
      <c r="M9285" s="36">
        <v>2172.27</v>
      </c>
      <c r="T9285" s="41">
        <v>0</v>
      </c>
      <c r="U9285" s="41">
        <v>0</v>
      </c>
      <c r="V9285" s="42" t="s">
        <v>113</v>
      </c>
      <c r="W9285" s="42">
        <v>0</v>
      </c>
      <c r="X9285" s="42">
        <v>0</v>
      </c>
    </row>
    <row r="9286" spans="1:24">
      <c r="A9286" s="27" t="s">
        <v>16961</v>
      </c>
      <c r="B9286" s="28" t="s">
        <v>12240</v>
      </c>
      <c r="C9286" s="27" t="s">
        <v>16962</v>
      </c>
      <c r="D9286" s="27" t="s">
        <v>230</v>
      </c>
      <c r="E9286" s="29">
        <v>41789</v>
      </c>
      <c r="F9286" s="27">
        <v>15</v>
      </c>
      <c r="G9286" s="18">
        <v>37219.519999999997</v>
      </c>
      <c r="H9286" s="27">
        <f t="shared" ref="H9286:H9349" si="290">IFERROR(IF(ROUND((G9286-I9286)/G9286,2)&lt;=0.05,G9286,0),0)</f>
        <v>0</v>
      </c>
      <c r="I9286" s="18">
        <v>12730.72</v>
      </c>
      <c r="J9286" s="27">
        <v>37219.519999999997</v>
      </c>
      <c r="K9286" s="18">
        <f t="shared" ref="K9286:K9349" si="291">IFERROR(IF(ROUND((J9286-L9286)/J9286,2)&lt;=0.05,J9286,0),0)</f>
        <v>0</v>
      </c>
      <c r="L9286" s="27">
        <v>14902.99</v>
      </c>
      <c r="M9286" s="36">
        <v>2172.27</v>
      </c>
      <c r="T9286" s="41">
        <v>0</v>
      </c>
      <c r="U9286" s="41">
        <v>0</v>
      </c>
      <c r="V9286" s="42" t="s">
        <v>113</v>
      </c>
      <c r="W9286" s="42">
        <v>0</v>
      </c>
      <c r="X9286" s="42">
        <v>0</v>
      </c>
    </row>
    <row r="9287" spans="1:24">
      <c r="A9287" s="27" t="s">
        <v>16963</v>
      </c>
      <c r="B9287" s="28" t="s">
        <v>12240</v>
      </c>
      <c r="C9287" s="27" t="s">
        <v>16964</v>
      </c>
      <c r="D9287" s="27" t="s">
        <v>230</v>
      </c>
      <c r="E9287" s="29">
        <v>41789</v>
      </c>
      <c r="F9287" s="27">
        <v>15</v>
      </c>
      <c r="G9287" s="18">
        <v>37219.51</v>
      </c>
      <c r="H9287" s="27">
        <f t="shared" si="290"/>
        <v>0</v>
      </c>
      <c r="I9287" s="18">
        <v>12730.71</v>
      </c>
      <c r="J9287" s="27">
        <v>37219.51</v>
      </c>
      <c r="K9287" s="18">
        <f t="shared" si="291"/>
        <v>0</v>
      </c>
      <c r="L9287" s="27">
        <v>14902.98</v>
      </c>
      <c r="M9287" s="36">
        <v>2172.27</v>
      </c>
      <c r="T9287" s="41">
        <v>0</v>
      </c>
      <c r="U9287" s="41">
        <v>0</v>
      </c>
      <c r="V9287" s="42" t="s">
        <v>113</v>
      </c>
      <c r="W9287" s="42">
        <v>0</v>
      </c>
      <c r="X9287" s="42">
        <v>0</v>
      </c>
    </row>
    <row r="9288" spans="1:24">
      <c r="A9288" s="27" t="s">
        <v>16965</v>
      </c>
      <c r="B9288" s="28" t="s">
        <v>12240</v>
      </c>
      <c r="C9288" s="27" t="s">
        <v>16966</v>
      </c>
      <c r="D9288" s="27" t="s">
        <v>230</v>
      </c>
      <c r="E9288" s="29">
        <v>41789</v>
      </c>
      <c r="F9288" s="27">
        <v>15</v>
      </c>
      <c r="G9288" s="18">
        <v>40629.769999999997</v>
      </c>
      <c r="H9288" s="27">
        <f t="shared" si="290"/>
        <v>0</v>
      </c>
      <c r="I9288" s="18">
        <v>13897.18</v>
      </c>
      <c r="J9288" s="27">
        <v>40629.769999999997</v>
      </c>
      <c r="K9288" s="18">
        <f t="shared" si="291"/>
        <v>0</v>
      </c>
      <c r="L9288" s="27">
        <v>16268.49</v>
      </c>
      <c r="M9288" s="36">
        <v>2371.31</v>
      </c>
      <c r="T9288" s="41">
        <v>0</v>
      </c>
      <c r="U9288" s="41">
        <v>0</v>
      </c>
      <c r="V9288" s="42" t="s">
        <v>113</v>
      </c>
      <c r="W9288" s="42">
        <v>0</v>
      </c>
      <c r="X9288" s="42">
        <v>0</v>
      </c>
    </row>
    <row r="9289" spans="1:24">
      <c r="A9289" s="27" t="s">
        <v>16967</v>
      </c>
      <c r="B9289" s="28" t="s">
        <v>12240</v>
      </c>
      <c r="C9289" s="27" t="s">
        <v>16968</v>
      </c>
      <c r="D9289" s="27" t="s">
        <v>230</v>
      </c>
      <c r="E9289" s="29">
        <v>41789</v>
      </c>
      <c r="F9289" s="27">
        <v>15</v>
      </c>
      <c r="G9289" s="18">
        <v>45755.22</v>
      </c>
      <c r="H9289" s="27">
        <f t="shared" si="290"/>
        <v>0</v>
      </c>
      <c r="I9289" s="18">
        <v>15649.28</v>
      </c>
      <c r="J9289" s="27">
        <v>45755.22</v>
      </c>
      <c r="K9289" s="18">
        <f t="shared" si="291"/>
        <v>0</v>
      </c>
      <c r="L9289" s="27">
        <v>18319.830000000002</v>
      </c>
      <c r="M9289" s="36">
        <v>2670.55</v>
      </c>
      <c r="T9289" s="41">
        <v>0</v>
      </c>
      <c r="U9289" s="41">
        <v>0</v>
      </c>
      <c r="V9289" s="42" t="s">
        <v>113</v>
      </c>
      <c r="W9289" s="42">
        <v>0</v>
      </c>
      <c r="X9289" s="42">
        <v>0</v>
      </c>
    </row>
    <row r="9290" spans="1:24">
      <c r="A9290" s="27" t="s">
        <v>16969</v>
      </c>
      <c r="B9290" s="28" t="s">
        <v>12240</v>
      </c>
      <c r="C9290" s="27" t="s">
        <v>16970</v>
      </c>
      <c r="D9290" s="27" t="s">
        <v>230</v>
      </c>
      <c r="E9290" s="29">
        <v>41789</v>
      </c>
      <c r="F9290" s="27">
        <v>15</v>
      </c>
      <c r="G9290" s="18">
        <v>48045.18</v>
      </c>
      <c r="H9290" s="27">
        <f t="shared" si="290"/>
        <v>0</v>
      </c>
      <c r="I9290" s="18">
        <v>16462.93</v>
      </c>
      <c r="J9290" s="27">
        <v>48045.18</v>
      </c>
      <c r="K9290" s="18">
        <f t="shared" si="291"/>
        <v>0</v>
      </c>
      <c r="L9290" s="27">
        <v>19264.21</v>
      </c>
      <c r="M9290" s="36">
        <v>2801.28</v>
      </c>
      <c r="T9290" s="41">
        <v>0</v>
      </c>
      <c r="U9290" s="41">
        <v>0</v>
      </c>
      <c r="V9290" s="42" t="s">
        <v>113</v>
      </c>
      <c r="W9290" s="42">
        <v>0</v>
      </c>
      <c r="X9290" s="42">
        <v>0</v>
      </c>
    </row>
    <row r="9291" spans="1:24">
      <c r="A9291" s="27" t="s">
        <v>16971</v>
      </c>
      <c r="B9291" s="28" t="s">
        <v>12240</v>
      </c>
      <c r="C9291" s="27" t="s">
        <v>16972</v>
      </c>
      <c r="D9291" s="27" t="s">
        <v>230</v>
      </c>
      <c r="E9291" s="29">
        <v>41789</v>
      </c>
      <c r="F9291" s="27">
        <v>15</v>
      </c>
      <c r="G9291" s="18">
        <v>48221.18</v>
      </c>
      <c r="H9291" s="27">
        <f t="shared" si="290"/>
        <v>0</v>
      </c>
      <c r="I9291" s="18">
        <v>16493.78</v>
      </c>
      <c r="J9291" s="27">
        <v>48221.18</v>
      </c>
      <c r="K9291" s="18">
        <f t="shared" si="291"/>
        <v>0</v>
      </c>
      <c r="L9291" s="27">
        <v>19308.150000000001</v>
      </c>
      <c r="M9291" s="36">
        <v>2814.37</v>
      </c>
      <c r="T9291" s="41">
        <v>0</v>
      </c>
      <c r="U9291" s="41">
        <v>0</v>
      </c>
      <c r="V9291" s="42" t="s">
        <v>113</v>
      </c>
      <c r="W9291" s="42">
        <v>0</v>
      </c>
      <c r="X9291" s="42">
        <v>0</v>
      </c>
    </row>
    <row r="9292" spans="1:24">
      <c r="A9292" s="27" t="s">
        <v>16973</v>
      </c>
      <c r="B9292" s="28" t="s">
        <v>12240</v>
      </c>
      <c r="C9292" s="27" t="s">
        <v>16974</v>
      </c>
      <c r="D9292" s="27" t="s">
        <v>230</v>
      </c>
      <c r="E9292" s="29">
        <v>41789</v>
      </c>
      <c r="F9292" s="27">
        <v>15</v>
      </c>
      <c r="G9292" s="18">
        <v>21105.040000000001</v>
      </c>
      <c r="H9292" s="27">
        <f t="shared" si="290"/>
        <v>0</v>
      </c>
      <c r="I9292" s="18">
        <v>7218.87</v>
      </c>
      <c r="J9292" s="27">
        <v>21105.040000000001</v>
      </c>
      <c r="K9292" s="18">
        <f t="shared" si="291"/>
        <v>0</v>
      </c>
      <c r="L9292" s="27">
        <v>8450.64</v>
      </c>
      <c r="M9292" s="36">
        <v>1231.77</v>
      </c>
      <c r="T9292" s="41">
        <v>0</v>
      </c>
      <c r="U9292" s="41">
        <v>0</v>
      </c>
      <c r="V9292" s="42" t="s">
        <v>113</v>
      </c>
      <c r="W9292" s="42">
        <v>0</v>
      </c>
      <c r="X9292" s="42">
        <v>0</v>
      </c>
    </row>
    <row r="9293" spans="1:24">
      <c r="A9293" s="27" t="s">
        <v>16975</v>
      </c>
      <c r="B9293" s="28" t="s">
        <v>12240</v>
      </c>
      <c r="C9293" s="27" t="s">
        <v>16976</v>
      </c>
      <c r="D9293" s="27" t="s">
        <v>230</v>
      </c>
      <c r="E9293" s="29">
        <v>41789</v>
      </c>
      <c r="F9293" s="27">
        <v>15</v>
      </c>
      <c r="G9293" s="18">
        <v>21105.040000000001</v>
      </c>
      <c r="H9293" s="27">
        <f t="shared" si="290"/>
        <v>0</v>
      </c>
      <c r="I9293" s="18">
        <v>7218.87</v>
      </c>
      <c r="J9293" s="27">
        <v>21105.040000000001</v>
      </c>
      <c r="K9293" s="18">
        <f t="shared" si="291"/>
        <v>0</v>
      </c>
      <c r="L9293" s="27">
        <v>8450.64</v>
      </c>
      <c r="M9293" s="36">
        <v>1231.77</v>
      </c>
      <c r="T9293" s="41">
        <v>0</v>
      </c>
      <c r="U9293" s="41">
        <v>0</v>
      </c>
      <c r="V9293" s="42" t="s">
        <v>113</v>
      </c>
      <c r="W9293" s="42">
        <v>0</v>
      </c>
      <c r="X9293" s="42">
        <v>0</v>
      </c>
    </row>
    <row r="9294" spans="1:24">
      <c r="A9294" s="27" t="s">
        <v>16977</v>
      </c>
      <c r="B9294" s="28" t="s">
        <v>12240</v>
      </c>
      <c r="C9294" s="27" t="s">
        <v>16930</v>
      </c>
      <c r="D9294" s="27" t="s">
        <v>230</v>
      </c>
      <c r="E9294" s="29">
        <v>41789</v>
      </c>
      <c r="F9294" s="27">
        <v>15</v>
      </c>
      <c r="G9294" s="18">
        <v>38128.61</v>
      </c>
      <c r="H9294" s="27">
        <f t="shared" si="290"/>
        <v>0</v>
      </c>
      <c r="I9294" s="18">
        <v>13043.22</v>
      </c>
      <c r="J9294" s="27">
        <v>38128.61</v>
      </c>
      <c r="K9294" s="18">
        <f t="shared" si="291"/>
        <v>0</v>
      </c>
      <c r="L9294" s="27">
        <v>15268.4</v>
      </c>
      <c r="M9294" s="36">
        <v>2225.1799999999998</v>
      </c>
      <c r="T9294" s="41">
        <v>0</v>
      </c>
      <c r="U9294" s="41">
        <v>0</v>
      </c>
      <c r="V9294" s="42" t="s">
        <v>113</v>
      </c>
      <c r="W9294" s="42">
        <v>0</v>
      </c>
      <c r="X9294" s="42">
        <v>0</v>
      </c>
    </row>
    <row r="9295" spans="1:24">
      <c r="A9295" s="27" t="s">
        <v>16978</v>
      </c>
      <c r="B9295" s="28" t="s">
        <v>12240</v>
      </c>
      <c r="C9295" s="27" t="s">
        <v>16979</v>
      </c>
      <c r="D9295" s="27" t="s">
        <v>230</v>
      </c>
      <c r="E9295" s="29">
        <v>41789</v>
      </c>
      <c r="F9295" s="27">
        <v>15</v>
      </c>
      <c r="G9295" s="18">
        <v>49153.1</v>
      </c>
      <c r="H9295" s="27">
        <f t="shared" si="290"/>
        <v>0</v>
      </c>
      <c r="I9295" s="18">
        <v>16808.689999999999</v>
      </c>
      <c r="J9295" s="27">
        <v>49153.1</v>
      </c>
      <c r="K9295" s="18">
        <f t="shared" si="291"/>
        <v>0</v>
      </c>
      <c r="L9295" s="27">
        <v>19677.82</v>
      </c>
      <c r="M9295" s="36">
        <v>2869.13</v>
      </c>
      <c r="T9295" s="41">
        <v>0</v>
      </c>
      <c r="U9295" s="41">
        <v>0</v>
      </c>
      <c r="V9295" s="42" t="s">
        <v>113</v>
      </c>
      <c r="W9295" s="42">
        <v>0</v>
      </c>
      <c r="X9295" s="42">
        <v>0</v>
      </c>
    </row>
    <row r="9296" spans="1:24">
      <c r="A9296" s="27" t="s">
        <v>16980</v>
      </c>
      <c r="B9296" s="28" t="s">
        <v>12240</v>
      </c>
      <c r="C9296" s="27" t="s">
        <v>16981</v>
      </c>
      <c r="D9296" s="27" t="s">
        <v>230</v>
      </c>
      <c r="E9296" s="29">
        <v>41789</v>
      </c>
      <c r="F9296" s="27">
        <v>15</v>
      </c>
      <c r="G9296" s="18">
        <v>49130.04</v>
      </c>
      <c r="H9296" s="27">
        <f t="shared" si="290"/>
        <v>0</v>
      </c>
      <c r="I9296" s="18">
        <v>16804.64</v>
      </c>
      <c r="J9296" s="27">
        <v>49130.04</v>
      </c>
      <c r="K9296" s="18">
        <f t="shared" si="291"/>
        <v>0</v>
      </c>
      <c r="L9296" s="27">
        <v>19672.05</v>
      </c>
      <c r="M9296" s="36">
        <v>2867.41</v>
      </c>
      <c r="T9296" s="41">
        <v>0</v>
      </c>
      <c r="U9296" s="41">
        <v>0</v>
      </c>
      <c r="V9296" s="42" t="s">
        <v>113</v>
      </c>
      <c r="W9296" s="42">
        <v>0</v>
      </c>
      <c r="X9296" s="42">
        <v>0</v>
      </c>
    </row>
    <row r="9297" spans="1:24">
      <c r="A9297" s="27" t="s">
        <v>16982</v>
      </c>
      <c r="B9297" s="28" t="s">
        <v>12240</v>
      </c>
      <c r="C9297" s="27" t="s">
        <v>16983</v>
      </c>
      <c r="D9297" s="27" t="s">
        <v>230</v>
      </c>
      <c r="E9297" s="29">
        <v>41789</v>
      </c>
      <c r="F9297" s="27">
        <v>15</v>
      </c>
      <c r="G9297" s="18">
        <v>37792.69</v>
      </c>
      <c r="H9297" s="27">
        <f t="shared" si="290"/>
        <v>0</v>
      </c>
      <c r="I9297" s="18">
        <v>12929.82</v>
      </c>
      <c r="J9297" s="27">
        <v>37792.69</v>
      </c>
      <c r="K9297" s="18">
        <f t="shared" si="291"/>
        <v>0</v>
      </c>
      <c r="L9297" s="27">
        <v>15135.25</v>
      </c>
      <c r="M9297" s="36">
        <v>2205.4299999999998</v>
      </c>
      <c r="T9297" s="41">
        <v>0</v>
      </c>
      <c r="U9297" s="41">
        <v>0</v>
      </c>
      <c r="V9297" s="42" t="s">
        <v>113</v>
      </c>
      <c r="W9297" s="42">
        <v>0</v>
      </c>
      <c r="X9297" s="42">
        <v>0</v>
      </c>
    </row>
    <row r="9298" spans="1:24">
      <c r="A9298" s="27" t="s">
        <v>16984</v>
      </c>
      <c r="B9298" s="28" t="s">
        <v>12240</v>
      </c>
      <c r="C9298" s="27" t="s">
        <v>16985</v>
      </c>
      <c r="D9298" s="27" t="s">
        <v>230</v>
      </c>
      <c r="E9298" s="29">
        <v>33603</v>
      </c>
      <c r="F9298" s="27">
        <v>15</v>
      </c>
      <c r="G9298" s="18">
        <v>39240</v>
      </c>
      <c r="H9298" s="27">
        <f t="shared" si="290"/>
        <v>39240</v>
      </c>
      <c r="I9298" s="18">
        <v>37278</v>
      </c>
      <c r="J9298" s="27">
        <v>39240</v>
      </c>
      <c r="K9298" s="18">
        <f t="shared" si="291"/>
        <v>39240</v>
      </c>
      <c r="L9298" s="27">
        <v>37278</v>
      </c>
      <c r="M9298" s="36">
        <v>0</v>
      </c>
      <c r="T9298" s="41">
        <v>0</v>
      </c>
      <c r="U9298" s="41">
        <v>0</v>
      </c>
      <c r="V9298" s="42" t="s">
        <v>113</v>
      </c>
      <c r="W9298" s="42">
        <v>39240</v>
      </c>
      <c r="X9298" s="42">
        <v>39240</v>
      </c>
    </row>
    <row r="9299" spans="1:24">
      <c r="A9299" s="27" t="s">
        <v>16986</v>
      </c>
      <c r="B9299" s="28" t="s">
        <v>12240</v>
      </c>
      <c r="C9299" s="27" t="s">
        <v>16987</v>
      </c>
      <c r="D9299" s="27" t="s">
        <v>230</v>
      </c>
      <c r="E9299" s="29">
        <v>38776</v>
      </c>
      <c r="F9299" s="27">
        <v>15</v>
      </c>
      <c r="G9299" s="18">
        <v>12238</v>
      </c>
      <c r="H9299" s="27">
        <f t="shared" si="290"/>
        <v>0</v>
      </c>
      <c r="I9299" s="18">
        <v>11503.57</v>
      </c>
      <c r="J9299" s="27">
        <v>12238</v>
      </c>
      <c r="K9299" s="18">
        <f t="shared" si="291"/>
        <v>0</v>
      </c>
      <c r="L9299" s="27">
        <v>11560.12</v>
      </c>
      <c r="M9299" s="36">
        <v>56.55</v>
      </c>
      <c r="T9299" s="41">
        <v>0</v>
      </c>
      <c r="U9299" s="41">
        <v>0</v>
      </c>
      <c r="V9299" s="42" t="s">
        <v>113</v>
      </c>
      <c r="W9299" s="42">
        <v>0</v>
      </c>
      <c r="X9299" s="42">
        <v>12238</v>
      </c>
    </row>
    <row r="9300" spans="1:24">
      <c r="A9300" s="27" t="s">
        <v>16988</v>
      </c>
      <c r="B9300" s="28" t="s">
        <v>12240</v>
      </c>
      <c r="C9300" s="27" t="s">
        <v>16989</v>
      </c>
      <c r="D9300" s="27" t="s">
        <v>230</v>
      </c>
      <c r="E9300" s="29">
        <v>36891</v>
      </c>
      <c r="F9300" s="27">
        <v>15</v>
      </c>
      <c r="G9300" s="18">
        <v>38000</v>
      </c>
      <c r="H9300" s="27">
        <f t="shared" si="290"/>
        <v>38000</v>
      </c>
      <c r="I9300" s="18">
        <v>36100</v>
      </c>
      <c r="J9300" s="27">
        <v>38000</v>
      </c>
      <c r="K9300" s="18">
        <f t="shared" si="291"/>
        <v>38000</v>
      </c>
      <c r="L9300" s="27">
        <v>36100</v>
      </c>
      <c r="M9300" s="36">
        <v>0</v>
      </c>
      <c r="T9300" s="41">
        <v>0</v>
      </c>
      <c r="U9300" s="41">
        <v>0</v>
      </c>
      <c r="V9300" s="42" t="s">
        <v>113</v>
      </c>
      <c r="W9300" s="42">
        <v>38000</v>
      </c>
      <c r="X9300" s="42">
        <v>38000</v>
      </c>
    </row>
    <row r="9301" spans="1:24">
      <c r="A9301" s="27" t="s">
        <v>16990</v>
      </c>
      <c r="B9301" s="28" t="s">
        <v>12240</v>
      </c>
      <c r="C9301" s="27" t="s">
        <v>16991</v>
      </c>
      <c r="D9301" s="27" t="s">
        <v>230</v>
      </c>
      <c r="E9301" s="29">
        <v>36433</v>
      </c>
      <c r="F9301" s="27">
        <v>15</v>
      </c>
      <c r="G9301" s="18">
        <v>31560</v>
      </c>
      <c r="H9301" s="27">
        <f t="shared" si="290"/>
        <v>31560</v>
      </c>
      <c r="I9301" s="18">
        <v>29982</v>
      </c>
      <c r="J9301" s="27">
        <v>31560</v>
      </c>
      <c r="K9301" s="18">
        <f t="shared" si="291"/>
        <v>31560</v>
      </c>
      <c r="L9301" s="27">
        <v>29982</v>
      </c>
      <c r="M9301" s="36">
        <v>0</v>
      </c>
      <c r="T9301" s="41">
        <v>0</v>
      </c>
      <c r="U9301" s="41">
        <v>0</v>
      </c>
      <c r="V9301" s="42" t="s">
        <v>113</v>
      </c>
      <c r="W9301" s="42">
        <v>31560</v>
      </c>
      <c r="X9301" s="42">
        <v>31560</v>
      </c>
    </row>
    <row r="9302" spans="1:24">
      <c r="A9302" s="27" t="s">
        <v>16992</v>
      </c>
      <c r="B9302" s="28" t="s">
        <v>12240</v>
      </c>
      <c r="C9302" s="27" t="s">
        <v>16993</v>
      </c>
      <c r="D9302" s="27" t="s">
        <v>230</v>
      </c>
      <c r="E9302" s="29">
        <v>34699</v>
      </c>
      <c r="F9302" s="27">
        <v>15</v>
      </c>
      <c r="G9302" s="18">
        <v>32400</v>
      </c>
      <c r="H9302" s="27">
        <f t="shared" si="290"/>
        <v>32400</v>
      </c>
      <c r="I9302" s="18">
        <v>30780</v>
      </c>
      <c r="J9302" s="27">
        <v>32400</v>
      </c>
      <c r="K9302" s="18">
        <f t="shared" si="291"/>
        <v>32400</v>
      </c>
      <c r="L9302" s="27">
        <v>30780</v>
      </c>
      <c r="M9302" s="36">
        <v>0</v>
      </c>
      <c r="T9302" s="41">
        <v>0</v>
      </c>
      <c r="U9302" s="41">
        <v>0</v>
      </c>
      <c r="V9302" s="42" t="s">
        <v>113</v>
      </c>
      <c r="W9302" s="42">
        <v>32400</v>
      </c>
      <c r="X9302" s="42">
        <v>32400</v>
      </c>
    </row>
    <row r="9303" spans="1:24">
      <c r="A9303" s="27" t="s">
        <v>16994</v>
      </c>
      <c r="B9303" s="28" t="s">
        <v>12240</v>
      </c>
      <c r="C9303" s="27" t="s">
        <v>16995</v>
      </c>
      <c r="D9303" s="27" t="s">
        <v>230</v>
      </c>
      <c r="E9303" s="29">
        <v>36646</v>
      </c>
      <c r="F9303" s="27">
        <v>15</v>
      </c>
      <c r="G9303" s="18">
        <v>23940</v>
      </c>
      <c r="H9303" s="27">
        <f t="shared" si="290"/>
        <v>23940</v>
      </c>
      <c r="I9303" s="18">
        <v>22743</v>
      </c>
      <c r="J9303" s="27">
        <v>23940</v>
      </c>
      <c r="K9303" s="18">
        <f t="shared" si="291"/>
        <v>23940</v>
      </c>
      <c r="L9303" s="27">
        <v>22743</v>
      </c>
      <c r="M9303" s="36">
        <v>0</v>
      </c>
      <c r="T9303" s="41">
        <v>0</v>
      </c>
      <c r="U9303" s="41">
        <v>0</v>
      </c>
      <c r="V9303" s="42" t="s">
        <v>113</v>
      </c>
      <c r="W9303" s="42">
        <v>23940</v>
      </c>
      <c r="X9303" s="42">
        <v>23940</v>
      </c>
    </row>
    <row r="9304" spans="1:24">
      <c r="A9304" s="27" t="s">
        <v>16996</v>
      </c>
      <c r="B9304" s="28" t="s">
        <v>12240</v>
      </c>
      <c r="C9304" s="27" t="s">
        <v>16997</v>
      </c>
      <c r="D9304" s="27" t="s">
        <v>230</v>
      </c>
      <c r="E9304" s="29">
        <v>35795</v>
      </c>
      <c r="F9304" s="27">
        <v>15</v>
      </c>
      <c r="G9304" s="18">
        <v>19800</v>
      </c>
      <c r="H9304" s="27">
        <f t="shared" si="290"/>
        <v>19800</v>
      </c>
      <c r="I9304" s="18">
        <v>18810</v>
      </c>
      <c r="J9304" s="27">
        <v>19800</v>
      </c>
      <c r="K9304" s="18">
        <f t="shared" si="291"/>
        <v>19800</v>
      </c>
      <c r="L9304" s="27">
        <v>18810</v>
      </c>
      <c r="M9304" s="36">
        <v>0</v>
      </c>
      <c r="T9304" s="41">
        <v>0</v>
      </c>
      <c r="U9304" s="41">
        <v>0</v>
      </c>
      <c r="V9304" s="42" t="s">
        <v>113</v>
      </c>
      <c r="W9304" s="42">
        <v>19800</v>
      </c>
      <c r="X9304" s="42">
        <v>19800</v>
      </c>
    </row>
    <row r="9305" spans="1:24">
      <c r="A9305" s="27" t="s">
        <v>16998</v>
      </c>
      <c r="B9305" s="28" t="s">
        <v>12240</v>
      </c>
      <c r="C9305" s="27" t="s">
        <v>16999</v>
      </c>
      <c r="D9305" s="27" t="s">
        <v>230</v>
      </c>
      <c r="E9305" s="29">
        <v>36891</v>
      </c>
      <c r="F9305" s="27">
        <v>15</v>
      </c>
      <c r="G9305" s="18">
        <v>10355</v>
      </c>
      <c r="H9305" s="27">
        <f t="shared" si="290"/>
        <v>10355</v>
      </c>
      <c r="I9305" s="18">
        <v>9837.25</v>
      </c>
      <c r="J9305" s="27">
        <v>10355</v>
      </c>
      <c r="K9305" s="18">
        <f t="shared" si="291"/>
        <v>10355</v>
      </c>
      <c r="L9305" s="27">
        <v>9837.25</v>
      </c>
      <c r="M9305" s="36">
        <v>0</v>
      </c>
      <c r="T9305" s="41">
        <v>0</v>
      </c>
      <c r="U9305" s="41">
        <v>0</v>
      </c>
      <c r="V9305" s="42" t="s">
        <v>113</v>
      </c>
      <c r="W9305" s="42">
        <v>10355</v>
      </c>
      <c r="X9305" s="42">
        <v>10355</v>
      </c>
    </row>
    <row r="9306" spans="1:24">
      <c r="A9306" s="27" t="s">
        <v>17000</v>
      </c>
      <c r="B9306" s="28" t="s">
        <v>12240</v>
      </c>
      <c r="C9306" s="27" t="s">
        <v>17001</v>
      </c>
      <c r="D9306" s="27" t="s">
        <v>230</v>
      </c>
      <c r="E9306" s="29">
        <v>31777</v>
      </c>
      <c r="F9306" s="27">
        <v>15</v>
      </c>
      <c r="G9306" s="18">
        <v>39240</v>
      </c>
      <c r="H9306" s="27">
        <f t="shared" si="290"/>
        <v>39240</v>
      </c>
      <c r="I9306" s="18">
        <v>37278</v>
      </c>
      <c r="J9306" s="27">
        <v>39240</v>
      </c>
      <c r="K9306" s="18">
        <f t="shared" si="291"/>
        <v>39240</v>
      </c>
      <c r="L9306" s="27">
        <v>37278</v>
      </c>
      <c r="M9306" s="36">
        <v>0</v>
      </c>
      <c r="T9306" s="41">
        <v>0</v>
      </c>
      <c r="U9306" s="41">
        <v>0</v>
      </c>
      <c r="V9306" s="42" t="s">
        <v>113</v>
      </c>
      <c r="W9306" s="42">
        <v>39240</v>
      </c>
      <c r="X9306" s="42">
        <v>39240</v>
      </c>
    </row>
    <row r="9307" spans="1:24">
      <c r="A9307" s="27" t="s">
        <v>17002</v>
      </c>
      <c r="B9307" s="28" t="s">
        <v>12240</v>
      </c>
      <c r="C9307" s="27" t="s">
        <v>17003</v>
      </c>
      <c r="D9307" s="27" t="s">
        <v>5104</v>
      </c>
      <c r="E9307" s="29">
        <v>38776</v>
      </c>
      <c r="F9307" s="27">
        <v>12</v>
      </c>
      <c r="G9307" s="18">
        <v>1980</v>
      </c>
      <c r="H9307" s="27">
        <f t="shared" si="290"/>
        <v>1980</v>
      </c>
      <c r="I9307" s="18">
        <v>1980</v>
      </c>
      <c r="J9307" s="27">
        <v>1980</v>
      </c>
      <c r="K9307" s="18">
        <f t="shared" si="291"/>
        <v>1980</v>
      </c>
      <c r="L9307" s="27">
        <v>1980</v>
      </c>
      <c r="M9307" s="36">
        <v>0</v>
      </c>
      <c r="T9307" s="41">
        <v>0</v>
      </c>
      <c r="U9307" s="41">
        <v>0</v>
      </c>
      <c r="V9307" s="42" t="s">
        <v>113</v>
      </c>
      <c r="W9307" s="42">
        <v>1980</v>
      </c>
      <c r="X9307" s="42">
        <v>1980</v>
      </c>
    </row>
    <row r="9308" spans="1:24">
      <c r="A9308" s="27" t="s">
        <v>17004</v>
      </c>
      <c r="B9308" s="28" t="s">
        <v>12240</v>
      </c>
      <c r="C9308" s="27" t="s">
        <v>13014</v>
      </c>
      <c r="D9308" s="27" t="s">
        <v>230</v>
      </c>
      <c r="E9308" s="29">
        <v>33238</v>
      </c>
      <c r="F9308" s="27">
        <v>15</v>
      </c>
      <c r="G9308" s="18">
        <v>19800</v>
      </c>
      <c r="H9308" s="27">
        <f t="shared" si="290"/>
        <v>19800</v>
      </c>
      <c r="I9308" s="18">
        <v>18810</v>
      </c>
      <c r="J9308" s="27">
        <v>19800</v>
      </c>
      <c r="K9308" s="18">
        <f t="shared" si="291"/>
        <v>19800</v>
      </c>
      <c r="L9308" s="27">
        <v>18810</v>
      </c>
      <c r="M9308" s="36">
        <v>0</v>
      </c>
      <c r="T9308" s="41">
        <v>0</v>
      </c>
      <c r="U9308" s="41">
        <v>0</v>
      </c>
      <c r="V9308" s="42" t="s">
        <v>113</v>
      </c>
      <c r="W9308" s="42">
        <v>19800</v>
      </c>
      <c r="X9308" s="42">
        <v>19800</v>
      </c>
    </row>
    <row r="9309" spans="1:24">
      <c r="A9309" s="27" t="s">
        <v>17005</v>
      </c>
      <c r="B9309" s="28" t="s">
        <v>12240</v>
      </c>
      <c r="C9309" s="27" t="s">
        <v>17006</v>
      </c>
      <c r="D9309" s="27" t="s">
        <v>230</v>
      </c>
      <c r="E9309" s="29">
        <v>35795</v>
      </c>
      <c r="F9309" s="27">
        <v>15</v>
      </c>
      <c r="G9309" s="18">
        <v>444000</v>
      </c>
      <c r="H9309" s="27">
        <f t="shared" si="290"/>
        <v>444000</v>
      </c>
      <c r="I9309" s="18">
        <v>421800</v>
      </c>
      <c r="J9309" s="27">
        <v>444000</v>
      </c>
      <c r="K9309" s="18">
        <f t="shared" si="291"/>
        <v>444000</v>
      </c>
      <c r="L9309" s="27">
        <v>421800</v>
      </c>
      <c r="M9309" s="36">
        <v>0</v>
      </c>
      <c r="T9309" s="41">
        <v>0</v>
      </c>
      <c r="U9309" s="41">
        <v>0</v>
      </c>
      <c r="V9309" s="42" t="s">
        <v>113</v>
      </c>
      <c r="W9309" s="42">
        <v>444000</v>
      </c>
      <c r="X9309" s="42">
        <v>444000</v>
      </c>
    </row>
    <row r="9310" spans="1:24">
      <c r="A9310" s="27" t="s">
        <v>17007</v>
      </c>
      <c r="B9310" s="28" t="s">
        <v>12240</v>
      </c>
      <c r="C9310" s="27" t="s">
        <v>17008</v>
      </c>
      <c r="D9310" s="27" t="s">
        <v>230</v>
      </c>
      <c r="E9310" s="29">
        <v>36160</v>
      </c>
      <c r="F9310" s="27">
        <v>15</v>
      </c>
      <c r="G9310" s="18">
        <v>19800</v>
      </c>
      <c r="H9310" s="27">
        <f t="shared" si="290"/>
        <v>19800</v>
      </c>
      <c r="I9310" s="18">
        <v>18810</v>
      </c>
      <c r="J9310" s="27">
        <v>19800</v>
      </c>
      <c r="K9310" s="18">
        <f t="shared" si="291"/>
        <v>19800</v>
      </c>
      <c r="L9310" s="27">
        <v>18810</v>
      </c>
      <c r="M9310" s="36">
        <v>0</v>
      </c>
      <c r="T9310" s="41">
        <v>0</v>
      </c>
      <c r="U9310" s="41">
        <v>0</v>
      </c>
      <c r="V9310" s="42" t="s">
        <v>113</v>
      </c>
      <c r="W9310" s="42">
        <v>19800</v>
      </c>
      <c r="X9310" s="42">
        <v>19800</v>
      </c>
    </row>
    <row r="9311" spans="1:24">
      <c r="A9311" s="27" t="s">
        <v>17009</v>
      </c>
      <c r="B9311" s="28" t="s">
        <v>12240</v>
      </c>
      <c r="C9311" s="27" t="s">
        <v>17010</v>
      </c>
      <c r="D9311" s="27" t="s">
        <v>230</v>
      </c>
      <c r="E9311" s="29">
        <v>36525</v>
      </c>
      <c r="F9311" s="27">
        <v>15</v>
      </c>
      <c r="G9311" s="18">
        <v>39240</v>
      </c>
      <c r="H9311" s="27">
        <f t="shared" si="290"/>
        <v>39240</v>
      </c>
      <c r="I9311" s="18">
        <v>37278</v>
      </c>
      <c r="J9311" s="27">
        <v>39240</v>
      </c>
      <c r="K9311" s="18">
        <f t="shared" si="291"/>
        <v>39240</v>
      </c>
      <c r="L9311" s="27">
        <v>37278</v>
      </c>
      <c r="M9311" s="36">
        <v>0</v>
      </c>
      <c r="T9311" s="41">
        <v>0</v>
      </c>
      <c r="U9311" s="41">
        <v>0</v>
      </c>
      <c r="V9311" s="42" t="s">
        <v>113</v>
      </c>
      <c r="W9311" s="42">
        <v>39240</v>
      </c>
      <c r="X9311" s="42">
        <v>39240</v>
      </c>
    </row>
    <row r="9312" spans="1:24">
      <c r="A9312" s="27" t="s">
        <v>17011</v>
      </c>
      <c r="B9312" s="28" t="s">
        <v>12240</v>
      </c>
      <c r="C9312" s="27" t="s">
        <v>17012</v>
      </c>
      <c r="D9312" s="27" t="s">
        <v>230</v>
      </c>
      <c r="E9312" s="29">
        <v>37256</v>
      </c>
      <c r="F9312" s="27">
        <v>15</v>
      </c>
      <c r="G9312" s="18">
        <v>24318.53</v>
      </c>
      <c r="H9312" s="27">
        <f t="shared" si="290"/>
        <v>24318.53</v>
      </c>
      <c r="I9312" s="18">
        <v>23102.6</v>
      </c>
      <c r="J9312" s="27">
        <v>24318.53</v>
      </c>
      <c r="K9312" s="18">
        <f t="shared" si="291"/>
        <v>24318.53</v>
      </c>
      <c r="L9312" s="27">
        <v>23102.6</v>
      </c>
      <c r="M9312" s="36">
        <v>0</v>
      </c>
      <c r="T9312" s="41">
        <v>0</v>
      </c>
      <c r="U9312" s="41">
        <v>0</v>
      </c>
      <c r="V9312" s="42" t="s">
        <v>113</v>
      </c>
      <c r="W9312" s="42">
        <v>24318.53</v>
      </c>
      <c r="X9312" s="42">
        <v>24318.53</v>
      </c>
    </row>
    <row r="9313" spans="1:24">
      <c r="A9313" s="27" t="s">
        <v>17013</v>
      </c>
      <c r="B9313" s="28" t="s">
        <v>12240</v>
      </c>
      <c r="C9313" s="27" t="s">
        <v>17014</v>
      </c>
      <c r="D9313" s="27" t="s">
        <v>230</v>
      </c>
      <c r="E9313" s="29">
        <v>34699</v>
      </c>
      <c r="F9313" s="27">
        <v>15</v>
      </c>
      <c r="G9313" s="18">
        <v>34920</v>
      </c>
      <c r="H9313" s="27">
        <f t="shared" si="290"/>
        <v>34920</v>
      </c>
      <c r="I9313" s="18">
        <v>33174</v>
      </c>
      <c r="J9313" s="27">
        <v>34920</v>
      </c>
      <c r="K9313" s="18">
        <f t="shared" si="291"/>
        <v>34920</v>
      </c>
      <c r="L9313" s="27">
        <v>33174</v>
      </c>
      <c r="M9313" s="36">
        <v>0</v>
      </c>
      <c r="T9313" s="41">
        <v>0</v>
      </c>
      <c r="U9313" s="41">
        <v>0</v>
      </c>
      <c r="V9313" s="42" t="s">
        <v>113</v>
      </c>
      <c r="W9313" s="42">
        <v>34920</v>
      </c>
      <c r="X9313" s="42">
        <v>34920</v>
      </c>
    </row>
    <row r="9314" spans="1:24">
      <c r="A9314" s="27" t="s">
        <v>17015</v>
      </c>
      <c r="B9314" s="28" t="s">
        <v>12240</v>
      </c>
      <c r="C9314" s="27" t="s">
        <v>17016</v>
      </c>
      <c r="D9314" s="27" t="s">
        <v>230</v>
      </c>
      <c r="E9314" s="29">
        <v>33969</v>
      </c>
      <c r="F9314" s="27">
        <v>15</v>
      </c>
      <c r="G9314" s="18">
        <v>34920</v>
      </c>
      <c r="H9314" s="27">
        <f t="shared" si="290"/>
        <v>34920</v>
      </c>
      <c r="I9314" s="18">
        <v>33174</v>
      </c>
      <c r="J9314" s="27">
        <v>34920</v>
      </c>
      <c r="K9314" s="18">
        <f t="shared" si="291"/>
        <v>34920</v>
      </c>
      <c r="L9314" s="27">
        <v>33174</v>
      </c>
      <c r="M9314" s="36">
        <v>0</v>
      </c>
      <c r="T9314" s="41">
        <v>0</v>
      </c>
      <c r="U9314" s="41">
        <v>0</v>
      </c>
      <c r="V9314" s="42" t="s">
        <v>113</v>
      </c>
      <c r="W9314" s="42">
        <v>34920</v>
      </c>
      <c r="X9314" s="42">
        <v>34920</v>
      </c>
    </row>
    <row r="9315" spans="1:24">
      <c r="A9315" s="27" t="s">
        <v>17017</v>
      </c>
      <c r="B9315" s="28" t="s">
        <v>12240</v>
      </c>
      <c r="C9315" s="27" t="s">
        <v>17018</v>
      </c>
      <c r="D9315" s="27" t="s">
        <v>230</v>
      </c>
      <c r="E9315" s="29">
        <v>31777</v>
      </c>
      <c r="F9315" s="27">
        <v>15</v>
      </c>
      <c r="G9315" s="18">
        <v>34920</v>
      </c>
      <c r="H9315" s="27">
        <f t="shared" si="290"/>
        <v>34920</v>
      </c>
      <c r="I9315" s="18">
        <v>33174</v>
      </c>
      <c r="J9315" s="27">
        <v>34920</v>
      </c>
      <c r="K9315" s="18">
        <f t="shared" si="291"/>
        <v>34920</v>
      </c>
      <c r="L9315" s="27">
        <v>33174</v>
      </c>
      <c r="M9315" s="36">
        <v>0</v>
      </c>
      <c r="T9315" s="41">
        <v>0</v>
      </c>
      <c r="U9315" s="41">
        <v>0</v>
      </c>
      <c r="V9315" s="42" t="s">
        <v>113</v>
      </c>
      <c r="W9315" s="42">
        <v>34920</v>
      </c>
      <c r="X9315" s="42">
        <v>34920</v>
      </c>
    </row>
    <row r="9316" spans="1:24">
      <c r="A9316" s="27" t="s">
        <v>17019</v>
      </c>
      <c r="B9316" s="28" t="s">
        <v>12240</v>
      </c>
      <c r="C9316" s="27" t="s">
        <v>17020</v>
      </c>
      <c r="D9316" s="27" t="s">
        <v>230</v>
      </c>
      <c r="E9316" s="29">
        <v>34334</v>
      </c>
      <c r="F9316" s="27">
        <v>15</v>
      </c>
      <c r="G9316" s="18">
        <v>34920</v>
      </c>
      <c r="H9316" s="27">
        <f t="shared" si="290"/>
        <v>34920</v>
      </c>
      <c r="I9316" s="18">
        <v>33174</v>
      </c>
      <c r="J9316" s="27">
        <v>34920</v>
      </c>
      <c r="K9316" s="18">
        <f t="shared" si="291"/>
        <v>34920</v>
      </c>
      <c r="L9316" s="27">
        <v>33174</v>
      </c>
      <c r="M9316" s="36">
        <v>0</v>
      </c>
      <c r="T9316" s="41">
        <v>0</v>
      </c>
      <c r="U9316" s="41">
        <v>0</v>
      </c>
      <c r="V9316" s="42" t="s">
        <v>113</v>
      </c>
      <c r="W9316" s="42">
        <v>34920</v>
      </c>
      <c r="X9316" s="42">
        <v>34920</v>
      </c>
    </row>
    <row r="9317" spans="1:24">
      <c r="A9317" s="27" t="s">
        <v>17021</v>
      </c>
      <c r="B9317" s="28" t="s">
        <v>12240</v>
      </c>
      <c r="C9317" s="27" t="s">
        <v>17022</v>
      </c>
      <c r="D9317" s="27" t="s">
        <v>230</v>
      </c>
      <c r="E9317" s="29">
        <v>35795</v>
      </c>
      <c r="F9317" s="27">
        <v>15</v>
      </c>
      <c r="G9317" s="18">
        <v>220800</v>
      </c>
      <c r="H9317" s="27">
        <f t="shared" si="290"/>
        <v>220800</v>
      </c>
      <c r="I9317" s="18">
        <v>209760</v>
      </c>
      <c r="J9317" s="27">
        <v>220800</v>
      </c>
      <c r="K9317" s="18">
        <f t="shared" si="291"/>
        <v>220800</v>
      </c>
      <c r="L9317" s="27">
        <v>209760</v>
      </c>
      <c r="M9317" s="36">
        <v>0</v>
      </c>
      <c r="T9317" s="41">
        <v>0</v>
      </c>
      <c r="U9317" s="41">
        <v>0</v>
      </c>
      <c r="V9317" s="42" t="s">
        <v>113</v>
      </c>
      <c r="W9317" s="42">
        <v>220800</v>
      </c>
      <c r="X9317" s="42">
        <v>220800</v>
      </c>
    </row>
    <row r="9318" spans="1:24">
      <c r="A9318" s="27" t="s">
        <v>17023</v>
      </c>
      <c r="B9318" s="28" t="s">
        <v>12240</v>
      </c>
      <c r="C9318" s="27" t="s">
        <v>17024</v>
      </c>
      <c r="D9318" s="27" t="s">
        <v>230</v>
      </c>
      <c r="E9318" s="29">
        <v>37256</v>
      </c>
      <c r="F9318" s="27">
        <v>15</v>
      </c>
      <c r="G9318" s="18">
        <v>46531.8</v>
      </c>
      <c r="H9318" s="27">
        <f t="shared" si="290"/>
        <v>46531.8</v>
      </c>
      <c r="I9318" s="18">
        <v>44205.21</v>
      </c>
      <c r="J9318" s="27">
        <v>46531.8</v>
      </c>
      <c r="K9318" s="18">
        <f t="shared" si="291"/>
        <v>46531.8</v>
      </c>
      <c r="L9318" s="27">
        <v>44205.21</v>
      </c>
      <c r="M9318" s="36">
        <v>0</v>
      </c>
      <c r="T9318" s="41">
        <v>0</v>
      </c>
      <c r="U9318" s="41">
        <v>0</v>
      </c>
      <c r="V9318" s="42" t="s">
        <v>113</v>
      </c>
      <c r="W9318" s="42">
        <v>46531.8</v>
      </c>
      <c r="X9318" s="42">
        <v>46531.8</v>
      </c>
    </row>
    <row r="9319" spans="1:24">
      <c r="A9319" s="27" t="s">
        <v>17025</v>
      </c>
      <c r="B9319" s="28" t="s">
        <v>12240</v>
      </c>
      <c r="C9319" s="27" t="s">
        <v>17026</v>
      </c>
      <c r="D9319" s="27" t="s">
        <v>5104</v>
      </c>
      <c r="E9319" s="29">
        <v>38776</v>
      </c>
      <c r="F9319" s="27">
        <v>12</v>
      </c>
      <c r="G9319" s="18">
        <v>1980</v>
      </c>
      <c r="H9319" s="27">
        <f t="shared" si="290"/>
        <v>1980</v>
      </c>
      <c r="I9319" s="18">
        <v>1980</v>
      </c>
      <c r="J9319" s="27">
        <v>1980</v>
      </c>
      <c r="K9319" s="18">
        <f t="shared" si="291"/>
        <v>1980</v>
      </c>
      <c r="L9319" s="27">
        <v>1980</v>
      </c>
      <c r="M9319" s="36">
        <v>0</v>
      </c>
      <c r="T9319" s="41">
        <v>0</v>
      </c>
      <c r="U9319" s="41">
        <v>0</v>
      </c>
      <c r="V9319" s="42" t="s">
        <v>113</v>
      </c>
      <c r="W9319" s="42">
        <v>1980</v>
      </c>
      <c r="X9319" s="42">
        <v>1980</v>
      </c>
    </row>
    <row r="9320" spans="1:24">
      <c r="A9320" s="27" t="s">
        <v>17027</v>
      </c>
      <c r="B9320" s="28" t="s">
        <v>12240</v>
      </c>
      <c r="C9320" s="27" t="s">
        <v>17028</v>
      </c>
      <c r="D9320" s="27" t="s">
        <v>230</v>
      </c>
      <c r="E9320" s="29">
        <v>38776</v>
      </c>
      <c r="F9320" s="27">
        <v>15</v>
      </c>
      <c r="G9320" s="18">
        <v>20124</v>
      </c>
      <c r="H9320" s="27">
        <f t="shared" si="290"/>
        <v>0</v>
      </c>
      <c r="I9320" s="18">
        <v>18916.32</v>
      </c>
      <c r="J9320" s="27">
        <v>20124</v>
      </c>
      <c r="K9320" s="18">
        <f t="shared" si="291"/>
        <v>0</v>
      </c>
      <c r="L9320" s="27">
        <v>19009.310000000001</v>
      </c>
      <c r="M9320" s="36">
        <v>92.99</v>
      </c>
      <c r="T9320" s="41">
        <v>0</v>
      </c>
      <c r="U9320" s="41">
        <v>0</v>
      </c>
      <c r="V9320" s="42" t="s">
        <v>113</v>
      </c>
      <c r="W9320" s="42">
        <v>0</v>
      </c>
      <c r="X9320" s="42">
        <v>20124</v>
      </c>
    </row>
    <row r="9321" spans="1:24">
      <c r="A9321" s="27" t="s">
        <v>17029</v>
      </c>
      <c r="B9321" s="28" t="s">
        <v>12240</v>
      </c>
      <c r="C9321" s="27" t="s">
        <v>17030</v>
      </c>
      <c r="D9321" s="27" t="s">
        <v>230</v>
      </c>
      <c r="E9321" s="29">
        <v>35064</v>
      </c>
      <c r="F9321" s="27">
        <v>15</v>
      </c>
      <c r="G9321" s="18">
        <v>22080</v>
      </c>
      <c r="H9321" s="27">
        <f t="shared" si="290"/>
        <v>22080</v>
      </c>
      <c r="I9321" s="18">
        <v>20976</v>
      </c>
      <c r="J9321" s="27">
        <v>22080</v>
      </c>
      <c r="K9321" s="18">
        <f t="shared" si="291"/>
        <v>22080</v>
      </c>
      <c r="L9321" s="27">
        <v>20976</v>
      </c>
      <c r="M9321" s="36">
        <v>0</v>
      </c>
      <c r="T9321" s="41">
        <v>0</v>
      </c>
      <c r="U9321" s="41">
        <v>0</v>
      </c>
      <c r="V9321" s="42" t="s">
        <v>113</v>
      </c>
      <c r="W9321" s="42">
        <v>22080</v>
      </c>
      <c r="X9321" s="42">
        <v>22080</v>
      </c>
    </row>
    <row r="9322" spans="1:24">
      <c r="A9322" s="27" t="s">
        <v>17031</v>
      </c>
      <c r="B9322" s="28" t="s">
        <v>12240</v>
      </c>
      <c r="C9322" s="27" t="s">
        <v>17032</v>
      </c>
      <c r="D9322" s="27" t="s">
        <v>230</v>
      </c>
      <c r="E9322" s="29">
        <v>37315</v>
      </c>
      <c r="F9322" s="27">
        <v>12</v>
      </c>
      <c r="G9322" s="18">
        <v>2097</v>
      </c>
      <c r="H9322" s="27">
        <f t="shared" si="290"/>
        <v>2097</v>
      </c>
      <c r="I9322" s="18">
        <v>2097</v>
      </c>
      <c r="J9322" s="27">
        <v>2097</v>
      </c>
      <c r="K9322" s="18">
        <f t="shared" si="291"/>
        <v>2097</v>
      </c>
      <c r="L9322" s="27">
        <v>2097</v>
      </c>
      <c r="M9322" s="36">
        <v>0</v>
      </c>
      <c r="T9322" s="41">
        <v>0</v>
      </c>
      <c r="U9322" s="41">
        <v>0</v>
      </c>
      <c r="V9322" s="42" t="s">
        <v>113</v>
      </c>
      <c r="W9322" s="42">
        <v>2097</v>
      </c>
      <c r="X9322" s="42">
        <v>2097</v>
      </c>
    </row>
    <row r="9323" spans="1:24">
      <c r="A9323" s="27" t="s">
        <v>17033</v>
      </c>
      <c r="B9323" s="28" t="s">
        <v>12240</v>
      </c>
      <c r="C9323" s="27" t="s">
        <v>17034</v>
      </c>
      <c r="D9323" s="27" t="s">
        <v>230</v>
      </c>
      <c r="E9323" s="29">
        <v>40542</v>
      </c>
      <c r="F9323" s="27">
        <v>15</v>
      </c>
      <c r="G9323" s="18">
        <v>983595.58</v>
      </c>
      <c r="H9323" s="27">
        <f t="shared" si="290"/>
        <v>0</v>
      </c>
      <c r="I9323" s="18">
        <v>576699.86</v>
      </c>
      <c r="J9323" s="27">
        <v>983595.58</v>
      </c>
      <c r="K9323" s="18">
        <f t="shared" si="291"/>
        <v>0</v>
      </c>
      <c r="L9323" s="27">
        <v>636319.18000000005</v>
      </c>
      <c r="M9323" s="36">
        <v>59619.32</v>
      </c>
      <c r="T9323" s="41">
        <v>0</v>
      </c>
      <c r="U9323" s="41">
        <v>0</v>
      </c>
      <c r="V9323" s="42" t="s">
        <v>113</v>
      </c>
      <c r="W9323" s="42">
        <v>0</v>
      </c>
      <c r="X9323" s="42">
        <v>0</v>
      </c>
    </row>
    <row r="9324" spans="1:24">
      <c r="A9324" s="27" t="s">
        <v>17035</v>
      </c>
      <c r="B9324" s="28" t="s">
        <v>12240</v>
      </c>
      <c r="C9324" s="27" t="s">
        <v>3864</v>
      </c>
      <c r="D9324" s="27" t="s">
        <v>5104</v>
      </c>
      <c r="E9324" s="29">
        <v>40843</v>
      </c>
      <c r="F9324" s="27">
        <v>15</v>
      </c>
      <c r="G9324" s="18">
        <v>85.19</v>
      </c>
      <c r="H9324" s="27">
        <f t="shared" si="290"/>
        <v>0</v>
      </c>
      <c r="I9324" s="18">
        <v>53.73</v>
      </c>
      <c r="J9324" s="27">
        <v>85.19</v>
      </c>
      <c r="K9324" s="18">
        <f t="shared" si="291"/>
        <v>0</v>
      </c>
      <c r="L9324" s="27">
        <v>57.2</v>
      </c>
      <c r="M9324" s="36">
        <v>3.47</v>
      </c>
      <c r="T9324" s="41">
        <v>0</v>
      </c>
      <c r="U9324" s="41">
        <v>0</v>
      </c>
      <c r="V9324" s="42" t="s">
        <v>113</v>
      </c>
      <c r="W9324" s="42">
        <v>0</v>
      </c>
      <c r="X9324" s="42">
        <v>0</v>
      </c>
    </row>
    <row r="9325" spans="1:24">
      <c r="A9325" s="27" t="s">
        <v>17036</v>
      </c>
      <c r="B9325" s="28" t="s">
        <v>12240</v>
      </c>
      <c r="C9325" s="27" t="s">
        <v>17037</v>
      </c>
      <c r="D9325" s="27" t="s">
        <v>5104</v>
      </c>
      <c r="E9325" s="29">
        <v>40843</v>
      </c>
      <c r="F9325" s="27">
        <v>15</v>
      </c>
      <c r="G9325" s="18">
        <v>85.19</v>
      </c>
      <c r="H9325" s="27">
        <f t="shared" si="290"/>
        <v>0</v>
      </c>
      <c r="I9325" s="18">
        <v>53.73</v>
      </c>
      <c r="J9325" s="27">
        <v>85.19</v>
      </c>
      <c r="K9325" s="18">
        <f t="shared" si="291"/>
        <v>0</v>
      </c>
      <c r="L9325" s="27">
        <v>57.2</v>
      </c>
      <c r="M9325" s="36">
        <v>3.47</v>
      </c>
      <c r="T9325" s="41">
        <v>0</v>
      </c>
      <c r="U9325" s="41">
        <v>0</v>
      </c>
      <c r="V9325" s="42" t="s">
        <v>113</v>
      </c>
      <c r="W9325" s="42">
        <v>0</v>
      </c>
      <c r="X9325" s="42">
        <v>0</v>
      </c>
    </row>
    <row r="9326" spans="1:24">
      <c r="A9326" s="27" t="s">
        <v>17038</v>
      </c>
      <c r="B9326" s="28" t="s">
        <v>12240</v>
      </c>
      <c r="C9326" s="27" t="s">
        <v>17039</v>
      </c>
      <c r="D9326" s="27" t="s">
        <v>5104</v>
      </c>
      <c r="E9326" s="29">
        <v>40843</v>
      </c>
      <c r="F9326" s="27">
        <v>15</v>
      </c>
      <c r="G9326" s="18">
        <v>85.19</v>
      </c>
      <c r="H9326" s="27">
        <f t="shared" si="290"/>
        <v>0</v>
      </c>
      <c r="I9326" s="18">
        <v>53.73</v>
      </c>
      <c r="J9326" s="27">
        <v>85.19</v>
      </c>
      <c r="K9326" s="18">
        <f t="shared" si="291"/>
        <v>0</v>
      </c>
      <c r="L9326" s="27">
        <v>57.2</v>
      </c>
      <c r="M9326" s="36">
        <v>3.47</v>
      </c>
      <c r="T9326" s="41">
        <v>0</v>
      </c>
      <c r="U9326" s="41">
        <v>0</v>
      </c>
      <c r="V9326" s="42" t="s">
        <v>113</v>
      </c>
      <c r="W9326" s="42">
        <v>0</v>
      </c>
      <c r="X9326" s="42">
        <v>0</v>
      </c>
    </row>
    <row r="9327" spans="1:24">
      <c r="A9327" s="27" t="s">
        <v>17040</v>
      </c>
      <c r="B9327" s="28" t="s">
        <v>12240</v>
      </c>
      <c r="C9327" s="27" t="s">
        <v>17041</v>
      </c>
      <c r="D9327" s="27" t="s">
        <v>5104</v>
      </c>
      <c r="E9327" s="29">
        <v>40843</v>
      </c>
      <c r="F9327" s="27">
        <v>15</v>
      </c>
      <c r="G9327" s="18">
        <v>85.19</v>
      </c>
      <c r="H9327" s="27">
        <f t="shared" si="290"/>
        <v>0</v>
      </c>
      <c r="I9327" s="18">
        <v>53.73</v>
      </c>
      <c r="J9327" s="27">
        <v>85.19</v>
      </c>
      <c r="K9327" s="18">
        <f t="shared" si="291"/>
        <v>0</v>
      </c>
      <c r="L9327" s="27">
        <v>57.2</v>
      </c>
      <c r="M9327" s="36">
        <v>3.47</v>
      </c>
      <c r="T9327" s="41">
        <v>0</v>
      </c>
      <c r="U9327" s="41">
        <v>0</v>
      </c>
      <c r="V9327" s="42" t="s">
        <v>113</v>
      </c>
      <c r="W9327" s="42">
        <v>0</v>
      </c>
      <c r="X9327" s="42">
        <v>0</v>
      </c>
    </row>
    <row r="9328" spans="1:24">
      <c r="A9328" s="27" t="s">
        <v>17042</v>
      </c>
      <c r="B9328" s="28" t="s">
        <v>12240</v>
      </c>
      <c r="C9328" s="27" t="s">
        <v>17043</v>
      </c>
      <c r="D9328" s="27" t="s">
        <v>5104</v>
      </c>
      <c r="E9328" s="29">
        <v>40843</v>
      </c>
      <c r="F9328" s="27">
        <v>15</v>
      </c>
      <c r="G9328" s="18">
        <v>85.2</v>
      </c>
      <c r="H9328" s="27">
        <f t="shared" si="290"/>
        <v>0</v>
      </c>
      <c r="I9328" s="18">
        <v>53.74</v>
      </c>
      <c r="J9328" s="27">
        <v>85.2</v>
      </c>
      <c r="K9328" s="18">
        <f t="shared" si="291"/>
        <v>0</v>
      </c>
      <c r="L9328" s="27">
        <v>57.21</v>
      </c>
      <c r="M9328" s="36">
        <v>3.47</v>
      </c>
      <c r="T9328" s="41">
        <v>0</v>
      </c>
      <c r="U9328" s="41">
        <v>0</v>
      </c>
      <c r="V9328" s="42" t="s">
        <v>113</v>
      </c>
      <c r="W9328" s="42">
        <v>0</v>
      </c>
      <c r="X9328" s="42">
        <v>0</v>
      </c>
    </row>
    <row r="9329" spans="1:24">
      <c r="A9329" s="27" t="s">
        <v>17044</v>
      </c>
      <c r="B9329" s="28" t="s">
        <v>12240</v>
      </c>
      <c r="C9329" s="27" t="s">
        <v>17045</v>
      </c>
      <c r="D9329" s="27" t="s">
        <v>5104</v>
      </c>
      <c r="E9329" s="29">
        <v>40843</v>
      </c>
      <c r="F9329" s="27">
        <v>15</v>
      </c>
      <c r="G9329" s="18">
        <v>85.2</v>
      </c>
      <c r="H9329" s="27">
        <f t="shared" si="290"/>
        <v>0</v>
      </c>
      <c r="I9329" s="18">
        <v>53.74</v>
      </c>
      <c r="J9329" s="27">
        <v>85.2</v>
      </c>
      <c r="K9329" s="18">
        <f t="shared" si="291"/>
        <v>0</v>
      </c>
      <c r="L9329" s="27">
        <v>57.21</v>
      </c>
      <c r="M9329" s="36">
        <v>3.47</v>
      </c>
      <c r="T9329" s="41">
        <v>0</v>
      </c>
      <c r="U9329" s="41">
        <v>0</v>
      </c>
      <c r="V9329" s="42" t="s">
        <v>113</v>
      </c>
      <c r="W9329" s="42">
        <v>0</v>
      </c>
      <c r="X9329" s="42">
        <v>0</v>
      </c>
    </row>
    <row r="9330" spans="1:24">
      <c r="A9330" s="27" t="s">
        <v>17046</v>
      </c>
      <c r="B9330" s="28" t="s">
        <v>12240</v>
      </c>
      <c r="C9330" s="27" t="s">
        <v>17047</v>
      </c>
      <c r="D9330" s="27" t="s">
        <v>5104</v>
      </c>
      <c r="E9330" s="29">
        <v>40843</v>
      </c>
      <c r="F9330" s="27">
        <v>15</v>
      </c>
      <c r="G9330" s="18">
        <v>85.2</v>
      </c>
      <c r="H9330" s="27">
        <f t="shared" si="290"/>
        <v>0</v>
      </c>
      <c r="I9330" s="18">
        <v>53.74</v>
      </c>
      <c r="J9330" s="27">
        <v>85.2</v>
      </c>
      <c r="K9330" s="18">
        <f t="shared" si="291"/>
        <v>0</v>
      </c>
      <c r="L9330" s="27">
        <v>57.21</v>
      </c>
      <c r="M9330" s="36">
        <v>3.47</v>
      </c>
      <c r="T9330" s="41">
        <v>0</v>
      </c>
      <c r="U9330" s="41">
        <v>0</v>
      </c>
      <c r="V9330" s="42" t="s">
        <v>113</v>
      </c>
      <c r="W9330" s="42">
        <v>0</v>
      </c>
      <c r="X9330" s="42">
        <v>0</v>
      </c>
    </row>
    <row r="9331" spans="1:24">
      <c r="A9331" s="27" t="s">
        <v>17048</v>
      </c>
      <c r="B9331" s="28" t="s">
        <v>12240</v>
      </c>
      <c r="C9331" s="27" t="s">
        <v>17049</v>
      </c>
      <c r="D9331" s="27" t="s">
        <v>5104</v>
      </c>
      <c r="E9331" s="29">
        <v>40843</v>
      </c>
      <c r="F9331" s="27">
        <v>15</v>
      </c>
      <c r="G9331" s="18">
        <v>85.2</v>
      </c>
      <c r="H9331" s="27">
        <f t="shared" si="290"/>
        <v>0</v>
      </c>
      <c r="I9331" s="18">
        <v>53.74</v>
      </c>
      <c r="J9331" s="27">
        <v>85.2</v>
      </c>
      <c r="K9331" s="18">
        <f t="shared" si="291"/>
        <v>0</v>
      </c>
      <c r="L9331" s="27">
        <v>57.21</v>
      </c>
      <c r="M9331" s="36">
        <v>3.47</v>
      </c>
      <c r="T9331" s="41">
        <v>0</v>
      </c>
      <c r="U9331" s="41">
        <v>0</v>
      </c>
      <c r="V9331" s="42" t="s">
        <v>113</v>
      </c>
      <c r="W9331" s="42">
        <v>0</v>
      </c>
      <c r="X9331" s="42">
        <v>0</v>
      </c>
    </row>
    <row r="9332" spans="1:24">
      <c r="A9332" s="27" t="s">
        <v>17050</v>
      </c>
      <c r="B9332" s="28" t="s">
        <v>12240</v>
      </c>
      <c r="C9332" s="27" t="s">
        <v>17051</v>
      </c>
      <c r="D9332" s="27" t="s">
        <v>5104</v>
      </c>
      <c r="E9332" s="29">
        <v>40843</v>
      </c>
      <c r="F9332" s="27">
        <v>15</v>
      </c>
      <c r="G9332" s="18">
        <v>85.2</v>
      </c>
      <c r="H9332" s="27">
        <f t="shared" si="290"/>
        <v>0</v>
      </c>
      <c r="I9332" s="18">
        <v>53.74</v>
      </c>
      <c r="J9332" s="27">
        <v>85.2</v>
      </c>
      <c r="K9332" s="18">
        <f t="shared" si="291"/>
        <v>0</v>
      </c>
      <c r="L9332" s="27">
        <v>57.21</v>
      </c>
      <c r="M9332" s="36">
        <v>3.47</v>
      </c>
      <c r="T9332" s="41">
        <v>0</v>
      </c>
      <c r="U9332" s="41">
        <v>0</v>
      </c>
      <c r="V9332" s="42" t="s">
        <v>113</v>
      </c>
      <c r="W9332" s="42">
        <v>0</v>
      </c>
      <c r="X9332" s="42">
        <v>0</v>
      </c>
    </row>
    <row r="9333" spans="1:24">
      <c r="A9333" s="27" t="s">
        <v>17052</v>
      </c>
      <c r="B9333" s="28" t="s">
        <v>12240</v>
      </c>
      <c r="C9333" s="27" t="s">
        <v>17053</v>
      </c>
      <c r="D9333" s="27" t="s">
        <v>5104</v>
      </c>
      <c r="E9333" s="29">
        <v>40843</v>
      </c>
      <c r="F9333" s="27">
        <v>15</v>
      </c>
      <c r="G9333" s="18">
        <v>85.2</v>
      </c>
      <c r="H9333" s="27">
        <f t="shared" si="290"/>
        <v>0</v>
      </c>
      <c r="I9333" s="18">
        <v>53.74</v>
      </c>
      <c r="J9333" s="27">
        <v>85.2</v>
      </c>
      <c r="K9333" s="18">
        <f t="shared" si="291"/>
        <v>0</v>
      </c>
      <c r="L9333" s="27">
        <v>57.21</v>
      </c>
      <c r="M9333" s="36">
        <v>3.47</v>
      </c>
      <c r="T9333" s="41">
        <v>0</v>
      </c>
      <c r="U9333" s="41">
        <v>0</v>
      </c>
      <c r="V9333" s="42" t="s">
        <v>113</v>
      </c>
      <c r="W9333" s="42">
        <v>0</v>
      </c>
      <c r="X9333" s="42">
        <v>0</v>
      </c>
    </row>
    <row r="9334" spans="1:24">
      <c r="A9334" s="27" t="s">
        <v>17054</v>
      </c>
      <c r="B9334" s="28" t="s">
        <v>12240</v>
      </c>
      <c r="C9334" s="27" t="s">
        <v>17055</v>
      </c>
      <c r="D9334" s="27" t="s">
        <v>5104</v>
      </c>
      <c r="E9334" s="29">
        <v>40843</v>
      </c>
      <c r="F9334" s="27">
        <v>15</v>
      </c>
      <c r="G9334" s="18">
        <v>85.2</v>
      </c>
      <c r="H9334" s="27">
        <f t="shared" si="290"/>
        <v>0</v>
      </c>
      <c r="I9334" s="18">
        <v>53.74</v>
      </c>
      <c r="J9334" s="27">
        <v>85.2</v>
      </c>
      <c r="K9334" s="18">
        <f t="shared" si="291"/>
        <v>0</v>
      </c>
      <c r="L9334" s="27">
        <v>57.21</v>
      </c>
      <c r="M9334" s="36">
        <v>3.47</v>
      </c>
      <c r="T9334" s="41">
        <v>0</v>
      </c>
      <c r="U9334" s="41">
        <v>0</v>
      </c>
      <c r="V9334" s="42" t="s">
        <v>113</v>
      </c>
      <c r="W9334" s="42">
        <v>0</v>
      </c>
      <c r="X9334" s="42">
        <v>0</v>
      </c>
    </row>
    <row r="9335" spans="1:24">
      <c r="A9335" s="27" t="s">
        <v>17056</v>
      </c>
      <c r="B9335" s="28" t="s">
        <v>12240</v>
      </c>
      <c r="C9335" s="27" t="s">
        <v>17057</v>
      </c>
      <c r="D9335" s="27" t="s">
        <v>5104</v>
      </c>
      <c r="E9335" s="29">
        <v>40843</v>
      </c>
      <c r="F9335" s="27">
        <v>15</v>
      </c>
      <c r="G9335" s="18">
        <v>85.2</v>
      </c>
      <c r="H9335" s="27">
        <f t="shared" si="290"/>
        <v>0</v>
      </c>
      <c r="I9335" s="18">
        <v>53.74</v>
      </c>
      <c r="J9335" s="27">
        <v>85.2</v>
      </c>
      <c r="K9335" s="18">
        <f t="shared" si="291"/>
        <v>0</v>
      </c>
      <c r="L9335" s="27">
        <v>57.21</v>
      </c>
      <c r="M9335" s="36">
        <v>3.47</v>
      </c>
      <c r="T9335" s="41">
        <v>0</v>
      </c>
      <c r="U9335" s="41">
        <v>0</v>
      </c>
      <c r="V9335" s="42" t="s">
        <v>113</v>
      </c>
      <c r="W9335" s="42">
        <v>0</v>
      </c>
      <c r="X9335" s="42">
        <v>0</v>
      </c>
    </row>
    <row r="9336" spans="1:24">
      <c r="A9336" s="27" t="s">
        <v>17058</v>
      </c>
      <c r="B9336" s="28" t="s">
        <v>12240</v>
      </c>
      <c r="C9336" s="27" t="s">
        <v>17059</v>
      </c>
      <c r="D9336" s="27" t="s">
        <v>5104</v>
      </c>
      <c r="E9336" s="29">
        <v>40843</v>
      </c>
      <c r="F9336" s="27">
        <v>15</v>
      </c>
      <c r="G9336" s="18">
        <v>85.2</v>
      </c>
      <c r="H9336" s="27">
        <f t="shared" si="290"/>
        <v>0</v>
      </c>
      <c r="I9336" s="18">
        <v>53.74</v>
      </c>
      <c r="J9336" s="27">
        <v>85.2</v>
      </c>
      <c r="K9336" s="18">
        <f t="shared" si="291"/>
        <v>0</v>
      </c>
      <c r="L9336" s="27">
        <v>57.21</v>
      </c>
      <c r="M9336" s="36">
        <v>3.47</v>
      </c>
      <c r="T9336" s="41">
        <v>0</v>
      </c>
      <c r="U9336" s="41">
        <v>0</v>
      </c>
      <c r="V9336" s="42" t="s">
        <v>113</v>
      </c>
      <c r="W9336" s="42">
        <v>0</v>
      </c>
      <c r="X9336" s="42">
        <v>0</v>
      </c>
    </row>
    <row r="9337" spans="1:24">
      <c r="A9337" s="27" t="s">
        <v>17060</v>
      </c>
      <c r="B9337" s="28" t="s">
        <v>12240</v>
      </c>
      <c r="C9337" s="27" t="s">
        <v>17061</v>
      </c>
      <c r="D9337" s="27" t="s">
        <v>5104</v>
      </c>
      <c r="E9337" s="29">
        <v>40843</v>
      </c>
      <c r="F9337" s="27">
        <v>15</v>
      </c>
      <c r="G9337" s="18">
        <v>85.2</v>
      </c>
      <c r="H9337" s="27">
        <f t="shared" si="290"/>
        <v>0</v>
      </c>
      <c r="I9337" s="18">
        <v>53.74</v>
      </c>
      <c r="J9337" s="27">
        <v>85.2</v>
      </c>
      <c r="K9337" s="18">
        <f t="shared" si="291"/>
        <v>0</v>
      </c>
      <c r="L9337" s="27">
        <v>57.21</v>
      </c>
      <c r="M9337" s="36">
        <v>3.47</v>
      </c>
      <c r="T9337" s="41">
        <v>0</v>
      </c>
      <c r="U9337" s="41">
        <v>0</v>
      </c>
      <c r="V9337" s="42" t="s">
        <v>113</v>
      </c>
      <c r="W9337" s="42">
        <v>0</v>
      </c>
      <c r="X9337" s="42">
        <v>0</v>
      </c>
    </row>
    <row r="9338" spans="1:24">
      <c r="A9338" s="27" t="s">
        <v>17062</v>
      </c>
      <c r="B9338" s="28" t="s">
        <v>12240</v>
      </c>
      <c r="C9338" s="27" t="s">
        <v>17063</v>
      </c>
      <c r="D9338" s="27" t="s">
        <v>5104</v>
      </c>
      <c r="E9338" s="29">
        <v>40843</v>
      </c>
      <c r="F9338" s="27">
        <v>15</v>
      </c>
      <c r="G9338" s="18">
        <v>85.2</v>
      </c>
      <c r="H9338" s="27">
        <f t="shared" si="290"/>
        <v>0</v>
      </c>
      <c r="I9338" s="18">
        <v>53.74</v>
      </c>
      <c r="J9338" s="27">
        <v>85.2</v>
      </c>
      <c r="K9338" s="18">
        <f t="shared" si="291"/>
        <v>0</v>
      </c>
      <c r="L9338" s="27">
        <v>57.21</v>
      </c>
      <c r="M9338" s="36">
        <v>3.47</v>
      </c>
      <c r="T9338" s="41">
        <v>0</v>
      </c>
      <c r="U9338" s="41">
        <v>0</v>
      </c>
      <c r="V9338" s="42" t="s">
        <v>113</v>
      </c>
      <c r="W9338" s="42">
        <v>0</v>
      </c>
      <c r="X9338" s="42">
        <v>0</v>
      </c>
    </row>
    <row r="9339" spans="1:24">
      <c r="A9339" s="27" t="s">
        <v>17064</v>
      </c>
      <c r="B9339" s="28" t="s">
        <v>12240</v>
      </c>
      <c r="C9339" s="27" t="s">
        <v>17065</v>
      </c>
      <c r="D9339" s="27" t="s">
        <v>5104</v>
      </c>
      <c r="E9339" s="29">
        <v>40843</v>
      </c>
      <c r="F9339" s="27">
        <v>15</v>
      </c>
      <c r="G9339" s="18">
        <v>85.2</v>
      </c>
      <c r="H9339" s="27">
        <f t="shared" si="290"/>
        <v>0</v>
      </c>
      <c r="I9339" s="18">
        <v>53.74</v>
      </c>
      <c r="J9339" s="27">
        <v>85.2</v>
      </c>
      <c r="K9339" s="18">
        <f t="shared" si="291"/>
        <v>0</v>
      </c>
      <c r="L9339" s="27">
        <v>57.21</v>
      </c>
      <c r="M9339" s="36">
        <v>3.47</v>
      </c>
      <c r="T9339" s="41">
        <v>0</v>
      </c>
      <c r="U9339" s="41">
        <v>0</v>
      </c>
      <c r="V9339" s="42" t="s">
        <v>113</v>
      </c>
      <c r="W9339" s="42">
        <v>0</v>
      </c>
      <c r="X9339" s="42">
        <v>0</v>
      </c>
    </row>
    <row r="9340" spans="1:24">
      <c r="A9340" s="27" t="s">
        <v>17066</v>
      </c>
      <c r="B9340" s="28" t="s">
        <v>12240</v>
      </c>
      <c r="C9340" s="27" t="s">
        <v>17067</v>
      </c>
      <c r="D9340" s="27" t="s">
        <v>5104</v>
      </c>
      <c r="E9340" s="29">
        <v>40843</v>
      </c>
      <c r="F9340" s="27">
        <v>15</v>
      </c>
      <c r="G9340" s="18">
        <v>85.2</v>
      </c>
      <c r="H9340" s="27">
        <f t="shared" si="290"/>
        <v>0</v>
      </c>
      <c r="I9340" s="18">
        <v>53.74</v>
      </c>
      <c r="J9340" s="27">
        <v>85.2</v>
      </c>
      <c r="K9340" s="18">
        <f t="shared" si="291"/>
        <v>0</v>
      </c>
      <c r="L9340" s="27">
        <v>57.21</v>
      </c>
      <c r="M9340" s="36">
        <v>3.47</v>
      </c>
      <c r="T9340" s="41">
        <v>0</v>
      </c>
      <c r="U9340" s="41">
        <v>0</v>
      </c>
      <c r="V9340" s="42" t="s">
        <v>113</v>
      </c>
      <c r="W9340" s="42">
        <v>0</v>
      </c>
      <c r="X9340" s="42">
        <v>0</v>
      </c>
    </row>
    <row r="9341" spans="1:24">
      <c r="A9341" s="27" t="s">
        <v>17068</v>
      </c>
      <c r="B9341" s="28" t="s">
        <v>12240</v>
      </c>
      <c r="C9341" s="27" t="s">
        <v>17069</v>
      </c>
      <c r="D9341" s="27" t="s">
        <v>5104</v>
      </c>
      <c r="E9341" s="29">
        <v>40843</v>
      </c>
      <c r="F9341" s="27">
        <v>15</v>
      </c>
      <c r="G9341" s="18">
        <v>85.2</v>
      </c>
      <c r="H9341" s="27">
        <f t="shared" si="290"/>
        <v>0</v>
      </c>
      <c r="I9341" s="18">
        <v>53.74</v>
      </c>
      <c r="J9341" s="27">
        <v>85.2</v>
      </c>
      <c r="K9341" s="18">
        <f t="shared" si="291"/>
        <v>0</v>
      </c>
      <c r="L9341" s="27">
        <v>57.21</v>
      </c>
      <c r="M9341" s="36">
        <v>3.47</v>
      </c>
      <c r="T9341" s="41">
        <v>0</v>
      </c>
      <c r="U9341" s="41">
        <v>0</v>
      </c>
      <c r="V9341" s="42" t="s">
        <v>113</v>
      </c>
      <c r="W9341" s="42">
        <v>0</v>
      </c>
      <c r="X9341" s="42">
        <v>0</v>
      </c>
    </row>
    <row r="9342" spans="1:24">
      <c r="A9342" s="27" t="s">
        <v>17070</v>
      </c>
      <c r="B9342" s="28" t="s">
        <v>12240</v>
      </c>
      <c r="C9342" s="27" t="s">
        <v>17071</v>
      </c>
      <c r="D9342" s="27" t="s">
        <v>5104</v>
      </c>
      <c r="E9342" s="29">
        <v>40843</v>
      </c>
      <c r="F9342" s="27">
        <v>15</v>
      </c>
      <c r="G9342" s="18">
        <v>85.2</v>
      </c>
      <c r="H9342" s="27">
        <f t="shared" si="290"/>
        <v>0</v>
      </c>
      <c r="I9342" s="18">
        <v>53.74</v>
      </c>
      <c r="J9342" s="27">
        <v>85.2</v>
      </c>
      <c r="K9342" s="18">
        <f t="shared" si="291"/>
        <v>0</v>
      </c>
      <c r="L9342" s="27">
        <v>57.21</v>
      </c>
      <c r="M9342" s="36">
        <v>3.47</v>
      </c>
      <c r="T9342" s="41">
        <v>0</v>
      </c>
      <c r="U9342" s="41">
        <v>0</v>
      </c>
      <c r="V9342" s="42" t="s">
        <v>113</v>
      </c>
      <c r="W9342" s="42">
        <v>0</v>
      </c>
      <c r="X9342" s="42">
        <v>0</v>
      </c>
    </row>
    <row r="9343" spans="1:24">
      <c r="A9343" s="27" t="s">
        <v>17072</v>
      </c>
      <c r="B9343" s="28" t="s">
        <v>12240</v>
      </c>
      <c r="C9343" s="27" t="s">
        <v>17073</v>
      </c>
      <c r="D9343" s="27" t="s">
        <v>5104</v>
      </c>
      <c r="E9343" s="29">
        <v>40843</v>
      </c>
      <c r="F9343" s="27">
        <v>15</v>
      </c>
      <c r="G9343" s="18">
        <v>85.2</v>
      </c>
      <c r="H9343" s="27">
        <f t="shared" si="290"/>
        <v>0</v>
      </c>
      <c r="I9343" s="18">
        <v>53.74</v>
      </c>
      <c r="J9343" s="27">
        <v>85.2</v>
      </c>
      <c r="K9343" s="18">
        <f t="shared" si="291"/>
        <v>0</v>
      </c>
      <c r="L9343" s="27">
        <v>57.21</v>
      </c>
      <c r="M9343" s="36">
        <v>3.47</v>
      </c>
      <c r="T9343" s="41">
        <v>0</v>
      </c>
      <c r="U9343" s="41">
        <v>0</v>
      </c>
      <c r="V9343" s="42" t="s">
        <v>113</v>
      </c>
      <c r="W9343" s="42">
        <v>0</v>
      </c>
      <c r="X9343" s="42">
        <v>0</v>
      </c>
    </row>
    <row r="9344" spans="1:24">
      <c r="A9344" s="27" t="s">
        <v>17074</v>
      </c>
      <c r="B9344" s="28" t="s">
        <v>12240</v>
      </c>
      <c r="C9344" s="27" t="s">
        <v>17075</v>
      </c>
      <c r="D9344" s="27" t="s">
        <v>5104</v>
      </c>
      <c r="E9344" s="29">
        <v>40843</v>
      </c>
      <c r="F9344" s="27">
        <v>15</v>
      </c>
      <c r="G9344" s="18">
        <v>85.2</v>
      </c>
      <c r="H9344" s="27">
        <f t="shared" si="290"/>
        <v>0</v>
      </c>
      <c r="I9344" s="18">
        <v>53.74</v>
      </c>
      <c r="J9344" s="27">
        <v>85.2</v>
      </c>
      <c r="K9344" s="18">
        <f t="shared" si="291"/>
        <v>0</v>
      </c>
      <c r="L9344" s="27">
        <v>57.21</v>
      </c>
      <c r="M9344" s="36">
        <v>3.47</v>
      </c>
      <c r="T9344" s="41">
        <v>0</v>
      </c>
      <c r="U9344" s="41">
        <v>0</v>
      </c>
      <c r="V9344" s="42" t="s">
        <v>113</v>
      </c>
      <c r="W9344" s="42">
        <v>0</v>
      </c>
      <c r="X9344" s="42">
        <v>0</v>
      </c>
    </row>
    <row r="9345" spans="1:24">
      <c r="A9345" s="27" t="s">
        <v>17076</v>
      </c>
      <c r="B9345" s="28" t="s">
        <v>12240</v>
      </c>
      <c r="C9345" s="27" t="s">
        <v>17077</v>
      </c>
      <c r="D9345" s="27" t="s">
        <v>5104</v>
      </c>
      <c r="E9345" s="29">
        <v>40843</v>
      </c>
      <c r="F9345" s="27">
        <v>15</v>
      </c>
      <c r="G9345" s="18">
        <v>85.2</v>
      </c>
      <c r="H9345" s="27">
        <f t="shared" si="290"/>
        <v>0</v>
      </c>
      <c r="I9345" s="18">
        <v>53.74</v>
      </c>
      <c r="J9345" s="27">
        <v>85.2</v>
      </c>
      <c r="K9345" s="18">
        <f t="shared" si="291"/>
        <v>0</v>
      </c>
      <c r="L9345" s="27">
        <v>57.21</v>
      </c>
      <c r="M9345" s="36">
        <v>3.47</v>
      </c>
      <c r="T9345" s="41">
        <v>0</v>
      </c>
      <c r="U9345" s="41">
        <v>0</v>
      </c>
      <c r="V9345" s="42" t="s">
        <v>113</v>
      </c>
      <c r="W9345" s="42">
        <v>0</v>
      </c>
      <c r="X9345" s="42">
        <v>0</v>
      </c>
    </row>
    <row r="9346" spans="1:24">
      <c r="A9346" s="27" t="s">
        <v>17078</v>
      </c>
      <c r="B9346" s="28" t="s">
        <v>12240</v>
      </c>
      <c r="C9346" s="27" t="s">
        <v>3896</v>
      </c>
      <c r="D9346" s="27" t="s">
        <v>5104</v>
      </c>
      <c r="E9346" s="29">
        <v>40843</v>
      </c>
      <c r="F9346" s="27">
        <v>15</v>
      </c>
      <c r="G9346" s="18">
        <v>950.27</v>
      </c>
      <c r="H9346" s="27">
        <f t="shared" si="290"/>
        <v>0</v>
      </c>
      <c r="I9346" s="18">
        <v>599.36</v>
      </c>
      <c r="J9346" s="27">
        <v>950.27</v>
      </c>
      <c r="K9346" s="18">
        <f t="shared" si="291"/>
        <v>0</v>
      </c>
      <c r="L9346" s="27">
        <v>638.09</v>
      </c>
      <c r="M9346" s="36">
        <v>38.729999999999997</v>
      </c>
      <c r="T9346" s="41">
        <v>0</v>
      </c>
      <c r="U9346" s="41">
        <v>0</v>
      </c>
      <c r="V9346" s="42" t="s">
        <v>113</v>
      </c>
      <c r="W9346" s="42">
        <v>0</v>
      </c>
      <c r="X9346" s="42">
        <v>0</v>
      </c>
    </row>
    <row r="9347" spans="1:24">
      <c r="A9347" s="27" t="s">
        <v>17079</v>
      </c>
      <c r="B9347" s="28" t="s">
        <v>12240</v>
      </c>
      <c r="C9347" s="27" t="s">
        <v>3884</v>
      </c>
      <c r="D9347" s="27" t="s">
        <v>5104</v>
      </c>
      <c r="E9347" s="29">
        <v>40843</v>
      </c>
      <c r="F9347" s="27">
        <v>15</v>
      </c>
      <c r="G9347" s="18">
        <v>950.27</v>
      </c>
      <c r="H9347" s="27">
        <f t="shared" si="290"/>
        <v>0</v>
      </c>
      <c r="I9347" s="18">
        <v>599.36</v>
      </c>
      <c r="J9347" s="27">
        <v>950.27</v>
      </c>
      <c r="K9347" s="18">
        <f t="shared" si="291"/>
        <v>0</v>
      </c>
      <c r="L9347" s="27">
        <v>638.09</v>
      </c>
      <c r="M9347" s="36">
        <v>38.729999999999997</v>
      </c>
      <c r="T9347" s="41">
        <v>0</v>
      </c>
      <c r="U9347" s="41">
        <v>0</v>
      </c>
      <c r="V9347" s="42" t="s">
        <v>113</v>
      </c>
      <c r="W9347" s="42">
        <v>0</v>
      </c>
      <c r="X9347" s="42">
        <v>0</v>
      </c>
    </row>
    <row r="9348" spans="1:24">
      <c r="A9348" s="27" t="s">
        <v>17080</v>
      </c>
      <c r="B9348" s="28" t="s">
        <v>12240</v>
      </c>
      <c r="C9348" s="27" t="s">
        <v>3886</v>
      </c>
      <c r="D9348" s="27" t="s">
        <v>5104</v>
      </c>
      <c r="E9348" s="29">
        <v>40843</v>
      </c>
      <c r="F9348" s="27">
        <v>15</v>
      </c>
      <c r="G9348" s="18">
        <v>950.27</v>
      </c>
      <c r="H9348" s="27">
        <f t="shared" si="290"/>
        <v>0</v>
      </c>
      <c r="I9348" s="18">
        <v>599.36</v>
      </c>
      <c r="J9348" s="27">
        <v>950.27</v>
      </c>
      <c r="K9348" s="18">
        <f t="shared" si="291"/>
        <v>0</v>
      </c>
      <c r="L9348" s="27">
        <v>638.09</v>
      </c>
      <c r="M9348" s="36">
        <v>38.729999999999997</v>
      </c>
      <c r="T9348" s="41">
        <v>0</v>
      </c>
      <c r="U9348" s="41">
        <v>0</v>
      </c>
      <c r="V9348" s="42" t="s">
        <v>113</v>
      </c>
      <c r="W9348" s="42">
        <v>0</v>
      </c>
      <c r="X9348" s="42">
        <v>0</v>
      </c>
    </row>
    <row r="9349" spans="1:24">
      <c r="A9349" s="27" t="s">
        <v>17081</v>
      </c>
      <c r="B9349" s="28" t="s">
        <v>12240</v>
      </c>
      <c r="C9349" s="27" t="s">
        <v>3776</v>
      </c>
      <c r="D9349" s="27" t="s">
        <v>5104</v>
      </c>
      <c r="E9349" s="29">
        <v>40843</v>
      </c>
      <c r="F9349" s="27">
        <v>15</v>
      </c>
      <c r="G9349" s="18">
        <v>6662.84</v>
      </c>
      <c r="H9349" s="27">
        <f t="shared" si="290"/>
        <v>0</v>
      </c>
      <c r="I9349" s="18">
        <v>4202.4399999999996</v>
      </c>
      <c r="J9349" s="27">
        <v>6662.84</v>
      </c>
      <c r="K9349" s="18">
        <f t="shared" si="291"/>
        <v>0</v>
      </c>
      <c r="L9349" s="27">
        <v>4474.01</v>
      </c>
      <c r="M9349" s="36">
        <v>271.57</v>
      </c>
      <c r="T9349" s="41">
        <v>0</v>
      </c>
      <c r="U9349" s="41">
        <v>0</v>
      </c>
      <c r="V9349" s="42" t="s">
        <v>113</v>
      </c>
      <c r="W9349" s="42">
        <v>0</v>
      </c>
      <c r="X9349" s="42">
        <v>0</v>
      </c>
    </row>
    <row r="9350" spans="1:24">
      <c r="A9350" s="27" t="s">
        <v>17082</v>
      </c>
      <c r="B9350" s="28" t="s">
        <v>12240</v>
      </c>
      <c r="C9350" s="27" t="s">
        <v>3778</v>
      </c>
      <c r="D9350" s="27" t="s">
        <v>5104</v>
      </c>
      <c r="E9350" s="29">
        <v>40843</v>
      </c>
      <c r="F9350" s="27">
        <v>15</v>
      </c>
      <c r="G9350" s="18">
        <v>6662.84</v>
      </c>
      <c r="H9350" s="27">
        <f t="shared" ref="H9350:H9413" si="292">IFERROR(IF(ROUND((G9350-I9350)/G9350,2)&lt;=0.05,G9350,0),0)</f>
        <v>0</v>
      </c>
      <c r="I9350" s="18">
        <v>4202.4399999999996</v>
      </c>
      <c r="J9350" s="27">
        <v>6662.84</v>
      </c>
      <c r="K9350" s="18">
        <f t="shared" ref="K9350:K9413" si="293">IFERROR(IF(ROUND((J9350-L9350)/J9350,2)&lt;=0.05,J9350,0),0)</f>
        <v>0</v>
      </c>
      <c r="L9350" s="27">
        <v>4474.01</v>
      </c>
      <c r="M9350" s="36">
        <v>271.57</v>
      </c>
      <c r="T9350" s="41">
        <v>0</v>
      </c>
      <c r="U9350" s="41">
        <v>0</v>
      </c>
      <c r="V9350" s="42" t="s">
        <v>113</v>
      </c>
      <c r="W9350" s="42">
        <v>0</v>
      </c>
      <c r="X9350" s="42">
        <v>0</v>
      </c>
    </row>
    <row r="9351" spans="1:24">
      <c r="A9351" s="27" t="s">
        <v>17083</v>
      </c>
      <c r="B9351" s="28" t="s">
        <v>12240</v>
      </c>
      <c r="C9351" s="27" t="s">
        <v>3790</v>
      </c>
      <c r="D9351" s="27" t="s">
        <v>5104</v>
      </c>
      <c r="E9351" s="29">
        <v>40843</v>
      </c>
      <c r="F9351" s="27">
        <v>15</v>
      </c>
      <c r="G9351" s="18">
        <v>6662.84</v>
      </c>
      <c r="H9351" s="27">
        <f t="shared" si="292"/>
        <v>0</v>
      </c>
      <c r="I9351" s="18">
        <v>4202.4399999999996</v>
      </c>
      <c r="J9351" s="27">
        <v>6662.84</v>
      </c>
      <c r="K9351" s="18">
        <f t="shared" si="293"/>
        <v>0</v>
      </c>
      <c r="L9351" s="27">
        <v>4474.01</v>
      </c>
      <c r="M9351" s="36">
        <v>271.57</v>
      </c>
      <c r="T9351" s="41">
        <v>0</v>
      </c>
      <c r="U9351" s="41">
        <v>0</v>
      </c>
      <c r="V9351" s="42" t="s">
        <v>113</v>
      </c>
      <c r="W9351" s="42">
        <v>0</v>
      </c>
      <c r="X9351" s="42">
        <v>0</v>
      </c>
    </row>
    <row r="9352" spans="1:24">
      <c r="A9352" s="27" t="s">
        <v>17084</v>
      </c>
      <c r="B9352" s="28" t="s">
        <v>12240</v>
      </c>
      <c r="C9352" s="27" t="s">
        <v>3792</v>
      </c>
      <c r="D9352" s="27" t="s">
        <v>5104</v>
      </c>
      <c r="E9352" s="29">
        <v>40843</v>
      </c>
      <c r="F9352" s="27">
        <v>15</v>
      </c>
      <c r="G9352" s="18">
        <v>6662.85</v>
      </c>
      <c r="H9352" s="27">
        <f t="shared" si="292"/>
        <v>0</v>
      </c>
      <c r="I9352" s="18">
        <v>4202.45</v>
      </c>
      <c r="J9352" s="27">
        <v>6662.85</v>
      </c>
      <c r="K9352" s="18">
        <f t="shared" si="293"/>
        <v>0</v>
      </c>
      <c r="L9352" s="27">
        <v>4474.0200000000004</v>
      </c>
      <c r="M9352" s="36">
        <v>271.57</v>
      </c>
      <c r="T9352" s="41">
        <v>0</v>
      </c>
      <c r="U9352" s="41">
        <v>0</v>
      </c>
      <c r="V9352" s="42" t="s">
        <v>113</v>
      </c>
      <c r="W9352" s="42">
        <v>0</v>
      </c>
      <c r="X9352" s="42">
        <v>0</v>
      </c>
    </row>
    <row r="9353" spans="1:24">
      <c r="A9353" s="27" t="s">
        <v>17085</v>
      </c>
      <c r="B9353" s="28" t="s">
        <v>12240</v>
      </c>
      <c r="C9353" s="27" t="s">
        <v>3794</v>
      </c>
      <c r="D9353" s="27" t="s">
        <v>5104</v>
      </c>
      <c r="E9353" s="29">
        <v>40843</v>
      </c>
      <c r="F9353" s="27">
        <v>15</v>
      </c>
      <c r="G9353" s="18">
        <v>6662.85</v>
      </c>
      <c r="H9353" s="27">
        <f t="shared" si="292"/>
        <v>0</v>
      </c>
      <c r="I9353" s="18">
        <v>4202.45</v>
      </c>
      <c r="J9353" s="27">
        <v>6662.85</v>
      </c>
      <c r="K9353" s="18">
        <f t="shared" si="293"/>
        <v>0</v>
      </c>
      <c r="L9353" s="27">
        <v>4474.0200000000004</v>
      </c>
      <c r="M9353" s="36">
        <v>271.57</v>
      </c>
      <c r="T9353" s="41">
        <v>0</v>
      </c>
      <c r="U9353" s="41">
        <v>0</v>
      </c>
      <c r="V9353" s="42" t="s">
        <v>113</v>
      </c>
      <c r="W9353" s="42">
        <v>0</v>
      </c>
      <c r="X9353" s="42">
        <v>0</v>
      </c>
    </row>
    <row r="9354" spans="1:24">
      <c r="A9354" s="27" t="s">
        <v>17086</v>
      </c>
      <c r="B9354" s="28" t="s">
        <v>12240</v>
      </c>
      <c r="C9354" s="27" t="s">
        <v>3796</v>
      </c>
      <c r="D9354" s="27" t="s">
        <v>5104</v>
      </c>
      <c r="E9354" s="29">
        <v>40843</v>
      </c>
      <c r="F9354" s="27">
        <v>15</v>
      </c>
      <c r="G9354" s="18">
        <v>6662.85</v>
      </c>
      <c r="H9354" s="27">
        <f t="shared" si="292"/>
        <v>0</v>
      </c>
      <c r="I9354" s="18">
        <v>4202.45</v>
      </c>
      <c r="J9354" s="27">
        <v>6662.85</v>
      </c>
      <c r="K9354" s="18">
        <f t="shared" si="293"/>
        <v>0</v>
      </c>
      <c r="L9354" s="27">
        <v>4474.0200000000004</v>
      </c>
      <c r="M9354" s="36">
        <v>271.57</v>
      </c>
      <c r="T9354" s="41">
        <v>0</v>
      </c>
      <c r="U9354" s="41">
        <v>0</v>
      </c>
      <c r="V9354" s="42" t="s">
        <v>113</v>
      </c>
      <c r="W9354" s="42">
        <v>0</v>
      </c>
      <c r="X9354" s="42">
        <v>0</v>
      </c>
    </row>
    <row r="9355" spans="1:24">
      <c r="A9355" s="27" t="s">
        <v>17087</v>
      </c>
      <c r="B9355" s="28" t="s">
        <v>12240</v>
      </c>
      <c r="C9355" s="27" t="s">
        <v>3798</v>
      </c>
      <c r="D9355" s="27" t="s">
        <v>5104</v>
      </c>
      <c r="E9355" s="29">
        <v>40843</v>
      </c>
      <c r="F9355" s="27">
        <v>15</v>
      </c>
      <c r="G9355" s="18">
        <v>6662.85</v>
      </c>
      <c r="H9355" s="27">
        <f t="shared" si="292"/>
        <v>0</v>
      </c>
      <c r="I9355" s="18">
        <v>4202.45</v>
      </c>
      <c r="J9355" s="27">
        <v>6662.85</v>
      </c>
      <c r="K9355" s="18">
        <f t="shared" si="293"/>
        <v>0</v>
      </c>
      <c r="L9355" s="27">
        <v>4474.0200000000004</v>
      </c>
      <c r="M9355" s="36">
        <v>271.57</v>
      </c>
      <c r="T9355" s="41">
        <v>0</v>
      </c>
      <c r="U9355" s="41">
        <v>0</v>
      </c>
      <c r="V9355" s="42" t="s">
        <v>113</v>
      </c>
      <c r="W9355" s="42">
        <v>0</v>
      </c>
      <c r="X9355" s="42">
        <v>0</v>
      </c>
    </row>
    <row r="9356" spans="1:24">
      <c r="A9356" s="27" t="s">
        <v>17088</v>
      </c>
      <c r="B9356" s="28" t="s">
        <v>12240</v>
      </c>
      <c r="C9356" s="27" t="s">
        <v>3800</v>
      </c>
      <c r="D9356" s="27" t="s">
        <v>5104</v>
      </c>
      <c r="E9356" s="29">
        <v>40843</v>
      </c>
      <c r="F9356" s="27">
        <v>15</v>
      </c>
      <c r="G9356" s="18">
        <v>6662.85</v>
      </c>
      <c r="H9356" s="27">
        <f t="shared" si="292"/>
        <v>0</v>
      </c>
      <c r="I9356" s="18">
        <v>4202.45</v>
      </c>
      <c r="J9356" s="27">
        <v>6662.85</v>
      </c>
      <c r="K9356" s="18">
        <f t="shared" si="293"/>
        <v>0</v>
      </c>
      <c r="L9356" s="27">
        <v>4474.0200000000004</v>
      </c>
      <c r="M9356" s="36">
        <v>271.57</v>
      </c>
      <c r="T9356" s="41">
        <v>0</v>
      </c>
      <c r="U9356" s="41">
        <v>0</v>
      </c>
      <c r="V9356" s="42" t="s">
        <v>113</v>
      </c>
      <c r="W9356" s="42">
        <v>0</v>
      </c>
      <c r="X9356" s="42">
        <v>0</v>
      </c>
    </row>
    <row r="9357" spans="1:24">
      <c r="A9357" s="27" t="s">
        <v>17089</v>
      </c>
      <c r="B9357" s="28" t="s">
        <v>12240</v>
      </c>
      <c r="C9357" s="27" t="s">
        <v>3802</v>
      </c>
      <c r="D9357" s="27" t="s">
        <v>5104</v>
      </c>
      <c r="E9357" s="29">
        <v>40843</v>
      </c>
      <c r="F9357" s="27">
        <v>15</v>
      </c>
      <c r="G9357" s="18">
        <v>6662.85</v>
      </c>
      <c r="H9357" s="27">
        <f t="shared" si="292"/>
        <v>0</v>
      </c>
      <c r="I9357" s="18">
        <v>4202.45</v>
      </c>
      <c r="J9357" s="27">
        <v>6662.85</v>
      </c>
      <c r="K9357" s="18">
        <f t="shared" si="293"/>
        <v>0</v>
      </c>
      <c r="L9357" s="27">
        <v>4474.0200000000004</v>
      </c>
      <c r="M9357" s="36">
        <v>271.57</v>
      </c>
      <c r="T9357" s="41">
        <v>0</v>
      </c>
      <c r="U9357" s="41">
        <v>0</v>
      </c>
      <c r="V9357" s="42" t="s">
        <v>113</v>
      </c>
      <c r="W9357" s="42">
        <v>0</v>
      </c>
      <c r="X9357" s="42">
        <v>0</v>
      </c>
    </row>
    <row r="9358" spans="1:24">
      <c r="A9358" s="27" t="s">
        <v>17090</v>
      </c>
      <c r="B9358" s="28" t="s">
        <v>12240</v>
      </c>
      <c r="C9358" s="27" t="s">
        <v>3857</v>
      </c>
      <c r="D9358" s="27" t="s">
        <v>5104</v>
      </c>
      <c r="E9358" s="29">
        <v>40843</v>
      </c>
      <c r="F9358" s="27">
        <v>15</v>
      </c>
      <c r="G9358" s="18">
        <v>85.2</v>
      </c>
      <c r="H9358" s="27">
        <f t="shared" si="292"/>
        <v>0</v>
      </c>
      <c r="I9358" s="18">
        <v>53.74</v>
      </c>
      <c r="J9358" s="27">
        <v>85.2</v>
      </c>
      <c r="K9358" s="18">
        <f t="shared" si="293"/>
        <v>0</v>
      </c>
      <c r="L9358" s="27">
        <v>57.21</v>
      </c>
      <c r="M9358" s="36">
        <v>3.47</v>
      </c>
      <c r="T9358" s="41">
        <v>0</v>
      </c>
      <c r="U9358" s="41">
        <v>0</v>
      </c>
      <c r="V9358" s="42" t="s">
        <v>113</v>
      </c>
      <c r="W9358" s="42">
        <v>0</v>
      </c>
      <c r="X9358" s="42">
        <v>0</v>
      </c>
    </row>
    <row r="9359" spans="1:24">
      <c r="A9359" s="27" t="s">
        <v>17091</v>
      </c>
      <c r="B9359" s="28" t="s">
        <v>12240</v>
      </c>
      <c r="C9359" s="27" t="s">
        <v>3851</v>
      </c>
      <c r="D9359" s="27" t="s">
        <v>5104</v>
      </c>
      <c r="E9359" s="29">
        <v>40843</v>
      </c>
      <c r="F9359" s="27">
        <v>15</v>
      </c>
      <c r="G9359" s="18">
        <v>85.19</v>
      </c>
      <c r="H9359" s="27">
        <f t="shared" si="292"/>
        <v>0</v>
      </c>
      <c r="I9359" s="18">
        <v>53.73</v>
      </c>
      <c r="J9359" s="27">
        <v>85.19</v>
      </c>
      <c r="K9359" s="18">
        <f t="shared" si="293"/>
        <v>0</v>
      </c>
      <c r="L9359" s="27">
        <v>57.2</v>
      </c>
      <c r="M9359" s="36">
        <v>3.47</v>
      </c>
      <c r="T9359" s="41">
        <v>0</v>
      </c>
      <c r="U9359" s="41">
        <v>0</v>
      </c>
      <c r="V9359" s="42" t="s">
        <v>113</v>
      </c>
      <c r="W9359" s="42">
        <v>0</v>
      </c>
      <c r="X9359" s="42">
        <v>0</v>
      </c>
    </row>
    <row r="9360" spans="1:24">
      <c r="A9360" s="27" t="s">
        <v>17092</v>
      </c>
      <c r="B9360" s="28" t="s">
        <v>12240</v>
      </c>
      <c r="C9360" s="27" t="s">
        <v>3853</v>
      </c>
      <c r="D9360" s="27" t="s">
        <v>5104</v>
      </c>
      <c r="E9360" s="29">
        <v>40843</v>
      </c>
      <c r="F9360" s="27">
        <v>15</v>
      </c>
      <c r="G9360" s="18">
        <v>85.19</v>
      </c>
      <c r="H9360" s="27">
        <f t="shared" si="292"/>
        <v>0</v>
      </c>
      <c r="I9360" s="18">
        <v>53.73</v>
      </c>
      <c r="J9360" s="27">
        <v>85.19</v>
      </c>
      <c r="K9360" s="18">
        <f t="shared" si="293"/>
        <v>0</v>
      </c>
      <c r="L9360" s="27">
        <v>57.2</v>
      </c>
      <c r="M9360" s="36">
        <v>3.47</v>
      </c>
      <c r="T9360" s="41">
        <v>0</v>
      </c>
      <c r="U9360" s="41">
        <v>0</v>
      </c>
      <c r="V9360" s="42" t="s">
        <v>113</v>
      </c>
      <c r="W9360" s="42">
        <v>0</v>
      </c>
      <c r="X9360" s="42">
        <v>0</v>
      </c>
    </row>
    <row r="9361" spans="1:24">
      <c r="A9361" s="27" t="s">
        <v>17093</v>
      </c>
      <c r="B9361" s="28" t="s">
        <v>12240</v>
      </c>
      <c r="C9361" s="27" t="s">
        <v>3855</v>
      </c>
      <c r="D9361" s="27" t="s">
        <v>5104</v>
      </c>
      <c r="E9361" s="29">
        <v>40843</v>
      </c>
      <c r="F9361" s="27">
        <v>15</v>
      </c>
      <c r="G9361" s="18">
        <v>85.19</v>
      </c>
      <c r="H9361" s="27">
        <f t="shared" si="292"/>
        <v>0</v>
      </c>
      <c r="I9361" s="18">
        <v>53.73</v>
      </c>
      <c r="J9361" s="27">
        <v>85.19</v>
      </c>
      <c r="K9361" s="18">
        <f t="shared" si="293"/>
        <v>0</v>
      </c>
      <c r="L9361" s="27">
        <v>57.2</v>
      </c>
      <c r="M9361" s="36">
        <v>3.47</v>
      </c>
      <c r="T9361" s="41">
        <v>0</v>
      </c>
      <c r="U9361" s="41">
        <v>0</v>
      </c>
      <c r="V9361" s="42" t="s">
        <v>113</v>
      </c>
      <c r="W9361" s="42">
        <v>0</v>
      </c>
      <c r="X9361" s="42">
        <v>0</v>
      </c>
    </row>
    <row r="9362" spans="1:24">
      <c r="A9362" s="27" t="s">
        <v>17094</v>
      </c>
      <c r="B9362" s="28" t="s">
        <v>12240</v>
      </c>
      <c r="C9362" s="27" t="s">
        <v>3862</v>
      </c>
      <c r="D9362" s="27" t="s">
        <v>5104</v>
      </c>
      <c r="E9362" s="29">
        <v>40843</v>
      </c>
      <c r="F9362" s="27">
        <v>15</v>
      </c>
      <c r="G9362" s="18">
        <v>85.19</v>
      </c>
      <c r="H9362" s="27">
        <f t="shared" si="292"/>
        <v>0</v>
      </c>
      <c r="I9362" s="18">
        <v>53.73</v>
      </c>
      <c r="J9362" s="27">
        <v>85.19</v>
      </c>
      <c r="K9362" s="18">
        <f t="shared" si="293"/>
        <v>0</v>
      </c>
      <c r="L9362" s="27">
        <v>57.2</v>
      </c>
      <c r="M9362" s="36">
        <v>3.47</v>
      </c>
      <c r="T9362" s="41">
        <v>0</v>
      </c>
      <c r="U9362" s="41">
        <v>0</v>
      </c>
      <c r="V9362" s="42" t="s">
        <v>113</v>
      </c>
      <c r="W9362" s="42">
        <v>0</v>
      </c>
      <c r="X9362" s="42">
        <v>0</v>
      </c>
    </row>
    <row r="9363" spans="1:24">
      <c r="A9363" s="27" t="s">
        <v>17095</v>
      </c>
      <c r="B9363" s="28" t="s">
        <v>12240</v>
      </c>
      <c r="C9363" s="27" t="s">
        <v>17096</v>
      </c>
      <c r="D9363" s="27" t="s">
        <v>230</v>
      </c>
      <c r="E9363" s="29">
        <v>43737</v>
      </c>
      <c r="F9363" s="27">
        <v>15</v>
      </c>
      <c r="G9363" s="18">
        <v>0</v>
      </c>
      <c r="H9363" s="27">
        <f t="shared" si="292"/>
        <v>0</v>
      </c>
      <c r="I9363" s="18">
        <v>0</v>
      </c>
      <c r="J9363" s="27">
        <v>131584</v>
      </c>
      <c r="K9363" s="18">
        <f t="shared" si="293"/>
        <v>0</v>
      </c>
      <c r="L9363" s="27">
        <v>2083.41</v>
      </c>
      <c r="M9363" s="36">
        <v>2083.41</v>
      </c>
      <c r="N9363" s="18" t="s">
        <v>12170</v>
      </c>
      <c r="O9363" s="19">
        <v>131584</v>
      </c>
      <c r="T9363" s="41">
        <v>0</v>
      </c>
      <c r="U9363" s="41">
        <v>0</v>
      </c>
      <c r="V9363" s="42" t="s">
        <v>113</v>
      </c>
      <c r="W9363" s="42">
        <v>0</v>
      </c>
      <c r="X9363" s="42">
        <v>0</v>
      </c>
    </row>
    <row r="9364" spans="1:24">
      <c r="A9364" s="27" t="s">
        <v>17097</v>
      </c>
      <c r="B9364" s="28" t="s">
        <v>12240</v>
      </c>
      <c r="C9364" s="27" t="s">
        <v>17098</v>
      </c>
      <c r="D9364" s="27" t="s">
        <v>230</v>
      </c>
      <c r="E9364" s="29">
        <v>43466</v>
      </c>
      <c r="F9364" s="27">
        <v>15</v>
      </c>
      <c r="G9364" s="18">
        <v>0</v>
      </c>
      <c r="H9364" s="27">
        <f t="shared" si="292"/>
        <v>0</v>
      </c>
      <c r="I9364" s="18">
        <v>0</v>
      </c>
      <c r="J9364" s="27">
        <v>216395.57</v>
      </c>
      <c r="K9364" s="18">
        <f t="shared" si="293"/>
        <v>0</v>
      </c>
      <c r="L9364" s="27">
        <v>12562.96</v>
      </c>
      <c r="M9364" s="36">
        <v>12562.96</v>
      </c>
      <c r="N9364" s="18" t="s">
        <v>123</v>
      </c>
      <c r="O9364" s="19">
        <v>216395.57</v>
      </c>
      <c r="T9364" s="41">
        <v>0</v>
      </c>
      <c r="U9364" s="41">
        <v>0</v>
      </c>
      <c r="V9364" s="42" t="s">
        <v>113</v>
      </c>
      <c r="W9364" s="42">
        <v>0</v>
      </c>
      <c r="X9364" s="42">
        <v>0</v>
      </c>
    </row>
    <row r="9365" spans="1:24">
      <c r="A9365" s="27" t="s">
        <v>17099</v>
      </c>
      <c r="B9365" s="28" t="s">
        <v>12240</v>
      </c>
      <c r="C9365" s="27" t="s">
        <v>17100</v>
      </c>
      <c r="D9365" s="27" t="s">
        <v>230</v>
      </c>
      <c r="E9365" s="29">
        <v>43466</v>
      </c>
      <c r="F9365" s="27">
        <v>15</v>
      </c>
      <c r="G9365" s="18">
        <v>0</v>
      </c>
      <c r="H9365" s="27">
        <f t="shared" si="292"/>
        <v>0</v>
      </c>
      <c r="I9365" s="18">
        <v>0</v>
      </c>
      <c r="J9365" s="27">
        <v>216395.57</v>
      </c>
      <c r="K9365" s="18">
        <f t="shared" si="293"/>
        <v>0</v>
      </c>
      <c r="L9365" s="27">
        <v>12562.96</v>
      </c>
      <c r="M9365" s="36">
        <v>12562.96</v>
      </c>
      <c r="N9365" s="18" t="s">
        <v>123</v>
      </c>
      <c r="O9365" s="19">
        <v>216395.57</v>
      </c>
      <c r="T9365" s="41">
        <v>0</v>
      </c>
      <c r="U9365" s="41">
        <v>0</v>
      </c>
      <c r="V9365" s="42" t="s">
        <v>113</v>
      </c>
      <c r="W9365" s="42">
        <v>0</v>
      </c>
      <c r="X9365" s="42">
        <v>0</v>
      </c>
    </row>
    <row r="9366" spans="1:24">
      <c r="A9366" s="27" t="s">
        <v>17101</v>
      </c>
      <c r="B9366" s="28" t="s">
        <v>12240</v>
      </c>
      <c r="C9366" s="27" t="s">
        <v>17102</v>
      </c>
      <c r="D9366" s="27" t="s">
        <v>230</v>
      </c>
      <c r="E9366" s="29">
        <v>43466</v>
      </c>
      <c r="F9366" s="27">
        <v>15</v>
      </c>
      <c r="G9366" s="18">
        <v>0</v>
      </c>
      <c r="H9366" s="27">
        <f t="shared" si="292"/>
        <v>0</v>
      </c>
      <c r="I9366" s="18">
        <v>0</v>
      </c>
      <c r="J9366" s="27">
        <v>216395.58</v>
      </c>
      <c r="K9366" s="18">
        <f t="shared" si="293"/>
        <v>0</v>
      </c>
      <c r="L9366" s="27">
        <v>12562.97</v>
      </c>
      <c r="M9366" s="36">
        <v>12562.97</v>
      </c>
      <c r="N9366" s="18" t="s">
        <v>123</v>
      </c>
      <c r="O9366" s="19">
        <v>216395.58</v>
      </c>
      <c r="T9366" s="41">
        <v>0</v>
      </c>
      <c r="U9366" s="41">
        <v>0</v>
      </c>
      <c r="V9366" s="42" t="s">
        <v>113</v>
      </c>
      <c r="W9366" s="42">
        <v>0</v>
      </c>
      <c r="X9366" s="42">
        <v>0</v>
      </c>
    </row>
    <row r="9367" spans="1:24">
      <c r="A9367" s="27" t="s">
        <v>17103</v>
      </c>
      <c r="B9367" s="28" t="s">
        <v>12240</v>
      </c>
      <c r="C9367" s="27" t="s">
        <v>17104</v>
      </c>
      <c r="D9367" s="27" t="s">
        <v>230</v>
      </c>
      <c r="E9367" s="29">
        <v>43466</v>
      </c>
      <c r="F9367" s="27">
        <v>15</v>
      </c>
      <c r="G9367" s="18">
        <v>0</v>
      </c>
      <c r="H9367" s="27">
        <f t="shared" si="292"/>
        <v>0</v>
      </c>
      <c r="I9367" s="18">
        <v>0</v>
      </c>
      <c r="J9367" s="27">
        <v>216395.58</v>
      </c>
      <c r="K9367" s="18">
        <f t="shared" si="293"/>
        <v>0</v>
      </c>
      <c r="L9367" s="27">
        <v>12562.97</v>
      </c>
      <c r="M9367" s="36">
        <v>12562.97</v>
      </c>
      <c r="N9367" s="18" t="s">
        <v>123</v>
      </c>
      <c r="O9367" s="19">
        <v>216395.58</v>
      </c>
      <c r="T9367" s="41">
        <v>0</v>
      </c>
      <c r="U9367" s="41">
        <v>0</v>
      </c>
      <c r="V9367" s="42" t="s">
        <v>113</v>
      </c>
      <c r="W9367" s="42">
        <v>0</v>
      </c>
      <c r="X9367" s="42">
        <v>0</v>
      </c>
    </row>
    <row r="9368" spans="1:24">
      <c r="A9368" s="27" t="s">
        <v>17105</v>
      </c>
      <c r="B9368" s="28" t="s">
        <v>12240</v>
      </c>
      <c r="C9368" s="27" t="s">
        <v>13198</v>
      </c>
      <c r="D9368" s="27" t="s">
        <v>230</v>
      </c>
      <c r="E9368" s="29">
        <v>42643</v>
      </c>
      <c r="F9368" s="27">
        <v>15</v>
      </c>
      <c r="G9368" s="18">
        <v>202504.27</v>
      </c>
      <c r="H9368" s="27">
        <f t="shared" si="292"/>
        <v>0</v>
      </c>
      <c r="I9368" s="18">
        <v>33047.379999999997</v>
      </c>
      <c r="J9368" s="27">
        <v>202504.27</v>
      </c>
      <c r="K9368" s="18">
        <f t="shared" si="293"/>
        <v>0</v>
      </c>
      <c r="L9368" s="27">
        <v>45543.98</v>
      </c>
      <c r="M9368" s="36">
        <v>12496.6</v>
      </c>
      <c r="T9368" s="41">
        <v>0</v>
      </c>
      <c r="U9368" s="41">
        <v>0</v>
      </c>
      <c r="V9368" s="42" t="s">
        <v>113</v>
      </c>
      <c r="W9368" s="42">
        <v>0</v>
      </c>
      <c r="X9368" s="42">
        <v>0</v>
      </c>
    </row>
    <row r="9369" spans="1:24">
      <c r="A9369" s="27" t="s">
        <v>17106</v>
      </c>
      <c r="B9369" s="28" t="s">
        <v>12240</v>
      </c>
      <c r="C9369" s="27" t="s">
        <v>17107</v>
      </c>
      <c r="D9369" s="27" t="s">
        <v>230</v>
      </c>
      <c r="E9369" s="29">
        <v>42673</v>
      </c>
      <c r="F9369" s="27">
        <v>15</v>
      </c>
      <c r="G9369" s="18">
        <v>206960.11</v>
      </c>
      <c r="H9369" s="27">
        <f t="shared" si="292"/>
        <v>0</v>
      </c>
      <c r="I9369" s="18">
        <v>31946.17</v>
      </c>
      <c r="J9369" s="27">
        <v>206960.11</v>
      </c>
      <c r="K9369" s="18">
        <f t="shared" si="293"/>
        <v>0</v>
      </c>
      <c r="L9369" s="27">
        <v>44777.279999999999</v>
      </c>
      <c r="M9369" s="36">
        <v>12831.11</v>
      </c>
      <c r="T9369" s="41">
        <v>0</v>
      </c>
      <c r="U9369" s="41">
        <v>0</v>
      </c>
      <c r="V9369" s="42" t="s">
        <v>113</v>
      </c>
      <c r="W9369" s="42">
        <v>0</v>
      </c>
      <c r="X9369" s="42">
        <v>0</v>
      </c>
    </row>
    <row r="9370" spans="1:24">
      <c r="A9370" s="27" t="s">
        <v>17108</v>
      </c>
      <c r="B9370" s="28" t="s">
        <v>12240</v>
      </c>
      <c r="C9370" s="27" t="s">
        <v>17109</v>
      </c>
      <c r="D9370" s="27" t="s">
        <v>230</v>
      </c>
      <c r="E9370" s="29">
        <v>42673</v>
      </c>
      <c r="F9370" s="27">
        <v>15</v>
      </c>
      <c r="G9370" s="18">
        <v>206960.11</v>
      </c>
      <c r="H9370" s="27">
        <f t="shared" si="292"/>
        <v>0</v>
      </c>
      <c r="I9370" s="18">
        <v>31946.17</v>
      </c>
      <c r="J9370" s="27">
        <v>206960.11</v>
      </c>
      <c r="K9370" s="18">
        <f t="shared" si="293"/>
        <v>0</v>
      </c>
      <c r="L9370" s="27">
        <v>44777.279999999999</v>
      </c>
      <c r="M9370" s="36">
        <v>12831.11</v>
      </c>
      <c r="T9370" s="41">
        <v>0</v>
      </c>
      <c r="U9370" s="41">
        <v>0</v>
      </c>
      <c r="V9370" s="42" t="s">
        <v>113</v>
      </c>
      <c r="W9370" s="42">
        <v>0</v>
      </c>
      <c r="X9370" s="42">
        <v>0</v>
      </c>
    </row>
    <row r="9371" spans="1:24">
      <c r="A9371" s="27" t="s">
        <v>17110</v>
      </c>
      <c r="B9371" s="28" t="s">
        <v>12240</v>
      </c>
      <c r="C9371" s="27" t="s">
        <v>17111</v>
      </c>
      <c r="D9371" s="27" t="s">
        <v>230</v>
      </c>
      <c r="E9371" s="29">
        <v>42673</v>
      </c>
      <c r="F9371" s="27">
        <v>15</v>
      </c>
      <c r="G9371" s="18">
        <v>207375.06</v>
      </c>
      <c r="H9371" s="27">
        <f t="shared" si="292"/>
        <v>0</v>
      </c>
      <c r="I9371" s="18">
        <v>32010.23</v>
      </c>
      <c r="J9371" s="27">
        <v>207375.06</v>
      </c>
      <c r="K9371" s="18">
        <f t="shared" si="293"/>
        <v>0</v>
      </c>
      <c r="L9371" s="27">
        <v>44867.07</v>
      </c>
      <c r="M9371" s="36">
        <v>12856.84</v>
      </c>
      <c r="T9371" s="41">
        <v>0</v>
      </c>
      <c r="U9371" s="41">
        <v>0</v>
      </c>
      <c r="V9371" s="42" t="s">
        <v>113</v>
      </c>
      <c r="W9371" s="42">
        <v>0</v>
      </c>
      <c r="X9371" s="42">
        <v>0</v>
      </c>
    </row>
    <row r="9372" spans="1:24">
      <c r="A9372" s="27" t="s">
        <v>17112</v>
      </c>
      <c r="B9372" s="28" t="s">
        <v>12240</v>
      </c>
      <c r="C9372" s="27" t="s">
        <v>17113</v>
      </c>
      <c r="D9372" s="27" t="s">
        <v>230</v>
      </c>
      <c r="E9372" s="29">
        <v>42673</v>
      </c>
      <c r="F9372" s="27">
        <v>15</v>
      </c>
      <c r="G9372" s="18">
        <v>207375.06</v>
      </c>
      <c r="H9372" s="27">
        <f t="shared" si="292"/>
        <v>0</v>
      </c>
      <c r="I9372" s="18">
        <v>32010.23</v>
      </c>
      <c r="J9372" s="27">
        <v>207375.06</v>
      </c>
      <c r="K9372" s="18">
        <f t="shared" si="293"/>
        <v>0</v>
      </c>
      <c r="L9372" s="27">
        <v>44867.07</v>
      </c>
      <c r="M9372" s="36">
        <v>12856.84</v>
      </c>
      <c r="T9372" s="41">
        <v>0</v>
      </c>
      <c r="U9372" s="41">
        <v>0</v>
      </c>
      <c r="V9372" s="42" t="s">
        <v>113</v>
      </c>
      <c r="W9372" s="42">
        <v>0</v>
      </c>
      <c r="X9372" s="42">
        <v>0</v>
      </c>
    </row>
    <row r="9373" spans="1:24">
      <c r="A9373" s="27" t="s">
        <v>17114</v>
      </c>
      <c r="B9373" s="28" t="s">
        <v>12240</v>
      </c>
      <c r="C9373" s="27" t="s">
        <v>17115</v>
      </c>
      <c r="D9373" s="27" t="s">
        <v>230</v>
      </c>
      <c r="E9373" s="29">
        <v>42673</v>
      </c>
      <c r="F9373" s="27">
        <v>15</v>
      </c>
      <c r="G9373" s="18">
        <v>207375.06</v>
      </c>
      <c r="H9373" s="27">
        <f t="shared" si="292"/>
        <v>0</v>
      </c>
      <c r="I9373" s="18">
        <v>32010.23</v>
      </c>
      <c r="J9373" s="27">
        <v>207375.06</v>
      </c>
      <c r="K9373" s="18">
        <f t="shared" si="293"/>
        <v>0</v>
      </c>
      <c r="L9373" s="27">
        <v>44867.07</v>
      </c>
      <c r="M9373" s="36">
        <v>12856.84</v>
      </c>
      <c r="T9373" s="41">
        <v>0</v>
      </c>
      <c r="U9373" s="41">
        <v>0</v>
      </c>
      <c r="V9373" s="42" t="s">
        <v>113</v>
      </c>
      <c r="W9373" s="42">
        <v>0</v>
      </c>
      <c r="X9373" s="42">
        <v>0</v>
      </c>
    </row>
    <row r="9374" spans="1:24">
      <c r="A9374" s="27" t="s">
        <v>17116</v>
      </c>
      <c r="B9374" s="28" t="s">
        <v>12240</v>
      </c>
      <c r="C9374" s="27" t="s">
        <v>17117</v>
      </c>
      <c r="D9374" s="27" t="s">
        <v>230</v>
      </c>
      <c r="E9374" s="29">
        <v>42673</v>
      </c>
      <c r="F9374" s="27">
        <v>15</v>
      </c>
      <c r="G9374" s="18">
        <v>294943.90000000002</v>
      </c>
      <c r="H9374" s="27">
        <f t="shared" si="292"/>
        <v>0</v>
      </c>
      <c r="I9374" s="18">
        <v>45527.28</v>
      </c>
      <c r="J9374" s="27">
        <v>294943.90000000002</v>
      </c>
      <c r="K9374" s="18">
        <f t="shared" si="293"/>
        <v>0</v>
      </c>
      <c r="L9374" s="27">
        <v>63813.21</v>
      </c>
      <c r="M9374" s="36">
        <v>18285.93</v>
      </c>
      <c r="T9374" s="41">
        <v>0</v>
      </c>
      <c r="U9374" s="41">
        <v>0</v>
      </c>
      <c r="V9374" s="42" t="s">
        <v>113</v>
      </c>
      <c r="W9374" s="42">
        <v>0</v>
      </c>
      <c r="X9374" s="42">
        <v>0</v>
      </c>
    </row>
    <row r="9375" spans="1:24">
      <c r="A9375" s="27" t="s">
        <v>17118</v>
      </c>
      <c r="B9375" s="28" t="s">
        <v>12240</v>
      </c>
      <c r="C9375" s="27" t="s">
        <v>17119</v>
      </c>
      <c r="D9375" s="27" t="s">
        <v>230</v>
      </c>
      <c r="E9375" s="29">
        <v>42673</v>
      </c>
      <c r="F9375" s="27">
        <v>15</v>
      </c>
      <c r="G9375" s="18">
        <v>294943.90000000002</v>
      </c>
      <c r="H9375" s="27">
        <f t="shared" si="292"/>
        <v>0</v>
      </c>
      <c r="I9375" s="18">
        <v>45527.28</v>
      </c>
      <c r="J9375" s="27">
        <v>294943.90000000002</v>
      </c>
      <c r="K9375" s="18">
        <f t="shared" si="293"/>
        <v>0</v>
      </c>
      <c r="L9375" s="27">
        <v>63813.21</v>
      </c>
      <c r="M9375" s="36">
        <v>18285.93</v>
      </c>
      <c r="T9375" s="41">
        <v>0</v>
      </c>
      <c r="U9375" s="41">
        <v>0</v>
      </c>
      <c r="V9375" s="42" t="s">
        <v>113</v>
      </c>
      <c r="W9375" s="42">
        <v>0</v>
      </c>
      <c r="X9375" s="42">
        <v>0</v>
      </c>
    </row>
    <row r="9376" spans="1:24">
      <c r="A9376" s="27" t="s">
        <v>17120</v>
      </c>
      <c r="B9376" s="28" t="s">
        <v>12240</v>
      </c>
      <c r="C9376" s="27" t="s">
        <v>17121</v>
      </c>
      <c r="D9376" s="27" t="s">
        <v>230</v>
      </c>
      <c r="E9376" s="29">
        <v>42673</v>
      </c>
      <c r="F9376" s="27">
        <v>15</v>
      </c>
      <c r="G9376" s="18">
        <v>207375.07</v>
      </c>
      <c r="H9376" s="27">
        <f t="shared" si="292"/>
        <v>0</v>
      </c>
      <c r="I9376" s="18">
        <v>32010.23</v>
      </c>
      <c r="J9376" s="27">
        <v>207375.07</v>
      </c>
      <c r="K9376" s="18">
        <f t="shared" si="293"/>
        <v>0</v>
      </c>
      <c r="L9376" s="27">
        <v>44867.07</v>
      </c>
      <c r="M9376" s="36">
        <v>12856.84</v>
      </c>
      <c r="T9376" s="41">
        <v>0</v>
      </c>
      <c r="U9376" s="41">
        <v>0</v>
      </c>
      <c r="V9376" s="42" t="s">
        <v>113</v>
      </c>
      <c r="W9376" s="42">
        <v>0</v>
      </c>
      <c r="X9376" s="42">
        <v>0</v>
      </c>
    </row>
    <row r="9377" spans="1:24">
      <c r="A9377" s="27" t="s">
        <v>17122</v>
      </c>
      <c r="B9377" s="28" t="s">
        <v>12240</v>
      </c>
      <c r="C9377" s="27" t="s">
        <v>17123</v>
      </c>
      <c r="D9377" s="27" t="s">
        <v>230</v>
      </c>
      <c r="E9377" s="29">
        <v>42673</v>
      </c>
      <c r="F9377" s="27">
        <v>15</v>
      </c>
      <c r="G9377" s="18">
        <v>207375.07</v>
      </c>
      <c r="H9377" s="27">
        <f t="shared" si="292"/>
        <v>0</v>
      </c>
      <c r="I9377" s="18">
        <v>32010.23</v>
      </c>
      <c r="J9377" s="27">
        <v>207375.07</v>
      </c>
      <c r="K9377" s="18">
        <f t="shared" si="293"/>
        <v>0</v>
      </c>
      <c r="L9377" s="27">
        <v>44867.07</v>
      </c>
      <c r="M9377" s="36">
        <v>12856.84</v>
      </c>
      <c r="T9377" s="41">
        <v>0</v>
      </c>
      <c r="U9377" s="41">
        <v>0</v>
      </c>
      <c r="V9377" s="42" t="s">
        <v>113</v>
      </c>
      <c r="W9377" s="42">
        <v>0</v>
      </c>
      <c r="X9377" s="42">
        <v>0</v>
      </c>
    </row>
    <row r="9378" spans="1:24">
      <c r="A9378" s="27" t="s">
        <v>17124</v>
      </c>
      <c r="B9378" s="28" t="s">
        <v>12240</v>
      </c>
      <c r="C9378" s="27" t="s">
        <v>17125</v>
      </c>
      <c r="D9378" s="27" t="s">
        <v>230</v>
      </c>
      <c r="E9378" s="29">
        <v>42673</v>
      </c>
      <c r="F9378" s="27">
        <v>15</v>
      </c>
      <c r="G9378" s="18">
        <v>207375.06</v>
      </c>
      <c r="H9378" s="27">
        <f t="shared" si="292"/>
        <v>0</v>
      </c>
      <c r="I9378" s="18">
        <v>32010.23</v>
      </c>
      <c r="J9378" s="27">
        <v>207375.06</v>
      </c>
      <c r="K9378" s="18">
        <f t="shared" si="293"/>
        <v>0</v>
      </c>
      <c r="L9378" s="27">
        <v>44867.07</v>
      </c>
      <c r="M9378" s="36">
        <v>12856.84</v>
      </c>
      <c r="T9378" s="41">
        <v>0</v>
      </c>
      <c r="U9378" s="41">
        <v>0</v>
      </c>
      <c r="V9378" s="42" t="s">
        <v>113</v>
      </c>
      <c r="W9378" s="42">
        <v>0</v>
      </c>
      <c r="X9378" s="42">
        <v>0</v>
      </c>
    </row>
    <row r="9379" spans="1:24">
      <c r="A9379" s="27" t="s">
        <v>17126</v>
      </c>
      <c r="B9379" s="28" t="s">
        <v>12240</v>
      </c>
      <c r="C9379" s="27" t="s">
        <v>17127</v>
      </c>
      <c r="D9379" s="27" t="s">
        <v>230</v>
      </c>
      <c r="E9379" s="29">
        <v>42673</v>
      </c>
      <c r="F9379" s="27">
        <v>15</v>
      </c>
      <c r="G9379" s="18">
        <v>206960.1</v>
      </c>
      <c r="H9379" s="27">
        <f t="shared" si="292"/>
        <v>0</v>
      </c>
      <c r="I9379" s="18">
        <v>31946.17</v>
      </c>
      <c r="J9379" s="27">
        <v>206960.1</v>
      </c>
      <c r="K9379" s="18">
        <f t="shared" si="293"/>
        <v>0</v>
      </c>
      <c r="L9379" s="27">
        <v>44777.279999999999</v>
      </c>
      <c r="M9379" s="36">
        <v>12831.11</v>
      </c>
      <c r="T9379" s="41">
        <v>0</v>
      </c>
      <c r="U9379" s="41">
        <v>0</v>
      </c>
      <c r="V9379" s="42" t="s">
        <v>113</v>
      </c>
      <c r="W9379" s="42">
        <v>0</v>
      </c>
      <c r="X9379" s="42">
        <v>0</v>
      </c>
    </row>
    <row r="9380" spans="1:24">
      <c r="A9380" s="27" t="s">
        <v>17128</v>
      </c>
      <c r="B9380" s="28" t="s">
        <v>12240</v>
      </c>
      <c r="C9380" s="27" t="s">
        <v>17129</v>
      </c>
      <c r="D9380" s="27" t="s">
        <v>230</v>
      </c>
      <c r="E9380" s="29">
        <v>42673</v>
      </c>
      <c r="F9380" s="27">
        <v>15</v>
      </c>
      <c r="G9380" s="18">
        <v>182391.47</v>
      </c>
      <c r="H9380" s="27">
        <f t="shared" si="292"/>
        <v>0</v>
      </c>
      <c r="I9380" s="18">
        <v>28153.79</v>
      </c>
      <c r="J9380" s="27">
        <v>182391.47</v>
      </c>
      <c r="K9380" s="18">
        <f t="shared" si="293"/>
        <v>0</v>
      </c>
      <c r="L9380" s="27">
        <v>39461.69</v>
      </c>
      <c r="M9380" s="36">
        <v>11307.9</v>
      </c>
      <c r="T9380" s="41">
        <v>0</v>
      </c>
      <c r="U9380" s="41">
        <v>0</v>
      </c>
      <c r="V9380" s="42" t="s">
        <v>113</v>
      </c>
      <c r="W9380" s="42">
        <v>0</v>
      </c>
      <c r="X9380" s="42">
        <v>0</v>
      </c>
    </row>
    <row r="9381" spans="1:24">
      <c r="A9381" s="27" t="s">
        <v>17130</v>
      </c>
      <c r="B9381" s="28" t="s">
        <v>12240</v>
      </c>
      <c r="C9381" s="27" t="s">
        <v>17131</v>
      </c>
      <c r="D9381" s="27" t="s">
        <v>230</v>
      </c>
      <c r="E9381" s="29">
        <v>42673</v>
      </c>
      <c r="F9381" s="27">
        <v>15</v>
      </c>
      <c r="G9381" s="18">
        <v>206960.1</v>
      </c>
      <c r="H9381" s="27">
        <f t="shared" si="292"/>
        <v>0</v>
      </c>
      <c r="I9381" s="18">
        <v>31946.17</v>
      </c>
      <c r="J9381" s="27">
        <v>206960.1</v>
      </c>
      <c r="K9381" s="18">
        <f t="shared" si="293"/>
        <v>0</v>
      </c>
      <c r="L9381" s="27">
        <v>44777.279999999999</v>
      </c>
      <c r="M9381" s="36">
        <v>12831.11</v>
      </c>
      <c r="T9381" s="41">
        <v>0</v>
      </c>
      <c r="U9381" s="41">
        <v>0</v>
      </c>
      <c r="V9381" s="42" t="s">
        <v>113</v>
      </c>
      <c r="W9381" s="42">
        <v>0</v>
      </c>
      <c r="X9381" s="42">
        <v>0</v>
      </c>
    </row>
    <row r="9382" spans="1:24">
      <c r="A9382" s="27" t="s">
        <v>17132</v>
      </c>
      <c r="B9382" s="28" t="s">
        <v>12240</v>
      </c>
      <c r="C9382" s="27" t="s">
        <v>17133</v>
      </c>
      <c r="D9382" s="27" t="s">
        <v>230</v>
      </c>
      <c r="E9382" s="29">
        <v>42673</v>
      </c>
      <c r="F9382" s="27">
        <v>15</v>
      </c>
      <c r="G9382" s="18">
        <v>206960.11</v>
      </c>
      <c r="H9382" s="27">
        <f t="shared" si="292"/>
        <v>0</v>
      </c>
      <c r="I9382" s="18">
        <v>31946.17</v>
      </c>
      <c r="J9382" s="27">
        <v>206960.11</v>
      </c>
      <c r="K9382" s="18">
        <f t="shared" si="293"/>
        <v>0</v>
      </c>
      <c r="L9382" s="27">
        <v>44777.279999999999</v>
      </c>
      <c r="M9382" s="36">
        <v>12831.11</v>
      </c>
      <c r="T9382" s="41">
        <v>0</v>
      </c>
      <c r="U9382" s="41">
        <v>0</v>
      </c>
      <c r="V9382" s="42" t="s">
        <v>113</v>
      </c>
      <c r="W9382" s="42">
        <v>0</v>
      </c>
      <c r="X9382" s="42">
        <v>0</v>
      </c>
    </row>
    <row r="9383" spans="1:24">
      <c r="A9383" s="27" t="s">
        <v>17134</v>
      </c>
      <c r="B9383" s="28" t="s">
        <v>12240</v>
      </c>
      <c r="C9383" s="27" t="s">
        <v>17135</v>
      </c>
      <c r="D9383" s="27" t="s">
        <v>230</v>
      </c>
      <c r="E9383" s="29">
        <v>42673</v>
      </c>
      <c r="F9383" s="27">
        <v>15</v>
      </c>
      <c r="G9383" s="18">
        <v>206960.1</v>
      </c>
      <c r="H9383" s="27">
        <f t="shared" si="292"/>
        <v>0</v>
      </c>
      <c r="I9383" s="18">
        <v>31946.17</v>
      </c>
      <c r="J9383" s="27">
        <v>206960.1</v>
      </c>
      <c r="K9383" s="18">
        <f t="shared" si="293"/>
        <v>0</v>
      </c>
      <c r="L9383" s="27">
        <v>44777.279999999999</v>
      </c>
      <c r="M9383" s="36">
        <v>12831.11</v>
      </c>
      <c r="T9383" s="41">
        <v>0</v>
      </c>
      <c r="U9383" s="41">
        <v>0</v>
      </c>
      <c r="V9383" s="42" t="s">
        <v>113</v>
      </c>
      <c r="W9383" s="42">
        <v>0</v>
      </c>
      <c r="X9383" s="42">
        <v>0</v>
      </c>
    </row>
    <row r="9384" spans="1:24">
      <c r="A9384" s="27" t="s">
        <v>17136</v>
      </c>
      <c r="B9384" s="28" t="s">
        <v>12240</v>
      </c>
      <c r="C9384" s="27" t="s">
        <v>17137</v>
      </c>
      <c r="D9384" s="27" t="s">
        <v>230</v>
      </c>
      <c r="E9384" s="29">
        <v>42673</v>
      </c>
      <c r="F9384" s="27">
        <v>15</v>
      </c>
      <c r="G9384" s="18">
        <v>128789.15</v>
      </c>
      <c r="H9384" s="27">
        <f t="shared" si="292"/>
        <v>0</v>
      </c>
      <c r="I9384" s="18">
        <v>19913.46</v>
      </c>
      <c r="J9384" s="27">
        <v>128789.15</v>
      </c>
      <c r="K9384" s="18">
        <f t="shared" si="293"/>
        <v>0</v>
      </c>
      <c r="L9384" s="27">
        <v>27895.5</v>
      </c>
      <c r="M9384" s="36">
        <v>7982.04</v>
      </c>
      <c r="T9384" s="41">
        <v>0</v>
      </c>
      <c r="U9384" s="41">
        <v>0</v>
      </c>
      <c r="V9384" s="42" t="s">
        <v>113</v>
      </c>
      <c r="W9384" s="42">
        <v>0</v>
      </c>
      <c r="X9384" s="42">
        <v>0</v>
      </c>
    </row>
    <row r="9385" spans="1:24">
      <c r="A9385" s="27" t="s">
        <v>17138</v>
      </c>
      <c r="B9385" s="28" t="s">
        <v>12240</v>
      </c>
      <c r="C9385" s="27" t="s">
        <v>17139</v>
      </c>
      <c r="D9385" s="27" t="s">
        <v>230</v>
      </c>
      <c r="E9385" s="29">
        <v>42673</v>
      </c>
      <c r="F9385" s="27">
        <v>15</v>
      </c>
      <c r="G9385" s="18">
        <v>175600.3</v>
      </c>
      <c r="H9385" s="27">
        <f t="shared" si="292"/>
        <v>0</v>
      </c>
      <c r="I9385" s="18">
        <v>27105.51</v>
      </c>
      <c r="J9385" s="27">
        <v>175600.3</v>
      </c>
      <c r="K9385" s="18">
        <f t="shared" si="293"/>
        <v>0</v>
      </c>
      <c r="L9385" s="27">
        <v>37992.379999999997</v>
      </c>
      <c r="M9385" s="36">
        <v>10886.87</v>
      </c>
      <c r="T9385" s="41">
        <v>0</v>
      </c>
      <c r="U9385" s="41">
        <v>0</v>
      </c>
      <c r="V9385" s="42" t="s">
        <v>113</v>
      </c>
      <c r="W9385" s="42">
        <v>0</v>
      </c>
      <c r="X9385" s="42">
        <v>0</v>
      </c>
    </row>
    <row r="9386" spans="1:24">
      <c r="A9386" s="27" t="s">
        <v>17140</v>
      </c>
      <c r="B9386" s="28" t="s">
        <v>12240</v>
      </c>
      <c r="C9386" s="27" t="s">
        <v>17141</v>
      </c>
      <c r="D9386" s="27" t="s">
        <v>230</v>
      </c>
      <c r="E9386" s="29">
        <v>42673</v>
      </c>
      <c r="F9386" s="27">
        <v>15</v>
      </c>
      <c r="G9386" s="18">
        <v>128789.15</v>
      </c>
      <c r="H9386" s="27">
        <f t="shared" si="292"/>
        <v>0</v>
      </c>
      <c r="I9386" s="18">
        <v>19913.46</v>
      </c>
      <c r="J9386" s="27">
        <v>128789.15</v>
      </c>
      <c r="K9386" s="18">
        <f t="shared" si="293"/>
        <v>0</v>
      </c>
      <c r="L9386" s="27">
        <v>27895.5</v>
      </c>
      <c r="M9386" s="36">
        <v>7982.04</v>
      </c>
      <c r="T9386" s="41">
        <v>0</v>
      </c>
      <c r="U9386" s="41">
        <v>0</v>
      </c>
      <c r="V9386" s="42" t="s">
        <v>113</v>
      </c>
      <c r="W9386" s="42">
        <v>0</v>
      </c>
      <c r="X9386" s="42">
        <v>0</v>
      </c>
    </row>
    <row r="9387" spans="1:24">
      <c r="A9387" s="27" t="s">
        <v>17142</v>
      </c>
      <c r="B9387" s="28" t="s">
        <v>12240</v>
      </c>
      <c r="C9387" s="27" t="s">
        <v>17143</v>
      </c>
      <c r="D9387" s="27" t="s">
        <v>230</v>
      </c>
      <c r="E9387" s="29">
        <v>42673</v>
      </c>
      <c r="F9387" s="27">
        <v>15</v>
      </c>
      <c r="G9387" s="18">
        <v>128789.15</v>
      </c>
      <c r="H9387" s="27">
        <f t="shared" si="292"/>
        <v>0</v>
      </c>
      <c r="I9387" s="18">
        <v>19913.46</v>
      </c>
      <c r="J9387" s="27">
        <v>128789.15</v>
      </c>
      <c r="K9387" s="18">
        <f t="shared" si="293"/>
        <v>0</v>
      </c>
      <c r="L9387" s="27">
        <v>27895.5</v>
      </c>
      <c r="M9387" s="36">
        <v>7982.04</v>
      </c>
      <c r="T9387" s="41">
        <v>0</v>
      </c>
      <c r="U9387" s="41">
        <v>0</v>
      </c>
      <c r="V9387" s="42" t="s">
        <v>113</v>
      </c>
      <c r="W9387" s="42">
        <v>0</v>
      </c>
      <c r="X9387" s="42">
        <v>0</v>
      </c>
    </row>
    <row r="9388" spans="1:24">
      <c r="A9388" s="27" t="s">
        <v>17144</v>
      </c>
      <c r="B9388" s="28" t="s">
        <v>12240</v>
      </c>
      <c r="C9388" s="27" t="s">
        <v>17145</v>
      </c>
      <c r="D9388" s="27" t="s">
        <v>230</v>
      </c>
      <c r="E9388" s="29">
        <v>42673</v>
      </c>
      <c r="F9388" s="27">
        <v>15</v>
      </c>
      <c r="G9388" s="18">
        <v>128789.15</v>
      </c>
      <c r="H9388" s="27">
        <f t="shared" si="292"/>
        <v>0</v>
      </c>
      <c r="I9388" s="18">
        <v>19913.46</v>
      </c>
      <c r="J9388" s="27">
        <v>128789.15</v>
      </c>
      <c r="K9388" s="18">
        <f t="shared" si="293"/>
        <v>0</v>
      </c>
      <c r="L9388" s="27">
        <v>27895.5</v>
      </c>
      <c r="M9388" s="36">
        <v>7982.04</v>
      </c>
      <c r="T9388" s="41">
        <v>0</v>
      </c>
      <c r="U9388" s="41">
        <v>0</v>
      </c>
      <c r="V9388" s="42" t="s">
        <v>113</v>
      </c>
      <c r="W9388" s="42">
        <v>0</v>
      </c>
      <c r="X9388" s="42">
        <v>0</v>
      </c>
    </row>
    <row r="9389" spans="1:24">
      <c r="A9389" s="27" t="s">
        <v>17146</v>
      </c>
      <c r="B9389" s="28" t="s">
        <v>12240</v>
      </c>
      <c r="C9389" s="27" t="s">
        <v>17147</v>
      </c>
      <c r="D9389" s="27" t="s">
        <v>230</v>
      </c>
      <c r="E9389" s="29">
        <v>42673</v>
      </c>
      <c r="F9389" s="27">
        <v>15</v>
      </c>
      <c r="G9389" s="18">
        <v>182391.47</v>
      </c>
      <c r="H9389" s="27">
        <f t="shared" si="292"/>
        <v>0</v>
      </c>
      <c r="I9389" s="18">
        <v>28153.79</v>
      </c>
      <c r="J9389" s="27">
        <v>182391.47</v>
      </c>
      <c r="K9389" s="18">
        <f t="shared" si="293"/>
        <v>0</v>
      </c>
      <c r="L9389" s="27">
        <v>39461.69</v>
      </c>
      <c r="M9389" s="36">
        <v>11307.9</v>
      </c>
      <c r="T9389" s="41">
        <v>0</v>
      </c>
      <c r="U9389" s="41">
        <v>0</v>
      </c>
      <c r="V9389" s="42" t="s">
        <v>113</v>
      </c>
      <c r="W9389" s="42">
        <v>0</v>
      </c>
      <c r="X9389" s="42">
        <v>0</v>
      </c>
    </row>
    <row r="9390" spans="1:24">
      <c r="A9390" s="27" t="s">
        <v>17148</v>
      </c>
      <c r="B9390" s="28" t="s">
        <v>12240</v>
      </c>
      <c r="C9390" s="27" t="s">
        <v>17149</v>
      </c>
      <c r="D9390" s="27" t="s">
        <v>230</v>
      </c>
      <c r="E9390" s="29">
        <v>42673</v>
      </c>
      <c r="F9390" s="27">
        <v>15</v>
      </c>
      <c r="G9390" s="18">
        <v>128789.15</v>
      </c>
      <c r="H9390" s="27">
        <f t="shared" si="292"/>
        <v>0</v>
      </c>
      <c r="I9390" s="18">
        <v>19913.46</v>
      </c>
      <c r="J9390" s="27">
        <v>128789.15</v>
      </c>
      <c r="K9390" s="18">
        <f t="shared" si="293"/>
        <v>0</v>
      </c>
      <c r="L9390" s="27">
        <v>27895.5</v>
      </c>
      <c r="M9390" s="36">
        <v>7982.04</v>
      </c>
      <c r="T9390" s="41">
        <v>0</v>
      </c>
      <c r="U9390" s="41">
        <v>0</v>
      </c>
      <c r="V9390" s="42" t="s">
        <v>113</v>
      </c>
      <c r="W9390" s="42">
        <v>0</v>
      </c>
      <c r="X9390" s="42">
        <v>0</v>
      </c>
    </row>
    <row r="9391" spans="1:24">
      <c r="A9391" s="27" t="s">
        <v>17150</v>
      </c>
      <c r="B9391" s="28" t="s">
        <v>12240</v>
      </c>
      <c r="C9391" s="27" t="s">
        <v>17151</v>
      </c>
      <c r="D9391" s="27" t="s">
        <v>230</v>
      </c>
      <c r="E9391" s="29">
        <v>42673</v>
      </c>
      <c r="F9391" s="27">
        <v>15</v>
      </c>
      <c r="G9391" s="18">
        <v>128789.15</v>
      </c>
      <c r="H9391" s="27">
        <f t="shared" si="292"/>
        <v>0</v>
      </c>
      <c r="I9391" s="18">
        <v>19913.46</v>
      </c>
      <c r="J9391" s="27">
        <v>128789.15</v>
      </c>
      <c r="K9391" s="18">
        <f t="shared" si="293"/>
        <v>0</v>
      </c>
      <c r="L9391" s="27">
        <v>27895.5</v>
      </c>
      <c r="M9391" s="36">
        <v>7982.04</v>
      </c>
      <c r="T9391" s="41">
        <v>0</v>
      </c>
      <c r="U9391" s="41">
        <v>0</v>
      </c>
      <c r="V9391" s="42" t="s">
        <v>113</v>
      </c>
      <c r="W9391" s="42">
        <v>0</v>
      </c>
      <c r="X9391" s="42">
        <v>0</v>
      </c>
    </row>
    <row r="9392" spans="1:24">
      <c r="A9392" s="27" t="s">
        <v>17152</v>
      </c>
      <c r="B9392" s="28" t="s">
        <v>12240</v>
      </c>
      <c r="C9392" s="27" t="s">
        <v>17153</v>
      </c>
      <c r="D9392" s="27" t="s">
        <v>230</v>
      </c>
      <c r="E9392" s="29">
        <v>42673</v>
      </c>
      <c r="F9392" s="27">
        <v>15</v>
      </c>
      <c r="G9392" s="18">
        <v>127280.43</v>
      </c>
      <c r="H9392" s="27">
        <f t="shared" si="292"/>
        <v>0</v>
      </c>
      <c r="I9392" s="18">
        <v>19680.189999999999</v>
      </c>
      <c r="J9392" s="27">
        <v>127280.43</v>
      </c>
      <c r="K9392" s="18">
        <f t="shared" si="293"/>
        <v>0</v>
      </c>
      <c r="L9392" s="27">
        <v>27568.73</v>
      </c>
      <c r="M9392" s="36">
        <v>7888.54</v>
      </c>
      <c r="T9392" s="41">
        <v>0</v>
      </c>
      <c r="U9392" s="41">
        <v>0</v>
      </c>
      <c r="V9392" s="42" t="s">
        <v>113</v>
      </c>
      <c r="W9392" s="42">
        <v>0</v>
      </c>
      <c r="X9392" s="42">
        <v>0</v>
      </c>
    </row>
    <row r="9393" spans="1:24">
      <c r="A9393" s="27" t="s">
        <v>17154</v>
      </c>
      <c r="B9393" s="28" t="s">
        <v>12240</v>
      </c>
      <c r="C9393" s="27" t="s">
        <v>17155</v>
      </c>
      <c r="D9393" s="27" t="s">
        <v>230</v>
      </c>
      <c r="E9393" s="29">
        <v>42673</v>
      </c>
      <c r="F9393" s="27">
        <v>15</v>
      </c>
      <c r="G9393" s="18">
        <v>128789.15</v>
      </c>
      <c r="H9393" s="27">
        <f t="shared" si="292"/>
        <v>0</v>
      </c>
      <c r="I9393" s="18">
        <v>19913.46</v>
      </c>
      <c r="J9393" s="27">
        <v>128789.15</v>
      </c>
      <c r="K9393" s="18">
        <f t="shared" si="293"/>
        <v>0</v>
      </c>
      <c r="L9393" s="27">
        <v>27895.5</v>
      </c>
      <c r="M9393" s="36">
        <v>7982.04</v>
      </c>
      <c r="T9393" s="41">
        <v>0</v>
      </c>
      <c r="U9393" s="41">
        <v>0</v>
      </c>
      <c r="V9393" s="42" t="s">
        <v>113</v>
      </c>
      <c r="W9393" s="42">
        <v>0</v>
      </c>
      <c r="X9393" s="42">
        <v>0</v>
      </c>
    </row>
    <row r="9394" spans="1:24">
      <c r="A9394" s="27" t="s">
        <v>17156</v>
      </c>
      <c r="B9394" s="28" t="s">
        <v>12240</v>
      </c>
      <c r="C9394" s="27" t="s">
        <v>17157</v>
      </c>
      <c r="D9394" s="27" t="s">
        <v>230</v>
      </c>
      <c r="E9394" s="29">
        <v>42673</v>
      </c>
      <c r="F9394" s="27">
        <v>15</v>
      </c>
      <c r="G9394" s="18">
        <v>128789.15</v>
      </c>
      <c r="H9394" s="27">
        <f t="shared" si="292"/>
        <v>0</v>
      </c>
      <c r="I9394" s="18">
        <v>19913.46</v>
      </c>
      <c r="J9394" s="27">
        <v>128789.15</v>
      </c>
      <c r="K9394" s="18">
        <f t="shared" si="293"/>
        <v>0</v>
      </c>
      <c r="L9394" s="27">
        <v>27895.5</v>
      </c>
      <c r="M9394" s="36">
        <v>7982.04</v>
      </c>
      <c r="T9394" s="41">
        <v>0</v>
      </c>
      <c r="U9394" s="41">
        <v>0</v>
      </c>
      <c r="V9394" s="42" t="s">
        <v>113</v>
      </c>
      <c r="W9394" s="42">
        <v>0</v>
      </c>
      <c r="X9394" s="42">
        <v>0</v>
      </c>
    </row>
    <row r="9395" spans="1:24">
      <c r="A9395" s="27" t="s">
        <v>17158</v>
      </c>
      <c r="B9395" s="28" t="s">
        <v>12240</v>
      </c>
      <c r="C9395" s="27" t="s">
        <v>17159</v>
      </c>
      <c r="D9395" s="27" t="s">
        <v>230</v>
      </c>
      <c r="E9395" s="29">
        <v>42673</v>
      </c>
      <c r="F9395" s="27">
        <v>15</v>
      </c>
      <c r="G9395" s="18">
        <v>127280.43</v>
      </c>
      <c r="H9395" s="27">
        <f t="shared" si="292"/>
        <v>0</v>
      </c>
      <c r="I9395" s="18">
        <v>19680.189999999999</v>
      </c>
      <c r="J9395" s="27">
        <v>127280.43</v>
      </c>
      <c r="K9395" s="18">
        <f t="shared" si="293"/>
        <v>0</v>
      </c>
      <c r="L9395" s="27">
        <v>27568.73</v>
      </c>
      <c r="M9395" s="36">
        <v>7888.54</v>
      </c>
      <c r="T9395" s="41">
        <v>0</v>
      </c>
      <c r="U9395" s="41">
        <v>0</v>
      </c>
      <c r="V9395" s="42" t="s">
        <v>113</v>
      </c>
      <c r="W9395" s="42">
        <v>0</v>
      </c>
      <c r="X9395" s="42">
        <v>0</v>
      </c>
    </row>
    <row r="9396" spans="1:24">
      <c r="A9396" s="27" t="s">
        <v>17160</v>
      </c>
      <c r="B9396" s="28" t="s">
        <v>12240</v>
      </c>
      <c r="C9396" s="27" t="s">
        <v>17161</v>
      </c>
      <c r="D9396" s="27" t="s">
        <v>230</v>
      </c>
      <c r="E9396" s="29">
        <v>42673</v>
      </c>
      <c r="F9396" s="27">
        <v>15</v>
      </c>
      <c r="G9396" s="18">
        <v>128789.18</v>
      </c>
      <c r="H9396" s="27">
        <f t="shared" si="292"/>
        <v>0</v>
      </c>
      <c r="I9396" s="18">
        <v>19913.47</v>
      </c>
      <c r="J9396" s="27">
        <v>128789.18</v>
      </c>
      <c r="K9396" s="18">
        <f t="shared" si="293"/>
        <v>0</v>
      </c>
      <c r="L9396" s="27">
        <v>27895.52</v>
      </c>
      <c r="M9396" s="36">
        <v>7982.05</v>
      </c>
      <c r="T9396" s="41">
        <v>0</v>
      </c>
      <c r="U9396" s="41">
        <v>0</v>
      </c>
      <c r="V9396" s="42" t="s">
        <v>113</v>
      </c>
      <c r="W9396" s="42">
        <v>0</v>
      </c>
      <c r="X9396" s="42">
        <v>0</v>
      </c>
    </row>
    <row r="9397" spans="1:24">
      <c r="A9397" s="27" t="s">
        <v>17162</v>
      </c>
      <c r="B9397" s="28" t="s">
        <v>12240</v>
      </c>
      <c r="C9397" s="27" t="s">
        <v>17163</v>
      </c>
      <c r="D9397" s="27" t="s">
        <v>230</v>
      </c>
      <c r="E9397" s="29">
        <v>42673</v>
      </c>
      <c r="F9397" s="27">
        <v>15</v>
      </c>
      <c r="G9397" s="18">
        <v>128789.17</v>
      </c>
      <c r="H9397" s="27">
        <f t="shared" si="292"/>
        <v>0</v>
      </c>
      <c r="I9397" s="18">
        <v>19913.47</v>
      </c>
      <c r="J9397" s="27">
        <v>128789.17</v>
      </c>
      <c r="K9397" s="18">
        <f t="shared" si="293"/>
        <v>0</v>
      </c>
      <c r="L9397" s="27">
        <v>27895.51</v>
      </c>
      <c r="M9397" s="36">
        <v>7982.04</v>
      </c>
      <c r="T9397" s="41">
        <v>0</v>
      </c>
      <c r="U9397" s="41">
        <v>0</v>
      </c>
      <c r="V9397" s="42" t="s">
        <v>113</v>
      </c>
      <c r="W9397" s="42">
        <v>0</v>
      </c>
      <c r="X9397" s="42">
        <v>0</v>
      </c>
    </row>
    <row r="9398" spans="1:24">
      <c r="A9398" s="27" t="s">
        <v>17164</v>
      </c>
      <c r="B9398" s="28" t="s">
        <v>12240</v>
      </c>
      <c r="C9398" s="27" t="s">
        <v>17165</v>
      </c>
      <c r="D9398" s="27" t="s">
        <v>230</v>
      </c>
      <c r="E9398" s="29">
        <v>42673</v>
      </c>
      <c r="F9398" s="27">
        <v>15</v>
      </c>
      <c r="G9398" s="18">
        <v>128789.15</v>
      </c>
      <c r="H9398" s="27">
        <f t="shared" si="292"/>
        <v>0</v>
      </c>
      <c r="I9398" s="18">
        <v>19913.46</v>
      </c>
      <c r="J9398" s="27">
        <v>128789.15</v>
      </c>
      <c r="K9398" s="18">
        <f t="shared" si="293"/>
        <v>0</v>
      </c>
      <c r="L9398" s="27">
        <v>27895.5</v>
      </c>
      <c r="M9398" s="36">
        <v>7982.04</v>
      </c>
      <c r="T9398" s="41">
        <v>0</v>
      </c>
      <c r="U9398" s="41">
        <v>0</v>
      </c>
      <c r="V9398" s="42" t="s">
        <v>113</v>
      </c>
      <c r="W9398" s="42">
        <v>0</v>
      </c>
      <c r="X9398" s="42">
        <v>0</v>
      </c>
    </row>
    <row r="9399" spans="1:24">
      <c r="A9399" s="27" t="s">
        <v>17166</v>
      </c>
      <c r="B9399" s="28" t="s">
        <v>12240</v>
      </c>
      <c r="C9399" s="27" t="s">
        <v>13182</v>
      </c>
      <c r="D9399" s="27" t="s">
        <v>230</v>
      </c>
      <c r="E9399" s="29">
        <v>42643</v>
      </c>
      <c r="F9399" s="27">
        <v>15</v>
      </c>
      <c r="G9399" s="18">
        <v>203870</v>
      </c>
      <c r="H9399" s="27">
        <f t="shared" si="292"/>
        <v>0</v>
      </c>
      <c r="I9399" s="18">
        <v>33151</v>
      </c>
      <c r="J9399" s="27">
        <v>203870</v>
      </c>
      <c r="K9399" s="18">
        <f t="shared" si="293"/>
        <v>0</v>
      </c>
      <c r="L9399" s="27">
        <v>45741.24</v>
      </c>
      <c r="M9399" s="36">
        <v>12590.24</v>
      </c>
      <c r="T9399" s="41">
        <v>0</v>
      </c>
      <c r="U9399" s="41">
        <v>0</v>
      </c>
      <c r="V9399" s="42" t="s">
        <v>113</v>
      </c>
      <c r="W9399" s="42">
        <v>0</v>
      </c>
      <c r="X9399" s="42">
        <v>0</v>
      </c>
    </row>
    <row r="9400" spans="1:24">
      <c r="A9400" s="27" t="s">
        <v>17167</v>
      </c>
      <c r="B9400" s="28" t="s">
        <v>12240</v>
      </c>
      <c r="C9400" s="27" t="s">
        <v>15146</v>
      </c>
      <c r="D9400" s="27" t="s">
        <v>230</v>
      </c>
      <c r="E9400" s="29">
        <v>42673</v>
      </c>
      <c r="F9400" s="27">
        <v>15</v>
      </c>
      <c r="G9400" s="18">
        <v>206960.1</v>
      </c>
      <c r="H9400" s="27">
        <f t="shared" si="292"/>
        <v>0</v>
      </c>
      <c r="I9400" s="18">
        <v>31946.17</v>
      </c>
      <c r="J9400" s="27">
        <v>206960.1</v>
      </c>
      <c r="K9400" s="18">
        <f t="shared" si="293"/>
        <v>0</v>
      </c>
      <c r="L9400" s="27">
        <v>44777.279999999999</v>
      </c>
      <c r="M9400" s="36">
        <v>12831.11</v>
      </c>
      <c r="T9400" s="41">
        <v>0</v>
      </c>
      <c r="U9400" s="41">
        <v>0</v>
      </c>
      <c r="V9400" s="42" t="s">
        <v>113</v>
      </c>
      <c r="W9400" s="42">
        <v>0</v>
      </c>
      <c r="X9400" s="42">
        <v>0</v>
      </c>
    </row>
    <row r="9401" spans="1:24">
      <c r="A9401" s="27" t="s">
        <v>17168</v>
      </c>
      <c r="B9401" s="28" t="s">
        <v>12240</v>
      </c>
      <c r="C9401" s="27" t="s">
        <v>17169</v>
      </c>
      <c r="D9401" s="27" t="s">
        <v>230</v>
      </c>
      <c r="E9401" s="29">
        <v>42673</v>
      </c>
      <c r="F9401" s="27">
        <v>15</v>
      </c>
      <c r="G9401" s="18">
        <v>206960.1</v>
      </c>
      <c r="H9401" s="27">
        <f t="shared" si="292"/>
        <v>0</v>
      </c>
      <c r="I9401" s="18">
        <v>31946.17</v>
      </c>
      <c r="J9401" s="27">
        <v>206960.1</v>
      </c>
      <c r="K9401" s="18">
        <f t="shared" si="293"/>
        <v>0</v>
      </c>
      <c r="L9401" s="27">
        <v>44777.279999999999</v>
      </c>
      <c r="M9401" s="36">
        <v>12831.11</v>
      </c>
      <c r="T9401" s="41">
        <v>0</v>
      </c>
      <c r="U9401" s="41">
        <v>0</v>
      </c>
      <c r="V9401" s="42" t="s">
        <v>113</v>
      </c>
      <c r="W9401" s="42">
        <v>0</v>
      </c>
      <c r="X9401" s="42">
        <v>0</v>
      </c>
    </row>
    <row r="9402" spans="1:24">
      <c r="A9402" s="27" t="s">
        <v>17170</v>
      </c>
      <c r="B9402" s="28" t="s">
        <v>12240</v>
      </c>
      <c r="C9402" s="27" t="s">
        <v>17171</v>
      </c>
      <c r="D9402" s="27" t="s">
        <v>230</v>
      </c>
      <c r="E9402" s="29">
        <v>42673</v>
      </c>
      <c r="F9402" s="27">
        <v>15</v>
      </c>
      <c r="G9402" s="18">
        <v>127280.43</v>
      </c>
      <c r="H9402" s="27">
        <f t="shared" si="292"/>
        <v>0</v>
      </c>
      <c r="I9402" s="18">
        <v>19680.189999999999</v>
      </c>
      <c r="J9402" s="27">
        <v>127280.43</v>
      </c>
      <c r="K9402" s="18">
        <f t="shared" si="293"/>
        <v>0</v>
      </c>
      <c r="L9402" s="27">
        <v>27568.73</v>
      </c>
      <c r="M9402" s="36">
        <v>7888.54</v>
      </c>
      <c r="T9402" s="41">
        <v>0</v>
      </c>
      <c r="U9402" s="41">
        <v>0</v>
      </c>
      <c r="V9402" s="42" t="s">
        <v>113</v>
      </c>
      <c r="W9402" s="42">
        <v>0</v>
      </c>
      <c r="X9402" s="42">
        <v>0</v>
      </c>
    </row>
    <row r="9403" spans="1:24">
      <c r="A9403" s="27" t="s">
        <v>17172</v>
      </c>
      <c r="B9403" s="28" t="s">
        <v>12240</v>
      </c>
      <c r="C9403" s="27" t="s">
        <v>17173</v>
      </c>
      <c r="D9403" s="27" t="s">
        <v>230</v>
      </c>
      <c r="E9403" s="29">
        <v>42673</v>
      </c>
      <c r="F9403" s="27">
        <v>15</v>
      </c>
      <c r="G9403" s="18">
        <v>127280.43</v>
      </c>
      <c r="H9403" s="27">
        <f t="shared" si="292"/>
        <v>0</v>
      </c>
      <c r="I9403" s="18">
        <v>19680.189999999999</v>
      </c>
      <c r="J9403" s="27">
        <v>127280.43</v>
      </c>
      <c r="K9403" s="18">
        <f t="shared" si="293"/>
        <v>0</v>
      </c>
      <c r="L9403" s="27">
        <v>27568.73</v>
      </c>
      <c r="M9403" s="36">
        <v>7888.54</v>
      </c>
      <c r="T9403" s="41">
        <v>0</v>
      </c>
      <c r="U9403" s="41">
        <v>0</v>
      </c>
      <c r="V9403" s="42" t="s">
        <v>113</v>
      </c>
      <c r="W9403" s="42">
        <v>0</v>
      </c>
      <c r="X9403" s="42">
        <v>0</v>
      </c>
    </row>
    <row r="9404" spans="1:24">
      <c r="A9404" s="27" t="s">
        <v>17174</v>
      </c>
      <c r="B9404" s="28" t="s">
        <v>12240</v>
      </c>
      <c r="C9404" s="27" t="s">
        <v>17175</v>
      </c>
      <c r="D9404" s="27" t="s">
        <v>230</v>
      </c>
      <c r="E9404" s="29">
        <v>42673</v>
      </c>
      <c r="F9404" s="27">
        <v>15</v>
      </c>
      <c r="G9404" s="18">
        <v>127280.43</v>
      </c>
      <c r="H9404" s="27">
        <f t="shared" si="292"/>
        <v>0</v>
      </c>
      <c r="I9404" s="18">
        <v>19680.189999999999</v>
      </c>
      <c r="J9404" s="27">
        <v>127280.43</v>
      </c>
      <c r="K9404" s="18">
        <f t="shared" si="293"/>
        <v>0</v>
      </c>
      <c r="L9404" s="27">
        <v>27568.73</v>
      </c>
      <c r="M9404" s="36">
        <v>7888.54</v>
      </c>
      <c r="T9404" s="41">
        <v>0</v>
      </c>
      <c r="U9404" s="41">
        <v>0</v>
      </c>
      <c r="V9404" s="42" t="s">
        <v>113</v>
      </c>
      <c r="W9404" s="42">
        <v>0</v>
      </c>
      <c r="X9404" s="42">
        <v>0</v>
      </c>
    </row>
    <row r="9405" spans="1:24">
      <c r="A9405" s="27" t="s">
        <v>17176</v>
      </c>
      <c r="B9405" s="28" t="s">
        <v>12240</v>
      </c>
      <c r="C9405" s="27" t="s">
        <v>15909</v>
      </c>
      <c r="D9405" s="27" t="s">
        <v>230</v>
      </c>
      <c r="E9405" s="29">
        <v>43802</v>
      </c>
      <c r="F9405" s="27">
        <v>15</v>
      </c>
      <c r="G9405" s="18">
        <v>0</v>
      </c>
      <c r="H9405" s="27">
        <f t="shared" si="292"/>
        <v>0</v>
      </c>
      <c r="I9405" s="18">
        <v>0</v>
      </c>
      <c r="J9405" s="27">
        <v>39810.5</v>
      </c>
      <c r="K9405" s="18">
        <f t="shared" si="293"/>
        <v>0</v>
      </c>
      <c r="L9405" s="27">
        <v>0</v>
      </c>
      <c r="M9405" s="36">
        <v>0</v>
      </c>
      <c r="N9405" s="18" t="s">
        <v>14637</v>
      </c>
      <c r="O9405" s="19">
        <v>39810.5</v>
      </c>
      <c r="T9405" s="41">
        <v>0</v>
      </c>
      <c r="U9405" s="41">
        <v>0</v>
      </c>
      <c r="V9405" s="42" t="s">
        <v>113</v>
      </c>
      <c r="W9405" s="42">
        <v>0</v>
      </c>
      <c r="X9405" s="42">
        <v>0</v>
      </c>
    </row>
    <row r="9406" spans="1:24">
      <c r="A9406" s="27" t="s">
        <v>17177</v>
      </c>
      <c r="B9406" s="28" t="s">
        <v>12240</v>
      </c>
      <c r="C9406" s="27" t="s">
        <v>17178</v>
      </c>
      <c r="D9406" s="27" t="s">
        <v>230</v>
      </c>
      <c r="E9406" s="29">
        <v>43668</v>
      </c>
      <c r="F9406" s="27">
        <v>15</v>
      </c>
      <c r="G9406" s="18">
        <v>0</v>
      </c>
      <c r="H9406" s="27">
        <f t="shared" si="292"/>
        <v>0</v>
      </c>
      <c r="I9406" s="18">
        <v>0</v>
      </c>
      <c r="J9406" s="27">
        <v>39726.61</v>
      </c>
      <c r="K9406" s="18">
        <f t="shared" si="293"/>
        <v>0</v>
      </c>
      <c r="L9406" s="27">
        <v>1048.3399999999999</v>
      </c>
      <c r="M9406" s="36">
        <v>1048.3399999999999</v>
      </c>
      <c r="N9406" s="18" t="s">
        <v>123</v>
      </c>
      <c r="O9406" s="19">
        <v>39726.61</v>
      </c>
      <c r="T9406" s="41">
        <v>0</v>
      </c>
      <c r="U9406" s="41">
        <v>0</v>
      </c>
      <c r="V9406" s="42" t="s">
        <v>113</v>
      </c>
      <c r="W9406" s="42">
        <v>0</v>
      </c>
      <c r="X9406" s="42">
        <v>0</v>
      </c>
    </row>
    <row r="9407" spans="1:24">
      <c r="A9407" s="27" t="s">
        <v>17179</v>
      </c>
      <c r="B9407" s="28" t="s">
        <v>12240</v>
      </c>
      <c r="C9407" s="27" t="s">
        <v>15713</v>
      </c>
      <c r="D9407" s="27" t="s">
        <v>230</v>
      </c>
      <c r="E9407" s="29">
        <v>43802</v>
      </c>
      <c r="F9407" s="27">
        <v>15</v>
      </c>
      <c r="G9407" s="18">
        <v>0</v>
      </c>
      <c r="H9407" s="27">
        <f t="shared" si="292"/>
        <v>0</v>
      </c>
      <c r="I9407" s="18">
        <v>0</v>
      </c>
      <c r="J9407" s="27">
        <v>32905.980000000003</v>
      </c>
      <c r="K9407" s="18">
        <f t="shared" si="293"/>
        <v>0</v>
      </c>
      <c r="L9407" s="27">
        <v>0</v>
      </c>
      <c r="M9407" s="36">
        <v>0</v>
      </c>
      <c r="N9407" s="18" t="s">
        <v>14637</v>
      </c>
      <c r="O9407" s="19">
        <v>32905.980000000003</v>
      </c>
      <c r="T9407" s="41">
        <v>0</v>
      </c>
      <c r="U9407" s="41">
        <v>0</v>
      </c>
      <c r="V9407" s="42" t="s">
        <v>113</v>
      </c>
      <c r="W9407" s="42">
        <v>0</v>
      </c>
      <c r="X9407" s="42">
        <v>0</v>
      </c>
    </row>
    <row r="9408" spans="1:24">
      <c r="A9408" s="27" t="s">
        <v>17180</v>
      </c>
      <c r="B9408" s="28" t="s">
        <v>12240</v>
      </c>
      <c r="C9408" s="27" t="s">
        <v>17181</v>
      </c>
      <c r="D9408" s="27" t="s">
        <v>230</v>
      </c>
      <c r="E9408" s="29">
        <v>42737</v>
      </c>
      <c r="F9408" s="27">
        <v>12</v>
      </c>
      <c r="G9408" s="18">
        <v>63574.81</v>
      </c>
      <c r="H9408" s="27">
        <f t="shared" si="292"/>
        <v>0</v>
      </c>
      <c r="I9408" s="18">
        <v>9646.6</v>
      </c>
      <c r="J9408" s="27">
        <v>63574.81</v>
      </c>
      <c r="K9408" s="18">
        <f t="shared" si="293"/>
        <v>0</v>
      </c>
      <c r="L9408" s="27">
        <v>14679.61</v>
      </c>
      <c r="M9408" s="36">
        <v>5033.01</v>
      </c>
      <c r="T9408" s="41">
        <v>0</v>
      </c>
      <c r="U9408" s="41">
        <v>0</v>
      </c>
      <c r="V9408" s="42" t="s">
        <v>113</v>
      </c>
      <c r="W9408" s="42">
        <v>0</v>
      </c>
      <c r="X9408" s="42">
        <v>0</v>
      </c>
    </row>
    <row r="9409" spans="1:24">
      <c r="A9409" s="27" t="s">
        <v>17182</v>
      </c>
      <c r="B9409" s="28" t="s">
        <v>12240</v>
      </c>
      <c r="C9409" s="27" t="s">
        <v>17183</v>
      </c>
      <c r="D9409" s="27" t="s">
        <v>230</v>
      </c>
      <c r="E9409" s="29">
        <v>42737</v>
      </c>
      <c r="F9409" s="27">
        <v>12</v>
      </c>
      <c r="G9409" s="18">
        <v>59578.2</v>
      </c>
      <c r="H9409" s="27">
        <f t="shared" si="292"/>
        <v>0</v>
      </c>
      <c r="I9409" s="18">
        <v>9040.17</v>
      </c>
      <c r="J9409" s="27">
        <v>59578.2</v>
      </c>
      <c r="K9409" s="18">
        <f t="shared" si="293"/>
        <v>0</v>
      </c>
      <c r="L9409" s="27">
        <v>13756.78</v>
      </c>
      <c r="M9409" s="36">
        <v>4716.6099999999997</v>
      </c>
      <c r="T9409" s="41">
        <v>0</v>
      </c>
      <c r="U9409" s="41">
        <v>0</v>
      </c>
      <c r="V9409" s="42" t="s">
        <v>113</v>
      </c>
      <c r="W9409" s="42">
        <v>0</v>
      </c>
      <c r="X9409" s="42">
        <v>0</v>
      </c>
    </row>
    <row r="9410" spans="1:24">
      <c r="A9410" s="27" t="s">
        <v>17184</v>
      </c>
      <c r="B9410" s="28" t="s">
        <v>12240</v>
      </c>
      <c r="C9410" s="27" t="s">
        <v>17185</v>
      </c>
      <c r="D9410" s="27" t="s">
        <v>230</v>
      </c>
      <c r="E9410" s="29">
        <v>42737</v>
      </c>
      <c r="F9410" s="27">
        <v>12</v>
      </c>
      <c r="G9410" s="18">
        <v>48157.21</v>
      </c>
      <c r="H9410" s="27">
        <f t="shared" si="292"/>
        <v>0</v>
      </c>
      <c r="I9410" s="18">
        <v>7300.34</v>
      </c>
      <c r="J9410" s="27">
        <v>48157.21</v>
      </c>
      <c r="K9410" s="18">
        <f t="shared" si="293"/>
        <v>0</v>
      </c>
      <c r="L9410" s="27">
        <v>11113.46</v>
      </c>
      <c r="M9410" s="36">
        <v>3813.12</v>
      </c>
      <c r="T9410" s="41">
        <v>0</v>
      </c>
      <c r="U9410" s="41">
        <v>0</v>
      </c>
      <c r="V9410" s="42" t="s">
        <v>113</v>
      </c>
      <c r="W9410" s="42">
        <v>0</v>
      </c>
      <c r="X9410" s="42">
        <v>0</v>
      </c>
    </row>
    <row r="9411" spans="1:24">
      <c r="A9411" s="27" t="s">
        <v>17186</v>
      </c>
      <c r="B9411" s="28" t="s">
        <v>12240</v>
      </c>
      <c r="C9411" s="27" t="s">
        <v>17187</v>
      </c>
      <c r="D9411" s="27" t="s">
        <v>230</v>
      </c>
      <c r="E9411" s="29">
        <v>42737</v>
      </c>
      <c r="F9411" s="27">
        <v>12</v>
      </c>
      <c r="G9411" s="18">
        <v>46844.09</v>
      </c>
      <c r="H9411" s="27">
        <f t="shared" si="292"/>
        <v>0</v>
      </c>
      <c r="I9411" s="18">
        <v>7107.94</v>
      </c>
      <c r="J9411" s="27">
        <v>46844.09</v>
      </c>
      <c r="K9411" s="18">
        <f t="shared" si="293"/>
        <v>0</v>
      </c>
      <c r="L9411" s="27">
        <v>10816.43</v>
      </c>
      <c r="M9411" s="36">
        <v>3708.49</v>
      </c>
      <c r="T9411" s="41">
        <v>0</v>
      </c>
      <c r="U9411" s="41">
        <v>0</v>
      </c>
      <c r="V9411" s="42" t="s">
        <v>113</v>
      </c>
      <c r="W9411" s="42">
        <v>0</v>
      </c>
      <c r="X9411" s="42">
        <v>0</v>
      </c>
    </row>
    <row r="9412" spans="1:24">
      <c r="A9412" s="27" t="s">
        <v>17188</v>
      </c>
      <c r="B9412" s="28" t="s">
        <v>12240</v>
      </c>
      <c r="C9412" s="27" t="s">
        <v>17189</v>
      </c>
      <c r="D9412" s="27" t="s">
        <v>230</v>
      </c>
      <c r="E9412" s="29">
        <v>42737</v>
      </c>
      <c r="F9412" s="27">
        <v>12</v>
      </c>
      <c r="G9412" s="18">
        <v>46844.08</v>
      </c>
      <c r="H9412" s="27">
        <f t="shared" si="292"/>
        <v>0</v>
      </c>
      <c r="I9412" s="18">
        <v>7107.94</v>
      </c>
      <c r="J9412" s="27">
        <v>46844.08</v>
      </c>
      <c r="K9412" s="18">
        <f t="shared" si="293"/>
        <v>0</v>
      </c>
      <c r="L9412" s="27">
        <v>10816.43</v>
      </c>
      <c r="M9412" s="36">
        <v>3708.49</v>
      </c>
      <c r="T9412" s="41">
        <v>0</v>
      </c>
      <c r="U9412" s="41">
        <v>0</v>
      </c>
      <c r="V9412" s="42" t="s">
        <v>113</v>
      </c>
      <c r="W9412" s="42">
        <v>0</v>
      </c>
      <c r="X9412" s="42">
        <v>0</v>
      </c>
    </row>
    <row r="9413" spans="1:24">
      <c r="A9413" s="27" t="s">
        <v>17190</v>
      </c>
      <c r="B9413" s="28" t="s">
        <v>12240</v>
      </c>
      <c r="C9413" s="27" t="s">
        <v>17191</v>
      </c>
      <c r="D9413" s="27" t="s">
        <v>230</v>
      </c>
      <c r="E9413" s="29">
        <v>42737</v>
      </c>
      <c r="F9413" s="27">
        <v>12</v>
      </c>
      <c r="G9413" s="18">
        <v>48157.22</v>
      </c>
      <c r="H9413" s="27">
        <f t="shared" si="292"/>
        <v>0</v>
      </c>
      <c r="I9413" s="18">
        <v>7300.34</v>
      </c>
      <c r="J9413" s="27">
        <v>48157.22</v>
      </c>
      <c r="K9413" s="18">
        <f t="shared" si="293"/>
        <v>0</v>
      </c>
      <c r="L9413" s="27">
        <v>11113.47</v>
      </c>
      <c r="M9413" s="36">
        <v>3813.13</v>
      </c>
      <c r="T9413" s="41">
        <v>0</v>
      </c>
      <c r="U9413" s="41">
        <v>0</v>
      </c>
      <c r="V9413" s="42" t="s">
        <v>113</v>
      </c>
      <c r="W9413" s="42">
        <v>0</v>
      </c>
      <c r="X9413" s="42">
        <v>0</v>
      </c>
    </row>
    <row r="9414" spans="1:24">
      <c r="A9414" s="27" t="s">
        <v>17192</v>
      </c>
      <c r="B9414" s="28" t="s">
        <v>12240</v>
      </c>
      <c r="C9414" s="27" t="s">
        <v>17193</v>
      </c>
      <c r="D9414" s="27" t="s">
        <v>230</v>
      </c>
      <c r="E9414" s="29">
        <v>42737</v>
      </c>
      <c r="F9414" s="27">
        <v>12</v>
      </c>
      <c r="G9414" s="18">
        <v>48157.21</v>
      </c>
      <c r="H9414" s="27">
        <f t="shared" ref="H9414:H9477" si="294">IFERROR(IF(ROUND((G9414-I9414)/G9414,2)&lt;=0.05,G9414,0),0)</f>
        <v>0</v>
      </c>
      <c r="I9414" s="18">
        <v>7300.34</v>
      </c>
      <c r="J9414" s="27">
        <v>48157.21</v>
      </c>
      <c r="K9414" s="18">
        <f t="shared" ref="K9414:K9477" si="295">IFERROR(IF(ROUND((J9414-L9414)/J9414,2)&lt;=0.05,J9414,0),0)</f>
        <v>0</v>
      </c>
      <c r="L9414" s="27">
        <v>11113.46</v>
      </c>
      <c r="M9414" s="36">
        <v>3813.12</v>
      </c>
      <c r="T9414" s="41">
        <v>0</v>
      </c>
      <c r="U9414" s="41">
        <v>0</v>
      </c>
      <c r="V9414" s="42" t="s">
        <v>113</v>
      </c>
      <c r="W9414" s="42">
        <v>0</v>
      </c>
      <c r="X9414" s="42">
        <v>0</v>
      </c>
    </row>
    <row r="9415" spans="1:24">
      <c r="A9415" s="27" t="s">
        <v>17194</v>
      </c>
      <c r="B9415" s="28" t="s">
        <v>12240</v>
      </c>
      <c r="C9415" s="27" t="s">
        <v>15624</v>
      </c>
      <c r="D9415" s="27" t="s">
        <v>230</v>
      </c>
      <c r="E9415" s="29">
        <v>42737</v>
      </c>
      <c r="F9415" s="27">
        <v>12</v>
      </c>
      <c r="G9415" s="18">
        <v>36522.49</v>
      </c>
      <c r="H9415" s="27">
        <f t="shared" si="294"/>
        <v>0</v>
      </c>
      <c r="I9415" s="18">
        <v>5541.77</v>
      </c>
      <c r="J9415" s="27">
        <v>36522.49</v>
      </c>
      <c r="K9415" s="18">
        <f t="shared" si="295"/>
        <v>0</v>
      </c>
      <c r="L9415" s="27">
        <v>8433.14</v>
      </c>
      <c r="M9415" s="36">
        <v>2891.37</v>
      </c>
      <c r="T9415" s="41">
        <v>0</v>
      </c>
      <c r="U9415" s="41">
        <v>0</v>
      </c>
      <c r="V9415" s="42" t="s">
        <v>113</v>
      </c>
      <c r="W9415" s="42">
        <v>0</v>
      </c>
      <c r="X9415" s="42">
        <v>0</v>
      </c>
    </row>
    <row r="9416" spans="1:24">
      <c r="A9416" s="27" t="s">
        <v>17195</v>
      </c>
      <c r="B9416" s="28" t="s">
        <v>12240</v>
      </c>
      <c r="C9416" s="27" t="s">
        <v>12691</v>
      </c>
      <c r="D9416" s="27" t="s">
        <v>230</v>
      </c>
      <c r="E9416" s="29">
        <v>42737</v>
      </c>
      <c r="F9416" s="27">
        <v>12</v>
      </c>
      <c r="G9416" s="18">
        <v>58986.45</v>
      </c>
      <c r="H9416" s="27">
        <f t="shared" si="294"/>
        <v>0</v>
      </c>
      <c r="I9416" s="18">
        <v>9035.56</v>
      </c>
      <c r="J9416" s="27">
        <v>58986.45</v>
      </c>
      <c r="K9416" s="18">
        <f t="shared" si="295"/>
        <v>0</v>
      </c>
      <c r="L9416" s="27">
        <v>13696.87</v>
      </c>
      <c r="M9416" s="36">
        <v>4661.3100000000004</v>
      </c>
      <c r="T9416" s="41">
        <v>0</v>
      </c>
      <c r="U9416" s="41">
        <v>0</v>
      </c>
      <c r="V9416" s="42" t="s">
        <v>113</v>
      </c>
      <c r="W9416" s="42">
        <v>0</v>
      </c>
      <c r="X9416" s="42">
        <v>0</v>
      </c>
    </row>
    <row r="9417" spans="1:24">
      <c r="A9417" s="27" t="s">
        <v>17196</v>
      </c>
      <c r="B9417" s="28" t="s">
        <v>12240</v>
      </c>
      <c r="C9417" s="27" t="s">
        <v>12326</v>
      </c>
      <c r="D9417" s="27" t="s">
        <v>230</v>
      </c>
      <c r="E9417" s="29">
        <v>42737</v>
      </c>
      <c r="F9417" s="27">
        <v>12</v>
      </c>
      <c r="G9417" s="18">
        <v>45444.77</v>
      </c>
      <c r="H9417" s="27">
        <f t="shared" si="294"/>
        <v>0</v>
      </c>
      <c r="I9417" s="18">
        <v>6895.61</v>
      </c>
      <c r="J9417" s="27">
        <v>45444.77</v>
      </c>
      <c r="K9417" s="18">
        <f t="shared" si="295"/>
        <v>0</v>
      </c>
      <c r="L9417" s="27">
        <v>10493.32</v>
      </c>
      <c r="M9417" s="36">
        <v>3597.71</v>
      </c>
      <c r="T9417" s="41">
        <v>0</v>
      </c>
      <c r="U9417" s="41">
        <v>0</v>
      </c>
      <c r="V9417" s="42" t="s">
        <v>113</v>
      </c>
      <c r="W9417" s="42">
        <v>0</v>
      </c>
      <c r="X9417" s="42">
        <v>0</v>
      </c>
    </row>
    <row r="9418" spans="1:24">
      <c r="A9418" s="27" t="s">
        <v>17197</v>
      </c>
      <c r="B9418" s="28" t="s">
        <v>12240</v>
      </c>
      <c r="C9418" s="27" t="s">
        <v>17198</v>
      </c>
      <c r="D9418" s="27" t="s">
        <v>230</v>
      </c>
      <c r="E9418" s="29">
        <v>42737</v>
      </c>
      <c r="F9418" s="27">
        <v>12</v>
      </c>
      <c r="G9418" s="18">
        <v>45898.64</v>
      </c>
      <c r="H9418" s="27">
        <f t="shared" si="294"/>
        <v>0</v>
      </c>
      <c r="I9418" s="18">
        <v>6889.72</v>
      </c>
      <c r="J9418" s="27">
        <v>45898.64</v>
      </c>
      <c r="K9418" s="18">
        <f t="shared" si="295"/>
        <v>0</v>
      </c>
      <c r="L9418" s="27">
        <v>10530.78</v>
      </c>
      <c r="M9418" s="36">
        <v>3641.06</v>
      </c>
      <c r="T9418" s="41">
        <v>0</v>
      </c>
      <c r="U9418" s="41">
        <v>0</v>
      </c>
      <c r="V9418" s="42" t="s">
        <v>113</v>
      </c>
      <c r="W9418" s="42">
        <v>0</v>
      </c>
      <c r="X9418" s="42">
        <v>0</v>
      </c>
    </row>
    <row r="9419" spans="1:24">
      <c r="A9419" s="27" t="s">
        <v>17199</v>
      </c>
      <c r="B9419" s="28" t="s">
        <v>12240</v>
      </c>
      <c r="C9419" s="27" t="s">
        <v>17200</v>
      </c>
      <c r="D9419" s="27" t="s">
        <v>230</v>
      </c>
      <c r="E9419" s="29">
        <v>42737</v>
      </c>
      <c r="F9419" s="27">
        <v>12</v>
      </c>
      <c r="G9419" s="18">
        <v>46372.99</v>
      </c>
      <c r="H9419" s="27">
        <f t="shared" si="294"/>
        <v>0</v>
      </c>
      <c r="I9419" s="18">
        <v>6953.89</v>
      </c>
      <c r="J9419" s="27">
        <v>46372.99</v>
      </c>
      <c r="K9419" s="18">
        <f t="shared" si="295"/>
        <v>0</v>
      </c>
      <c r="L9419" s="27">
        <v>10633.27</v>
      </c>
      <c r="M9419" s="36">
        <v>3679.38</v>
      </c>
      <c r="T9419" s="41">
        <v>0</v>
      </c>
      <c r="U9419" s="41">
        <v>0</v>
      </c>
      <c r="V9419" s="42" t="s">
        <v>113</v>
      </c>
      <c r="W9419" s="42">
        <v>0</v>
      </c>
      <c r="X9419" s="42">
        <v>0</v>
      </c>
    </row>
    <row r="9420" spans="1:24">
      <c r="A9420" s="27" t="s">
        <v>17201</v>
      </c>
      <c r="B9420" s="28" t="s">
        <v>12240</v>
      </c>
      <c r="C9420" s="27" t="s">
        <v>16203</v>
      </c>
      <c r="D9420" s="27" t="s">
        <v>230</v>
      </c>
      <c r="E9420" s="29">
        <v>42737</v>
      </c>
      <c r="F9420" s="27">
        <v>12</v>
      </c>
      <c r="G9420" s="18">
        <v>56007.73</v>
      </c>
      <c r="H9420" s="27">
        <f t="shared" si="294"/>
        <v>0</v>
      </c>
      <c r="I9420" s="18">
        <v>8498.39</v>
      </c>
      <c r="J9420" s="27">
        <v>56007.73</v>
      </c>
      <c r="K9420" s="18">
        <f t="shared" si="295"/>
        <v>0</v>
      </c>
      <c r="L9420" s="27">
        <v>12932.34</v>
      </c>
      <c r="M9420" s="36">
        <v>4433.95</v>
      </c>
      <c r="T9420" s="41">
        <v>0</v>
      </c>
      <c r="U9420" s="41">
        <v>0</v>
      </c>
      <c r="V9420" s="42" t="s">
        <v>113</v>
      </c>
      <c r="W9420" s="42">
        <v>0</v>
      </c>
      <c r="X9420" s="42">
        <v>0</v>
      </c>
    </row>
    <row r="9421" spans="1:24">
      <c r="A9421" s="27" t="s">
        <v>17202</v>
      </c>
      <c r="B9421" s="28" t="s">
        <v>12240</v>
      </c>
      <c r="C9421" s="27" t="s">
        <v>17203</v>
      </c>
      <c r="D9421" s="27" t="s">
        <v>230</v>
      </c>
      <c r="E9421" s="29">
        <v>42737</v>
      </c>
      <c r="F9421" s="27">
        <v>12</v>
      </c>
      <c r="G9421" s="18">
        <v>44965.46</v>
      </c>
      <c r="H9421" s="27">
        <f t="shared" si="294"/>
        <v>0</v>
      </c>
      <c r="I9421" s="18">
        <v>6822.89</v>
      </c>
      <c r="J9421" s="27">
        <v>44965.46</v>
      </c>
      <c r="K9421" s="18">
        <f t="shared" si="295"/>
        <v>0</v>
      </c>
      <c r="L9421" s="27">
        <v>10382.66</v>
      </c>
      <c r="M9421" s="36">
        <v>3559.77</v>
      </c>
      <c r="T9421" s="41">
        <v>0</v>
      </c>
      <c r="U9421" s="41">
        <v>0</v>
      </c>
      <c r="V9421" s="42" t="s">
        <v>113</v>
      </c>
      <c r="W9421" s="42">
        <v>0</v>
      </c>
      <c r="X9421" s="42">
        <v>0</v>
      </c>
    </row>
    <row r="9422" spans="1:24">
      <c r="A9422" s="27" t="s">
        <v>17204</v>
      </c>
      <c r="B9422" s="28" t="s">
        <v>12240</v>
      </c>
      <c r="C9422" s="27" t="s">
        <v>17205</v>
      </c>
      <c r="D9422" s="27" t="s">
        <v>230</v>
      </c>
      <c r="E9422" s="29">
        <v>42737</v>
      </c>
      <c r="F9422" s="27">
        <v>12</v>
      </c>
      <c r="G9422" s="18">
        <v>57810.9</v>
      </c>
      <c r="H9422" s="27">
        <f t="shared" si="294"/>
        <v>0</v>
      </c>
      <c r="I9422" s="18">
        <v>8854.7199999999993</v>
      </c>
      <c r="J9422" s="27">
        <v>57810.9</v>
      </c>
      <c r="K9422" s="18">
        <f t="shared" si="295"/>
        <v>0</v>
      </c>
      <c r="L9422" s="27">
        <v>13423.21</v>
      </c>
      <c r="M9422" s="36">
        <v>4568.49</v>
      </c>
      <c r="T9422" s="41">
        <v>0</v>
      </c>
      <c r="U9422" s="41">
        <v>0</v>
      </c>
      <c r="V9422" s="42" t="s">
        <v>113</v>
      </c>
      <c r="W9422" s="42">
        <v>0</v>
      </c>
      <c r="X9422" s="42">
        <v>0</v>
      </c>
    </row>
    <row r="9423" spans="1:24">
      <c r="A9423" s="27" t="s">
        <v>17206</v>
      </c>
      <c r="B9423" s="28" t="s">
        <v>12240</v>
      </c>
      <c r="C9423" s="27" t="s">
        <v>17207</v>
      </c>
      <c r="D9423" s="27" t="s">
        <v>230</v>
      </c>
      <c r="E9423" s="29">
        <v>42737</v>
      </c>
      <c r="F9423" s="27">
        <v>12</v>
      </c>
      <c r="G9423" s="18">
        <v>44965.47</v>
      </c>
      <c r="H9423" s="27">
        <f t="shared" si="294"/>
        <v>0</v>
      </c>
      <c r="I9423" s="18">
        <v>6822.89</v>
      </c>
      <c r="J9423" s="27">
        <v>44965.47</v>
      </c>
      <c r="K9423" s="18">
        <f t="shared" si="295"/>
        <v>0</v>
      </c>
      <c r="L9423" s="27">
        <v>10382.66</v>
      </c>
      <c r="M9423" s="36">
        <v>3559.77</v>
      </c>
      <c r="T9423" s="41">
        <v>0</v>
      </c>
      <c r="U9423" s="41">
        <v>0</v>
      </c>
      <c r="V9423" s="42" t="s">
        <v>113</v>
      </c>
      <c r="W9423" s="42">
        <v>0</v>
      </c>
      <c r="X9423" s="42">
        <v>0</v>
      </c>
    </row>
    <row r="9424" spans="1:24">
      <c r="A9424" s="27" t="s">
        <v>17208</v>
      </c>
      <c r="B9424" s="28" t="s">
        <v>12240</v>
      </c>
      <c r="C9424" s="27" t="s">
        <v>17209</v>
      </c>
      <c r="D9424" s="27" t="s">
        <v>230</v>
      </c>
      <c r="E9424" s="29">
        <v>42737</v>
      </c>
      <c r="F9424" s="27">
        <v>12</v>
      </c>
      <c r="G9424" s="18">
        <v>44207.72</v>
      </c>
      <c r="H9424" s="27">
        <f t="shared" si="294"/>
        <v>0</v>
      </c>
      <c r="I9424" s="18">
        <v>6707.91</v>
      </c>
      <c r="J9424" s="27">
        <v>44207.72</v>
      </c>
      <c r="K9424" s="18">
        <f t="shared" si="295"/>
        <v>0</v>
      </c>
      <c r="L9424" s="27">
        <v>10207.69</v>
      </c>
      <c r="M9424" s="36">
        <v>3499.78</v>
      </c>
      <c r="T9424" s="41">
        <v>0</v>
      </c>
      <c r="U9424" s="41">
        <v>0</v>
      </c>
      <c r="V9424" s="42" t="s">
        <v>113</v>
      </c>
      <c r="W9424" s="42">
        <v>0</v>
      </c>
      <c r="X9424" s="42">
        <v>0</v>
      </c>
    </row>
    <row r="9425" spans="1:24">
      <c r="A9425" s="27" t="s">
        <v>17210</v>
      </c>
      <c r="B9425" s="28" t="s">
        <v>12240</v>
      </c>
      <c r="C9425" s="27" t="s">
        <v>17211</v>
      </c>
      <c r="D9425" s="27" t="s">
        <v>230</v>
      </c>
      <c r="E9425" s="29">
        <v>42737</v>
      </c>
      <c r="F9425" s="27">
        <v>12</v>
      </c>
      <c r="G9425" s="18">
        <v>59578.2</v>
      </c>
      <c r="H9425" s="27">
        <f t="shared" si="294"/>
        <v>0</v>
      </c>
      <c r="I9425" s="18">
        <v>9040.17</v>
      </c>
      <c r="J9425" s="27">
        <v>59578.2</v>
      </c>
      <c r="K9425" s="18">
        <f t="shared" si="295"/>
        <v>0</v>
      </c>
      <c r="L9425" s="27">
        <v>13756.78</v>
      </c>
      <c r="M9425" s="36">
        <v>4716.6099999999997</v>
      </c>
      <c r="T9425" s="41">
        <v>0</v>
      </c>
      <c r="U9425" s="41">
        <v>0</v>
      </c>
      <c r="V9425" s="42" t="s">
        <v>113</v>
      </c>
      <c r="W9425" s="42">
        <v>0</v>
      </c>
      <c r="X9425" s="42">
        <v>0</v>
      </c>
    </row>
    <row r="9426" spans="1:24">
      <c r="A9426" s="27" t="s">
        <v>17212</v>
      </c>
      <c r="B9426" s="28" t="s">
        <v>12240</v>
      </c>
      <c r="C9426" s="27" t="s">
        <v>17213</v>
      </c>
      <c r="D9426" s="27" t="s">
        <v>230</v>
      </c>
      <c r="E9426" s="29">
        <v>42737</v>
      </c>
      <c r="F9426" s="27">
        <v>12</v>
      </c>
      <c r="G9426" s="18">
        <v>48524.26</v>
      </c>
      <c r="H9426" s="27">
        <f t="shared" si="294"/>
        <v>0</v>
      </c>
      <c r="I9426" s="18">
        <v>7362.88</v>
      </c>
      <c r="J9426" s="27">
        <v>48524.26</v>
      </c>
      <c r="K9426" s="18">
        <f t="shared" si="295"/>
        <v>0</v>
      </c>
      <c r="L9426" s="27">
        <v>11204.38</v>
      </c>
      <c r="M9426" s="36">
        <v>3841.5</v>
      </c>
      <c r="T9426" s="41">
        <v>0</v>
      </c>
      <c r="U9426" s="41">
        <v>0</v>
      </c>
      <c r="V9426" s="42" t="s">
        <v>113</v>
      </c>
      <c r="W9426" s="42">
        <v>0</v>
      </c>
      <c r="X9426" s="42">
        <v>0</v>
      </c>
    </row>
    <row r="9427" spans="1:24">
      <c r="A9427" s="27" t="s">
        <v>17214</v>
      </c>
      <c r="B9427" s="28" t="s">
        <v>12240</v>
      </c>
      <c r="C9427" s="27" t="s">
        <v>17215</v>
      </c>
      <c r="D9427" s="27" t="s">
        <v>230</v>
      </c>
      <c r="E9427" s="29">
        <v>42737</v>
      </c>
      <c r="F9427" s="27">
        <v>12</v>
      </c>
      <c r="G9427" s="18">
        <v>46035.51</v>
      </c>
      <c r="H9427" s="27">
        <f t="shared" si="294"/>
        <v>0</v>
      </c>
      <c r="I9427" s="18">
        <v>6985.25</v>
      </c>
      <c r="J9427" s="27">
        <v>46035.51</v>
      </c>
      <c r="K9427" s="18">
        <f t="shared" si="295"/>
        <v>0</v>
      </c>
      <c r="L9427" s="27">
        <v>10629.73</v>
      </c>
      <c r="M9427" s="36">
        <v>3644.48</v>
      </c>
      <c r="T9427" s="41">
        <v>0</v>
      </c>
      <c r="U9427" s="41">
        <v>0</v>
      </c>
      <c r="V9427" s="42" t="s">
        <v>113</v>
      </c>
      <c r="W9427" s="42">
        <v>0</v>
      </c>
      <c r="X9427" s="42">
        <v>0</v>
      </c>
    </row>
    <row r="9428" spans="1:24">
      <c r="A9428" s="27" t="s">
        <v>17216</v>
      </c>
      <c r="B9428" s="28" t="s">
        <v>12240</v>
      </c>
      <c r="C9428" s="27" t="s">
        <v>17217</v>
      </c>
      <c r="D9428" s="27" t="s">
        <v>230</v>
      </c>
      <c r="E9428" s="29">
        <v>42737</v>
      </c>
      <c r="F9428" s="27">
        <v>12</v>
      </c>
      <c r="G9428" s="18">
        <v>63574.82</v>
      </c>
      <c r="H9428" s="27">
        <f t="shared" si="294"/>
        <v>0</v>
      </c>
      <c r="I9428" s="18">
        <v>9646.6</v>
      </c>
      <c r="J9428" s="27">
        <v>63574.82</v>
      </c>
      <c r="K9428" s="18">
        <f t="shared" si="295"/>
        <v>0</v>
      </c>
      <c r="L9428" s="27">
        <v>14679.61</v>
      </c>
      <c r="M9428" s="36">
        <v>5033.01</v>
      </c>
      <c r="T9428" s="41">
        <v>0</v>
      </c>
      <c r="U9428" s="41">
        <v>0</v>
      </c>
      <c r="V9428" s="42" t="s">
        <v>113</v>
      </c>
      <c r="W9428" s="42">
        <v>0</v>
      </c>
      <c r="X9428" s="42">
        <v>0</v>
      </c>
    </row>
    <row r="9429" spans="1:24">
      <c r="A9429" s="27" t="s">
        <v>17218</v>
      </c>
      <c r="B9429" s="28" t="s">
        <v>12240</v>
      </c>
      <c r="C9429" s="27" t="s">
        <v>17219</v>
      </c>
      <c r="D9429" s="27" t="s">
        <v>230</v>
      </c>
      <c r="E9429" s="29">
        <v>42737</v>
      </c>
      <c r="F9429" s="27">
        <v>12</v>
      </c>
      <c r="G9429" s="18">
        <v>56007.73</v>
      </c>
      <c r="H9429" s="27">
        <f t="shared" si="294"/>
        <v>0</v>
      </c>
      <c r="I9429" s="18">
        <v>8498.39</v>
      </c>
      <c r="J9429" s="27">
        <v>56007.73</v>
      </c>
      <c r="K9429" s="18">
        <f t="shared" si="295"/>
        <v>0</v>
      </c>
      <c r="L9429" s="27">
        <v>12932.34</v>
      </c>
      <c r="M9429" s="36">
        <v>4433.95</v>
      </c>
      <c r="T9429" s="41">
        <v>0</v>
      </c>
      <c r="U9429" s="41">
        <v>0</v>
      </c>
      <c r="V9429" s="42" t="s">
        <v>113</v>
      </c>
      <c r="W9429" s="42">
        <v>0</v>
      </c>
      <c r="X9429" s="42">
        <v>0</v>
      </c>
    </row>
    <row r="9430" spans="1:24">
      <c r="A9430" s="27" t="s">
        <v>17220</v>
      </c>
      <c r="B9430" s="28" t="s">
        <v>12240</v>
      </c>
      <c r="C9430" s="27" t="s">
        <v>17221</v>
      </c>
      <c r="D9430" s="27" t="s">
        <v>230</v>
      </c>
      <c r="E9430" s="29">
        <v>42737</v>
      </c>
      <c r="F9430" s="27">
        <v>12</v>
      </c>
      <c r="G9430" s="18">
        <v>48524.26</v>
      </c>
      <c r="H9430" s="27">
        <f t="shared" si="294"/>
        <v>0</v>
      </c>
      <c r="I9430" s="18">
        <v>7362.88</v>
      </c>
      <c r="J9430" s="27">
        <v>48524.26</v>
      </c>
      <c r="K9430" s="18">
        <f t="shared" si="295"/>
        <v>0</v>
      </c>
      <c r="L9430" s="27">
        <v>11204.38</v>
      </c>
      <c r="M9430" s="36">
        <v>3841.5</v>
      </c>
      <c r="T9430" s="41">
        <v>0</v>
      </c>
      <c r="U9430" s="41">
        <v>0</v>
      </c>
      <c r="V9430" s="42" t="s">
        <v>113</v>
      </c>
      <c r="W9430" s="42">
        <v>0</v>
      </c>
      <c r="X9430" s="42">
        <v>0</v>
      </c>
    </row>
    <row r="9431" spans="1:24">
      <c r="A9431" s="27" t="s">
        <v>17222</v>
      </c>
      <c r="B9431" s="28" t="s">
        <v>12240</v>
      </c>
      <c r="C9431" s="27" t="s">
        <v>17223</v>
      </c>
      <c r="D9431" s="27" t="s">
        <v>230</v>
      </c>
      <c r="E9431" s="29">
        <v>43008</v>
      </c>
      <c r="F9431" s="27">
        <v>15</v>
      </c>
      <c r="G9431" s="18">
        <v>47127.45</v>
      </c>
      <c r="H9431" s="27">
        <f t="shared" si="294"/>
        <v>0</v>
      </c>
      <c r="I9431" s="18">
        <v>3904.82</v>
      </c>
      <c r="J9431" s="27">
        <v>47127.45</v>
      </c>
      <c r="K9431" s="18">
        <f t="shared" si="295"/>
        <v>0</v>
      </c>
      <c r="L9431" s="27">
        <v>6876.91</v>
      </c>
      <c r="M9431" s="36">
        <v>2972.09</v>
      </c>
      <c r="T9431" s="41">
        <v>0</v>
      </c>
      <c r="U9431" s="41">
        <v>0</v>
      </c>
      <c r="V9431" s="42" t="s">
        <v>113</v>
      </c>
      <c r="W9431" s="42">
        <v>0</v>
      </c>
      <c r="X9431" s="42">
        <v>0</v>
      </c>
    </row>
    <row r="9432" spans="1:24">
      <c r="A9432" s="27" t="s">
        <v>17224</v>
      </c>
      <c r="B9432" s="28" t="s">
        <v>12240</v>
      </c>
      <c r="C9432" s="27" t="s">
        <v>17225</v>
      </c>
      <c r="D9432" s="27" t="s">
        <v>230</v>
      </c>
      <c r="E9432" s="29">
        <v>40805</v>
      </c>
      <c r="F9432" s="27">
        <v>15</v>
      </c>
      <c r="G9432" s="18">
        <v>517059.84000000003</v>
      </c>
      <c r="H9432" s="27">
        <f t="shared" si="294"/>
        <v>0</v>
      </c>
      <c r="I9432" s="18">
        <v>287584.46999999997</v>
      </c>
      <c r="J9432" s="27">
        <v>517059.84000000003</v>
      </c>
      <c r="K9432" s="18">
        <f t="shared" si="295"/>
        <v>0</v>
      </c>
      <c r="L9432" s="27">
        <v>313858.33</v>
      </c>
      <c r="M9432" s="36">
        <v>26273.86</v>
      </c>
      <c r="T9432" s="41">
        <v>0</v>
      </c>
      <c r="U9432" s="41">
        <v>0</v>
      </c>
      <c r="V9432" s="42" t="s">
        <v>113</v>
      </c>
      <c r="W9432" s="42">
        <v>0</v>
      </c>
      <c r="X9432" s="42">
        <v>0</v>
      </c>
    </row>
    <row r="9433" spans="1:24">
      <c r="A9433" s="27" t="s">
        <v>17226</v>
      </c>
      <c r="B9433" s="28" t="s">
        <v>12240</v>
      </c>
      <c r="C9433" s="27" t="s">
        <v>17227</v>
      </c>
      <c r="D9433" s="27" t="s">
        <v>230</v>
      </c>
      <c r="E9433" s="29">
        <v>40848</v>
      </c>
      <c r="F9433" s="27">
        <v>15</v>
      </c>
      <c r="G9433" s="18">
        <v>10188.030000000001</v>
      </c>
      <c r="H9433" s="27">
        <f t="shared" si="294"/>
        <v>0</v>
      </c>
      <c r="I9433" s="18">
        <v>5525.81</v>
      </c>
      <c r="J9433" s="27">
        <v>10188.030000000001</v>
      </c>
      <c r="K9433" s="18">
        <f t="shared" si="295"/>
        <v>0</v>
      </c>
      <c r="L9433" s="27">
        <v>6050.38</v>
      </c>
      <c r="M9433" s="36">
        <v>524.57000000000005</v>
      </c>
      <c r="T9433" s="41">
        <v>0</v>
      </c>
      <c r="U9433" s="41">
        <v>0</v>
      </c>
      <c r="V9433" s="42" t="s">
        <v>113</v>
      </c>
      <c r="W9433" s="42">
        <v>0</v>
      </c>
      <c r="X9433" s="42">
        <v>0</v>
      </c>
    </row>
    <row r="9434" spans="1:24">
      <c r="A9434" s="27" t="s">
        <v>17228</v>
      </c>
      <c r="B9434" s="28" t="s">
        <v>12240</v>
      </c>
      <c r="C9434" s="27" t="s">
        <v>17229</v>
      </c>
      <c r="D9434" s="27" t="s">
        <v>230</v>
      </c>
      <c r="E9434" s="29">
        <v>40848</v>
      </c>
      <c r="F9434" s="27">
        <v>15</v>
      </c>
      <c r="G9434" s="18">
        <v>13750.43</v>
      </c>
      <c r="H9434" s="27">
        <f t="shared" si="294"/>
        <v>0</v>
      </c>
      <c r="I9434" s="18">
        <v>6776.31</v>
      </c>
      <c r="J9434" s="27">
        <v>13750.43</v>
      </c>
      <c r="K9434" s="18">
        <f t="shared" si="295"/>
        <v>0</v>
      </c>
      <c r="L9434" s="27">
        <v>7570.41</v>
      </c>
      <c r="M9434" s="36">
        <v>794.1</v>
      </c>
      <c r="T9434" s="41">
        <v>0</v>
      </c>
      <c r="U9434" s="41">
        <v>0</v>
      </c>
      <c r="V9434" s="42" t="s">
        <v>113</v>
      </c>
      <c r="W9434" s="42">
        <v>0</v>
      </c>
      <c r="X9434" s="42">
        <v>0</v>
      </c>
    </row>
    <row r="9435" spans="1:24">
      <c r="A9435" s="27" t="s">
        <v>17230</v>
      </c>
      <c r="B9435" s="28" t="s">
        <v>12240</v>
      </c>
      <c r="C9435" s="27" t="s">
        <v>17231</v>
      </c>
      <c r="D9435" s="27" t="s">
        <v>230</v>
      </c>
      <c r="E9435" s="29">
        <v>40848</v>
      </c>
      <c r="F9435" s="27">
        <v>15</v>
      </c>
      <c r="G9435" s="18">
        <v>13750.43</v>
      </c>
      <c r="H9435" s="27">
        <f t="shared" si="294"/>
        <v>0</v>
      </c>
      <c r="I9435" s="18">
        <v>6776.31</v>
      </c>
      <c r="J9435" s="27">
        <v>13750.43</v>
      </c>
      <c r="K9435" s="18">
        <f t="shared" si="295"/>
        <v>0</v>
      </c>
      <c r="L9435" s="27">
        <v>7570.41</v>
      </c>
      <c r="M9435" s="36">
        <v>794.1</v>
      </c>
      <c r="T9435" s="41">
        <v>0</v>
      </c>
      <c r="U9435" s="41">
        <v>0</v>
      </c>
      <c r="V9435" s="42" t="s">
        <v>113</v>
      </c>
      <c r="W9435" s="42">
        <v>0</v>
      </c>
      <c r="X9435" s="42">
        <v>0</v>
      </c>
    </row>
    <row r="9436" spans="1:24">
      <c r="A9436" s="27" t="s">
        <v>17232</v>
      </c>
      <c r="B9436" s="28" t="s">
        <v>12240</v>
      </c>
      <c r="C9436" s="27" t="s">
        <v>17233</v>
      </c>
      <c r="D9436" s="27" t="s">
        <v>230</v>
      </c>
      <c r="E9436" s="29">
        <v>40848</v>
      </c>
      <c r="F9436" s="27">
        <v>15</v>
      </c>
      <c r="G9436" s="18">
        <v>13750.43</v>
      </c>
      <c r="H9436" s="27">
        <f t="shared" si="294"/>
        <v>0</v>
      </c>
      <c r="I9436" s="18">
        <v>6776.31</v>
      </c>
      <c r="J9436" s="27">
        <v>13750.43</v>
      </c>
      <c r="K9436" s="18">
        <f t="shared" si="295"/>
        <v>0</v>
      </c>
      <c r="L9436" s="27">
        <v>7570.41</v>
      </c>
      <c r="M9436" s="36">
        <v>794.1</v>
      </c>
      <c r="T9436" s="41">
        <v>0</v>
      </c>
      <c r="U9436" s="41">
        <v>0</v>
      </c>
      <c r="V9436" s="42" t="s">
        <v>113</v>
      </c>
      <c r="W9436" s="42">
        <v>0</v>
      </c>
      <c r="X9436" s="42">
        <v>0</v>
      </c>
    </row>
    <row r="9437" spans="1:24">
      <c r="A9437" s="27" t="s">
        <v>17234</v>
      </c>
      <c r="B9437" s="28" t="s">
        <v>12240</v>
      </c>
      <c r="C9437" s="27" t="s">
        <v>17235</v>
      </c>
      <c r="D9437" s="27" t="s">
        <v>230</v>
      </c>
      <c r="E9437" s="29">
        <v>40848</v>
      </c>
      <c r="F9437" s="27">
        <v>15</v>
      </c>
      <c r="G9437" s="18">
        <v>13750.42</v>
      </c>
      <c r="H9437" s="27">
        <f t="shared" si="294"/>
        <v>0</v>
      </c>
      <c r="I9437" s="18">
        <v>6776.31</v>
      </c>
      <c r="J9437" s="27">
        <v>13750.42</v>
      </c>
      <c r="K9437" s="18">
        <f t="shared" si="295"/>
        <v>0</v>
      </c>
      <c r="L9437" s="27">
        <v>7570.41</v>
      </c>
      <c r="M9437" s="36">
        <v>794.1</v>
      </c>
      <c r="T9437" s="41">
        <v>0</v>
      </c>
      <c r="U9437" s="41">
        <v>0</v>
      </c>
      <c r="V9437" s="42" t="s">
        <v>113</v>
      </c>
      <c r="W9437" s="42">
        <v>0</v>
      </c>
      <c r="X9437" s="42">
        <v>0</v>
      </c>
    </row>
    <row r="9438" spans="1:24">
      <c r="A9438" s="27" t="s">
        <v>17236</v>
      </c>
      <c r="B9438" s="28" t="s">
        <v>12240</v>
      </c>
      <c r="C9438" s="27" t="s">
        <v>17237</v>
      </c>
      <c r="D9438" s="27" t="s">
        <v>230</v>
      </c>
      <c r="E9438" s="29">
        <v>43189</v>
      </c>
      <c r="F9438" s="27">
        <v>15</v>
      </c>
      <c r="G9438" s="18">
        <v>39554.43</v>
      </c>
      <c r="H9438" s="27">
        <f t="shared" si="294"/>
        <v>0</v>
      </c>
      <c r="I9438" s="18">
        <v>1877.37</v>
      </c>
      <c r="J9438" s="27">
        <v>39554.43</v>
      </c>
      <c r="K9438" s="18">
        <f t="shared" si="295"/>
        <v>0</v>
      </c>
      <c r="L9438" s="27">
        <v>4382.59</v>
      </c>
      <c r="M9438" s="36">
        <v>2505.2199999999998</v>
      </c>
      <c r="T9438" s="41">
        <v>0</v>
      </c>
      <c r="U9438" s="41">
        <v>0</v>
      </c>
      <c r="V9438" s="42" t="s">
        <v>113</v>
      </c>
      <c r="W9438" s="42">
        <v>0</v>
      </c>
      <c r="X9438" s="42">
        <v>0</v>
      </c>
    </row>
    <row r="9439" spans="1:24">
      <c r="A9439" s="27" t="s">
        <v>17238</v>
      </c>
      <c r="B9439" s="28" t="s">
        <v>12240</v>
      </c>
      <c r="C9439" s="27" t="s">
        <v>17239</v>
      </c>
      <c r="D9439" s="27" t="s">
        <v>230</v>
      </c>
      <c r="E9439" s="29">
        <v>43189</v>
      </c>
      <c r="F9439" s="27">
        <v>15</v>
      </c>
      <c r="G9439" s="18">
        <v>56949.73</v>
      </c>
      <c r="H9439" s="27">
        <f t="shared" si="294"/>
        <v>0</v>
      </c>
      <c r="I9439" s="18">
        <v>2702.46</v>
      </c>
      <c r="J9439" s="27">
        <v>56949.73</v>
      </c>
      <c r="K9439" s="18">
        <f t="shared" si="295"/>
        <v>0</v>
      </c>
      <c r="L9439" s="27">
        <v>6309.46</v>
      </c>
      <c r="M9439" s="36">
        <v>3607</v>
      </c>
      <c r="T9439" s="41">
        <v>0</v>
      </c>
      <c r="U9439" s="41">
        <v>0</v>
      </c>
      <c r="V9439" s="42" t="s">
        <v>113</v>
      </c>
      <c r="W9439" s="42">
        <v>0</v>
      </c>
      <c r="X9439" s="42">
        <v>0</v>
      </c>
    </row>
    <row r="9440" spans="1:24">
      <c r="A9440" s="27" t="s">
        <v>17240</v>
      </c>
      <c r="B9440" s="28" t="s">
        <v>12240</v>
      </c>
      <c r="C9440" s="27" t="s">
        <v>17241</v>
      </c>
      <c r="D9440" s="27" t="s">
        <v>230</v>
      </c>
      <c r="E9440" s="29">
        <v>43802</v>
      </c>
      <c r="F9440" s="27">
        <v>15</v>
      </c>
      <c r="G9440" s="18">
        <v>0</v>
      </c>
      <c r="H9440" s="27">
        <f t="shared" si="294"/>
        <v>0</v>
      </c>
      <c r="I9440" s="18">
        <v>0</v>
      </c>
      <c r="J9440" s="27">
        <v>32905.980000000003</v>
      </c>
      <c r="K9440" s="18">
        <f t="shared" si="295"/>
        <v>0</v>
      </c>
      <c r="L9440" s="27">
        <v>0</v>
      </c>
      <c r="M9440" s="36">
        <v>0</v>
      </c>
      <c r="N9440" s="18" t="s">
        <v>14637</v>
      </c>
      <c r="O9440" s="19">
        <v>32905.980000000003</v>
      </c>
      <c r="T9440" s="41">
        <v>0</v>
      </c>
      <c r="U9440" s="41">
        <v>0</v>
      </c>
      <c r="V9440" s="42" t="s">
        <v>113</v>
      </c>
      <c r="W9440" s="42">
        <v>0</v>
      </c>
      <c r="X9440" s="42">
        <v>0</v>
      </c>
    </row>
    <row r="9441" spans="1:24">
      <c r="A9441" s="27" t="s">
        <v>17242</v>
      </c>
      <c r="B9441" s="28" t="s">
        <v>12240</v>
      </c>
      <c r="C9441" s="27" t="s">
        <v>17243</v>
      </c>
      <c r="D9441" s="27" t="s">
        <v>230</v>
      </c>
      <c r="E9441" s="29">
        <v>43802</v>
      </c>
      <c r="F9441" s="27">
        <v>15</v>
      </c>
      <c r="G9441" s="18">
        <v>0</v>
      </c>
      <c r="H9441" s="27">
        <f t="shared" si="294"/>
        <v>0</v>
      </c>
      <c r="I9441" s="18">
        <v>0</v>
      </c>
      <c r="J9441" s="27">
        <v>32905.980000000003</v>
      </c>
      <c r="K9441" s="18">
        <f t="shared" si="295"/>
        <v>0</v>
      </c>
      <c r="L9441" s="27">
        <v>0</v>
      </c>
      <c r="M9441" s="36">
        <v>0</v>
      </c>
      <c r="N9441" s="18" t="s">
        <v>14637</v>
      </c>
      <c r="O9441" s="19">
        <v>32905.980000000003</v>
      </c>
      <c r="T9441" s="41">
        <v>0</v>
      </c>
      <c r="U9441" s="41">
        <v>0</v>
      </c>
      <c r="V9441" s="42" t="s">
        <v>113</v>
      </c>
      <c r="W9441" s="42">
        <v>0</v>
      </c>
      <c r="X9441" s="42">
        <v>0</v>
      </c>
    </row>
    <row r="9442" spans="1:24">
      <c r="A9442" s="27" t="s">
        <v>17244</v>
      </c>
      <c r="B9442" s="28" t="s">
        <v>12240</v>
      </c>
      <c r="C9442" s="27" t="s">
        <v>17245</v>
      </c>
      <c r="D9442" s="27" t="s">
        <v>230</v>
      </c>
      <c r="E9442" s="29">
        <v>43802</v>
      </c>
      <c r="F9442" s="27">
        <v>15</v>
      </c>
      <c r="G9442" s="18">
        <v>0</v>
      </c>
      <c r="H9442" s="27">
        <f t="shared" si="294"/>
        <v>0</v>
      </c>
      <c r="I9442" s="18">
        <v>0</v>
      </c>
      <c r="J9442" s="27">
        <v>32905.980000000003</v>
      </c>
      <c r="K9442" s="18">
        <f t="shared" si="295"/>
        <v>0</v>
      </c>
      <c r="L9442" s="27">
        <v>0</v>
      </c>
      <c r="M9442" s="36">
        <v>0</v>
      </c>
      <c r="N9442" s="18" t="s">
        <v>14637</v>
      </c>
      <c r="O9442" s="19">
        <v>32905.980000000003</v>
      </c>
      <c r="T9442" s="41">
        <v>0</v>
      </c>
      <c r="U9442" s="41">
        <v>0</v>
      </c>
      <c r="V9442" s="42" t="s">
        <v>113</v>
      </c>
      <c r="W9442" s="42">
        <v>0</v>
      </c>
      <c r="X9442" s="42">
        <v>0</v>
      </c>
    </row>
    <row r="9443" spans="1:24">
      <c r="A9443" s="27" t="s">
        <v>17246</v>
      </c>
      <c r="B9443" s="28" t="s">
        <v>12240</v>
      </c>
      <c r="C9443" s="27" t="s">
        <v>17247</v>
      </c>
      <c r="D9443" s="27" t="s">
        <v>230</v>
      </c>
      <c r="E9443" s="29">
        <v>43802</v>
      </c>
      <c r="F9443" s="27">
        <v>15</v>
      </c>
      <c r="G9443" s="18">
        <v>0</v>
      </c>
      <c r="H9443" s="27">
        <f t="shared" si="294"/>
        <v>0</v>
      </c>
      <c r="I9443" s="18">
        <v>0</v>
      </c>
      <c r="J9443" s="27">
        <v>39810.5</v>
      </c>
      <c r="K9443" s="18">
        <f t="shared" si="295"/>
        <v>0</v>
      </c>
      <c r="L9443" s="27">
        <v>0</v>
      </c>
      <c r="M9443" s="36">
        <v>0</v>
      </c>
      <c r="N9443" s="18" t="s">
        <v>14637</v>
      </c>
      <c r="O9443" s="19">
        <v>39810.5</v>
      </c>
      <c r="T9443" s="41">
        <v>0</v>
      </c>
      <c r="U9443" s="41">
        <v>0</v>
      </c>
      <c r="V9443" s="42" t="s">
        <v>113</v>
      </c>
      <c r="W9443" s="42">
        <v>0</v>
      </c>
      <c r="X9443" s="42">
        <v>0</v>
      </c>
    </row>
    <row r="9444" spans="1:24">
      <c r="A9444" s="27" t="s">
        <v>17248</v>
      </c>
      <c r="B9444" s="28" t="s">
        <v>12240</v>
      </c>
      <c r="C9444" s="27" t="s">
        <v>17249</v>
      </c>
      <c r="D9444" s="27" t="s">
        <v>230</v>
      </c>
      <c r="E9444" s="29">
        <v>43802</v>
      </c>
      <c r="F9444" s="27">
        <v>15</v>
      </c>
      <c r="G9444" s="18">
        <v>0</v>
      </c>
      <c r="H9444" s="27">
        <f t="shared" si="294"/>
        <v>0</v>
      </c>
      <c r="I9444" s="18">
        <v>0</v>
      </c>
      <c r="J9444" s="27">
        <v>39810.5</v>
      </c>
      <c r="K9444" s="18">
        <f t="shared" si="295"/>
        <v>0</v>
      </c>
      <c r="L9444" s="27">
        <v>0</v>
      </c>
      <c r="M9444" s="36">
        <v>0</v>
      </c>
      <c r="N9444" s="18" t="s">
        <v>14637</v>
      </c>
      <c r="O9444" s="19">
        <v>39810.5</v>
      </c>
      <c r="T9444" s="41">
        <v>0</v>
      </c>
      <c r="U9444" s="41">
        <v>0</v>
      </c>
      <c r="V9444" s="42" t="s">
        <v>113</v>
      </c>
      <c r="W9444" s="42">
        <v>0</v>
      </c>
      <c r="X9444" s="42">
        <v>0</v>
      </c>
    </row>
    <row r="9445" spans="1:24">
      <c r="A9445" s="27" t="s">
        <v>17250</v>
      </c>
      <c r="B9445" s="28" t="s">
        <v>12240</v>
      </c>
      <c r="C9445" s="27" t="s">
        <v>17251</v>
      </c>
      <c r="D9445" s="27" t="s">
        <v>230</v>
      </c>
      <c r="E9445" s="29">
        <v>43802</v>
      </c>
      <c r="F9445" s="27">
        <v>15</v>
      </c>
      <c r="G9445" s="18">
        <v>0</v>
      </c>
      <c r="H9445" s="27">
        <f t="shared" si="294"/>
        <v>0</v>
      </c>
      <c r="I9445" s="18">
        <v>0</v>
      </c>
      <c r="J9445" s="27">
        <v>39810.5</v>
      </c>
      <c r="K9445" s="18">
        <f t="shared" si="295"/>
        <v>0</v>
      </c>
      <c r="L9445" s="27">
        <v>0</v>
      </c>
      <c r="M9445" s="36">
        <v>0</v>
      </c>
      <c r="N9445" s="18" t="s">
        <v>14637</v>
      </c>
      <c r="O9445" s="19">
        <v>39810.5</v>
      </c>
      <c r="T9445" s="41">
        <v>0</v>
      </c>
      <c r="U9445" s="41">
        <v>0</v>
      </c>
      <c r="V9445" s="42" t="s">
        <v>113</v>
      </c>
      <c r="W9445" s="42">
        <v>0</v>
      </c>
      <c r="X9445" s="42">
        <v>0</v>
      </c>
    </row>
    <row r="9446" spans="1:24">
      <c r="A9446" s="27" t="s">
        <v>17252</v>
      </c>
      <c r="B9446" s="28" t="s">
        <v>12240</v>
      </c>
      <c r="C9446" s="27" t="s">
        <v>17253</v>
      </c>
      <c r="D9446" s="27" t="s">
        <v>230</v>
      </c>
      <c r="E9446" s="29">
        <v>43189</v>
      </c>
      <c r="F9446" s="27">
        <v>15</v>
      </c>
      <c r="G9446" s="18">
        <v>61017.5</v>
      </c>
      <c r="H9446" s="27">
        <f t="shared" si="294"/>
        <v>0</v>
      </c>
      <c r="I9446" s="18">
        <v>2895.78</v>
      </c>
      <c r="J9446" s="27">
        <v>61017.5</v>
      </c>
      <c r="K9446" s="18">
        <f t="shared" si="295"/>
        <v>0</v>
      </c>
      <c r="L9446" s="27">
        <v>6760.4</v>
      </c>
      <c r="M9446" s="36">
        <v>3864.62</v>
      </c>
      <c r="T9446" s="41">
        <v>0</v>
      </c>
      <c r="U9446" s="41">
        <v>0</v>
      </c>
      <c r="V9446" s="42" t="s">
        <v>113</v>
      </c>
      <c r="W9446" s="42">
        <v>0</v>
      </c>
      <c r="X9446" s="42">
        <v>0</v>
      </c>
    </row>
    <row r="9447" spans="1:24">
      <c r="A9447" s="27" t="s">
        <v>17254</v>
      </c>
      <c r="B9447" s="28" t="s">
        <v>12240</v>
      </c>
      <c r="C9447" s="27" t="s">
        <v>17255</v>
      </c>
      <c r="D9447" s="27" t="s">
        <v>230</v>
      </c>
      <c r="E9447" s="29">
        <v>43802</v>
      </c>
      <c r="F9447" s="27">
        <v>15</v>
      </c>
      <c r="G9447" s="18">
        <v>0</v>
      </c>
      <c r="H9447" s="27">
        <f t="shared" si="294"/>
        <v>0</v>
      </c>
      <c r="I9447" s="18">
        <v>0</v>
      </c>
      <c r="J9447" s="27">
        <v>32905.99</v>
      </c>
      <c r="K9447" s="18">
        <f t="shared" si="295"/>
        <v>0</v>
      </c>
      <c r="L9447" s="27">
        <v>0</v>
      </c>
      <c r="M9447" s="36">
        <v>0</v>
      </c>
      <c r="N9447" s="18" t="s">
        <v>14637</v>
      </c>
      <c r="O9447" s="19">
        <v>32905.99</v>
      </c>
      <c r="T9447" s="41">
        <v>0</v>
      </c>
      <c r="U9447" s="41">
        <v>0</v>
      </c>
      <c r="V9447" s="42" t="s">
        <v>113</v>
      </c>
      <c r="W9447" s="42">
        <v>0</v>
      </c>
      <c r="X9447" s="42">
        <v>0</v>
      </c>
    </row>
    <row r="9448" spans="1:24">
      <c r="A9448" s="27" t="s">
        <v>17256</v>
      </c>
      <c r="B9448" s="28" t="s">
        <v>12240</v>
      </c>
      <c r="C9448" s="27" t="s">
        <v>17257</v>
      </c>
      <c r="D9448" s="27" t="s">
        <v>230</v>
      </c>
      <c r="E9448" s="29">
        <v>43802</v>
      </c>
      <c r="F9448" s="27">
        <v>12</v>
      </c>
      <c r="G9448" s="18">
        <v>0</v>
      </c>
      <c r="H9448" s="27">
        <f t="shared" si="294"/>
        <v>0</v>
      </c>
      <c r="I9448" s="18">
        <v>0</v>
      </c>
      <c r="J9448" s="27">
        <v>32905.980000000003</v>
      </c>
      <c r="K9448" s="18">
        <f t="shared" si="295"/>
        <v>0</v>
      </c>
      <c r="L9448" s="27">
        <v>0</v>
      </c>
      <c r="M9448" s="36">
        <v>0</v>
      </c>
      <c r="N9448" s="18" t="s">
        <v>14637</v>
      </c>
      <c r="O9448" s="19">
        <v>32905.980000000003</v>
      </c>
      <c r="T9448" s="41">
        <v>0</v>
      </c>
      <c r="U9448" s="41">
        <v>0</v>
      </c>
      <c r="V9448" s="42" t="s">
        <v>113</v>
      </c>
      <c r="W9448" s="42">
        <v>0</v>
      </c>
      <c r="X9448" s="42">
        <v>0</v>
      </c>
    </row>
    <row r="9449" spans="1:24">
      <c r="A9449" s="27" t="s">
        <v>17258</v>
      </c>
      <c r="B9449" s="28" t="s">
        <v>12240</v>
      </c>
      <c r="C9449" s="27" t="s">
        <v>17259</v>
      </c>
      <c r="D9449" s="27" t="s">
        <v>230</v>
      </c>
      <c r="E9449" s="29">
        <v>43734</v>
      </c>
      <c r="F9449" s="27">
        <v>12</v>
      </c>
      <c r="G9449" s="18">
        <v>0</v>
      </c>
      <c r="H9449" s="27">
        <f t="shared" si="294"/>
        <v>0</v>
      </c>
      <c r="I9449" s="18">
        <v>0</v>
      </c>
      <c r="J9449" s="27">
        <v>82321.649999999994</v>
      </c>
      <c r="K9449" s="18">
        <f t="shared" si="295"/>
        <v>0</v>
      </c>
      <c r="L9449" s="27">
        <v>1629.28</v>
      </c>
      <c r="M9449" s="36">
        <v>1629.28</v>
      </c>
      <c r="N9449" s="18" t="s">
        <v>123</v>
      </c>
      <c r="O9449" s="19">
        <v>82321.649999999994</v>
      </c>
      <c r="T9449" s="41">
        <v>0</v>
      </c>
      <c r="U9449" s="41">
        <v>0</v>
      </c>
      <c r="V9449" s="42" t="s">
        <v>113</v>
      </c>
      <c r="W9449" s="42">
        <v>0</v>
      </c>
      <c r="X9449" s="42">
        <v>0</v>
      </c>
    </row>
    <row r="9450" spans="1:24">
      <c r="A9450" s="27" t="s">
        <v>17260</v>
      </c>
      <c r="B9450" s="28" t="s">
        <v>12240</v>
      </c>
      <c r="C9450" s="27" t="s">
        <v>17261</v>
      </c>
      <c r="D9450" s="27" t="s">
        <v>230</v>
      </c>
      <c r="E9450" s="29">
        <v>43802</v>
      </c>
      <c r="F9450" s="27">
        <v>12</v>
      </c>
      <c r="G9450" s="18">
        <v>0</v>
      </c>
      <c r="H9450" s="27">
        <f t="shared" si="294"/>
        <v>0</v>
      </c>
      <c r="I9450" s="18">
        <v>0</v>
      </c>
      <c r="J9450" s="27">
        <v>39810.5</v>
      </c>
      <c r="K9450" s="18">
        <f t="shared" si="295"/>
        <v>0</v>
      </c>
      <c r="L9450" s="27">
        <v>0</v>
      </c>
      <c r="M9450" s="36">
        <v>0</v>
      </c>
      <c r="N9450" s="18" t="s">
        <v>14637</v>
      </c>
      <c r="O9450" s="19">
        <v>39810.5</v>
      </c>
      <c r="T9450" s="41">
        <v>0</v>
      </c>
      <c r="U9450" s="41">
        <v>0</v>
      </c>
      <c r="V9450" s="42" t="s">
        <v>113</v>
      </c>
      <c r="W9450" s="42">
        <v>0</v>
      </c>
      <c r="X9450" s="42">
        <v>0</v>
      </c>
    </row>
    <row r="9451" spans="1:24">
      <c r="A9451" s="27" t="s">
        <v>17262</v>
      </c>
      <c r="B9451" s="28" t="s">
        <v>12240</v>
      </c>
      <c r="C9451" s="27" t="s">
        <v>17263</v>
      </c>
      <c r="D9451" s="27" t="s">
        <v>230</v>
      </c>
      <c r="E9451" s="29">
        <v>39417</v>
      </c>
      <c r="F9451" s="27">
        <v>15</v>
      </c>
      <c r="G9451" s="18">
        <v>48900</v>
      </c>
      <c r="H9451" s="27">
        <f t="shared" si="294"/>
        <v>0</v>
      </c>
      <c r="I9451" s="18">
        <v>41807.160000000003</v>
      </c>
      <c r="J9451" s="27">
        <v>48900</v>
      </c>
      <c r="K9451" s="18">
        <f t="shared" si="295"/>
        <v>0</v>
      </c>
      <c r="L9451" s="27">
        <v>42969.120000000003</v>
      </c>
      <c r="M9451" s="36">
        <v>1161.96</v>
      </c>
      <c r="T9451" s="41">
        <v>0</v>
      </c>
      <c r="U9451" s="41">
        <v>0</v>
      </c>
      <c r="V9451" s="42" t="s">
        <v>113</v>
      </c>
      <c r="W9451" s="42">
        <v>0</v>
      </c>
      <c r="X9451" s="42">
        <v>0</v>
      </c>
    </row>
    <row r="9452" spans="1:24">
      <c r="A9452" s="27" t="s">
        <v>17264</v>
      </c>
      <c r="B9452" s="28" t="s">
        <v>12240</v>
      </c>
      <c r="C9452" s="27" t="s">
        <v>17265</v>
      </c>
      <c r="D9452" s="27" t="s">
        <v>230</v>
      </c>
      <c r="E9452" s="29">
        <v>38078</v>
      </c>
      <c r="F9452" s="27">
        <v>15</v>
      </c>
      <c r="G9452" s="18">
        <v>17516.22</v>
      </c>
      <c r="H9452" s="27">
        <f t="shared" si="294"/>
        <v>17516.22</v>
      </c>
      <c r="I9452" s="18">
        <v>16640.41</v>
      </c>
      <c r="J9452" s="27">
        <v>17516.22</v>
      </c>
      <c r="K9452" s="18">
        <f t="shared" si="295"/>
        <v>17516.22</v>
      </c>
      <c r="L9452" s="27">
        <v>16640.41</v>
      </c>
      <c r="M9452" s="36">
        <v>0</v>
      </c>
      <c r="T9452" s="41">
        <v>0</v>
      </c>
      <c r="U9452" s="41">
        <v>0</v>
      </c>
      <c r="V9452" s="42" t="s">
        <v>113</v>
      </c>
      <c r="W9452" s="42">
        <v>17516.22</v>
      </c>
      <c r="X9452" s="42">
        <v>17516.22</v>
      </c>
    </row>
    <row r="9453" spans="1:24">
      <c r="A9453" s="27" t="s">
        <v>17266</v>
      </c>
      <c r="B9453" s="28" t="s">
        <v>12240</v>
      </c>
      <c r="C9453" s="27" t="s">
        <v>17267</v>
      </c>
      <c r="D9453" s="27" t="s">
        <v>230</v>
      </c>
      <c r="E9453" s="29">
        <v>37226</v>
      </c>
      <c r="F9453" s="27">
        <v>15</v>
      </c>
      <c r="G9453" s="18">
        <v>132842.64000000001</v>
      </c>
      <c r="H9453" s="27">
        <f t="shared" si="294"/>
        <v>0</v>
      </c>
      <c r="I9453" s="18">
        <v>87830.38</v>
      </c>
      <c r="J9453" s="27">
        <v>132842.64000000001</v>
      </c>
      <c r="K9453" s="18">
        <f t="shared" si="295"/>
        <v>0</v>
      </c>
      <c r="L9453" s="27">
        <v>90655.17</v>
      </c>
      <c r="M9453" s="36">
        <v>2824.79</v>
      </c>
      <c r="T9453" s="41">
        <v>0</v>
      </c>
      <c r="U9453" s="41">
        <v>0</v>
      </c>
      <c r="V9453" s="42" t="s">
        <v>124</v>
      </c>
      <c r="W9453" s="42">
        <v>132842.64000000001</v>
      </c>
      <c r="X9453" s="42">
        <v>132842.64000000001</v>
      </c>
    </row>
    <row r="9454" spans="1:24">
      <c r="A9454" s="27" t="s">
        <v>17268</v>
      </c>
      <c r="B9454" s="28" t="s">
        <v>12240</v>
      </c>
      <c r="C9454" s="27" t="s">
        <v>17269</v>
      </c>
      <c r="D9454" s="27" t="s">
        <v>230</v>
      </c>
      <c r="E9454" s="29">
        <v>35886</v>
      </c>
      <c r="F9454" s="27">
        <v>15</v>
      </c>
      <c r="G9454" s="18">
        <v>172482.09</v>
      </c>
      <c r="H9454" s="27">
        <f t="shared" si="294"/>
        <v>172482.09</v>
      </c>
      <c r="I9454" s="18">
        <v>163857.99</v>
      </c>
      <c r="J9454" s="27">
        <v>172482.09</v>
      </c>
      <c r="K9454" s="18">
        <f t="shared" si="295"/>
        <v>172482.09</v>
      </c>
      <c r="L9454" s="27">
        <v>163857.99</v>
      </c>
      <c r="M9454" s="36">
        <v>0</v>
      </c>
      <c r="T9454" s="41">
        <v>0</v>
      </c>
      <c r="U9454" s="41">
        <v>0</v>
      </c>
      <c r="V9454" s="42" t="s">
        <v>113</v>
      </c>
      <c r="W9454" s="42">
        <v>172482.09</v>
      </c>
      <c r="X9454" s="42">
        <v>172482.09</v>
      </c>
    </row>
    <row r="9455" spans="1:24">
      <c r="A9455" s="27" t="s">
        <v>17270</v>
      </c>
      <c r="B9455" s="28" t="s">
        <v>12240</v>
      </c>
      <c r="C9455" s="27" t="s">
        <v>17271</v>
      </c>
      <c r="D9455" s="27" t="s">
        <v>230</v>
      </c>
      <c r="E9455" s="29">
        <v>39417</v>
      </c>
      <c r="F9455" s="27">
        <v>15</v>
      </c>
      <c r="G9455" s="18">
        <v>18300</v>
      </c>
      <c r="H9455" s="27">
        <f t="shared" si="294"/>
        <v>0</v>
      </c>
      <c r="I9455" s="18">
        <v>17020.48</v>
      </c>
      <c r="J9455" s="27">
        <v>18300</v>
      </c>
      <c r="K9455" s="18">
        <f t="shared" si="295"/>
        <v>0</v>
      </c>
      <c r="L9455" s="27">
        <v>17111.61</v>
      </c>
      <c r="M9455" s="36">
        <v>91.13</v>
      </c>
      <c r="T9455" s="41">
        <v>0</v>
      </c>
      <c r="U9455" s="41">
        <v>0</v>
      </c>
      <c r="V9455" s="42" t="s">
        <v>113</v>
      </c>
      <c r="W9455" s="42">
        <v>0</v>
      </c>
      <c r="X9455" s="42">
        <v>0</v>
      </c>
    </row>
    <row r="9456" spans="1:24">
      <c r="A9456" s="27" t="s">
        <v>17272</v>
      </c>
      <c r="B9456" s="28" t="s">
        <v>12240</v>
      </c>
      <c r="C9456" s="27" t="s">
        <v>17273</v>
      </c>
      <c r="D9456" s="27" t="s">
        <v>230</v>
      </c>
      <c r="E9456" s="29">
        <v>35704</v>
      </c>
      <c r="F9456" s="27">
        <v>15</v>
      </c>
      <c r="G9456" s="18">
        <v>183011.37</v>
      </c>
      <c r="H9456" s="27">
        <f t="shared" si="294"/>
        <v>183011.37</v>
      </c>
      <c r="I9456" s="18">
        <v>173860.8</v>
      </c>
      <c r="J9456" s="27">
        <v>183011.37</v>
      </c>
      <c r="K9456" s="18">
        <f t="shared" si="295"/>
        <v>183011.37</v>
      </c>
      <c r="L9456" s="27">
        <v>173860.8</v>
      </c>
      <c r="M9456" s="36">
        <v>0</v>
      </c>
      <c r="T9456" s="41">
        <v>0</v>
      </c>
      <c r="U9456" s="41">
        <v>0</v>
      </c>
      <c r="V9456" s="42" t="s">
        <v>113</v>
      </c>
      <c r="W9456" s="42">
        <v>183011.37</v>
      </c>
      <c r="X9456" s="42">
        <v>183011.37</v>
      </c>
    </row>
    <row r="9457" spans="1:24">
      <c r="A9457" s="27" t="s">
        <v>17274</v>
      </c>
      <c r="B9457" s="28" t="s">
        <v>12240</v>
      </c>
      <c r="C9457" s="27" t="s">
        <v>17275</v>
      </c>
      <c r="D9457" s="27" t="s">
        <v>230</v>
      </c>
      <c r="E9457" s="29">
        <v>38078</v>
      </c>
      <c r="F9457" s="27">
        <v>15</v>
      </c>
      <c r="G9457" s="18">
        <v>48025.83</v>
      </c>
      <c r="H9457" s="27">
        <f t="shared" si="294"/>
        <v>48025.83</v>
      </c>
      <c r="I9457" s="18">
        <v>45624.54</v>
      </c>
      <c r="J9457" s="27">
        <v>48025.83</v>
      </c>
      <c r="K9457" s="18">
        <f t="shared" si="295"/>
        <v>48025.83</v>
      </c>
      <c r="L9457" s="27">
        <v>45624.54</v>
      </c>
      <c r="M9457" s="36">
        <v>0</v>
      </c>
      <c r="T9457" s="41">
        <v>0</v>
      </c>
      <c r="U9457" s="41">
        <v>0</v>
      </c>
      <c r="V9457" s="42" t="s">
        <v>113</v>
      </c>
      <c r="W9457" s="42">
        <v>48025.83</v>
      </c>
      <c r="X9457" s="42">
        <v>48025.83</v>
      </c>
    </row>
    <row r="9458" spans="1:24">
      <c r="A9458" s="27" t="s">
        <v>17276</v>
      </c>
      <c r="B9458" s="28" t="s">
        <v>12240</v>
      </c>
      <c r="C9458" s="27" t="s">
        <v>17277</v>
      </c>
      <c r="D9458" s="27" t="s">
        <v>230</v>
      </c>
      <c r="E9458" s="29">
        <v>39417</v>
      </c>
      <c r="F9458" s="27">
        <v>15</v>
      </c>
      <c r="G9458" s="18">
        <v>10291.950000000001</v>
      </c>
      <c r="H9458" s="27">
        <f t="shared" si="294"/>
        <v>0</v>
      </c>
      <c r="I9458" s="18">
        <v>8778.01</v>
      </c>
      <c r="J9458" s="27">
        <v>10291.950000000001</v>
      </c>
      <c r="K9458" s="18">
        <f t="shared" si="295"/>
        <v>0</v>
      </c>
      <c r="L9458" s="27">
        <v>9027.85</v>
      </c>
      <c r="M9458" s="36">
        <v>249.84</v>
      </c>
      <c r="T9458" s="41">
        <v>0</v>
      </c>
      <c r="U9458" s="41">
        <v>0</v>
      </c>
      <c r="V9458" s="42" t="s">
        <v>113</v>
      </c>
      <c r="W9458" s="42">
        <v>0</v>
      </c>
      <c r="X9458" s="42">
        <v>0</v>
      </c>
    </row>
    <row r="9459" spans="1:24">
      <c r="A9459" s="27" t="s">
        <v>17278</v>
      </c>
      <c r="B9459" s="28" t="s">
        <v>12240</v>
      </c>
      <c r="C9459" s="27" t="s">
        <v>17279</v>
      </c>
      <c r="D9459" s="27" t="s">
        <v>230</v>
      </c>
      <c r="E9459" s="29">
        <v>36617</v>
      </c>
      <c r="F9459" s="27">
        <v>15</v>
      </c>
      <c r="G9459" s="18">
        <v>5395.83</v>
      </c>
      <c r="H9459" s="27">
        <f t="shared" si="294"/>
        <v>5395.83</v>
      </c>
      <c r="I9459" s="18">
        <v>5126.04</v>
      </c>
      <c r="J9459" s="27">
        <v>5395.83</v>
      </c>
      <c r="K9459" s="18">
        <f t="shared" si="295"/>
        <v>5395.83</v>
      </c>
      <c r="L9459" s="27">
        <v>5126.04</v>
      </c>
      <c r="M9459" s="36">
        <v>0</v>
      </c>
      <c r="T9459" s="41">
        <v>0</v>
      </c>
      <c r="U9459" s="41">
        <v>0</v>
      </c>
      <c r="V9459" s="42" t="s">
        <v>113</v>
      </c>
      <c r="W9459" s="42">
        <v>5395.83</v>
      </c>
      <c r="X9459" s="42">
        <v>5395.83</v>
      </c>
    </row>
    <row r="9460" spans="1:24">
      <c r="A9460" s="27" t="s">
        <v>17280</v>
      </c>
      <c r="B9460" s="28" t="s">
        <v>12240</v>
      </c>
      <c r="C9460" s="27" t="s">
        <v>17281</v>
      </c>
      <c r="D9460" s="27" t="s">
        <v>230</v>
      </c>
      <c r="E9460" s="29">
        <v>39417</v>
      </c>
      <c r="F9460" s="27">
        <v>15</v>
      </c>
      <c r="G9460" s="18">
        <v>74400</v>
      </c>
      <c r="H9460" s="27">
        <f t="shared" si="294"/>
        <v>0</v>
      </c>
      <c r="I9460" s="18">
        <v>70149.03</v>
      </c>
      <c r="J9460" s="27">
        <v>74400</v>
      </c>
      <c r="K9460" s="18">
        <f t="shared" si="295"/>
        <v>0</v>
      </c>
      <c r="L9460" s="27">
        <v>70281.77</v>
      </c>
      <c r="M9460" s="36">
        <v>132.74</v>
      </c>
      <c r="T9460" s="41">
        <v>0</v>
      </c>
      <c r="U9460" s="41">
        <v>0</v>
      </c>
      <c r="V9460" s="42" t="s">
        <v>113</v>
      </c>
      <c r="W9460" s="42">
        <v>0</v>
      </c>
      <c r="X9460" s="42">
        <v>0</v>
      </c>
    </row>
    <row r="9461" spans="1:24">
      <c r="A9461" s="27" t="s">
        <v>17282</v>
      </c>
      <c r="B9461" s="28" t="s">
        <v>12240</v>
      </c>
      <c r="C9461" s="27" t="s">
        <v>17283</v>
      </c>
      <c r="D9461" s="27" t="s">
        <v>230</v>
      </c>
      <c r="E9461" s="29">
        <v>39417</v>
      </c>
      <c r="F9461" s="27">
        <v>15</v>
      </c>
      <c r="G9461" s="18">
        <v>111300</v>
      </c>
      <c r="H9461" s="27">
        <f t="shared" si="294"/>
        <v>0</v>
      </c>
      <c r="I9461" s="18">
        <v>98275.86</v>
      </c>
      <c r="J9461" s="27">
        <v>111300</v>
      </c>
      <c r="K9461" s="18">
        <f t="shared" si="295"/>
        <v>0</v>
      </c>
      <c r="L9461" s="27">
        <v>100140.65</v>
      </c>
      <c r="M9461" s="36">
        <v>1864.79</v>
      </c>
      <c r="T9461" s="41">
        <v>0</v>
      </c>
      <c r="U9461" s="41">
        <v>0</v>
      </c>
      <c r="V9461" s="42" t="s">
        <v>113</v>
      </c>
      <c r="W9461" s="42">
        <v>0</v>
      </c>
      <c r="X9461" s="42">
        <v>0</v>
      </c>
    </row>
    <row r="9462" spans="1:24">
      <c r="A9462" s="27" t="s">
        <v>17284</v>
      </c>
      <c r="B9462" s="28" t="s">
        <v>12240</v>
      </c>
      <c r="C9462" s="27" t="s">
        <v>15664</v>
      </c>
      <c r="D9462" s="27" t="s">
        <v>230</v>
      </c>
      <c r="E9462" s="29">
        <v>39417</v>
      </c>
      <c r="F9462" s="27">
        <v>15</v>
      </c>
      <c r="G9462" s="18">
        <v>34500</v>
      </c>
      <c r="H9462" s="27">
        <f t="shared" si="294"/>
        <v>0</v>
      </c>
      <c r="I9462" s="18">
        <v>31385.94</v>
      </c>
      <c r="J9462" s="27">
        <v>34500</v>
      </c>
      <c r="K9462" s="18">
        <f t="shared" si="295"/>
        <v>0</v>
      </c>
      <c r="L9462" s="27">
        <v>31733.21</v>
      </c>
      <c r="M9462" s="36">
        <v>347.27</v>
      </c>
      <c r="T9462" s="41">
        <v>0</v>
      </c>
      <c r="U9462" s="41">
        <v>0</v>
      </c>
      <c r="V9462" s="42" t="s">
        <v>113</v>
      </c>
      <c r="W9462" s="42">
        <v>0</v>
      </c>
      <c r="X9462" s="42">
        <v>0</v>
      </c>
    </row>
    <row r="9463" spans="1:24">
      <c r="A9463" s="27" t="s">
        <v>17285</v>
      </c>
      <c r="B9463" s="28" t="s">
        <v>12240</v>
      </c>
      <c r="C9463" s="27" t="s">
        <v>17286</v>
      </c>
      <c r="D9463" s="27" t="s">
        <v>230</v>
      </c>
      <c r="E9463" s="29">
        <v>39417</v>
      </c>
      <c r="F9463" s="27">
        <v>15</v>
      </c>
      <c r="G9463" s="18">
        <v>44900</v>
      </c>
      <c r="H9463" s="27">
        <f t="shared" si="294"/>
        <v>0</v>
      </c>
      <c r="I9463" s="18">
        <v>39645.879999999997</v>
      </c>
      <c r="J9463" s="27">
        <v>44900</v>
      </c>
      <c r="K9463" s="18">
        <f t="shared" si="295"/>
        <v>0</v>
      </c>
      <c r="L9463" s="27">
        <v>40398.160000000003</v>
      </c>
      <c r="M9463" s="36">
        <v>752.28</v>
      </c>
      <c r="T9463" s="41">
        <v>0</v>
      </c>
      <c r="U9463" s="41">
        <v>0</v>
      </c>
      <c r="V9463" s="42" t="s">
        <v>113</v>
      </c>
      <c r="W9463" s="42">
        <v>0</v>
      </c>
      <c r="X9463" s="42">
        <v>0</v>
      </c>
    </row>
    <row r="9464" spans="1:24">
      <c r="A9464" s="27" t="s">
        <v>17287</v>
      </c>
      <c r="B9464" s="28" t="s">
        <v>12240</v>
      </c>
      <c r="C9464" s="27" t="s">
        <v>17288</v>
      </c>
      <c r="D9464" s="27" t="s">
        <v>230</v>
      </c>
      <c r="E9464" s="29">
        <v>39417</v>
      </c>
      <c r="F9464" s="27">
        <v>15</v>
      </c>
      <c r="G9464" s="18">
        <v>84895.08</v>
      </c>
      <c r="H9464" s="27">
        <f t="shared" si="294"/>
        <v>0</v>
      </c>
      <c r="I9464" s="18">
        <v>77672.98</v>
      </c>
      <c r="J9464" s="27">
        <v>84895.08</v>
      </c>
      <c r="K9464" s="18">
        <f t="shared" si="295"/>
        <v>0</v>
      </c>
      <c r="L9464" s="27">
        <v>78417.320000000007</v>
      </c>
      <c r="M9464" s="36">
        <v>744.34</v>
      </c>
      <c r="T9464" s="41">
        <v>0</v>
      </c>
      <c r="U9464" s="41">
        <v>0</v>
      </c>
      <c r="V9464" s="42" t="s">
        <v>113</v>
      </c>
      <c r="W9464" s="42">
        <v>0</v>
      </c>
      <c r="X9464" s="42">
        <v>0</v>
      </c>
    </row>
    <row r="9465" spans="1:24">
      <c r="A9465" s="27" t="s">
        <v>17289</v>
      </c>
      <c r="B9465" s="28" t="s">
        <v>12240</v>
      </c>
      <c r="C9465" s="27" t="s">
        <v>17290</v>
      </c>
      <c r="D9465" s="27" t="s">
        <v>230</v>
      </c>
      <c r="E9465" s="29">
        <v>39417</v>
      </c>
      <c r="F9465" s="27">
        <v>15</v>
      </c>
      <c r="G9465" s="18">
        <v>33500</v>
      </c>
      <c r="H9465" s="27">
        <f t="shared" si="294"/>
        <v>0</v>
      </c>
      <c r="I9465" s="18">
        <v>30476.21</v>
      </c>
      <c r="J9465" s="27">
        <v>33500</v>
      </c>
      <c r="K9465" s="18">
        <f t="shared" si="295"/>
        <v>0</v>
      </c>
      <c r="L9465" s="27">
        <v>30813.41</v>
      </c>
      <c r="M9465" s="36">
        <v>337.2</v>
      </c>
      <c r="T9465" s="41">
        <v>0</v>
      </c>
      <c r="U9465" s="41">
        <v>0</v>
      </c>
      <c r="V9465" s="42" t="s">
        <v>113</v>
      </c>
      <c r="W9465" s="42">
        <v>0</v>
      </c>
      <c r="X9465" s="42">
        <v>0</v>
      </c>
    </row>
    <row r="9466" spans="1:24">
      <c r="A9466" s="27" t="s">
        <v>17291</v>
      </c>
      <c r="B9466" s="28" t="s">
        <v>12240</v>
      </c>
      <c r="C9466" s="27" t="s">
        <v>17292</v>
      </c>
      <c r="D9466" s="27" t="s">
        <v>230</v>
      </c>
      <c r="E9466" s="29">
        <v>39417</v>
      </c>
      <c r="F9466" s="27">
        <v>15</v>
      </c>
      <c r="G9466" s="18">
        <v>44100</v>
      </c>
      <c r="H9466" s="27">
        <f t="shared" si="294"/>
        <v>0</v>
      </c>
      <c r="I9466" s="18">
        <v>38939.5</v>
      </c>
      <c r="J9466" s="27">
        <v>44100</v>
      </c>
      <c r="K9466" s="18">
        <f t="shared" si="295"/>
        <v>0</v>
      </c>
      <c r="L9466" s="27">
        <v>39678.379999999997</v>
      </c>
      <c r="M9466" s="36">
        <v>738.88</v>
      </c>
      <c r="T9466" s="41">
        <v>0</v>
      </c>
      <c r="U9466" s="41">
        <v>0</v>
      </c>
      <c r="V9466" s="42" t="s">
        <v>113</v>
      </c>
      <c r="W9466" s="42">
        <v>0</v>
      </c>
      <c r="X9466" s="42">
        <v>0</v>
      </c>
    </row>
    <row r="9467" spans="1:24">
      <c r="A9467" s="27" t="s">
        <v>17293</v>
      </c>
      <c r="B9467" s="28" t="s">
        <v>12240</v>
      </c>
      <c r="C9467" s="27" t="s">
        <v>17294</v>
      </c>
      <c r="D9467" s="27" t="s">
        <v>230</v>
      </c>
      <c r="E9467" s="29">
        <v>35796</v>
      </c>
      <c r="F9467" s="27">
        <v>15</v>
      </c>
      <c r="G9467" s="18">
        <v>88946.76</v>
      </c>
      <c r="H9467" s="27">
        <f t="shared" si="294"/>
        <v>88946.76</v>
      </c>
      <c r="I9467" s="18">
        <v>84499.42</v>
      </c>
      <c r="J9467" s="27">
        <v>88946.76</v>
      </c>
      <c r="K9467" s="18">
        <f t="shared" si="295"/>
        <v>88946.76</v>
      </c>
      <c r="L9467" s="27">
        <v>84499.42</v>
      </c>
      <c r="M9467" s="36">
        <v>0</v>
      </c>
      <c r="T9467" s="41">
        <v>0</v>
      </c>
      <c r="U9467" s="41">
        <v>0</v>
      </c>
      <c r="V9467" s="42" t="s">
        <v>113</v>
      </c>
      <c r="W9467" s="42">
        <v>88946.76</v>
      </c>
      <c r="X9467" s="42">
        <v>88946.76</v>
      </c>
    </row>
    <row r="9468" spans="1:24">
      <c r="A9468" s="27" t="s">
        <v>17295</v>
      </c>
      <c r="B9468" s="28" t="s">
        <v>12240</v>
      </c>
      <c r="C9468" s="27" t="s">
        <v>17296</v>
      </c>
      <c r="D9468" s="27" t="s">
        <v>230</v>
      </c>
      <c r="E9468" s="29">
        <v>36495</v>
      </c>
      <c r="F9468" s="27">
        <v>15</v>
      </c>
      <c r="G9468" s="18">
        <v>21773.73</v>
      </c>
      <c r="H9468" s="27">
        <f t="shared" si="294"/>
        <v>21773.73</v>
      </c>
      <c r="I9468" s="18">
        <v>20685.04</v>
      </c>
      <c r="J9468" s="27">
        <v>21773.73</v>
      </c>
      <c r="K9468" s="18">
        <f t="shared" si="295"/>
        <v>21773.73</v>
      </c>
      <c r="L9468" s="27">
        <v>20685.04</v>
      </c>
      <c r="M9468" s="36">
        <v>0</v>
      </c>
      <c r="T9468" s="41">
        <v>0</v>
      </c>
      <c r="U9468" s="41">
        <v>0</v>
      </c>
      <c r="V9468" s="42" t="s">
        <v>113</v>
      </c>
      <c r="W9468" s="42">
        <v>21773.73</v>
      </c>
      <c r="X9468" s="42">
        <v>21773.73</v>
      </c>
    </row>
    <row r="9469" spans="1:24">
      <c r="A9469" s="27" t="s">
        <v>17297</v>
      </c>
      <c r="B9469" s="28" t="s">
        <v>12240</v>
      </c>
      <c r="C9469" s="27" t="s">
        <v>17298</v>
      </c>
      <c r="D9469" s="27" t="s">
        <v>230</v>
      </c>
      <c r="E9469" s="29">
        <v>38078</v>
      </c>
      <c r="F9469" s="27">
        <v>15</v>
      </c>
      <c r="G9469" s="18">
        <v>34834.839999999997</v>
      </c>
      <c r="H9469" s="27">
        <f t="shared" si="294"/>
        <v>34834.839999999997</v>
      </c>
      <c r="I9469" s="18">
        <v>33093.1</v>
      </c>
      <c r="J9469" s="27">
        <v>34834.839999999997</v>
      </c>
      <c r="K9469" s="18">
        <f t="shared" si="295"/>
        <v>34834.839999999997</v>
      </c>
      <c r="L9469" s="27">
        <v>33093.1</v>
      </c>
      <c r="M9469" s="36">
        <v>0</v>
      </c>
      <c r="T9469" s="41">
        <v>0</v>
      </c>
      <c r="U9469" s="41">
        <v>0</v>
      </c>
      <c r="V9469" s="42" t="s">
        <v>113</v>
      </c>
      <c r="W9469" s="42">
        <v>34834.839999999997</v>
      </c>
      <c r="X9469" s="42">
        <v>34834.839999999997</v>
      </c>
    </row>
    <row r="9470" spans="1:24">
      <c r="A9470" s="27" t="s">
        <v>17299</v>
      </c>
      <c r="B9470" s="28" t="s">
        <v>12240</v>
      </c>
      <c r="C9470" s="27" t="s">
        <v>17300</v>
      </c>
      <c r="D9470" s="27" t="s">
        <v>230</v>
      </c>
      <c r="E9470" s="29">
        <v>38078</v>
      </c>
      <c r="F9470" s="27">
        <v>15</v>
      </c>
      <c r="G9470" s="18">
        <v>14534.51</v>
      </c>
      <c r="H9470" s="27">
        <f t="shared" si="294"/>
        <v>14534.51</v>
      </c>
      <c r="I9470" s="18">
        <v>13807.78</v>
      </c>
      <c r="J9470" s="27">
        <v>54345.01</v>
      </c>
      <c r="K9470" s="18">
        <f t="shared" si="295"/>
        <v>0</v>
      </c>
      <c r="L9470" s="27">
        <v>14534.51</v>
      </c>
      <c r="M9470" s="36">
        <v>726.73</v>
      </c>
      <c r="N9470" s="18" t="s">
        <v>14637</v>
      </c>
      <c r="O9470" s="19">
        <v>39810.5</v>
      </c>
      <c r="T9470" s="41">
        <v>0</v>
      </c>
      <c r="U9470" s="41">
        <v>0</v>
      </c>
      <c r="V9470" s="42" t="s">
        <v>124</v>
      </c>
      <c r="W9470" s="42">
        <v>54345.01</v>
      </c>
      <c r="X9470" s="42">
        <v>54345.01</v>
      </c>
    </row>
    <row r="9471" spans="1:24">
      <c r="A9471" s="27" t="s">
        <v>17301</v>
      </c>
      <c r="B9471" s="28" t="s">
        <v>12240</v>
      </c>
      <c r="C9471" s="27" t="s">
        <v>17302</v>
      </c>
      <c r="D9471" s="27" t="s">
        <v>230</v>
      </c>
      <c r="E9471" s="29">
        <v>39417</v>
      </c>
      <c r="F9471" s="27">
        <v>15</v>
      </c>
      <c r="G9471" s="18">
        <v>6195.93</v>
      </c>
      <c r="H9471" s="27">
        <f t="shared" si="294"/>
        <v>0</v>
      </c>
      <c r="I9471" s="18">
        <v>5281.27</v>
      </c>
      <c r="J9471" s="27">
        <v>6195.93</v>
      </c>
      <c r="K9471" s="18">
        <f t="shared" si="295"/>
        <v>0</v>
      </c>
      <c r="L9471" s="27">
        <v>5432.49</v>
      </c>
      <c r="M9471" s="36">
        <v>151.22</v>
      </c>
      <c r="T9471" s="41">
        <v>0</v>
      </c>
      <c r="U9471" s="41">
        <v>0</v>
      </c>
      <c r="V9471" s="42" t="s">
        <v>113</v>
      </c>
      <c r="W9471" s="42">
        <v>0</v>
      </c>
      <c r="X9471" s="42">
        <v>0</v>
      </c>
    </row>
    <row r="9472" spans="1:24">
      <c r="A9472" s="27" t="s">
        <v>17303</v>
      </c>
      <c r="B9472" s="28" t="s">
        <v>12240</v>
      </c>
      <c r="C9472" s="27" t="s">
        <v>17304</v>
      </c>
      <c r="D9472" s="27" t="s">
        <v>230</v>
      </c>
      <c r="E9472" s="29">
        <v>39417</v>
      </c>
      <c r="F9472" s="27">
        <v>15</v>
      </c>
      <c r="G9472" s="18">
        <v>30200</v>
      </c>
      <c r="H9472" s="27">
        <f t="shared" si="294"/>
        <v>0</v>
      </c>
      <c r="I9472" s="18">
        <v>26589.09</v>
      </c>
      <c r="J9472" s="27">
        <v>30200</v>
      </c>
      <c r="K9472" s="18">
        <f t="shared" si="295"/>
        <v>0</v>
      </c>
      <c r="L9472" s="27">
        <v>27114.32</v>
      </c>
      <c r="M9472" s="36">
        <v>525.23</v>
      </c>
      <c r="T9472" s="41">
        <v>0</v>
      </c>
      <c r="U9472" s="41">
        <v>0</v>
      </c>
      <c r="V9472" s="42" t="s">
        <v>113</v>
      </c>
      <c r="W9472" s="42">
        <v>0</v>
      </c>
      <c r="X9472" s="42">
        <v>0</v>
      </c>
    </row>
    <row r="9473" spans="1:24">
      <c r="A9473" s="27" t="s">
        <v>17305</v>
      </c>
      <c r="B9473" s="28" t="s">
        <v>12240</v>
      </c>
      <c r="C9473" s="27" t="s">
        <v>17306</v>
      </c>
      <c r="D9473" s="27" t="s">
        <v>230</v>
      </c>
      <c r="E9473" s="29">
        <v>38078</v>
      </c>
      <c r="F9473" s="27">
        <v>15</v>
      </c>
      <c r="G9473" s="18">
        <v>16674.560000000001</v>
      </c>
      <c r="H9473" s="27">
        <f t="shared" si="294"/>
        <v>16674.560000000001</v>
      </c>
      <c r="I9473" s="18">
        <v>15840.83</v>
      </c>
      <c r="J9473" s="27">
        <v>16674.560000000001</v>
      </c>
      <c r="K9473" s="18">
        <f t="shared" si="295"/>
        <v>16674.560000000001</v>
      </c>
      <c r="L9473" s="27">
        <v>15840.83</v>
      </c>
      <c r="M9473" s="36">
        <v>0</v>
      </c>
      <c r="T9473" s="41">
        <v>0</v>
      </c>
      <c r="U9473" s="41">
        <v>0</v>
      </c>
      <c r="V9473" s="42" t="s">
        <v>113</v>
      </c>
      <c r="W9473" s="42">
        <v>16674.560000000001</v>
      </c>
      <c r="X9473" s="42">
        <v>16674.560000000001</v>
      </c>
    </row>
    <row r="9474" spans="1:24">
      <c r="A9474" s="27" t="s">
        <v>17307</v>
      </c>
      <c r="B9474" s="28" t="s">
        <v>12240</v>
      </c>
      <c r="C9474" s="27" t="s">
        <v>17308</v>
      </c>
      <c r="D9474" s="27" t="s">
        <v>230</v>
      </c>
      <c r="E9474" s="29">
        <v>39417</v>
      </c>
      <c r="F9474" s="27">
        <v>15</v>
      </c>
      <c r="G9474" s="18">
        <v>34300</v>
      </c>
      <c r="H9474" s="27">
        <f t="shared" si="294"/>
        <v>0</v>
      </c>
      <c r="I9474" s="18">
        <v>30286.26</v>
      </c>
      <c r="J9474" s="27">
        <v>34300</v>
      </c>
      <c r="K9474" s="18">
        <f t="shared" si="295"/>
        <v>0</v>
      </c>
      <c r="L9474" s="27">
        <v>30860.95</v>
      </c>
      <c r="M9474" s="36">
        <v>574.69000000000005</v>
      </c>
      <c r="T9474" s="41">
        <v>0</v>
      </c>
      <c r="U9474" s="41">
        <v>0</v>
      </c>
      <c r="V9474" s="42" t="s">
        <v>113</v>
      </c>
      <c r="W9474" s="42">
        <v>0</v>
      </c>
      <c r="X9474" s="42">
        <v>0</v>
      </c>
    </row>
    <row r="9475" spans="1:24">
      <c r="A9475" s="27" t="s">
        <v>17309</v>
      </c>
      <c r="B9475" s="28" t="s">
        <v>12240</v>
      </c>
      <c r="C9475" s="27" t="s">
        <v>17310</v>
      </c>
      <c r="D9475" s="27" t="s">
        <v>230</v>
      </c>
      <c r="E9475" s="29">
        <v>38078</v>
      </c>
      <c r="F9475" s="27">
        <v>15</v>
      </c>
      <c r="G9475" s="18">
        <v>23044</v>
      </c>
      <c r="H9475" s="27">
        <f t="shared" si="294"/>
        <v>23044</v>
      </c>
      <c r="I9475" s="18">
        <v>21891.8</v>
      </c>
      <c r="J9475" s="27">
        <v>23044</v>
      </c>
      <c r="K9475" s="18">
        <f t="shared" si="295"/>
        <v>23044</v>
      </c>
      <c r="L9475" s="27">
        <v>21891.8</v>
      </c>
      <c r="M9475" s="36">
        <v>0</v>
      </c>
      <c r="T9475" s="41">
        <v>0</v>
      </c>
      <c r="U9475" s="41">
        <v>0</v>
      </c>
      <c r="V9475" s="42" t="s">
        <v>113</v>
      </c>
      <c r="W9475" s="42">
        <v>23044</v>
      </c>
      <c r="X9475" s="42">
        <v>23044</v>
      </c>
    </row>
    <row r="9476" spans="1:24">
      <c r="A9476" s="27" t="s">
        <v>17311</v>
      </c>
      <c r="B9476" s="28" t="s">
        <v>12240</v>
      </c>
      <c r="C9476" s="27" t="s">
        <v>17312</v>
      </c>
      <c r="D9476" s="27" t="s">
        <v>230</v>
      </c>
      <c r="E9476" s="29">
        <v>39417</v>
      </c>
      <c r="F9476" s="27">
        <v>15</v>
      </c>
      <c r="G9476" s="18">
        <v>11900</v>
      </c>
      <c r="H9476" s="27">
        <f t="shared" si="294"/>
        <v>0</v>
      </c>
      <c r="I9476" s="18">
        <v>10416.52</v>
      </c>
      <c r="J9476" s="27">
        <v>11900</v>
      </c>
      <c r="K9476" s="18">
        <f t="shared" si="295"/>
        <v>0</v>
      </c>
      <c r="L9476" s="27">
        <v>10638.64</v>
      </c>
      <c r="M9476" s="36">
        <v>222.12</v>
      </c>
      <c r="T9476" s="41">
        <v>0</v>
      </c>
      <c r="U9476" s="41">
        <v>0</v>
      </c>
      <c r="V9476" s="42" t="s">
        <v>113</v>
      </c>
      <c r="W9476" s="42">
        <v>0</v>
      </c>
      <c r="X9476" s="42">
        <v>0</v>
      </c>
    </row>
    <row r="9477" spans="1:24">
      <c r="A9477" s="27" t="s">
        <v>17313</v>
      </c>
      <c r="B9477" s="28" t="s">
        <v>12240</v>
      </c>
      <c r="C9477" s="27" t="s">
        <v>17314</v>
      </c>
      <c r="D9477" s="27" t="s">
        <v>230</v>
      </c>
      <c r="E9477" s="29">
        <v>39417</v>
      </c>
      <c r="F9477" s="27">
        <v>15</v>
      </c>
      <c r="G9477" s="18">
        <v>105200</v>
      </c>
      <c r="H9477" s="27">
        <f t="shared" si="294"/>
        <v>0</v>
      </c>
      <c r="I9477" s="18">
        <v>99189.23</v>
      </c>
      <c r="J9477" s="27">
        <v>105200</v>
      </c>
      <c r="K9477" s="18">
        <f t="shared" si="295"/>
        <v>0</v>
      </c>
      <c r="L9477" s="27">
        <v>99376.92</v>
      </c>
      <c r="M9477" s="36">
        <v>187.69</v>
      </c>
      <c r="T9477" s="41">
        <v>0</v>
      </c>
      <c r="U9477" s="41">
        <v>0</v>
      </c>
      <c r="V9477" s="42" t="s">
        <v>113</v>
      </c>
      <c r="W9477" s="42">
        <v>0</v>
      </c>
      <c r="X9477" s="42">
        <v>0</v>
      </c>
    </row>
    <row r="9478" spans="1:24">
      <c r="A9478" s="27" t="s">
        <v>17315</v>
      </c>
      <c r="B9478" s="28" t="s">
        <v>12240</v>
      </c>
      <c r="C9478" s="27" t="s">
        <v>17316</v>
      </c>
      <c r="D9478" s="27" t="s">
        <v>230</v>
      </c>
      <c r="E9478" s="29">
        <v>37226</v>
      </c>
      <c r="F9478" s="27">
        <v>15</v>
      </c>
      <c r="G9478" s="18">
        <v>175040.17</v>
      </c>
      <c r="H9478" s="27">
        <f t="shared" ref="H9478:H9541" si="296">IFERROR(IF(ROUND((G9478-I9478)/G9478,2)&lt;=0.05,G9478,0),0)</f>
        <v>175040.17</v>
      </c>
      <c r="I9478" s="18">
        <v>166288.16</v>
      </c>
      <c r="J9478" s="27">
        <v>175040.17</v>
      </c>
      <c r="K9478" s="18">
        <f t="shared" ref="K9478:K9541" si="297">IFERROR(IF(ROUND((J9478-L9478)/J9478,2)&lt;=0.05,J9478,0),0)</f>
        <v>175040.17</v>
      </c>
      <c r="L9478" s="27">
        <v>166288.16</v>
      </c>
      <c r="M9478" s="36">
        <v>0</v>
      </c>
      <c r="T9478" s="41">
        <v>0</v>
      </c>
      <c r="U9478" s="41">
        <v>0</v>
      </c>
      <c r="V9478" s="42" t="s">
        <v>113</v>
      </c>
      <c r="W9478" s="42">
        <v>175040.17</v>
      </c>
      <c r="X9478" s="42">
        <v>175040.17</v>
      </c>
    </row>
    <row r="9479" spans="1:24">
      <c r="A9479" s="27" t="s">
        <v>17317</v>
      </c>
      <c r="B9479" s="28" t="s">
        <v>12240</v>
      </c>
      <c r="C9479" s="27" t="s">
        <v>17318</v>
      </c>
      <c r="D9479" s="27" t="s">
        <v>230</v>
      </c>
      <c r="E9479" s="29">
        <v>38078</v>
      </c>
      <c r="F9479" s="27">
        <v>15</v>
      </c>
      <c r="G9479" s="18">
        <v>117193.51</v>
      </c>
      <c r="H9479" s="27">
        <f t="shared" si="296"/>
        <v>117193.51</v>
      </c>
      <c r="I9479" s="18">
        <v>111333.83</v>
      </c>
      <c r="J9479" s="27">
        <v>117193.51</v>
      </c>
      <c r="K9479" s="18">
        <f t="shared" si="297"/>
        <v>117193.51</v>
      </c>
      <c r="L9479" s="27">
        <v>111333.83</v>
      </c>
      <c r="M9479" s="36">
        <v>0</v>
      </c>
      <c r="T9479" s="41">
        <v>0</v>
      </c>
      <c r="U9479" s="41">
        <v>0</v>
      </c>
      <c r="V9479" s="42" t="s">
        <v>113</v>
      </c>
      <c r="W9479" s="42">
        <v>117193.51</v>
      </c>
      <c r="X9479" s="42">
        <v>117193.51</v>
      </c>
    </row>
    <row r="9480" spans="1:24">
      <c r="A9480" s="27" t="s">
        <v>17319</v>
      </c>
      <c r="B9480" s="28" t="s">
        <v>12240</v>
      </c>
      <c r="C9480" s="27" t="s">
        <v>17320</v>
      </c>
      <c r="D9480" s="27" t="s">
        <v>230</v>
      </c>
      <c r="E9480" s="29">
        <v>38078</v>
      </c>
      <c r="F9480" s="27">
        <v>15</v>
      </c>
      <c r="G9480" s="18">
        <v>19590.009999999998</v>
      </c>
      <c r="H9480" s="27">
        <f t="shared" si="296"/>
        <v>19590.009999999998</v>
      </c>
      <c r="I9480" s="18">
        <v>18610.509999999998</v>
      </c>
      <c r="J9480" s="27">
        <v>19590.009999999998</v>
      </c>
      <c r="K9480" s="18">
        <f t="shared" si="297"/>
        <v>19590.009999999998</v>
      </c>
      <c r="L9480" s="27">
        <v>18610.509999999998</v>
      </c>
      <c r="M9480" s="36">
        <v>0</v>
      </c>
      <c r="T9480" s="41">
        <v>0</v>
      </c>
      <c r="U9480" s="41">
        <v>0</v>
      </c>
      <c r="V9480" s="42" t="s">
        <v>113</v>
      </c>
      <c r="W9480" s="42">
        <v>19590.009999999998</v>
      </c>
      <c r="X9480" s="42">
        <v>19590.009999999998</v>
      </c>
    </row>
    <row r="9481" spans="1:24">
      <c r="A9481" s="27" t="s">
        <v>17321</v>
      </c>
      <c r="B9481" s="28" t="s">
        <v>12240</v>
      </c>
      <c r="C9481" s="27" t="s">
        <v>17322</v>
      </c>
      <c r="D9481" s="27" t="s">
        <v>230</v>
      </c>
      <c r="E9481" s="29">
        <v>36526</v>
      </c>
      <c r="F9481" s="27">
        <v>15</v>
      </c>
      <c r="G9481" s="18">
        <v>10015.969999999999</v>
      </c>
      <c r="H9481" s="27">
        <f t="shared" si="296"/>
        <v>10015.969999999999</v>
      </c>
      <c r="I9481" s="18">
        <v>9515.17</v>
      </c>
      <c r="J9481" s="27">
        <v>10015.969999999999</v>
      </c>
      <c r="K9481" s="18">
        <f t="shared" si="297"/>
        <v>10015.969999999999</v>
      </c>
      <c r="L9481" s="27">
        <v>9515.17</v>
      </c>
      <c r="M9481" s="36">
        <v>0</v>
      </c>
      <c r="T9481" s="41">
        <v>0</v>
      </c>
      <c r="U9481" s="41">
        <v>0</v>
      </c>
      <c r="V9481" s="42" t="s">
        <v>113</v>
      </c>
      <c r="W9481" s="42">
        <v>10015.969999999999</v>
      </c>
      <c r="X9481" s="42">
        <v>10015.969999999999</v>
      </c>
    </row>
    <row r="9482" spans="1:24">
      <c r="A9482" s="27" t="s">
        <v>17323</v>
      </c>
      <c r="B9482" s="28" t="s">
        <v>12240</v>
      </c>
      <c r="C9482" s="27" t="s">
        <v>17324</v>
      </c>
      <c r="D9482" s="27" t="s">
        <v>230</v>
      </c>
      <c r="E9482" s="29">
        <v>38078</v>
      </c>
      <c r="F9482" s="27">
        <v>15</v>
      </c>
      <c r="G9482" s="18">
        <v>13795.44</v>
      </c>
      <c r="H9482" s="27">
        <f t="shared" si="296"/>
        <v>13795.44</v>
      </c>
      <c r="I9482" s="18">
        <v>13105.67</v>
      </c>
      <c r="J9482" s="27">
        <v>13795.44</v>
      </c>
      <c r="K9482" s="18">
        <f t="shared" si="297"/>
        <v>13795.44</v>
      </c>
      <c r="L9482" s="27">
        <v>13105.67</v>
      </c>
      <c r="M9482" s="36">
        <v>0</v>
      </c>
      <c r="T9482" s="41">
        <v>0</v>
      </c>
      <c r="U9482" s="41">
        <v>0</v>
      </c>
      <c r="V9482" s="42" t="s">
        <v>113</v>
      </c>
      <c r="W9482" s="42">
        <v>13795.44</v>
      </c>
      <c r="X9482" s="42">
        <v>13795.44</v>
      </c>
    </row>
    <row r="9483" spans="1:24">
      <c r="A9483" s="27" t="s">
        <v>17325</v>
      </c>
      <c r="B9483" s="28" t="s">
        <v>12240</v>
      </c>
      <c r="C9483" s="27" t="s">
        <v>17326</v>
      </c>
      <c r="D9483" s="27" t="s">
        <v>230</v>
      </c>
      <c r="E9483" s="29">
        <v>36495</v>
      </c>
      <c r="F9483" s="27">
        <v>15</v>
      </c>
      <c r="G9483" s="18">
        <v>19170</v>
      </c>
      <c r="H9483" s="27">
        <f t="shared" si="296"/>
        <v>19170</v>
      </c>
      <c r="I9483" s="18">
        <v>18211.5</v>
      </c>
      <c r="J9483" s="27">
        <v>19170</v>
      </c>
      <c r="K9483" s="18">
        <f t="shared" si="297"/>
        <v>19170</v>
      </c>
      <c r="L9483" s="27">
        <v>18211.5</v>
      </c>
      <c r="M9483" s="36">
        <v>0</v>
      </c>
      <c r="T9483" s="41">
        <v>0</v>
      </c>
      <c r="U9483" s="41">
        <v>0</v>
      </c>
      <c r="V9483" s="42" t="s">
        <v>113</v>
      </c>
      <c r="W9483" s="42">
        <v>19170</v>
      </c>
      <c r="X9483" s="42">
        <v>19170</v>
      </c>
    </row>
    <row r="9484" spans="1:24">
      <c r="A9484" s="27" t="s">
        <v>17327</v>
      </c>
      <c r="B9484" s="28" t="s">
        <v>12240</v>
      </c>
      <c r="C9484" s="27" t="s">
        <v>17328</v>
      </c>
      <c r="D9484" s="27" t="s">
        <v>230</v>
      </c>
      <c r="E9484" s="29">
        <v>43008</v>
      </c>
      <c r="F9484" s="27">
        <v>15</v>
      </c>
      <c r="G9484" s="18">
        <v>46275.21</v>
      </c>
      <c r="H9484" s="27">
        <f t="shared" si="296"/>
        <v>0</v>
      </c>
      <c r="I9484" s="18">
        <v>3834.21</v>
      </c>
      <c r="J9484" s="27">
        <v>46275.21</v>
      </c>
      <c r="K9484" s="18">
        <f t="shared" si="297"/>
        <v>0</v>
      </c>
      <c r="L9484" s="27">
        <v>6752.55</v>
      </c>
      <c r="M9484" s="36">
        <v>2918.34</v>
      </c>
      <c r="T9484" s="41">
        <v>0</v>
      </c>
      <c r="U9484" s="41">
        <v>0</v>
      </c>
      <c r="V9484" s="42" t="s">
        <v>113</v>
      </c>
      <c r="W9484" s="42">
        <v>0</v>
      </c>
      <c r="X9484" s="42">
        <v>0</v>
      </c>
    </row>
    <row r="9485" spans="1:24">
      <c r="A9485" s="27" t="s">
        <v>17329</v>
      </c>
      <c r="B9485" s="28" t="s">
        <v>12240</v>
      </c>
      <c r="C9485" s="27" t="s">
        <v>17330</v>
      </c>
      <c r="D9485" s="27" t="s">
        <v>230</v>
      </c>
      <c r="E9485" s="29">
        <v>43008</v>
      </c>
      <c r="F9485" s="27">
        <v>15</v>
      </c>
      <c r="G9485" s="18">
        <v>46275.22</v>
      </c>
      <c r="H9485" s="27">
        <f t="shared" si="296"/>
        <v>0</v>
      </c>
      <c r="I9485" s="18">
        <v>3834.21</v>
      </c>
      <c r="J9485" s="27">
        <v>46275.22</v>
      </c>
      <c r="K9485" s="18">
        <f t="shared" si="297"/>
        <v>0</v>
      </c>
      <c r="L9485" s="27">
        <v>6752.56</v>
      </c>
      <c r="M9485" s="36">
        <v>2918.35</v>
      </c>
      <c r="T9485" s="41">
        <v>0</v>
      </c>
      <c r="U9485" s="41">
        <v>0</v>
      </c>
      <c r="V9485" s="42" t="s">
        <v>113</v>
      </c>
      <c r="W9485" s="42">
        <v>0</v>
      </c>
      <c r="X9485" s="42">
        <v>0</v>
      </c>
    </row>
    <row r="9486" spans="1:24">
      <c r="A9486" s="27" t="s">
        <v>17331</v>
      </c>
      <c r="B9486" s="28" t="s">
        <v>12240</v>
      </c>
      <c r="C9486" s="27" t="s">
        <v>17332</v>
      </c>
      <c r="D9486" s="27" t="s">
        <v>230</v>
      </c>
      <c r="E9486" s="29">
        <v>43189</v>
      </c>
      <c r="F9486" s="27">
        <v>15</v>
      </c>
      <c r="G9486" s="18">
        <v>27807.98</v>
      </c>
      <c r="H9486" s="27">
        <f t="shared" si="296"/>
        <v>0</v>
      </c>
      <c r="I9486" s="18">
        <v>1319.72</v>
      </c>
      <c r="J9486" s="27">
        <v>27807.98</v>
      </c>
      <c r="K9486" s="18">
        <f t="shared" si="297"/>
        <v>0</v>
      </c>
      <c r="L9486" s="27">
        <v>3080.97</v>
      </c>
      <c r="M9486" s="36">
        <v>1761.25</v>
      </c>
      <c r="T9486" s="41">
        <v>0</v>
      </c>
      <c r="U9486" s="41">
        <v>0</v>
      </c>
      <c r="V9486" s="42" t="s">
        <v>113</v>
      </c>
      <c r="W9486" s="42">
        <v>0</v>
      </c>
      <c r="X9486" s="42">
        <v>0</v>
      </c>
    </row>
    <row r="9487" spans="1:24">
      <c r="A9487" s="27" t="s">
        <v>17333</v>
      </c>
      <c r="B9487" s="28" t="s">
        <v>12240</v>
      </c>
      <c r="C9487" s="27" t="s">
        <v>17334</v>
      </c>
      <c r="D9487" s="27" t="s">
        <v>230</v>
      </c>
      <c r="E9487" s="29">
        <v>43189</v>
      </c>
      <c r="F9487" s="27">
        <v>15</v>
      </c>
      <c r="G9487" s="18">
        <v>29302.23</v>
      </c>
      <c r="H9487" s="27">
        <f t="shared" si="296"/>
        <v>0</v>
      </c>
      <c r="I9487" s="18">
        <v>1390.68</v>
      </c>
      <c r="J9487" s="27">
        <v>29302.23</v>
      </c>
      <c r="K9487" s="18">
        <f t="shared" si="297"/>
        <v>0</v>
      </c>
      <c r="L9487" s="27">
        <v>3246.57</v>
      </c>
      <c r="M9487" s="36">
        <v>1855.89</v>
      </c>
      <c r="T9487" s="41">
        <v>0</v>
      </c>
      <c r="U9487" s="41">
        <v>0</v>
      </c>
      <c r="V9487" s="42" t="s">
        <v>113</v>
      </c>
      <c r="W9487" s="42">
        <v>0</v>
      </c>
      <c r="X9487" s="42">
        <v>0</v>
      </c>
    </row>
    <row r="9488" spans="1:24">
      <c r="A9488" s="27" t="s">
        <v>17335</v>
      </c>
      <c r="B9488" s="28" t="s">
        <v>12240</v>
      </c>
      <c r="C9488" s="27" t="s">
        <v>17336</v>
      </c>
      <c r="D9488" s="27" t="s">
        <v>230</v>
      </c>
      <c r="E9488" s="29">
        <v>43189</v>
      </c>
      <c r="F9488" s="27">
        <v>15</v>
      </c>
      <c r="G9488" s="18">
        <v>29302.22</v>
      </c>
      <c r="H9488" s="27">
        <f t="shared" si="296"/>
        <v>0</v>
      </c>
      <c r="I9488" s="18">
        <v>1390.68</v>
      </c>
      <c r="J9488" s="27">
        <v>29302.22</v>
      </c>
      <c r="K9488" s="18">
        <f t="shared" si="297"/>
        <v>0</v>
      </c>
      <c r="L9488" s="27">
        <v>3246.57</v>
      </c>
      <c r="M9488" s="36">
        <v>1855.89</v>
      </c>
      <c r="T9488" s="41">
        <v>0</v>
      </c>
      <c r="U9488" s="41">
        <v>0</v>
      </c>
      <c r="V9488" s="42" t="s">
        <v>113</v>
      </c>
      <c r="W9488" s="42">
        <v>0</v>
      </c>
      <c r="X9488" s="42">
        <v>0</v>
      </c>
    </row>
    <row r="9489" spans="1:24">
      <c r="A9489" s="27" t="s">
        <v>17337</v>
      </c>
      <c r="B9489" s="28" t="s">
        <v>12240</v>
      </c>
      <c r="C9489" s="27" t="s">
        <v>17338</v>
      </c>
      <c r="D9489" s="27" t="s">
        <v>230</v>
      </c>
      <c r="E9489" s="29">
        <v>43189</v>
      </c>
      <c r="F9489" s="27">
        <v>15</v>
      </c>
      <c r="G9489" s="18">
        <v>29666.85</v>
      </c>
      <c r="H9489" s="27">
        <f t="shared" si="296"/>
        <v>0</v>
      </c>
      <c r="I9489" s="18">
        <v>1407.94</v>
      </c>
      <c r="J9489" s="27">
        <v>29666.85</v>
      </c>
      <c r="K9489" s="18">
        <f t="shared" si="297"/>
        <v>0</v>
      </c>
      <c r="L9489" s="27">
        <v>3286.93</v>
      </c>
      <c r="M9489" s="36">
        <v>1878.99</v>
      </c>
      <c r="T9489" s="41">
        <v>0</v>
      </c>
      <c r="U9489" s="41">
        <v>0</v>
      </c>
      <c r="V9489" s="42" t="s">
        <v>113</v>
      </c>
      <c r="W9489" s="42">
        <v>0</v>
      </c>
      <c r="X9489" s="42">
        <v>0</v>
      </c>
    </row>
    <row r="9490" spans="1:24">
      <c r="A9490" s="27" t="s">
        <v>17339</v>
      </c>
      <c r="B9490" s="28" t="s">
        <v>12240</v>
      </c>
      <c r="C9490" s="27" t="s">
        <v>17340</v>
      </c>
      <c r="D9490" s="27" t="s">
        <v>230</v>
      </c>
      <c r="E9490" s="29">
        <v>43038</v>
      </c>
      <c r="F9490" s="27">
        <v>15</v>
      </c>
      <c r="G9490" s="18">
        <v>29516.720000000001</v>
      </c>
      <c r="H9490" s="27">
        <f t="shared" si="296"/>
        <v>0</v>
      </c>
      <c r="I9490" s="18">
        <v>2253.6</v>
      </c>
      <c r="J9490" s="27">
        <v>29516.720000000001</v>
      </c>
      <c r="K9490" s="18">
        <f t="shared" si="297"/>
        <v>0</v>
      </c>
      <c r="L9490" s="27">
        <v>4117.74</v>
      </c>
      <c r="M9490" s="36">
        <v>1864.14</v>
      </c>
      <c r="T9490" s="41">
        <v>0</v>
      </c>
      <c r="U9490" s="41">
        <v>0</v>
      </c>
      <c r="V9490" s="42" t="s">
        <v>113</v>
      </c>
      <c r="W9490" s="42">
        <v>0</v>
      </c>
      <c r="X9490" s="42">
        <v>0</v>
      </c>
    </row>
    <row r="9491" spans="1:24">
      <c r="A9491" s="27" t="s">
        <v>17341</v>
      </c>
      <c r="B9491" s="28" t="s">
        <v>12240</v>
      </c>
      <c r="C9491" s="27" t="s">
        <v>17342</v>
      </c>
      <c r="D9491" s="27" t="s">
        <v>230</v>
      </c>
      <c r="E9491" s="29">
        <v>43189</v>
      </c>
      <c r="F9491" s="27">
        <v>15</v>
      </c>
      <c r="G9491" s="18">
        <v>39880.43</v>
      </c>
      <c r="H9491" s="27">
        <f t="shared" si="296"/>
        <v>0</v>
      </c>
      <c r="I9491" s="18">
        <v>1892.56</v>
      </c>
      <c r="J9491" s="27">
        <v>39880.43</v>
      </c>
      <c r="K9491" s="18">
        <f t="shared" si="297"/>
        <v>0</v>
      </c>
      <c r="L9491" s="27">
        <v>4418.4399999999996</v>
      </c>
      <c r="M9491" s="36">
        <v>2525.88</v>
      </c>
      <c r="T9491" s="41">
        <v>0</v>
      </c>
      <c r="U9491" s="41">
        <v>0</v>
      </c>
      <c r="V9491" s="42" t="s">
        <v>113</v>
      </c>
      <c r="W9491" s="42">
        <v>0</v>
      </c>
      <c r="X9491" s="42">
        <v>0</v>
      </c>
    </row>
    <row r="9492" spans="1:24">
      <c r="A9492" s="27" t="s">
        <v>17343</v>
      </c>
      <c r="B9492" s="28" t="s">
        <v>12240</v>
      </c>
      <c r="C9492" s="27" t="s">
        <v>17344</v>
      </c>
      <c r="D9492" s="27" t="s">
        <v>230</v>
      </c>
      <c r="E9492" s="29">
        <v>43061</v>
      </c>
      <c r="F9492" s="27">
        <v>15</v>
      </c>
      <c r="G9492" s="18">
        <v>97836.96</v>
      </c>
      <c r="H9492" s="27">
        <f t="shared" si="296"/>
        <v>0</v>
      </c>
      <c r="I9492" s="18">
        <v>6833.14</v>
      </c>
      <c r="J9492" s="27">
        <v>97836.96</v>
      </c>
      <c r="K9492" s="18">
        <f t="shared" si="297"/>
        <v>0</v>
      </c>
      <c r="L9492" s="27">
        <v>13020.83</v>
      </c>
      <c r="M9492" s="36">
        <v>6187.69</v>
      </c>
      <c r="T9492" s="41">
        <v>0</v>
      </c>
      <c r="U9492" s="41">
        <v>0</v>
      </c>
      <c r="V9492" s="42" t="s">
        <v>113</v>
      </c>
      <c r="W9492" s="42">
        <v>0</v>
      </c>
      <c r="X9492" s="42">
        <v>0</v>
      </c>
    </row>
    <row r="9493" spans="1:24">
      <c r="A9493" s="27" t="s">
        <v>17345</v>
      </c>
      <c r="B9493" s="28" t="s">
        <v>12240</v>
      </c>
      <c r="C9493" s="27" t="s">
        <v>17346</v>
      </c>
      <c r="D9493" s="27" t="s">
        <v>230</v>
      </c>
      <c r="E9493" s="29">
        <v>43061</v>
      </c>
      <c r="F9493" s="27">
        <v>15</v>
      </c>
      <c r="G9493" s="18">
        <v>97836.96</v>
      </c>
      <c r="H9493" s="27">
        <f t="shared" si="296"/>
        <v>0</v>
      </c>
      <c r="I9493" s="18">
        <v>6833.14</v>
      </c>
      <c r="J9493" s="27">
        <v>97836.96</v>
      </c>
      <c r="K9493" s="18">
        <f t="shared" si="297"/>
        <v>0</v>
      </c>
      <c r="L9493" s="27">
        <v>13020.83</v>
      </c>
      <c r="M9493" s="36">
        <v>6187.69</v>
      </c>
      <c r="T9493" s="41">
        <v>0</v>
      </c>
      <c r="U9493" s="41">
        <v>0</v>
      </c>
      <c r="V9493" s="42" t="s">
        <v>113</v>
      </c>
      <c r="W9493" s="42">
        <v>0</v>
      </c>
      <c r="X9493" s="42">
        <v>0</v>
      </c>
    </row>
    <row r="9494" spans="1:24">
      <c r="A9494" s="27" t="s">
        <v>17347</v>
      </c>
      <c r="B9494" s="28" t="s">
        <v>12240</v>
      </c>
      <c r="C9494" s="27" t="s">
        <v>17348</v>
      </c>
      <c r="D9494" s="27" t="s">
        <v>230</v>
      </c>
      <c r="E9494" s="29">
        <v>43061</v>
      </c>
      <c r="F9494" s="27">
        <v>15</v>
      </c>
      <c r="G9494" s="18">
        <v>97836.96</v>
      </c>
      <c r="H9494" s="27">
        <f t="shared" si="296"/>
        <v>0</v>
      </c>
      <c r="I9494" s="18">
        <v>6833.14</v>
      </c>
      <c r="J9494" s="27">
        <v>97836.96</v>
      </c>
      <c r="K9494" s="18">
        <f t="shared" si="297"/>
        <v>0</v>
      </c>
      <c r="L9494" s="27">
        <v>13020.83</v>
      </c>
      <c r="M9494" s="36">
        <v>6187.69</v>
      </c>
      <c r="T9494" s="41">
        <v>0</v>
      </c>
      <c r="U9494" s="41">
        <v>0</v>
      </c>
      <c r="V9494" s="42" t="s">
        <v>113</v>
      </c>
      <c r="W9494" s="42">
        <v>0</v>
      </c>
      <c r="X9494" s="42">
        <v>0</v>
      </c>
    </row>
    <row r="9495" spans="1:24">
      <c r="A9495" s="27" t="s">
        <v>17349</v>
      </c>
      <c r="B9495" s="28" t="s">
        <v>12240</v>
      </c>
      <c r="C9495" s="27" t="s">
        <v>17350</v>
      </c>
      <c r="D9495" s="27" t="s">
        <v>230</v>
      </c>
      <c r="E9495" s="29">
        <v>43061</v>
      </c>
      <c r="F9495" s="27">
        <v>15</v>
      </c>
      <c r="G9495" s="18">
        <v>97836.95</v>
      </c>
      <c r="H9495" s="27">
        <f t="shared" si="296"/>
        <v>0</v>
      </c>
      <c r="I9495" s="18">
        <v>6833.14</v>
      </c>
      <c r="J9495" s="27">
        <v>97836.95</v>
      </c>
      <c r="K9495" s="18">
        <f t="shared" si="297"/>
        <v>0</v>
      </c>
      <c r="L9495" s="27">
        <v>13020.83</v>
      </c>
      <c r="M9495" s="36">
        <v>6187.69</v>
      </c>
      <c r="T9495" s="41">
        <v>0</v>
      </c>
      <c r="U9495" s="41">
        <v>0</v>
      </c>
      <c r="V9495" s="42" t="s">
        <v>113</v>
      </c>
      <c r="W9495" s="42">
        <v>0</v>
      </c>
      <c r="X9495" s="42">
        <v>0</v>
      </c>
    </row>
    <row r="9496" spans="1:24">
      <c r="A9496" s="27" t="s">
        <v>17351</v>
      </c>
      <c r="B9496" s="28" t="s">
        <v>12240</v>
      </c>
      <c r="C9496" s="27" t="s">
        <v>17352</v>
      </c>
      <c r="D9496" s="27" t="s">
        <v>230</v>
      </c>
      <c r="E9496" s="29">
        <v>43061</v>
      </c>
      <c r="F9496" s="27">
        <v>15</v>
      </c>
      <c r="G9496" s="18">
        <v>97836.95</v>
      </c>
      <c r="H9496" s="27">
        <f t="shared" si="296"/>
        <v>0</v>
      </c>
      <c r="I9496" s="18">
        <v>6833.14</v>
      </c>
      <c r="J9496" s="27">
        <v>97836.95</v>
      </c>
      <c r="K9496" s="18">
        <f t="shared" si="297"/>
        <v>0</v>
      </c>
      <c r="L9496" s="27">
        <v>13020.83</v>
      </c>
      <c r="M9496" s="36">
        <v>6187.69</v>
      </c>
      <c r="T9496" s="41">
        <v>0</v>
      </c>
      <c r="U9496" s="41">
        <v>0</v>
      </c>
      <c r="V9496" s="42" t="s">
        <v>113</v>
      </c>
      <c r="W9496" s="42">
        <v>0</v>
      </c>
      <c r="X9496" s="42">
        <v>0</v>
      </c>
    </row>
    <row r="9497" spans="1:24">
      <c r="A9497" s="27" t="s">
        <v>17353</v>
      </c>
      <c r="B9497" s="28" t="s">
        <v>12240</v>
      </c>
      <c r="C9497" s="27" t="s">
        <v>17354</v>
      </c>
      <c r="D9497" s="27" t="s">
        <v>230</v>
      </c>
      <c r="E9497" s="29">
        <v>43061</v>
      </c>
      <c r="F9497" s="27">
        <v>15</v>
      </c>
      <c r="G9497" s="18">
        <v>159804.48000000001</v>
      </c>
      <c r="H9497" s="27">
        <f t="shared" si="296"/>
        <v>0</v>
      </c>
      <c r="I9497" s="18">
        <v>11161.08</v>
      </c>
      <c r="J9497" s="27">
        <v>159804.48000000001</v>
      </c>
      <c r="K9497" s="18">
        <f t="shared" si="297"/>
        <v>0</v>
      </c>
      <c r="L9497" s="27">
        <v>21267.9</v>
      </c>
      <c r="M9497" s="36">
        <v>10106.82</v>
      </c>
      <c r="T9497" s="41">
        <v>0</v>
      </c>
      <c r="U9497" s="41">
        <v>0</v>
      </c>
      <c r="V9497" s="42" t="s">
        <v>113</v>
      </c>
      <c r="W9497" s="42">
        <v>0</v>
      </c>
      <c r="X9497" s="42">
        <v>0</v>
      </c>
    </row>
    <row r="9498" spans="1:24">
      <c r="A9498" s="27" t="s">
        <v>17355</v>
      </c>
      <c r="B9498" s="28" t="s">
        <v>12240</v>
      </c>
      <c r="C9498" s="27" t="s">
        <v>17356</v>
      </c>
      <c r="D9498" s="27" t="s">
        <v>230</v>
      </c>
      <c r="E9498" s="29">
        <v>43061</v>
      </c>
      <c r="F9498" s="27">
        <v>15</v>
      </c>
      <c r="G9498" s="18">
        <v>97836.95</v>
      </c>
      <c r="H9498" s="27">
        <f t="shared" si="296"/>
        <v>0</v>
      </c>
      <c r="I9498" s="18">
        <v>6833.14</v>
      </c>
      <c r="J9498" s="27">
        <v>97836.95</v>
      </c>
      <c r="K9498" s="18">
        <f t="shared" si="297"/>
        <v>0</v>
      </c>
      <c r="L9498" s="27">
        <v>13020.83</v>
      </c>
      <c r="M9498" s="36">
        <v>6187.69</v>
      </c>
      <c r="T9498" s="41">
        <v>0</v>
      </c>
      <c r="U9498" s="41">
        <v>0</v>
      </c>
      <c r="V9498" s="42" t="s">
        <v>113</v>
      </c>
      <c r="W9498" s="42">
        <v>0</v>
      </c>
      <c r="X9498" s="42">
        <v>0</v>
      </c>
    </row>
    <row r="9499" spans="1:24">
      <c r="A9499" s="27" t="s">
        <v>17357</v>
      </c>
      <c r="B9499" s="28" t="s">
        <v>12240</v>
      </c>
      <c r="C9499" s="27" t="s">
        <v>17358</v>
      </c>
      <c r="D9499" s="27" t="s">
        <v>230</v>
      </c>
      <c r="E9499" s="29">
        <v>43061</v>
      </c>
      <c r="F9499" s="27">
        <v>15</v>
      </c>
      <c r="G9499" s="18">
        <v>97836.95</v>
      </c>
      <c r="H9499" s="27">
        <f t="shared" si="296"/>
        <v>0</v>
      </c>
      <c r="I9499" s="18">
        <v>6833.14</v>
      </c>
      <c r="J9499" s="27">
        <v>97836.95</v>
      </c>
      <c r="K9499" s="18">
        <f t="shared" si="297"/>
        <v>0</v>
      </c>
      <c r="L9499" s="27">
        <v>13020.83</v>
      </c>
      <c r="M9499" s="36">
        <v>6187.69</v>
      </c>
      <c r="T9499" s="41">
        <v>0</v>
      </c>
      <c r="U9499" s="41">
        <v>0</v>
      </c>
      <c r="V9499" s="42" t="s">
        <v>113</v>
      </c>
      <c r="W9499" s="42">
        <v>0</v>
      </c>
      <c r="X9499" s="42">
        <v>0</v>
      </c>
    </row>
    <row r="9500" spans="1:24">
      <c r="A9500" s="27" t="s">
        <v>17359</v>
      </c>
      <c r="B9500" s="28" t="s">
        <v>12240</v>
      </c>
      <c r="C9500" s="27" t="s">
        <v>17360</v>
      </c>
      <c r="D9500" s="27" t="s">
        <v>230</v>
      </c>
      <c r="E9500" s="29">
        <v>43061</v>
      </c>
      <c r="F9500" s="27">
        <v>15</v>
      </c>
      <c r="G9500" s="18">
        <v>97836.95</v>
      </c>
      <c r="H9500" s="27">
        <f t="shared" si="296"/>
        <v>0</v>
      </c>
      <c r="I9500" s="18">
        <v>6833.14</v>
      </c>
      <c r="J9500" s="27">
        <v>97836.95</v>
      </c>
      <c r="K9500" s="18">
        <f t="shared" si="297"/>
        <v>0</v>
      </c>
      <c r="L9500" s="27">
        <v>13020.83</v>
      </c>
      <c r="M9500" s="36">
        <v>6187.69</v>
      </c>
      <c r="T9500" s="41">
        <v>0</v>
      </c>
      <c r="U9500" s="41">
        <v>0</v>
      </c>
      <c r="V9500" s="42" t="s">
        <v>113</v>
      </c>
      <c r="W9500" s="42">
        <v>0</v>
      </c>
      <c r="X9500" s="42">
        <v>0</v>
      </c>
    </row>
    <row r="9501" spans="1:24">
      <c r="A9501" s="27" t="s">
        <v>17361</v>
      </c>
      <c r="B9501" s="28" t="s">
        <v>12240</v>
      </c>
      <c r="C9501" s="27" t="s">
        <v>17362</v>
      </c>
      <c r="D9501" s="27" t="s">
        <v>230</v>
      </c>
      <c r="E9501" s="29">
        <v>43061</v>
      </c>
      <c r="F9501" s="27">
        <v>15</v>
      </c>
      <c r="G9501" s="18">
        <v>97836.95</v>
      </c>
      <c r="H9501" s="27">
        <f t="shared" si="296"/>
        <v>0</v>
      </c>
      <c r="I9501" s="18">
        <v>6833.14</v>
      </c>
      <c r="J9501" s="27">
        <v>97836.95</v>
      </c>
      <c r="K9501" s="18">
        <f t="shared" si="297"/>
        <v>0</v>
      </c>
      <c r="L9501" s="27">
        <v>13020.83</v>
      </c>
      <c r="M9501" s="36">
        <v>6187.69</v>
      </c>
      <c r="T9501" s="41">
        <v>0</v>
      </c>
      <c r="U9501" s="41">
        <v>0</v>
      </c>
      <c r="V9501" s="42" t="s">
        <v>113</v>
      </c>
      <c r="W9501" s="42">
        <v>0</v>
      </c>
      <c r="X9501" s="42">
        <v>0</v>
      </c>
    </row>
    <row r="9502" spans="1:24">
      <c r="A9502" s="27" t="s">
        <v>17363</v>
      </c>
      <c r="B9502" s="28" t="s">
        <v>12240</v>
      </c>
      <c r="C9502" s="27" t="s">
        <v>17364</v>
      </c>
      <c r="D9502" s="27" t="s">
        <v>230</v>
      </c>
      <c r="E9502" s="29">
        <v>43061</v>
      </c>
      <c r="F9502" s="27">
        <v>15</v>
      </c>
      <c r="G9502" s="18">
        <v>97836.95</v>
      </c>
      <c r="H9502" s="27">
        <f t="shared" si="296"/>
        <v>0</v>
      </c>
      <c r="I9502" s="18">
        <v>6833.14</v>
      </c>
      <c r="J9502" s="27">
        <v>97836.95</v>
      </c>
      <c r="K9502" s="18">
        <f t="shared" si="297"/>
        <v>0</v>
      </c>
      <c r="L9502" s="27">
        <v>13020.83</v>
      </c>
      <c r="M9502" s="36">
        <v>6187.69</v>
      </c>
      <c r="T9502" s="41">
        <v>0</v>
      </c>
      <c r="U9502" s="41">
        <v>0</v>
      </c>
      <c r="V9502" s="42" t="s">
        <v>113</v>
      </c>
      <c r="W9502" s="42">
        <v>0</v>
      </c>
      <c r="X9502" s="42">
        <v>0</v>
      </c>
    </row>
    <row r="9503" spans="1:24">
      <c r="A9503" s="27" t="s">
        <v>17365</v>
      </c>
      <c r="B9503" s="28" t="s">
        <v>12240</v>
      </c>
      <c r="C9503" s="27" t="s">
        <v>17366</v>
      </c>
      <c r="D9503" s="27" t="s">
        <v>230</v>
      </c>
      <c r="E9503" s="29">
        <v>43061</v>
      </c>
      <c r="F9503" s="27">
        <v>15</v>
      </c>
      <c r="G9503" s="18">
        <v>97836.95</v>
      </c>
      <c r="H9503" s="27">
        <f t="shared" si="296"/>
        <v>0</v>
      </c>
      <c r="I9503" s="18">
        <v>6833.14</v>
      </c>
      <c r="J9503" s="27">
        <v>97836.95</v>
      </c>
      <c r="K9503" s="18">
        <f t="shared" si="297"/>
        <v>0</v>
      </c>
      <c r="L9503" s="27">
        <v>13020.83</v>
      </c>
      <c r="M9503" s="36">
        <v>6187.69</v>
      </c>
      <c r="T9503" s="41">
        <v>0</v>
      </c>
      <c r="U9503" s="41">
        <v>0</v>
      </c>
      <c r="V9503" s="42" t="s">
        <v>113</v>
      </c>
      <c r="W9503" s="42">
        <v>0</v>
      </c>
      <c r="X9503" s="42">
        <v>0</v>
      </c>
    </row>
    <row r="9504" spans="1:24">
      <c r="A9504" s="27" t="s">
        <v>17367</v>
      </c>
      <c r="B9504" s="28" t="s">
        <v>12240</v>
      </c>
      <c r="C9504" s="27" t="s">
        <v>17368</v>
      </c>
      <c r="D9504" s="27" t="s">
        <v>230</v>
      </c>
      <c r="E9504" s="29">
        <v>43061</v>
      </c>
      <c r="F9504" s="27">
        <v>15</v>
      </c>
      <c r="G9504" s="18">
        <v>97836.95</v>
      </c>
      <c r="H9504" s="27">
        <f t="shared" si="296"/>
        <v>0</v>
      </c>
      <c r="I9504" s="18">
        <v>6833.14</v>
      </c>
      <c r="J9504" s="27">
        <v>97836.95</v>
      </c>
      <c r="K9504" s="18">
        <f t="shared" si="297"/>
        <v>0</v>
      </c>
      <c r="L9504" s="27">
        <v>13020.83</v>
      </c>
      <c r="M9504" s="36">
        <v>6187.69</v>
      </c>
      <c r="T9504" s="41">
        <v>0</v>
      </c>
      <c r="U9504" s="41">
        <v>0</v>
      </c>
      <c r="V9504" s="42" t="s">
        <v>113</v>
      </c>
      <c r="W9504" s="42">
        <v>0</v>
      </c>
      <c r="X9504" s="42">
        <v>0</v>
      </c>
    </row>
    <row r="9505" spans="1:24">
      <c r="A9505" s="27" t="s">
        <v>17369</v>
      </c>
      <c r="B9505" s="28" t="s">
        <v>12240</v>
      </c>
      <c r="C9505" s="27" t="s">
        <v>17370</v>
      </c>
      <c r="D9505" s="27" t="s">
        <v>230</v>
      </c>
      <c r="E9505" s="29">
        <v>43061</v>
      </c>
      <c r="F9505" s="27">
        <v>15</v>
      </c>
      <c r="G9505" s="18">
        <v>97836.95</v>
      </c>
      <c r="H9505" s="27">
        <f t="shared" si="296"/>
        <v>0</v>
      </c>
      <c r="I9505" s="18">
        <v>6833.14</v>
      </c>
      <c r="J9505" s="27">
        <v>97836.95</v>
      </c>
      <c r="K9505" s="18">
        <f t="shared" si="297"/>
        <v>0</v>
      </c>
      <c r="L9505" s="27">
        <v>13020.83</v>
      </c>
      <c r="M9505" s="36">
        <v>6187.69</v>
      </c>
      <c r="T9505" s="41">
        <v>0</v>
      </c>
      <c r="U9505" s="41">
        <v>0</v>
      </c>
      <c r="V9505" s="42" t="s">
        <v>113</v>
      </c>
      <c r="W9505" s="42">
        <v>0</v>
      </c>
      <c r="X9505" s="42">
        <v>0</v>
      </c>
    </row>
    <row r="9506" spans="1:24">
      <c r="A9506" s="27" t="s">
        <v>17371</v>
      </c>
      <c r="B9506" s="28" t="s">
        <v>12240</v>
      </c>
      <c r="C9506" s="27" t="s">
        <v>17372</v>
      </c>
      <c r="D9506" s="27" t="s">
        <v>230</v>
      </c>
      <c r="E9506" s="29">
        <v>43061</v>
      </c>
      <c r="F9506" s="27">
        <v>15</v>
      </c>
      <c r="G9506" s="18">
        <v>159804.48000000001</v>
      </c>
      <c r="H9506" s="27">
        <f t="shared" si="296"/>
        <v>0</v>
      </c>
      <c r="I9506" s="18">
        <v>11161.08</v>
      </c>
      <c r="J9506" s="27">
        <v>159804.48000000001</v>
      </c>
      <c r="K9506" s="18">
        <f t="shared" si="297"/>
        <v>0</v>
      </c>
      <c r="L9506" s="27">
        <v>21267.9</v>
      </c>
      <c r="M9506" s="36">
        <v>10106.82</v>
      </c>
      <c r="T9506" s="41">
        <v>0</v>
      </c>
      <c r="U9506" s="41">
        <v>0</v>
      </c>
      <c r="V9506" s="42" t="s">
        <v>113</v>
      </c>
      <c r="W9506" s="42">
        <v>0</v>
      </c>
      <c r="X9506" s="42">
        <v>0</v>
      </c>
    </row>
    <row r="9507" spans="1:24">
      <c r="A9507" s="27" t="s">
        <v>17373</v>
      </c>
      <c r="B9507" s="28" t="s">
        <v>12240</v>
      </c>
      <c r="C9507" s="27" t="s">
        <v>17374</v>
      </c>
      <c r="D9507" s="27" t="s">
        <v>230</v>
      </c>
      <c r="E9507" s="29">
        <v>43061</v>
      </c>
      <c r="F9507" s="27">
        <v>15</v>
      </c>
      <c r="G9507" s="18">
        <v>159804.48000000001</v>
      </c>
      <c r="H9507" s="27">
        <f t="shared" si="296"/>
        <v>0</v>
      </c>
      <c r="I9507" s="18">
        <v>11161.08</v>
      </c>
      <c r="J9507" s="27">
        <v>159804.48000000001</v>
      </c>
      <c r="K9507" s="18">
        <f t="shared" si="297"/>
        <v>0</v>
      </c>
      <c r="L9507" s="27">
        <v>21267.9</v>
      </c>
      <c r="M9507" s="36">
        <v>10106.82</v>
      </c>
      <c r="T9507" s="41">
        <v>0</v>
      </c>
      <c r="U9507" s="41">
        <v>0</v>
      </c>
      <c r="V9507" s="42" t="s">
        <v>113</v>
      </c>
      <c r="W9507" s="42">
        <v>0</v>
      </c>
      <c r="X9507" s="42">
        <v>0</v>
      </c>
    </row>
    <row r="9508" spans="1:24">
      <c r="A9508" s="27" t="s">
        <v>17375</v>
      </c>
      <c r="B9508" s="28" t="s">
        <v>12240</v>
      </c>
      <c r="C9508" s="27" t="s">
        <v>17376</v>
      </c>
      <c r="D9508" s="27" t="s">
        <v>230</v>
      </c>
      <c r="E9508" s="29">
        <v>43189</v>
      </c>
      <c r="F9508" s="27">
        <v>15</v>
      </c>
      <c r="G9508" s="18">
        <v>44420.36</v>
      </c>
      <c r="H9508" s="27">
        <f t="shared" si="296"/>
        <v>0</v>
      </c>
      <c r="I9508" s="18">
        <v>2108.16</v>
      </c>
      <c r="J9508" s="27">
        <v>44420.36</v>
      </c>
      <c r="K9508" s="18">
        <f t="shared" si="297"/>
        <v>0</v>
      </c>
      <c r="L9508" s="27">
        <v>4921.58</v>
      </c>
      <c r="M9508" s="36">
        <v>2813.42</v>
      </c>
      <c r="T9508" s="41">
        <v>0</v>
      </c>
      <c r="U9508" s="41">
        <v>0</v>
      </c>
      <c r="V9508" s="42" t="s">
        <v>113</v>
      </c>
      <c r="W9508" s="42">
        <v>0</v>
      </c>
      <c r="X9508" s="42">
        <v>0</v>
      </c>
    </row>
    <row r="9509" spans="1:24">
      <c r="A9509" s="27" t="s">
        <v>17377</v>
      </c>
      <c r="B9509" s="28" t="s">
        <v>12240</v>
      </c>
      <c r="C9509" s="27" t="s">
        <v>17378</v>
      </c>
      <c r="D9509" s="27" t="s">
        <v>230</v>
      </c>
      <c r="E9509" s="29">
        <v>43189</v>
      </c>
      <c r="F9509" s="27">
        <v>15</v>
      </c>
      <c r="G9509" s="18">
        <v>38372.959999999999</v>
      </c>
      <c r="H9509" s="27">
        <f t="shared" si="296"/>
        <v>0</v>
      </c>
      <c r="I9509" s="18">
        <v>1821.03</v>
      </c>
      <c r="J9509" s="27">
        <v>38372.959999999999</v>
      </c>
      <c r="K9509" s="18">
        <f t="shared" si="297"/>
        <v>0</v>
      </c>
      <c r="L9509" s="27">
        <v>4251.4399999999996</v>
      </c>
      <c r="M9509" s="36">
        <v>2430.41</v>
      </c>
      <c r="T9509" s="41">
        <v>0</v>
      </c>
      <c r="U9509" s="41">
        <v>0</v>
      </c>
      <c r="V9509" s="42" t="s">
        <v>113</v>
      </c>
      <c r="W9509" s="42">
        <v>0</v>
      </c>
      <c r="X9509" s="42">
        <v>0</v>
      </c>
    </row>
    <row r="9510" spans="1:24">
      <c r="A9510" s="27" t="s">
        <v>17379</v>
      </c>
      <c r="B9510" s="28" t="s">
        <v>12240</v>
      </c>
      <c r="C9510" s="27" t="s">
        <v>17380</v>
      </c>
      <c r="D9510" s="27" t="s">
        <v>230</v>
      </c>
      <c r="E9510" s="29">
        <v>43189</v>
      </c>
      <c r="F9510" s="27">
        <v>15</v>
      </c>
      <c r="G9510" s="18">
        <v>38372.959999999999</v>
      </c>
      <c r="H9510" s="27">
        <f t="shared" si="296"/>
        <v>0</v>
      </c>
      <c r="I9510" s="18">
        <v>1821.03</v>
      </c>
      <c r="J9510" s="27">
        <v>38372.959999999999</v>
      </c>
      <c r="K9510" s="18">
        <f t="shared" si="297"/>
        <v>0</v>
      </c>
      <c r="L9510" s="27">
        <v>4251.4399999999996</v>
      </c>
      <c r="M9510" s="36">
        <v>2430.41</v>
      </c>
      <c r="T9510" s="41">
        <v>0</v>
      </c>
      <c r="U9510" s="41">
        <v>0</v>
      </c>
      <c r="V9510" s="42" t="s">
        <v>113</v>
      </c>
      <c r="W9510" s="42">
        <v>0</v>
      </c>
      <c r="X9510" s="42">
        <v>0</v>
      </c>
    </row>
    <row r="9511" spans="1:24">
      <c r="A9511" s="27" t="s">
        <v>17381</v>
      </c>
      <c r="B9511" s="28" t="s">
        <v>12240</v>
      </c>
      <c r="C9511" s="27" t="s">
        <v>17382</v>
      </c>
      <c r="D9511" s="27" t="s">
        <v>230</v>
      </c>
      <c r="E9511" s="29">
        <v>43189</v>
      </c>
      <c r="F9511" s="27">
        <v>15</v>
      </c>
      <c r="G9511" s="18">
        <v>38372.959999999999</v>
      </c>
      <c r="H9511" s="27">
        <f t="shared" si="296"/>
        <v>0</v>
      </c>
      <c r="I9511" s="18">
        <v>1821.03</v>
      </c>
      <c r="J9511" s="27">
        <v>38372.959999999999</v>
      </c>
      <c r="K9511" s="18">
        <f t="shared" si="297"/>
        <v>0</v>
      </c>
      <c r="L9511" s="27">
        <v>4251.4399999999996</v>
      </c>
      <c r="M9511" s="36">
        <v>2430.41</v>
      </c>
      <c r="T9511" s="41">
        <v>0</v>
      </c>
      <c r="U9511" s="41">
        <v>0</v>
      </c>
      <c r="V9511" s="42" t="s">
        <v>113</v>
      </c>
      <c r="W9511" s="42">
        <v>0</v>
      </c>
      <c r="X9511" s="42">
        <v>0</v>
      </c>
    </row>
    <row r="9512" spans="1:24">
      <c r="A9512" s="27" t="s">
        <v>17383</v>
      </c>
      <c r="B9512" s="28" t="s">
        <v>12240</v>
      </c>
      <c r="C9512" s="27" t="s">
        <v>17384</v>
      </c>
      <c r="D9512" s="27" t="s">
        <v>230</v>
      </c>
      <c r="E9512" s="29">
        <v>43189</v>
      </c>
      <c r="F9512" s="27">
        <v>15</v>
      </c>
      <c r="G9512" s="18">
        <v>81622.91</v>
      </c>
      <c r="H9512" s="27">
        <f t="shared" si="296"/>
        <v>0</v>
      </c>
      <c r="I9512" s="18">
        <v>3873.95</v>
      </c>
      <c r="J9512" s="27">
        <v>81622.91</v>
      </c>
      <c r="K9512" s="18">
        <f t="shared" si="297"/>
        <v>0</v>
      </c>
      <c r="L9512" s="27">
        <v>9043.6200000000008</v>
      </c>
      <c r="M9512" s="36">
        <v>5169.67</v>
      </c>
      <c r="T9512" s="41">
        <v>0</v>
      </c>
      <c r="U9512" s="41">
        <v>0</v>
      </c>
      <c r="V9512" s="42" t="s">
        <v>113</v>
      </c>
      <c r="W9512" s="42">
        <v>0</v>
      </c>
      <c r="X9512" s="42">
        <v>0</v>
      </c>
    </row>
    <row r="9513" spans="1:24">
      <c r="A9513" s="27" t="s">
        <v>17385</v>
      </c>
      <c r="B9513" s="28" t="s">
        <v>12240</v>
      </c>
      <c r="C9513" s="27" t="s">
        <v>17386</v>
      </c>
      <c r="D9513" s="27" t="s">
        <v>230</v>
      </c>
      <c r="E9513" s="29">
        <v>43189</v>
      </c>
      <c r="F9513" s="27">
        <v>15</v>
      </c>
      <c r="G9513" s="18">
        <v>38964.400000000001</v>
      </c>
      <c r="H9513" s="27">
        <f t="shared" si="296"/>
        <v>0</v>
      </c>
      <c r="I9513" s="18">
        <v>1849.22</v>
      </c>
      <c r="J9513" s="27">
        <v>38964.400000000001</v>
      </c>
      <c r="K9513" s="18">
        <f t="shared" si="297"/>
        <v>0</v>
      </c>
      <c r="L9513" s="27">
        <v>4317.08</v>
      </c>
      <c r="M9513" s="36">
        <v>2467.86</v>
      </c>
      <c r="T9513" s="41">
        <v>0</v>
      </c>
      <c r="U9513" s="41">
        <v>0</v>
      </c>
      <c r="V9513" s="42" t="s">
        <v>113</v>
      </c>
      <c r="W9513" s="42">
        <v>0</v>
      </c>
      <c r="X9513" s="42">
        <v>0</v>
      </c>
    </row>
    <row r="9514" spans="1:24">
      <c r="A9514" s="27" t="s">
        <v>17387</v>
      </c>
      <c r="B9514" s="28" t="s">
        <v>12240</v>
      </c>
      <c r="C9514" s="27" t="s">
        <v>17388</v>
      </c>
      <c r="D9514" s="27" t="s">
        <v>230</v>
      </c>
      <c r="E9514" s="29">
        <v>43189</v>
      </c>
      <c r="F9514" s="27">
        <v>15</v>
      </c>
      <c r="G9514" s="18">
        <v>33615.19</v>
      </c>
      <c r="H9514" s="27">
        <f t="shared" si="296"/>
        <v>0</v>
      </c>
      <c r="I9514" s="18">
        <v>1595.39</v>
      </c>
      <c r="J9514" s="27">
        <v>33615.19</v>
      </c>
      <c r="K9514" s="18">
        <f t="shared" si="297"/>
        <v>0</v>
      </c>
      <c r="L9514" s="27">
        <v>3724.45</v>
      </c>
      <c r="M9514" s="36">
        <v>2129.06</v>
      </c>
      <c r="T9514" s="41">
        <v>0</v>
      </c>
      <c r="U9514" s="41">
        <v>0</v>
      </c>
      <c r="V9514" s="42" t="s">
        <v>113</v>
      </c>
      <c r="W9514" s="42">
        <v>0</v>
      </c>
      <c r="X9514" s="42">
        <v>0</v>
      </c>
    </row>
    <row r="9515" spans="1:24">
      <c r="A9515" s="27" t="s">
        <v>17389</v>
      </c>
      <c r="B9515" s="28" t="s">
        <v>12240</v>
      </c>
      <c r="C9515" s="27" t="s">
        <v>17390</v>
      </c>
      <c r="D9515" s="27" t="s">
        <v>230</v>
      </c>
      <c r="E9515" s="29">
        <v>43189</v>
      </c>
      <c r="F9515" s="27">
        <v>15</v>
      </c>
      <c r="G9515" s="18">
        <v>52642.53</v>
      </c>
      <c r="H9515" s="27">
        <f t="shared" si="296"/>
        <v>0</v>
      </c>
      <c r="I9515" s="18">
        <v>2498.31</v>
      </c>
      <c r="J9515" s="27">
        <v>52642.53</v>
      </c>
      <c r="K9515" s="18">
        <f t="shared" si="297"/>
        <v>0</v>
      </c>
      <c r="L9515" s="27">
        <v>5832.49</v>
      </c>
      <c r="M9515" s="36">
        <v>3334.18</v>
      </c>
      <c r="T9515" s="41">
        <v>0</v>
      </c>
      <c r="U9515" s="41">
        <v>0</v>
      </c>
      <c r="V9515" s="42" t="s">
        <v>113</v>
      </c>
      <c r="W9515" s="42">
        <v>0</v>
      </c>
      <c r="X9515" s="42">
        <v>0</v>
      </c>
    </row>
    <row r="9516" spans="1:24">
      <c r="A9516" s="27" t="s">
        <v>17391</v>
      </c>
      <c r="B9516" s="28" t="s">
        <v>12240</v>
      </c>
      <c r="C9516" s="27" t="s">
        <v>17392</v>
      </c>
      <c r="D9516" s="27" t="s">
        <v>230</v>
      </c>
      <c r="E9516" s="29">
        <v>43189</v>
      </c>
      <c r="F9516" s="27">
        <v>15</v>
      </c>
      <c r="G9516" s="18">
        <v>52642.53</v>
      </c>
      <c r="H9516" s="27">
        <f t="shared" si="296"/>
        <v>0</v>
      </c>
      <c r="I9516" s="18">
        <v>2498.31</v>
      </c>
      <c r="J9516" s="27">
        <v>52642.53</v>
      </c>
      <c r="K9516" s="18">
        <f t="shared" si="297"/>
        <v>0</v>
      </c>
      <c r="L9516" s="27">
        <v>5832.49</v>
      </c>
      <c r="M9516" s="36">
        <v>3334.18</v>
      </c>
      <c r="T9516" s="41">
        <v>0</v>
      </c>
      <c r="U9516" s="41">
        <v>0</v>
      </c>
      <c r="V9516" s="42" t="s">
        <v>113</v>
      </c>
      <c r="W9516" s="42">
        <v>0</v>
      </c>
      <c r="X9516" s="42">
        <v>0</v>
      </c>
    </row>
    <row r="9517" spans="1:24">
      <c r="A9517" s="27" t="s">
        <v>17393</v>
      </c>
      <c r="B9517" s="28" t="s">
        <v>12240</v>
      </c>
      <c r="C9517" s="27" t="s">
        <v>17394</v>
      </c>
      <c r="D9517" s="27" t="s">
        <v>230</v>
      </c>
      <c r="E9517" s="29">
        <v>43189</v>
      </c>
      <c r="F9517" s="27">
        <v>15</v>
      </c>
      <c r="G9517" s="18">
        <v>52642.53</v>
      </c>
      <c r="H9517" s="27">
        <f t="shared" si="296"/>
        <v>0</v>
      </c>
      <c r="I9517" s="18">
        <v>2498.31</v>
      </c>
      <c r="J9517" s="27">
        <v>52642.53</v>
      </c>
      <c r="K9517" s="18">
        <f t="shared" si="297"/>
        <v>0</v>
      </c>
      <c r="L9517" s="27">
        <v>5832.49</v>
      </c>
      <c r="M9517" s="36">
        <v>3334.18</v>
      </c>
      <c r="T9517" s="41">
        <v>0</v>
      </c>
      <c r="U9517" s="41">
        <v>0</v>
      </c>
      <c r="V9517" s="42" t="s">
        <v>113</v>
      </c>
      <c r="W9517" s="42">
        <v>0</v>
      </c>
      <c r="X9517" s="42">
        <v>0</v>
      </c>
    </row>
    <row r="9518" spans="1:24">
      <c r="A9518" s="27" t="s">
        <v>17395</v>
      </c>
      <c r="B9518" s="28" t="s">
        <v>12240</v>
      </c>
      <c r="C9518" s="27" t="s">
        <v>17396</v>
      </c>
      <c r="D9518" s="27" t="s">
        <v>230</v>
      </c>
      <c r="E9518" s="29">
        <v>43189</v>
      </c>
      <c r="F9518" s="27">
        <v>15</v>
      </c>
      <c r="G9518" s="18">
        <v>52642.54</v>
      </c>
      <c r="H9518" s="27">
        <f t="shared" si="296"/>
        <v>0</v>
      </c>
      <c r="I9518" s="18">
        <v>2498.31</v>
      </c>
      <c r="J9518" s="27">
        <v>52642.54</v>
      </c>
      <c r="K9518" s="18">
        <f t="shared" si="297"/>
        <v>0</v>
      </c>
      <c r="L9518" s="27">
        <v>5832.49</v>
      </c>
      <c r="M9518" s="36">
        <v>3334.18</v>
      </c>
      <c r="T9518" s="41">
        <v>0</v>
      </c>
      <c r="U9518" s="41">
        <v>0</v>
      </c>
      <c r="V9518" s="42" t="s">
        <v>113</v>
      </c>
      <c r="W9518" s="42">
        <v>0</v>
      </c>
      <c r="X9518" s="42">
        <v>0</v>
      </c>
    </row>
    <row r="9519" spans="1:24">
      <c r="A9519" s="27" t="s">
        <v>17397</v>
      </c>
      <c r="B9519" s="28" t="s">
        <v>12240</v>
      </c>
      <c r="C9519" s="27" t="s">
        <v>17398</v>
      </c>
      <c r="D9519" s="27" t="s">
        <v>230</v>
      </c>
      <c r="E9519" s="29">
        <v>43189</v>
      </c>
      <c r="F9519" s="27">
        <v>15</v>
      </c>
      <c r="G9519" s="18">
        <v>27807.99</v>
      </c>
      <c r="H9519" s="27">
        <f t="shared" si="296"/>
        <v>0</v>
      </c>
      <c r="I9519" s="18">
        <v>1319.72</v>
      </c>
      <c r="J9519" s="27">
        <v>27807.99</v>
      </c>
      <c r="K9519" s="18">
        <f t="shared" si="297"/>
        <v>0</v>
      </c>
      <c r="L9519" s="27">
        <v>3080.97</v>
      </c>
      <c r="M9519" s="36">
        <v>1761.25</v>
      </c>
      <c r="T9519" s="41">
        <v>0</v>
      </c>
      <c r="U9519" s="41">
        <v>0</v>
      </c>
      <c r="V9519" s="42" t="s">
        <v>113</v>
      </c>
      <c r="W9519" s="42">
        <v>0</v>
      </c>
      <c r="X9519" s="42">
        <v>0</v>
      </c>
    </row>
    <row r="9520" spans="1:24">
      <c r="A9520" s="27" t="s">
        <v>17399</v>
      </c>
      <c r="B9520" s="28" t="s">
        <v>12240</v>
      </c>
      <c r="C9520" s="27" t="s">
        <v>17400</v>
      </c>
      <c r="D9520" s="27" t="s">
        <v>230</v>
      </c>
      <c r="E9520" s="29">
        <v>43802</v>
      </c>
      <c r="F9520" s="27">
        <v>15</v>
      </c>
      <c r="G9520" s="18">
        <v>0</v>
      </c>
      <c r="H9520" s="27">
        <f t="shared" si="296"/>
        <v>0</v>
      </c>
      <c r="I9520" s="18">
        <v>0</v>
      </c>
      <c r="J9520" s="27">
        <v>39810.5</v>
      </c>
      <c r="K9520" s="18">
        <f t="shared" si="297"/>
        <v>0</v>
      </c>
      <c r="L9520" s="27">
        <v>0</v>
      </c>
      <c r="M9520" s="36">
        <v>0</v>
      </c>
      <c r="N9520" s="18" t="s">
        <v>14637</v>
      </c>
      <c r="O9520" s="19">
        <v>39810.5</v>
      </c>
      <c r="T9520" s="41">
        <v>0</v>
      </c>
      <c r="U9520" s="41">
        <v>0</v>
      </c>
      <c r="V9520" s="42" t="s">
        <v>113</v>
      </c>
      <c r="W9520" s="42">
        <v>0</v>
      </c>
      <c r="X9520" s="42">
        <v>0</v>
      </c>
    </row>
    <row r="9521" spans="1:24">
      <c r="A9521" s="27" t="s">
        <v>17401</v>
      </c>
      <c r="B9521" s="28" t="s">
        <v>12240</v>
      </c>
      <c r="C9521" s="27" t="s">
        <v>17402</v>
      </c>
      <c r="D9521" s="27" t="s">
        <v>230</v>
      </c>
      <c r="E9521" s="29">
        <v>43189</v>
      </c>
      <c r="F9521" s="27">
        <v>15</v>
      </c>
      <c r="G9521" s="18">
        <v>44099.38</v>
      </c>
      <c r="H9521" s="27">
        <f t="shared" si="296"/>
        <v>0</v>
      </c>
      <c r="I9521" s="18">
        <v>2092.87</v>
      </c>
      <c r="J9521" s="27">
        <v>44099.38</v>
      </c>
      <c r="K9521" s="18">
        <f t="shared" si="297"/>
        <v>0</v>
      </c>
      <c r="L9521" s="27">
        <v>4885.96</v>
      </c>
      <c r="M9521" s="36">
        <v>2793.09</v>
      </c>
      <c r="T9521" s="41">
        <v>0</v>
      </c>
      <c r="U9521" s="41">
        <v>0</v>
      </c>
      <c r="V9521" s="42" t="s">
        <v>113</v>
      </c>
      <c r="W9521" s="42">
        <v>0</v>
      </c>
      <c r="X9521" s="42">
        <v>0</v>
      </c>
    </row>
    <row r="9522" spans="1:24">
      <c r="A9522" s="27" t="s">
        <v>17403</v>
      </c>
      <c r="B9522" s="28" t="s">
        <v>12240</v>
      </c>
      <c r="C9522" s="27" t="s">
        <v>17404</v>
      </c>
      <c r="D9522" s="27" t="s">
        <v>230</v>
      </c>
      <c r="E9522" s="29">
        <v>39539</v>
      </c>
      <c r="F9522" s="27">
        <v>15</v>
      </c>
      <c r="G9522" s="18">
        <v>75936.759999999995</v>
      </c>
      <c r="H9522" s="27">
        <f t="shared" si="296"/>
        <v>0</v>
      </c>
      <c r="I9522" s="18">
        <v>62750.17</v>
      </c>
      <c r="J9522" s="27">
        <v>75936.759999999995</v>
      </c>
      <c r="K9522" s="18">
        <f t="shared" si="297"/>
        <v>0</v>
      </c>
      <c r="L9522" s="27">
        <v>64917.04</v>
      </c>
      <c r="M9522" s="36">
        <v>2166.87</v>
      </c>
      <c r="T9522" s="41">
        <v>0</v>
      </c>
      <c r="U9522" s="41">
        <v>0</v>
      </c>
      <c r="V9522" s="42" t="s">
        <v>113</v>
      </c>
      <c r="W9522" s="42">
        <v>0</v>
      </c>
      <c r="X9522" s="42">
        <v>0</v>
      </c>
    </row>
    <row r="9523" spans="1:24">
      <c r="A9523" s="27" t="s">
        <v>17405</v>
      </c>
      <c r="B9523" s="28" t="s">
        <v>12240</v>
      </c>
      <c r="C9523" s="27" t="s">
        <v>17406</v>
      </c>
      <c r="D9523" s="27" t="s">
        <v>230</v>
      </c>
      <c r="E9523" s="29">
        <v>43189</v>
      </c>
      <c r="F9523" s="27">
        <v>15</v>
      </c>
      <c r="G9523" s="18">
        <v>29302.23</v>
      </c>
      <c r="H9523" s="27">
        <f t="shared" si="296"/>
        <v>0</v>
      </c>
      <c r="I9523" s="18">
        <v>1390.68</v>
      </c>
      <c r="J9523" s="27">
        <v>29302.23</v>
      </c>
      <c r="K9523" s="18">
        <f t="shared" si="297"/>
        <v>0</v>
      </c>
      <c r="L9523" s="27">
        <v>3246.57</v>
      </c>
      <c r="M9523" s="36">
        <v>1855.89</v>
      </c>
      <c r="T9523" s="41">
        <v>0</v>
      </c>
      <c r="U9523" s="41">
        <v>0</v>
      </c>
      <c r="V9523" s="42" t="s">
        <v>113</v>
      </c>
      <c r="W9523" s="42">
        <v>0</v>
      </c>
      <c r="X9523" s="42">
        <v>0</v>
      </c>
    </row>
    <row r="9524" spans="1:24">
      <c r="A9524" s="27" t="s">
        <v>17407</v>
      </c>
      <c r="B9524" s="28" t="s">
        <v>12240</v>
      </c>
      <c r="C9524" s="27" t="s">
        <v>17408</v>
      </c>
      <c r="D9524" s="27" t="s">
        <v>230</v>
      </c>
      <c r="E9524" s="29">
        <v>43101</v>
      </c>
      <c r="F9524" s="27">
        <v>15</v>
      </c>
      <c r="G9524" s="18">
        <v>68402.31</v>
      </c>
      <c r="H9524" s="27">
        <f t="shared" si="296"/>
        <v>0</v>
      </c>
      <c r="I9524" s="18">
        <v>3971.13</v>
      </c>
      <c r="J9524" s="27">
        <v>68402.31</v>
      </c>
      <c r="K9524" s="18">
        <f t="shared" si="297"/>
        <v>0</v>
      </c>
      <c r="L9524" s="27">
        <v>8303.2800000000007</v>
      </c>
      <c r="M9524" s="36">
        <v>4332.1499999999996</v>
      </c>
      <c r="T9524" s="41">
        <v>0</v>
      </c>
      <c r="U9524" s="41">
        <v>0</v>
      </c>
      <c r="V9524" s="42" t="s">
        <v>113</v>
      </c>
      <c r="W9524" s="42">
        <v>0</v>
      </c>
      <c r="X9524" s="42">
        <v>0</v>
      </c>
    </row>
    <row r="9525" spans="1:24">
      <c r="A9525" s="27" t="s">
        <v>17409</v>
      </c>
      <c r="B9525" s="28" t="s">
        <v>12240</v>
      </c>
      <c r="C9525" s="27" t="s">
        <v>17410</v>
      </c>
      <c r="D9525" s="27" t="s">
        <v>230</v>
      </c>
      <c r="E9525" s="29">
        <v>43189</v>
      </c>
      <c r="F9525" s="27">
        <v>15</v>
      </c>
      <c r="G9525" s="18">
        <v>40473.410000000003</v>
      </c>
      <c r="H9525" s="27">
        <f t="shared" si="296"/>
        <v>0</v>
      </c>
      <c r="I9525" s="18">
        <v>1920.64</v>
      </c>
      <c r="J9525" s="27">
        <v>40473.410000000003</v>
      </c>
      <c r="K9525" s="18">
        <f t="shared" si="297"/>
        <v>0</v>
      </c>
      <c r="L9525" s="27">
        <v>4484.09</v>
      </c>
      <c r="M9525" s="36">
        <v>2563.4499999999998</v>
      </c>
      <c r="T9525" s="41">
        <v>0</v>
      </c>
      <c r="U9525" s="41">
        <v>0</v>
      </c>
      <c r="V9525" s="42" t="s">
        <v>113</v>
      </c>
      <c r="W9525" s="42">
        <v>0</v>
      </c>
      <c r="X9525" s="42">
        <v>0</v>
      </c>
    </row>
    <row r="9526" spans="1:24">
      <c r="A9526" s="27" t="s">
        <v>17411</v>
      </c>
      <c r="B9526" s="28" t="s">
        <v>12240</v>
      </c>
      <c r="C9526" s="27" t="s">
        <v>17412</v>
      </c>
      <c r="D9526" s="27" t="s">
        <v>230</v>
      </c>
      <c r="E9526" s="29">
        <v>43189</v>
      </c>
      <c r="F9526" s="27">
        <v>15</v>
      </c>
      <c r="G9526" s="18">
        <v>29302.23</v>
      </c>
      <c r="H9526" s="27">
        <f t="shared" si="296"/>
        <v>0</v>
      </c>
      <c r="I9526" s="18">
        <v>1390.68</v>
      </c>
      <c r="J9526" s="27">
        <v>29302.23</v>
      </c>
      <c r="K9526" s="18">
        <f t="shared" si="297"/>
        <v>0</v>
      </c>
      <c r="L9526" s="27">
        <v>3246.57</v>
      </c>
      <c r="M9526" s="36">
        <v>1855.89</v>
      </c>
      <c r="T9526" s="41">
        <v>0</v>
      </c>
      <c r="U9526" s="41">
        <v>0</v>
      </c>
      <c r="V9526" s="42" t="s">
        <v>113</v>
      </c>
      <c r="W9526" s="42">
        <v>0</v>
      </c>
      <c r="X9526" s="42">
        <v>0</v>
      </c>
    </row>
    <row r="9527" spans="1:24">
      <c r="A9527" s="27" t="s">
        <v>17413</v>
      </c>
      <c r="B9527" s="28" t="s">
        <v>12240</v>
      </c>
      <c r="C9527" s="27" t="s">
        <v>17414</v>
      </c>
      <c r="D9527" s="27" t="s">
        <v>230</v>
      </c>
      <c r="E9527" s="29">
        <v>43189</v>
      </c>
      <c r="F9527" s="27">
        <v>15</v>
      </c>
      <c r="G9527" s="18">
        <v>33615.19</v>
      </c>
      <c r="H9527" s="27">
        <f t="shared" si="296"/>
        <v>0</v>
      </c>
      <c r="I9527" s="18">
        <v>1595.39</v>
      </c>
      <c r="J9527" s="27">
        <v>33615.19</v>
      </c>
      <c r="K9527" s="18">
        <f t="shared" si="297"/>
        <v>0</v>
      </c>
      <c r="L9527" s="27">
        <v>3724.45</v>
      </c>
      <c r="M9527" s="36">
        <v>2129.06</v>
      </c>
      <c r="T9527" s="41">
        <v>0</v>
      </c>
      <c r="U9527" s="41">
        <v>0</v>
      </c>
      <c r="V9527" s="42" t="s">
        <v>113</v>
      </c>
      <c r="W9527" s="42">
        <v>0</v>
      </c>
      <c r="X9527" s="42">
        <v>0</v>
      </c>
    </row>
    <row r="9528" spans="1:24">
      <c r="A9528" s="27" t="s">
        <v>17415</v>
      </c>
      <c r="B9528" s="28" t="s">
        <v>12240</v>
      </c>
      <c r="C9528" s="27" t="s">
        <v>17416</v>
      </c>
      <c r="D9528" s="27" t="s">
        <v>230</v>
      </c>
      <c r="E9528" s="29">
        <v>43189</v>
      </c>
      <c r="F9528" s="27">
        <v>15</v>
      </c>
      <c r="G9528" s="18">
        <v>52764.11</v>
      </c>
      <c r="H9528" s="27">
        <f t="shared" si="296"/>
        <v>0</v>
      </c>
      <c r="I9528" s="18">
        <v>2503.73</v>
      </c>
      <c r="J9528" s="27">
        <v>52764.11</v>
      </c>
      <c r="K9528" s="18">
        <f t="shared" si="297"/>
        <v>0</v>
      </c>
      <c r="L9528" s="27">
        <v>5845.64</v>
      </c>
      <c r="M9528" s="36">
        <v>3341.91</v>
      </c>
      <c r="T9528" s="41">
        <v>0</v>
      </c>
      <c r="U9528" s="41">
        <v>0</v>
      </c>
      <c r="V9528" s="42" t="s">
        <v>113</v>
      </c>
      <c r="W9528" s="42">
        <v>0</v>
      </c>
      <c r="X9528" s="42">
        <v>0</v>
      </c>
    </row>
    <row r="9529" spans="1:24">
      <c r="A9529" s="27" t="s">
        <v>17417</v>
      </c>
      <c r="B9529" s="28" t="s">
        <v>12240</v>
      </c>
      <c r="C9529" s="27" t="s">
        <v>17418</v>
      </c>
      <c r="D9529" s="27" t="s">
        <v>230</v>
      </c>
      <c r="E9529" s="29">
        <v>43189</v>
      </c>
      <c r="F9529" s="27">
        <v>15</v>
      </c>
      <c r="G9529" s="18">
        <v>112771.23</v>
      </c>
      <c r="H9529" s="27">
        <f t="shared" si="296"/>
        <v>0</v>
      </c>
      <c r="I9529" s="18">
        <v>5351.54</v>
      </c>
      <c r="J9529" s="27">
        <v>112771.23</v>
      </c>
      <c r="K9529" s="18">
        <f t="shared" si="297"/>
        <v>0</v>
      </c>
      <c r="L9529" s="27">
        <v>12494.08</v>
      </c>
      <c r="M9529" s="36">
        <v>7142.54</v>
      </c>
      <c r="T9529" s="41">
        <v>0</v>
      </c>
      <c r="U9529" s="41">
        <v>0</v>
      </c>
      <c r="V9529" s="42" t="s">
        <v>113</v>
      </c>
      <c r="W9529" s="42">
        <v>0</v>
      </c>
      <c r="X9529" s="42">
        <v>0</v>
      </c>
    </row>
    <row r="9530" spans="1:24">
      <c r="A9530" s="27" t="s">
        <v>17419</v>
      </c>
      <c r="B9530" s="28" t="s">
        <v>12240</v>
      </c>
      <c r="C9530" s="27" t="s">
        <v>17420</v>
      </c>
      <c r="D9530" s="27" t="s">
        <v>230</v>
      </c>
      <c r="E9530" s="29">
        <v>43189</v>
      </c>
      <c r="F9530" s="27">
        <v>15</v>
      </c>
      <c r="G9530" s="18">
        <v>59890.239999999998</v>
      </c>
      <c r="H9530" s="27">
        <f t="shared" si="296"/>
        <v>0</v>
      </c>
      <c r="I9530" s="18">
        <v>2842.6</v>
      </c>
      <c r="J9530" s="27">
        <v>59890.239999999998</v>
      </c>
      <c r="K9530" s="18">
        <f t="shared" si="297"/>
        <v>0</v>
      </c>
      <c r="L9530" s="27">
        <v>6635.8</v>
      </c>
      <c r="M9530" s="36">
        <v>3793.2</v>
      </c>
      <c r="T9530" s="41">
        <v>0</v>
      </c>
      <c r="U9530" s="41">
        <v>0</v>
      </c>
      <c r="V9530" s="42" t="s">
        <v>113</v>
      </c>
      <c r="W9530" s="42">
        <v>0</v>
      </c>
      <c r="X9530" s="42">
        <v>0</v>
      </c>
    </row>
    <row r="9531" spans="1:24">
      <c r="A9531" s="27" t="s">
        <v>17421</v>
      </c>
      <c r="B9531" s="28" t="s">
        <v>12240</v>
      </c>
      <c r="C9531" s="27" t="s">
        <v>17422</v>
      </c>
      <c r="D9531" s="27" t="s">
        <v>230</v>
      </c>
      <c r="E9531" s="29">
        <v>43189</v>
      </c>
      <c r="F9531" s="27">
        <v>15</v>
      </c>
      <c r="G9531" s="18">
        <v>29118.79</v>
      </c>
      <c r="H9531" s="27">
        <f t="shared" si="296"/>
        <v>0</v>
      </c>
      <c r="I9531" s="18">
        <v>1382.08</v>
      </c>
      <c r="J9531" s="27">
        <v>29118.79</v>
      </c>
      <c r="K9531" s="18">
        <f t="shared" si="297"/>
        <v>0</v>
      </c>
      <c r="L9531" s="27">
        <v>3226.34</v>
      </c>
      <c r="M9531" s="36">
        <v>1844.26</v>
      </c>
      <c r="T9531" s="41">
        <v>0</v>
      </c>
      <c r="U9531" s="41">
        <v>0</v>
      </c>
      <c r="V9531" s="42" t="s">
        <v>113</v>
      </c>
      <c r="W9531" s="42">
        <v>0</v>
      </c>
      <c r="X9531" s="42">
        <v>0</v>
      </c>
    </row>
    <row r="9532" spans="1:24">
      <c r="A9532" s="27" t="s">
        <v>17423</v>
      </c>
      <c r="B9532" s="28" t="s">
        <v>12240</v>
      </c>
      <c r="C9532" s="27" t="s">
        <v>17424</v>
      </c>
      <c r="D9532" s="27" t="s">
        <v>230</v>
      </c>
      <c r="E9532" s="29">
        <v>43189</v>
      </c>
      <c r="F9532" s="27">
        <v>15</v>
      </c>
      <c r="G9532" s="18">
        <v>44377.37</v>
      </c>
      <c r="H9532" s="27">
        <f t="shared" si="296"/>
        <v>0</v>
      </c>
      <c r="I9532" s="18">
        <v>2106.3000000000002</v>
      </c>
      <c r="J9532" s="27">
        <v>44377.37</v>
      </c>
      <c r="K9532" s="18">
        <f t="shared" si="297"/>
        <v>0</v>
      </c>
      <c r="L9532" s="27">
        <v>4916.9799999999996</v>
      </c>
      <c r="M9532" s="36">
        <v>2810.68</v>
      </c>
      <c r="T9532" s="41">
        <v>0</v>
      </c>
      <c r="U9532" s="41">
        <v>0</v>
      </c>
      <c r="V9532" s="42" t="s">
        <v>113</v>
      </c>
      <c r="W9532" s="42">
        <v>0</v>
      </c>
      <c r="X9532" s="42">
        <v>0</v>
      </c>
    </row>
    <row r="9533" spans="1:24">
      <c r="A9533" s="27" t="s">
        <v>17425</v>
      </c>
      <c r="B9533" s="28" t="s">
        <v>12240</v>
      </c>
      <c r="C9533" s="27" t="s">
        <v>17426</v>
      </c>
      <c r="D9533" s="27" t="s">
        <v>230</v>
      </c>
      <c r="E9533" s="29">
        <v>43189</v>
      </c>
      <c r="F9533" s="27">
        <v>15</v>
      </c>
      <c r="G9533" s="18">
        <v>44377.39</v>
      </c>
      <c r="H9533" s="27">
        <f t="shared" si="296"/>
        <v>0</v>
      </c>
      <c r="I9533" s="18">
        <v>2106.3000000000002</v>
      </c>
      <c r="J9533" s="27">
        <v>44377.39</v>
      </c>
      <c r="K9533" s="18">
        <f t="shared" si="297"/>
        <v>0</v>
      </c>
      <c r="L9533" s="27">
        <v>4916.9799999999996</v>
      </c>
      <c r="M9533" s="36">
        <v>2810.68</v>
      </c>
      <c r="T9533" s="41">
        <v>0</v>
      </c>
      <c r="U9533" s="41">
        <v>0</v>
      </c>
      <c r="V9533" s="42" t="s">
        <v>113</v>
      </c>
      <c r="W9533" s="42">
        <v>0</v>
      </c>
      <c r="X9533" s="42">
        <v>0</v>
      </c>
    </row>
    <row r="9534" spans="1:24">
      <c r="A9534" s="27" t="s">
        <v>17427</v>
      </c>
      <c r="B9534" s="28" t="s">
        <v>12240</v>
      </c>
      <c r="C9534" s="27" t="s">
        <v>17428</v>
      </c>
      <c r="D9534" s="27" t="s">
        <v>230</v>
      </c>
      <c r="E9534" s="29">
        <v>43189</v>
      </c>
      <c r="F9534" s="27">
        <v>15</v>
      </c>
      <c r="G9534" s="18">
        <v>44377.39</v>
      </c>
      <c r="H9534" s="27">
        <f t="shared" si="296"/>
        <v>0</v>
      </c>
      <c r="I9534" s="18">
        <v>2106.3000000000002</v>
      </c>
      <c r="J9534" s="27">
        <v>44377.39</v>
      </c>
      <c r="K9534" s="18">
        <f t="shared" si="297"/>
        <v>0</v>
      </c>
      <c r="L9534" s="27">
        <v>4916.9799999999996</v>
      </c>
      <c r="M9534" s="36">
        <v>2810.68</v>
      </c>
      <c r="T9534" s="41">
        <v>0</v>
      </c>
      <c r="U9534" s="41">
        <v>0</v>
      </c>
      <c r="V9534" s="42" t="s">
        <v>113</v>
      </c>
      <c r="W9534" s="42">
        <v>0</v>
      </c>
      <c r="X9534" s="42">
        <v>0</v>
      </c>
    </row>
    <row r="9535" spans="1:24">
      <c r="A9535" s="27" t="s">
        <v>17429</v>
      </c>
      <c r="B9535" s="28" t="s">
        <v>12240</v>
      </c>
      <c r="C9535" s="27" t="s">
        <v>17430</v>
      </c>
      <c r="D9535" s="27" t="s">
        <v>230</v>
      </c>
      <c r="E9535" s="29">
        <v>43189</v>
      </c>
      <c r="F9535" s="27">
        <v>15</v>
      </c>
      <c r="G9535" s="18">
        <v>44377.39</v>
      </c>
      <c r="H9535" s="27">
        <f t="shared" si="296"/>
        <v>0</v>
      </c>
      <c r="I9535" s="18">
        <v>2106.3000000000002</v>
      </c>
      <c r="J9535" s="27">
        <v>44377.39</v>
      </c>
      <c r="K9535" s="18">
        <f t="shared" si="297"/>
        <v>0</v>
      </c>
      <c r="L9535" s="27">
        <v>4916.9799999999996</v>
      </c>
      <c r="M9535" s="36">
        <v>2810.68</v>
      </c>
      <c r="T9535" s="41">
        <v>0</v>
      </c>
      <c r="U9535" s="41">
        <v>0</v>
      </c>
      <c r="V9535" s="42" t="s">
        <v>113</v>
      </c>
      <c r="W9535" s="42">
        <v>0</v>
      </c>
      <c r="X9535" s="42">
        <v>0</v>
      </c>
    </row>
    <row r="9536" spans="1:24">
      <c r="A9536" s="27" t="s">
        <v>17431</v>
      </c>
      <c r="B9536" s="28" t="s">
        <v>12240</v>
      </c>
      <c r="C9536" s="27" t="s">
        <v>17432</v>
      </c>
      <c r="D9536" s="27" t="s">
        <v>230</v>
      </c>
      <c r="E9536" s="29">
        <v>43189</v>
      </c>
      <c r="F9536" s="27">
        <v>15</v>
      </c>
      <c r="G9536" s="18">
        <v>38134.370000000003</v>
      </c>
      <c r="H9536" s="27">
        <f t="shared" si="296"/>
        <v>0</v>
      </c>
      <c r="I9536" s="18">
        <v>1809.53</v>
      </c>
      <c r="J9536" s="27">
        <v>38134.370000000003</v>
      </c>
      <c r="K9536" s="18">
        <f t="shared" si="297"/>
        <v>0</v>
      </c>
      <c r="L9536" s="27">
        <v>4224.84</v>
      </c>
      <c r="M9536" s="36">
        <v>2415.31</v>
      </c>
      <c r="T9536" s="41">
        <v>0</v>
      </c>
      <c r="U9536" s="41">
        <v>0</v>
      </c>
      <c r="V9536" s="42" t="s">
        <v>113</v>
      </c>
      <c r="W9536" s="42">
        <v>0</v>
      </c>
      <c r="X9536" s="42">
        <v>0</v>
      </c>
    </row>
    <row r="9537" spans="1:24">
      <c r="A9537" s="27" t="s">
        <v>17433</v>
      </c>
      <c r="B9537" s="28" t="s">
        <v>12240</v>
      </c>
      <c r="C9537" s="27" t="s">
        <v>17434</v>
      </c>
      <c r="D9537" s="27" t="s">
        <v>230</v>
      </c>
      <c r="E9537" s="29">
        <v>43668</v>
      </c>
      <c r="F9537" s="27">
        <v>15</v>
      </c>
      <c r="G9537" s="18">
        <v>0</v>
      </c>
      <c r="H9537" s="27">
        <f t="shared" si="296"/>
        <v>0</v>
      </c>
      <c r="I9537" s="18">
        <v>0</v>
      </c>
      <c r="J9537" s="27">
        <v>53562.52</v>
      </c>
      <c r="K9537" s="18">
        <f t="shared" si="297"/>
        <v>0</v>
      </c>
      <c r="L9537" s="27">
        <v>1413.46</v>
      </c>
      <c r="M9537" s="36">
        <v>1413.46</v>
      </c>
      <c r="N9537" s="18" t="s">
        <v>123</v>
      </c>
      <c r="O9537" s="19">
        <v>53562.52</v>
      </c>
      <c r="T9537" s="41">
        <v>0</v>
      </c>
      <c r="U9537" s="41">
        <v>0</v>
      </c>
      <c r="V9537" s="42" t="s">
        <v>113</v>
      </c>
      <c r="W9537" s="42">
        <v>0</v>
      </c>
      <c r="X9537" s="42">
        <v>0</v>
      </c>
    </row>
    <row r="9538" spans="1:24">
      <c r="A9538" s="27" t="s">
        <v>17435</v>
      </c>
      <c r="B9538" s="28" t="s">
        <v>12240</v>
      </c>
      <c r="C9538" s="27" t="s">
        <v>17436</v>
      </c>
      <c r="D9538" s="27" t="s">
        <v>230</v>
      </c>
      <c r="E9538" s="29">
        <v>43466</v>
      </c>
      <c r="F9538" s="27">
        <v>15</v>
      </c>
      <c r="G9538" s="18">
        <v>0</v>
      </c>
      <c r="H9538" s="27">
        <f t="shared" si="296"/>
        <v>0</v>
      </c>
      <c r="I9538" s="18">
        <v>0</v>
      </c>
      <c r="J9538" s="27">
        <v>216395.59</v>
      </c>
      <c r="K9538" s="18">
        <f t="shared" si="297"/>
        <v>0</v>
      </c>
      <c r="L9538" s="27">
        <v>12562.97</v>
      </c>
      <c r="M9538" s="36">
        <v>12562.97</v>
      </c>
      <c r="N9538" s="18" t="s">
        <v>123</v>
      </c>
      <c r="O9538" s="19">
        <v>216395.59</v>
      </c>
      <c r="T9538" s="41">
        <v>0</v>
      </c>
      <c r="U9538" s="41">
        <v>0</v>
      </c>
      <c r="V9538" s="42" t="s">
        <v>113</v>
      </c>
      <c r="W9538" s="42">
        <v>0</v>
      </c>
      <c r="X9538" s="42">
        <v>0</v>
      </c>
    </row>
    <row r="9539" spans="1:24">
      <c r="A9539" s="27" t="s">
        <v>17437</v>
      </c>
      <c r="B9539" s="28" t="s">
        <v>12240</v>
      </c>
      <c r="C9539" s="27" t="s">
        <v>17438</v>
      </c>
      <c r="D9539" s="27" t="s">
        <v>230</v>
      </c>
      <c r="E9539" s="29">
        <v>43637</v>
      </c>
      <c r="F9539" s="27">
        <v>15</v>
      </c>
      <c r="G9539" s="18">
        <v>0</v>
      </c>
      <c r="H9539" s="27">
        <f t="shared" si="296"/>
        <v>0</v>
      </c>
      <c r="I9539" s="18">
        <v>0</v>
      </c>
      <c r="J9539" s="27">
        <v>73194.89</v>
      </c>
      <c r="K9539" s="18">
        <f t="shared" si="297"/>
        <v>0</v>
      </c>
      <c r="L9539" s="27">
        <v>2317.84</v>
      </c>
      <c r="M9539" s="36">
        <v>2317.84</v>
      </c>
      <c r="N9539" s="18" t="s">
        <v>123</v>
      </c>
      <c r="O9539" s="19">
        <v>73194.89</v>
      </c>
      <c r="T9539" s="41">
        <v>0</v>
      </c>
      <c r="U9539" s="41">
        <v>0</v>
      </c>
      <c r="V9539" s="42" t="s">
        <v>113</v>
      </c>
      <c r="W9539" s="42">
        <v>0</v>
      </c>
      <c r="X9539" s="42">
        <v>0</v>
      </c>
    </row>
    <row r="9540" spans="1:24">
      <c r="A9540" s="27" t="s">
        <v>17439</v>
      </c>
      <c r="B9540" s="28" t="s">
        <v>12240</v>
      </c>
      <c r="C9540" s="27" t="s">
        <v>17440</v>
      </c>
      <c r="D9540" s="27" t="s">
        <v>230</v>
      </c>
      <c r="E9540" s="29">
        <v>43637</v>
      </c>
      <c r="F9540" s="27">
        <v>15</v>
      </c>
      <c r="G9540" s="18">
        <v>0</v>
      </c>
      <c r="H9540" s="27">
        <f t="shared" si="296"/>
        <v>0</v>
      </c>
      <c r="I9540" s="18">
        <v>0</v>
      </c>
      <c r="J9540" s="27">
        <v>96804.95</v>
      </c>
      <c r="K9540" s="18">
        <f t="shared" si="297"/>
        <v>0</v>
      </c>
      <c r="L9540" s="27">
        <v>3065.49</v>
      </c>
      <c r="M9540" s="36">
        <v>3065.49</v>
      </c>
      <c r="N9540" s="18" t="s">
        <v>123</v>
      </c>
      <c r="O9540" s="19">
        <v>96804.95</v>
      </c>
      <c r="T9540" s="41">
        <v>0</v>
      </c>
      <c r="U9540" s="41">
        <v>0</v>
      </c>
      <c r="V9540" s="42" t="s">
        <v>113</v>
      </c>
      <c r="W9540" s="42">
        <v>0</v>
      </c>
      <c r="X9540" s="42">
        <v>0</v>
      </c>
    </row>
    <row r="9541" spans="1:24">
      <c r="A9541" s="27" t="s">
        <v>17441</v>
      </c>
      <c r="B9541" s="28" t="s">
        <v>12240</v>
      </c>
      <c r="C9541" s="27" t="s">
        <v>17442</v>
      </c>
      <c r="D9541" s="27" t="s">
        <v>230</v>
      </c>
      <c r="E9541" s="29">
        <v>43466</v>
      </c>
      <c r="F9541" s="27">
        <v>15</v>
      </c>
      <c r="G9541" s="18">
        <v>0</v>
      </c>
      <c r="H9541" s="27">
        <f t="shared" si="296"/>
        <v>0</v>
      </c>
      <c r="I9541" s="18">
        <v>0</v>
      </c>
      <c r="J9541" s="27">
        <v>216395.59</v>
      </c>
      <c r="K9541" s="18">
        <f t="shared" si="297"/>
        <v>0</v>
      </c>
      <c r="L9541" s="27">
        <v>12562.97</v>
      </c>
      <c r="M9541" s="36">
        <v>12562.97</v>
      </c>
      <c r="N9541" s="18" t="s">
        <v>123</v>
      </c>
      <c r="O9541" s="19">
        <v>216395.59</v>
      </c>
      <c r="T9541" s="41">
        <v>0</v>
      </c>
      <c r="U9541" s="41">
        <v>0</v>
      </c>
      <c r="V9541" s="42" t="s">
        <v>113</v>
      </c>
      <c r="W9541" s="42">
        <v>0</v>
      </c>
      <c r="X9541" s="42">
        <v>0</v>
      </c>
    </row>
    <row r="9542" spans="1:24">
      <c r="A9542" s="27" t="s">
        <v>17443</v>
      </c>
      <c r="B9542" s="28" t="s">
        <v>12240</v>
      </c>
      <c r="C9542" s="27" t="s">
        <v>17444</v>
      </c>
      <c r="D9542" s="27" t="s">
        <v>230</v>
      </c>
      <c r="E9542" s="29">
        <v>43734</v>
      </c>
      <c r="F9542" s="27">
        <v>15</v>
      </c>
      <c r="G9542" s="18">
        <v>0</v>
      </c>
      <c r="H9542" s="27">
        <f t="shared" ref="H9542:H9605" si="298">IFERROR(IF(ROUND((G9542-I9542)/G9542,2)&lt;=0.05,G9542,0),0)</f>
        <v>0</v>
      </c>
      <c r="I9542" s="18">
        <v>0</v>
      </c>
      <c r="J9542" s="27">
        <v>147880.25</v>
      </c>
      <c r="K9542" s="18">
        <f t="shared" ref="K9542:K9605" si="299">IFERROR(IF(ROUND((J9542-L9542)/J9542,2)&lt;=0.05,J9542,0),0)</f>
        <v>0</v>
      </c>
      <c r="L9542" s="27">
        <v>3329.32</v>
      </c>
      <c r="M9542" s="36">
        <v>3329.32</v>
      </c>
      <c r="N9542" s="18" t="s">
        <v>123</v>
      </c>
      <c r="O9542" s="19">
        <v>147880.25</v>
      </c>
      <c r="T9542" s="41">
        <v>0</v>
      </c>
      <c r="U9542" s="41">
        <v>0</v>
      </c>
      <c r="V9542" s="42" t="s">
        <v>113</v>
      </c>
      <c r="W9542" s="42">
        <v>0</v>
      </c>
      <c r="X9542" s="42">
        <v>0</v>
      </c>
    </row>
    <row r="9543" spans="1:24">
      <c r="A9543" s="27" t="s">
        <v>17445</v>
      </c>
      <c r="B9543" s="28" t="s">
        <v>12240</v>
      </c>
      <c r="C9543" s="27" t="s">
        <v>17446</v>
      </c>
      <c r="D9543" s="27" t="s">
        <v>230</v>
      </c>
      <c r="E9543" s="29">
        <v>43466</v>
      </c>
      <c r="F9543" s="27">
        <v>15</v>
      </c>
      <c r="G9543" s="18">
        <v>0</v>
      </c>
      <c r="H9543" s="27">
        <f t="shared" si="298"/>
        <v>0</v>
      </c>
      <c r="I9543" s="18">
        <v>0</v>
      </c>
      <c r="J9543" s="27">
        <v>216395.59</v>
      </c>
      <c r="K9543" s="18">
        <f t="shared" si="299"/>
        <v>0</v>
      </c>
      <c r="L9543" s="27">
        <v>12562.97</v>
      </c>
      <c r="M9543" s="36">
        <v>12562.97</v>
      </c>
      <c r="N9543" s="18" t="s">
        <v>123</v>
      </c>
      <c r="O9543" s="19">
        <v>216395.59</v>
      </c>
      <c r="T9543" s="41">
        <v>0</v>
      </c>
      <c r="U9543" s="41">
        <v>0</v>
      </c>
      <c r="V9543" s="42" t="s">
        <v>113</v>
      </c>
      <c r="W9543" s="42">
        <v>0</v>
      </c>
      <c r="X9543" s="42">
        <v>0</v>
      </c>
    </row>
    <row r="9544" spans="1:24">
      <c r="A9544" s="27" t="s">
        <v>17447</v>
      </c>
      <c r="B9544" s="28" t="s">
        <v>12240</v>
      </c>
      <c r="C9544" s="27" t="s">
        <v>17448</v>
      </c>
      <c r="D9544" s="27" t="s">
        <v>230</v>
      </c>
      <c r="E9544" s="29">
        <v>43809</v>
      </c>
      <c r="F9544" s="27">
        <v>15</v>
      </c>
      <c r="G9544" s="18">
        <v>0</v>
      </c>
      <c r="H9544" s="27">
        <f t="shared" si="298"/>
        <v>0</v>
      </c>
      <c r="I9544" s="18">
        <v>0</v>
      </c>
      <c r="J9544" s="27">
        <v>97243.17</v>
      </c>
      <c r="K9544" s="18">
        <f t="shared" si="299"/>
        <v>0</v>
      </c>
      <c r="L9544" s="27">
        <v>0</v>
      </c>
      <c r="M9544" s="36">
        <v>0</v>
      </c>
      <c r="N9544" s="18" t="s">
        <v>123</v>
      </c>
      <c r="O9544" s="19">
        <v>97243.17</v>
      </c>
      <c r="T9544" s="41">
        <v>0</v>
      </c>
      <c r="U9544" s="41">
        <v>0</v>
      </c>
      <c r="V9544" s="42" t="s">
        <v>113</v>
      </c>
      <c r="W9544" s="42">
        <v>0</v>
      </c>
      <c r="X9544" s="42">
        <v>0</v>
      </c>
    </row>
    <row r="9545" spans="1:24">
      <c r="A9545" s="27" t="s">
        <v>17449</v>
      </c>
      <c r="B9545" s="28" t="s">
        <v>12240</v>
      </c>
      <c r="C9545" s="27" t="s">
        <v>17450</v>
      </c>
      <c r="D9545" s="27" t="s">
        <v>230</v>
      </c>
      <c r="E9545" s="29">
        <v>43809</v>
      </c>
      <c r="F9545" s="27">
        <v>15</v>
      </c>
      <c r="G9545" s="18">
        <v>0</v>
      </c>
      <c r="H9545" s="27">
        <f t="shared" si="298"/>
        <v>0</v>
      </c>
      <c r="I9545" s="18">
        <v>0</v>
      </c>
      <c r="J9545" s="27">
        <v>97243.16</v>
      </c>
      <c r="K9545" s="18">
        <f t="shared" si="299"/>
        <v>0</v>
      </c>
      <c r="L9545" s="27">
        <v>0</v>
      </c>
      <c r="M9545" s="36">
        <v>0</v>
      </c>
      <c r="N9545" s="18" t="s">
        <v>123</v>
      </c>
      <c r="O9545" s="19">
        <v>97243.16</v>
      </c>
      <c r="T9545" s="41">
        <v>0</v>
      </c>
      <c r="U9545" s="41">
        <v>0</v>
      </c>
      <c r="V9545" s="42" t="s">
        <v>113</v>
      </c>
      <c r="W9545" s="42">
        <v>0</v>
      </c>
      <c r="X9545" s="42">
        <v>0</v>
      </c>
    </row>
    <row r="9546" spans="1:24">
      <c r="A9546" s="27" t="s">
        <v>17451</v>
      </c>
      <c r="B9546" s="28" t="s">
        <v>12240</v>
      </c>
      <c r="C9546" s="27" t="s">
        <v>17452</v>
      </c>
      <c r="D9546" s="27" t="s">
        <v>230</v>
      </c>
      <c r="E9546" s="29">
        <v>43809</v>
      </c>
      <c r="F9546" s="27">
        <v>15</v>
      </c>
      <c r="G9546" s="18">
        <v>0</v>
      </c>
      <c r="H9546" s="27">
        <f t="shared" si="298"/>
        <v>0</v>
      </c>
      <c r="I9546" s="18">
        <v>0</v>
      </c>
      <c r="J9546" s="27">
        <v>118388.3</v>
      </c>
      <c r="K9546" s="18">
        <f t="shared" si="299"/>
        <v>0</v>
      </c>
      <c r="L9546" s="27">
        <v>0</v>
      </c>
      <c r="M9546" s="36">
        <v>0</v>
      </c>
      <c r="N9546" s="18" t="s">
        <v>123</v>
      </c>
      <c r="O9546" s="19">
        <v>118388.3</v>
      </c>
      <c r="T9546" s="41">
        <v>0</v>
      </c>
      <c r="U9546" s="41">
        <v>0</v>
      </c>
      <c r="V9546" s="42" t="s">
        <v>113</v>
      </c>
      <c r="W9546" s="42">
        <v>0</v>
      </c>
      <c r="X9546" s="42">
        <v>0</v>
      </c>
    </row>
    <row r="9547" spans="1:24">
      <c r="A9547" s="27" t="s">
        <v>17453</v>
      </c>
      <c r="B9547" s="28" t="s">
        <v>12240</v>
      </c>
      <c r="C9547" s="27" t="s">
        <v>17454</v>
      </c>
      <c r="D9547" s="27" t="s">
        <v>230</v>
      </c>
      <c r="E9547" s="29">
        <v>43809</v>
      </c>
      <c r="F9547" s="27">
        <v>15</v>
      </c>
      <c r="G9547" s="18">
        <v>0</v>
      </c>
      <c r="H9547" s="27">
        <f t="shared" si="298"/>
        <v>0</v>
      </c>
      <c r="I9547" s="18">
        <v>0</v>
      </c>
      <c r="J9547" s="27">
        <v>118388.3</v>
      </c>
      <c r="K9547" s="18">
        <f t="shared" si="299"/>
        <v>0</v>
      </c>
      <c r="L9547" s="27">
        <v>0</v>
      </c>
      <c r="M9547" s="36">
        <v>0</v>
      </c>
      <c r="N9547" s="18" t="s">
        <v>123</v>
      </c>
      <c r="O9547" s="19">
        <v>118388.3</v>
      </c>
      <c r="T9547" s="41">
        <v>0</v>
      </c>
      <c r="U9547" s="41">
        <v>0</v>
      </c>
      <c r="V9547" s="42" t="s">
        <v>113</v>
      </c>
      <c r="W9547" s="42">
        <v>0</v>
      </c>
      <c r="X9547" s="42">
        <v>0</v>
      </c>
    </row>
    <row r="9548" spans="1:24">
      <c r="A9548" s="27" t="s">
        <v>17455</v>
      </c>
      <c r="B9548" s="28" t="s">
        <v>12240</v>
      </c>
      <c r="C9548" s="27" t="s">
        <v>17456</v>
      </c>
      <c r="D9548" s="27" t="s">
        <v>230</v>
      </c>
      <c r="E9548" s="29">
        <v>43668</v>
      </c>
      <c r="F9548" s="27">
        <v>15</v>
      </c>
      <c r="G9548" s="18">
        <v>0</v>
      </c>
      <c r="H9548" s="27">
        <f t="shared" si="298"/>
        <v>0</v>
      </c>
      <c r="I9548" s="18">
        <v>0</v>
      </c>
      <c r="J9548" s="27">
        <v>43823.88</v>
      </c>
      <c r="K9548" s="18">
        <f t="shared" si="299"/>
        <v>0</v>
      </c>
      <c r="L9548" s="27">
        <v>1156.46</v>
      </c>
      <c r="M9548" s="36">
        <v>1156.46</v>
      </c>
      <c r="N9548" s="18" t="s">
        <v>123</v>
      </c>
      <c r="O9548" s="19">
        <v>43823.88</v>
      </c>
      <c r="T9548" s="41">
        <v>0</v>
      </c>
      <c r="U9548" s="41">
        <v>0</v>
      </c>
      <c r="V9548" s="42" t="s">
        <v>113</v>
      </c>
      <c r="W9548" s="42">
        <v>0</v>
      </c>
      <c r="X9548" s="42">
        <v>0</v>
      </c>
    </row>
    <row r="9549" spans="1:24">
      <c r="A9549" s="27" t="s">
        <v>17457</v>
      </c>
      <c r="B9549" s="28" t="s">
        <v>12240</v>
      </c>
      <c r="C9549" s="27" t="s">
        <v>17458</v>
      </c>
      <c r="D9549" s="27" t="s">
        <v>230</v>
      </c>
      <c r="E9549" s="29">
        <v>43668</v>
      </c>
      <c r="F9549" s="27">
        <v>15</v>
      </c>
      <c r="G9549" s="18">
        <v>0</v>
      </c>
      <c r="H9549" s="27">
        <f t="shared" si="298"/>
        <v>0</v>
      </c>
      <c r="I9549" s="18">
        <v>0</v>
      </c>
      <c r="J9549" s="27">
        <v>141964.21</v>
      </c>
      <c r="K9549" s="18">
        <f t="shared" si="299"/>
        <v>0</v>
      </c>
      <c r="L9549" s="27">
        <v>3746.28</v>
      </c>
      <c r="M9549" s="36">
        <v>3746.28</v>
      </c>
      <c r="N9549" s="18" t="s">
        <v>123</v>
      </c>
      <c r="O9549" s="19">
        <v>141964.21</v>
      </c>
      <c r="T9549" s="41">
        <v>0</v>
      </c>
      <c r="U9549" s="41">
        <v>0</v>
      </c>
      <c r="V9549" s="42" t="s">
        <v>113</v>
      </c>
      <c r="W9549" s="42">
        <v>0</v>
      </c>
      <c r="X9549" s="42">
        <v>0</v>
      </c>
    </row>
    <row r="9550" spans="1:24">
      <c r="A9550" s="27" t="s">
        <v>17459</v>
      </c>
      <c r="B9550" s="28" t="s">
        <v>12240</v>
      </c>
      <c r="C9550" s="27" t="s">
        <v>17460</v>
      </c>
      <c r="D9550" s="27" t="s">
        <v>230</v>
      </c>
      <c r="E9550" s="29">
        <v>43668</v>
      </c>
      <c r="F9550" s="27">
        <v>15</v>
      </c>
      <c r="G9550" s="18">
        <v>0</v>
      </c>
      <c r="H9550" s="27">
        <f t="shared" si="298"/>
        <v>0</v>
      </c>
      <c r="I9550" s="18">
        <v>0</v>
      </c>
      <c r="J9550" s="27">
        <v>20060.11</v>
      </c>
      <c r="K9550" s="18">
        <f t="shared" si="299"/>
        <v>0</v>
      </c>
      <c r="L9550" s="27">
        <v>529.36</v>
      </c>
      <c r="M9550" s="36">
        <v>529.36</v>
      </c>
      <c r="N9550" s="18" t="s">
        <v>123</v>
      </c>
      <c r="O9550" s="19">
        <v>20060.11</v>
      </c>
      <c r="T9550" s="41">
        <v>0</v>
      </c>
      <c r="U9550" s="41">
        <v>0</v>
      </c>
      <c r="V9550" s="42" t="s">
        <v>113</v>
      </c>
      <c r="W9550" s="42">
        <v>0</v>
      </c>
      <c r="X9550" s="42">
        <v>0</v>
      </c>
    </row>
    <row r="9551" spans="1:24">
      <c r="A9551" s="27" t="s">
        <v>17461</v>
      </c>
      <c r="B9551" s="28" t="s">
        <v>12240</v>
      </c>
      <c r="C9551" s="27" t="s">
        <v>17462</v>
      </c>
      <c r="D9551" s="27" t="s">
        <v>230</v>
      </c>
      <c r="E9551" s="29">
        <v>43809</v>
      </c>
      <c r="F9551" s="27">
        <v>15</v>
      </c>
      <c r="G9551" s="18">
        <v>0</v>
      </c>
      <c r="H9551" s="27">
        <f t="shared" si="298"/>
        <v>0</v>
      </c>
      <c r="I9551" s="18">
        <v>0</v>
      </c>
      <c r="J9551" s="27">
        <v>166554.18</v>
      </c>
      <c r="K9551" s="18">
        <f t="shared" si="299"/>
        <v>0</v>
      </c>
      <c r="L9551" s="27">
        <v>0</v>
      </c>
      <c r="M9551" s="36">
        <v>0</v>
      </c>
      <c r="N9551" s="18" t="s">
        <v>123</v>
      </c>
      <c r="O9551" s="19">
        <v>166554.18</v>
      </c>
      <c r="T9551" s="41">
        <v>0</v>
      </c>
      <c r="U9551" s="41">
        <v>0</v>
      </c>
      <c r="V9551" s="42" t="s">
        <v>113</v>
      </c>
      <c r="W9551" s="42">
        <v>0</v>
      </c>
      <c r="X9551" s="42">
        <v>0</v>
      </c>
    </row>
    <row r="9552" spans="1:24">
      <c r="A9552" s="27" t="s">
        <v>17463</v>
      </c>
      <c r="B9552" s="28" t="s">
        <v>12240</v>
      </c>
      <c r="C9552" s="27" t="s">
        <v>17464</v>
      </c>
      <c r="D9552" s="27" t="s">
        <v>230</v>
      </c>
      <c r="E9552" s="29">
        <v>43809</v>
      </c>
      <c r="F9552" s="27">
        <v>15</v>
      </c>
      <c r="G9552" s="18">
        <v>0</v>
      </c>
      <c r="H9552" s="27">
        <f t="shared" si="298"/>
        <v>0</v>
      </c>
      <c r="I9552" s="18">
        <v>0</v>
      </c>
      <c r="J9552" s="27">
        <v>166554.17000000001</v>
      </c>
      <c r="K9552" s="18">
        <f t="shared" si="299"/>
        <v>0</v>
      </c>
      <c r="L9552" s="27">
        <v>0</v>
      </c>
      <c r="M9552" s="36">
        <v>0</v>
      </c>
      <c r="N9552" s="18" t="s">
        <v>123</v>
      </c>
      <c r="O9552" s="19">
        <v>166554.17000000001</v>
      </c>
      <c r="T9552" s="41">
        <v>0</v>
      </c>
      <c r="U9552" s="41">
        <v>0</v>
      </c>
      <c r="V9552" s="42" t="s">
        <v>113</v>
      </c>
      <c r="W9552" s="42">
        <v>0</v>
      </c>
      <c r="X9552" s="42">
        <v>0</v>
      </c>
    </row>
    <row r="9553" spans="1:24">
      <c r="A9553" s="27" t="s">
        <v>17465</v>
      </c>
      <c r="B9553" s="28" t="s">
        <v>12240</v>
      </c>
      <c r="C9553" s="27" t="s">
        <v>17466</v>
      </c>
      <c r="D9553" s="27" t="s">
        <v>230</v>
      </c>
      <c r="E9553" s="29">
        <v>43809</v>
      </c>
      <c r="F9553" s="27">
        <v>15</v>
      </c>
      <c r="G9553" s="18">
        <v>0</v>
      </c>
      <c r="H9553" s="27">
        <f t="shared" si="298"/>
        <v>0</v>
      </c>
      <c r="I9553" s="18">
        <v>0</v>
      </c>
      <c r="J9553" s="27">
        <v>68771.45</v>
      </c>
      <c r="K9553" s="18">
        <f t="shared" si="299"/>
        <v>0</v>
      </c>
      <c r="L9553" s="27">
        <v>0</v>
      </c>
      <c r="M9553" s="36">
        <v>0</v>
      </c>
      <c r="N9553" s="18" t="s">
        <v>123</v>
      </c>
      <c r="O9553" s="19">
        <v>68771.45</v>
      </c>
      <c r="T9553" s="41">
        <v>0</v>
      </c>
      <c r="U9553" s="41">
        <v>0</v>
      </c>
      <c r="V9553" s="42" t="s">
        <v>113</v>
      </c>
      <c r="W9553" s="42">
        <v>0</v>
      </c>
      <c r="X9553" s="42">
        <v>0</v>
      </c>
    </row>
    <row r="9554" spans="1:24">
      <c r="A9554" s="27" t="s">
        <v>17467</v>
      </c>
      <c r="B9554" s="28" t="s">
        <v>12240</v>
      </c>
      <c r="C9554" s="27" t="s">
        <v>17468</v>
      </c>
      <c r="D9554" s="27" t="s">
        <v>230</v>
      </c>
      <c r="E9554" s="29">
        <v>43809</v>
      </c>
      <c r="F9554" s="27">
        <v>15</v>
      </c>
      <c r="G9554" s="18">
        <v>0</v>
      </c>
      <c r="H9554" s="27">
        <f t="shared" si="298"/>
        <v>0</v>
      </c>
      <c r="I9554" s="18">
        <v>0</v>
      </c>
      <c r="J9554" s="27">
        <v>67977.66</v>
      </c>
      <c r="K9554" s="18">
        <f t="shared" si="299"/>
        <v>0</v>
      </c>
      <c r="L9554" s="27">
        <v>0</v>
      </c>
      <c r="M9554" s="36">
        <v>0</v>
      </c>
      <c r="N9554" s="18" t="s">
        <v>123</v>
      </c>
      <c r="O9554" s="19">
        <v>67977.66</v>
      </c>
      <c r="T9554" s="41">
        <v>0</v>
      </c>
      <c r="U9554" s="41">
        <v>0</v>
      </c>
      <c r="V9554" s="42" t="s">
        <v>113</v>
      </c>
      <c r="W9554" s="42">
        <v>0</v>
      </c>
      <c r="X9554" s="42">
        <v>0</v>
      </c>
    </row>
    <row r="9555" spans="1:24">
      <c r="A9555" s="27" t="s">
        <v>17469</v>
      </c>
      <c r="B9555" s="28" t="s">
        <v>12240</v>
      </c>
      <c r="C9555" s="27" t="s">
        <v>17470</v>
      </c>
      <c r="D9555" s="27" t="s">
        <v>230</v>
      </c>
      <c r="E9555" s="29">
        <v>43699</v>
      </c>
      <c r="F9555" s="27">
        <v>15</v>
      </c>
      <c r="G9555" s="18">
        <v>0</v>
      </c>
      <c r="H9555" s="27">
        <f t="shared" si="298"/>
        <v>0</v>
      </c>
      <c r="I9555" s="18">
        <v>0</v>
      </c>
      <c r="J9555" s="27">
        <v>267798.34000000003</v>
      </c>
      <c r="K9555" s="18">
        <f t="shared" si="299"/>
        <v>0</v>
      </c>
      <c r="L9555" s="27">
        <v>5653.52</v>
      </c>
      <c r="M9555" s="36">
        <v>5653.52</v>
      </c>
      <c r="N9555" s="18" t="s">
        <v>123</v>
      </c>
      <c r="O9555" s="19">
        <v>267798.34000000003</v>
      </c>
      <c r="T9555" s="41">
        <v>0</v>
      </c>
      <c r="U9555" s="41">
        <v>0</v>
      </c>
      <c r="V9555" s="42" t="s">
        <v>113</v>
      </c>
      <c r="W9555" s="42">
        <v>0</v>
      </c>
      <c r="X9555" s="42">
        <v>0</v>
      </c>
    </row>
    <row r="9556" spans="1:24">
      <c r="A9556" s="27" t="s">
        <v>17471</v>
      </c>
      <c r="B9556" s="28" t="s">
        <v>12240</v>
      </c>
      <c r="C9556" s="27" t="s">
        <v>17472</v>
      </c>
      <c r="D9556" s="27" t="s">
        <v>230</v>
      </c>
      <c r="E9556" s="29">
        <v>43809</v>
      </c>
      <c r="F9556" s="27">
        <v>15</v>
      </c>
      <c r="G9556" s="18">
        <v>0</v>
      </c>
      <c r="H9556" s="27">
        <f t="shared" si="298"/>
        <v>0</v>
      </c>
      <c r="I9556" s="18">
        <v>0</v>
      </c>
      <c r="J9556" s="27">
        <v>67630.92</v>
      </c>
      <c r="K9556" s="18">
        <f t="shared" si="299"/>
        <v>0</v>
      </c>
      <c r="L9556" s="27">
        <v>0</v>
      </c>
      <c r="M9556" s="36">
        <v>0</v>
      </c>
      <c r="N9556" s="18" t="s">
        <v>123</v>
      </c>
      <c r="O9556" s="19">
        <v>67630.92</v>
      </c>
      <c r="T9556" s="41">
        <v>0</v>
      </c>
      <c r="U9556" s="41">
        <v>0</v>
      </c>
      <c r="V9556" s="42" t="s">
        <v>113</v>
      </c>
      <c r="W9556" s="42">
        <v>0</v>
      </c>
      <c r="X9556" s="42">
        <v>0</v>
      </c>
    </row>
    <row r="9557" spans="1:24">
      <c r="A9557" s="27" t="s">
        <v>17473</v>
      </c>
      <c r="B9557" s="28" t="s">
        <v>12240</v>
      </c>
      <c r="C9557" s="27" t="s">
        <v>17474</v>
      </c>
      <c r="D9557" s="27" t="s">
        <v>230</v>
      </c>
      <c r="E9557" s="29">
        <v>43809</v>
      </c>
      <c r="F9557" s="27">
        <v>15</v>
      </c>
      <c r="G9557" s="18">
        <v>0</v>
      </c>
      <c r="H9557" s="27">
        <f t="shared" si="298"/>
        <v>0</v>
      </c>
      <c r="I9557" s="18">
        <v>0</v>
      </c>
      <c r="J9557" s="27">
        <v>118388.3</v>
      </c>
      <c r="K9557" s="18">
        <f t="shared" si="299"/>
        <v>0</v>
      </c>
      <c r="L9557" s="27">
        <v>0</v>
      </c>
      <c r="M9557" s="36">
        <v>0</v>
      </c>
      <c r="N9557" s="18" t="s">
        <v>123</v>
      </c>
      <c r="O9557" s="19">
        <v>118388.3</v>
      </c>
      <c r="T9557" s="41">
        <v>0</v>
      </c>
      <c r="U9557" s="41">
        <v>0</v>
      </c>
      <c r="V9557" s="42" t="s">
        <v>113</v>
      </c>
      <c r="W9557" s="42">
        <v>0</v>
      </c>
      <c r="X9557" s="42">
        <v>0</v>
      </c>
    </row>
    <row r="9558" spans="1:24">
      <c r="A9558" s="27" t="s">
        <v>17475</v>
      </c>
      <c r="B9558" s="28" t="s">
        <v>12240</v>
      </c>
      <c r="C9558" s="27" t="s">
        <v>17476</v>
      </c>
      <c r="D9558" s="27" t="s">
        <v>230</v>
      </c>
      <c r="E9558" s="29">
        <v>43809</v>
      </c>
      <c r="F9558" s="27">
        <v>15</v>
      </c>
      <c r="G9558" s="18">
        <v>0</v>
      </c>
      <c r="H9558" s="27">
        <f t="shared" si="298"/>
        <v>0</v>
      </c>
      <c r="I9558" s="18">
        <v>0</v>
      </c>
      <c r="J9558" s="27">
        <v>118388.3</v>
      </c>
      <c r="K9558" s="18">
        <f t="shared" si="299"/>
        <v>0</v>
      </c>
      <c r="L9558" s="27">
        <v>0</v>
      </c>
      <c r="M9558" s="36">
        <v>0</v>
      </c>
      <c r="N9558" s="18" t="s">
        <v>123</v>
      </c>
      <c r="O9558" s="19">
        <v>118388.3</v>
      </c>
      <c r="T9558" s="41">
        <v>0</v>
      </c>
      <c r="U9558" s="41">
        <v>0</v>
      </c>
      <c r="V9558" s="42" t="s">
        <v>113</v>
      </c>
      <c r="W9558" s="42">
        <v>0</v>
      </c>
      <c r="X9558" s="42">
        <v>0</v>
      </c>
    </row>
    <row r="9559" spans="1:24">
      <c r="A9559" s="27" t="s">
        <v>17477</v>
      </c>
      <c r="B9559" s="28" t="s">
        <v>12240</v>
      </c>
      <c r="C9559" s="27" t="s">
        <v>17478</v>
      </c>
      <c r="D9559" s="27" t="s">
        <v>230</v>
      </c>
      <c r="E9559" s="29">
        <v>43809</v>
      </c>
      <c r="F9559" s="27">
        <v>15</v>
      </c>
      <c r="G9559" s="18">
        <v>0</v>
      </c>
      <c r="H9559" s="27">
        <f t="shared" si="298"/>
        <v>0</v>
      </c>
      <c r="I9559" s="18">
        <v>0</v>
      </c>
      <c r="J9559" s="27">
        <v>118388.3</v>
      </c>
      <c r="K9559" s="18">
        <f t="shared" si="299"/>
        <v>0</v>
      </c>
      <c r="L9559" s="27">
        <v>0</v>
      </c>
      <c r="M9559" s="36">
        <v>0</v>
      </c>
      <c r="N9559" s="18" t="s">
        <v>123</v>
      </c>
      <c r="O9559" s="19">
        <v>118388.3</v>
      </c>
      <c r="T9559" s="41">
        <v>0</v>
      </c>
      <c r="U9559" s="41">
        <v>0</v>
      </c>
      <c r="V9559" s="42" t="s">
        <v>113</v>
      </c>
      <c r="W9559" s="42">
        <v>0</v>
      </c>
      <c r="X9559" s="42">
        <v>0</v>
      </c>
    </row>
    <row r="9560" spans="1:24">
      <c r="A9560" s="27" t="s">
        <v>17479</v>
      </c>
      <c r="B9560" s="28" t="s">
        <v>12240</v>
      </c>
      <c r="C9560" s="27" t="s">
        <v>17480</v>
      </c>
      <c r="D9560" s="27" t="s">
        <v>230</v>
      </c>
      <c r="E9560" s="29">
        <v>43737</v>
      </c>
      <c r="F9560" s="27">
        <v>15</v>
      </c>
      <c r="G9560" s="18">
        <v>0</v>
      </c>
      <c r="H9560" s="27">
        <f t="shared" si="298"/>
        <v>0</v>
      </c>
      <c r="I9560" s="18">
        <v>0</v>
      </c>
      <c r="J9560" s="27">
        <v>177705</v>
      </c>
      <c r="K9560" s="18">
        <f t="shared" si="299"/>
        <v>0</v>
      </c>
      <c r="L9560" s="27">
        <v>2813.66</v>
      </c>
      <c r="M9560" s="36">
        <v>2813.66</v>
      </c>
      <c r="N9560" s="18" t="s">
        <v>12170</v>
      </c>
      <c r="O9560" s="19">
        <v>177705</v>
      </c>
      <c r="T9560" s="41">
        <v>0</v>
      </c>
      <c r="U9560" s="41">
        <v>0</v>
      </c>
      <c r="V9560" s="42" t="s">
        <v>113</v>
      </c>
      <c r="W9560" s="42">
        <v>0</v>
      </c>
      <c r="X9560" s="42">
        <v>0</v>
      </c>
    </row>
    <row r="9561" spans="1:24">
      <c r="A9561" s="27" t="s">
        <v>17481</v>
      </c>
      <c r="B9561" s="28" t="s">
        <v>12240</v>
      </c>
      <c r="C9561" s="27" t="s">
        <v>17482</v>
      </c>
      <c r="D9561" s="27" t="s">
        <v>230</v>
      </c>
      <c r="E9561" s="29">
        <v>43737</v>
      </c>
      <c r="F9561" s="27">
        <v>15</v>
      </c>
      <c r="G9561" s="18">
        <v>0</v>
      </c>
      <c r="H9561" s="27">
        <f t="shared" si="298"/>
        <v>0</v>
      </c>
      <c r="I9561" s="18">
        <v>0</v>
      </c>
      <c r="J9561" s="27">
        <v>113050</v>
      </c>
      <c r="K9561" s="18">
        <f t="shared" si="299"/>
        <v>0</v>
      </c>
      <c r="L9561" s="27">
        <v>1789.96</v>
      </c>
      <c r="M9561" s="36">
        <v>1789.96</v>
      </c>
      <c r="N9561" s="18" t="s">
        <v>12170</v>
      </c>
      <c r="O9561" s="19">
        <v>113050</v>
      </c>
      <c r="T9561" s="41">
        <v>0</v>
      </c>
      <c r="U9561" s="41">
        <v>0</v>
      </c>
      <c r="V9561" s="42" t="s">
        <v>113</v>
      </c>
      <c r="W9561" s="42">
        <v>0</v>
      </c>
      <c r="X9561" s="42">
        <v>0</v>
      </c>
    </row>
    <row r="9562" spans="1:24">
      <c r="A9562" s="27" t="s">
        <v>17483</v>
      </c>
      <c r="B9562" s="28" t="s">
        <v>12240</v>
      </c>
      <c r="C9562" s="27" t="s">
        <v>17484</v>
      </c>
      <c r="D9562" s="27" t="s">
        <v>230</v>
      </c>
      <c r="E9562" s="29">
        <v>43805</v>
      </c>
      <c r="F9562" s="27">
        <v>15</v>
      </c>
      <c r="G9562" s="18">
        <v>0</v>
      </c>
      <c r="H9562" s="27">
        <f t="shared" si="298"/>
        <v>0</v>
      </c>
      <c r="I9562" s="18">
        <v>0</v>
      </c>
      <c r="J9562" s="27">
        <v>186390</v>
      </c>
      <c r="K9562" s="18">
        <f t="shared" si="299"/>
        <v>0</v>
      </c>
      <c r="L9562" s="27">
        <v>0</v>
      </c>
      <c r="M9562" s="36">
        <v>0</v>
      </c>
      <c r="N9562" s="18" t="s">
        <v>12170</v>
      </c>
      <c r="O9562" s="19">
        <v>186390</v>
      </c>
      <c r="T9562" s="41">
        <v>0</v>
      </c>
      <c r="U9562" s="41">
        <v>0</v>
      </c>
      <c r="V9562" s="42" t="s">
        <v>113</v>
      </c>
      <c r="W9562" s="42">
        <v>0</v>
      </c>
      <c r="X9562" s="42">
        <v>0</v>
      </c>
    </row>
    <row r="9563" spans="1:24">
      <c r="A9563" s="27" t="s">
        <v>17485</v>
      </c>
      <c r="B9563" s="28" t="s">
        <v>12240</v>
      </c>
      <c r="C9563" s="27" t="s">
        <v>17486</v>
      </c>
      <c r="D9563" s="27" t="s">
        <v>230</v>
      </c>
      <c r="E9563" s="29">
        <v>43805</v>
      </c>
      <c r="F9563" s="27">
        <v>15</v>
      </c>
      <c r="G9563" s="18">
        <v>0</v>
      </c>
      <c r="H9563" s="27">
        <f t="shared" si="298"/>
        <v>0</v>
      </c>
      <c r="I9563" s="18">
        <v>0</v>
      </c>
      <c r="J9563" s="27">
        <v>194655</v>
      </c>
      <c r="K9563" s="18">
        <f t="shared" si="299"/>
        <v>0</v>
      </c>
      <c r="L9563" s="27">
        <v>0</v>
      </c>
      <c r="M9563" s="36">
        <v>0</v>
      </c>
      <c r="N9563" s="18" t="s">
        <v>12170</v>
      </c>
      <c r="O9563" s="19">
        <v>194655</v>
      </c>
      <c r="T9563" s="41">
        <v>0</v>
      </c>
      <c r="U9563" s="41">
        <v>0</v>
      </c>
      <c r="V9563" s="42" t="s">
        <v>113</v>
      </c>
      <c r="W9563" s="42">
        <v>0</v>
      </c>
      <c r="X9563" s="42">
        <v>0</v>
      </c>
    </row>
    <row r="9564" spans="1:24">
      <c r="A9564" s="27" t="s">
        <v>17487</v>
      </c>
      <c r="B9564" s="28" t="s">
        <v>12240</v>
      </c>
      <c r="C9564" s="27" t="s">
        <v>17488</v>
      </c>
      <c r="D9564" s="27" t="s">
        <v>230</v>
      </c>
      <c r="E9564" s="29">
        <v>43805</v>
      </c>
      <c r="F9564" s="27">
        <v>15</v>
      </c>
      <c r="G9564" s="18">
        <v>0</v>
      </c>
      <c r="H9564" s="27">
        <f t="shared" si="298"/>
        <v>0</v>
      </c>
      <c r="I9564" s="18">
        <v>0</v>
      </c>
      <c r="J9564" s="27">
        <v>182495</v>
      </c>
      <c r="K9564" s="18">
        <f t="shared" si="299"/>
        <v>0</v>
      </c>
      <c r="L9564" s="27">
        <v>0</v>
      </c>
      <c r="M9564" s="36">
        <v>0</v>
      </c>
      <c r="N9564" s="18" t="s">
        <v>12170</v>
      </c>
      <c r="O9564" s="19">
        <v>182495</v>
      </c>
      <c r="T9564" s="41">
        <v>0</v>
      </c>
      <c r="U9564" s="41">
        <v>0</v>
      </c>
      <c r="V9564" s="42" t="s">
        <v>113</v>
      </c>
      <c r="W9564" s="42">
        <v>0</v>
      </c>
      <c r="X9564" s="42">
        <v>0</v>
      </c>
    </row>
    <row r="9565" spans="1:24">
      <c r="A9565" s="27" t="s">
        <v>17489</v>
      </c>
      <c r="B9565" s="28" t="s">
        <v>12240</v>
      </c>
      <c r="C9565" s="27" t="s">
        <v>17490</v>
      </c>
      <c r="D9565" s="27" t="s">
        <v>230</v>
      </c>
      <c r="E9565" s="29">
        <v>43805</v>
      </c>
      <c r="F9565" s="27">
        <v>15</v>
      </c>
      <c r="G9565" s="18">
        <v>0</v>
      </c>
      <c r="H9565" s="27">
        <f t="shared" si="298"/>
        <v>0</v>
      </c>
      <c r="I9565" s="18">
        <v>0</v>
      </c>
      <c r="J9565" s="27">
        <v>50730</v>
      </c>
      <c r="K9565" s="18">
        <f t="shared" si="299"/>
        <v>0</v>
      </c>
      <c r="L9565" s="27">
        <v>0</v>
      </c>
      <c r="M9565" s="36">
        <v>0</v>
      </c>
      <c r="N9565" s="18" t="s">
        <v>12170</v>
      </c>
      <c r="O9565" s="19">
        <v>50730</v>
      </c>
      <c r="T9565" s="41">
        <v>0</v>
      </c>
      <c r="U9565" s="41">
        <v>0</v>
      </c>
      <c r="V9565" s="42" t="s">
        <v>113</v>
      </c>
      <c r="W9565" s="42">
        <v>0</v>
      </c>
      <c r="X9565" s="42">
        <v>0</v>
      </c>
    </row>
    <row r="9566" spans="1:24">
      <c r="A9566" s="27" t="s">
        <v>17491</v>
      </c>
      <c r="B9566" s="28" t="s">
        <v>12240</v>
      </c>
      <c r="C9566" s="27" t="s">
        <v>17492</v>
      </c>
      <c r="D9566" s="27" t="s">
        <v>230</v>
      </c>
      <c r="E9566" s="29">
        <v>43734</v>
      </c>
      <c r="F9566" s="27">
        <v>15</v>
      </c>
      <c r="G9566" s="18">
        <v>0</v>
      </c>
      <c r="H9566" s="27">
        <f t="shared" si="298"/>
        <v>0</v>
      </c>
      <c r="I9566" s="18">
        <v>0</v>
      </c>
      <c r="J9566" s="27">
        <v>157188.22</v>
      </c>
      <c r="K9566" s="18">
        <f t="shared" si="299"/>
        <v>0</v>
      </c>
      <c r="L9566" s="27">
        <v>2488.81</v>
      </c>
      <c r="M9566" s="36">
        <v>2488.81</v>
      </c>
      <c r="N9566" s="18" t="s">
        <v>123</v>
      </c>
      <c r="O9566" s="19">
        <v>157188.22</v>
      </c>
      <c r="T9566" s="41">
        <v>0</v>
      </c>
      <c r="U9566" s="41">
        <v>0</v>
      </c>
      <c r="V9566" s="42" t="s">
        <v>113</v>
      </c>
      <c r="W9566" s="42">
        <v>0</v>
      </c>
      <c r="X9566" s="42">
        <v>0</v>
      </c>
    </row>
    <row r="9567" spans="1:24">
      <c r="A9567" s="27" t="s">
        <v>17493</v>
      </c>
      <c r="B9567" s="28" t="s">
        <v>12240</v>
      </c>
      <c r="C9567" s="27" t="s">
        <v>17494</v>
      </c>
      <c r="D9567" s="27" t="s">
        <v>230</v>
      </c>
      <c r="E9567" s="29">
        <v>43734</v>
      </c>
      <c r="F9567" s="27">
        <v>15</v>
      </c>
      <c r="G9567" s="18">
        <v>0</v>
      </c>
      <c r="H9567" s="27">
        <f t="shared" si="298"/>
        <v>0</v>
      </c>
      <c r="I9567" s="18">
        <v>0</v>
      </c>
      <c r="J9567" s="27">
        <v>162509.06</v>
      </c>
      <c r="K9567" s="18">
        <f t="shared" si="299"/>
        <v>0</v>
      </c>
      <c r="L9567" s="27">
        <v>2573.06</v>
      </c>
      <c r="M9567" s="36">
        <v>2573.06</v>
      </c>
      <c r="N9567" s="18" t="s">
        <v>123</v>
      </c>
      <c r="O9567" s="19">
        <v>162509.06</v>
      </c>
      <c r="T9567" s="41">
        <v>0</v>
      </c>
      <c r="U9567" s="41">
        <v>0</v>
      </c>
      <c r="V9567" s="42" t="s">
        <v>113</v>
      </c>
      <c r="W9567" s="42">
        <v>0</v>
      </c>
      <c r="X9567" s="42">
        <v>0</v>
      </c>
    </row>
    <row r="9568" spans="1:24">
      <c r="A9568" s="27" t="s">
        <v>17495</v>
      </c>
      <c r="B9568" s="28" t="s">
        <v>12240</v>
      </c>
      <c r="C9568" s="27" t="s">
        <v>17496</v>
      </c>
      <c r="D9568" s="27" t="s">
        <v>230</v>
      </c>
      <c r="E9568" s="29">
        <v>43737</v>
      </c>
      <c r="F9568" s="27">
        <v>15</v>
      </c>
      <c r="G9568" s="18">
        <v>0</v>
      </c>
      <c r="H9568" s="27">
        <f t="shared" si="298"/>
        <v>0</v>
      </c>
      <c r="I9568" s="18">
        <v>0</v>
      </c>
      <c r="J9568" s="27">
        <v>154644</v>
      </c>
      <c r="K9568" s="18">
        <f t="shared" si="299"/>
        <v>0</v>
      </c>
      <c r="L9568" s="27">
        <v>2448.5300000000002</v>
      </c>
      <c r="M9568" s="36">
        <v>2448.5300000000002</v>
      </c>
      <c r="N9568" s="18" t="s">
        <v>12170</v>
      </c>
      <c r="O9568" s="19">
        <v>154644</v>
      </c>
      <c r="T9568" s="41">
        <v>0</v>
      </c>
      <c r="U9568" s="41">
        <v>0</v>
      </c>
      <c r="V9568" s="42" t="s">
        <v>113</v>
      </c>
      <c r="W9568" s="42">
        <v>0</v>
      </c>
      <c r="X9568" s="42">
        <v>0</v>
      </c>
    </row>
    <row r="9569" spans="1:24">
      <c r="A9569" s="27" t="s">
        <v>17497</v>
      </c>
      <c r="B9569" s="28" t="s">
        <v>12240</v>
      </c>
      <c r="C9569" s="27" t="s">
        <v>17498</v>
      </c>
      <c r="D9569" s="27" t="s">
        <v>230</v>
      </c>
      <c r="E9569" s="29">
        <v>43737</v>
      </c>
      <c r="F9569" s="27">
        <v>15</v>
      </c>
      <c r="G9569" s="18">
        <v>0</v>
      </c>
      <c r="H9569" s="27">
        <f t="shared" si="298"/>
        <v>0</v>
      </c>
      <c r="I9569" s="18">
        <v>0</v>
      </c>
      <c r="J9569" s="27">
        <v>106589</v>
      </c>
      <c r="K9569" s="18">
        <f t="shared" si="299"/>
        <v>0</v>
      </c>
      <c r="L9569" s="27">
        <v>1687.66</v>
      </c>
      <c r="M9569" s="36">
        <v>1687.66</v>
      </c>
      <c r="N9569" s="18" t="s">
        <v>12170</v>
      </c>
      <c r="O9569" s="19">
        <v>106589</v>
      </c>
      <c r="T9569" s="41">
        <v>0</v>
      </c>
      <c r="U9569" s="41">
        <v>0</v>
      </c>
      <c r="V9569" s="42" t="s">
        <v>113</v>
      </c>
      <c r="W9569" s="42">
        <v>0</v>
      </c>
      <c r="X9569" s="42">
        <v>0</v>
      </c>
    </row>
    <row r="9570" spans="1:24">
      <c r="A9570" s="27" t="s">
        <v>17499</v>
      </c>
      <c r="B9570" s="28" t="s">
        <v>12240</v>
      </c>
      <c r="C9570" s="27" t="s">
        <v>17500</v>
      </c>
      <c r="D9570" s="27" t="s">
        <v>230</v>
      </c>
      <c r="E9570" s="29">
        <v>43737</v>
      </c>
      <c r="F9570" s="27">
        <v>15</v>
      </c>
      <c r="G9570" s="18">
        <v>0</v>
      </c>
      <c r="H9570" s="27">
        <f t="shared" si="298"/>
        <v>0</v>
      </c>
      <c r="I9570" s="18">
        <v>0</v>
      </c>
      <c r="J9570" s="27">
        <v>133947</v>
      </c>
      <c r="K9570" s="18">
        <f t="shared" si="299"/>
        <v>0</v>
      </c>
      <c r="L9570" s="27">
        <v>2120.83</v>
      </c>
      <c r="M9570" s="36">
        <v>2120.83</v>
      </c>
      <c r="N9570" s="18" t="s">
        <v>12170</v>
      </c>
      <c r="O9570" s="19">
        <v>133947</v>
      </c>
      <c r="T9570" s="41">
        <v>0</v>
      </c>
      <c r="U9570" s="41">
        <v>0</v>
      </c>
      <c r="V9570" s="42" t="s">
        <v>113</v>
      </c>
      <c r="W9570" s="42">
        <v>0</v>
      </c>
      <c r="X9570" s="42">
        <v>0</v>
      </c>
    </row>
    <row r="9571" spans="1:24">
      <c r="A9571" s="27" t="s">
        <v>17501</v>
      </c>
      <c r="B9571" s="28" t="s">
        <v>12240</v>
      </c>
      <c r="C9571" s="27" t="s">
        <v>17502</v>
      </c>
      <c r="D9571" s="27" t="s">
        <v>230</v>
      </c>
      <c r="E9571" s="29">
        <v>43737</v>
      </c>
      <c r="F9571" s="27">
        <v>15</v>
      </c>
      <c r="G9571" s="18">
        <v>0</v>
      </c>
      <c r="H9571" s="27">
        <f t="shared" si="298"/>
        <v>0</v>
      </c>
      <c r="I9571" s="18">
        <v>0</v>
      </c>
      <c r="J9571" s="27">
        <v>142956</v>
      </c>
      <c r="K9571" s="18">
        <f t="shared" si="299"/>
        <v>0</v>
      </c>
      <c r="L9571" s="27">
        <v>2263.4699999999998</v>
      </c>
      <c r="M9571" s="36">
        <v>2263.4699999999998</v>
      </c>
      <c r="N9571" s="18" t="s">
        <v>12170</v>
      </c>
      <c r="O9571" s="19">
        <v>142956</v>
      </c>
      <c r="T9571" s="41">
        <v>0</v>
      </c>
      <c r="U9571" s="41">
        <v>0</v>
      </c>
      <c r="V9571" s="42" t="s">
        <v>113</v>
      </c>
      <c r="W9571" s="42">
        <v>0</v>
      </c>
      <c r="X9571" s="42">
        <v>0</v>
      </c>
    </row>
    <row r="9572" spans="1:24">
      <c r="A9572" s="27" t="s">
        <v>17503</v>
      </c>
      <c r="B9572" s="28" t="s">
        <v>12240</v>
      </c>
      <c r="C9572" s="27" t="s">
        <v>17504</v>
      </c>
      <c r="D9572" s="27" t="s">
        <v>230</v>
      </c>
      <c r="E9572" s="29">
        <v>43809</v>
      </c>
      <c r="F9572" s="27">
        <v>15</v>
      </c>
      <c r="G9572" s="18">
        <v>0</v>
      </c>
      <c r="H9572" s="27">
        <f t="shared" si="298"/>
        <v>0</v>
      </c>
      <c r="I9572" s="18">
        <v>0</v>
      </c>
      <c r="J9572" s="27">
        <v>109515.98</v>
      </c>
      <c r="K9572" s="18">
        <f t="shared" si="299"/>
        <v>0</v>
      </c>
      <c r="L9572" s="27">
        <v>0</v>
      </c>
      <c r="M9572" s="36">
        <v>0</v>
      </c>
      <c r="N9572" s="18" t="s">
        <v>123</v>
      </c>
      <c r="O9572" s="19">
        <v>109515.98</v>
      </c>
      <c r="T9572" s="41">
        <v>0</v>
      </c>
      <c r="U9572" s="41">
        <v>0</v>
      </c>
      <c r="V9572" s="42" t="s">
        <v>113</v>
      </c>
      <c r="W9572" s="42">
        <v>0</v>
      </c>
      <c r="X9572" s="42">
        <v>0</v>
      </c>
    </row>
    <row r="9573" spans="1:24">
      <c r="A9573" s="27" t="s">
        <v>17505</v>
      </c>
      <c r="B9573" s="28" t="s">
        <v>12240</v>
      </c>
      <c r="C9573" s="27" t="s">
        <v>17506</v>
      </c>
      <c r="D9573" s="27" t="s">
        <v>230</v>
      </c>
      <c r="E9573" s="29">
        <v>43809</v>
      </c>
      <c r="F9573" s="27">
        <v>15</v>
      </c>
      <c r="G9573" s="18">
        <v>0</v>
      </c>
      <c r="H9573" s="27">
        <f t="shared" si="298"/>
        <v>0</v>
      </c>
      <c r="I9573" s="18">
        <v>0</v>
      </c>
      <c r="J9573" s="27">
        <v>111362.87</v>
      </c>
      <c r="K9573" s="18">
        <f t="shared" si="299"/>
        <v>0</v>
      </c>
      <c r="L9573" s="27">
        <v>0</v>
      </c>
      <c r="M9573" s="36">
        <v>0</v>
      </c>
      <c r="N9573" s="18" t="s">
        <v>123</v>
      </c>
      <c r="O9573" s="19">
        <v>111362.87</v>
      </c>
      <c r="T9573" s="41">
        <v>0</v>
      </c>
      <c r="U9573" s="41">
        <v>0</v>
      </c>
      <c r="V9573" s="42" t="s">
        <v>113</v>
      </c>
      <c r="W9573" s="42">
        <v>0</v>
      </c>
      <c r="X9573" s="42">
        <v>0</v>
      </c>
    </row>
    <row r="9574" spans="1:24">
      <c r="A9574" s="27" t="s">
        <v>17507</v>
      </c>
      <c r="B9574" s="28" t="s">
        <v>12240</v>
      </c>
      <c r="C9574" s="27" t="s">
        <v>17508</v>
      </c>
      <c r="D9574" s="27" t="s">
        <v>230</v>
      </c>
      <c r="E9574" s="29">
        <v>43809</v>
      </c>
      <c r="F9574" s="27">
        <v>15</v>
      </c>
      <c r="G9574" s="18">
        <v>0</v>
      </c>
      <c r="H9574" s="27">
        <f t="shared" si="298"/>
        <v>0</v>
      </c>
      <c r="I9574" s="18">
        <v>0</v>
      </c>
      <c r="J9574" s="27">
        <v>67630.92</v>
      </c>
      <c r="K9574" s="18">
        <f t="shared" si="299"/>
        <v>0</v>
      </c>
      <c r="L9574" s="27">
        <v>0</v>
      </c>
      <c r="M9574" s="36">
        <v>0</v>
      </c>
      <c r="N9574" s="18" t="s">
        <v>123</v>
      </c>
      <c r="O9574" s="19">
        <v>67630.92</v>
      </c>
      <c r="T9574" s="41">
        <v>0</v>
      </c>
      <c r="U9574" s="41">
        <v>0</v>
      </c>
      <c r="V9574" s="42" t="s">
        <v>113</v>
      </c>
      <c r="W9574" s="42">
        <v>0</v>
      </c>
      <c r="X9574" s="42">
        <v>0</v>
      </c>
    </row>
    <row r="9575" spans="1:24">
      <c r="A9575" s="27" t="s">
        <v>17509</v>
      </c>
      <c r="B9575" s="28" t="s">
        <v>12240</v>
      </c>
      <c r="C9575" s="27" t="s">
        <v>17510</v>
      </c>
      <c r="D9575" s="27" t="s">
        <v>230</v>
      </c>
      <c r="E9575" s="29">
        <v>43809</v>
      </c>
      <c r="F9575" s="27">
        <v>15</v>
      </c>
      <c r="G9575" s="18">
        <v>0</v>
      </c>
      <c r="H9575" s="27">
        <f t="shared" si="298"/>
        <v>0</v>
      </c>
      <c r="I9575" s="18">
        <v>0</v>
      </c>
      <c r="J9575" s="27">
        <v>67630.92</v>
      </c>
      <c r="K9575" s="18">
        <f t="shared" si="299"/>
        <v>0</v>
      </c>
      <c r="L9575" s="27">
        <v>0</v>
      </c>
      <c r="M9575" s="36">
        <v>0</v>
      </c>
      <c r="N9575" s="18" t="s">
        <v>123</v>
      </c>
      <c r="O9575" s="19">
        <v>67630.92</v>
      </c>
      <c r="T9575" s="41">
        <v>0</v>
      </c>
      <c r="U9575" s="41">
        <v>0</v>
      </c>
      <c r="V9575" s="42" t="s">
        <v>113</v>
      </c>
      <c r="W9575" s="42">
        <v>0</v>
      </c>
      <c r="X9575" s="42">
        <v>0</v>
      </c>
    </row>
    <row r="9576" spans="1:24">
      <c r="A9576" s="27" t="s">
        <v>17511</v>
      </c>
      <c r="B9576" s="28" t="s">
        <v>12240</v>
      </c>
      <c r="C9576" s="27" t="s">
        <v>17512</v>
      </c>
      <c r="D9576" s="27" t="s">
        <v>230</v>
      </c>
      <c r="E9576" s="29">
        <v>43809</v>
      </c>
      <c r="F9576" s="27">
        <v>15</v>
      </c>
      <c r="G9576" s="18">
        <v>0</v>
      </c>
      <c r="H9576" s="27">
        <f t="shared" si="298"/>
        <v>0</v>
      </c>
      <c r="I9576" s="18">
        <v>0</v>
      </c>
      <c r="J9576" s="27">
        <v>111362.87</v>
      </c>
      <c r="K9576" s="18">
        <f t="shared" si="299"/>
        <v>0</v>
      </c>
      <c r="L9576" s="27">
        <v>0</v>
      </c>
      <c r="M9576" s="36">
        <v>0</v>
      </c>
      <c r="N9576" s="18" t="s">
        <v>123</v>
      </c>
      <c r="O9576" s="19">
        <v>111362.87</v>
      </c>
      <c r="T9576" s="41">
        <v>0</v>
      </c>
      <c r="U9576" s="41">
        <v>0</v>
      </c>
      <c r="V9576" s="42" t="s">
        <v>113</v>
      </c>
      <c r="W9576" s="42">
        <v>0</v>
      </c>
      <c r="X9576" s="42">
        <v>0</v>
      </c>
    </row>
    <row r="9577" spans="1:24">
      <c r="A9577" s="27" t="s">
        <v>17513</v>
      </c>
      <c r="B9577" s="28" t="s">
        <v>12240</v>
      </c>
      <c r="C9577" s="27" t="s">
        <v>17514</v>
      </c>
      <c r="D9577" s="27" t="s">
        <v>230</v>
      </c>
      <c r="E9577" s="29">
        <v>43809</v>
      </c>
      <c r="F9577" s="27">
        <v>15</v>
      </c>
      <c r="G9577" s="18">
        <v>0</v>
      </c>
      <c r="H9577" s="27">
        <f t="shared" si="298"/>
        <v>0</v>
      </c>
      <c r="I9577" s="18">
        <v>0</v>
      </c>
      <c r="J9577" s="27">
        <v>166554.17000000001</v>
      </c>
      <c r="K9577" s="18">
        <f t="shared" si="299"/>
        <v>0</v>
      </c>
      <c r="L9577" s="27">
        <v>0</v>
      </c>
      <c r="M9577" s="36">
        <v>0</v>
      </c>
      <c r="N9577" s="18" t="s">
        <v>123</v>
      </c>
      <c r="O9577" s="19">
        <v>166554.17000000001</v>
      </c>
      <c r="T9577" s="41">
        <v>0</v>
      </c>
      <c r="U9577" s="41">
        <v>0</v>
      </c>
      <c r="V9577" s="42" t="s">
        <v>113</v>
      </c>
      <c r="W9577" s="42">
        <v>0</v>
      </c>
      <c r="X9577" s="42">
        <v>0</v>
      </c>
    </row>
    <row r="9578" spans="1:24">
      <c r="A9578" s="27" t="s">
        <v>17515</v>
      </c>
      <c r="B9578" s="28" t="s">
        <v>12240</v>
      </c>
      <c r="C9578" s="27" t="s">
        <v>17516</v>
      </c>
      <c r="D9578" s="27" t="s">
        <v>230</v>
      </c>
      <c r="E9578" s="29">
        <v>43809</v>
      </c>
      <c r="F9578" s="27">
        <v>15</v>
      </c>
      <c r="G9578" s="18">
        <v>0</v>
      </c>
      <c r="H9578" s="27">
        <f t="shared" si="298"/>
        <v>0</v>
      </c>
      <c r="I9578" s="18">
        <v>0</v>
      </c>
      <c r="J9578" s="27">
        <v>67630.92</v>
      </c>
      <c r="K9578" s="18">
        <f t="shared" si="299"/>
        <v>0</v>
      </c>
      <c r="L9578" s="27">
        <v>0</v>
      </c>
      <c r="M9578" s="36">
        <v>0</v>
      </c>
      <c r="N9578" s="18" t="s">
        <v>123</v>
      </c>
      <c r="O9578" s="19">
        <v>67630.92</v>
      </c>
      <c r="T9578" s="41">
        <v>0</v>
      </c>
      <c r="U9578" s="41">
        <v>0</v>
      </c>
      <c r="V9578" s="42" t="s">
        <v>113</v>
      </c>
      <c r="W9578" s="42">
        <v>0</v>
      </c>
      <c r="X9578" s="42">
        <v>0</v>
      </c>
    </row>
    <row r="9579" spans="1:24">
      <c r="A9579" s="27" t="s">
        <v>17517</v>
      </c>
      <c r="B9579" s="28" t="s">
        <v>12240</v>
      </c>
      <c r="C9579" s="27" t="s">
        <v>17518</v>
      </c>
      <c r="D9579" s="27" t="s">
        <v>230</v>
      </c>
      <c r="E9579" s="29">
        <v>43809</v>
      </c>
      <c r="F9579" s="27">
        <v>15</v>
      </c>
      <c r="G9579" s="18">
        <v>0</v>
      </c>
      <c r="H9579" s="27">
        <f t="shared" si="298"/>
        <v>0</v>
      </c>
      <c r="I9579" s="18">
        <v>0</v>
      </c>
      <c r="J9579" s="27">
        <v>68771.45</v>
      </c>
      <c r="K9579" s="18">
        <f t="shared" si="299"/>
        <v>0</v>
      </c>
      <c r="L9579" s="27">
        <v>0</v>
      </c>
      <c r="M9579" s="36">
        <v>0</v>
      </c>
      <c r="N9579" s="18" t="s">
        <v>123</v>
      </c>
      <c r="O9579" s="19">
        <v>68771.45</v>
      </c>
      <c r="T9579" s="41">
        <v>0</v>
      </c>
      <c r="U9579" s="41">
        <v>0</v>
      </c>
      <c r="V9579" s="42" t="s">
        <v>113</v>
      </c>
      <c r="W9579" s="42">
        <v>0</v>
      </c>
      <c r="X9579" s="42">
        <v>0</v>
      </c>
    </row>
    <row r="9580" spans="1:24">
      <c r="A9580" s="27" t="s">
        <v>17519</v>
      </c>
      <c r="B9580" s="28" t="s">
        <v>12240</v>
      </c>
      <c r="C9580" s="27" t="s">
        <v>17520</v>
      </c>
      <c r="D9580" s="27" t="s">
        <v>230</v>
      </c>
      <c r="E9580" s="29">
        <v>43809</v>
      </c>
      <c r="F9580" s="27">
        <v>15</v>
      </c>
      <c r="G9580" s="18">
        <v>0</v>
      </c>
      <c r="H9580" s="27">
        <f t="shared" si="298"/>
        <v>0</v>
      </c>
      <c r="I9580" s="18">
        <v>0</v>
      </c>
      <c r="J9580" s="27">
        <v>192680.67</v>
      </c>
      <c r="K9580" s="18">
        <f t="shared" si="299"/>
        <v>0</v>
      </c>
      <c r="L9580" s="27">
        <v>0</v>
      </c>
      <c r="M9580" s="36">
        <v>0</v>
      </c>
      <c r="N9580" s="18" t="s">
        <v>123</v>
      </c>
      <c r="O9580" s="19">
        <v>192680.67</v>
      </c>
      <c r="T9580" s="41">
        <v>0</v>
      </c>
      <c r="U9580" s="41">
        <v>0</v>
      </c>
      <c r="V9580" s="42" t="s">
        <v>113</v>
      </c>
      <c r="W9580" s="42">
        <v>0</v>
      </c>
      <c r="X9580" s="42">
        <v>0</v>
      </c>
    </row>
    <row r="9581" spans="1:24">
      <c r="A9581" s="27" t="s">
        <v>17521</v>
      </c>
      <c r="B9581" s="28" t="s">
        <v>12240</v>
      </c>
      <c r="C9581" s="27" t="s">
        <v>17522</v>
      </c>
      <c r="D9581" s="27" t="s">
        <v>230</v>
      </c>
      <c r="E9581" s="29">
        <v>43728</v>
      </c>
      <c r="F9581" s="27">
        <v>15</v>
      </c>
      <c r="G9581" s="18">
        <v>0</v>
      </c>
      <c r="H9581" s="27">
        <f t="shared" si="298"/>
        <v>0</v>
      </c>
      <c r="I9581" s="18">
        <v>0</v>
      </c>
      <c r="J9581" s="27">
        <v>38129.5</v>
      </c>
      <c r="K9581" s="18">
        <f t="shared" si="299"/>
        <v>0</v>
      </c>
      <c r="L9581" s="27">
        <v>603.72</v>
      </c>
      <c r="M9581" s="36">
        <v>603.72</v>
      </c>
      <c r="N9581" s="18" t="s">
        <v>123</v>
      </c>
      <c r="O9581" s="19">
        <v>38129.5</v>
      </c>
      <c r="T9581" s="41">
        <v>0</v>
      </c>
      <c r="U9581" s="41">
        <v>0</v>
      </c>
      <c r="V9581" s="42" t="s">
        <v>113</v>
      </c>
      <c r="W9581" s="42">
        <v>0</v>
      </c>
      <c r="X9581" s="42">
        <v>0</v>
      </c>
    </row>
    <row r="9582" spans="1:24">
      <c r="A9582" s="27" t="s">
        <v>17523</v>
      </c>
      <c r="B9582" s="28" t="s">
        <v>12240</v>
      </c>
      <c r="C9582" s="27" t="s">
        <v>17524</v>
      </c>
      <c r="D9582" s="27" t="s">
        <v>230</v>
      </c>
      <c r="E9582" s="29">
        <v>43728</v>
      </c>
      <c r="F9582" s="27">
        <v>15</v>
      </c>
      <c r="G9582" s="18">
        <v>0</v>
      </c>
      <c r="H9582" s="27">
        <f t="shared" si="298"/>
        <v>0</v>
      </c>
      <c r="I9582" s="18">
        <v>0</v>
      </c>
      <c r="J9582" s="27">
        <v>38129.49</v>
      </c>
      <c r="K9582" s="18">
        <f t="shared" si="299"/>
        <v>0</v>
      </c>
      <c r="L9582" s="27">
        <v>603.72</v>
      </c>
      <c r="M9582" s="36">
        <v>603.72</v>
      </c>
      <c r="N9582" s="18" t="s">
        <v>123</v>
      </c>
      <c r="O9582" s="19">
        <v>38129.49</v>
      </c>
      <c r="T9582" s="41">
        <v>0</v>
      </c>
      <c r="U9582" s="41">
        <v>0</v>
      </c>
      <c r="V9582" s="42" t="s">
        <v>113</v>
      </c>
      <c r="W9582" s="42">
        <v>0</v>
      </c>
      <c r="X9582" s="42">
        <v>0</v>
      </c>
    </row>
    <row r="9583" spans="1:24">
      <c r="A9583" s="27" t="s">
        <v>17525</v>
      </c>
      <c r="B9583" s="28" t="s">
        <v>12240</v>
      </c>
      <c r="C9583" s="27" t="s">
        <v>17526</v>
      </c>
      <c r="D9583" s="27" t="s">
        <v>230</v>
      </c>
      <c r="E9583" s="29">
        <v>43728</v>
      </c>
      <c r="F9583" s="27">
        <v>15</v>
      </c>
      <c r="G9583" s="18">
        <v>0</v>
      </c>
      <c r="H9583" s="27">
        <f t="shared" si="298"/>
        <v>0</v>
      </c>
      <c r="I9583" s="18">
        <v>0</v>
      </c>
      <c r="J9583" s="27">
        <v>38129.49</v>
      </c>
      <c r="K9583" s="18">
        <f t="shared" si="299"/>
        <v>0</v>
      </c>
      <c r="L9583" s="27">
        <v>603.72</v>
      </c>
      <c r="M9583" s="36">
        <v>603.72</v>
      </c>
      <c r="N9583" s="18" t="s">
        <v>123</v>
      </c>
      <c r="O9583" s="19">
        <v>38129.49</v>
      </c>
      <c r="T9583" s="41">
        <v>0</v>
      </c>
      <c r="U9583" s="41">
        <v>0</v>
      </c>
      <c r="V9583" s="42" t="s">
        <v>113</v>
      </c>
      <c r="W9583" s="42">
        <v>0</v>
      </c>
      <c r="X9583" s="42">
        <v>0</v>
      </c>
    </row>
    <row r="9584" spans="1:24">
      <c r="A9584" s="27" t="s">
        <v>17527</v>
      </c>
      <c r="B9584" s="28" t="s">
        <v>12240</v>
      </c>
      <c r="C9584" s="27" t="s">
        <v>17528</v>
      </c>
      <c r="D9584" s="27" t="s">
        <v>230</v>
      </c>
      <c r="E9584" s="29">
        <v>43728</v>
      </c>
      <c r="F9584" s="27">
        <v>15</v>
      </c>
      <c r="G9584" s="18">
        <v>0</v>
      </c>
      <c r="H9584" s="27">
        <f t="shared" si="298"/>
        <v>0</v>
      </c>
      <c r="I9584" s="18">
        <v>0</v>
      </c>
      <c r="J9584" s="27">
        <v>38129.49</v>
      </c>
      <c r="K9584" s="18">
        <f t="shared" si="299"/>
        <v>0</v>
      </c>
      <c r="L9584" s="27">
        <v>603.72</v>
      </c>
      <c r="M9584" s="36">
        <v>603.72</v>
      </c>
      <c r="N9584" s="18" t="s">
        <v>123</v>
      </c>
      <c r="O9584" s="19">
        <v>38129.49</v>
      </c>
      <c r="T9584" s="41">
        <v>0</v>
      </c>
      <c r="U9584" s="41">
        <v>0</v>
      </c>
      <c r="V9584" s="42" t="s">
        <v>113</v>
      </c>
      <c r="W9584" s="42">
        <v>0</v>
      </c>
      <c r="X9584" s="42">
        <v>0</v>
      </c>
    </row>
    <row r="9585" spans="1:24">
      <c r="A9585" s="27" t="s">
        <v>17529</v>
      </c>
      <c r="B9585" s="28" t="s">
        <v>12240</v>
      </c>
      <c r="C9585" s="27" t="s">
        <v>17530</v>
      </c>
      <c r="D9585" s="27" t="s">
        <v>230</v>
      </c>
      <c r="E9585" s="29">
        <v>43728</v>
      </c>
      <c r="F9585" s="27">
        <v>15</v>
      </c>
      <c r="G9585" s="18">
        <v>0</v>
      </c>
      <c r="H9585" s="27">
        <f t="shared" si="298"/>
        <v>0</v>
      </c>
      <c r="I9585" s="18">
        <v>0</v>
      </c>
      <c r="J9585" s="27">
        <v>38129.49</v>
      </c>
      <c r="K9585" s="18">
        <f t="shared" si="299"/>
        <v>0</v>
      </c>
      <c r="L9585" s="27">
        <v>603.72</v>
      </c>
      <c r="M9585" s="36">
        <v>603.72</v>
      </c>
      <c r="N9585" s="18" t="s">
        <v>123</v>
      </c>
      <c r="O9585" s="19">
        <v>38129.49</v>
      </c>
      <c r="T9585" s="41">
        <v>0</v>
      </c>
      <c r="U9585" s="41">
        <v>0</v>
      </c>
      <c r="V9585" s="42" t="s">
        <v>113</v>
      </c>
      <c r="W9585" s="42">
        <v>0</v>
      </c>
      <c r="X9585" s="42">
        <v>0</v>
      </c>
    </row>
    <row r="9586" spans="1:24">
      <c r="A9586" s="27" t="s">
        <v>17531</v>
      </c>
      <c r="B9586" s="28" t="s">
        <v>12240</v>
      </c>
      <c r="C9586" s="27" t="s">
        <v>17532</v>
      </c>
      <c r="D9586" s="27" t="s">
        <v>230</v>
      </c>
      <c r="E9586" s="29">
        <v>43728</v>
      </c>
      <c r="F9586" s="27">
        <v>15</v>
      </c>
      <c r="G9586" s="18">
        <v>0</v>
      </c>
      <c r="H9586" s="27">
        <f t="shared" si="298"/>
        <v>0</v>
      </c>
      <c r="I9586" s="18">
        <v>0</v>
      </c>
      <c r="J9586" s="27">
        <v>28911.14</v>
      </c>
      <c r="K9586" s="18">
        <f t="shared" si="299"/>
        <v>0</v>
      </c>
      <c r="L9586" s="27">
        <v>457.76</v>
      </c>
      <c r="M9586" s="36">
        <v>457.76</v>
      </c>
      <c r="N9586" s="18" t="s">
        <v>123</v>
      </c>
      <c r="O9586" s="19">
        <v>28911.14</v>
      </c>
      <c r="T9586" s="41">
        <v>0</v>
      </c>
      <c r="U9586" s="41">
        <v>0</v>
      </c>
      <c r="V9586" s="42" t="s">
        <v>113</v>
      </c>
      <c r="W9586" s="42">
        <v>0</v>
      </c>
      <c r="X9586" s="42">
        <v>0</v>
      </c>
    </row>
    <row r="9587" spans="1:24">
      <c r="A9587" s="27" t="s">
        <v>17533</v>
      </c>
      <c r="B9587" s="28" t="s">
        <v>12240</v>
      </c>
      <c r="C9587" s="27" t="s">
        <v>17534</v>
      </c>
      <c r="D9587" s="27" t="s">
        <v>230</v>
      </c>
      <c r="E9587" s="29">
        <v>43809</v>
      </c>
      <c r="F9587" s="27">
        <v>15</v>
      </c>
      <c r="G9587" s="18">
        <v>0</v>
      </c>
      <c r="H9587" s="27">
        <f t="shared" si="298"/>
        <v>0</v>
      </c>
      <c r="I9587" s="18">
        <v>0</v>
      </c>
      <c r="J9587" s="27">
        <v>192680.68</v>
      </c>
      <c r="K9587" s="18">
        <f t="shared" si="299"/>
        <v>0</v>
      </c>
      <c r="L9587" s="27">
        <v>0</v>
      </c>
      <c r="M9587" s="36">
        <v>0</v>
      </c>
      <c r="N9587" s="18" t="s">
        <v>123</v>
      </c>
      <c r="O9587" s="19">
        <v>192680.68</v>
      </c>
      <c r="T9587" s="41">
        <v>0</v>
      </c>
      <c r="U9587" s="41">
        <v>0</v>
      </c>
      <c r="V9587" s="42" t="s">
        <v>113</v>
      </c>
      <c r="W9587" s="42">
        <v>0</v>
      </c>
      <c r="X9587" s="42">
        <v>0</v>
      </c>
    </row>
    <row r="9588" spans="1:24">
      <c r="A9588" s="27" t="s">
        <v>17535</v>
      </c>
      <c r="B9588" s="28" t="s">
        <v>12240</v>
      </c>
      <c r="C9588" s="27" t="s">
        <v>17536</v>
      </c>
      <c r="D9588" s="27" t="s">
        <v>230</v>
      </c>
      <c r="E9588" s="29">
        <v>43809</v>
      </c>
      <c r="F9588" s="27">
        <v>15</v>
      </c>
      <c r="G9588" s="18">
        <v>0</v>
      </c>
      <c r="H9588" s="27">
        <f t="shared" si="298"/>
        <v>0</v>
      </c>
      <c r="I9588" s="18">
        <v>0</v>
      </c>
      <c r="J9588" s="27">
        <v>166554.17000000001</v>
      </c>
      <c r="K9588" s="18">
        <f t="shared" si="299"/>
        <v>0</v>
      </c>
      <c r="L9588" s="27">
        <v>0</v>
      </c>
      <c r="M9588" s="36">
        <v>0</v>
      </c>
      <c r="N9588" s="18" t="s">
        <v>123</v>
      </c>
      <c r="O9588" s="19">
        <v>166554.17000000001</v>
      </c>
      <c r="T9588" s="41">
        <v>0</v>
      </c>
      <c r="U9588" s="41">
        <v>0</v>
      </c>
      <c r="V9588" s="42" t="s">
        <v>113</v>
      </c>
      <c r="W9588" s="42">
        <v>0</v>
      </c>
      <c r="X9588" s="42">
        <v>0</v>
      </c>
    </row>
    <row r="9589" spans="1:24">
      <c r="A9589" s="27" t="s">
        <v>17537</v>
      </c>
      <c r="B9589" s="28" t="s">
        <v>12240</v>
      </c>
      <c r="C9589" s="27" t="s">
        <v>17538</v>
      </c>
      <c r="D9589" s="27" t="s">
        <v>230</v>
      </c>
      <c r="E9589" s="29">
        <v>43809</v>
      </c>
      <c r="F9589" s="27">
        <v>15</v>
      </c>
      <c r="G9589" s="18">
        <v>0</v>
      </c>
      <c r="H9589" s="27">
        <f t="shared" si="298"/>
        <v>0</v>
      </c>
      <c r="I9589" s="18">
        <v>0</v>
      </c>
      <c r="J9589" s="27">
        <v>166554.18</v>
      </c>
      <c r="K9589" s="18">
        <f t="shared" si="299"/>
        <v>0</v>
      </c>
      <c r="L9589" s="27">
        <v>0</v>
      </c>
      <c r="M9589" s="36">
        <v>0</v>
      </c>
      <c r="N9589" s="18" t="s">
        <v>123</v>
      </c>
      <c r="O9589" s="19">
        <v>166554.18</v>
      </c>
      <c r="T9589" s="41">
        <v>0</v>
      </c>
      <c r="U9589" s="41">
        <v>0</v>
      </c>
      <c r="V9589" s="42" t="s">
        <v>113</v>
      </c>
      <c r="W9589" s="42">
        <v>0</v>
      </c>
      <c r="X9589" s="42">
        <v>0</v>
      </c>
    </row>
    <row r="9590" spans="1:24">
      <c r="A9590" s="27" t="s">
        <v>17539</v>
      </c>
      <c r="B9590" s="28" t="s">
        <v>12240</v>
      </c>
      <c r="C9590" s="27" t="s">
        <v>17540</v>
      </c>
      <c r="D9590" s="27" t="s">
        <v>230</v>
      </c>
      <c r="E9590" s="29">
        <v>43809</v>
      </c>
      <c r="F9590" s="27">
        <v>15</v>
      </c>
      <c r="G9590" s="18">
        <v>0</v>
      </c>
      <c r="H9590" s="27">
        <f t="shared" si="298"/>
        <v>0</v>
      </c>
      <c r="I9590" s="18">
        <v>0</v>
      </c>
      <c r="J9590" s="27">
        <v>166554.18</v>
      </c>
      <c r="K9590" s="18">
        <f t="shared" si="299"/>
        <v>0</v>
      </c>
      <c r="L9590" s="27">
        <v>0</v>
      </c>
      <c r="M9590" s="36">
        <v>0</v>
      </c>
      <c r="N9590" s="18" t="s">
        <v>123</v>
      </c>
      <c r="O9590" s="19">
        <v>166554.18</v>
      </c>
      <c r="T9590" s="41">
        <v>0</v>
      </c>
      <c r="U9590" s="41">
        <v>0</v>
      </c>
      <c r="V9590" s="42" t="s">
        <v>113</v>
      </c>
      <c r="W9590" s="42">
        <v>0</v>
      </c>
      <c r="X9590" s="42">
        <v>0</v>
      </c>
    </row>
    <row r="9591" spans="1:24">
      <c r="A9591" s="27" t="s">
        <v>17541</v>
      </c>
      <c r="B9591" s="28" t="s">
        <v>12240</v>
      </c>
      <c r="C9591" s="27" t="s">
        <v>16159</v>
      </c>
      <c r="D9591" s="27" t="s">
        <v>230</v>
      </c>
      <c r="E9591" s="29">
        <v>43809</v>
      </c>
      <c r="F9591" s="27">
        <v>15</v>
      </c>
      <c r="G9591" s="18">
        <v>0</v>
      </c>
      <c r="H9591" s="27">
        <f t="shared" si="298"/>
        <v>0</v>
      </c>
      <c r="I9591" s="18">
        <v>0</v>
      </c>
      <c r="J9591" s="27">
        <v>68771.45</v>
      </c>
      <c r="K9591" s="18">
        <f t="shared" si="299"/>
        <v>0</v>
      </c>
      <c r="L9591" s="27">
        <v>0</v>
      </c>
      <c r="M9591" s="36">
        <v>0</v>
      </c>
      <c r="N9591" s="18" t="s">
        <v>123</v>
      </c>
      <c r="O9591" s="19">
        <v>68771.45</v>
      </c>
      <c r="T9591" s="41">
        <v>0</v>
      </c>
      <c r="U9591" s="41">
        <v>0</v>
      </c>
      <c r="V9591" s="42" t="s">
        <v>113</v>
      </c>
      <c r="W9591" s="42">
        <v>0</v>
      </c>
      <c r="X9591" s="42">
        <v>0</v>
      </c>
    </row>
    <row r="9592" spans="1:24">
      <c r="A9592" s="27" t="s">
        <v>17542</v>
      </c>
      <c r="B9592" s="28" t="s">
        <v>12240</v>
      </c>
      <c r="C9592" s="27" t="s">
        <v>15082</v>
      </c>
      <c r="D9592" s="27" t="s">
        <v>230</v>
      </c>
      <c r="E9592" s="29">
        <v>43809</v>
      </c>
      <c r="F9592" s="27">
        <v>15</v>
      </c>
      <c r="G9592" s="18">
        <v>0</v>
      </c>
      <c r="H9592" s="27">
        <f t="shared" si="298"/>
        <v>0</v>
      </c>
      <c r="I9592" s="18">
        <v>0</v>
      </c>
      <c r="J9592" s="27">
        <v>110679.67</v>
      </c>
      <c r="K9592" s="18">
        <f t="shared" si="299"/>
        <v>0</v>
      </c>
      <c r="L9592" s="27">
        <v>0</v>
      </c>
      <c r="M9592" s="36">
        <v>0</v>
      </c>
      <c r="N9592" s="18" t="s">
        <v>123</v>
      </c>
      <c r="O9592" s="19">
        <v>110679.67</v>
      </c>
      <c r="T9592" s="41">
        <v>0</v>
      </c>
      <c r="U9592" s="41">
        <v>0</v>
      </c>
      <c r="V9592" s="42" t="s">
        <v>113</v>
      </c>
      <c r="W9592" s="42">
        <v>0</v>
      </c>
      <c r="X9592" s="42">
        <v>0</v>
      </c>
    </row>
    <row r="9593" spans="1:24">
      <c r="A9593" s="27" t="s">
        <v>17543</v>
      </c>
      <c r="B9593" s="28" t="s">
        <v>17544</v>
      </c>
      <c r="C9593" s="27" t="s">
        <v>17545</v>
      </c>
      <c r="D9593" s="27" t="s">
        <v>5104</v>
      </c>
      <c r="E9593" s="29">
        <v>41626</v>
      </c>
      <c r="F9593" s="27">
        <v>8</v>
      </c>
      <c r="G9593" s="18">
        <v>29871.8</v>
      </c>
      <c r="H9593" s="27">
        <f t="shared" si="298"/>
        <v>0</v>
      </c>
      <c r="I9593" s="18">
        <v>16044.6</v>
      </c>
      <c r="J9593" s="27">
        <v>29871.8</v>
      </c>
      <c r="K9593" s="18">
        <f t="shared" si="299"/>
        <v>0</v>
      </c>
      <c r="L9593" s="27">
        <v>20155.8</v>
      </c>
      <c r="M9593" s="36">
        <v>4111.2</v>
      </c>
      <c r="T9593" s="41">
        <v>0</v>
      </c>
      <c r="U9593" s="41">
        <v>0</v>
      </c>
      <c r="V9593" s="42" t="s">
        <v>113</v>
      </c>
      <c r="W9593" s="42">
        <v>0</v>
      </c>
      <c r="X9593" s="42">
        <v>29871.8</v>
      </c>
    </row>
    <row r="9594" spans="1:24">
      <c r="A9594" s="27" t="s">
        <v>17546</v>
      </c>
      <c r="B9594" s="28" t="s">
        <v>17544</v>
      </c>
      <c r="C9594" s="27" t="s">
        <v>17545</v>
      </c>
      <c r="D9594" s="27" t="s">
        <v>5104</v>
      </c>
      <c r="E9594" s="29">
        <v>41626</v>
      </c>
      <c r="F9594" s="27">
        <v>8</v>
      </c>
      <c r="G9594" s="18">
        <v>29871.8</v>
      </c>
      <c r="H9594" s="27">
        <f t="shared" si="298"/>
        <v>0</v>
      </c>
      <c r="I9594" s="18">
        <v>16044.6</v>
      </c>
      <c r="J9594" s="27">
        <v>29871.8</v>
      </c>
      <c r="K9594" s="18">
        <f t="shared" si="299"/>
        <v>0</v>
      </c>
      <c r="L9594" s="27">
        <v>20155.8</v>
      </c>
      <c r="M9594" s="36">
        <v>4111.2</v>
      </c>
      <c r="T9594" s="41">
        <v>0</v>
      </c>
      <c r="U9594" s="41">
        <v>0</v>
      </c>
      <c r="V9594" s="42" t="s">
        <v>113</v>
      </c>
      <c r="W9594" s="42">
        <v>0</v>
      </c>
      <c r="X9594" s="42">
        <v>29871.8</v>
      </c>
    </row>
    <row r="9595" spans="1:24">
      <c r="A9595" s="27" t="s">
        <v>17547</v>
      </c>
      <c r="B9595" s="28" t="s">
        <v>17544</v>
      </c>
      <c r="C9595" s="27" t="s">
        <v>17545</v>
      </c>
      <c r="D9595" s="27" t="s">
        <v>5104</v>
      </c>
      <c r="E9595" s="29">
        <v>41626</v>
      </c>
      <c r="F9595" s="27">
        <v>8</v>
      </c>
      <c r="G9595" s="18">
        <v>29871.8</v>
      </c>
      <c r="H9595" s="27">
        <f t="shared" si="298"/>
        <v>0</v>
      </c>
      <c r="I9595" s="18">
        <v>16044.6</v>
      </c>
      <c r="J9595" s="27">
        <v>29871.8</v>
      </c>
      <c r="K9595" s="18">
        <f t="shared" si="299"/>
        <v>0</v>
      </c>
      <c r="L9595" s="27">
        <v>20155.8</v>
      </c>
      <c r="M9595" s="36">
        <v>4111.2</v>
      </c>
      <c r="T9595" s="41">
        <v>0</v>
      </c>
      <c r="U9595" s="41">
        <v>0</v>
      </c>
      <c r="V9595" s="42" t="s">
        <v>113</v>
      </c>
      <c r="W9595" s="42">
        <v>0</v>
      </c>
      <c r="X9595" s="42">
        <v>29871.8</v>
      </c>
    </row>
    <row r="9596" spans="1:24">
      <c r="A9596" s="27" t="s">
        <v>17548</v>
      </c>
      <c r="B9596" s="28" t="s">
        <v>17544</v>
      </c>
      <c r="C9596" s="27" t="s">
        <v>17545</v>
      </c>
      <c r="D9596" s="27" t="s">
        <v>5104</v>
      </c>
      <c r="E9596" s="29">
        <v>41626</v>
      </c>
      <c r="F9596" s="27">
        <v>8</v>
      </c>
      <c r="G9596" s="18">
        <v>29871.8</v>
      </c>
      <c r="H9596" s="27">
        <f t="shared" si="298"/>
        <v>0</v>
      </c>
      <c r="I9596" s="18">
        <v>16044.6</v>
      </c>
      <c r="J9596" s="27">
        <v>29871.8</v>
      </c>
      <c r="K9596" s="18">
        <f t="shared" si="299"/>
        <v>0</v>
      </c>
      <c r="L9596" s="27">
        <v>20155.8</v>
      </c>
      <c r="M9596" s="36">
        <v>4111.2</v>
      </c>
      <c r="T9596" s="41">
        <v>0</v>
      </c>
      <c r="U9596" s="41">
        <v>0</v>
      </c>
      <c r="V9596" s="42" t="s">
        <v>113</v>
      </c>
      <c r="W9596" s="42">
        <v>0</v>
      </c>
      <c r="X9596" s="42">
        <v>29871.8</v>
      </c>
    </row>
    <row r="9597" spans="1:24">
      <c r="A9597" s="27" t="s">
        <v>17549</v>
      </c>
      <c r="B9597" s="28" t="s">
        <v>17544</v>
      </c>
      <c r="C9597" s="27" t="s">
        <v>17545</v>
      </c>
      <c r="D9597" s="27" t="s">
        <v>5104</v>
      </c>
      <c r="E9597" s="29">
        <v>41626</v>
      </c>
      <c r="F9597" s="27">
        <v>8</v>
      </c>
      <c r="G9597" s="18">
        <v>29871.8</v>
      </c>
      <c r="H9597" s="27">
        <f t="shared" si="298"/>
        <v>0</v>
      </c>
      <c r="I9597" s="18">
        <v>16044.6</v>
      </c>
      <c r="J9597" s="27">
        <v>29871.8</v>
      </c>
      <c r="K9597" s="18">
        <f t="shared" si="299"/>
        <v>0</v>
      </c>
      <c r="L9597" s="27">
        <v>20155.8</v>
      </c>
      <c r="M9597" s="36">
        <v>4111.2</v>
      </c>
      <c r="T9597" s="41">
        <v>0</v>
      </c>
      <c r="U9597" s="41">
        <v>0</v>
      </c>
      <c r="V9597" s="42" t="s">
        <v>113</v>
      </c>
      <c r="W9597" s="42">
        <v>0</v>
      </c>
      <c r="X9597" s="42">
        <v>29871.8</v>
      </c>
    </row>
    <row r="9598" spans="1:24">
      <c r="A9598" s="27" t="s">
        <v>17550</v>
      </c>
      <c r="B9598" s="28" t="s">
        <v>17544</v>
      </c>
      <c r="C9598" s="27" t="s">
        <v>17545</v>
      </c>
      <c r="D9598" s="27" t="s">
        <v>5104</v>
      </c>
      <c r="E9598" s="29">
        <v>41626</v>
      </c>
      <c r="F9598" s="27">
        <v>8</v>
      </c>
      <c r="G9598" s="18">
        <v>29871.8</v>
      </c>
      <c r="H9598" s="27">
        <f t="shared" si="298"/>
        <v>0</v>
      </c>
      <c r="I9598" s="18">
        <v>16044.6</v>
      </c>
      <c r="J9598" s="27">
        <v>29871.8</v>
      </c>
      <c r="K9598" s="18">
        <f t="shared" si="299"/>
        <v>0</v>
      </c>
      <c r="L9598" s="27">
        <v>20155.8</v>
      </c>
      <c r="M9598" s="36">
        <v>4111.2</v>
      </c>
      <c r="T9598" s="41">
        <v>0</v>
      </c>
      <c r="U9598" s="41">
        <v>0</v>
      </c>
      <c r="V9598" s="42" t="s">
        <v>113</v>
      </c>
      <c r="W9598" s="42">
        <v>0</v>
      </c>
      <c r="X9598" s="42">
        <v>29871.8</v>
      </c>
    </row>
    <row r="9599" spans="1:24">
      <c r="A9599" s="27" t="s">
        <v>17551</v>
      </c>
      <c r="B9599" s="28" t="s">
        <v>17544</v>
      </c>
      <c r="C9599" s="27" t="s">
        <v>17545</v>
      </c>
      <c r="D9599" s="27" t="s">
        <v>5104</v>
      </c>
      <c r="E9599" s="29">
        <v>41626</v>
      </c>
      <c r="F9599" s="27">
        <v>8</v>
      </c>
      <c r="G9599" s="18">
        <v>29871.8</v>
      </c>
      <c r="H9599" s="27">
        <f t="shared" si="298"/>
        <v>0</v>
      </c>
      <c r="I9599" s="18">
        <v>16044.6</v>
      </c>
      <c r="J9599" s="27">
        <v>29871.8</v>
      </c>
      <c r="K9599" s="18">
        <f t="shared" si="299"/>
        <v>0</v>
      </c>
      <c r="L9599" s="27">
        <v>20155.8</v>
      </c>
      <c r="M9599" s="36">
        <v>4111.2</v>
      </c>
      <c r="T9599" s="41">
        <v>0</v>
      </c>
      <c r="U9599" s="41">
        <v>0</v>
      </c>
      <c r="V9599" s="42" t="s">
        <v>113</v>
      </c>
      <c r="W9599" s="42">
        <v>0</v>
      </c>
      <c r="X9599" s="42">
        <v>29871.8</v>
      </c>
    </row>
    <row r="9600" spans="1:24">
      <c r="A9600" s="27" t="s">
        <v>17552</v>
      </c>
      <c r="B9600" s="28" t="s">
        <v>17544</v>
      </c>
      <c r="C9600" s="27" t="s">
        <v>17545</v>
      </c>
      <c r="D9600" s="27" t="s">
        <v>5104</v>
      </c>
      <c r="E9600" s="29">
        <v>41626</v>
      </c>
      <c r="F9600" s="27">
        <v>8</v>
      </c>
      <c r="G9600" s="18">
        <v>29871.8</v>
      </c>
      <c r="H9600" s="27">
        <f t="shared" si="298"/>
        <v>0</v>
      </c>
      <c r="I9600" s="18">
        <v>16044.6</v>
      </c>
      <c r="J9600" s="27">
        <v>29871.8</v>
      </c>
      <c r="K9600" s="18">
        <f t="shared" si="299"/>
        <v>0</v>
      </c>
      <c r="L9600" s="27">
        <v>20155.8</v>
      </c>
      <c r="M9600" s="36">
        <v>4111.2</v>
      </c>
      <c r="T9600" s="41">
        <v>0</v>
      </c>
      <c r="U9600" s="41">
        <v>0</v>
      </c>
      <c r="V9600" s="42" t="s">
        <v>113</v>
      </c>
      <c r="W9600" s="42">
        <v>0</v>
      </c>
      <c r="X9600" s="42">
        <v>29871.8</v>
      </c>
    </row>
    <row r="9601" spans="1:24">
      <c r="A9601" s="27" t="s">
        <v>17553</v>
      </c>
      <c r="B9601" s="28" t="s">
        <v>17544</v>
      </c>
      <c r="C9601" s="27" t="s">
        <v>17545</v>
      </c>
      <c r="D9601" s="27" t="s">
        <v>5104</v>
      </c>
      <c r="E9601" s="29">
        <v>41626</v>
      </c>
      <c r="F9601" s="27">
        <v>8</v>
      </c>
      <c r="G9601" s="18">
        <v>29871.8</v>
      </c>
      <c r="H9601" s="27">
        <f t="shared" si="298"/>
        <v>0</v>
      </c>
      <c r="I9601" s="18">
        <v>16044.6</v>
      </c>
      <c r="J9601" s="27">
        <v>29871.8</v>
      </c>
      <c r="K9601" s="18">
        <f t="shared" si="299"/>
        <v>0</v>
      </c>
      <c r="L9601" s="27">
        <v>20155.8</v>
      </c>
      <c r="M9601" s="36">
        <v>4111.2</v>
      </c>
      <c r="T9601" s="41">
        <v>0</v>
      </c>
      <c r="U9601" s="41">
        <v>0</v>
      </c>
      <c r="V9601" s="42" t="s">
        <v>113</v>
      </c>
      <c r="W9601" s="42">
        <v>0</v>
      </c>
      <c r="X9601" s="42">
        <v>29871.8</v>
      </c>
    </row>
    <row r="9602" spans="1:24">
      <c r="A9602" s="27" t="s">
        <v>17554</v>
      </c>
      <c r="B9602" s="28" t="s">
        <v>17544</v>
      </c>
      <c r="C9602" s="27" t="s">
        <v>17545</v>
      </c>
      <c r="D9602" s="27" t="s">
        <v>5104</v>
      </c>
      <c r="E9602" s="29">
        <v>41626</v>
      </c>
      <c r="F9602" s="27">
        <v>8</v>
      </c>
      <c r="G9602" s="18">
        <v>29871.78</v>
      </c>
      <c r="H9602" s="27">
        <f t="shared" si="298"/>
        <v>0</v>
      </c>
      <c r="I9602" s="18">
        <v>16044.6</v>
      </c>
      <c r="J9602" s="27">
        <v>29871.78</v>
      </c>
      <c r="K9602" s="18">
        <f t="shared" si="299"/>
        <v>0</v>
      </c>
      <c r="L9602" s="27">
        <v>20155.8</v>
      </c>
      <c r="M9602" s="36">
        <v>4111.2</v>
      </c>
      <c r="T9602" s="41">
        <v>0</v>
      </c>
      <c r="U9602" s="41">
        <v>0</v>
      </c>
      <c r="V9602" s="42" t="s">
        <v>113</v>
      </c>
      <c r="W9602" s="42">
        <v>0</v>
      </c>
      <c r="X9602" s="42">
        <v>29871.78</v>
      </c>
    </row>
    <row r="9603" spans="1:24">
      <c r="A9603" s="27" t="s">
        <v>17555</v>
      </c>
      <c r="B9603" s="28" t="s">
        <v>17556</v>
      </c>
      <c r="C9603" s="27" t="s">
        <v>17557</v>
      </c>
      <c r="D9603" s="27" t="s">
        <v>17558</v>
      </c>
      <c r="E9603" s="29">
        <v>39620</v>
      </c>
      <c r="F9603" s="27">
        <v>7</v>
      </c>
      <c r="G9603" s="18">
        <v>63962.92</v>
      </c>
      <c r="H9603" s="27">
        <f t="shared" si="298"/>
        <v>63962.92</v>
      </c>
      <c r="I9603" s="18">
        <v>60764.77</v>
      </c>
      <c r="J9603" s="27">
        <v>63962.92</v>
      </c>
      <c r="K9603" s="18">
        <f t="shared" si="299"/>
        <v>63962.92</v>
      </c>
      <c r="L9603" s="27">
        <v>60764.77</v>
      </c>
      <c r="M9603" s="36">
        <v>0</v>
      </c>
      <c r="T9603" s="41">
        <v>0</v>
      </c>
      <c r="U9603" s="41">
        <v>0</v>
      </c>
      <c r="V9603" s="42" t="s">
        <v>113</v>
      </c>
      <c r="W9603" s="42">
        <v>63962.92</v>
      </c>
      <c r="X9603" s="42">
        <v>63962.92</v>
      </c>
    </row>
    <row r="9604" spans="1:24">
      <c r="A9604" s="27" t="s">
        <v>17559</v>
      </c>
      <c r="B9604" s="28" t="s">
        <v>17556</v>
      </c>
      <c r="C9604" s="27" t="s">
        <v>17560</v>
      </c>
      <c r="D9604" s="27" t="s">
        <v>17558</v>
      </c>
      <c r="E9604" s="29">
        <v>39620</v>
      </c>
      <c r="F9604" s="27">
        <v>7</v>
      </c>
      <c r="G9604" s="18">
        <v>13211.74</v>
      </c>
      <c r="H9604" s="27">
        <f t="shared" si="298"/>
        <v>13211.74</v>
      </c>
      <c r="I9604" s="18">
        <v>12551.15</v>
      </c>
      <c r="J9604" s="27">
        <v>13211.74</v>
      </c>
      <c r="K9604" s="18">
        <f t="shared" si="299"/>
        <v>13211.74</v>
      </c>
      <c r="L9604" s="27">
        <v>12551.15</v>
      </c>
      <c r="M9604" s="36">
        <v>0</v>
      </c>
      <c r="T9604" s="41">
        <v>0</v>
      </c>
      <c r="U9604" s="41">
        <v>0</v>
      </c>
      <c r="V9604" s="42" t="s">
        <v>113</v>
      </c>
      <c r="W9604" s="42">
        <v>13211.74</v>
      </c>
      <c r="X9604" s="42">
        <v>13211.74</v>
      </c>
    </row>
    <row r="9605" spans="1:24">
      <c r="A9605" s="27" t="s">
        <v>17561</v>
      </c>
      <c r="B9605" s="28" t="s">
        <v>17556</v>
      </c>
      <c r="C9605" s="27" t="s">
        <v>17562</v>
      </c>
      <c r="D9605" s="27" t="s">
        <v>17558</v>
      </c>
      <c r="E9605" s="29">
        <v>39620</v>
      </c>
      <c r="F9605" s="27">
        <v>7</v>
      </c>
      <c r="G9605" s="18">
        <v>24981.18</v>
      </c>
      <c r="H9605" s="27">
        <f t="shared" si="298"/>
        <v>24981.18</v>
      </c>
      <c r="I9605" s="18">
        <v>23732.12</v>
      </c>
      <c r="J9605" s="27">
        <v>24981.18</v>
      </c>
      <c r="K9605" s="18">
        <f t="shared" si="299"/>
        <v>24981.18</v>
      </c>
      <c r="L9605" s="27">
        <v>23732.12</v>
      </c>
      <c r="M9605" s="36">
        <v>0</v>
      </c>
      <c r="T9605" s="41">
        <v>0</v>
      </c>
      <c r="U9605" s="41">
        <v>0</v>
      </c>
      <c r="V9605" s="42" t="s">
        <v>113</v>
      </c>
      <c r="W9605" s="42">
        <v>24981.18</v>
      </c>
      <c r="X9605" s="42">
        <v>24981.18</v>
      </c>
    </row>
    <row r="9606" spans="1:24">
      <c r="A9606" s="27" t="s">
        <v>17563</v>
      </c>
      <c r="B9606" s="28" t="s">
        <v>17556</v>
      </c>
      <c r="C9606" s="27" t="s">
        <v>17564</v>
      </c>
      <c r="D9606" s="27" t="s">
        <v>17558</v>
      </c>
      <c r="E9606" s="29">
        <v>39620</v>
      </c>
      <c r="F9606" s="27">
        <v>7</v>
      </c>
      <c r="G9606" s="18">
        <v>99088.05</v>
      </c>
      <c r="H9606" s="27">
        <f t="shared" ref="H9606:H9669" si="300">IFERROR(IF(ROUND((G9606-I9606)/G9606,2)&lt;=0.05,G9606,0),0)</f>
        <v>99088.05</v>
      </c>
      <c r="I9606" s="18">
        <v>94133.65</v>
      </c>
      <c r="J9606" s="27">
        <v>99088.05</v>
      </c>
      <c r="K9606" s="18">
        <f t="shared" ref="K9606:K9669" si="301">IFERROR(IF(ROUND((J9606-L9606)/J9606,2)&lt;=0.05,J9606,0),0)</f>
        <v>99088.05</v>
      </c>
      <c r="L9606" s="27">
        <v>94133.65</v>
      </c>
      <c r="M9606" s="36">
        <v>0</v>
      </c>
      <c r="T9606" s="41">
        <v>0</v>
      </c>
      <c r="U9606" s="41">
        <v>0</v>
      </c>
      <c r="V9606" s="42" t="s">
        <v>113</v>
      </c>
      <c r="W9606" s="42">
        <v>99088.05</v>
      </c>
      <c r="X9606" s="42">
        <v>99088.05</v>
      </c>
    </row>
    <row r="9607" spans="1:24">
      <c r="A9607" s="27" t="s">
        <v>17565</v>
      </c>
      <c r="B9607" s="28" t="s">
        <v>17556</v>
      </c>
      <c r="C9607" s="27" t="s">
        <v>17566</v>
      </c>
      <c r="D9607" s="27" t="s">
        <v>17558</v>
      </c>
      <c r="E9607" s="29">
        <v>39620</v>
      </c>
      <c r="F9607" s="27">
        <v>7</v>
      </c>
      <c r="G9607" s="18">
        <v>205597.12</v>
      </c>
      <c r="H9607" s="27">
        <f t="shared" si="300"/>
        <v>205597.12</v>
      </c>
      <c r="I9607" s="18">
        <v>195317.26</v>
      </c>
      <c r="J9607" s="27">
        <v>205597.12</v>
      </c>
      <c r="K9607" s="18">
        <f t="shared" si="301"/>
        <v>205597.12</v>
      </c>
      <c r="L9607" s="27">
        <v>195317.26</v>
      </c>
      <c r="M9607" s="36">
        <v>0</v>
      </c>
      <c r="T9607" s="41">
        <v>0</v>
      </c>
      <c r="U9607" s="41">
        <v>0</v>
      </c>
      <c r="V9607" s="42" t="s">
        <v>113</v>
      </c>
      <c r="W9607" s="42">
        <v>205597.12</v>
      </c>
      <c r="X9607" s="42">
        <v>205597.12</v>
      </c>
    </row>
    <row r="9608" spans="1:24">
      <c r="A9608" s="27" t="s">
        <v>17567</v>
      </c>
      <c r="B9608" s="28" t="s">
        <v>17556</v>
      </c>
      <c r="C9608" s="27" t="s">
        <v>17568</v>
      </c>
      <c r="D9608" s="27" t="s">
        <v>17558</v>
      </c>
      <c r="E9608" s="29">
        <v>39854</v>
      </c>
      <c r="F9608" s="27">
        <v>7</v>
      </c>
      <c r="G9608" s="18">
        <v>127051.51</v>
      </c>
      <c r="H9608" s="27">
        <f t="shared" si="300"/>
        <v>127051.51</v>
      </c>
      <c r="I9608" s="18">
        <v>120698.93</v>
      </c>
      <c r="J9608" s="27">
        <v>127051.51</v>
      </c>
      <c r="K9608" s="18">
        <f t="shared" si="301"/>
        <v>127051.51</v>
      </c>
      <c r="L9608" s="27">
        <v>120698.93</v>
      </c>
      <c r="M9608" s="36">
        <v>0</v>
      </c>
      <c r="T9608" s="41">
        <v>0</v>
      </c>
      <c r="U9608" s="41">
        <v>0</v>
      </c>
      <c r="V9608" s="42" t="s">
        <v>113</v>
      </c>
      <c r="W9608" s="42">
        <v>127051.51</v>
      </c>
      <c r="X9608" s="42">
        <v>127051.51</v>
      </c>
    </row>
    <row r="9609" spans="1:24">
      <c r="A9609" s="27" t="s">
        <v>17569</v>
      </c>
      <c r="B9609" s="28" t="s">
        <v>17556</v>
      </c>
      <c r="C9609" s="27" t="s">
        <v>17568</v>
      </c>
      <c r="D9609" s="27" t="s">
        <v>17558</v>
      </c>
      <c r="E9609" s="29">
        <v>39854</v>
      </c>
      <c r="F9609" s="27">
        <v>7</v>
      </c>
      <c r="G9609" s="18">
        <v>52109.15</v>
      </c>
      <c r="H9609" s="27">
        <f t="shared" si="300"/>
        <v>52109.15</v>
      </c>
      <c r="I9609" s="18">
        <v>49503.69</v>
      </c>
      <c r="J9609" s="27">
        <v>52109.15</v>
      </c>
      <c r="K9609" s="18">
        <f t="shared" si="301"/>
        <v>52109.15</v>
      </c>
      <c r="L9609" s="27">
        <v>49503.69</v>
      </c>
      <c r="M9609" s="36">
        <v>0</v>
      </c>
      <c r="T9609" s="41">
        <v>0</v>
      </c>
      <c r="U9609" s="41">
        <v>0</v>
      </c>
      <c r="V9609" s="42" t="s">
        <v>113</v>
      </c>
      <c r="W9609" s="42">
        <v>52109.15</v>
      </c>
      <c r="X9609" s="42">
        <v>52109.15</v>
      </c>
    </row>
    <row r="9610" spans="1:24">
      <c r="A9610" s="27" t="s">
        <v>17570</v>
      </c>
      <c r="B9610" s="28" t="s">
        <v>17556</v>
      </c>
      <c r="C9610" s="27" t="s">
        <v>17571</v>
      </c>
      <c r="D9610" s="27" t="s">
        <v>17558</v>
      </c>
      <c r="E9610" s="29">
        <v>37591</v>
      </c>
      <c r="F9610" s="27">
        <v>7</v>
      </c>
      <c r="G9610" s="18">
        <v>25856</v>
      </c>
      <c r="H9610" s="27">
        <f t="shared" si="300"/>
        <v>25856</v>
      </c>
      <c r="I9610" s="18">
        <v>24563.200000000001</v>
      </c>
      <c r="J9610" s="27">
        <v>25856</v>
      </c>
      <c r="K9610" s="18">
        <f t="shared" si="301"/>
        <v>25856</v>
      </c>
      <c r="L9610" s="27">
        <v>24563.200000000001</v>
      </c>
      <c r="M9610" s="36">
        <v>0</v>
      </c>
      <c r="T9610" s="41">
        <v>0</v>
      </c>
      <c r="U9610" s="41">
        <v>0</v>
      </c>
      <c r="V9610" s="42" t="s">
        <v>113</v>
      </c>
      <c r="W9610" s="42">
        <v>25856</v>
      </c>
      <c r="X9610" s="42">
        <v>25856</v>
      </c>
    </row>
    <row r="9611" spans="1:24">
      <c r="A9611" s="27" t="s">
        <v>17572</v>
      </c>
      <c r="B9611" s="28" t="s">
        <v>17556</v>
      </c>
      <c r="C9611" s="27" t="s">
        <v>17573</v>
      </c>
      <c r="D9611" s="27" t="s">
        <v>17558</v>
      </c>
      <c r="E9611" s="29">
        <v>38626</v>
      </c>
      <c r="F9611" s="27">
        <v>7</v>
      </c>
      <c r="G9611" s="18">
        <v>74389.03</v>
      </c>
      <c r="H9611" s="27">
        <f t="shared" si="300"/>
        <v>74389.03</v>
      </c>
      <c r="I9611" s="18">
        <v>71763.27</v>
      </c>
      <c r="J9611" s="27">
        <v>74389.03</v>
      </c>
      <c r="K9611" s="18">
        <f t="shared" si="301"/>
        <v>74389.03</v>
      </c>
      <c r="L9611" s="27">
        <v>70669.58</v>
      </c>
      <c r="M9611" s="36">
        <v>-1093.69</v>
      </c>
      <c r="T9611" s="41">
        <v>0</v>
      </c>
      <c r="U9611" s="41">
        <v>0</v>
      </c>
      <c r="V9611" s="42" t="s">
        <v>113</v>
      </c>
      <c r="W9611" s="42">
        <v>74389.03</v>
      </c>
      <c r="X9611" s="42">
        <v>74389.03</v>
      </c>
    </row>
    <row r="9612" spans="1:24">
      <c r="A9612" s="27" t="s">
        <v>17574</v>
      </c>
      <c r="B9612" s="28" t="s">
        <v>17556</v>
      </c>
      <c r="C9612" s="27" t="s">
        <v>17575</v>
      </c>
      <c r="D9612" s="27" t="s">
        <v>220</v>
      </c>
      <c r="E9612" s="29">
        <v>39692</v>
      </c>
      <c r="F9612" s="27">
        <v>7</v>
      </c>
      <c r="G9612" s="18">
        <v>19667.439999999999</v>
      </c>
      <c r="H9612" s="27">
        <f t="shared" si="300"/>
        <v>19667.439999999999</v>
      </c>
      <c r="I9612" s="18">
        <v>18684.07</v>
      </c>
      <c r="J9612" s="27">
        <v>19667.439999999999</v>
      </c>
      <c r="K9612" s="18">
        <f t="shared" si="301"/>
        <v>19667.439999999999</v>
      </c>
      <c r="L9612" s="27">
        <v>18684.07</v>
      </c>
      <c r="M9612" s="36">
        <v>0</v>
      </c>
      <c r="T9612" s="41">
        <v>0</v>
      </c>
      <c r="U9612" s="41">
        <v>0</v>
      </c>
      <c r="V9612" s="42" t="s">
        <v>113</v>
      </c>
      <c r="W9612" s="42">
        <v>19667.439999999999</v>
      </c>
      <c r="X9612" s="42">
        <v>19667.439999999999</v>
      </c>
    </row>
    <row r="9613" spans="1:24">
      <c r="A9613" s="27" t="s">
        <v>17576</v>
      </c>
      <c r="B9613" s="28" t="s">
        <v>17556</v>
      </c>
      <c r="C9613" s="27" t="s">
        <v>17577</v>
      </c>
      <c r="D9613" s="27" t="s">
        <v>17578</v>
      </c>
      <c r="E9613" s="29">
        <v>39692</v>
      </c>
      <c r="F9613" s="27">
        <v>7</v>
      </c>
      <c r="G9613" s="18">
        <v>74998.52</v>
      </c>
      <c r="H9613" s="27">
        <f t="shared" si="300"/>
        <v>74998.52</v>
      </c>
      <c r="I9613" s="18">
        <v>71248.59</v>
      </c>
      <c r="J9613" s="27">
        <v>74998.52</v>
      </c>
      <c r="K9613" s="18">
        <f t="shared" si="301"/>
        <v>74998.52</v>
      </c>
      <c r="L9613" s="27">
        <v>71248.59</v>
      </c>
      <c r="M9613" s="36">
        <v>0</v>
      </c>
      <c r="T9613" s="41">
        <v>0</v>
      </c>
      <c r="U9613" s="41">
        <v>0</v>
      </c>
      <c r="V9613" s="42" t="s">
        <v>113</v>
      </c>
      <c r="W9613" s="42">
        <v>74998.52</v>
      </c>
      <c r="X9613" s="42">
        <v>74998.52</v>
      </c>
    </row>
    <row r="9614" spans="1:24">
      <c r="A9614" s="27" t="s">
        <v>17579</v>
      </c>
      <c r="B9614" s="28" t="s">
        <v>17556</v>
      </c>
      <c r="C9614" s="27" t="s">
        <v>17580</v>
      </c>
      <c r="D9614" s="27" t="s">
        <v>17578</v>
      </c>
      <c r="E9614" s="29">
        <v>39692</v>
      </c>
      <c r="F9614" s="27">
        <v>7</v>
      </c>
      <c r="G9614" s="18">
        <v>12783.85</v>
      </c>
      <c r="H9614" s="27">
        <f t="shared" si="300"/>
        <v>12783.85</v>
      </c>
      <c r="I9614" s="18">
        <v>12144.66</v>
      </c>
      <c r="J9614" s="27">
        <v>12783.85</v>
      </c>
      <c r="K9614" s="18">
        <f t="shared" si="301"/>
        <v>12783.85</v>
      </c>
      <c r="L9614" s="27">
        <v>12144.66</v>
      </c>
      <c r="M9614" s="36">
        <v>0</v>
      </c>
      <c r="T9614" s="41">
        <v>0</v>
      </c>
      <c r="U9614" s="41">
        <v>0</v>
      </c>
      <c r="V9614" s="42" t="s">
        <v>113</v>
      </c>
      <c r="W9614" s="42">
        <v>12783.85</v>
      </c>
      <c r="X9614" s="42">
        <v>12783.85</v>
      </c>
    </row>
    <row r="9615" spans="1:24">
      <c r="A9615" s="27" t="s">
        <v>17581</v>
      </c>
      <c r="B9615" s="28" t="s">
        <v>17556</v>
      </c>
      <c r="C9615" s="27" t="s">
        <v>17582</v>
      </c>
      <c r="D9615" s="27" t="s">
        <v>17578</v>
      </c>
      <c r="E9615" s="29">
        <v>39692</v>
      </c>
      <c r="F9615" s="27">
        <v>7</v>
      </c>
      <c r="G9615" s="18">
        <v>10227.07</v>
      </c>
      <c r="H9615" s="27">
        <f t="shared" si="300"/>
        <v>10227.07</v>
      </c>
      <c r="I9615" s="18">
        <v>9715.7199999999993</v>
      </c>
      <c r="J9615" s="27">
        <v>10227.07</v>
      </c>
      <c r="K9615" s="18">
        <f t="shared" si="301"/>
        <v>10227.07</v>
      </c>
      <c r="L9615" s="27">
        <v>9715.7199999999993</v>
      </c>
      <c r="M9615" s="36">
        <v>0</v>
      </c>
      <c r="T9615" s="41">
        <v>0</v>
      </c>
      <c r="U9615" s="41">
        <v>0</v>
      </c>
      <c r="V9615" s="42" t="s">
        <v>113</v>
      </c>
      <c r="W9615" s="42">
        <v>10227.07</v>
      </c>
      <c r="X9615" s="42">
        <v>10227.07</v>
      </c>
    </row>
    <row r="9616" spans="1:24">
      <c r="A9616" s="27" t="s">
        <v>17583</v>
      </c>
      <c r="B9616" s="28" t="s">
        <v>17556</v>
      </c>
      <c r="C9616" s="27" t="s">
        <v>17584</v>
      </c>
      <c r="D9616" s="27" t="s">
        <v>17578</v>
      </c>
      <c r="E9616" s="29">
        <v>39692</v>
      </c>
      <c r="F9616" s="27">
        <v>7</v>
      </c>
      <c r="G9616" s="18">
        <v>6587.97</v>
      </c>
      <c r="H9616" s="27">
        <f t="shared" si="300"/>
        <v>6587.97</v>
      </c>
      <c r="I9616" s="18">
        <v>6258.57</v>
      </c>
      <c r="J9616" s="27">
        <v>6587.97</v>
      </c>
      <c r="K9616" s="18">
        <f t="shared" si="301"/>
        <v>6587.97</v>
      </c>
      <c r="L9616" s="27">
        <v>6258.57</v>
      </c>
      <c r="M9616" s="36">
        <v>0</v>
      </c>
      <c r="T9616" s="41">
        <v>0</v>
      </c>
      <c r="U9616" s="41">
        <v>0</v>
      </c>
      <c r="V9616" s="42" t="s">
        <v>113</v>
      </c>
      <c r="W9616" s="42">
        <v>6587.97</v>
      </c>
      <c r="X9616" s="42">
        <v>6587.97</v>
      </c>
    </row>
    <row r="9617" spans="1:24">
      <c r="A9617" s="27" t="s">
        <v>17585</v>
      </c>
      <c r="B9617" s="28" t="s">
        <v>17556</v>
      </c>
      <c r="C9617" s="27" t="s">
        <v>17586</v>
      </c>
      <c r="D9617" s="27" t="s">
        <v>17578</v>
      </c>
      <c r="E9617" s="29">
        <v>39387</v>
      </c>
      <c r="F9617" s="27">
        <v>7</v>
      </c>
      <c r="G9617" s="18">
        <v>8882.1</v>
      </c>
      <c r="H9617" s="27">
        <f t="shared" si="300"/>
        <v>8882.1</v>
      </c>
      <c r="I9617" s="18">
        <v>8443.02</v>
      </c>
      <c r="J9617" s="27">
        <v>8882.1</v>
      </c>
      <c r="K9617" s="18">
        <f t="shared" si="301"/>
        <v>8882.1</v>
      </c>
      <c r="L9617" s="27">
        <v>8437.99</v>
      </c>
      <c r="M9617" s="36">
        <v>-5.03</v>
      </c>
      <c r="T9617" s="41">
        <v>0</v>
      </c>
      <c r="U9617" s="41">
        <v>0</v>
      </c>
      <c r="V9617" s="42" t="s">
        <v>113</v>
      </c>
      <c r="W9617" s="42">
        <v>8882.1</v>
      </c>
      <c r="X9617" s="42">
        <v>8882.1</v>
      </c>
    </row>
    <row r="9618" spans="1:24">
      <c r="A9618" s="27" t="s">
        <v>17587</v>
      </c>
      <c r="B9618" s="28" t="s">
        <v>17556</v>
      </c>
      <c r="C9618" s="27" t="s">
        <v>17588</v>
      </c>
      <c r="D9618" s="27" t="s">
        <v>17558</v>
      </c>
      <c r="E9618" s="29">
        <v>40178</v>
      </c>
      <c r="F9618" s="27">
        <v>7</v>
      </c>
      <c r="G9618" s="18">
        <v>35344.300000000003</v>
      </c>
      <c r="H9618" s="27">
        <f t="shared" si="300"/>
        <v>35344.300000000003</v>
      </c>
      <c r="I9618" s="18">
        <v>33577.08</v>
      </c>
      <c r="J9618" s="27">
        <v>35344.300000000003</v>
      </c>
      <c r="K9618" s="18">
        <f t="shared" si="301"/>
        <v>35344.300000000003</v>
      </c>
      <c r="L9618" s="27">
        <v>33577.08</v>
      </c>
      <c r="M9618" s="36">
        <v>0</v>
      </c>
      <c r="T9618" s="41">
        <v>0</v>
      </c>
      <c r="U9618" s="41">
        <v>0</v>
      </c>
      <c r="V9618" s="42" t="s">
        <v>113</v>
      </c>
      <c r="W9618" s="42">
        <v>35344.300000000003</v>
      </c>
      <c r="X9618" s="42">
        <v>35344.300000000003</v>
      </c>
    </row>
    <row r="9619" spans="1:24">
      <c r="A9619" s="27" t="s">
        <v>17589</v>
      </c>
      <c r="B9619" s="28" t="s">
        <v>17556</v>
      </c>
      <c r="C9619" s="27" t="s">
        <v>17590</v>
      </c>
      <c r="D9619" s="27" t="s">
        <v>17558</v>
      </c>
      <c r="E9619" s="29">
        <v>40178</v>
      </c>
      <c r="F9619" s="27">
        <v>7</v>
      </c>
      <c r="G9619" s="18">
        <v>58044.71</v>
      </c>
      <c r="H9619" s="27">
        <f t="shared" si="300"/>
        <v>58044.71</v>
      </c>
      <c r="I9619" s="18">
        <v>55142.47</v>
      </c>
      <c r="J9619" s="27">
        <v>58044.71</v>
      </c>
      <c r="K9619" s="18">
        <f t="shared" si="301"/>
        <v>58044.71</v>
      </c>
      <c r="L9619" s="27">
        <v>55142.47</v>
      </c>
      <c r="M9619" s="36">
        <v>0</v>
      </c>
      <c r="T9619" s="41">
        <v>0</v>
      </c>
      <c r="U9619" s="41">
        <v>0</v>
      </c>
      <c r="V9619" s="42" t="s">
        <v>113</v>
      </c>
      <c r="W9619" s="42">
        <v>58044.71</v>
      </c>
      <c r="X9619" s="42">
        <v>58044.71</v>
      </c>
    </row>
    <row r="9620" spans="1:24">
      <c r="A9620" s="27" t="s">
        <v>17591</v>
      </c>
      <c r="B9620" s="28" t="s">
        <v>17556</v>
      </c>
      <c r="C9620" s="27" t="s">
        <v>17592</v>
      </c>
      <c r="D9620" s="27" t="s">
        <v>17558</v>
      </c>
      <c r="E9620" s="29">
        <v>40511</v>
      </c>
      <c r="F9620" s="27">
        <v>7</v>
      </c>
      <c r="G9620" s="18">
        <v>323076.92</v>
      </c>
      <c r="H9620" s="27">
        <f t="shared" si="300"/>
        <v>323076.92</v>
      </c>
      <c r="I9620" s="18">
        <v>306923.07</v>
      </c>
      <c r="J9620" s="27">
        <v>323076.92</v>
      </c>
      <c r="K9620" s="18">
        <f t="shared" si="301"/>
        <v>323076.92</v>
      </c>
      <c r="L9620" s="27">
        <v>306923.07</v>
      </c>
      <c r="M9620" s="36">
        <v>0</v>
      </c>
      <c r="T9620" s="41">
        <v>0</v>
      </c>
      <c r="U9620" s="41">
        <v>0</v>
      </c>
      <c r="V9620" s="42" t="s">
        <v>113</v>
      </c>
      <c r="W9620" s="42">
        <v>323076.92</v>
      </c>
      <c r="X9620" s="42">
        <v>323076.92</v>
      </c>
    </row>
    <row r="9621" spans="1:24">
      <c r="A9621" s="27" t="s">
        <v>17593</v>
      </c>
      <c r="B9621" s="28" t="s">
        <v>17556</v>
      </c>
      <c r="C9621" s="27" t="s">
        <v>17594</v>
      </c>
      <c r="D9621" s="27" t="s">
        <v>17558</v>
      </c>
      <c r="E9621" s="29">
        <v>39783</v>
      </c>
      <c r="F9621" s="27">
        <v>7</v>
      </c>
      <c r="G9621" s="18">
        <v>5167</v>
      </c>
      <c r="H9621" s="27">
        <f t="shared" si="300"/>
        <v>5167</v>
      </c>
      <c r="I9621" s="18">
        <v>4908.6499999999996</v>
      </c>
      <c r="J9621" s="27">
        <v>5167</v>
      </c>
      <c r="K9621" s="18">
        <f t="shared" si="301"/>
        <v>5167</v>
      </c>
      <c r="L9621" s="27">
        <v>4908.6499999999996</v>
      </c>
      <c r="M9621" s="36">
        <v>0</v>
      </c>
      <c r="T9621" s="41">
        <v>0</v>
      </c>
      <c r="U9621" s="41">
        <v>0</v>
      </c>
      <c r="V9621" s="42" t="s">
        <v>113</v>
      </c>
      <c r="W9621" s="42">
        <v>5167</v>
      </c>
      <c r="X9621" s="42">
        <v>5167</v>
      </c>
    </row>
    <row r="9622" spans="1:24">
      <c r="A9622" s="27" t="s">
        <v>17595</v>
      </c>
      <c r="B9622" s="28" t="s">
        <v>17556</v>
      </c>
      <c r="C9622" s="27" t="s">
        <v>17596</v>
      </c>
      <c r="D9622" s="27" t="s">
        <v>17558</v>
      </c>
      <c r="E9622" s="29">
        <v>39783</v>
      </c>
      <c r="F9622" s="27">
        <v>7</v>
      </c>
      <c r="G9622" s="18">
        <v>5167</v>
      </c>
      <c r="H9622" s="27">
        <f t="shared" si="300"/>
        <v>5167</v>
      </c>
      <c r="I9622" s="18">
        <v>4908.6499999999996</v>
      </c>
      <c r="J9622" s="27">
        <v>5167</v>
      </c>
      <c r="K9622" s="18">
        <f t="shared" si="301"/>
        <v>5167</v>
      </c>
      <c r="L9622" s="27">
        <v>4908.6499999999996</v>
      </c>
      <c r="M9622" s="36">
        <v>0</v>
      </c>
      <c r="T9622" s="41">
        <v>0</v>
      </c>
      <c r="U9622" s="41">
        <v>0</v>
      </c>
      <c r="V9622" s="42" t="s">
        <v>113</v>
      </c>
      <c r="W9622" s="42">
        <v>5167</v>
      </c>
      <c r="X9622" s="42">
        <v>5167</v>
      </c>
    </row>
    <row r="9623" spans="1:24">
      <c r="A9623" s="27" t="s">
        <v>17597</v>
      </c>
      <c r="B9623" s="28" t="s">
        <v>17556</v>
      </c>
      <c r="C9623" s="27" t="s">
        <v>17598</v>
      </c>
      <c r="D9623" s="27" t="s">
        <v>17558</v>
      </c>
      <c r="E9623" s="29">
        <v>39783</v>
      </c>
      <c r="F9623" s="27">
        <v>7</v>
      </c>
      <c r="G9623" s="18">
        <v>5167</v>
      </c>
      <c r="H9623" s="27">
        <f t="shared" si="300"/>
        <v>5167</v>
      </c>
      <c r="I9623" s="18">
        <v>4908.6499999999996</v>
      </c>
      <c r="J9623" s="27">
        <v>5167</v>
      </c>
      <c r="K9623" s="18">
        <f t="shared" si="301"/>
        <v>5167</v>
      </c>
      <c r="L9623" s="27">
        <v>4908.6499999999996</v>
      </c>
      <c r="M9623" s="36">
        <v>0</v>
      </c>
      <c r="T9623" s="41">
        <v>0</v>
      </c>
      <c r="U9623" s="41">
        <v>0</v>
      </c>
      <c r="V9623" s="42" t="s">
        <v>113</v>
      </c>
      <c r="W9623" s="42">
        <v>5167</v>
      </c>
      <c r="X9623" s="42">
        <v>5167</v>
      </c>
    </row>
    <row r="9624" spans="1:24">
      <c r="A9624" s="27" t="s">
        <v>17599</v>
      </c>
      <c r="B9624" s="28" t="s">
        <v>17556</v>
      </c>
      <c r="C9624" s="27" t="s">
        <v>17600</v>
      </c>
      <c r="D9624" s="27" t="s">
        <v>17558</v>
      </c>
      <c r="E9624" s="29">
        <v>39783</v>
      </c>
      <c r="F9624" s="27">
        <v>7</v>
      </c>
      <c r="G9624" s="18">
        <v>5167</v>
      </c>
      <c r="H9624" s="27">
        <f t="shared" si="300"/>
        <v>5167</v>
      </c>
      <c r="I9624" s="18">
        <v>4908.6499999999996</v>
      </c>
      <c r="J9624" s="27">
        <v>5167</v>
      </c>
      <c r="K9624" s="18">
        <f t="shared" si="301"/>
        <v>5167</v>
      </c>
      <c r="L9624" s="27">
        <v>4908.6499999999996</v>
      </c>
      <c r="M9624" s="36">
        <v>0</v>
      </c>
      <c r="T9624" s="41">
        <v>0</v>
      </c>
      <c r="U9624" s="41">
        <v>0</v>
      </c>
      <c r="V9624" s="42" t="s">
        <v>113</v>
      </c>
      <c r="W9624" s="42">
        <v>5167</v>
      </c>
      <c r="X9624" s="42">
        <v>5167</v>
      </c>
    </row>
    <row r="9625" spans="1:24">
      <c r="A9625" s="27" t="s">
        <v>17601</v>
      </c>
      <c r="B9625" s="28" t="s">
        <v>17556</v>
      </c>
      <c r="C9625" s="27" t="s">
        <v>17602</v>
      </c>
      <c r="D9625" s="27" t="s">
        <v>17558</v>
      </c>
      <c r="E9625" s="29">
        <v>39783</v>
      </c>
      <c r="F9625" s="27">
        <v>7</v>
      </c>
      <c r="G9625" s="18">
        <v>5167</v>
      </c>
      <c r="H9625" s="27">
        <f t="shared" si="300"/>
        <v>5167</v>
      </c>
      <c r="I9625" s="18">
        <v>4908.6499999999996</v>
      </c>
      <c r="J9625" s="27">
        <v>5167</v>
      </c>
      <c r="K9625" s="18">
        <f t="shared" si="301"/>
        <v>5167</v>
      </c>
      <c r="L9625" s="27">
        <v>4908.6499999999996</v>
      </c>
      <c r="M9625" s="36">
        <v>0</v>
      </c>
      <c r="T9625" s="41">
        <v>0</v>
      </c>
      <c r="U9625" s="41">
        <v>0</v>
      </c>
      <c r="V9625" s="42" t="s">
        <v>113</v>
      </c>
      <c r="W9625" s="42">
        <v>5167</v>
      </c>
      <c r="X9625" s="42">
        <v>5167</v>
      </c>
    </row>
    <row r="9626" spans="1:24">
      <c r="A9626" s="27" t="s">
        <v>17603</v>
      </c>
      <c r="B9626" s="28" t="s">
        <v>17556</v>
      </c>
      <c r="C9626" s="27" t="s">
        <v>17604</v>
      </c>
      <c r="D9626" s="27" t="s">
        <v>17558</v>
      </c>
      <c r="E9626" s="29">
        <v>39783</v>
      </c>
      <c r="F9626" s="27">
        <v>7</v>
      </c>
      <c r="G9626" s="18">
        <v>5167</v>
      </c>
      <c r="H9626" s="27">
        <f t="shared" si="300"/>
        <v>5167</v>
      </c>
      <c r="I9626" s="18">
        <v>4908.6499999999996</v>
      </c>
      <c r="J9626" s="27">
        <v>5167</v>
      </c>
      <c r="K9626" s="18">
        <f t="shared" si="301"/>
        <v>5167</v>
      </c>
      <c r="L9626" s="27">
        <v>4908.6499999999996</v>
      </c>
      <c r="M9626" s="36">
        <v>0</v>
      </c>
      <c r="T9626" s="41">
        <v>0</v>
      </c>
      <c r="U9626" s="41">
        <v>0</v>
      </c>
      <c r="V9626" s="42" t="s">
        <v>113</v>
      </c>
      <c r="W9626" s="42">
        <v>5167</v>
      </c>
      <c r="X9626" s="42">
        <v>5167</v>
      </c>
    </row>
    <row r="9627" spans="1:24">
      <c r="A9627" s="27" t="s">
        <v>17605</v>
      </c>
      <c r="B9627" s="28" t="s">
        <v>17556</v>
      </c>
      <c r="C9627" s="27" t="s">
        <v>17606</v>
      </c>
      <c r="D9627" s="27" t="s">
        <v>17558</v>
      </c>
      <c r="E9627" s="29">
        <v>39783</v>
      </c>
      <c r="F9627" s="27">
        <v>7</v>
      </c>
      <c r="G9627" s="18">
        <v>5167</v>
      </c>
      <c r="H9627" s="27">
        <f t="shared" si="300"/>
        <v>5167</v>
      </c>
      <c r="I9627" s="18">
        <v>4908.6499999999996</v>
      </c>
      <c r="J9627" s="27">
        <v>5167</v>
      </c>
      <c r="K9627" s="18">
        <f t="shared" si="301"/>
        <v>5167</v>
      </c>
      <c r="L9627" s="27">
        <v>4908.6499999999996</v>
      </c>
      <c r="M9627" s="36">
        <v>0</v>
      </c>
      <c r="T9627" s="41">
        <v>0</v>
      </c>
      <c r="U9627" s="41">
        <v>0</v>
      </c>
      <c r="V9627" s="42" t="s">
        <v>113</v>
      </c>
      <c r="W9627" s="42">
        <v>5167</v>
      </c>
      <c r="X9627" s="42">
        <v>5167</v>
      </c>
    </row>
    <row r="9628" spans="1:24">
      <c r="A9628" s="27" t="s">
        <v>17607</v>
      </c>
      <c r="B9628" s="28" t="s">
        <v>17556</v>
      </c>
      <c r="C9628" s="27" t="s">
        <v>17608</v>
      </c>
      <c r="D9628" s="27" t="s">
        <v>17558</v>
      </c>
      <c r="E9628" s="29">
        <v>39783</v>
      </c>
      <c r="F9628" s="27">
        <v>7</v>
      </c>
      <c r="G9628" s="18">
        <v>5167</v>
      </c>
      <c r="H9628" s="27">
        <f t="shared" si="300"/>
        <v>5167</v>
      </c>
      <c r="I9628" s="18">
        <v>4908.6499999999996</v>
      </c>
      <c r="J9628" s="27">
        <v>5167</v>
      </c>
      <c r="K9628" s="18">
        <f t="shared" si="301"/>
        <v>5167</v>
      </c>
      <c r="L9628" s="27">
        <v>4908.6499999999996</v>
      </c>
      <c r="M9628" s="36">
        <v>0</v>
      </c>
      <c r="T9628" s="41">
        <v>0</v>
      </c>
      <c r="U9628" s="41">
        <v>0</v>
      </c>
      <c r="V9628" s="42" t="s">
        <v>113</v>
      </c>
      <c r="W9628" s="42">
        <v>5167</v>
      </c>
      <c r="X9628" s="42">
        <v>5167</v>
      </c>
    </row>
    <row r="9629" spans="1:24">
      <c r="A9629" s="27" t="s">
        <v>17609</v>
      </c>
      <c r="B9629" s="28" t="s">
        <v>17556</v>
      </c>
      <c r="C9629" s="27" t="s">
        <v>17610</v>
      </c>
      <c r="D9629" s="27" t="s">
        <v>17558</v>
      </c>
      <c r="E9629" s="29">
        <v>39783</v>
      </c>
      <c r="F9629" s="27">
        <v>7</v>
      </c>
      <c r="G9629" s="18">
        <v>5167</v>
      </c>
      <c r="H9629" s="27">
        <f t="shared" si="300"/>
        <v>5167</v>
      </c>
      <c r="I9629" s="18">
        <v>4908.6499999999996</v>
      </c>
      <c r="J9629" s="27">
        <v>5167</v>
      </c>
      <c r="K9629" s="18">
        <f t="shared" si="301"/>
        <v>5167</v>
      </c>
      <c r="L9629" s="27">
        <v>4908.6499999999996</v>
      </c>
      <c r="M9629" s="36">
        <v>0</v>
      </c>
      <c r="T9629" s="41">
        <v>0</v>
      </c>
      <c r="U9629" s="41">
        <v>0</v>
      </c>
      <c r="V9629" s="42" t="s">
        <v>113</v>
      </c>
      <c r="W9629" s="42">
        <v>5167</v>
      </c>
      <c r="X9629" s="42">
        <v>5167</v>
      </c>
    </row>
    <row r="9630" spans="1:24">
      <c r="A9630" s="27" t="s">
        <v>17611</v>
      </c>
      <c r="B9630" s="28" t="s">
        <v>17556</v>
      </c>
      <c r="C9630" s="27" t="s">
        <v>17612</v>
      </c>
      <c r="D9630" s="27" t="s">
        <v>17558</v>
      </c>
      <c r="E9630" s="29">
        <v>39783</v>
      </c>
      <c r="F9630" s="27">
        <v>7</v>
      </c>
      <c r="G9630" s="18">
        <v>5167</v>
      </c>
      <c r="H9630" s="27">
        <f t="shared" si="300"/>
        <v>5167</v>
      </c>
      <c r="I9630" s="18">
        <v>4908.6499999999996</v>
      </c>
      <c r="J9630" s="27">
        <v>5167</v>
      </c>
      <c r="K9630" s="18">
        <f t="shared" si="301"/>
        <v>5167</v>
      </c>
      <c r="L9630" s="27">
        <v>4908.6499999999996</v>
      </c>
      <c r="M9630" s="36">
        <v>0</v>
      </c>
      <c r="T9630" s="41">
        <v>0</v>
      </c>
      <c r="U9630" s="41">
        <v>0</v>
      </c>
      <c r="V9630" s="42" t="s">
        <v>113</v>
      </c>
      <c r="W9630" s="42">
        <v>5167</v>
      </c>
      <c r="X9630" s="42">
        <v>5167</v>
      </c>
    </row>
    <row r="9631" spans="1:24">
      <c r="A9631" s="27" t="s">
        <v>17613</v>
      </c>
      <c r="B9631" s="28" t="s">
        <v>17556</v>
      </c>
      <c r="C9631" s="27" t="s">
        <v>17614</v>
      </c>
      <c r="D9631" s="27" t="s">
        <v>17558</v>
      </c>
      <c r="E9631" s="29">
        <v>39783</v>
      </c>
      <c r="F9631" s="27">
        <v>7</v>
      </c>
      <c r="G9631" s="18">
        <v>5167</v>
      </c>
      <c r="H9631" s="27">
        <f t="shared" si="300"/>
        <v>5167</v>
      </c>
      <c r="I9631" s="18">
        <v>4908.6499999999996</v>
      </c>
      <c r="J9631" s="27">
        <v>5167</v>
      </c>
      <c r="K9631" s="18">
        <f t="shared" si="301"/>
        <v>5167</v>
      </c>
      <c r="L9631" s="27">
        <v>4908.6499999999996</v>
      </c>
      <c r="M9631" s="36">
        <v>0</v>
      </c>
      <c r="T9631" s="41">
        <v>0</v>
      </c>
      <c r="U9631" s="41">
        <v>0</v>
      </c>
      <c r="V9631" s="42" t="s">
        <v>113</v>
      </c>
      <c r="W9631" s="42">
        <v>5167</v>
      </c>
      <c r="X9631" s="42">
        <v>5167</v>
      </c>
    </row>
    <row r="9632" spans="1:24">
      <c r="A9632" s="27" t="s">
        <v>17615</v>
      </c>
      <c r="B9632" s="28" t="s">
        <v>17556</v>
      </c>
      <c r="C9632" s="27" t="s">
        <v>17616</v>
      </c>
      <c r="D9632" s="27" t="s">
        <v>17558</v>
      </c>
      <c r="E9632" s="29">
        <v>39783</v>
      </c>
      <c r="F9632" s="27">
        <v>7</v>
      </c>
      <c r="G9632" s="18">
        <v>5167</v>
      </c>
      <c r="H9632" s="27">
        <f t="shared" si="300"/>
        <v>5167</v>
      </c>
      <c r="I9632" s="18">
        <v>4908.6499999999996</v>
      </c>
      <c r="J9632" s="27">
        <v>5167</v>
      </c>
      <c r="K9632" s="18">
        <f t="shared" si="301"/>
        <v>5167</v>
      </c>
      <c r="L9632" s="27">
        <v>4908.6499999999996</v>
      </c>
      <c r="M9632" s="36">
        <v>0</v>
      </c>
      <c r="T9632" s="41">
        <v>0</v>
      </c>
      <c r="U9632" s="41">
        <v>0</v>
      </c>
      <c r="V9632" s="42" t="s">
        <v>113</v>
      </c>
      <c r="W9632" s="42">
        <v>5167</v>
      </c>
      <c r="X9632" s="42">
        <v>5167</v>
      </c>
    </row>
    <row r="9633" spans="1:24">
      <c r="A9633" s="27" t="s">
        <v>17617</v>
      </c>
      <c r="B9633" s="28" t="s">
        <v>17556</v>
      </c>
      <c r="C9633" s="27" t="s">
        <v>17618</v>
      </c>
      <c r="D9633" s="27" t="s">
        <v>17558</v>
      </c>
      <c r="E9633" s="29">
        <v>39783</v>
      </c>
      <c r="F9633" s="27">
        <v>7</v>
      </c>
      <c r="G9633" s="18">
        <v>5167</v>
      </c>
      <c r="H9633" s="27">
        <f t="shared" si="300"/>
        <v>5167</v>
      </c>
      <c r="I9633" s="18">
        <v>4908.6499999999996</v>
      </c>
      <c r="J9633" s="27">
        <v>5167</v>
      </c>
      <c r="K9633" s="18">
        <f t="shared" si="301"/>
        <v>5167</v>
      </c>
      <c r="L9633" s="27">
        <v>4908.6499999999996</v>
      </c>
      <c r="M9633" s="36">
        <v>0</v>
      </c>
      <c r="T9633" s="41">
        <v>0</v>
      </c>
      <c r="U9633" s="41">
        <v>0</v>
      </c>
      <c r="V9633" s="42" t="s">
        <v>113</v>
      </c>
      <c r="W9633" s="42">
        <v>5167</v>
      </c>
      <c r="X9633" s="42">
        <v>5167</v>
      </c>
    </row>
    <row r="9634" spans="1:24">
      <c r="A9634" s="27" t="s">
        <v>17619</v>
      </c>
      <c r="B9634" s="28" t="s">
        <v>17556</v>
      </c>
      <c r="C9634" s="27" t="s">
        <v>17620</v>
      </c>
      <c r="D9634" s="27" t="s">
        <v>17558</v>
      </c>
      <c r="E9634" s="29">
        <v>39783</v>
      </c>
      <c r="F9634" s="27">
        <v>7</v>
      </c>
      <c r="G9634" s="18">
        <v>5167</v>
      </c>
      <c r="H9634" s="27">
        <f t="shared" si="300"/>
        <v>5167</v>
      </c>
      <c r="I9634" s="18">
        <v>4908.6499999999996</v>
      </c>
      <c r="J9634" s="27">
        <v>5167</v>
      </c>
      <c r="K9634" s="18">
        <f t="shared" si="301"/>
        <v>5167</v>
      </c>
      <c r="L9634" s="27">
        <v>4908.6499999999996</v>
      </c>
      <c r="M9634" s="36">
        <v>0</v>
      </c>
      <c r="T9634" s="41">
        <v>0</v>
      </c>
      <c r="U9634" s="41">
        <v>0</v>
      </c>
      <c r="V9634" s="42" t="s">
        <v>113</v>
      </c>
      <c r="W9634" s="42">
        <v>5167</v>
      </c>
      <c r="X9634" s="42">
        <v>5167</v>
      </c>
    </row>
    <row r="9635" spans="1:24">
      <c r="A9635" s="27" t="s">
        <v>17621</v>
      </c>
      <c r="B9635" s="28" t="s">
        <v>17556</v>
      </c>
      <c r="C9635" s="27" t="s">
        <v>17622</v>
      </c>
      <c r="D9635" s="27" t="s">
        <v>17558</v>
      </c>
      <c r="E9635" s="29">
        <v>39783</v>
      </c>
      <c r="F9635" s="27">
        <v>7</v>
      </c>
      <c r="G9635" s="18">
        <v>5167</v>
      </c>
      <c r="H9635" s="27">
        <f t="shared" si="300"/>
        <v>5167</v>
      </c>
      <c r="I9635" s="18">
        <v>4908.6499999999996</v>
      </c>
      <c r="J9635" s="27">
        <v>5167</v>
      </c>
      <c r="K9635" s="18">
        <f t="shared" si="301"/>
        <v>5167</v>
      </c>
      <c r="L9635" s="27">
        <v>4908.6499999999996</v>
      </c>
      <c r="M9635" s="36">
        <v>0</v>
      </c>
      <c r="T9635" s="41">
        <v>0</v>
      </c>
      <c r="U9635" s="41">
        <v>0</v>
      </c>
      <c r="V9635" s="42" t="s">
        <v>113</v>
      </c>
      <c r="W9635" s="42">
        <v>5167</v>
      </c>
      <c r="X9635" s="42">
        <v>5167</v>
      </c>
    </row>
    <row r="9636" spans="1:24">
      <c r="A9636" s="27" t="s">
        <v>17623</v>
      </c>
      <c r="B9636" s="28" t="s">
        <v>17556</v>
      </c>
      <c r="C9636" s="27" t="s">
        <v>17624</v>
      </c>
      <c r="D9636" s="27" t="s">
        <v>17558</v>
      </c>
      <c r="E9636" s="29">
        <v>39783</v>
      </c>
      <c r="F9636" s="27">
        <v>7</v>
      </c>
      <c r="G9636" s="18">
        <v>5167</v>
      </c>
      <c r="H9636" s="27">
        <f t="shared" si="300"/>
        <v>5167</v>
      </c>
      <c r="I9636" s="18">
        <v>4908.6499999999996</v>
      </c>
      <c r="J9636" s="27">
        <v>5167</v>
      </c>
      <c r="K9636" s="18">
        <f t="shared" si="301"/>
        <v>5167</v>
      </c>
      <c r="L9636" s="27">
        <v>4908.6499999999996</v>
      </c>
      <c r="M9636" s="36">
        <v>0</v>
      </c>
      <c r="T9636" s="41">
        <v>0</v>
      </c>
      <c r="U9636" s="41">
        <v>0</v>
      </c>
      <c r="V9636" s="42" t="s">
        <v>113</v>
      </c>
      <c r="W9636" s="42">
        <v>5167</v>
      </c>
      <c r="X9636" s="42">
        <v>5167</v>
      </c>
    </row>
    <row r="9637" spans="1:24">
      <c r="A9637" s="27" t="s">
        <v>17625</v>
      </c>
      <c r="B9637" s="28" t="s">
        <v>17556</v>
      </c>
      <c r="C9637" s="27" t="s">
        <v>17626</v>
      </c>
      <c r="D9637" s="27" t="s">
        <v>17558</v>
      </c>
      <c r="E9637" s="29">
        <v>39783</v>
      </c>
      <c r="F9637" s="27">
        <v>7</v>
      </c>
      <c r="G9637" s="18">
        <v>5167</v>
      </c>
      <c r="H9637" s="27">
        <f t="shared" si="300"/>
        <v>5167</v>
      </c>
      <c r="I9637" s="18">
        <v>4908.6499999999996</v>
      </c>
      <c r="J9637" s="27">
        <v>5167</v>
      </c>
      <c r="K9637" s="18">
        <f t="shared" si="301"/>
        <v>5167</v>
      </c>
      <c r="L9637" s="27">
        <v>4908.6499999999996</v>
      </c>
      <c r="M9637" s="36">
        <v>0</v>
      </c>
      <c r="T9637" s="41">
        <v>0</v>
      </c>
      <c r="U9637" s="41">
        <v>0</v>
      </c>
      <c r="V9637" s="42" t="s">
        <v>113</v>
      </c>
      <c r="W9637" s="42">
        <v>5167</v>
      </c>
      <c r="X9637" s="42">
        <v>5167</v>
      </c>
    </row>
    <row r="9638" spans="1:24">
      <c r="A9638" s="27" t="s">
        <v>17627</v>
      </c>
      <c r="B9638" s="28" t="s">
        <v>17556</v>
      </c>
      <c r="C9638" s="27" t="s">
        <v>17628</v>
      </c>
      <c r="D9638" s="27" t="s">
        <v>17558</v>
      </c>
      <c r="E9638" s="29">
        <v>39783</v>
      </c>
      <c r="F9638" s="27">
        <v>7</v>
      </c>
      <c r="G9638" s="18">
        <v>5167</v>
      </c>
      <c r="H9638" s="27">
        <f t="shared" si="300"/>
        <v>5167</v>
      </c>
      <c r="I9638" s="18">
        <v>4908.6499999999996</v>
      </c>
      <c r="J9638" s="27">
        <v>5167</v>
      </c>
      <c r="K9638" s="18">
        <f t="shared" si="301"/>
        <v>5167</v>
      </c>
      <c r="L9638" s="27">
        <v>4908.6499999999996</v>
      </c>
      <c r="M9638" s="36">
        <v>0</v>
      </c>
      <c r="T9638" s="41">
        <v>0</v>
      </c>
      <c r="U9638" s="41">
        <v>0</v>
      </c>
      <c r="V9638" s="42" t="s">
        <v>113</v>
      </c>
      <c r="W9638" s="42">
        <v>5167</v>
      </c>
      <c r="X9638" s="42">
        <v>5167</v>
      </c>
    </row>
    <row r="9639" spans="1:24">
      <c r="A9639" s="27" t="s">
        <v>17629</v>
      </c>
      <c r="B9639" s="28" t="s">
        <v>17556</v>
      </c>
      <c r="C9639" s="27" t="s">
        <v>17630</v>
      </c>
      <c r="D9639" s="27" t="s">
        <v>17558</v>
      </c>
      <c r="E9639" s="29">
        <v>39783</v>
      </c>
      <c r="F9639" s="27">
        <v>7</v>
      </c>
      <c r="G9639" s="18">
        <v>5167</v>
      </c>
      <c r="H9639" s="27">
        <f t="shared" si="300"/>
        <v>5167</v>
      </c>
      <c r="I9639" s="18">
        <v>4908.6499999999996</v>
      </c>
      <c r="J9639" s="27">
        <v>5167</v>
      </c>
      <c r="K9639" s="18">
        <f t="shared" si="301"/>
        <v>5167</v>
      </c>
      <c r="L9639" s="27">
        <v>4908.6499999999996</v>
      </c>
      <c r="M9639" s="36">
        <v>0</v>
      </c>
      <c r="T9639" s="41">
        <v>0</v>
      </c>
      <c r="U9639" s="41">
        <v>0</v>
      </c>
      <c r="V9639" s="42" t="s">
        <v>113</v>
      </c>
      <c r="W9639" s="42">
        <v>5167</v>
      </c>
      <c r="X9639" s="42">
        <v>5167</v>
      </c>
    </row>
    <row r="9640" spans="1:24">
      <c r="A9640" s="27" t="s">
        <v>17631</v>
      </c>
      <c r="B9640" s="28" t="s">
        <v>17556</v>
      </c>
      <c r="C9640" s="27" t="s">
        <v>17632</v>
      </c>
      <c r="D9640" s="27" t="s">
        <v>17558</v>
      </c>
      <c r="E9640" s="29">
        <v>39783</v>
      </c>
      <c r="F9640" s="27">
        <v>7</v>
      </c>
      <c r="G9640" s="18">
        <v>5347.5</v>
      </c>
      <c r="H9640" s="27">
        <f t="shared" si="300"/>
        <v>5347.5</v>
      </c>
      <c r="I9640" s="18">
        <v>5080.12</v>
      </c>
      <c r="J9640" s="27">
        <v>5347.5</v>
      </c>
      <c r="K9640" s="18">
        <f t="shared" si="301"/>
        <v>5347.5</v>
      </c>
      <c r="L9640" s="27">
        <v>5080.12</v>
      </c>
      <c r="M9640" s="36">
        <v>0</v>
      </c>
      <c r="T9640" s="41">
        <v>0</v>
      </c>
      <c r="U9640" s="41">
        <v>0</v>
      </c>
      <c r="V9640" s="42" t="s">
        <v>113</v>
      </c>
      <c r="W9640" s="42">
        <v>5347.5</v>
      </c>
      <c r="X9640" s="42">
        <v>5347.5</v>
      </c>
    </row>
    <row r="9641" spans="1:24">
      <c r="A9641" s="27" t="s">
        <v>17633</v>
      </c>
      <c r="B9641" s="28" t="s">
        <v>17556</v>
      </c>
      <c r="C9641" s="27" t="s">
        <v>17634</v>
      </c>
      <c r="D9641" s="27" t="s">
        <v>17578</v>
      </c>
      <c r="E9641" s="29">
        <v>40544</v>
      </c>
      <c r="F9641" s="27">
        <v>7</v>
      </c>
      <c r="G9641" s="18">
        <v>14739428.77</v>
      </c>
      <c r="H9641" s="27">
        <f t="shared" si="300"/>
        <v>14739428.77</v>
      </c>
      <c r="I9641" s="18">
        <v>14002457.33</v>
      </c>
      <c r="J9641" s="27">
        <v>14739428.77</v>
      </c>
      <c r="K9641" s="18">
        <f t="shared" si="301"/>
        <v>14739428.77</v>
      </c>
      <c r="L9641" s="27">
        <v>14002457.33</v>
      </c>
      <c r="M9641" s="36">
        <v>0</v>
      </c>
      <c r="T9641" s="41">
        <v>0</v>
      </c>
      <c r="U9641" s="41">
        <v>0</v>
      </c>
      <c r="V9641" s="42" t="s">
        <v>113</v>
      </c>
      <c r="W9641" s="42">
        <v>14739428.77</v>
      </c>
      <c r="X9641" s="42">
        <v>14739428.77</v>
      </c>
    </row>
    <row r="9642" spans="1:24">
      <c r="A9642" s="27" t="s">
        <v>17635</v>
      </c>
      <c r="B9642" s="28" t="s">
        <v>17556</v>
      </c>
      <c r="C9642" s="27" t="s">
        <v>17636</v>
      </c>
      <c r="D9642" s="27" t="s">
        <v>17558</v>
      </c>
      <c r="E9642" s="29">
        <v>40544</v>
      </c>
      <c r="F9642" s="27">
        <v>7</v>
      </c>
      <c r="G9642" s="18">
        <v>1800</v>
      </c>
      <c r="H9642" s="27">
        <f t="shared" si="300"/>
        <v>1800</v>
      </c>
      <c r="I9642" s="18">
        <v>1800</v>
      </c>
      <c r="J9642" s="27">
        <v>1800</v>
      </c>
      <c r="K9642" s="18">
        <f t="shared" si="301"/>
        <v>1800</v>
      </c>
      <c r="L9642" s="27">
        <v>1800</v>
      </c>
      <c r="M9642" s="36">
        <v>0</v>
      </c>
      <c r="T9642" s="41">
        <v>0</v>
      </c>
      <c r="U9642" s="41">
        <v>0</v>
      </c>
      <c r="V9642" s="42" t="s">
        <v>113</v>
      </c>
      <c r="W9642" s="42">
        <v>1800</v>
      </c>
      <c r="X9642" s="42">
        <v>1800</v>
      </c>
    </row>
    <row r="9643" spans="1:24">
      <c r="A9643" s="27" t="s">
        <v>17637</v>
      </c>
      <c r="B9643" s="28" t="s">
        <v>17556</v>
      </c>
      <c r="C9643" s="27" t="s">
        <v>17636</v>
      </c>
      <c r="D9643" s="27" t="s">
        <v>17558</v>
      </c>
      <c r="E9643" s="29">
        <v>40544</v>
      </c>
      <c r="F9643" s="27">
        <v>7</v>
      </c>
      <c r="G9643" s="18">
        <v>1800</v>
      </c>
      <c r="H9643" s="27">
        <f t="shared" si="300"/>
        <v>1800</v>
      </c>
      <c r="I9643" s="18">
        <v>1800</v>
      </c>
      <c r="J9643" s="27">
        <v>1800</v>
      </c>
      <c r="K9643" s="18">
        <f t="shared" si="301"/>
        <v>1800</v>
      </c>
      <c r="L9643" s="27">
        <v>1800</v>
      </c>
      <c r="M9643" s="36">
        <v>0</v>
      </c>
      <c r="T9643" s="41">
        <v>0</v>
      </c>
      <c r="U9643" s="41">
        <v>0</v>
      </c>
      <c r="V9643" s="42" t="s">
        <v>113</v>
      </c>
      <c r="W9643" s="42">
        <v>1800</v>
      </c>
      <c r="X9643" s="42">
        <v>1800</v>
      </c>
    </row>
    <row r="9644" spans="1:24">
      <c r="A9644" s="27" t="s">
        <v>17638</v>
      </c>
      <c r="B9644" s="28" t="s">
        <v>17556</v>
      </c>
      <c r="C9644" s="27" t="s">
        <v>17636</v>
      </c>
      <c r="D9644" s="27" t="s">
        <v>17558</v>
      </c>
      <c r="E9644" s="29">
        <v>40544</v>
      </c>
      <c r="F9644" s="27">
        <v>7</v>
      </c>
      <c r="G9644" s="18">
        <v>1800</v>
      </c>
      <c r="H9644" s="27">
        <f t="shared" si="300"/>
        <v>1800</v>
      </c>
      <c r="I9644" s="18">
        <v>1800</v>
      </c>
      <c r="J9644" s="27">
        <v>1800</v>
      </c>
      <c r="K9644" s="18">
        <f t="shared" si="301"/>
        <v>1800</v>
      </c>
      <c r="L9644" s="27">
        <v>1800</v>
      </c>
      <c r="M9644" s="36">
        <v>0</v>
      </c>
      <c r="T9644" s="41">
        <v>0</v>
      </c>
      <c r="U9644" s="41">
        <v>0</v>
      </c>
      <c r="V9644" s="42" t="s">
        <v>113</v>
      </c>
      <c r="W9644" s="42">
        <v>1800</v>
      </c>
      <c r="X9644" s="42">
        <v>1800</v>
      </c>
    </row>
    <row r="9645" spans="1:24">
      <c r="A9645" s="27" t="s">
        <v>17639</v>
      </c>
      <c r="B9645" s="28" t="s">
        <v>17556</v>
      </c>
      <c r="C9645" s="27" t="s">
        <v>17636</v>
      </c>
      <c r="D9645" s="27" t="s">
        <v>17558</v>
      </c>
      <c r="E9645" s="29">
        <v>40544</v>
      </c>
      <c r="F9645" s="27">
        <v>7</v>
      </c>
      <c r="G9645" s="18">
        <v>1800</v>
      </c>
      <c r="H9645" s="27">
        <f t="shared" si="300"/>
        <v>1800</v>
      </c>
      <c r="I9645" s="18">
        <v>1800</v>
      </c>
      <c r="J9645" s="27">
        <v>1800</v>
      </c>
      <c r="K9645" s="18">
        <f t="shared" si="301"/>
        <v>1800</v>
      </c>
      <c r="L9645" s="27">
        <v>1800</v>
      </c>
      <c r="M9645" s="36">
        <v>0</v>
      </c>
      <c r="T9645" s="41">
        <v>0</v>
      </c>
      <c r="U9645" s="41">
        <v>0</v>
      </c>
      <c r="V9645" s="42" t="s">
        <v>113</v>
      </c>
      <c r="W9645" s="42">
        <v>1800</v>
      </c>
      <c r="X9645" s="42">
        <v>1800</v>
      </c>
    </row>
    <row r="9646" spans="1:24">
      <c r="A9646" s="27" t="s">
        <v>17640</v>
      </c>
      <c r="B9646" s="28" t="s">
        <v>17556</v>
      </c>
      <c r="C9646" s="27" t="s">
        <v>17636</v>
      </c>
      <c r="D9646" s="27" t="s">
        <v>17558</v>
      </c>
      <c r="E9646" s="29">
        <v>40544</v>
      </c>
      <c r="F9646" s="27">
        <v>7</v>
      </c>
      <c r="G9646" s="18">
        <v>1800</v>
      </c>
      <c r="H9646" s="27">
        <f t="shared" si="300"/>
        <v>1800</v>
      </c>
      <c r="I9646" s="18">
        <v>1800</v>
      </c>
      <c r="J9646" s="27">
        <v>1800</v>
      </c>
      <c r="K9646" s="18">
        <f t="shared" si="301"/>
        <v>1800</v>
      </c>
      <c r="L9646" s="27">
        <v>1800</v>
      </c>
      <c r="M9646" s="36">
        <v>0</v>
      </c>
      <c r="T9646" s="41">
        <v>0</v>
      </c>
      <c r="U9646" s="41">
        <v>0</v>
      </c>
      <c r="V9646" s="42" t="s">
        <v>113</v>
      </c>
      <c r="W9646" s="42">
        <v>1800</v>
      </c>
      <c r="X9646" s="42">
        <v>1800</v>
      </c>
    </row>
    <row r="9647" spans="1:24">
      <c r="A9647" s="27" t="s">
        <v>17641</v>
      </c>
      <c r="B9647" s="28" t="s">
        <v>17556</v>
      </c>
      <c r="C9647" s="27" t="s">
        <v>17636</v>
      </c>
      <c r="D9647" s="27" t="s">
        <v>17558</v>
      </c>
      <c r="E9647" s="29">
        <v>40544</v>
      </c>
      <c r="F9647" s="27">
        <v>7</v>
      </c>
      <c r="G9647" s="18">
        <v>1800</v>
      </c>
      <c r="H9647" s="27">
        <f t="shared" si="300"/>
        <v>1800</v>
      </c>
      <c r="I9647" s="18">
        <v>1800</v>
      </c>
      <c r="J9647" s="27">
        <v>1800</v>
      </c>
      <c r="K9647" s="18">
        <f t="shared" si="301"/>
        <v>1800</v>
      </c>
      <c r="L9647" s="27">
        <v>1800</v>
      </c>
      <c r="M9647" s="36">
        <v>0</v>
      </c>
      <c r="T9647" s="41">
        <v>0</v>
      </c>
      <c r="U9647" s="41">
        <v>0</v>
      </c>
      <c r="V9647" s="42" t="s">
        <v>113</v>
      </c>
      <c r="W9647" s="42">
        <v>1800</v>
      </c>
      <c r="X9647" s="42">
        <v>1800</v>
      </c>
    </row>
    <row r="9648" spans="1:24">
      <c r="A9648" s="27" t="s">
        <v>17642</v>
      </c>
      <c r="B9648" s="28" t="s">
        <v>17556</v>
      </c>
      <c r="C9648" s="27" t="s">
        <v>17636</v>
      </c>
      <c r="D9648" s="27" t="s">
        <v>17558</v>
      </c>
      <c r="E9648" s="29">
        <v>40544</v>
      </c>
      <c r="F9648" s="27">
        <v>7</v>
      </c>
      <c r="G9648" s="18">
        <v>1800</v>
      </c>
      <c r="H9648" s="27">
        <f t="shared" si="300"/>
        <v>1800</v>
      </c>
      <c r="I9648" s="18">
        <v>1800</v>
      </c>
      <c r="J9648" s="27">
        <v>1800</v>
      </c>
      <c r="K9648" s="18">
        <f t="shared" si="301"/>
        <v>1800</v>
      </c>
      <c r="L9648" s="27">
        <v>1800</v>
      </c>
      <c r="M9648" s="36">
        <v>0</v>
      </c>
      <c r="T9648" s="41">
        <v>0</v>
      </c>
      <c r="U9648" s="41">
        <v>0</v>
      </c>
      <c r="V9648" s="42" t="s">
        <v>113</v>
      </c>
      <c r="W9648" s="42">
        <v>1800</v>
      </c>
      <c r="X9648" s="42">
        <v>1800</v>
      </c>
    </row>
    <row r="9649" spans="1:24">
      <c r="A9649" s="27" t="s">
        <v>17643</v>
      </c>
      <c r="B9649" s="28" t="s">
        <v>17556</v>
      </c>
      <c r="C9649" s="27" t="s">
        <v>17636</v>
      </c>
      <c r="D9649" s="27" t="s">
        <v>17558</v>
      </c>
      <c r="E9649" s="29">
        <v>40544</v>
      </c>
      <c r="F9649" s="27">
        <v>7</v>
      </c>
      <c r="G9649" s="18">
        <v>1800</v>
      </c>
      <c r="H9649" s="27">
        <f t="shared" si="300"/>
        <v>1800</v>
      </c>
      <c r="I9649" s="18">
        <v>1800</v>
      </c>
      <c r="J9649" s="27">
        <v>1800</v>
      </c>
      <c r="K9649" s="18">
        <f t="shared" si="301"/>
        <v>1800</v>
      </c>
      <c r="L9649" s="27">
        <v>1800</v>
      </c>
      <c r="M9649" s="36">
        <v>0</v>
      </c>
      <c r="T9649" s="41">
        <v>0</v>
      </c>
      <c r="U9649" s="41">
        <v>0</v>
      </c>
      <c r="V9649" s="42" t="s">
        <v>113</v>
      </c>
      <c r="W9649" s="42">
        <v>1800</v>
      </c>
      <c r="X9649" s="42">
        <v>1800</v>
      </c>
    </row>
    <row r="9650" spans="1:24">
      <c r="A9650" s="27" t="s">
        <v>17644</v>
      </c>
      <c r="B9650" s="28" t="s">
        <v>17556</v>
      </c>
      <c r="C9650" s="27" t="s">
        <v>17636</v>
      </c>
      <c r="D9650" s="27" t="s">
        <v>17558</v>
      </c>
      <c r="E9650" s="29">
        <v>40544</v>
      </c>
      <c r="F9650" s="27">
        <v>7</v>
      </c>
      <c r="G9650" s="18">
        <v>1800</v>
      </c>
      <c r="H9650" s="27">
        <f t="shared" si="300"/>
        <v>1800</v>
      </c>
      <c r="I9650" s="18">
        <v>1800</v>
      </c>
      <c r="J9650" s="27">
        <v>1800</v>
      </c>
      <c r="K9650" s="18">
        <f t="shared" si="301"/>
        <v>1800</v>
      </c>
      <c r="L9650" s="27">
        <v>1800</v>
      </c>
      <c r="M9650" s="36">
        <v>0</v>
      </c>
      <c r="T9650" s="41">
        <v>0</v>
      </c>
      <c r="U9650" s="41">
        <v>0</v>
      </c>
      <c r="V9650" s="42" t="s">
        <v>113</v>
      </c>
      <c r="W9650" s="42">
        <v>1800</v>
      </c>
      <c r="X9650" s="42">
        <v>1800</v>
      </c>
    </row>
    <row r="9651" spans="1:24">
      <c r="A9651" s="27" t="s">
        <v>17645</v>
      </c>
      <c r="B9651" s="28" t="s">
        <v>17556</v>
      </c>
      <c r="C9651" s="27" t="s">
        <v>17636</v>
      </c>
      <c r="D9651" s="27" t="s">
        <v>17558</v>
      </c>
      <c r="E9651" s="29">
        <v>40544</v>
      </c>
      <c r="F9651" s="27">
        <v>7</v>
      </c>
      <c r="G9651" s="18">
        <v>1800</v>
      </c>
      <c r="H9651" s="27">
        <f t="shared" si="300"/>
        <v>1800</v>
      </c>
      <c r="I9651" s="18">
        <v>1800</v>
      </c>
      <c r="J9651" s="27">
        <v>1800</v>
      </c>
      <c r="K9651" s="18">
        <f t="shared" si="301"/>
        <v>1800</v>
      </c>
      <c r="L9651" s="27">
        <v>1800</v>
      </c>
      <c r="M9651" s="36">
        <v>0</v>
      </c>
      <c r="T9651" s="41">
        <v>0</v>
      </c>
      <c r="U9651" s="41">
        <v>0</v>
      </c>
      <c r="V9651" s="42" t="s">
        <v>113</v>
      </c>
      <c r="W9651" s="42">
        <v>1800</v>
      </c>
      <c r="X9651" s="42">
        <v>1800</v>
      </c>
    </row>
    <row r="9652" spans="1:24">
      <c r="A9652" s="27" t="s">
        <v>17646</v>
      </c>
      <c r="B9652" s="28" t="s">
        <v>17556</v>
      </c>
      <c r="C9652" s="27" t="s">
        <v>17636</v>
      </c>
      <c r="D9652" s="27" t="s">
        <v>17558</v>
      </c>
      <c r="E9652" s="29">
        <v>40544</v>
      </c>
      <c r="F9652" s="27">
        <v>7</v>
      </c>
      <c r="G9652" s="18">
        <v>1800</v>
      </c>
      <c r="H9652" s="27">
        <f t="shared" si="300"/>
        <v>1800</v>
      </c>
      <c r="I9652" s="18">
        <v>1800</v>
      </c>
      <c r="J9652" s="27">
        <v>1800</v>
      </c>
      <c r="K9652" s="18">
        <f t="shared" si="301"/>
        <v>1800</v>
      </c>
      <c r="L9652" s="27">
        <v>1800</v>
      </c>
      <c r="M9652" s="36">
        <v>0</v>
      </c>
      <c r="T9652" s="41">
        <v>0</v>
      </c>
      <c r="U9652" s="41">
        <v>0</v>
      </c>
      <c r="V9652" s="42" t="s">
        <v>113</v>
      </c>
      <c r="W9652" s="42">
        <v>1800</v>
      </c>
      <c r="X9652" s="42">
        <v>1800</v>
      </c>
    </row>
    <row r="9653" spans="1:24">
      <c r="A9653" s="27" t="s">
        <v>17647</v>
      </c>
      <c r="B9653" s="28" t="s">
        <v>17556</v>
      </c>
      <c r="C9653" s="27" t="s">
        <v>17636</v>
      </c>
      <c r="D9653" s="27" t="s">
        <v>17558</v>
      </c>
      <c r="E9653" s="29">
        <v>40544</v>
      </c>
      <c r="F9653" s="27">
        <v>7</v>
      </c>
      <c r="G9653" s="18">
        <v>1800</v>
      </c>
      <c r="H9653" s="27">
        <f t="shared" si="300"/>
        <v>1800</v>
      </c>
      <c r="I9653" s="18">
        <v>1800</v>
      </c>
      <c r="J9653" s="27">
        <v>1800</v>
      </c>
      <c r="K9653" s="18">
        <f t="shared" si="301"/>
        <v>1800</v>
      </c>
      <c r="L9653" s="27">
        <v>1800</v>
      </c>
      <c r="M9653" s="36">
        <v>0</v>
      </c>
      <c r="T9653" s="41">
        <v>0</v>
      </c>
      <c r="U9653" s="41">
        <v>0</v>
      </c>
      <c r="V9653" s="42" t="s">
        <v>113</v>
      </c>
      <c r="W9653" s="42">
        <v>1800</v>
      </c>
      <c r="X9653" s="42">
        <v>1800</v>
      </c>
    </row>
    <row r="9654" spans="1:24">
      <c r="A9654" s="27" t="s">
        <v>17648</v>
      </c>
      <c r="B9654" s="28" t="s">
        <v>17556</v>
      </c>
      <c r="C9654" s="27" t="s">
        <v>17636</v>
      </c>
      <c r="D9654" s="27" t="s">
        <v>17558</v>
      </c>
      <c r="E9654" s="29">
        <v>40544</v>
      </c>
      <c r="F9654" s="27">
        <v>7</v>
      </c>
      <c r="G9654" s="18">
        <v>1800</v>
      </c>
      <c r="H9654" s="27">
        <f t="shared" si="300"/>
        <v>1800</v>
      </c>
      <c r="I9654" s="18">
        <v>1800</v>
      </c>
      <c r="J9654" s="27">
        <v>1800</v>
      </c>
      <c r="K9654" s="18">
        <f t="shared" si="301"/>
        <v>1800</v>
      </c>
      <c r="L9654" s="27">
        <v>1800</v>
      </c>
      <c r="M9654" s="36">
        <v>0</v>
      </c>
      <c r="T9654" s="41">
        <v>0</v>
      </c>
      <c r="U9654" s="41">
        <v>0</v>
      </c>
      <c r="V9654" s="42" t="s">
        <v>113</v>
      </c>
      <c r="W9654" s="42">
        <v>1800</v>
      </c>
      <c r="X9654" s="42">
        <v>1800</v>
      </c>
    </row>
    <row r="9655" spans="1:24">
      <c r="A9655" s="27" t="s">
        <v>17649</v>
      </c>
      <c r="B9655" s="28" t="s">
        <v>17556</v>
      </c>
      <c r="C9655" s="27" t="s">
        <v>17636</v>
      </c>
      <c r="D9655" s="27" t="s">
        <v>17558</v>
      </c>
      <c r="E9655" s="29">
        <v>40544</v>
      </c>
      <c r="F9655" s="27">
        <v>7</v>
      </c>
      <c r="G9655" s="18">
        <v>1800</v>
      </c>
      <c r="H9655" s="27">
        <f t="shared" si="300"/>
        <v>1800</v>
      </c>
      <c r="I9655" s="18">
        <v>1800</v>
      </c>
      <c r="J9655" s="27">
        <v>1800</v>
      </c>
      <c r="K9655" s="18">
        <f t="shared" si="301"/>
        <v>1800</v>
      </c>
      <c r="L9655" s="27">
        <v>1800</v>
      </c>
      <c r="M9655" s="36">
        <v>0</v>
      </c>
      <c r="T9655" s="41">
        <v>0</v>
      </c>
      <c r="U9655" s="41">
        <v>0</v>
      </c>
      <c r="V9655" s="42" t="s">
        <v>113</v>
      </c>
      <c r="W9655" s="42">
        <v>1800</v>
      </c>
      <c r="X9655" s="42">
        <v>1800</v>
      </c>
    </row>
    <row r="9656" spans="1:24">
      <c r="A9656" s="27" t="s">
        <v>17650</v>
      </c>
      <c r="B9656" s="28" t="s">
        <v>17556</v>
      </c>
      <c r="C9656" s="27" t="s">
        <v>17636</v>
      </c>
      <c r="D9656" s="27" t="s">
        <v>17558</v>
      </c>
      <c r="E9656" s="29">
        <v>40544</v>
      </c>
      <c r="F9656" s="27">
        <v>7</v>
      </c>
      <c r="G9656" s="18">
        <v>1800</v>
      </c>
      <c r="H9656" s="27">
        <f t="shared" si="300"/>
        <v>1800</v>
      </c>
      <c r="I9656" s="18">
        <v>1800</v>
      </c>
      <c r="J9656" s="27">
        <v>1800</v>
      </c>
      <c r="K9656" s="18">
        <f t="shared" si="301"/>
        <v>1800</v>
      </c>
      <c r="L9656" s="27">
        <v>1800</v>
      </c>
      <c r="M9656" s="36">
        <v>0</v>
      </c>
      <c r="T9656" s="41">
        <v>0</v>
      </c>
      <c r="U9656" s="41">
        <v>0</v>
      </c>
      <c r="V9656" s="42" t="s">
        <v>113</v>
      </c>
      <c r="W9656" s="42">
        <v>1800</v>
      </c>
      <c r="X9656" s="42">
        <v>1800</v>
      </c>
    </row>
    <row r="9657" spans="1:24">
      <c r="A9657" s="27" t="s">
        <v>17651</v>
      </c>
      <c r="B9657" s="28" t="s">
        <v>17556</v>
      </c>
      <c r="C9657" s="27" t="s">
        <v>17636</v>
      </c>
      <c r="D9657" s="27" t="s">
        <v>17558</v>
      </c>
      <c r="E9657" s="29">
        <v>40544</v>
      </c>
      <c r="F9657" s="27">
        <v>7</v>
      </c>
      <c r="G9657" s="18">
        <v>1800</v>
      </c>
      <c r="H9657" s="27">
        <f t="shared" si="300"/>
        <v>1800</v>
      </c>
      <c r="I9657" s="18">
        <v>1800</v>
      </c>
      <c r="J9657" s="27">
        <v>1800</v>
      </c>
      <c r="K9657" s="18">
        <f t="shared" si="301"/>
        <v>1800</v>
      </c>
      <c r="L9657" s="27">
        <v>1800</v>
      </c>
      <c r="M9657" s="36">
        <v>0</v>
      </c>
      <c r="T9657" s="41">
        <v>0</v>
      </c>
      <c r="U9657" s="41">
        <v>0</v>
      </c>
      <c r="V9657" s="42" t="s">
        <v>113</v>
      </c>
      <c r="W9657" s="42">
        <v>1800</v>
      </c>
      <c r="X9657" s="42">
        <v>1800</v>
      </c>
    </row>
    <row r="9658" spans="1:24">
      <c r="A9658" s="27" t="s">
        <v>17652</v>
      </c>
      <c r="B9658" s="28" t="s">
        <v>17556</v>
      </c>
      <c r="C9658" s="27" t="s">
        <v>17636</v>
      </c>
      <c r="D9658" s="27" t="s">
        <v>17558</v>
      </c>
      <c r="E9658" s="29">
        <v>40544</v>
      </c>
      <c r="F9658" s="27">
        <v>7</v>
      </c>
      <c r="G9658" s="18">
        <v>1800</v>
      </c>
      <c r="H9658" s="27">
        <f t="shared" si="300"/>
        <v>1800</v>
      </c>
      <c r="I9658" s="18">
        <v>1800</v>
      </c>
      <c r="J9658" s="27">
        <v>1800</v>
      </c>
      <c r="K9658" s="18">
        <f t="shared" si="301"/>
        <v>1800</v>
      </c>
      <c r="L9658" s="27">
        <v>1800</v>
      </c>
      <c r="M9658" s="36">
        <v>0</v>
      </c>
      <c r="T9658" s="41">
        <v>0</v>
      </c>
      <c r="U9658" s="41">
        <v>0</v>
      </c>
      <c r="V9658" s="42" t="s">
        <v>113</v>
      </c>
      <c r="W9658" s="42">
        <v>1800</v>
      </c>
      <c r="X9658" s="42">
        <v>1800</v>
      </c>
    </row>
    <row r="9659" spans="1:24">
      <c r="A9659" s="27" t="s">
        <v>17653</v>
      </c>
      <c r="B9659" s="28" t="s">
        <v>17556</v>
      </c>
      <c r="C9659" s="27" t="s">
        <v>17636</v>
      </c>
      <c r="D9659" s="27" t="s">
        <v>17558</v>
      </c>
      <c r="E9659" s="29">
        <v>40544</v>
      </c>
      <c r="F9659" s="27">
        <v>7</v>
      </c>
      <c r="G9659" s="18">
        <v>1800</v>
      </c>
      <c r="H9659" s="27">
        <f t="shared" si="300"/>
        <v>1800</v>
      </c>
      <c r="I9659" s="18">
        <v>1800</v>
      </c>
      <c r="J9659" s="27">
        <v>1800</v>
      </c>
      <c r="K9659" s="18">
        <f t="shared" si="301"/>
        <v>1800</v>
      </c>
      <c r="L9659" s="27">
        <v>1800</v>
      </c>
      <c r="M9659" s="36">
        <v>0</v>
      </c>
      <c r="T9659" s="41">
        <v>0</v>
      </c>
      <c r="U9659" s="41">
        <v>0</v>
      </c>
      <c r="V9659" s="42" t="s">
        <v>113</v>
      </c>
      <c r="W9659" s="42">
        <v>1800</v>
      </c>
      <c r="X9659" s="42">
        <v>1800</v>
      </c>
    </row>
    <row r="9660" spans="1:24">
      <c r="A9660" s="27" t="s">
        <v>17654</v>
      </c>
      <c r="B9660" s="28" t="s">
        <v>17556</v>
      </c>
      <c r="C9660" s="27" t="s">
        <v>17636</v>
      </c>
      <c r="D9660" s="27" t="s">
        <v>17558</v>
      </c>
      <c r="E9660" s="29">
        <v>40544</v>
      </c>
      <c r="F9660" s="27">
        <v>7</v>
      </c>
      <c r="G9660" s="18">
        <v>1800</v>
      </c>
      <c r="H9660" s="27">
        <f t="shared" si="300"/>
        <v>1800</v>
      </c>
      <c r="I9660" s="18">
        <v>1800</v>
      </c>
      <c r="J9660" s="27">
        <v>1800</v>
      </c>
      <c r="K9660" s="18">
        <f t="shared" si="301"/>
        <v>1800</v>
      </c>
      <c r="L9660" s="27">
        <v>1800</v>
      </c>
      <c r="M9660" s="36">
        <v>0</v>
      </c>
      <c r="T9660" s="41">
        <v>0</v>
      </c>
      <c r="U9660" s="41">
        <v>0</v>
      </c>
      <c r="V9660" s="42" t="s">
        <v>113</v>
      </c>
      <c r="W9660" s="42">
        <v>1800</v>
      </c>
      <c r="X9660" s="42">
        <v>1800</v>
      </c>
    </row>
    <row r="9661" spans="1:24">
      <c r="A9661" s="27" t="s">
        <v>17655</v>
      </c>
      <c r="B9661" s="28" t="s">
        <v>17556</v>
      </c>
      <c r="C9661" s="27" t="s">
        <v>17636</v>
      </c>
      <c r="D9661" s="27" t="s">
        <v>17558</v>
      </c>
      <c r="E9661" s="29">
        <v>40544</v>
      </c>
      <c r="F9661" s="27">
        <v>7</v>
      </c>
      <c r="G9661" s="18">
        <v>1800</v>
      </c>
      <c r="H9661" s="27">
        <f t="shared" si="300"/>
        <v>1800</v>
      </c>
      <c r="I9661" s="18">
        <v>1800</v>
      </c>
      <c r="J9661" s="27">
        <v>1800</v>
      </c>
      <c r="K9661" s="18">
        <f t="shared" si="301"/>
        <v>1800</v>
      </c>
      <c r="L9661" s="27">
        <v>1800</v>
      </c>
      <c r="M9661" s="36">
        <v>0</v>
      </c>
      <c r="T9661" s="41">
        <v>0</v>
      </c>
      <c r="U9661" s="41">
        <v>0</v>
      </c>
      <c r="V9661" s="42" t="s">
        <v>113</v>
      </c>
      <c r="W9661" s="42">
        <v>1800</v>
      </c>
      <c r="X9661" s="42">
        <v>1800</v>
      </c>
    </row>
    <row r="9662" spans="1:24">
      <c r="A9662" s="27" t="s">
        <v>17656</v>
      </c>
      <c r="B9662" s="28" t="s">
        <v>17556</v>
      </c>
      <c r="C9662" s="27" t="s">
        <v>17636</v>
      </c>
      <c r="D9662" s="27" t="s">
        <v>17558</v>
      </c>
      <c r="E9662" s="29">
        <v>40544</v>
      </c>
      <c r="F9662" s="27">
        <v>7</v>
      </c>
      <c r="G9662" s="18">
        <v>1800</v>
      </c>
      <c r="H9662" s="27">
        <f t="shared" si="300"/>
        <v>1800</v>
      </c>
      <c r="I9662" s="18">
        <v>1800</v>
      </c>
      <c r="J9662" s="27">
        <v>1800</v>
      </c>
      <c r="K9662" s="18">
        <f t="shared" si="301"/>
        <v>1800</v>
      </c>
      <c r="L9662" s="27">
        <v>1800</v>
      </c>
      <c r="M9662" s="36">
        <v>0</v>
      </c>
      <c r="T9662" s="41">
        <v>0</v>
      </c>
      <c r="U9662" s="41">
        <v>0</v>
      </c>
      <c r="V9662" s="42" t="s">
        <v>113</v>
      </c>
      <c r="W9662" s="42">
        <v>1800</v>
      </c>
      <c r="X9662" s="42">
        <v>1800</v>
      </c>
    </row>
    <row r="9663" spans="1:24">
      <c r="A9663" s="27" t="s">
        <v>17657</v>
      </c>
      <c r="B9663" s="28" t="s">
        <v>17556</v>
      </c>
      <c r="C9663" s="27" t="s">
        <v>17636</v>
      </c>
      <c r="D9663" s="27" t="s">
        <v>17558</v>
      </c>
      <c r="E9663" s="29">
        <v>40544</v>
      </c>
      <c r="F9663" s="27">
        <v>7</v>
      </c>
      <c r="G9663" s="18">
        <v>1800</v>
      </c>
      <c r="H9663" s="27">
        <f t="shared" si="300"/>
        <v>1800</v>
      </c>
      <c r="I9663" s="18">
        <v>1800</v>
      </c>
      <c r="J9663" s="27">
        <v>1800</v>
      </c>
      <c r="K9663" s="18">
        <f t="shared" si="301"/>
        <v>1800</v>
      </c>
      <c r="L9663" s="27">
        <v>1800</v>
      </c>
      <c r="M9663" s="36">
        <v>0</v>
      </c>
      <c r="T9663" s="41">
        <v>0</v>
      </c>
      <c r="U9663" s="41">
        <v>0</v>
      </c>
      <c r="V9663" s="42" t="s">
        <v>113</v>
      </c>
      <c r="W9663" s="42">
        <v>1800</v>
      </c>
      <c r="X9663" s="42">
        <v>1800</v>
      </c>
    </row>
    <row r="9664" spans="1:24">
      <c r="A9664" s="27" t="s">
        <v>17658</v>
      </c>
      <c r="B9664" s="28" t="s">
        <v>17556</v>
      </c>
      <c r="C9664" s="27" t="s">
        <v>17636</v>
      </c>
      <c r="D9664" s="27" t="s">
        <v>17558</v>
      </c>
      <c r="E9664" s="29">
        <v>40544</v>
      </c>
      <c r="F9664" s="27">
        <v>7</v>
      </c>
      <c r="G9664" s="18">
        <v>1800</v>
      </c>
      <c r="H9664" s="27">
        <f t="shared" si="300"/>
        <v>1800</v>
      </c>
      <c r="I9664" s="18">
        <v>1800</v>
      </c>
      <c r="J9664" s="27">
        <v>1800</v>
      </c>
      <c r="K9664" s="18">
        <f t="shared" si="301"/>
        <v>1800</v>
      </c>
      <c r="L9664" s="27">
        <v>1800</v>
      </c>
      <c r="M9664" s="36">
        <v>0</v>
      </c>
      <c r="T9664" s="41">
        <v>0</v>
      </c>
      <c r="U9664" s="41">
        <v>0</v>
      </c>
      <c r="V9664" s="42" t="s">
        <v>113</v>
      </c>
      <c r="W9664" s="42">
        <v>1800</v>
      </c>
      <c r="X9664" s="42">
        <v>1800</v>
      </c>
    </row>
    <row r="9665" spans="1:24">
      <c r="A9665" s="27" t="s">
        <v>17659</v>
      </c>
      <c r="B9665" s="28" t="s">
        <v>17556</v>
      </c>
      <c r="C9665" s="27" t="s">
        <v>17636</v>
      </c>
      <c r="D9665" s="27" t="s">
        <v>17558</v>
      </c>
      <c r="E9665" s="29">
        <v>40544</v>
      </c>
      <c r="F9665" s="27">
        <v>7</v>
      </c>
      <c r="G9665" s="18">
        <v>1800</v>
      </c>
      <c r="H9665" s="27">
        <f t="shared" si="300"/>
        <v>1800</v>
      </c>
      <c r="I9665" s="18">
        <v>1800</v>
      </c>
      <c r="J9665" s="27">
        <v>1800</v>
      </c>
      <c r="K9665" s="18">
        <f t="shared" si="301"/>
        <v>1800</v>
      </c>
      <c r="L9665" s="27">
        <v>1800</v>
      </c>
      <c r="M9665" s="36">
        <v>0</v>
      </c>
      <c r="T9665" s="41">
        <v>0</v>
      </c>
      <c r="U9665" s="41">
        <v>0</v>
      </c>
      <c r="V9665" s="42" t="s">
        <v>113</v>
      </c>
      <c r="W9665" s="42">
        <v>1800</v>
      </c>
      <c r="X9665" s="42">
        <v>1800</v>
      </c>
    </row>
    <row r="9666" spans="1:24">
      <c r="A9666" s="27" t="s">
        <v>17660</v>
      </c>
      <c r="B9666" s="28" t="s">
        <v>17556</v>
      </c>
      <c r="C9666" s="27" t="s">
        <v>17636</v>
      </c>
      <c r="D9666" s="27" t="s">
        <v>17558</v>
      </c>
      <c r="E9666" s="29">
        <v>40544</v>
      </c>
      <c r="F9666" s="27">
        <v>7</v>
      </c>
      <c r="G9666" s="18">
        <v>1800</v>
      </c>
      <c r="H9666" s="27">
        <f t="shared" si="300"/>
        <v>1800</v>
      </c>
      <c r="I9666" s="18">
        <v>1800</v>
      </c>
      <c r="J9666" s="27">
        <v>1800</v>
      </c>
      <c r="K9666" s="18">
        <f t="shared" si="301"/>
        <v>1800</v>
      </c>
      <c r="L9666" s="27">
        <v>1800</v>
      </c>
      <c r="M9666" s="36">
        <v>0</v>
      </c>
      <c r="T9666" s="41">
        <v>0</v>
      </c>
      <c r="U9666" s="41">
        <v>0</v>
      </c>
      <c r="V9666" s="42" t="s">
        <v>113</v>
      </c>
      <c r="W9666" s="42">
        <v>1800</v>
      </c>
      <c r="X9666" s="42">
        <v>1800</v>
      </c>
    </row>
    <row r="9667" spans="1:24">
      <c r="A9667" s="27" t="s">
        <v>17661</v>
      </c>
      <c r="B9667" s="28" t="s">
        <v>17556</v>
      </c>
      <c r="C9667" s="27" t="s">
        <v>17636</v>
      </c>
      <c r="D9667" s="27" t="s">
        <v>17558</v>
      </c>
      <c r="E9667" s="29">
        <v>40544</v>
      </c>
      <c r="F9667" s="27">
        <v>7</v>
      </c>
      <c r="G9667" s="18">
        <v>1800</v>
      </c>
      <c r="H9667" s="27">
        <f t="shared" si="300"/>
        <v>1800</v>
      </c>
      <c r="I9667" s="18">
        <v>1800</v>
      </c>
      <c r="J9667" s="27">
        <v>1800</v>
      </c>
      <c r="K9667" s="18">
        <f t="shared" si="301"/>
        <v>1800</v>
      </c>
      <c r="L9667" s="27">
        <v>1800</v>
      </c>
      <c r="M9667" s="36">
        <v>0</v>
      </c>
      <c r="T9667" s="41">
        <v>0</v>
      </c>
      <c r="U9667" s="41">
        <v>0</v>
      </c>
      <c r="V9667" s="42" t="s">
        <v>113</v>
      </c>
      <c r="W9667" s="42">
        <v>1800</v>
      </c>
      <c r="X9667" s="42">
        <v>1800</v>
      </c>
    </row>
    <row r="9668" spans="1:24">
      <c r="A9668" s="27" t="s">
        <v>17662</v>
      </c>
      <c r="B9668" s="28" t="s">
        <v>17556</v>
      </c>
      <c r="C9668" s="27" t="s">
        <v>17636</v>
      </c>
      <c r="D9668" s="27" t="s">
        <v>17558</v>
      </c>
      <c r="E9668" s="29">
        <v>40544</v>
      </c>
      <c r="F9668" s="27">
        <v>7</v>
      </c>
      <c r="G9668" s="18">
        <v>1800</v>
      </c>
      <c r="H9668" s="27">
        <f t="shared" si="300"/>
        <v>1800</v>
      </c>
      <c r="I9668" s="18">
        <v>1800</v>
      </c>
      <c r="J9668" s="27">
        <v>1800</v>
      </c>
      <c r="K9668" s="18">
        <f t="shared" si="301"/>
        <v>1800</v>
      </c>
      <c r="L9668" s="27">
        <v>1800</v>
      </c>
      <c r="M9668" s="36">
        <v>0</v>
      </c>
      <c r="T9668" s="41">
        <v>0</v>
      </c>
      <c r="U9668" s="41">
        <v>0</v>
      </c>
      <c r="V9668" s="42" t="s">
        <v>113</v>
      </c>
      <c r="W9668" s="42">
        <v>1800</v>
      </c>
      <c r="X9668" s="42">
        <v>1800</v>
      </c>
    </row>
    <row r="9669" spans="1:24">
      <c r="A9669" s="27" t="s">
        <v>17663</v>
      </c>
      <c r="B9669" s="28" t="s">
        <v>17556</v>
      </c>
      <c r="C9669" s="27" t="s">
        <v>17636</v>
      </c>
      <c r="D9669" s="27" t="s">
        <v>17558</v>
      </c>
      <c r="E9669" s="29">
        <v>40544</v>
      </c>
      <c r="F9669" s="27">
        <v>7</v>
      </c>
      <c r="G9669" s="18">
        <v>1800</v>
      </c>
      <c r="H9669" s="27">
        <f t="shared" si="300"/>
        <v>1800</v>
      </c>
      <c r="I9669" s="18">
        <v>1800</v>
      </c>
      <c r="J9669" s="27">
        <v>1800</v>
      </c>
      <c r="K9669" s="18">
        <f t="shared" si="301"/>
        <v>1800</v>
      </c>
      <c r="L9669" s="27">
        <v>1800</v>
      </c>
      <c r="M9669" s="36">
        <v>0</v>
      </c>
      <c r="T9669" s="41">
        <v>0</v>
      </c>
      <c r="U9669" s="41">
        <v>0</v>
      </c>
      <c r="V9669" s="42" t="s">
        <v>113</v>
      </c>
      <c r="W9669" s="42">
        <v>1800</v>
      </c>
      <c r="X9669" s="42">
        <v>1800</v>
      </c>
    </row>
    <row r="9670" spans="1:24">
      <c r="A9670" s="27" t="s">
        <v>17664</v>
      </c>
      <c r="B9670" s="28" t="s">
        <v>17556</v>
      </c>
      <c r="C9670" s="27" t="s">
        <v>17636</v>
      </c>
      <c r="D9670" s="27" t="s">
        <v>17558</v>
      </c>
      <c r="E9670" s="29">
        <v>40544</v>
      </c>
      <c r="F9670" s="27">
        <v>7</v>
      </c>
      <c r="G9670" s="18">
        <v>1800</v>
      </c>
      <c r="H9670" s="27">
        <f t="shared" ref="H9670:H9733" si="302">IFERROR(IF(ROUND((G9670-I9670)/G9670,2)&lt;=0.05,G9670,0),0)</f>
        <v>1800</v>
      </c>
      <c r="I9670" s="18">
        <v>1800</v>
      </c>
      <c r="J9670" s="27">
        <v>1800</v>
      </c>
      <c r="K9670" s="18">
        <f t="shared" ref="K9670:K9733" si="303">IFERROR(IF(ROUND((J9670-L9670)/J9670,2)&lt;=0.05,J9670,0),0)</f>
        <v>1800</v>
      </c>
      <c r="L9670" s="27">
        <v>1800</v>
      </c>
      <c r="M9670" s="36">
        <v>0</v>
      </c>
      <c r="T9670" s="41">
        <v>0</v>
      </c>
      <c r="U9670" s="41">
        <v>0</v>
      </c>
      <c r="V9670" s="42" t="s">
        <v>113</v>
      </c>
      <c r="W9670" s="42">
        <v>1800</v>
      </c>
      <c r="X9670" s="42">
        <v>1800</v>
      </c>
    </row>
    <row r="9671" spans="1:24">
      <c r="A9671" s="27" t="s">
        <v>17665</v>
      </c>
      <c r="B9671" s="28" t="s">
        <v>17556</v>
      </c>
      <c r="C9671" s="27" t="s">
        <v>17636</v>
      </c>
      <c r="D9671" s="27" t="s">
        <v>17558</v>
      </c>
      <c r="E9671" s="29">
        <v>40544</v>
      </c>
      <c r="F9671" s="27">
        <v>7</v>
      </c>
      <c r="G9671" s="18">
        <v>1800</v>
      </c>
      <c r="H9671" s="27">
        <f t="shared" si="302"/>
        <v>1800</v>
      </c>
      <c r="I9671" s="18">
        <v>1800</v>
      </c>
      <c r="J9671" s="27">
        <v>1800</v>
      </c>
      <c r="K9671" s="18">
        <f t="shared" si="303"/>
        <v>1800</v>
      </c>
      <c r="L9671" s="27">
        <v>1800</v>
      </c>
      <c r="M9671" s="36">
        <v>0</v>
      </c>
      <c r="T9671" s="41">
        <v>0</v>
      </c>
      <c r="U9671" s="41">
        <v>0</v>
      </c>
      <c r="V9671" s="42" t="s">
        <v>113</v>
      </c>
      <c r="W9671" s="42">
        <v>1800</v>
      </c>
      <c r="X9671" s="42">
        <v>1800</v>
      </c>
    </row>
    <row r="9672" spans="1:24">
      <c r="A9672" s="27" t="s">
        <v>17666</v>
      </c>
      <c r="B9672" s="28" t="s">
        <v>17556</v>
      </c>
      <c r="C9672" s="27" t="s">
        <v>17636</v>
      </c>
      <c r="D9672" s="27" t="s">
        <v>17558</v>
      </c>
      <c r="E9672" s="29">
        <v>40544</v>
      </c>
      <c r="F9672" s="27">
        <v>7</v>
      </c>
      <c r="G9672" s="18">
        <v>1800</v>
      </c>
      <c r="H9672" s="27">
        <f t="shared" si="302"/>
        <v>1800</v>
      </c>
      <c r="I9672" s="18">
        <v>1800</v>
      </c>
      <c r="J9672" s="27">
        <v>1800</v>
      </c>
      <c r="K9672" s="18">
        <f t="shared" si="303"/>
        <v>1800</v>
      </c>
      <c r="L9672" s="27">
        <v>1800</v>
      </c>
      <c r="M9672" s="36">
        <v>0</v>
      </c>
      <c r="T9672" s="41">
        <v>0</v>
      </c>
      <c r="U9672" s="41">
        <v>0</v>
      </c>
      <c r="V9672" s="42" t="s">
        <v>113</v>
      </c>
      <c r="W9672" s="42">
        <v>1800</v>
      </c>
      <c r="X9672" s="42">
        <v>1800</v>
      </c>
    </row>
    <row r="9673" spans="1:24">
      <c r="A9673" s="27" t="s">
        <v>17667</v>
      </c>
      <c r="B9673" s="28" t="s">
        <v>17556</v>
      </c>
      <c r="C9673" s="27" t="s">
        <v>17636</v>
      </c>
      <c r="D9673" s="27" t="s">
        <v>17558</v>
      </c>
      <c r="E9673" s="29">
        <v>40544</v>
      </c>
      <c r="F9673" s="27">
        <v>7</v>
      </c>
      <c r="G9673" s="18">
        <v>1800</v>
      </c>
      <c r="H9673" s="27">
        <f t="shared" si="302"/>
        <v>1800</v>
      </c>
      <c r="I9673" s="18">
        <v>1800</v>
      </c>
      <c r="J9673" s="27">
        <v>1800</v>
      </c>
      <c r="K9673" s="18">
        <f t="shared" si="303"/>
        <v>1800</v>
      </c>
      <c r="L9673" s="27">
        <v>1800</v>
      </c>
      <c r="M9673" s="36">
        <v>0</v>
      </c>
      <c r="T9673" s="41">
        <v>0</v>
      </c>
      <c r="U9673" s="41">
        <v>0</v>
      </c>
      <c r="V9673" s="42" t="s">
        <v>113</v>
      </c>
      <c r="W9673" s="42">
        <v>1800</v>
      </c>
      <c r="X9673" s="42">
        <v>1800</v>
      </c>
    </row>
    <row r="9674" spans="1:24">
      <c r="A9674" s="27" t="s">
        <v>17668</v>
      </c>
      <c r="B9674" s="28" t="s">
        <v>17556</v>
      </c>
      <c r="C9674" s="27" t="s">
        <v>17636</v>
      </c>
      <c r="D9674" s="27" t="s">
        <v>17558</v>
      </c>
      <c r="E9674" s="29">
        <v>40544</v>
      </c>
      <c r="F9674" s="27">
        <v>7</v>
      </c>
      <c r="G9674" s="18">
        <v>1800</v>
      </c>
      <c r="H9674" s="27">
        <f t="shared" si="302"/>
        <v>1800</v>
      </c>
      <c r="I9674" s="18">
        <v>1800</v>
      </c>
      <c r="J9674" s="27">
        <v>1800</v>
      </c>
      <c r="K9674" s="18">
        <f t="shared" si="303"/>
        <v>1800</v>
      </c>
      <c r="L9674" s="27">
        <v>1800</v>
      </c>
      <c r="M9674" s="36">
        <v>0</v>
      </c>
      <c r="T9674" s="41">
        <v>0</v>
      </c>
      <c r="U9674" s="41">
        <v>0</v>
      </c>
      <c r="V9674" s="42" t="s">
        <v>113</v>
      </c>
      <c r="W9674" s="42">
        <v>1800</v>
      </c>
      <c r="X9674" s="42">
        <v>1800</v>
      </c>
    </row>
    <row r="9675" spans="1:24">
      <c r="A9675" s="27" t="s">
        <v>17669</v>
      </c>
      <c r="B9675" s="28" t="s">
        <v>17556</v>
      </c>
      <c r="C9675" s="27" t="s">
        <v>17636</v>
      </c>
      <c r="D9675" s="27" t="s">
        <v>17558</v>
      </c>
      <c r="E9675" s="29">
        <v>40544</v>
      </c>
      <c r="F9675" s="27">
        <v>7</v>
      </c>
      <c r="G9675" s="18">
        <v>1800</v>
      </c>
      <c r="H9675" s="27">
        <f t="shared" si="302"/>
        <v>1800</v>
      </c>
      <c r="I9675" s="18">
        <v>1800</v>
      </c>
      <c r="J9675" s="27">
        <v>1800</v>
      </c>
      <c r="K9675" s="18">
        <f t="shared" si="303"/>
        <v>1800</v>
      </c>
      <c r="L9675" s="27">
        <v>1800</v>
      </c>
      <c r="M9675" s="36">
        <v>0</v>
      </c>
      <c r="T9675" s="41">
        <v>0</v>
      </c>
      <c r="U9675" s="41">
        <v>0</v>
      </c>
      <c r="V9675" s="42" t="s">
        <v>113</v>
      </c>
      <c r="W9675" s="42">
        <v>1800</v>
      </c>
      <c r="X9675" s="42">
        <v>1800</v>
      </c>
    </row>
    <row r="9676" spans="1:24">
      <c r="A9676" s="27" t="s">
        <v>17670</v>
      </c>
      <c r="B9676" s="28" t="s">
        <v>17556</v>
      </c>
      <c r="C9676" s="27" t="s">
        <v>17636</v>
      </c>
      <c r="D9676" s="27" t="s">
        <v>17558</v>
      </c>
      <c r="E9676" s="29">
        <v>40544</v>
      </c>
      <c r="F9676" s="27">
        <v>7</v>
      </c>
      <c r="G9676" s="18">
        <v>1800</v>
      </c>
      <c r="H9676" s="27">
        <f t="shared" si="302"/>
        <v>1800</v>
      </c>
      <c r="I9676" s="18">
        <v>1800</v>
      </c>
      <c r="J9676" s="27">
        <v>1800</v>
      </c>
      <c r="K9676" s="18">
        <f t="shared" si="303"/>
        <v>1800</v>
      </c>
      <c r="L9676" s="27">
        <v>1800</v>
      </c>
      <c r="M9676" s="36">
        <v>0</v>
      </c>
      <c r="T9676" s="41">
        <v>0</v>
      </c>
      <c r="U9676" s="41">
        <v>0</v>
      </c>
      <c r="V9676" s="42" t="s">
        <v>113</v>
      </c>
      <c r="W9676" s="42">
        <v>1800</v>
      </c>
      <c r="X9676" s="42">
        <v>1800</v>
      </c>
    </row>
    <row r="9677" spans="1:24">
      <c r="A9677" s="27" t="s">
        <v>17671</v>
      </c>
      <c r="B9677" s="28" t="s">
        <v>17556</v>
      </c>
      <c r="C9677" s="27" t="s">
        <v>17636</v>
      </c>
      <c r="D9677" s="27" t="s">
        <v>17558</v>
      </c>
      <c r="E9677" s="29">
        <v>42048</v>
      </c>
      <c r="F9677" s="27">
        <v>7</v>
      </c>
      <c r="G9677" s="18">
        <v>1100</v>
      </c>
      <c r="H9677" s="27">
        <f t="shared" si="302"/>
        <v>1100</v>
      </c>
      <c r="I9677" s="18">
        <v>1100</v>
      </c>
      <c r="J9677" s="27">
        <v>1100</v>
      </c>
      <c r="K9677" s="18">
        <f t="shared" si="303"/>
        <v>1100</v>
      </c>
      <c r="L9677" s="27">
        <v>1100</v>
      </c>
      <c r="M9677" s="36">
        <v>0</v>
      </c>
      <c r="T9677" s="41">
        <v>0</v>
      </c>
      <c r="U9677" s="41">
        <v>0</v>
      </c>
      <c r="V9677" s="42" t="s">
        <v>113</v>
      </c>
      <c r="W9677" s="42">
        <v>1100</v>
      </c>
      <c r="X9677" s="42">
        <v>1100</v>
      </c>
    </row>
    <row r="9678" spans="1:24">
      <c r="A9678" s="27" t="s">
        <v>17672</v>
      </c>
      <c r="B9678" s="28" t="s">
        <v>17556</v>
      </c>
      <c r="C9678" s="27" t="s">
        <v>17636</v>
      </c>
      <c r="D9678" s="27" t="s">
        <v>17558</v>
      </c>
      <c r="E9678" s="29">
        <v>42048</v>
      </c>
      <c r="F9678" s="27">
        <v>7</v>
      </c>
      <c r="G9678" s="18">
        <v>1100</v>
      </c>
      <c r="H9678" s="27">
        <f t="shared" si="302"/>
        <v>1100</v>
      </c>
      <c r="I9678" s="18">
        <v>1100</v>
      </c>
      <c r="J9678" s="27">
        <v>1100</v>
      </c>
      <c r="K9678" s="18">
        <f t="shared" si="303"/>
        <v>1100</v>
      </c>
      <c r="L9678" s="27">
        <v>1100</v>
      </c>
      <c r="M9678" s="36">
        <v>0</v>
      </c>
      <c r="T9678" s="41">
        <v>0</v>
      </c>
      <c r="U9678" s="41">
        <v>0</v>
      </c>
      <c r="V9678" s="42" t="s">
        <v>113</v>
      </c>
      <c r="W9678" s="42">
        <v>1100</v>
      </c>
      <c r="X9678" s="42">
        <v>1100</v>
      </c>
    </row>
    <row r="9679" spans="1:24">
      <c r="A9679" s="27" t="s">
        <v>17673</v>
      </c>
      <c r="B9679" s="28" t="s">
        <v>17556</v>
      </c>
      <c r="C9679" s="27" t="s">
        <v>17636</v>
      </c>
      <c r="D9679" s="27" t="s">
        <v>17558</v>
      </c>
      <c r="E9679" s="29">
        <v>42048</v>
      </c>
      <c r="F9679" s="27">
        <v>7</v>
      </c>
      <c r="G9679" s="18">
        <v>1100</v>
      </c>
      <c r="H9679" s="27">
        <f t="shared" si="302"/>
        <v>1100</v>
      </c>
      <c r="I9679" s="18">
        <v>1100</v>
      </c>
      <c r="J9679" s="27">
        <v>1100</v>
      </c>
      <c r="K9679" s="18">
        <f t="shared" si="303"/>
        <v>1100</v>
      </c>
      <c r="L9679" s="27">
        <v>1100</v>
      </c>
      <c r="M9679" s="36">
        <v>0</v>
      </c>
      <c r="T9679" s="41">
        <v>0</v>
      </c>
      <c r="U9679" s="41">
        <v>0</v>
      </c>
      <c r="V9679" s="42" t="s">
        <v>113</v>
      </c>
      <c r="W9679" s="42">
        <v>1100</v>
      </c>
      <c r="X9679" s="42">
        <v>1100</v>
      </c>
    </row>
    <row r="9680" spans="1:24">
      <c r="A9680" s="27" t="s">
        <v>17674</v>
      </c>
      <c r="B9680" s="28" t="s">
        <v>17556</v>
      </c>
      <c r="C9680" s="27" t="s">
        <v>17636</v>
      </c>
      <c r="D9680" s="27" t="s">
        <v>17558</v>
      </c>
      <c r="E9680" s="29">
        <v>42048</v>
      </c>
      <c r="F9680" s="27">
        <v>7</v>
      </c>
      <c r="G9680" s="18">
        <v>1100</v>
      </c>
      <c r="H9680" s="27">
        <f t="shared" si="302"/>
        <v>1100</v>
      </c>
      <c r="I9680" s="18">
        <v>1100</v>
      </c>
      <c r="J9680" s="27">
        <v>1100</v>
      </c>
      <c r="K9680" s="18">
        <f t="shared" si="303"/>
        <v>1100</v>
      </c>
      <c r="L9680" s="27">
        <v>1100</v>
      </c>
      <c r="M9680" s="36">
        <v>0</v>
      </c>
      <c r="T9680" s="41">
        <v>0</v>
      </c>
      <c r="U9680" s="41">
        <v>0</v>
      </c>
      <c r="V9680" s="42" t="s">
        <v>113</v>
      </c>
      <c r="W9680" s="42">
        <v>1100</v>
      </c>
      <c r="X9680" s="42">
        <v>1100</v>
      </c>
    </row>
    <row r="9681" spans="1:24">
      <c r="A9681" s="27" t="s">
        <v>17675</v>
      </c>
      <c r="B9681" s="28" t="s">
        <v>17556</v>
      </c>
      <c r="C9681" s="27" t="s">
        <v>17636</v>
      </c>
      <c r="D9681" s="27" t="s">
        <v>17558</v>
      </c>
      <c r="E9681" s="29">
        <v>42048</v>
      </c>
      <c r="F9681" s="27">
        <v>7</v>
      </c>
      <c r="G9681" s="18">
        <v>1100</v>
      </c>
      <c r="H9681" s="27">
        <f t="shared" si="302"/>
        <v>1100</v>
      </c>
      <c r="I9681" s="18">
        <v>1100</v>
      </c>
      <c r="J9681" s="27">
        <v>1100</v>
      </c>
      <c r="K9681" s="18">
        <f t="shared" si="303"/>
        <v>1100</v>
      </c>
      <c r="L9681" s="27">
        <v>1100</v>
      </c>
      <c r="M9681" s="36">
        <v>0</v>
      </c>
      <c r="T9681" s="41">
        <v>0</v>
      </c>
      <c r="U9681" s="41">
        <v>0</v>
      </c>
      <c r="V9681" s="42" t="s">
        <v>113</v>
      </c>
      <c r="W9681" s="42">
        <v>1100</v>
      </c>
      <c r="X9681" s="42">
        <v>1100</v>
      </c>
    </row>
    <row r="9682" spans="1:24">
      <c r="A9682" s="27" t="s">
        <v>17676</v>
      </c>
      <c r="B9682" s="28" t="s">
        <v>17556</v>
      </c>
      <c r="C9682" s="27" t="s">
        <v>17636</v>
      </c>
      <c r="D9682" s="27" t="s">
        <v>17558</v>
      </c>
      <c r="E9682" s="29">
        <v>42048</v>
      </c>
      <c r="F9682" s="27">
        <v>7</v>
      </c>
      <c r="G9682" s="18">
        <v>1100</v>
      </c>
      <c r="H9682" s="27">
        <f t="shared" si="302"/>
        <v>1100</v>
      </c>
      <c r="I9682" s="18">
        <v>1100</v>
      </c>
      <c r="J9682" s="27">
        <v>1100</v>
      </c>
      <c r="K9682" s="18">
        <f t="shared" si="303"/>
        <v>1100</v>
      </c>
      <c r="L9682" s="27">
        <v>1100</v>
      </c>
      <c r="M9682" s="36">
        <v>0</v>
      </c>
      <c r="T9682" s="41">
        <v>0</v>
      </c>
      <c r="U9682" s="41">
        <v>0</v>
      </c>
      <c r="V9682" s="42" t="s">
        <v>113</v>
      </c>
      <c r="W9682" s="42">
        <v>1100</v>
      </c>
      <c r="X9682" s="42">
        <v>1100</v>
      </c>
    </row>
    <row r="9683" spans="1:24">
      <c r="A9683" s="27" t="s">
        <v>17677</v>
      </c>
      <c r="B9683" s="28" t="s">
        <v>17556</v>
      </c>
      <c r="C9683" s="27" t="s">
        <v>17636</v>
      </c>
      <c r="D9683" s="27" t="s">
        <v>17558</v>
      </c>
      <c r="E9683" s="29">
        <v>42048</v>
      </c>
      <c r="F9683" s="27">
        <v>7</v>
      </c>
      <c r="G9683" s="18">
        <v>1100</v>
      </c>
      <c r="H9683" s="27">
        <f t="shared" si="302"/>
        <v>1100</v>
      </c>
      <c r="I9683" s="18">
        <v>1100</v>
      </c>
      <c r="J9683" s="27">
        <v>1100</v>
      </c>
      <c r="K9683" s="18">
        <f t="shared" si="303"/>
        <v>1100</v>
      </c>
      <c r="L9683" s="27">
        <v>1100</v>
      </c>
      <c r="M9683" s="36">
        <v>0</v>
      </c>
      <c r="T9683" s="41">
        <v>0</v>
      </c>
      <c r="U9683" s="41">
        <v>0</v>
      </c>
      <c r="V9683" s="42" t="s">
        <v>113</v>
      </c>
      <c r="W9683" s="42">
        <v>1100</v>
      </c>
      <c r="X9683" s="42">
        <v>1100</v>
      </c>
    </row>
    <row r="9684" spans="1:24">
      <c r="A9684" s="27" t="s">
        <v>17678</v>
      </c>
      <c r="B9684" s="28" t="s">
        <v>17556</v>
      </c>
      <c r="C9684" s="27" t="s">
        <v>17679</v>
      </c>
      <c r="D9684" s="27" t="s">
        <v>17578</v>
      </c>
      <c r="E9684" s="29">
        <v>41225</v>
      </c>
      <c r="F9684" s="27">
        <v>7</v>
      </c>
      <c r="G9684" s="18">
        <v>90283.33</v>
      </c>
      <c r="H9684" s="27">
        <f t="shared" si="302"/>
        <v>0</v>
      </c>
      <c r="I9684" s="18">
        <v>74479.259999999995</v>
      </c>
      <c r="J9684" s="27">
        <v>90283.33</v>
      </c>
      <c r="K9684" s="18">
        <f t="shared" si="303"/>
        <v>90283.33</v>
      </c>
      <c r="L9684" s="27">
        <v>85769.16</v>
      </c>
      <c r="M9684" s="36">
        <v>11289.9</v>
      </c>
      <c r="T9684" s="41">
        <v>0</v>
      </c>
      <c r="U9684" s="41">
        <v>0</v>
      </c>
      <c r="V9684" s="42" t="s">
        <v>113</v>
      </c>
      <c r="W9684" s="42">
        <v>90283.33</v>
      </c>
      <c r="X9684" s="42">
        <v>90283.33</v>
      </c>
    </row>
    <row r="9685" spans="1:24">
      <c r="A9685" s="27" t="s">
        <v>17680</v>
      </c>
      <c r="B9685" s="28" t="s">
        <v>17556</v>
      </c>
      <c r="C9685" s="27" t="s">
        <v>17679</v>
      </c>
      <c r="D9685" s="27" t="s">
        <v>17578</v>
      </c>
      <c r="E9685" s="29">
        <v>41225</v>
      </c>
      <c r="F9685" s="27">
        <v>7</v>
      </c>
      <c r="G9685" s="18">
        <v>206650.59</v>
      </c>
      <c r="H9685" s="27">
        <f t="shared" si="302"/>
        <v>0</v>
      </c>
      <c r="I9685" s="18">
        <v>170476.48</v>
      </c>
      <c r="J9685" s="27">
        <v>206650.59</v>
      </c>
      <c r="K9685" s="18">
        <f t="shared" si="303"/>
        <v>206650.59</v>
      </c>
      <c r="L9685" s="27">
        <v>196318.06</v>
      </c>
      <c r="M9685" s="36">
        <v>25841.58</v>
      </c>
      <c r="T9685" s="41">
        <v>0</v>
      </c>
      <c r="U9685" s="41">
        <v>0</v>
      </c>
      <c r="V9685" s="42" t="s">
        <v>113</v>
      </c>
      <c r="W9685" s="42">
        <v>206650.59</v>
      </c>
      <c r="X9685" s="42">
        <v>206650.59</v>
      </c>
    </row>
    <row r="9686" spans="1:24">
      <c r="A9686" s="27" t="s">
        <v>17681</v>
      </c>
      <c r="B9686" s="28" t="s">
        <v>17556</v>
      </c>
      <c r="C9686" s="27" t="s">
        <v>17679</v>
      </c>
      <c r="D9686" s="27" t="s">
        <v>17578</v>
      </c>
      <c r="E9686" s="29">
        <v>41225</v>
      </c>
      <c r="F9686" s="27">
        <v>7</v>
      </c>
      <c r="G9686" s="18">
        <v>368514.38</v>
      </c>
      <c r="H9686" s="27">
        <f t="shared" si="302"/>
        <v>0</v>
      </c>
      <c r="I9686" s="18">
        <v>304006.07</v>
      </c>
      <c r="J9686" s="27">
        <v>368514.38</v>
      </c>
      <c r="K9686" s="18">
        <f t="shared" si="303"/>
        <v>368514.38</v>
      </c>
      <c r="L9686" s="27">
        <v>350088.66</v>
      </c>
      <c r="M9686" s="36">
        <v>46082.59</v>
      </c>
      <c r="T9686" s="41">
        <v>0</v>
      </c>
      <c r="U9686" s="41">
        <v>0</v>
      </c>
      <c r="V9686" s="42" t="s">
        <v>113</v>
      </c>
      <c r="W9686" s="42">
        <v>368514.38</v>
      </c>
      <c r="X9686" s="42">
        <v>368514.38</v>
      </c>
    </row>
    <row r="9687" spans="1:24">
      <c r="A9687" s="27" t="s">
        <v>17682</v>
      </c>
      <c r="B9687" s="28" t="s">
        <v>17556</v>
      </c>
      <c r="C9687" s="27" t="s">
        <v>17683</v>
      </c>
      <c r="D9687" s="27" t="s">
        <v>17578</v>
      </c>
      <c r="E9687" s="29">
        <v>41451</v>
      </c>
      <c r="F9687" s="27">
        <v>7</v>
      </c>
      <c r="G9687" s="18">
        <v>7893.53</v>
      </c>
      <c r="H9687" s="27">
        <f t="shared" si="302"/>
        <v>0</v>
      </c>
      <c r="I9687" s="18">
        <v>6078.27</v>
      </c>
      <c r="J9687" s="27">
        <v>7893.53</v>
      </c>
      <c r="K9687" s="18">
        <f t="shared" si="303"/>
        <v>0</v>
      </c>
      <c r="L9687" s="27">
        <v>7025.32</v>
      </c>
      <c r="M9687" s="36">
        <v>947.05</v>
      </c>
      <c r="T9687" s="41">
        <v>0</v>
      </c>
      <c r="U9687" s="41">
        <v>0</v>
      </c>
      <c r="V9687" s="42" t="s">
        <v>113</v>
      </c>
      <c r="W9687" s="42">
        <v>7893.53</v>
      </c>
      <c r="X9687" s="42">
        <v>7893.53</v>
      </c>
    </row>
    <row r="9688" spans="1:24">
      <c r="A9688" s="27" t="s">
        <v>17684</v>
      </c>
      <c r="B9688" s="28" t="s">
        <v>17556</v>
      </c>
      <c r="C9688" s="27" t="s">
        <v>17685</v>
      </c>
      <c r="D9688" s="27" t="s">
        <v>17578</v>
      </c>
      <c r="E9688" s="29">
        <v>41451</v>
      </c>
      <c r="F9688" s="27">
        <v>7</v>
      </c>
      <c r="G9688" s="18">
        <v>13936.34</v>
      </c>
      <c r="H9688" s="27">
        <f t="shared" si="302"/>
        <v>0</v>
      </c>
      <c r="I9688" s="18">
        <v>10591.13</v>
      </c>
      <c r="J9688" s="27">
        <v>13936.34</v>
      </c>
      <c r="K9688" s="18">
        <f t="shared" si="303"/>
        <v>0</v>
      </c>
      <c r="L9688" s="27">
        <v>12356.72</v>
      </c>
      <c r="M9688" s="36">
        <v>1765.59</v>
      </c>
      <c r="T9688" s="41">
        <v>0</v>
      </c>
      <c r="U9688" s="41">
        <v>0</v>
      </c>
      <c r="V9688" s="42" t="s">
        <v>113</v>
      </c>
      <c r="W9688" s="42">
        <v>13936.34</v>
      </c>
      <c r="X9688" s="42">
        <v>13936.34</v>
      </c>
    </row>
    <row r="9689" spans="1:24">
      <c r="A9689" s="27" t="s">
        <v>17686</v>
      </c>
      <c r="B9689" s="28" t="s">
        <v>17556</v>
      </c>
      <c r="C9689" s="27" t="s">
        <v>17687</v>
      </c>
      <c r="D9689" s="27" t="s">
        <v>17578</v>
      </c>
      <c r="E9689" s="29">
        <v>41451</v>
      </c>
      <c r="F9689" s="27">
        <v>7</v>
      </c>
      <c r="G9689" s="18">
        <v>11393.29</v>
      </c>
      <c r="H9689" s="27">
        <f t="shared" si="302"/>
        <v>0</v>
      </c>
      <c r="I9689" s="18">
        <v>8692.89</v>
      </c>
      <c r="J9689" s="27">
        <v>11393.29</v>
      </c>
      <c r="K9689" s="18">
        <f t="shared" si="303"/>
        <v>0</v>
      </c>
      <c r="L9689" s="27">
        <v>10113.379999999999</v>
      </c>
      <c r="M9689" s="36">
        <v>1420.49</v>
      </c>
      <c r="T9689" s="41">
        <v>0</v>
      </c>
      <c r="U9689" s="41">
        <v>0</v>
      </c>
      <c r="V9689" s="42" t="s">
        <v>113</v>
      </c>
      <c r="W9689" s="42">
        <v>11393.29</v>
      </c>
      <c r="X9689" s="42">
        <v>11393.29</v>
      </c>
    </row>
    <row r="9690" spans="1:24">
      <c r="A9690" s="27" t="s">
        <v>17688</v>
      </c>
      <c r="B9690" s="28" t="s">
        <v>17556</v>
      </c>
      <c r="C9690" s="27" t="s">
        <v>17689</v>
      </c>
      <c r="D9690" s="27" t="s">
        <v>17578</v>
      </c>
      <c r="E9690" s="29">
        <v>41451</v>
      </c>
      <c r="F9690" s="27">
        <v>7</v>
      </c>
      <c r="G9690" s="18">
        <v>9371.77</v>
      </c>
      <c r="H9690" s="27">
        <f t="shared" si="302"/>
        <v>0</v>
      </c>
      <c r="I9690" s="18">
        <v>7169.55</v>
      </c>
      <c r="J9690" s="27">
        <v>9371.77</v>
      </c>
      <c r="K9690" s="18">
        <f t="shared" si="303"/>
        <v>0</v>
      </c>
      <c r="L9690" s="27">
        <v>8325.2999999999993</v>
      </c>
      <c r="M9690" s="36">
        <v>1155.75</v>
      </c>
      <c r="T9690" s="41">
        <v>0</v>
      </c>
      <c r="U9690" s="41">
        <v>0</v>
      </c>
      <c r="V9690" s="42" t="s">
        <v>113</v>
      </c>
      <c r="W9690" s="42">
        <v>9371.77</v>
      </c>
      <c r="X9690" s="42">
        <v>9371.77</v>
      </c>
    </row>
    <row r="9691" spans="1:24">
      <c r="A9691" s="27" t="s">
        <v>17690</v>
      </c>
      <c r="B9691" s="28" t="s">
        <v>17556</v>
      </c>
      <c r="C9691" s="27" t="s">
        <v>17691</v>
      </c>
      <c r="D9691" s="27" t="s">
        <v>17578</v>
      </c>
      <c r="E9691" s="29">
        <v>41451</v>
      </c>
      <c r="F9691" s="27">
        <v>7</v>
      </c>
      <c r="G9691" s="18">
        <v>7805.33</v>
      </c>
      <c r="H9691" s="27">
        <f t="shared" si="302"/>
        <v>0</v>
      </c>
      <c r="I9691" s="18">
        <v>5913.6</v>
      </c>
      <c r="J9691" s="27">
        <v>7805.33</v>
      </c>
      <c r="K9691" s="18">
        <f t="shared" si="303"/>
        <v>0</v>
      </c>
      <c r="L9691" s="27">
        <v>6914.57</v>
      </c>
      <c r="M9691" s="36">
        <v>1000.97</v>
      </c>
      <c r="T9691" s="41">
        <v>0</v>
      </c>
      <c r="U9691" s="41">
        <v>0</v>
      </c>
      <c r="V9691" s="42" t="s">
        <v>113</v>
      </c>
      <c r="W9691" s="42">
        <v>7805.33</v>
      </c>
      <c r="X9691" s="42">
        <v>7805.33</v>
      </c>
    </row>
    <row r="9692" spans="1:24">
      <c r="A9692" s="27" t="s">
        <v>17692</v>
      </c>
      <c r="B9692" s="28" t="s">
        <v>17556</v>
      </c>
      <c r="C9692" s="27" t="s">
        <v>17693</v>
      </c>
      <c r="D9692" s="27" t="s">
        <v>17578</v>
      </c>
      <c r="E9692" s="29">
        <v>41451</v>
      </c>
      <c r="F9692" s="27">
        <v>7</v>
      </c>
      <c r="G9692" s="18">
        <v>12980.69</v>
      </c>
      <c r="H9692" s="27">
        <f t="shared" si="302"/>
        <v>0</v>
      </c>
      <c r="I9692" s="18">
        <v>9891.7800000000007</v>
      </c>
      <c r="J9692" s="27">
        <v>12980.69</v>
      </c>
      <c r="K9692" s="18">
        <f t="shared" si="303"/>
        <v>0</v>
      </c>
      <c r="L9692" s="27">
        <v>11518.37</v>
      </c>
      <c r="M9692" s="36">
        <v>1626.59</v>
      </c>
      <c r="T9692" s="41">
        <v>0</v>
      </c>
      <c r="U9692" s="41">
        <v>0</v>
      </c>
      <c r="V9692" s="42" t="s">
        <v>113</v>
      </c>
      <c r="W9692" s="42">
        <v>12980.69</v>
      </c>
      <c r="X9692" s="42">
        <v>12980.69</v>
      </c>
    </row>
    <row r="9693" spans="1:24">
      <c r="A9693" s="27" t="s">
        <v>17694</v>
      </c>
      <c r="B9693" s="28" t="s">
        <v>17556</v>
      </c>
      <c r="C9693" s="27" t="s">
        <v>17695</v>
      </c>
      <c r="D9693" s="27" t="s">
        <v>17578</v>
      </c>
      <c r="E9693" s="29">
        <v>41452</v>
      </c>
      <c r="F9693" s="27">
        <v>7</v>
      </c>
      <c r="G9693" s="18">
        <v>9244.9599999999991</v>
      </c>
      <c r="H9693" s="27">
        <f t="shared" si="302"/>
        <v>0</v>
      </c>
      <c r="I9693" s="18">
        <v>6900.7</v>
      </c>
      <c r="J9693" s="27">
        <v>9244.9599999999991</v>
      </c>
      <c r="K9693" s="18">
        <f t="shared" si="303"/>
        <v>0</v>
      </c>
      <c r="L9693" s="27">
        <v>8155.37</v>
      </c>
      <c r="M9693" s="36">
        <v>1254.67</v>
      </c>
      <c r="T9693" s="41">
        <v>0</v>
      </c>
      <c r="U9693" s="41">
        <v>0</v>
      </c>
      <c r="V9693" s="42" t="s">
        <v>113</v>
      </c>
      <c r="W9693" s="42">
        <v>9244.9599999999991</v>
      </c>
      <c r="X9693" s="42">
        <v>9244.9599999999991</v>
      </c>
    </row>
    <row r="9694" spans="1:24">
      <c r="A9694" s="27" t="s">
        <v>17696</v>
      </c>
      <c r="B9694" s="28" t="s">
        <v>17556</v>
      </c>
      <c r="C9694" s="27" t="s">
        <v>17697</v>
      </c>
      <c r="D9694" s="27" t="s">
        <v>17578</v>
      </c>
      <c r="E9694" s="29">
        <v>41452</v>
      </c>
      <c r="F9694" s="27">
        <v>7</v>
      </c>
      <c r="G9694" s="18">
        <v>9244.9599999999991</v>
      </c>
      <c r="H9694" s="27">
        <f t="shared" si="302"/>
        <v>0</v>
      </c>
      <c r="I9694" s="18">
        <v>6900.7</v>
      </c>
      <c r="J9694" s="27">
        <v>9244.9599999999991</v>
      </c>
      <c r="K9694" s="18">
        <f t="shared" si="303"/>
        <v>0</v>
      </c>
      <c r="L9694" s="27">
        <v>8155.37</v>
      </c>
      <c r="M9694" s="36">
        <v>1254.67</v>
      </c>
      <c r="T9694" s="41">
        <v>0</v>
      </c>
      <c r="U9694" s="41">
        <v>0</v>
      </c>
      <c r="V9694" s="42" t="s">
        <v>113</v>
      </c>
      <c r="W9694" s="42">
        <v>9244.9599999999991</v>
      </c>
      <c r="X9694" s="42">
        <v>9244.9599999999991</v>
      </c>
    </row>
    <row r="9695" spans="1:24">
      <c r="A9695" s="27" t="s">
        <v>17698</v>
      </c>
      <c r="B9695" s="28" t="s">
        <v>17556</v>
      </c>
      <c r="C9695" s="27" t="s">
        <v>17699</v>
      </c>
      <c r="D9695" s="27" t="s">
        <v>17578</v>
      </c>
      <c r="E9695" s="29">
        <v>41452</v>
      </c>
      <c r="F9695" s="27">
        <v>7</v>
      </c>
      <c r="G9695" s="18">
        <v>9244.9699999999993</v>
      </c>
      <c r="H9695" s="27">
        <f t="shared" si="302"/>
        <v>0</v>
      </c>
      <c r="I9695" s="18">
        <v>6900.71</v>
      </c>
      <c r="J9695" s="27">
        <v>9244.9699999999993</v>
      </c>
      <c r="K9695" s="18">
        <f t="shared" si="303"/>
        <v>0</v>
      </c>
      <c r="L9695" s="27">
        <v>8155.38</v>
      </c>
      <c r="M9695" s="36">
        <v>1254.67</v>
      </c>
      <c r="T9695" s="41">
        <v>0</v>
      </c>
      <c r="U9695" s="41">
        <v>0</v>
      </c>
      <c r="V9695" s="42" t="s">
        <v>113</v>
      </c>
      <c r="W9695" s="42">
        <v>9244.9699999999993</v>
      </c>
      <c r="X9695" s="42">
        <v>9244.9699999999993</v>
      </c>
    </row>
    <row r="9696" spans="1:24">
      <c r="A9696" s="27" t="s">
        <v>17700</v>
      </c>
      <c r="B9696" s="28" t="s">
        <v>17556</v>
      </c>
      <c r="C9696" s="27" t="s">
        <v>17701</v>
      </c>
      <c r="D9696" s="27" t="s">
        <v>17578</v>
      </c>
      <c r="E9696" s="29">
        <v>41452</v>
      </c>
      <c r="F9696" s="27">
        <v>7</v>
      </c>
      <c r="G9696" s="18">
        <v>8804.8799999999992</v>
      </c>
      <c r="H9696" s="27">
        <f t="shared" si="302"/>
        <v>0</v>
      </c>
      <c r="I9696" s="18">
        <v>6571.7</v>
      </c>
      <c r="J9696" s="27">
        <v>8804.8799999999992</v>
      </c>
      <c r="K9696" s="18">
        <f t="shared" si="303"/>
        <v>0</v>
      </c>
      <c r="L9696" s="27">
        <v>7766.99</v>
      </c>
      <c r="M9696" s="36">
        <v>1195.29</v>
      </c>
      <c r="T9696" s="41">
        <v>0</v>
      </c>
      <c r="U9696" s="41">
        <v>0</v>
      </c>
      <c r="V9696" s="42" t="s">
        <v>113</v>
      </c>
      <c r="W9696" s="42">
        <v>8804.8799999999992</v>
      </c>
      <c r="X9696" s="42">
        <v>8804.8799999999992</v>
      </c>
    </row>
    <row r="9697" spans="1:24">
      <c r="A9697" s="27" t="s">
        <v>17702</v>
      </c>
      <c r="B9697" s="28" t="s">
        <v>17556</v>
      </c>
      <c r="C9697" s="27" t="s">
        <v>17703</v>
      </c>
      <c r="D9697" s="27" t="s">
        <v>17578</v>
      </c>
      <c r="E9697" s="29">
        <v>41452</v>
      </c>
      <c r="F9697" s="27">
        <v>7</v>
      </c>
      <c r="G9697" s="18">
        <v>8804.8799999999992</v>
      </c>
      <c r="H9697" s="27">
        <f t="shared" si="302"/>
        <v>0</v>
      </c>
      <c r="I9697" s="18">
        <v>6571.7</v>
      </c>
      <c r="J9697" s="27">
        <v>8804.8799999999992</v>
      </c>
      <c r="K9697" s="18">
        <f t="shared" si="303"/>
        <v>0</v>
      </c>
      <c r="L9697" s="27">
        <v>7766.99</v>
      </c>
      <c r="M9697" s="36">
        <v>1195.29</v>
      </c>
      <c r="T9697" s="41">
        <v>0</v>
      </c>
      <c r="U9697" s="41">
        <v>0</v>
      </c>
      <c r="V9697" s="42" t="s">
        <v>113</v>
      </c>
      <c r="W9697" s="42">
        <v>8804.8799999999992</v>
      </c>
      <c r="X9697" s="42">
        <v>8804.8799999999992</v>
      </c>
    </row>
    <row r="9698" spans="1:24">
      <c r="A9698" s="27" t="s">
        <v>17704</v>
      </c>
      <c r="B9698" s="28" t="s">
        <v>17556</v>
      </c>
      <c r="C9698" s="27" t="s">
        <v>17705</v>
      </c>
      <c r="D9698" s="27" t="s">
        <v>230</v>
      </c>
      <c r="E9698" s="29">
        <v>41236</v>
      </c>
      <c r="F9698" s="27">
        <v>7</v>
      </c>
      <c r="G9698" s="18">
        <v>39162.400000000001</v>
      </c>
      <c r="H9698" s="27">
        <f t="shared" si="302"/>
        <v>0</v>
      </c>
      <c r="I9698" s="18">
        <v>32332.29</v>
      </c>
      <c r="J9698" s="27">
        <v>39162.400000000001</v>
      </c>
      <c r="K9698" s="18">
        <f t="shared" si="303"/>
        <v>39162.400000000001</v>
      </c>
      <c r="L9698" s="27">
        <v>37204.28</v>
      </c>
      <c r="M9698" s="36">
        <v>4871.99</v>
      </c>
      <c r="T9698" s="41">
        <v>0</v>
      </c>
      <c r="U9698" s="41">
        <v>0</v>
      </c>
      <c r="V9698" s="42" t="s">
        <v>113</v>
      </c>
      <c r="W9698" s="42">
        <v>39162.400000000001</v>
      </c>
      <c r="X9698" s="42">
        <v>39162.400000000001</v>
      </c>
    </row>
    <row r="9699" spans="1:24">
      <c r="A9699" s="27" t="s">
        <v>17706</v>
      </c>
      <c r="B9699" s="28" t="s">
        <v>17556</v>
      </c>
      <c r="C9699" s="27" t="s">
        <v>17707</v>
      </c>
      <c r="D9699" s="27" t="s">
        <v>230</v>
      </c>
      <c r="E9699" s="29">
        <v>41236</v>
      </c>
      <c r="F9699" s="27">
        <v>7</v>
      </c>
      <c r="G9699" s="18">
        <v>9072.65</v>
      </c>
      <c r="H9699" s="27">
        <f t="shared" si="302"/>
        <v>0</v>
      </c>
      <c r="I9699" s="18">
        <v>7490.34</v>
      </c>
      <c r="J9699" s="27">
        <v>9072.65</v>
      </c>
      <c r="K9699" s="18">
        <f t="shared" si="303"/>
        <v>9072.65</v>
      </c>
      <c r="L9699" s="27">
        <v>8619.02</v>
      </c>
      <c r="M9699" s="36">
        <v>1128.68</v>
      </c>
      <c r="T9699" s="41">
        <v>0</v>
      </c>
      <c r="U9699" s="41">
        <v>0</v>
      </c>
      <c r="V9699" s="42" t="s">
        <v>113</v>
      </c>
      <c r="W9699" s="42">
        <v>9072.65</v>
      </c>
      <c r="X9699" s="42">
        <v>9072.65</v>
      </c>
    </row>
    <row r="9700" spans="1:24">
      <c r="A9700" s="27" t="s">
        <v>17708</v>
      </c>
      <c r="B9700" s="28" t="s">
        <v>17556</v>
      </c>
      <c r="C9700" s="27" t="s">
        <v>17709</v>
      </c>
      <c r="D9700" s="27" t="s">
        <v>17578</v>
      </c>
      <c r="E9700" s="29">
        <v>40816</v>
      </c>
      <c r="F9700" s="27">
        <v>7</v>
      </c>
      <c r="G9700" s="18">
        <v>540405.01</v>
      </c>
      <c r="H9700" s="27">
        <f t="shared" si="302"/>
        <v>540405.01</v>
      </c>
      <c r="I9700" s="18">
        <v>513384.76</v>
      </c>
      <c r="J9700" s="27">
        <v>540405.01</v>
      </c>
      <c r="K9700" s="18">
        <f t="shared" si="303"/>
        <v>540405.01</v>
      </c>
      <c r="L9700" s="27">
        <v>513384.76</v>
      </c>
      <c r="M9700" s="36">
        <v>0</v>
      </c>
      <c r="T9700" s="41">
        <v>0</v>
      </c>
      <c r="U9700" s="41">
        <v>0</v>
      </c>
      <c r="V9700" s="42" t="s">
        <v>113</v>
      </c>
      <c r="W9700" s="42">
        <v>540405.01</v>
      </c>
      <c r="X9700" s="42">
        <v>540405.01</v>
      </c>
    </row>
    <row r="9701" spans="1:24">
      <c r="A9701" s="27" t="s">
        <v>17710</v>
      </c>
      <c r="B9701" s="28" t="s">
        <v>17556</v>
      </c>
      <c r="C9701" s="27" t="s">
        <v>17711</v>
      </c>
      <c r="D9701" s="27" t="s">
        <v>17578</v>
      </c>
      <c r="E9701" s="29">
        <v>40816</v>
      </c>
      <c r="F9701" s="27">
        <v>7</v>
      </c>
      <c r="G9701" s="18">
        <v>1018157.67</v>
      </c>
      <c r="H9701" s="27">
        <f t="shared" si="302"/>
        <v>1018157.67</v>
      </c>
      <c r="I9701" s="18">
        <v>967249.79</v>
      </c>
      <c r="J9701" s="27">
        <v>1018157.67</v>
      </c>
      <c r="K9701" s="18">
        <f t="shared" si="303"/>
        <v>1018157.67</v>
      </c>
      <c r="L9701" s="27">
        <v>967249.79</v>
      </c>
      <c r="M9701" s="36">
        <v>0</v>
      </c>
      <c r="T9701" s="41">
        <v>0</v>
      </c>
      <c r="U9701" s="41">
        <v>0</v>
      </c>
      <c r="V9701" s="42" t="s">
        <v>113</v>
      </c>
      <c r="W9701" s="42">
        <v>1018157.67</v>
      </c>
      <c r="X9701" s="42">
        <v>1018157.67</v>
      </c>
    </row>
    <row r="9702" spans="1:24">
      <c r="A9702" s="27" t="s">
        <v>17712</v>
      </c>
      <c r="B9702" s="28" t="s">
        <v>17556</v>
      </c>
      <c r="C9702" s="27" t="s">
        <v>17713</v>
      </c>
      <c r="D9702" s="27" t="s">
        <v>17578</v>
      </c>
      <c r="E9702" s="29">
        <v>40816</v>
      </c>
      <c r="F9702" s="27">
        <v>7</v>
      </c>
      <c r="G9702" s="18">
        <v>78743.83</v>
      </c>
      <c r="H9702" s="27">
        <f t="shared" si="302"/>
        <v>78743.83</v>
      </c>
      <c r="I9702" s="18">
        <v>74806.64</v>
      </c>
      <c r="J9702" s="27">
        <v>78743.83</v>
      </c>
      <c r="K9702" s="18">
        <f t="shared" si="303"/>
        <v>78743.83</v>
      </c>
      <c r="L9702" s="27">
        <v>74806.64</v>
      </c>
      <c r="M9702" s="36">
        <v>0</v>
      </c>
      <c r="T9702" s="41">
        <v>0</v>
      </c>
      <c r="U9702" s="41">
        <v>0</v>
      </c>
      <c r="V9702" s="42" t="s">
        <v>113</v>
      </c>
      <c r="W9702" s="42">
        <v>78743.83</v>
      </c>
      <c r="X9702" s="42">
        <v>78743.83</v>
      </c>
    </row>
    <row r="9703" spans="1:24">
      <c r="A9703" s="27" t="s">
        <v>17714</v>
      </c>
      <c r="B9703" s="28" t="s">
        <v>17556</v>
      </c>
      <c r="C9703" s="27" t="s">
        <v>17715</v>
      </c>
      <c r="D9703" s="27" t="s">
        <v>17578</v>
      </c>
      <c r="E9703" s="29">
        <v>40816</v>
      </c>
      <c r="F9703" s="27">
        <v>7</v>
      </c>
      <c r="G9703" s="18">
        <v>204733.95</v>
      </c>
      <c r="H9703" s="27">
        <f t="shared" si="302"/>
        <v>204733.95</v>
      </c>
      <c r="I9703" s="18">
        <v>194497.25</v>
      </c>
      <c r="J9703" s="27">
        <v>204733.95</v>
      </c>
      <c r="K9703" s="18">
        <f t="shared" si="303"/>
        <v>204733.95</v>
      </c>
      <c r="L9703" s="27">
        <v>194497.25</v>
      </c>
      <c r="M9703" s="36">
        <v>0</v>
      </c>
      <c r="T9703" s="41">
        <v>0</v>
      </c>
      <c r="U9703" s="41">
        <v>0</v>
      </c>
      <c r="V9703" s="42" t="s">
        <v>113</v>
      </c>
      <c r="W9703" s="42">
        <v>204733.95</v>
      </c>
      <c r="X9703" s="42">
        <v>204733.95</v>
      </c>
    </row>
    <row r="9704" spans="1:24">
      <c r="A9704" s="27" t="s">
        <v>17716</v>
      </c>
      <c r="B9704" s="28" t="s">
        <v>17556</v>
      </c>
      <c r="C9704" s="27" t="s">
        <v>17717</v>
      </c>
      <c r="D9704" s="27" t="s">
        <v>17578</v>
      </c>
      <c r="E9704" s="29">
        <v>40816</v>
      </c>
      <c r="F9704" s="27">
        <v>7</v>
      </c>
      <c r="G9704" s="18">
        <v>377182.93</v>
      </c>
      <c r="H9704" s="27">
        <f t="shared" si="302"/>
        <v>377182.93</v>
      </c>
      <c r="I9704" s="18">
        <v>358323.78</v>
      </c>
      <c r="J9704" s="27">
        <v>377182.93</v>
      </c>
      <c r="K9704" s="18">
        <f t="shared" si="303"/>
        <v>377182.93</v>
      </c>
      <c r="L9704" s="27">
        <v>358323.78</v>
      </c>
      <c r="M9704" s="36">
        <v>0</v>
      </c>
      <c r="T9704" s="41">
        <v>0</v>
      </c>
      <c r="U9704" s="41">
        <v>0</v>
      </c>
      <c r="V9704" s="42" t="s">
        <v>113</v>
      </c>
      <c r="W9704" s="42">
        <v>377182.93</v>
      </c>
      <c r="X9704" s="42">
        <v>377182.93</v>
      </c>
    </row>
    <row r="9705" spans="1:24">
      <c r="A9705" s="27" t="s">
        <v>17718</v>
      </c>
      <c r="B9705" s="28" t="s">
        <v>17556</v>
      </c>
      <c r="C9705" s="27" t="s">
        <v>17719</v>
      </c>
      <c r="D9705" s="27" t="s">
        <v>17578</v>
      </c>
      <c r="E9705" s="29">
        <v>40816</v>
      </c>
      <c r="F9705" s="27">
        <v>7</v>
      </c>
      <c r="G9705" s="18">
        <v>325999.44</v>
      </c>
      <c r="H9705" s="27">
        <f t="shared" si="302"/>
        <v>325999.44</v>
      </c>
      <c r="I9705" s="18">
        <v>309699.46999999997</v>
      </c>
      <c r="J9705" s="27">
        <v>325999.44</v>
      </c>
      <c r="K9705" s="18">
        <f t="shared" si="303"/>
        <v>325999.44</v>
      </c>
      <c r="L9705" s="27">
        <v>309699.46999999997</v>
      </c>
      <c r="M9705" s="36">
        <v>0</v>
      </c>
      <c r="T9705" s="41">
        <v>0</v>
      </c>
      <c r="U9705" s="41">
        <v>0</v>
      </c>
      <c r="V9705" s="42" t="s">
        <v>113</v>
      </c>
      <c r="W9705" s="42">
        <v>325999.44</v>
      </c>
      <c r="X9705" s="42">
        <v>325999.44</v>
      </c>
    </row>
    <row r="9706" spans="1:24">
      <c r="A9706" s="27" t="s">
        <v>17720</v>
      </c>
      <c r="B9706" s="28" t="s">
        <v>17556</v>
      </c>
      <c r="C9706" s="27" t="s">
        <v>17721</v>
      </c>
      <c r="D9706" s="27" t="s">
        <v>17578</v>
      </c>
      <c r="E9706" s="29">
        <v>40816</v>
      </c>
      <c r="F9706" s="27">
        <v>7</v>
      </c>
      <c r="G9706" s="18">
        <v>71656.88</v>
      </c>
      <c r="H9706" s="27">
        <f t="shared" si="302"/>
        <v>71656.88</v>
      </c>
      <c r="I9706" s="18">
        <v>68074.039999999994</v>
      </c>
      <c r="J9706" s="27">
        <v>71656.88</v>
      </c>
      <c r="K9706" s="18">
        <f t="shared" si="303"/>
        <v>71656.88</v>
      </c>
      <c r="L9706" s="27">
        <v>68074.039999999994</v>
      </c>
      <c r="M9706" s="36">
        <v>0</v>
      </c>
      <c r="T9706" s="41">
        <v>0</v>
      </c>
      <c r="U9706" s="41">
        <v>0</v>
      </c>
      <c r="V9706" s="42" t="s">
        <v>113</v>
      </c>
      <c r="W9706" s="42">
        <v>71656.88</v>
      </c>
      <c r="X9706" s="42">
        <v>71656.88</v>
      </c>
    </row>
    <row r="9707" spans="1:24">
      <c r="A9707" s="27" t="s">
        <v>17722</v>
      </c>
      <c r="B9707" s="28" t="s">
        <v>17556</v>
      </c>
      <c r="C9707" s="27" t="s">
        <v>17723</v>
      </c>
      <c r="D9707" s="27" t="s">
        <v>17578</v>
      </c>
      <c r="E9707" s="29">
        <v>40816</v>
      </c>
      <c r="F9707" s="27">
        <v>7</v>
      </c>
      <c r="G9707" s="18">
        <v>548844.47</v>
      </c>
      <c r="H9707" s="27">
        <f t="shared" si="302"/>
        <v>548844.47</v>
      </c>
      <c r="I9707" s="18">
        <v>521402.25</v>
      </c>
      <c r="J9707" s="27">
        <v>548844.47</v>
      </c>
      <c r="K9707" s="18">
        <f t="shared" si="303"/>
        <v>548844.47</v>
      </c>
      <c r="L9707" s="27">
        <v>521402.25</v>
      </c>
      <c r="M9707" s="36">
        <v>0</v>
      </c>
      <c r="T9707" s="41">
        <v>0</v>
      </c>
      <c r="U9707" s="41">
        <v>0</v>
      </c>
      <c r="V9707" s="42" t="s">
        <v>113</v>
      </c>
      <c r="W9707" s="42">
        <v>548844.47</v>
      </c>
      <c r="X9707" s="42">
        <v>548844.47</v>
      </c>
    </row>
    <row r="9708" spans="1:24">
      <c r="A9708" s="27" t="s">
        <v>17724</v>
      </c>
      <c r="B9708" s="28" t="s">
        <v>17556</v>
      </c>
      <c r="C9708" s="27" t="s">
        <v>17725</v>
      </c>
      <c r="D9708" s="27" t="s">
        <v>17578</v>
      </c>
      <c r="E9708" s="29">
        <v>40816</v>
      </c>
      <c r="F9708" s="27">
        <v>7</v>
      </c>
      <c r="G9708" s="18">
        <v>273241.08</v>
      </c>
      <c r="H9708" s="27">
        <f t="shared" si="302"/>
        <v>273241.08</v>
      </c>
      <c r="I9708" s="18">
        <v>259579.03</v>
      </c>
      <c r="J9708" s="27">
        <v>273241.08</v>
      </c>
      <c r="K9708" s="18">
        <f t="shared" si="303"/>
        <v>273241.08</v>
      </c>
      <c r="L9708" s="27">
        <v>259579.03</v>
      </c>
      <c r="M9708" s="36">
        <v>0</v>
      </c>
      <c r="T9708" s="41">
        <v>0</v>
      </c>
      <c r="U9708" s="41">
        <v>0</v>
      </c>
      <c r="V9708" s="42" t="s">
        <v>113</v>
      </c>
      <c r="W9708" s="42">
        <v>273241.08</v>
      </c>
      <c r="X9708" s="42">
        <v>273241.08</v>
      </c>
    </row>
    <row r="9709" spans="1:24">
      <c r="A9709" s="27" t="s">
        <v>17726</v>
      </c>
      <c r="B9709" s="28" t="s">
        <v>17556</v>
      </c>
      <c r="C9709" s="27" t="s">
        <v>17727</v>
      </c>
      <c r="D9709" s="27" t="s">
        <v>17578</v>
      </c>
      <c r="E9709" s="29">
        <v>40816</v>
      </c>
      <c r="F9709" s="27">
        <v>7</v>
      </c>
      <c r="G9709" s="18">
        <v>86618.21</v>
      </c>
      <c r="H9709" s="27">
        <f t="shared" si="302"/>
        <v>86618.21</v>
      </c>
      <c r="I9709" s="18">
        <v>82287.3</v>
      </c>
      <c r="J9709" s="27">
        <v>86618.21</v>
      </c>
      <c r="K9709" s="18">
        <f t="shared" si="303"/>
        <v>86618.21</v>
      </c>
      <c r="L9709" s="27">
        <v>82287.3</v>
      </c>
      <c r="M9709" s="36">
        <v>0</v>
      </c>
      <c r="T9709" s="41">
        <v>0</v>
      </c>
      <c r="U9709" s="41">
        <v>0</v>
      </c>
      <c r="V9709" s="42" t="s">
        <v>113</v>
      </c>
      <c r="W9709" s="42">
        <v>86618.21</v>
      </c>
      <c r="X9709" s="42">
        <v>86618.21</v>
      </c>
    </row>
    <row r="9710" spans="1:24">
      <c r="A9710" s="27" t="s">
        <v>17728</v>
      </c>
      <c r="B9710" s="28" t="s">
        <v>17556</v>
      </c>
      <c r="C9710" s="27" t="s">
        <v>17729</v>
      </c>
      <c r="D9710" s="27" t="s">
        <v>17578</v>
      </c>
      <c r="E9710" s="29">
        <v>40816</v>
      </c>
      <c r="F9710" s="27">
        <v>7</v>
      </c>
      <c r="G9710" s="18">
        <v>57482.99</v>
      </c>
      <c r="H9710" s="27">
        <f t="shared" si="302"/>
        <v>57482.99</v>
      </c>
      <c r="I9710" s="18">
        <v>54608.84</v>
      </c>
      <c r="J9710" s="27">
        <v>57482.99</v>
      </c>
      <c r="K9710" s="18">
        <f t="shared" si="303"/>
        <v>57482.99</v>
      </c>
      <c r="L9710" s="27">
        <v>54608.84</v>
      </c>
      <c r="M9710" s="36">
        <v>0</v>
      </c>
      <c r="T9710" s="41">
        <v>0</v>
      </c>
      <c r="U9710" s="41">
        <v>0</v>
      </c>
      <c r="V9710" s="42" t="s">
        <v>113</v>
      </c>
      <c r="W9710" s="42">
        <v>57482.99</v>
      </c>
      <c r="X9710" s="42">
        <v>57482.99</v>
      </c>
    </row>
    <row r="9711" spans="1:24">
      <c r="A9711" s="27" t="s">
        <v>17730</v>
      </c>
      <c r="B9711" s="28" t="s">
        <v>17556</v>
      </c>
      <c r="C9711" s="27" t="s">
        <v>17731</v>
      </c>
      <c r="D9711" s="27" t="s">
        <v>17578</v>
      </c>
      <c r="E9711" s="29">
        <v>40816</v>
      </c>
      <c r="F9711" s="27">
        <v>7</v>
      </c>
      <c r="G9711" s="18">
        <v>173236.42</v>
      </c>
      <c r="H9711" s="27">
        <f t="shared" si="302"/>
        <v>173236.42</v>
      </c>
      <c r="I9711" s="18">
        <v>164574.6</v>
      </c>
      <c r="J9711" s="27">
        <v>173236.42</v>
      </c>
      <c r="K9711" s="18">
        <f t="shared" si="303"/>
        <v>173236.42</v>
      </c>
      <c r="L9711" s="27">
        <v>164574.6</v>
      </c>
      <c r="M9711" s="36">
        <v>0</v>
      </c>
      <c r="T9711" s="41">
        <v>0</v>
      </c>
      <c r="U9711" s="41">
        <v>0</v>
      </c>
      <c r="V9711" s="42" t="s">
        <v>113</v>
      </c>
      <c r="W9711" s="42">
        <v>173236.42</v>
      </c>
      <c r="X9711" s="42">
        <v>173236.42</v>
      </c>
    </row>
    <row r="9712" spans="1:24">
      <c r="A9712" s="27" t="s">
        <v>17732</v>
      </c>
      <c r="B9712" s="28" t="s">
        <v>17556</v>
      </c>
      <c r="C9712" s="27" t="s">
        <v>17733</v>
      </c>
      <c r="D9712" s="27" t="s">
        <v>17578</v>
      </c>
      <c r="E9712" s="29">
        <v>40816</v>
      </c>
      <c r="F9712" s="27">
        <v>7</v>
      </c>
      <c r="G9712" s="18">
        <v>1291398.74</v>
      </c>
      <c r="H9712" s="27">
        <f t="shared" si="302"/>
        <v>1291398.74</v>
      </c>
      <c r="I9712" s="18">
        <v>1226828.8</v>
      </c>
      <c r="J9712" s="27">
        <v>1291398.74</v>
      </c>
      <c r="K9712" s="18">
        <f t="shared" si="303"/>
        <v>1291398.74</v>
      </c>
      <c r="L9712" s="27">
        <v>1226828.8</v>
      </c>
      <c r="M9712" s="36">
        <v>0</v>
      </c>
      <c r="T9712" s="41">
        <v>0</v>
      </c>
      <c r="U9712" s="41">
        <v>0</v>
      </c>
      <c r="V9712" s="42" t="s">
        <v>113</v>
      </c>
      <c r="W9712" s="42">
        <v>1291398.74</v>
      </c>
      <c r="X9712" s="42">
        <v>1291398.74</v>
      </c>
    </row>
    <row r="9713" spans="1:24">
      <c r="A9713" s="27" t="s">
        <v>17734</v>
      </c>
      <c r="B9713" s="28" t="s">
        <v>17556</v>
      </c>
      <c r="C9713" s="27" t="s">
        <v>17735</v>
      </c>
      <c r="D9713" s="27" t="s">
        <v>17578</v>
      </c>
      <c r="E9713" s="29">
        <v>40816</v>
      </c>
      <c r="F9713" s="27">
        <v>7</v>
      </c>
      <c r="G9713" s="18">
        <v>616564.16</v>
      </c>
      <c r="H9713" s="27">
        <f t="shared" si="302"/>
        <v>616564.16</v>
      </c>
      <c r="I9713" s="18">
        <v>585735.94999999995</v>
      </c>
      <c r="J9713" s="27">
        <v>616564.16</v>
      </c>
      <c r="K9713" s="18">
        <f t="shared" si="303"/>
        <v>616564.16</v>
      </c>
      <c r="L9713" s="27">
        <v>585735.94999999995</v>
      </c>
      <c r="M9713" s="36">
        <v>0</v>
      </c>
      <c r="T9713" s="41">
        <v>0</v>
      </c>
      <c r="U9713" s="41">
        <v>0</v>
      </c>
      <c r="V9713" s="42" t="s">
        <v>113</v>
      </c>
      <c r="W9713" s="42">
        <v>616564.16</v>
      </c>
      <c r="X9713" s="42">
        <v>616564.16</v>
      </c>
    </row>
    <row r="9714" spans="1:24">
      <c r="A9714" s="27" t="s">
        <v>17736</v>
      </c>
      <c r="B9714" s="28" t="s">
        <v>17556</v>
      </c>
      <c r="C9714" s="27" t="s">
        <v>17737</v>
      </c>
      <c r="D9714" s="27" t="s">
        <v>17578</v>
      </c>
      <c r="E9714" s="29">
        <v>40816</v>
      </c>
      <c r="F9714" s="27">
        <v>7</v>
      </c>
      <c r="G9714" s="18">
        <v>294501.90999999997</v>
      </c>
      <c r="H9714" s="27">
        <f t="shared" si="302"/>
        <v>294501.90999999997</v>
      </c>
      <c r="I9714" s="18">
        <v>279776.81</v>
      </c>
      <c r="J9714" s="27">
        <v>294501.90999999997</v>
      </c>
      <c r="K9714" s="18">
        <f t="shared" si="303"/>
        <v>294501.90999999997</v>
      </c>
      <c r="L9714" s="27">
        <v>279776.81</v>
      </c>
      <c r="M9714" s="36">
        <v>0</v>
      </c>
      <c r="T9714" s="41">
        <v>0</v>
      </c>
      <c r="U9714" s="41">
        <v>0</v>
      </c>
      <c r="V9714" s="42" t="s">
        <v>113</v>
      </c>
      <c r="W9714" s="42">
        <v>294501.90999999997</v>
      </c>
      <c r="X9714" s="42">
        <v>294501.90999999997</v>
      </c>
    </row>
    <row r="9715" spans="1:24">
      <c r="A9715" s="27" t="s">
        <v>17738</v>
      </c>
      <c r="B9715" s="28" t="s">
        <v>17556</v>
      </c>
      <c r="C9715" s="27" t="s">
        <v>17739</v>
      </c>
      <c r="D9715" s="27" t="s">
        <v>17578</v>
      </c>
      <c r="E9715" s="29">
        <v>40816</v>
      </c>
      <c r="F9715" s="27">
        <v>7</v>
      </c>
      <c r="G9715" s="18">
        <v>122052.93</v>
      </c>
      <c r="H9715" s="27">
        <f t="shared" si="302"/>
        <v>122052.93</v>
      </c>
      <c r="I9715" s="18">
        <v>115950.28</v>
      </c>
      <c r="J9715" s="27">
        <v>122052.93</v>
      </c>
      <c r="K9715" s="18">
        <f t="shared" si="303"/>
        <v>122052.93</v>
      </c>
      <c r="L9715" s="27">
        <v>115950.28</v>
      </c>
      <c r="M9715" s="36">
        <v>0</v>
      </c>
      <c r="T9715" s="41">
        <v>0</v>
      </c>
      <c r="U9715" s="41">
        <v>0</v>
      </c>
      <c r="V9715" s="42" t="s">
        <v>113</v>
      </c>
      <c r="W9715" s="42">
        <v>122052.93</v>
      </c>
      <c r="X9715" s="42">
        <v>122052.93</v>
      </c>
    </row>
    <row r="9716" spans="1:24">
      <c r="A9716" s="27" t="s">
        <v>17740</v>
      </c>
      <c r="B9716" s="28" t="s">
        <v>17556</v>
      </c>
      <c r="C9716" s="27" t="s">
        <v>17741</v>
      </c>
      <c r="D9716" s="27" t="s">
        <v>17578</v>
      </c>
      <c r="E9716" s="29">
        <v>40816</v>
      </c>
      <c r="F9716" s="27">
        <v>7</v>
      </c>
      <c r="G9716" s="18">
        <v>91342.84</v>
      </c>
      <c r="H9716" s="27">
        <f t="shared" si="302"/>
        <v>91342.84</v>
      </c>
      <c r="I9716" s="18">
        <v>86775.7</v>
      </c>
      <c r="J9716" s="27">
        <v>91342.84</v>
      </c>
      <c r="K9716" s="18">
        <f t="shared" si="303"/>
        <v>91342.84</v>
      </c>
      <c r="L9716" s="27">
        <v>86775.7</v>
      </c>
      <c r="M9716" s="36">
        <v>0</v>
      </c>
      <c r="T9716" s="41">
        <v>0</v>
      </c>
      <c r="U9716" s="41">
        <v>0</v>
      </c>
      <c r="V9716" s="42" t="s">
        <v>113</v>
      </c>
      <c r="W9716" s="42">
        <v>91342.84</v>
      </c>
      <c r="X9716" s="42">
        <v>91342.84</v>
      </c>
    </row>
    <row r="9717" spans="1:24">
      <c r="A9717" s="27" t="s">
        <v>17742</v>
      </c>
      <c r="B9717" s="28" t="s">
        <v>17556</v>
      </c>
      <c r="C9717" s="27" t="s">
        <v>17743</v>
      </c>
      <c r="D9717" s="27" t="s">
        <v>17578</v>
      </c>
      <c r="E9717" s="29">
        <v>40816</v>
      </c>
      <c r="F9717" s="27">
        <v>7</v>
      </c>
      <c r="G9717" s="18">
        <v>318125.06</v>
      </c>
      <c r="H9717" s="27">
        <f t="shared" si="302"/>
        <v>318125.06</v>
      </c>
      <c r="I9717" s="18">
        <v>302218.81</v>
      </c>
      <c r="J9717" s="27">
        <v>318125.06</v>
      </c>
      <c r="K9717" s="18">
        <f t="shared" si="303"/>
        <v>318125.06</v>
      </c>
      <c r="L9717" s="27">
        <v>302218.81</v>
      </c>
      <c r="M9717" s="36">
        <v>0</v>
      </c>
      <c r="T9717" s="41">
        <v>0</v>
      </c>
      <c r="U9717" s="41">
        <v>0</v>
      </c>
      <c r="V9717" s="42" t="s">
        <v>113</v>
      </c>
      <c r="W9717" s="42">
        <v>318125.06</v>
      </c>
      <c r="X9717" s="42">
        <v>318125.06</v>
      </c>
    </row>
    <row r="9718" spans="1:24">
      <c r="A9718" s="27" t="s">
        <v>17744</v>
      </c>
      <c r="B9718" s="28" t="s">
        <v>17556</v>
      </c>
      <c r="C9718" s="27" t="s">
        <v>17745</v>
      </c>
      <c r="D9718" s="27" t="s">
        <v>17578</v>
      </c>
      <c r="E9718" s="29">
        <v>40816</v>
      </c>
      <c r="F9718" s="27">
        <v>7</v>
      </c>
      <c r="G9718" s="18">
        <v>321274.81</v>
      </c>
      <c r="H9718" s="27">
        <f t="shared" si="302"/>
        <v>321274.81</v>
      </c>
      <c r="I9718" s="18">
        <v>305211.07</v>
      </c>
      <c r="J9718" s="27">
        <v>321274.81</v>
      </c>
      <c r="K9718" s="18">
        <f t="shared" si="303"/>
        <v>321274.81</v>
      </c>
      <c r="L9718" s="27">
        <v>305211.07</v>
      </c>
      <c r="M9718" s="36">
        <v>0</v>
      </c>
      <c r="T9718" s="41">
        <v>0</v>
      </c>
      <c r="U9718" s="41">
        <v>0</v>
      </c>
      <c r="V9718" s="42" t="s">
        <v>113</v>
      </c>
      <c r="W9718" s="42">
        <v>321274.81</v>
      </c>
      <c r="X9718" s="42">
        <v>321274.81</v>
      </c>
    </row>
    <row r="9719" spans="1:24">
      <c r="A9719" s="27" t="s">
        <v>17746</v>
      </c>
      <c r="B9719" s="28" t="s">
        <v>17556</v>
      </c>
      <c r="C9719" s="27" t="s">
        <v>17747</v>
      </c>
      <c r="D9719" s="27" t="s">
        <v>17578</v>
      </c>
      <c r="E9719" s="29">
        <v>40816</v>
      </c>
      <c r="F9719" s="27">
        <v>7</v>
      </c>
      <c r="G9719" s="18">
        <v>14173.89</v>
      </c>
      <c r="H9719" s="27">
        <f t="shared" si="302"/>
        <v>14173.89</v>
      </c>
      <c r="I9719" s="18">
        <v>13465.2</v>
      </c>
      <c r="J9719" s="27">
        <v>14173.89</v>
      </c>
      <c r="K9719" s="18">
        <f t="shared" si="303"/>
        <v>14173.89</v>
      </c>
      <c r="L9719" s="27">
        <v>13465.2</v>
      </c>
      <c r="M9719" s="36">
        <v>0</v>
      </c>
      <c r="T9719" s="41">
        <v>0</v>
      </c>
      <c r="U9719" s="41">
        <v>0</v>
      </c>
      <c r="V9719" s="42" t="s">
        <v>113</v>
      </c>
      <c r="W9719" s="42">
        <v>14173.89</v>
      </c>
      <c r="X9719" s="42">
        <v>14173.89</v>
      </c>
    </row>
    <row r="9720" spans="1:24">
      <c r="A9720" s="27" t="s">
        <v>17748</v>
      </c>
      <c r="B9720" s="28" t="s">
        <v>17556</v>
      </c>
      <c r="C9720" s="27" t="s">
        <v>17749</v>
      </c>
      <c r="D9720" s="27" t="s">
        <v>17578</v>
      </c>
      <c r="E9720" s="29">
        <v>40816</v>
      </c>
      <c r="F9720" s="27">
        <v>7</v>
      </c>
      <c r="G9720" s="18">
        <v>1163046.31</v>
      </c>
      <c r="H9720" s="27">
        <f t="shared" si="302"/>
        <v>1163046.31</v>
      </c>
      <c r="I9720" s="18">
        <v>1104893.99</v>
      </c>
      <c r="J9720" s="27">
        <v>1163046.31</v>
      </c>
      <c r="K9720" s="18">
        <f t="shared" si="303"/>
        <v>1163046.31</v>
      </c>
      <c r="L9720" s="27">
        <v>1104893.99</v>
      </c>
      <c r="M9720" s="36">
        <v>0</v>
      </c>
      <c r="T9720" s="41">
        <v>0</v>
      </c>
      <c r="U9720" s="41">
        <v>0</v>
      </c>
      <c r="V9720" s="42" t="s">
        <v>113</v>
      </c>
      <c r="W9720" s="42">
        <v>1163046.31</v>
      </c>
      <c r="X9720" s="42">
        <v>1163046.31</v>
      </c>
    </row>
    <row r="9721" spans="1:24">
      <c r="A9721" s="27" t="s">
        <v>17750</v>
      </c>
      <c r="B9721" s="28" t="s">
        <v>17556</v>
      </c>
      <c r="C9721" s="27" t="s">
        <v>17751</v>
      </c>
      <c r="D9721" s="27" t="s">
        <v>17578</v>
      </c>
      <c r="E9721" s="29">
        <v>40816</v>
      </c>
      <c r="F9721" s="27">
        <v>7</v>
      </c>
      <c r="G9721" s="18">
        <v>363796.47999999998</v>
      </c>
      <c r="H9721" s="27">
        <f t="shared" si="302"/>
        <v>363796.47999999998</v>
      </c>
      <c r="I9721" s="18">
        <v>345606.66</v>
      </c>
      <c r="J9721" s="27">
        <v>363796.47999999998</v>
      </c>
      <c r="K9721" s="18">
        <f t="shared" si="303"/>
        <v>363796.47999999998</v>
      </c>
      <c r="L9721" s="27">
        <v>345606.66</v>
      </c>
      <c r="M9721" s="36">
        <v>0</v>
      </c>
      <c r="T9721" s="41">
        <v>0</v>
      </c>
      <c r="U9721" s="41">
        <v>0</v>
      </c>
      <c r="V9721" s="42" t="s">
        <v>113</v>
      </c>
      <c r="W9721" s="42">
        <v>363796.47999999998</v>
      </c>
      <c r="X9721" s="42">
        <v>363796.47999999998</v>
      </c>
    </row>
    <row r="9722" spans="1:24">
      <c r="A9722" s="27" t="s">
        <v>17752</v>
      </c>
      <c r="B9722" s="28" t="s">
        <v>17556</v>
      </c>
      <c r="C9722" s="27" t="s">
        <v>17753</v>
      </c>
      <c r="D9722" s="27" t="s">
        <v>17578</v>
      </c>
      <c r="E9722" s="29">
        <v>40816</v>
      </c>
      <c r="F9722" s="27">
        <v>7</v>
      </c>
      <c r="G9722" s="18">
        <v>659873.26</v>
      </c>
      <c r="H9722" s="27">
        <f t="shared" si="302"/>
        <v>659873.26</v>
      </c>
      <c r="I9722" s="18">
        <v>626879.6</v>
      </c>
      <c r="J9722" s="27">
        <v>659873.26</v>
      </c>
      <c r="K9722" s="18">
        <f t="shared" si="303"/>
        <v>659873.26</v>
      </c>
      <c r="L9722" s="27">
        <v>626879.6</v>
      </c>
      <c r="M9722" s="36">
        <v>0</v>
      </c>
      <c r="T9722" s="41">
        <v>0</v>
      </c>
      <c r="U9722" s="41">
        <v>0</v>
      </c>
      <c r="V9722" s="42" t="s">
        <v>113</v>
      </c>
      <c r="W9722" s="42">
        <v>659873.26</v>
      </c>
      <c r="X9722" s="42">
        <v>659873.26</v>
      </c>
    </row>
    <row r="9723" spans="1:24">
      <c r="A9723" s="27" t="s">
        <v>17754</v>
      </c>
      <c r="B9723" s="28" t="s">
        <v>17556</v>
      </c>
      <c r="C9723" s="27" t="s">
        <v>17755</v>
      </c>
      <c r="D9723" s="27" t="s">
        <v>17578</v>
      </c>
      <c r="E9723" s="29">
        <v>40816</v>
      </c>
      <c r="F9723" s="27">
        <v>7</v>
      </c>
      <c r="G9723" s="18">
        <v>93705.15</v>
      </c>
      <c r="H9723" s="27">
        <f t="shared" si="302"/>
        <v>93705.15</v>
      </c>
      <c r="I9723" s="18">
        <v>89019.89</v>
      </c>
      <c r="J9723" s="27">
        <v>93705.15</v>
      </c>
      <c r="K9723" s="18">
        <f t="shared" si="303"/>
        <v>93705.15</v>
      </c>
      <c r="L9723" s="27">
        <v>89019.89</v>
      </c>
      <c r="M9723" s="36">
        <v>0</v>
      </c>
      <c r="T9723" s="41">
        <v>0</v>
      </c>
      <c r="U9723" s="41">
        <v>0</v>
      </c>
      <c r="V9723" s="42" t="s">
        <v>113</v>
      </c>
      <c r="W9723" s="42">
        <v>93705.15</v>
      </c>
      <c r="X9723" s="42">
        <v>93705.15</v>
      </c>
    </row>
    <row r="9724" spans="1:24">
      <c r="A9724" s="27" t="s">
        <v>17756</v>
      </c>
      <c r="B9724" s="28" t="s">
        <v>17556</v>
      </c>
      <c r="C9724" s="27" t="s">
        <v>17757</v>
      </c>
      <c r="D9724" s="27" t="s">
        <v>17578</v>
      </c>
      <c r="E9724" s="29">
        <v>40816</v>
      </c>
      <c r="F9724" s="27">
        <v>7</v>
      </c>
      <c r="G9724" s="18">
        <v>132289.63</v>
      </c>
      <c r="H9724" s="27">
        <f t="shared" si="302"/>
        <v>132289.63</v>
      </c>
      <c r="I9724" s="18">
        <v>125675.15</v>
      </c>
      <c r="J9724" s="27">
        <v>132289.63</v>
      </c>
      <c r="K9724" s="18">
        <f t="shared" si="303"/>
        <v>132289.63</v>
      </c>
      <c r="L9724" s="27">
        <v>125675.15</v>
      </c>
      <c r="M9724" s="36">
        <v>0</v>
      </c>
      <c r="T9724" s="41">
        <v>0</v>
      </c>
      <c r="U9724" s="41">
        <v>0</v>
      </c>
      <c r="V9724" s="42" t="s">
        <v>113</v>
      </c>
      <c r="W9724" s="42">
        <v>132289.63</v>
      </c>
      <c r="X9724" s="42">
        <v>132289.63</v>
      </c>
    </row>
    <row r="9725" spans="1:24">
      <c r="A9725" s="27" t="s">
        <v>17758</v>
      </c>
      <c r="B9725" s="28" t="s">
        <v>17556</v>
      </c>
      <c r="C9725" s="27" t="s">
        <v>17759</v>
      </c>
      <c r="D9725" s="27" t="s">
        <v>17578</v>
      </c>
      <c r="E9725" s="29">
        <v>40816</v>
      </c>
      <c r="F9725" s="27">
        <v>7</v>
      </c>
      <c r="G9725" s="18">
        <v>310250.67</v>
      </c>
      <c r="H9725" s="27">
        <f t="shared" si="302"/>
        <v>310250.67</v>
      </c>
      <c r="I9725" s="18">
        <v>294738.14</v>
      </c>
      <c r="J9725" s="27">
        <v>310250.67</v>
      </c>
      <c r="K9725" s="18">
        <f t="shared" si="303"/>
        <v>310250.67</v>
      </c>
      <c r="L9725" s="27">
        <v>294738.14</v>
      </c>
      <c r="M9725" s="36">
        <v>0</v>
      </c>
      <c r="T9725" s="41">
        <v>0</v>
      </c>
      <c r="U9725" s="41">
        <v>0</v>
      </c>
      <c r="V9725" s="42" t="s">
        <v>113</v>
      </c>
      <c r="W9725" s="42">
        <v>310250.67</v>
      </c>
      <c r="X9725" s="42">
        <v>310250.67</v>
      </c>
    </row>
    <row r="9726" spans="1:24">
      <c r="A9726" s="27" t="s">
        <v>17760</v>
      </c>
      <c r="B9726" s="28" t="s">
        <v>17556</v>
      </c>
      <c r="C9726" s="27" t="s">
        <v>17761</v>
      </c>
      <c r="D9726" s="27" t="s">
        <v>17578</v>
      </c>
      <c r="E9726" s="29">
        <v>40816</v>
      </c>
      <c r="F9726" s="27">
        <v>7</v>
      </c>
      <c r="G9726" s="18">
        <v>156700.21</v>
      </c>
      <c r="H9726" s="27">
        <f t="shared" si="302"/>
        <v>156700.21</v>
      </c>
      <c r="I9726" s="18">
        <v>148865.20000000001</v>
      </c>
      <c r="J9726" s="27">
        <v>156700.21</v>
      </c>
      <c r="K9726" s="18">
        <f t="shared" si="303"/>
        <v>156700.21</v>
      </c>
      <c r="L9726" s="27">
        <v>148865.20000000001</v>
      </c>
      <c r="M9726" s="36">
        <v>0</v>
      </c>
      <c r="T9726" s="41">
        <v>0</v>
      </c>
      <c r="U9726" s="41">
        <v>0</v>
      </c>
      <c r="V9726" s="42" t="s">
        <v>113</v>
      </c>
      <c r="W9726" s="42">
        <v>156700.21</v>
      </c>
      <c r="X9726" s="42">
        <v>156700.21</v>
      </c>
    </row>
    <row r="9727" spans="1:24">
      <c r="A9727" s="27" t="s">
        <v>17762</v>
      </c>
      <c r="B9727" s="28" t="s">
        <v>17556</v>
      </c>
      <c r="C9727" s="27" t="s">
        <v>17763</v>
      </c>
      <c r="D9727" s="27" t="s">
        <v>17578</v>
      </c>
      <c r="E9727" s="29">
        <v>40816</v>
      </c>
      <c r="F9727" s="27">
        <v>7</v>
      </c>
      <c r="G9727" s="18">
        <v>67719.69</v>
      </c>
      <c r="H9727" s="27">
        <f t="shared" si="302"/>
        <v>67719.69</v>
      </c>
      <c r="I9727" s="18">
        <v>64333.71</v>
      </c>
      <c r="J9727" s="27">
        <v>67719.69</v>
      </c>
      <c r="K9727" s="18">
        <f t="shared" si="303"/>
        <v>67719.69</v>
      </c>
      <c r="L9727" s="27">
        <v>64333.71</v>
      </c>
      <c r="M9727" s="36">
        <v>0</v>
      </c>
      <c r="T9727" s="41">
        <v>0</v>
      </c>
      <c r="U9727" s="41">
        <v>0</v>
      </c>
      <c r="V9727" s="42" t="s">
        <v>113</v>
      </c>
      <c r="W9727" s="42">
        <v>67719.69</v>
      </c>
      <c r="X9727" s="42">
        <v>67719.69</v>
      </c>
    </row>
    <row r="9728" spans="1:24">
      <c r="A9728" s="27" t="s">
        <v>17764</v>
      </c>
      <c r="B9728" s="28" t="s">
        <v>17556</v>
      </c>
      <c r="C9728" s="27" t="s">
        <v>17751</v>
      </c>
      <c r="D9728" s="27" t="s">
        <v>17578</v>
      </c>
      <c r="E9728" s="29">
        <v>40816</v>
      </c>
      <c r="F9728" s="27">
        <v>7</v>
      </c>
      <c r="G9728" s="18">
        <v>363796.47999999998</v>
      </c>
      <c r="H9728" s="27">
        <f t="shared" si="302"/>
        <v>363796.47999999998</v>
      </c>
      <c r="I9728" s="18">
        <v>345606.66</v>
      </c>
      <c r="J9728" s="27">
        <v>363796.47999999998</v>
      </c>
      <c r="K9728" s="18">
        <f t="shared" si="303"/>
        <v>363796.47999999998</v>
      </c>
      <c r="L9728" s="27">
        <v>345606.66</v>
      </c>
      <c r="M9728" s="36">
        <v>0</v>
      </c>
      <c r="T9728" s="41">
        <v>0</v>
      </c>
      <c r="U9728" s="41">
        <v>0</v>
      </c>
      <c r="V9728" s="42" t="s">
        <v>113</v>
      </c>
      <c r="W9728" s="42">
        <v>363796.47999999998</v>
      </c>
      <c r="X9728" s="42">
        <v>363796.47999999998</v>
      </c>
    </row>
    <row r="9729" spans="1:24">
      <c r="A9729" s="27" t="s">
        <v>17765</v>
      </c>
      <c r="B9729" s="28" t="s">
        <v>17556</v>
      </c>
      <c r="C9729" s="27" t="s">
        <v>17766</v>
      </c>
      <c r="D9729" s="27" t="s">
        <v>17578</v>
      </c>
      <c r="E9729" s="29">
        <v>40816</v>
      </c>
      <c r="F9729" s="27">
        <v>7</v>
      </c>
      <c r="G9729" s="18">
        <v>44096.54</v>
      </c>
      <c r="H9729" s="27">
        <f t="shared" si="302"/>
        <v>44096.54</v>
      </c>
      <c r="I9729" s="18">
        <v>41891.71</v>
      </c>
      <c r="J9729" s="27">
        <v>44096.54</v>
      </c>
      <c r="K9729" s="18">
        <f t="shared" si="303"/>
        <v>44096.54</v>
      </c>
      <c r="L9729" s="27">
        <v>41891.71</v>
      </c>
      <c r="M9729" s="36">
        <v>0</v>
      </c>
      <c r="T9729" s="41">
        <v>0</v>
      </c>
      <c r="U9729" s="41">
        <v>0</v>
      </c>
      <c r="V9729" s="42" t="s">
        <v>113</v>
      </c>
      <c r="W9729" s="42">
        <v>44096.54</v>
      </c>
      <c r="X9729" s="42">
        <v>44096.54</v>
      </c>
    </row>
    <row r="9730" spans="1:24">
      <c r="A9730" s="27" t="s">
        <v>17767</v>
      </c>
      <c r="B9730" s="28" t="s">
        <v>17556</v>
      </c>
      <c r="C9730" s="27" t="s">
        <v>17768</v>
      </c>
      <c r="D9730" s="27" t="s">
        <v>17578</v>
      </c>
      <c r="E9730" s="29">
        <v>40816</v>
      </c>
      <c r="F9730" s="27">
        <v>7</v>
      </c>
      <c r="G9730" s="18">
        <v>55120.68</v>
      </c>
      <c r="H9730" s="27">
        <f t="shared" si="302"/>
        <v>55120.68</v>
      </c>
      <c r="I9730" s="18">
        <v>52364.65</v>
      </c>
      <c r="J9730" s="27">
        <v>55120.68</v>
      </c>
      <c r="K9730" s="18">
        <f t="shared" si="303"/>
        <v>55120.68</v>
      </c>
      <c r="L9730" s="27">
        <v>52364.65</v>
      </c>
      <c r="M9730" s="36">
        <v>0</v>
      </c>
      <c r="T9730" s="41">
        <v>0</v>
      </c>
      <c r="U9730" s="41">
        <v>0</v>
      </c>
      <c r="V9730" s="42" t="s">
        <v>113</v>
      </c>
      <c r="W9730" s="42">
        <v>55120.68</v>
      </c>
      <c r="X9730" s="42">
        <v>55120.68</v>
      </c>
    </row>
    <row r="9731" spans="1:24">
      <c r="A9731" s="27" t="s">
        <v>17769</v>
      </c>
      <c r="B9731" s="28" t="s">
        <v>17556</v>
      </c>
      <c r="C9731" s="27" t="s">
        <v>17770</v>
      </c>
      <c r="D9731" s="27" t="s">
        <v>17578</v>
      </c>
      <c r="E9731" s="29">
        <v>40816</v>
      </c>
      <c r="F9731" s="27">
        <v>7</v>
      </c>
      <c r="G9731" s="18">
        <v>40946.79</v>
      </c>
      <c r="H9731" s="27">
        <f t="shared" si="302"/>
        <v>40946.79</v>
      </c>
      <c r="I9731" s="18">
        <v>38899.449999999997</v>
      </c>
      <c r="J9731" s="27">
        <v>40946.79</v>
      </c>
      <c r="K9731" s="18">
        <f t="shared" si="303"/>
        <v>40946.79</v>
      </c>
      <c r="L9731" s="27">
        <v>38899.449999999997</v>
      </c>
      <c r="M9731" s="36">
        <v>0</v>
      </c>
      <c r="T9731" s="41">
        <v>0</v>
      </c>
      <c r="U9731" s="41">
        <v>0</v>
      </c>
      <c r="V9731" s="42" t="s">
        <v>113</v>
      </c>
      <c r="W9731" s="42">
        <v>40946.79</v>
      </c>
      <c r="X9731" s="42">
        <v>40946.79</v>
      </c>
    </row>
    <row r="9732" spans="1:24">
      <c r="A9732" s="27" t="s">
        <v>17771</v>
      </c>
      <c r="B9732" s="28" t="s">
        <v>17556</v>
      </c>
      <c r="C9732" s="27" t="s">
        <v>17772</v>
      </c>
      <c r="D9732" s="27" t="s">
        <v>17578</v>
      </c>
      <c r="E9732" s="29">
        <v>40816</v>
      </c>
      <c r="F9732" s="27">
        <v>7</v>
      </c>
      <c r="G9732" s="18">
        <v>72444.320000000007</v>
      </c>
      <c r="H9732" s="27">
        <f t="shared" si="302"/>
        <v>72444.320000000007</v>
      </c>
      <c r="I9732" s="18">
        <v>68822.100000000006</v>
      </c>
      <c r="J9732" s="27">
        <v>72444.320000000007</v>
      </c>
      <c r="K9732" s="18">
        <f t="shared" si="303"/>
        <v>72444.320000000007</v>
      </c>
      <c r="L9732" s="27">
        <v>68822.100000000006</v>
      </c>
      <c r="M9732" s="36">
        <v>0</v>
      </c>
      <c r="T9732" s="41">
        <v>0</v>
      </c>
      <c r="U9732" s="41">
        <v>0</v>
      </c>
      <c r="V9732" s="42" t="s">
        <v>113</v>
      </c>
      <c r="W9732" s="42">
        <v>72444.320000000007</v>
      </c>
      <c r="X9732" s="42">
        <v>72444.320000000007</v>
      </c>
    </row>
    <row r="9733" spans="1:24">
      <c r="A9733" s="27" t="s">
        <v>17773</v>
      </c>
      <c r="B9733" s="28" t="s">
        <v>17556</v>
      </c>
      <c r="C9733" s="27" t="s">
        <v>17774</v>
      </c>
      <c r="D9733" s="27" t="s">
        <v>17578</v>
      </c>
      <c r="E9733" s="29">
        <v>40816</v>
      </c>
      <c r="F9733" s="27">
        <v>7</v>
      </c>
      <c r="G9733" s="18">
        <v>47246.3</v>
      </c>
      <c r="H9733" s="27">
        <f t="shared" si="302"/>
        <v>47246.3</v>
      </c>
      <c r="I9733" s="18">
        <v>44883.98</v>
      </c>
      <c r="J9733" s="27">
        <v>47246.3</v>
      </c>
      <c r="K9733" s="18">
        <f t="shared" si="303"/>
        <v>47246.3</v>
      </c>
      <c r="L9733" s="27">
        <v>44883.98</v>
      </c>
      <c r="M9733" s="36">
        <v>0</v>
      </c>
      <c r="T9733" s="41">
        <v>0</v>
      </c>
      <c r="U9733" s="41">
        <v>0</v>
      </c>
      <c r="V9733" s="42" t="s">
        <v>113</v>
      </c>
      <c r="W9733" s="42">
        <v>47246.3</v>
      </c>
      <c r="X9733" s="42">
        <v>47246.3</v>
      </c>
    </row>
    <row r="9734" spans="1:24">
      <c r="A9734" s="27" t="s">
        <v>17775</v>
      </c>
      <c r="B9734" s="28" t="s">
        <v>17556</v>
      </c>
      <c r="C9734" s="27" t="s">
        <v>17776</v>
      </c>
      <c r="D9734" s="27" t="s">
        <v>17578</v>
      </c>
      <c r="E9734" s="29">
        <v>40816</v>
      </c>
      <c r="F9734" s="27">
        <v>7</v>
      </c>
      <c r="G9734" s="18">
        <v>761452.8</v>
      </c>
      <c r="H9734" s="27">
        <f t="shared" ref="H9734:H9797" si="304">IFERROR(IF(ROUND((G9734-I9734)/G9734,2)&lt;=0.05,G9734,0),0)</f>
        <v>761452.8</v>
      </c>
      <c r="I9734" s="18">
        <v>723380.16</v>
      </c>
      <c r="J9734" s="27">
        <v>761452.8</v>
      </c>
      <c r="K9734" s="18">
        <f t="shared" ref="K9734:K9797" si="305">IFERROR(IF(ROUND((J9734-L9734)/J9734,2)&lt;=0.05,J9734,0),0)</f>
        <v>761452.8</v>
      </c>
      <c r="L9734" s="27">
        <v>723380.16</v>
      </c>
      <c r="M9734" s="36">
        <v>0</v>
      </c>
      <c r="T9734" s="41">
        <v>0</v>
      </c>
      <c r="U9734" s="41">
        <v>0</v>
      </c>
      <c r="V9734" s="42" t="s">
        <v>113</v>
      </c>
      <c r="W9734" s="42">
        <v>761452.8</v>
      </c>
      <c r="X9734" s="42">
        <v>761452.8</v>
      </c>
    </row>
    <row r="9735" spans="1:24">
      <c r="A9735" s="27" t="s">
        <v>17777</v>
      </c>
      <c r="B9735" s="28" t="s">
        <v>17556</v>
      </c>
      <c r="C9735" s="27" t="s">
        <v>17778</v>
      </c>
      <c r="D9735" s="27" t="s">
        <v>17578</v>
      </c>
      <c r="E9735" s="29">
        <v>40816</v>
      </c>
      <c r="F9735" s="27">
        <v>7</v>
      </c>
      <c r="G9735" s="18">
        <v>159849.97</v>
      </c>
      <c r="H9735" s="27">
        <f t="shared" si="304"/>
        <v>159849.97</v>
      </c>
      <c r="I9735" s="18">
        <v>151857.47</v>
      </c>
      <c r="J9735" s="27">
        <v>159849.97</v>
      </c>
      <c r="K9735" s="18">
        <f t="shared" si="305"/>
        <v>159849.97</v>
      </c>
      <c r="L9735" s="27">
        <v>151857.47</v>
      </c>
      <c r="M9735" s="36">
        <v>0</v>
      </c>
      <c r="T9735" s="41">
        <v>0</v>
      </c>
      <c r="U9735" s="41">
        <v>0</v>
      </c>
      <c r="V9735" s="42" t="s">
        <v>113</v>
      </c>
      <c r="W9735" s="42">
        <v>159849.97</v>
      </c>
      <c r="X9735" s="42">
        <v>159849.97</v>
      </c>
    </row>
    <row r="9736" spans="1:24">
      <c r="A9736" s="27" t="s">
        <v>17779</v>
      </c>
      <c r="B9736" s="28" t="s">
        <v>17556</v>
      </c>
      <c r="C9736" s="27" t="s">
        <v>17780</v>
      </c>
      <c r="D9736" s="27" t="s">
        <v>17578</v>
      </c>
      <c r="E9736" s="29">
        <v>40816</v>
      </c>
      <c r="F9736" s="27">
        <v>7</v>
      </c>
      <c r="G9736" s="18">
        <v>252767.68</v>
      </c>
      <c r="H9736" s="27">
        <f t="shared" si="304"/>
        <v>252767.68</v>
      </c>
      <c r="I9736" s="18">
        <v>240129.3</v>
      </c>
      <c r="J9736" s="27">
        <v>252767.68</v>
      </c>
      <c r="K9736" s="18">
        <f t="shared" si="305"/>
        <v>252767.68</v>
      </c>
      <c r="L9736" s="27">
        <v>240129.3</v>
      </c>
      <c r="M9736" s="36">
        <v>0</v>
      </c>
      <c r="T9736" s="41">
        <v>0</v>
      </c>
      <c r="U9736" s="41">
        <v>0</v>
      </c>
      <c r="V9736" s="42" t="s">
        <v>113</v>
      </c>
      <c r="W9736" s="42">
        <v>252767.68</v>
      </c>
      <c r="X9736" s="42">
        <v>252767.68</v>
      </c>
    </row>
    <row r="9737" spans="1:24">
      <c r="A9737" s="27" t="s">
        <v>17781</v>
      </c>
      <c r="B9737" s="28" t="s">
        <v>17556</v>
      </c>
      <c r="C9737" s="27" t="s">
        <v>17782</v>
      </c>
      <c r="D9737" s="27" t="s">
        <v>17578</v>
      </c>
      <c r="E9737" s="29">
        <v>40816</v>
      </c>
      <c r="F9737" s="27">
        <v>7</v>
      </c>
      <c r="G9737" s="18">
        <v>113391.11</v>
      </c>
      <c r="H9737" s="27">
        <f t="shared" si="304"/>
        <v>113391.11</v>
      </c>
      <c r="I9737" s="18">
        <v>107721.55</v>
      </c>
      <c r="J9737" s="27">
        <v>113391.11</v>
      </c>
      <c r="K9737" s="18">
        <f t="shared" si="305"/>
        <v>113391.11</v>
      </c>
      <c r="L9737" s="27">
        <v>107721.55</v>
      </c>
      <c r="M9737" s="36">
        <v>0</v>
      </c>
      <c r="T9737" s="41">
        <v>0</v>
      </c>
      <c r="U9737" s="41">
        <v>0</v>
      </c>
      <c r="V9737" s="42" t="s">
        <v>113</v>
      </c>
      <c r="W9737" s="42">
        <v>113391.11</v>
      </c>
      <c r="X9737" s="42">
        <v>113391.11</v>
      </c>
    </row>
    <row r="9738" spans="1:24">
      <c r="A9738" s="27" t="s">
        <v>17783</v>
      </c>
      <c r="B9738" s="28" t="s">
        <v>17556</v>
      </c>
      <c r="C9738" s="27" t="s">
        <v>17784</v>
      </c>
      <c r="D9738" s="27" t="s">
        <v>17578</v>
      </c>
      <c r="E9738" s="29">
        <v>40816</v>
      </c>
      <c r="F9738" s="27">
        <v>7</v>
      </c>
      <c r="G9738" s="18">
        <v>580342</v>
      </c>
      <c r="H9738" s="27">
        <f t="shared" si="304"/>
        <v>580342</v>
      </c>
      <c r="I9738" s="18">
        <v>551324.9</v>
      </c>
      <c r="J9738" s="27">
        <v>580342</v>
      </c>
      <c r="K9738" s="18">
        <f t="shared" si="305"/>
        <v>580342</v>
      </c>
      <c r="L9738" s="27">
        <v>551324.9</v>
      </c>
      <c r="M9738" s="36">
        <v>0</v>
      </c>
      <c r="T9738" s="41">
        <v>0</v>
      </c>
      <c r="U9738" s="41">
        <v>0</v>
      </c>
      <c r="V9738" s="42" t="s">
        <v>113</v>
      </c>
      <c r="W9738" s="42">
        <v>580342</v>
      </c>
      <c r="X9738" s="42">
        <v>580342</v>
      </c>
    </row>
    <row r="9739" spans="1:24">
      <c r="A9739" s="27" t="s">
        <v>17785</v>
      </c>
      <c r="B9739" s="28" t="s">
        <v>17556</v>
      </c>
      <c r="C9739" s="27" t="s">
        <v>17759</v>
      </c>
      <c r="D9739" s="27" t="s">
        <v>17578</v>
      </c>
      <c r="E9739" s="29">
        <v>40816</v>
      </c>
      <c r="F9739" s="27">
        <v>7</v>
      </c>
      <c r="G9739" s="18">
        <v>310250.67</v>
      </c>
      <c r="H9739" s="27">
        <f t="shared" si="304"/>
        <v>310250.67</v>
      </c>
      <c r="I9739" s="18">
        <v>294738.14</v>
      </c>
      <c r="J9739" s="27">
        <v>310250.67</v>
      </c>
      <c r="K9739" s="18">
        <f t="shared" si="305"/>
        <v>310250.67</v>
      </c>
      <c r="L9739" s="27">
        <v>294738.14</v>
      </c>
      <c r="M9739" s="36">
        <v>0</v>
      </c>
      <c r="T9739" s="41">
        <v>0</v>
      </c>
      <c r="U9739" s="41">
        <v>0</v>
      </c>
      <c r="V9739" s="42" t="s">
        <v>113</v>
      </c>
      <c r="W9739" s="42">
        <v>310250.67</v>
      </c>
      <c r="X9739" s="42">
        <v>310250.67</v>
      </c>
    </row>
    <row r="9740" spans="1:24">
      <c r="A9740" s="27" t="s">
        <v>17786</v>
      </c>
      <c r="B9740" s="28" t="s">
        <v>17556</v>
      </c>
      <c r="C9740" s="27" t="s">
        <v>17787</v>
      </c>
      <c r="D9740" s="27" t="s">
        <v>17578</v>
      </c>
      <c r="E9740" s="29">
        <v>40816</v>
      </c>
      <c r="F9740" s="27">
        <v>7</v>
      </c>
      <c r="G9740" s="18">
        <v>126777.56</v>
      </c>
      <c r="H9740" s="27">
        <f t="shared" si="304"/>
        <v>126777.56</v>
      </c>
      <c r="I9740" s="18">
        <v>120438.68</v>
      </c>
      <c r="J9740" s="27">
        <v>126777.56</v>
      </c>
      <c r="K9740" s="18">
        <f t="shared" si="305"/>
        <v>126777.56</v>
      </c>
      <c r="L9740" s="27">
        <v>120438.68</v>
      </c>
      <c r="M9740" s="36">
        <v>0</v>
      </c>
      <c r="T9740" s="41">
        <v>0</v>
      </c>
      <c r="U9740" s="41">
        <v>0</v>
      </c>
      <c r="V9740" s="42" t="s">
        <v>113</v>
      </c>
      <c r="W9740" s="42">
        <v>126777.56</v>
      </c>
      <c r="X9740" s="42">
        <v>126777.56</v>
      </c>
    </row>
    <row r="9741" spans="1:24">
      <c r="A9741" s="27" t="s">
        <v>17788</v>
      </c>
      <c r="B9741" s="28" t="s">
        <v>17556</v>
      </c>
      <c r="C9741" s="27" t="s">
        <v>17789</v>
      </c>
      <c r="D9741" s="27" t="s">
        <v>17578</v>
      </c>
      <c r="E9741" s="29">
        <v>40816</v>
      </c>
      <c r="F9741" s="27">
        <v>7</v>
      </c>
      <c r="G9741" s="18">
        <v>53545.8</v>
      </c>
      <c r="H9741" s="27">
        <f t="shared" si="304"/>
        <v>53545.8</v>
      </c>
      <c r="I9741" s="18">
        <v>50868.51</v>
      </c>
      <c r="J9741" s="27">
        <v>53545.8</v>
      </c>
      <c r="K9741" s="18">
        <f t="shared" si="305"/>
        <v>53545.8</v>
      </c>
      <c r="L9741" s="27">
        <v>50868.51</v>
      </c>
      <c r="M9741" s="36">
        <v>0</v>
      </c>
      <c r="T9741" s="41">
        <v>0</v>
      </c>
      <c r="U9741" s="41">
        <v>0</v>
      </c>
      <c r="V9741" s="42" t="s">
        <v>113</v>
      </c>
      <c r="W9741" s="42">
        <v>53545.8</v>
      </c>
      <c r="X9741" s="42">
        <v>53545.8</v>
      </c>
    </row>
    <row r="9742" spans="1:24">
      <c r="A9742" s="27" t="s">
        <v>17790</v>
      </c>
      <c r="B9742" s="28" t="s">
        <v>17556</v>
      </c>
      <c r="C9742" s="27" t="s">
        <v>17791</v>
      </c>
      <c r="D9742" s="27" t="s">
        <v>17578</v>
      </c>
      <c r="E9742" s="29">
        <v>40816</v>
      </c>
      <c r="F9742" s="27">
        <v>7</v>
      </c>
      <c r="G9742" s="18">
        <v>487424.28</v>
      </c>
      <c r="H9742" s="27">
        <f t="shared" si="304"/>
        <v>487424.28</v>
      </c>
      <c r="I9742" s="18">
        <v>463053.07</v>
      </c>
      <c r="J9742" s="27">
        <v>487424.28</v>
      </c>
      <c r="K9742" s="18">
        <f t="shared" si="305"/>
        <v>487424.28</v>
      </c>
      <c r="L9742" s="27">
        <v>463053.07</v>
      </c>
      <c r="M9742" s="36">
        <v>0</v>
      </c>
      <c r="T9742" s="41">
        <v>0</v>
      </c>
      <c r="U9742" s="41">
        <v>0</v>
      </c>
      <c r="V9742" s="42" t="s">
        <v>113</v>
      </c>
      <c r="W9742" s="42">
        <v>487424.28</v>
      </c>
      <c r="X9742" s="42">
        <v>487424.28</v>
      </c>
    </row>
    <row r="9743" spans="1:24">
      <c r="A9743" s="27" t="s">
        <v>17792</v>
      </c>
      <c r="B9743" s="28" t="s">
        <v>17556</v>
      </c>
      <c r="C9743" s="27" t="s">
        <v>17793</v>
      </c>
      <c r="D9743" s="27" t="s">
        <v>17578</v>
      </c>
      <c r="E9743" s="29">
        <v>40816</v>
      </c>
      <c r="F9743" s="27">
        <v>7</v>
      </c>
      <c r="G9743" s="18">
        <v>80318.7</v>
      </c>
      <c r="H9743" s="27">
        <f t="shared" si="304"/>
        <v>80318.7</v>
      </c>
      <c r="I9743" s="18">
        <v>76302.759999999995</v>
      </c>
      <c r="J9743" s="27">
        <v>80318.7</v>
      </c>
      <c r="K9743" s="18">
        <f t="shared" si="305"/>
        <v>80318.7</v>
      </c>
      <c r="L9743" s="27">
        <v>76302.759999999995</v>
      </c>
      <c r="M9743" s="36">
        <v>0</v>
      </c>
      <c r="T9743" s="41">
        <v>0</v>
      </c>
      <c r="U9743" s="41">
        <v>0</v>
      </c>
      <c r="V9743" s="42" t="s">
        <v>113</v>
      </c>
      <c r="W9743" s="42">
        <v>80318.7</v>
      </c>
      <c r="X9743" s="42">
        <v>80318.7</v>
      </c>
    </row>
    <row r="9744" spans="1:24">
      <c r="A9744" s="27" t="s">
        <v>17794</v>
      </c>
      <c r="B9744" s="28" t="s">
        <v>17556</v>
      </c>
      <c r="C9744" s="27" t="s">
        <v>17768</v>
      </c>
      <c r="D9744" s="27" t="s">
        <v>17578</v>
      </c>
      <c r="E9744" s="29">
        <v>40816</v>
      </c>
      <c r="F9744" s="27">
        <v>7</v>
      </c>
      <c r="G9744" s="18">
        <v>55120.68</v>
      </c>
      <c r="H9744" s="27">
        <f t="shared" si="304"/>
        <v>55120.68</v>
      </c>
      <c r="I9744" s="18">
        <v>52364.65</v>
      </c>
      <c r="J9744" s="27">
        <v>55120.68</v>
      </c>
      <c r="K9744" s="18">
        <f t="shared" si="305"/>
        <v>55120.68</v>
      </c>
      <c r="L9744" s="27">
        <v>52364.65</v>
      </c>
      <c r="M9744" s="36">
        <v>0</v>
      </c>
      <c r="T9744" s="41">
        <v>0</v>
      </c>
      <c r="U9744" s="41">
        <v>0</v>
      </c>
      <c r="V9744" s="42" t="s">
        <v>113</v>
      </c>
      <c r="W9744" s="42">
        <v>55120.68</v>
      </c>
      <c r="X9744" s="42">
        <v>55120.68</v>
      </c>
    </row>
    <row r="9745" spans="1:24">
      <c r="A9745" s="27" t="s">
        <v>17795</v>
      </c>
      <c r="B9745" s="28" t="s">
        <v>17556</v>
      </c>
      <c r="C9745" s="27" t="s">
        <v>17774</v>
      </c>
      <c r="D9745" s="27" t="s">
        <v>17578</v>
      </c>
      <c r="E9745" s="29">
        <v>40816</v>
      </c>
      <c r="F9745" s="27">
        <v>7</v>
      </c>
      <c r="G9745" s="18">
        <v>47246.3</v>
      </c>
      <c r="H9745" s="27">
        <f t="shared" si="304"/>
        <v>47246.3</v>
      </c>
      <c r="I9745" s="18">
        <v>44883.98</v>
      </c>
      <c r="J9745" s="27">
        <v>47246.3</v>
      </c>
      <c r="K9745" s="18">
        <f t="shared" si="305"/>
        <v>47246.3</v>
      </c>
      <c r="L9745" s="27">
        <v>44883.98</v>
      </c>
      <c r="M9745" s="36">
        <v>0</v>
      </c>
      <c r="T9745" s="41">
        <v>0</v>
      </c>
      <c r="U9745" s="41">
        <v>0</v>
      </c>
      <c r="V9745" s="42" t="s">
        <v>113</v>
      </c>
      <c r="W9745" s="42">
        <v>47246.3</v>
      </c>
      <c r="X9745" s="42">
        <v>47246.3</v>
      </c>
    </row>
    <row r="9746" spans="1:24">
      <c r="A9746" s="27" t="s">
        <v>17796</v>
      </c>
      <c r="B9746" s="28" t="s">
        <v>17556</v>
      </c>
      <c r="C9746" s="27" t="s">
        <v>17797</v>
      </c>
      <c r="D9746" s="27" t="s">
        <v>17578</v>
      </c>
      <c r="E9746" s="29">
        <v>40816</v>
      </c>
      <c r="F9746" s="27">
        <v>7</v>
      </c>
      <c r="G9746" s="18">
        <v>155125.34</v>
      </c>
      <c r="H9746" s="27">
        <f t="shared" si="304"/>
        <v>155125.34</v>
      </c>
      <c r="I9746" s="18">
        <v>147369.07</v>
      </c>
      <c r="J9746" s="27">
        <v>155125.34</v>
      </c>
      <c r="K9746" s="18">
        <f t="shared" si="305"/>
        <v>155125.34</v>
      </c>
      <c r="L9746" s="27">
        <v>147369.07</v>
      </c>
      <c r="M9746" s="36">
        <v>0</v>
      </c>
      <c r="T9746" s="41">
        <v>0</v>
      </c>
      <c r="U9746" s="41">
        <v>0</v>
      </c>
      <c r="V9746" s="42" t="s">
        <v>113</v>
      </c>
      <c r="W9746" s="42">
        <v>155125.34</v>
      </c>
      <c r="X9746" s="42">
        <v>155125.34</v>
      </c>
    </row>
    <row r="9747" spans="1:24">
      <c r="A9747" s="27" t="s">
        <v>17798</v>
      </c>
      <c r="B9747" s="28" t="s">
        <v>17556</v>
      </c>
      <c r="C9747" s="27" t="s">
        <v>17799</v>
      </c>
      <c r="D9747" s="27" t="s">
        <v>17578</v>
      </c>
      <c r="E9747" s="29">
        <v>40816</v>
      </c>
      <c r="F9747" s="27">
        <v>7</v>
      </c>
      <c r="G9747" s="18">
        <v>358284.41</v>
      </c>
      <c r="H9747" s="27">
        <f t="shared" si="304"/>
        <v>358284.41</v>
      </c>
      <c r="I9747" s="18">
        <v>340370.19</v>
      </c>
      <c r="J9747" s="27">
        <v>358284.41</v>
      </c>
      <c r="K9747" s="18">
        <f t="shared" si="305"/>
        <v>358284.41</v>
      </c>
      <c r="L9747" s="27">
        <v>340370.19</v>
      </c>
      <c r="M9747" s="36">
        <v>0</v>
      </c>
      <c r="T9747" s="41">
        <v>0</v>
      </c>
      <c r="U9747" s="41">
        <v>0</v>
      </c>
      <c r="V9747" s="42" t="s">
        <v>113</v>
      </c>
      <c r="W9747" s="42">
        <v>358284.41</v>
      </c>
      <c r="X9747" s="42">
        <v>358284.41</v>
      </c>
    </row>
    <row r="9748" spans="1:24">
      <c r="A9748" s="27" t="s">
        <v>17800</v>
      </c>
      <c r="B9748" s="28" t="s">
        <v>17556</v>
      </c>
      <c r="C9748" s="27" t="s">
        <v>17801</v>
      </c>
      <c r="D9748" s="27" t="s">
        <v>17578</v>
      </c>
      <c r="E9748" s="29">
        <v>41365</v>
      </c>
      <c r="F9748" s="27">
        <v>7</v>
      </c>
      <c r="G9748" s="18">
        <v>12946.83</v>
      </c>
      <c r="H9748" s="27">
        <f t="shared" si="304"/>
        <v>0</v>
      </c>
      <c r="I9748" s="18">
        <v>9956.73</v>
      </c>
      <c r="J9748" s="27">
        <v>12946.83</v>
      </c>
      <c r="K9748" s="18">
        <f t="shared" si="305"/>
        <v>0</v>
      </c>
      <c r="L9748" s="27">
        <v>11713.8</v>
      </c>
      <c r="M9748" s="36">
        <v>1757.07</v>
      </c>
      <c r="T9748" s="41">
        <v>0</v>
      </c>
      <c r="U9748" s="41">
        <v>0</v>
      </c>
      <c r="V9748" s="42" t="s">
        <v>113</v>
      </c>
      <c r="W9748" s="42">
        <v>12946.83</v>
      </c>
      <c r="X9748" s="42">
        <v>12946.83</v>
      </c>
    </row>
    <row r="9749" spans="1:24">
      <c r="A9749" s="27" t="s">
        <v>17802</v>
      </c>
      <c r="B9749" s="28" t="s">
        <v>17556</v>
      </c>
      <c r="C9749" s="27" t="s">
        <v>17803</v>
      </c>
      <c r="D9749" s="27" t="s">
        <v>17578</v>
      </c>
      <c r="E9749" s="29">
        <v>41365</v>
      </c>
      <c r="F9749" s="27">
        <v>7</v>
      </c>
      <c r="G9749" s="18">
        <v>17233</v>
      </c>
      <c r="H9749" s="27">
        <f t="shared" si="304"/>
        <v>0</v>
      </c>
      <c r="I9749" s="18">
        <v>13253</v>
      </c>
      <c r="J9749" s="27">
        <v>17233</v>
      </c>
      <c r="K9749" s="18">
        <f t="shared" si="305"/>
        <v>0</v>
      </c>
      <c r="L9749" s="27">
        <v>15591.76</v>
      </c>
      <c r="M9749" s="36">
        <v>2338.7600000000002</v>
      </c>
      <c r="T9749" s="41">
        <v>0</v>
      </c>
      <c r="U9749" s="41">
        <v>0</v>
      </c>
      <c r="V9749" s="42" t="s">
        <v>113</v>
      </c>
      <c r="W9749" s="42">
        <v>17233</v>
      </c>
      <c r="X9749" s="42">
        <v>17233</v>
      </c>
    </row>
    <row r="9750" spans="1:24">
      <c r="A9750" s="27" t="s">
        <v>17804</v>
      </c>
      <c r="B9750" s="28" t="s">
        <v>17556</v>
      </c>
      <c r="C9750" s="27" t="s">
        <v>17805</v>
      </c>
      <c r="D9750" s="27" t="s">
        <v>17578</v>
      </c>
      <c r="E9750" s="29">
        <v>41365</v>
      </c>
      <c r="F9750" s="27">
        <v>7</v>
      </c>
      <c r="G9750" s="18">
        <v>14827.27</v>
      </c>
      <c r="H9750" s="27">
        <f t="shared" si="304"/>
        <v>0</v>
      </c>
      <c r="I9750" s="18">
        <v>11402.88</v>
      </c>
      <c r="J9750" s="27">
        <v>14827.27</v>
      </c>
      <c r="K9750" s="18">
        <f t="shared" si="305"/>
        <v>0</v>
      </c>
      <c r="L9750" s="27">
        <v>13415.15</v>
      </c>
      <c r="M9750" s="36">
        <v>2012.27</v>
      </c>
      <c r="T9750" s="41">
        <v>0</v>
      </c>
      <c r="U9750" s="41">
        <v>0</v>
      </c>
      <c r="V9750" s="42" t="s">
        <v>113</v>
      </c>
      <c r="W9750" s="42">
        <v>14827.27</v>
      </c>
      <c r="X9750" s="42">
        <v>14827.27</v>
      </c>
    </row>
    <row r="9751" spans="1:24">
      <c r="A9751" s="27" t="s">
        <v>17806</v>
      </c>
      <c r="B9751" s="28" t="s">
        <v>17556</v>
      </c>
      <c r="C9751" s="27" t="s">
        <v>17807</v>
      </c>
      <c r="D9751" s="27" t="s">
        <v>230</v>
      </c>
      <c r="E9751" s="29">
        <v>41423</v>
      </c>
      <c r="F9751" s="27">
        <v>7</v>
      </c>
      <c r="G9751" s="18">
        <v>15376.82</v>
      </c>
      <c r="H9751" s="27">
        <f t="shared" si="304"/>
        <v>0</v>
      </c>
      <c r="I9751" s="18">
        <v>13241.62</v>
      </c>
      <c r="J9751" s="27">
        <v>15376.82</v>
      </c>
      <c r="K9751" s="18">
        <f t="shared" si="305"/>
        <v>0</v>
      </c>
      <c r="L9751" s="27">
        <v>14206.11</v>
      </c>
      <c r="M9751" s="36">
        <v>964.49</v>
      </c>
      <c r="T9751" s="41">
        <v>0</v>
      </c>
      <c r="U9751" s="41">
        <v>0</v>
      </c>
      <c r="V9751" s="42" t="s">
        <v>113</v>
      </c>
      <c r="W9751" s="42">
        <v>15376.82</v>
      </c>
      <c r="X9751" s="42">
        <v>15376.82</v>
      </c>
    </row>
    <row r="9752" spans="1:24">
      <c r="A9752" s="27" t="s">
        <v>17808</v>
      </c>
      <c r="B9752" s="28" t="s">
        <v>17556</v>
      </c>
      <c r="C9752" s="27" t="s">
        <v>17809</v>
      </c>
      <c r="D9752" s="27" t="s">
        <v>230</v>
      </c>
      <c r="E9752" s="29">
        <v>41423</v>
      </c>
      <c r="F9752" s="27">
        <v>7</v>
      </c>
      <c r="G9752" s="18">
        <v>19812.97</v>
      </c>
      <c r="H9752" s="27">
        <f t="shared" si="304"/>
        <v>0</v>
      </c>
      <c r="I9752" s="18">
        <v>14985.48</v>
      </c>
      <c r="J9752" s="27">
        <v>19812.97</v>
      </c>
      <c r="K9752" s="18">
        <f t="shared" si="305"/>
        <v>0</v>
      </c>
      <c r="L9752" s="27">
        <v>17693.84</v>
      </c>
      <c r="M9752" s="36">
        <v>2708.36</v>
      </c>
      <c r="T9752" s="41">
        <v>0</v>
      </c>
      <c r="U9752" s="41">
        <v>0</v>
      </c>
      <c r="V9752" s="42" t="s">
        <v>113</v>
      </c>
      <c r="W9752" s="42">
        <v>19812.97</v>
      </c>
      <c r="X9752" s="42">
        <v>19812.97</v>
      </c>
    </row>
    <row r="9753" spans="1:24">
      <c r="A9753" s="27" t="s">
        <v>17810</v>
      </c>
      <c r="B9753" s="28" t="s">
        <v>17556</v>
      </c>
      <c r="C9753" s="27" t="s">
        <v>17811</v>
      </c>
      <c r="D9753" s="27" t="s">
        <v>230</v>
      </c>
      <c r="E9753" s="29">
        <v>41423</v>
      </c>
      <c r="F9753" s="27">
        <v>7</v>
      </c>
      <c r="G9753" s="18">
        <v>19812.97</v>
      </c>
      <c r="H9753" s="27">
        <f t="shared" si="304"/>
        <v>0</v>
      </c>
      <c r="I9753" s="18">
        <v>14985.48</v>
      </c>
      <c r="J9753" s="27">
        <v>19812.97</v>
      </c>
      <c r="K9753" s="18">
        <f t="shared" si="305"/>
        <v>0</v>
      </c>
      <c r="L9753" s="27">
        <v>17693.84</v>
      </c>
      <c r="M9753" s="36">
        <v>2708.36</v>
      </c>
      <c r="T9753" s="41">
        <v>0</v>
      </c>
      <c r="U9753" s="41">
        <v>0</v>
      </c>
      <c r="V9753" s="42" t="s">
        <v>113</v>
      </c>
      <c r="W9753" s="42">
        <v>19812.97</v>
      </c>
      <c r="X9753" s="42">
        <v>19812.97</v>
      </c>
    </row>
    <row r="9754" spans="1:24">
      <c r="A9754" s="27" t="s">
        <v>17812</v>
      </c>
      <c r="B9754" s="28" t="s">
        <v>17556</v>
      </c>
      <c r="C9754" s="27" t="s">
        <v>17813</v>
      </c>
      <c r="D9754" s="27" t="s">
        <v>230</v>
      </c>
      <c r="E9754" s="29">
        <v>41423</v>
      </c>
      <c r="F9754" s="27">
        <v>7</v>
      </c>
      <c r="G9754" s="18">
        <v>19812.98</v>
      </c>
      <c r="H9754" s="27">
        <f t="shared" si="304"/>
        <v>0</v>
      </c>
      <c r="I9754" s="18">
        <v>14985.49</v>
      </c>
      <c r="J9754" s="27">
        <v>19812.98</v>
      </c>
      <c r="K9754" s="18">
        <f t="shared" si="305"/>
        <v>0</v>
      </c>
      <c r="L9754" s="27">
        <v>17693.849999999999</v>
      </c>
      <c r="M9754" s="36">
        <v>2708.36</v>
      </c>
      <c r="T9754" s="41">
        <v>0</v>
      </c>
      <c r="U9754" s="41">
        <v>0</v>
      </c>
      <c r="V9754" s="42" t="s">
        <v>113</v>
      </c>
      <c r="W9754" s="42">
        <v>19812.98</v>
      </c>
      <c r="X9754" s="42">
        <v>19812.98</v>
      </c>
    </row>
    <row r="9755" spans="1:24">
      <c r="A9755" s="27" t="s">
        <v>17814</v>
      </c>
      <c r="B9755" s="28" t="s">
        <v>17556</v>
      </c>
      <c r="C9755" s="27" t="s">
        <v>17815</v>
      </c>
      <c r="D9755" s="27" t="s">
        <v>230</v>
      </c>
      <c r="E9755" s="29">
        <v>41423</v>
      </c>
      <c r="F9755" s="27">
        <v>7</v>
      </c>
      <c r="G9755" s="18">
        <v>19812.98</v>
      </c>
      <c r="H9755" s="27">
        <f t="shared" si="304"/>
        <v>0</v>
      </c>
      <c r="I9755" s="18">
        <v>14985.49</v>
      </c>
      <c r="J9755" s="27">
        <v>19812.98</v>
      </c>
      <c r="K9755" s="18">
        <f t="shared" si="305"/>
        <v>0</v>
      </c>
      <c r="L9755" s="27">
        <v>17693.849999999999</v>
      </c>
      <c r="M9755" s="36">
        <v>2708.36</v>
      </c>
      <c r="T9755" s="41">
        <v>0</v>
      </c>
      <c r="U9755" s="41">
        <v>0</v>
      </c>
      <c r="V9755" s="42" t="s">
        <v>113</v>
      </c>
      <c r="W9755" s="42">
        <v>19812.98</v>
      </c>
      <c r="X9755" s="42">
        <v>19812.98</v>
      </c>
    </row>
    <row r="9756" spans="1:24">
      <c r="A9756" s="27" t="s">
        <v>17816</v>
      </c>
      <c r="B9756" s="28" t="s">
        <v>17556</v>
      </c>
      <c r="C9756" s="27" t="s">
        <v>17817</v>
      </c>
      <c r="D9756" s="27" t="s">
        <v>230</v>
      </c>
      <c r="E9756" s="29">
        <v>41423</v>
      </c>
      <c r="F9756" s="27">
        <v>7</v>
      </c>
      <c r="G9756" s="18">
        <v>19812.98</v>
      </c>
      <c r="H9756" s="27">
        <f t="shared" si="304"/>
        <v>0</v>
      </c>
      <c r="I9756" s="18">
        <v>14985.49</v>
      </c>
      <c r="J9756" s="27">
        <v>19812.98</v>
      </c>
      <c r="K9756" s="18">
        <f t="shared" si="305"/>
        <v>0</v>
      </c>
      <c r="L9756" s="27">
        <v>17693.849999999999</v>
      </c>
      <c r="M9756" s="36">
        <v>2708.36</v>
      </c>
      <c r="T9756" s="41">
        <v>0</v>
      </c>
      <c r="U9756" s="41">
        <v>0</v>
      </c>
      <c r="V9756" s="42" t="s">
        <v>113</v>
      </c>
      <c r="W9756" s="42">
        <v>19812.98</v>
      </c>
      <c r="X9756" s="42">
        <v>19812.98</v>
      </c>
    </row>
    <row r="9757" spans="1:24">
      <c r="A9757" s="27" t="s">
        <v>17818</v>
      </c>
      <c r="B9757" s="28" t="s">
        <v>17556</v>
      </c>
      <c r="C9757" s="27" t="s">
        <v>17819</v>
      </c>
      <c r="D9757" s="27" t="s">
        <v>230</v>
      </c>
      <c r="E9757" s="29">
        <v>41423</v>
      </c>
      <c r="F9757" s="27">
        <v>7</v>
      </c>
      <c r="G9757" s="18">
        <v>19813.02</v>
      </c>
      <c r="H9757" s="27">
        <f t="shared" si="304"/>
        <v>0</v>
      </c>
      <c r="I9757" s="18">
        <v>14985.52</v>
      </c>
      <c r="J9757" s="27">
        <v>19813.02</v>
      </c>
      <c r="K9757" s="18">
        <f t="shared" si="305"/>
        <v>0</v>
      </c>
      <c r="L9757" s="27">
        <v>17693.88</v>
      </c>
      <c r="M9757" s="36">
        <v>2708.36</v>
      </c>
      <c r="T9757" s="41">
        <v>0</v>
      </c>
      <c r="U9757" s="41">
        <v>0</v>
      </c>
      <c r="V9757" s="42" t="s">
        <v>113</v>
      </c>
      <c r="W9757" s="42">
        <v>19813.02</v>
      </c>
      <c r="X9757" s="42">
        <v>19813.02</v>
      </c>
    </row>
    <row r="9758" spans="1:24">
      <c r="A9758" s="27" t="s">
        <v>17820</v>
      </c>
      <c r="B9758" s="28" t="s">
        <v>17556</v>
      </c>
      <c r="C9758" s="27" t="s">
        <v>17821</v>
      </c>
      <c r="D9758" s="27" t="s">
        <v>17578</v>
      </c>
      <c r="E9758" s="29">
        <v>41423</v>
      </c>
      <c r="F9758" s="27">
        <v>7</v>
      </c>
      <c r="G9758" s="18">
        <v>350.61</v>
      </c>
      <c r="H9758" s="27">
        <f t="shared" si="304"/>
        <v>350.61</v>
      </c>
      <c r="I9758" s="18">
        <v>350.61</v>
      </c>
      <c r="J9758" s="27">
        <v>350.61</v>
      </c>
      <c r="K9758" s="18">
        <f t="shared" si="305"/>
        <v>350.61</v>
      </c>
      <c r="L9758" s="27">
        <v>350.61</v>
      </c>
      <c r="M9758" s="36">
        <v>0</v>
      </c>
      <c r="T9758" s="41">
        <v>0</v>
      </c>
      <c r="U9758" s="41">
        <v>0</v>
      </c>
      <c r="V9758" s="42" t="s">
        <v>113</v>
      </c>
      <c r="W9758" s="42">
        <v>350.61</v>
      </c>
      <c r="X9758" s="42">
        <v>350.61</v>
      </c>
    </row>
    <row r="9759" spans="1:24">
      <c r="A9759" s="27" t="s">
        <v>17822</v>
      </c>
      <c r="B9759" s="28" t="s">
        <v>17556</v>
      </c>
      <c r="C9759" s="27" t="s">
        <v>17823</v>
      </c>
      <c r="D9759" s="27" t="s">
        <v>17578</v>
      </c>
      <c r="E9759" s="29">
        <v>41423</v>
      </c>
      <c r="F9759" s="27">
        <v>7</v>
      </c>
      <c r="G9759" s="18">
        <v>350.61</v>
      </c>
      <c r="H9759" s="27">
        <f t="shared" si="304"/>
        <v>350.61</v>
      </c>
      <c r="I9759" s="18">
        <v>350.61</v>
      </c>
      <c r="J9759" s="27">
        <v>350.61</v>
      </c>
      <c r="K9759" s="18">
        <f t="shared" si="305"/>
        <v>350.61</v>
      </c>
      <c r="L9759" s="27">
        <v>350.61</v>
      </c>
      <c r="M9759" s="36">
        <v>0</v>
      </c>
      <c r="T9759" s="41">
        <v>0</v>
      </c>
      <c r="U9759" s="41">
        <v>0</v>
      </c>
      <c r="V9759" s="42" t="s">
        <v>113</v>
      </c>
      <c r="W9759" s="42">
        <v>350.61</v>
      </c>
      <c r="X9759" s="42">
        <v>350.61</v>
      </c>
    </row>
    <row r="9760" spans="1:24">
      <c r="A9760" s="27" t="s">
        <v>17824</v>
      </c>
      <c r="B9760" s="28" t="s">
        <v>17556</v>
      </c>
      <c r="C9760" s="27" t="s">
        <v>17825</v>
      </c>
      <c r="D9760" s="27" t="s">
        <v>17578</v>
      </c>
      <c r="E9760" s="29">
        <v>41423</v>
      </c>
      <c r="F9760" s="27">
        <v>7</v>
      </c>
      <c r="G9760" s="18">
        <v>350.61</v>
      </c>
      <c r="H9760" s="27">
        <f t="shared" si="304"/>
        <v>350.61</v>
      </c>
      <c r="I9760" s="18">
        <v>350.61</v>
      </c>
      <c r="J9760" s="27">
        <v>350.61</v>
      </c>
      <c r="K9760" s="18">
        <f t="shared" si="305"/>
        <v>350.61</v>
      </c>
      <c r="L9760" s="27">
        <v>350.61</v>
      </c>
      <c r="M9760" s="36">
        <v>0</v>
      </c>
      <c r="T9760" s="41">
        <v>0</v>
      </c>
      <c r="U9760" s="41">
        <v>0</v>
      </c>
      <c r="V9760" s="42" t="s">
        <v>113</v>
      </c>
      <c r="W9760" s="42">
        <v>350.61</v>
      </c>
      <c r="X9760" s="42">
        <v>350.61</v>
      </c>
    </row>
    <row r="9761" spans="1:24">
      <c r="A9761" s="27" t="s">
        <v>17826</v>
      </c>
      <c r="B9761" s="28" t="s">
        <v>17556</v>
      </c>
      <c r="C9761" s="27" t="s">
        <v>17827</v>
      </c>
      <c r="D9761" s="27" t="s">
        <v>17578</v>
      </c>
      <c r="E9761" s="29">
        <v>41423</v>
      </c>
      <c r="F9761" s="27">
        <v>7</v>
      </c>
      <c r="G9761" s="18">
        <v>350.61</v>
      </c>
      <c r="H9761" s="27">
        <f t="shared" si="304"/>
        <v>350.61</v>
      </c>
      <c r="I9761" s="18">
        <v>350.61</v>
      </c>
      <c r="J9761" s="27">
        <v>350.61</v>
      </c>
      <c r="K9761" s="18">
        <f t="shared" si="305"/>
        <v>350.61</v>
      </c>
      <c r="L9761" s="27">
        <v>350.61</v>
      </c>
      <c r="M9761" s="36">
        <v>0</v>
      </c>
      <c r="T9761" s="41">
        <v>0</v>
      </c>
      <c r="U9761" s="41">
        <v>0</v>
      </c>
      <c r="V9761" s="42" t="s">
        <v>113</v>
      </c>
      <c r="W9761" s="42">
        <v>350.61</v>
      </c>
      <c r="X9761" s="42">
        <v>350.61</v>
      </c>
    </row>
    <row r="9762" spans="1:24">
      <c r="A9762" s="27" t="s">
        <v>17828</v>
      </c>
      <c r="B9762" s="28" t="s">
        <v>17556</v>
      </c>
      <c r="C9762" s="27" t="s">
        <v>17829</v>
      </c>
      <c r="D9762" s="27" t="s">
        <v>17578</v>
      </c>
      <c r="E9762" s="29">
        <v>41423</v>
      </c>
      <c r="F9762" s="27">
        <v>7</v>
      </c>
      <c r="G9762" s="18">
        <v>350.61</v>
      </c>
      <c r="H9762" s="27">
        <f t="shared" si="304"/>
        <v>350.61</v>
      </c>
      <c r="I9762" s="18">
        <v>350.61</v>
      </c>
      <c r="J9762" s="27">
        <v>350.61</v>
      </c>
      <c r="K9762" s="18">
        <f t="shared" si="305"/>
        <v>350.61</v>
      </c>
      <c r="L9762" s="27">
        <v>350.61</v>
      </c>
      <c r="M9762" s="36">
        <v>0</v>
      </c>
      <c r="T9762" s="41">
        <v>0</v>
      </c>
      <c r="U9762" s="41">
        <v>0</v>
      </c>
      <c r="V9762" s="42" t="s">
        <v>113</v>
      </c>
      <c r="W9762" s="42">
        <v>350.61</v>
      </c>
      <c r="X9762" s="42">
        <v>350.61</v>
      </c>
    </row>
    <row r="9763" spans="1:24">
      <c r="A9763" s="27" t="s">
        <v>17830</v>
      </c>
      <c r="B9763" s="28" t="s">
        <v>17556</v>
      </c>
      <c r="C9763" s="27" t="s">
        <v>17831</v>
      </c>
      <c r="D9763" s="27" t="s">
        <v>17578</v>
      </c>
      <c r="E9763" s="29">
        <v>41423</v>
      </c>
      <c r="F9763" s="27">
        <v>7</v>
      </c>
      <c r="G9763" s="18">
        <v>350.61</v>
      </c>
      <c r="H9763" s="27">
        <f t="shared" si="304"/>
        <v>350.61</v>
      </c>
      <c r="I9763" s="18">
        <v>350.61</v>
      </c>
      <c r="J9763" s="27">
        <v>350.61</v>
      </c>
      <c r="K9763" s="18">
        <f t="shared" si="305"/>
        <v>350.61</v>
      </c>
      <c r="L9763" s="27">
        <v>350.61</v>
      </c>
      <c r="M9763" s="36">
        <v>0</v>
      </c>
      <c r="T9763" s="41">
        <v>0</v>
      </c>
      <c r="U9763" s="41">
        <v>0</v>
      </c>
      <c r="V9763" s="42" t="s">
        <v>113</v>
      </c>
      <c r="W9763" s="42">
        <v>350.61</v>
      </c>
      <c r="X9763" s="42">
        <v>350.61</v>
      </c>
    </row>
    <row r="9764" spans="1:24">
      <c r="A9764" s="27" t="s">
        <v>17832</v>
      </c>
      <c r="B9764" s="28" t="s">
        <v>17556</v>
      </c>
      <c r="C9764" s="27" t="s">
        <v>17833</v>
      </c>
      <c r="D9764" s="27" t="s">
        <v>17578</v>
      </c>
      <c r="E9764" s="29">
        <v>41423</v>
      </c>
      <c r="F9764" s="27">
        <v>7</v>
      </c>
      <c r="G9764" s="18">
        <v>350.61</v>
      </c>
      <c r="H9764" s="27">
        <f t="shared" si="304"/>
        <v>350.61</v>
      </c>
      <c r="I9764" s="18">
        <v>350.61</v>
      </c>
      <c r="J9764" s="27">
        <v>350.61</v>
      </c>
      <c r="K9764" s="18">
        <f t="shared" si="305"/>
        <v>350.61</v>
      </c>
      <c r="L9764" s="27">
        <v>350.61</v>
      </c>
      <c r="M9764" s="36">
        <v>0</v>
      </c>
      <c r="T9764" s="41">
        <v>0</v>
      </c>
      <c r="U9764" s="41">
        <v>0</v>
      </c>
      <c r="V9764" s="42" t="s">
        <v>113</v>
      </c>
      <c r="W9764" s="42">
        <v>350.61</v>
      </c>
      <c r="X9764" s="42">
        <v>350.61</v>
      </c>
    </row>
    <row r="9765" spans="1:24">
      <c r="A9765" s="27" t="s">
        <v>17834</v>
      </c>
      <c r="B9765" s="28" t="s">
        <v>17556</v>
      </c>
      <c r="C9765" s="27" t="s">
        <v>17835</v>
      </c>
      <c r="D9765" s="27" t="s">
        <v>17578</v>
      </c>
      <c r="E9765" s="29">
        <v>41423</v>
      </c>
      <c r="F9765" s="27">
        <v>7</v>
      </c>
      <c r="G9765" s="18">
        <v>350.62</v>
      </c>
      <c r="H9765" s="27">
        <f t="shared" si="304"/>
        <v>350.62</v>
      </c>
      <c r="I9765" s="18">
        <v>350.62</v>
      </c>
      <c r="J9765" s="27">
        <v>350.62</v>
      </c>
      <c r="K9765" s="18">
        <f t="shared" si="305"/>
        <v>350.62</v>
      </c>
      <c r="L9765" s="27">
        <v>350.62</v>
      </c>
      <c r="M9765" s="36">
        <v>0</v>
      </c>
      <c r="T9765" s="41">
        <v>0</v>
      </c>
      <c r="U9765" s="41">
        <v>0</v>
      </c>
      <c r="V9765" s="42" t="s">
        <v>113</v>
      </c>
      <c r="W9765" s="42">
        <v>350.62</v>
      </c>
      <c r="X9765" s="42">
        <v>350.62</v>
      </c>
    </row>
    <row r="9766" spans="1:24">
      <c r="A9766" s="27" t="s">
        <v>17836</v>
      </c>
      <c r="B9766" s="28" t="s">
        <v>17556</v>
      </c>
      <c r="C9766" s="27" t="s">
        <v>17837</v>
      </c>
      <c r="D9766" s="27" t="s">
        <v>17578</v>
      </c>
      <c r="E9766" s="29">
        <v>41423</v>
      </c>
      <c r="F9766" s="27">
        <v>7</v>
      </c>
      <c r="G9766" s="18">
        <v>350.62</v>
      </c>
      <c r="H9766" s="27">
        <f t="shared" si="304"/>
        <v>350.62</v>
      </c>
      <c r="I9766" s="18">
        <v>350.62</v>
      </c>
      <c r="J9766" s="27">
        <v>350.62</v>
      </c>
      <c r="K9766" s="18">
        <f t="shared" si="305"/>
        <v>350.62</v>
      </c>
      <c r="L9766" s="27">
        <v>350.62</v>
      </c>
      <c r="M9766" s="36">
        <v>0</v>
      </c>
      <c r="T9766" s="41">
        <v>0</v>
      </c>
      <c r="U9766" s="41">
        <v>0</v>
      </c>
      <c r="V9766" s="42" t="s">
        <v>113</v>
      </c>
      <c r="W9766" s="42">
        <v>350.62</v>
      </c>
      <c r="X9766" s="42">
        <v>350.62</v>
      </c>
    </row>
    <row r="9767" spans="1:24">
      <c r="A9767" s="27" t="s">
        <v>17838</v>
      </c>
      <c r="B9767" s="28" t="s">
        <v>17556</v>
      </c>
      <c r="C9767" s="27" t="s">
        <v>17839</v>
      </c>
      <c r="D9767" s="27" t="s">
        <v>17578</v>
      </c>
      <c r="E9767" s="29">
        <v>41423</v>
      </c>
      <c r="F9767" s="27">
        <v>7</v>
      </c>
      <c r="G9767" s="18">
        <v>350.62</v>
      </c>
      <c r="H9767" s="27">
        <f t="shared" si="304"/>
        <v>350.62</v>
      </c>
      <c r="I9767" s="18">
        <v>350.62</v>
      </c>
      <c r="J9767" s="27">
        <v>350.62</v>
      </c>
      <c r="K9767" s="18">
        <f t="shared" si="305"/>
        <v>350.62</v>
      </c>
      <c r="L9767" s="27">
        <v>350.62</v>
      </c>
      <c r="M9767" s="36">
        <v>0</v>
      </c>
      <c r="T9767" s="41">
        <v>0</v>
      </c>
      <c r="U9767" s="41">
        <v>0</v>
      </c>
      <c r="V9767" s="42" t="s">
        <v>113</v>
      </c>
      <c r="W9767" s="42">
        <v>350.62</v>
      </c>
      <c r="X9767" s="42">
        <v>350.62</v>
      </c>
    </row>
    <row r="9768" spans="1:24">
      <c r="A9768" s="27" t="s">
        <v>17840</v>
      </c>
      <c r="B9768" s="28" t="s">
        <v>17556</v>
      </c>
      <c r="C9768" s="27" t="s">
        <v>17841</v>
      </c>
      <c r="D9768" s="27" t="s">
        <v>17578</v>
      </c>
      <c r="E9768" s="29">
        <v>41423</v>
      </c>
      <c r="F9768" s="27">
        <v>7</v>
      </c>
      <c r="G9768" s="18">
        <v>350.68</v>
      </c>
      <c r="H9768" s="27">
        <f t="shared" si="304"/>
        <v>350.68</v>
      </c>
      <c r="I9768" s="18">
        <v>350.68</v>
      </c>
      <c r="J9768" s="27">
        <v>350.68</v>
      </c>
      <c r="K9768" s="18">
        <f t="shared" si="305"/>
        <v>350.68</v>
      </c>
      <c r="L9768" s="27">
        <v>350.68</v>
      </c>
      <c r="M9768" s="36">
        <v>0</v>
      </c>
      <c r="T9768" s="41">
        <v>0</v>
      </c>
      <c r="U9768" s="41">
        <v>0</v>
      </c>
      <c r="V9768" s="42" t="s">
        <v>113</v>
      </c>
      <c r="W9768" s="42">
        <v>350.68</v>
      </c>
      <c r="X9768" s="42">
        <v>350.68</v>
      </c>
    </row>
    <row r="9769" spans="1:24">
      <c r="A9769" s="27" t="s">
        <v>17842</v>
      </c>
      <c r="B9769" s="28" t="s">
        <v>17556</v>
      </c>
      <c r="C9769" s="27" t="s">
        <v>17843</v>
      </c>
      <c r="D9769" s="27" t="s">
        <v>17578</v>
      </c>
      <c r="E9769" s="29">
        <v>41423</v>
      </c>
      <c r="F9769" s="27">
        <v>7</v>
      </c>
      <c r="G9769" s="18">
        <v>1326.29</v>
      </c>
      <c r="H9769" s="27">
        <f t="shared" si="304"/>
        <v>1326.29</v>
      </c>
      <c r="I9769" s="18">
        <v>1326.29</v>
      </c>
      <c r="J9769" s="27">
        <v>1326.29</v>
      </c>
      <c r="K9769" s="18">
        <f t="shared" si="305"/>
        <v>1326.29</v>
      </c>
      <c r="L9769" s="27">
        <v>1326.29</v>
      </c>
      <c r="M9769" s="36">
        <v>0</v>
      </c>
      <c r="T9769" s="41">
        <v>0</v>
      </c>
      <c r="U9769" s="41">
        <v>0</v>
      </c>
      <c r="V9769" s="42" t="s">
        <v>113</v>
      </c>
      <c r="W9769" s="42">
        <v>1326.29</v>
      </c>
      <c r="X9769" s="42">
        <v>1326.29</v>
      </c>
    </row>
    <row r="9770" spans="1:24">
      <c r="A9770" s="27" t="s">
        <v>17844</v>
      </c>
      <c r="B9770" s="28" t="s">
        <v>17556</v>
      </c>
      <c r="C9770" s="27" t="s">
        <v>17845</v>
      </c>
      <c r="D9770" s="27" t="s">
        <v>17558</v>
      </c>
      <c r="E9770" s="29">
        <v>41423</v>
      </c>
      <c r="F9770" s="27">
        <v>7</v>
      </c>
      <c r="G9770" s="18">
        <v>1326.29</v>
      </c>
      <c r="H9770" s="27">
        <f t="shared" si="304"/>
        <v>1326.29</v>
      </c>
      <c r="I9770" s="18">
        <v>1326.29</v>
      </c>
      <c r="J9770" s="27">
        <v>1326.29</v>
      </c>
      <c r="K9770" s="18">
        <f t="shared" si="305"/>
        <v>1326.29</v>
      </c>
      <c r="L9770" s="27">
        <v>1326.29</v>
      </c>
      <c r="M9770" s="36">
        <v>0</v>
      </c>
      <c r="T9770" s="41">
        <v>0</v>
      </c>
      <c r="U9770" s="41">
        <v>0</v>
      </c>
      <c r="V9770" s="42" t="s">
        <v>113</v>
      </c>
      <c r="W9770" s="42">
        <v>1326.29</v>
      </c>
      <c r="X9770" s="42">
        <v>1326.29</v>
      </c>
    </row>
    <row r="9771" spans="1:24">
      <c r="A9771" s="27" t="s">
        <v>17846</v>
      </c>
      <c r="B9771" s="28" t="s">
        <v>17556</v>
      </c>
      <c r="C9771" s="27" t="s">
        <v>17847</v>
      </c>
      <c r="D9771" s="27" t="s">
        <v>17558</v>
      </c>
      <c r="E9771" s="29">
        <v>41423</v>
      </c>
      <c r="F9771" s="27">
        <v>7</v>
      </c>
      <c r="G9771" s="18">
        <v>1326.3</v>
      </c>
      <c r="H9771" s="27">
        <f t="shared" si="304"/>
        <v>1326.3</v>
      </c>
      <c r="I9771" s="18">
        <v>1326.3</v>
      </c>
      <c r="J9771" s="27">
        <v>1326.3</v>
      </c>
      <c r="K9771" s="18">
        <f t="shared" si="305"/>
        <v>1326.3</v>
      </c>
      <c r="L9771" s="27">
        <v>1326.3</v>
      </c>
      <c r="M9771" s="36">
        <v>0</v>
      </c>
      <c r="T9771" s="41">
        <v>0</v>
      </c>
      <c r="U9771" s="41">
        <v>0</v>
      </c>
      <c r="V9771" s="42" t="s">
        <v>113</v>
      </c>
      <c r="W9771" s="42">
        <v>1326.3</v>
      </c>
      <c r="X9771" s="42">
        <v>1326.3</v>
      </c>
    </row>
    <row r="9772" spans="1:24">
      <c r="A9772" s="27" t="s">
        <v>17848</v>
      </c>
      <c r="B9772" s="28" t="s">
        <v>17556</v>
      </c>
      <c r="C9772" s="27" t="s">
        <v>17849</v>
      </c>
      <c r="D9772" s="27" t="s">
        <v>17558</v>
      </c>
      <c r="E9772" s="29">
        <v>41423</v>
      </c>
      <c r="F9772" s="27">
        <v>7</v>
      </c>
      <c r="G9772" s="18">
        <v>1326.3</v>
      </c>
      <c r="H9772" s="27">
        <f t="shared" si="304"/>
        <v>1326.3</v>
      </c>
      <c r="I9772" s="18">
        <v>1326.3</v>
      </c>
      <c r="J9772" s="27">
        <v>1326.3</v>
      </c>
      <c r="K9772" s="18">
        <f t="shared" si="305"/>
        <v>1326.3</v>
      </c>
      <c r="L9772" s="27">
        <v>1326.3</v>
      </c>
      <c r="M9772" s="36">
        <v>0</v>
      </c>
      <c r="T9772" s="41">
        <v>0</v>
      </c>
      <c r="U9772" s="41">
        <v>0</v>
      </c>
      <c r="V9772" s="42" t="s">
        <v>113</v>
      </c>
      <c r="W9772" s="42">
        <v>1326.3</v>
      </c>
      <c r="X9772" s="42">
        <v>1326.3</v>
      </c>
    </row>
    <row r="9773" spans="1:24">
      <c r="A9773" s="27" t="s">
        <v>17850</v>
      </c>
      <c r="B9773" s="28" t="s">
        <v>17556</v>
      </c>
      <c r="C9773" s="27" t="s">
        <v>17851</v>
      </c>
      <c r="D9773" s="27" t="s">
        <v>17558</v>
      </c>
      <c r="E9773" s="29">
        <v>41423</v>
      </c>
      <c r="F9773" s="27">
        <v>7</v>
      </c>
      <c r="G9773" s="18">
        <v>1326.3</v>
      </c>
      <c r="H9773" s="27">
        <f t="shared" si="304"/>
        <v>1326.3</v>
      </c>
      <c r="I9773" s="18">
        <v>1326.3</v>
      </c>
      <c r="J9773" s="27">
        <v>1326.3</v>
      </c>
      <c r="K9773" s="18">
        <f t="shared" si="305"/>
        <v>1326.3</v>
      </c>
      <c r="L9773" s="27">
        <v>1326.3</v>
      </c>
      <c r="M9773" s="36">
        <v>0</v>
      </c>
      <c r="T9773" s="41">
        <v>0</v>
      </c>
      <c r="U9773" s="41">
        <v>0</v>
      </c>
      <c r="V9773" s="42" t="s">
        <v>113</v>
      </c>
      <c r="W9773" s="42">
        <v>1326.3</v>
      </c>
      <c r="X9773" s="42">
        <v>1326.3</v>
      </c>
    </row>
    <row r="9774" spans="1:24">
      <c r="A9774" s="27" t="s">
        <v>17852</v>
      </c>
      <c r="B9774" s="28" t="s">
        <v>17556</v>
      </c>
      <c r="C9774" s="27" t="s">
        <v>17853</v>
      </c>
      <c r="D9774" s="27" t="s">
        <v>17558</v>
      </c>
      <c r="E9774" s="29">
        <v>41423</v>
      </c>
      <c r="F9774" s="27">
        <v>7</v>
      </c>
      <c r="G9774" s="18">
        <v>1326.3</v>
      </c>
      <c r="H9774" s="27">
        <f t="shared" si="304"/>
        <v>1326.3</v>
      </c>
      <c r="I9774" s="18">
        <v>1326.3</v>
      </c>
      <c r="J9774" s="27">
        <v>1326.3</v>
      </c>
      <c r="K9774" s="18">
        <f t="shared" si="305"/>
        <v>1326.3</v>
      </c>
      <c r="L9774" s="27">
        <v>1326.3</v>
      </c>
      <c r="M9774" s="36">
        <v>0</v>
      </c>
      <c r="T9774" s="41">
        <v>0</v>
      </c>
      <c r="U9774" s="41">
        <v>0</v>
      </c>
      <c r="V9774" s="42" t="s">
        <v>113</v>
      </c>
      <c r="W9774" s="42">
        <v>1326.3</v>
      </c>
      <c r="X9774" s="42">
        <v>1326.3</v>
      </c>
    </row>
    <row r="9775" spans="1:24">
      <c r="A9775" s="27" t="s">
        <v>17854</v>
      </c>
      <c r="B9775" s="28" t="s">
        <v>17556</v>
      </c>
      <c r="C9775" s="27" t="s">
        <v>17855</v>
      </c>
      <c r="D9775" s="27" t="s">
        <v>17558</v>
      </c>
      <c r="E9775" s="29">
        <v>41423</v>
      </c>
      <c r="F9775" s="27">
        <v>7</v>
      </c>
      <c r="G9775" s="18">
        <v>1326.3</v>
      </c>
      <c r="H9775" s="27">
        <f t="shared" si="304"/>
        <v>1326.3</v>
      </c>
      <c r="I9775" s="18">
        <v>1326.3</v>
      </c>
      <c r="J9775" s="27">
        <v>1326.3</v>
      </c>
      <c r="K9775" s="18">
        <f t="shared" si="305"/>
        <v>1326.3</v>
      </c>
      <c r="L9775" s="27">
        <v>1326.3</v>
      </c>
      <c r="M9775" s="36">
        <v>0</v>
      </c>
      <c r="T9775" s="41">
        <v>0</v>
      </c>
      <c r="U9775" s="41">
        <v>0</v>
      </c>
      <c r="V9775" s="42" t="s">
        <v>113</v>
      </c>
      <c r="W9775" s="42">
        <v>1326.3</v>
      </c>
      <c r="X9775" s="42">
        <v>1326.3</v>
      </c>
    </row>
    <row r="9776" spans="1:24">
      <c r="A9776" s="27" t="s">
        <v>17856</v>
      </c>
      <c r="B9776" s="28" t="s">
        <v>17556</v>
      </c>
      <c r="C9776" s="27" t="s">
        <v>17857</v>
      </c>
      <c r="D9776" s="27" t="s">
        <v>17558</v>
      </c>
      <c r="E9776" s="29">
        <v>41423</v>
      </c>
      <c r="F9776" s="27">
        <v>7</v>
      </c>
      <c r="G9776" s="18">
        <v>1326.3</v>
      </c>
      <c r="H9776" s="27">
        <f t="shared" si="304"/>
        <v>1326.3</v>
      </c>
      <c r="I9776" s="18">
        <v>1326.3</v>
      </c>
      <c r="J9776" s="27">
        <v>1326.3</v>
      </c>
      <c r="K9776" s="18">
        <f t="shared" si="305"/>
        <v>1326.3</v>
      </c>
      <c r="L9776" s="27">
        <v>1326.3</v>
      </c>
      <c r="M9776" s="36">
        <v>0</v>
      </c>
      <c r="T9776" s="41">
        <v>0</v>
      </c>
      <c r="U9776" s="41">
        <v>0</v>
      </c>
      <c r="V9776" s="42" t="s">
        <v>113</v>
      </c>
      <c r="W9776" s="42">
        <v>1326.3</v>
      </c>
      <c r="X9776" s="42">
        <v>1326.3</v>
      </c>
    </row>
    <row r="9777" spans="1:24">
      <c r="A9777" s="27" t="s">
        <v>17858</v>
      </c>
      <c r="B9777" s="28" t="s">
        <v>17556</v>
      </c>
      <c r="C9777" s="27" t="s">
        <v>17859</v>
      </c>
      <c r="D9777" s="27" t="s">
        <v>17558</v>
      </c>
      <c r="E9777" s="29">
        <v>41423</v>
      </c>
      <c r="F9777" s="27">
        <v>7</v>
      </c>
      <c r="G9777" s="18">
        <v>1326.3</v>
      </c>
      <c r="H9777" s="27">
        <f t="shared" si="304"/>
        <v>1326.3</v>
      </c>
      <c r="I9777" s="18">
        <v>1326.3</v>
      </c>
      <c r="J9777" s="27">
        <v>1326.3</v>
      </c>
      <c r="K9777" s="18">
        <f t="shared" si="305"/>
        <v>1326.3</v>
      </c>
      <c r="L9777" s="27">
        <v>1326.3</v>
      </c>
      <c r="M9777" s="36">
        <v>0</v>
      </c>
      <c r="T9777" s="41">
        <v>0</v>
      </c>
      <c r="U9777" s="41">
        <v>0</v>
      </c>
      <c r="V9777" s="42" t="s">
        <v>113</v>
      </c>
      <c r="W9777" s="42">
        <v>1326.3</v>
      </c>
      <c r="X9777" s="42">
        <v>1326.3</v>
      </c>
    </row>
    <row r="9778" spans="1:24">
      <c r="A9778" s="27" t="s">
        <v>17860</v>
      </c>
      <c r="B9778" s="28" t="s">
        <v>17556</v>
      </c>
      <c r="C9778" s="27" t="s">
        <v>17861</v>
      </c>
      <c r="D9778" s="27" t="s">
        <v>17558</v>
      </c>
      <c r="E9778" s="29">
        <v>41423</v>
      </c>
      <c r="F9778" s="27">
        <v>7</v>
      </c>
      <c r="G9778" s="18">
        <v>1326.3</v>
      </c>
      <c r="H9778" s="27">
        <f t="shared" si="304"/>
        <v>1326.3</v>
      </c>
      <c r="I9778" s="18">
        <v>1326.3</v>
      </c>
      <c r="J9778" s="27">
        <v>1326.3</v>
      </c>
      <c r="K9778" s="18">
        <f t="shared" si="305"/>
        <v>1326.3</v>
      </c>
      <c r="L9778" s="27">
        <v>1326.3</v>
      </c>
      <c r="M9778" s="36">
        <v>0</v>
      </c>
      <c r="T9778" s="41">
        <v>0</v>
      </c>
      <c r="U9778" s="41">
        <v>0</v>
      </c>
      <c r="V9778" s="42" t="s">
        <v>113</v>
      </c>
      <c r="W9778" s="42">
        <v>1326.3</v>
      </c>
      <c r="X9778" s="42">
        <v>1326.3</v>
      </c>
    </row>
    <row r="9779" spans="1:24">
      <c r="A9779" s="27" t="s">
        <v>17862</v>
      </c>
      <c r="B9779" s="28" t="s">
        <v>17556</v>
      </c>
      <c r="C9779" s="27" t="s">
        <v>17863</v>
      </c>
      <c r="D9779" s="27" t="s">
        <v>17558</v>
      </c>
      <c r="E9779" s="29">
        <v>41423</v>
      </c>
      <c r="F9779" s="27">
        <v>7</v>
      </c>
      <c r="G9779" s="18">
        <v>1326.3</v>
      </c>
      <c r="H9779" s="27">
        <f t="shared" si="304"/>
        <v>1326.3</v>
      </c>
      <c r="I9779" s="18">
        <v>1326.3</v>
      </c>
      <c r="J9779" s="27">
        <v>1326.3</v>
      </c>
      <c r="K9779" s="18">
        <f t="shared" si="305"/>
        <v>1326.3</v>
      </c>
      <c r="L9779" s="27">
        <v>1326.3</v>
      </c>
      <c r="M9779" s="36">
        <v>0</v>
      </c>
      <c r="T9779" s="41">
        <v>0</v>
      </c>
      <c r="U9779" s="41">
        <v>0</v>
      </c>
      <c r="V9779" s="42" t="s">
        <v>113</v>
      </c>
      <c r="W9779" s="42">
        <v>1326.3</v>
      </c>
      <c r="X9779" s="42">
        <v>1326.3</v>
      </c>
    </row>
    <row r="9780" spans="1:24">
      <c r="A9780" s="27" t="s">
        <v>17864</v>
      </c>
      <c r="B9780" s="28" t="s">
        <v>17556</v>
      </c>
      <c r="C9780" s="27" t="s">
        <v>12364</v>
      </c>
      <c r="D9780" s="27" t="s">
        <v>17578</v>
      </c>
      <c r="E9780" s="29">
        <v>41626</v>
      </c>
      <c r="F9780" s="27">
        <v>7</v>
      </c>
      <c r="G9780" s="18">
        <v>9877.18</v>
      </c>
      <c r="H9780" s="27">
        <f t="shared" si="304"/>
        <v>0</v>
      </c>
      <c r="I9780" s="18">
        <v>6702.37</v>
      </c>
      <c r="J9780" s="27">
        <v>9877.18</v>
      </c>
      <c r="K9780" s="18">
        <f t="shared" si="305"/>
        <v>0</v>
      </c>
      <c r="L9780" s="27">
        <v>8042.85</v>
      </c>
      <c r="M9780" s="36">
        <v>1340.48</v>
      </c>
      <c r="T9780" s="41">
        <v>0</v>
      </c>
      <c r="U9780" s="41">
        <v>0</v>
      </c>
      <c r="V9780" s="42" t="s">
        <v>113</v>
      </c>
      <c r="W9780" s="42">
        <v>9877.18</v>
      </c>
      <c r="X9780" s="42">
        <v>9877.18</v>
      </c>
    </row>
    <row r="9781" spans="1:24">
      <c r="A9781" s="27" t="s">
        <v>17865</v>
      </c>
      <c r="B9781" s="28" t="s">
        <v>17556</v>
      </c>
      <c r="C9781" s="27" t="s">
        <v>12364</v>
      </c>
      <c r="D9781" s="27" t="s">
        <v>17578</v>
      </c>
      <c r="E9781" s="29">
        <v>41626</v>
      </c>
      <c r="F9781" s="27">
        <v>7</v>
      </c>
      <c r="G9781" s="18">
        <v>9877.17</v>
      </c>
      <c r="H9781" s="27">
        <f t="shared" si="304"/>
        <v>0</v>
      </c>
      <c r="I9781" s="18">
        <v>6702.36</v>
      </c>
      <c r="J9781" s="27">
        <v>9877.17</v>
      </c>
      <c r="K9781" s="18">
        <f t="shared" si="305"/>
        <v>0</v>
      </c>
      <c r="L9781" s="27">
        <v>8042.84</v>
      </c>
      <c r="M9781" s="36">
        <v>1340.48</v>
      </c>
      <c r="T9781" s="41">
        <v>0</v>
      </c>
      <c r="U9781" s="41">
        <v>0</v>
      </c>
      <c r="V9781" s="42" t="s">
        <v>113</v>
      </c>
      <c r="W9781" s="42">
        <v>9877.17</v>
      </c>
      <c r="X9781" s="42">
        <v>9877.17</v>
      </c>
    </row>
    <row r="9782" spans="1:24">
      <c r="A9782" s="27" t="s">
        <v>17866</v>
      </c>
      <c r="B9782" s="28" t="s">
        <v>17556</v>
      </c>
      <c r="C9782" s="27" t="s">
        <v>17867</v>
      </c>
      <c r="D9782" s="27" t="s">
        <v>17578</v>
      </c>
      <c r="E9782" s="29">
        <v>41271</v>
      </c>
      <c r="F9782" s="27">
        <v>7</v>
      </c>
      <c r="G9782" s="18">
        <v>475993.96</v>
      </c>
      <c r="H9782" s="27">
        <f t="shared" si="304"/>
        <v>0</v>
      </c>
      <c r="I9782" s="18">
        <v>389702.16</v>
      </c>
      <c r="J9782" s="27">
        <v>475993.96</v>
      </c>
      <c r="K9782" s="18">
        <f t="shared" si="305"/>
        <v>475993.96</v>
      </c>
      <c r="L9782" s="27">
        <v>452194.26</v>
      </c>
      <c r="M9782" s="36">
        <v>62492.1</v>
      </c>
      <c r="T9782" s="41">
        <v>0</v>
      </c>
      <c r="U9782" s="41">
        <v>0</v>
      </c>
      <c r="V9782" s="42" t="s">
        <v>113</v>
      </c>
      <c r="W9782" s="42">
        <v>475993.96</v>
      </c>
      <c r="X9782" s="42">
        <v>475993.96</v>
      </c>
    </row>
    <row r="9783" spans="1:24">
      <c r="A9783" s="27" t="s">
        <v>17868</v>
      </c>
      <c r="B9783" s="28" t="s">
        <v>17556</v>
      </c>
      <c r="C9783" s="27" t="s">
        <v>17869</v>
      </c>
      <c r="D9783" s="27" t="s">
        <v>17578</v>
      </c>
      <c r="E9783" s="29">
        <v>41271</v>
      </c>
      <c r="F9783" s="27">
        <v>7</v>
      </c>
      <c r="G9783" s="18">
        <v>149554.76999999999</v>
      </c>
      <c r="H9783" s="27">
        <f t="shared" si="304"/>
        <v>0</v>
      </c>
      <c r="I9783" s="18">
        <v>122442.35</v>
      </c>
      <c r="J9783" s="27">
        <v>149554.76999999999</v>
      </c>
      <c r="K9783" s="18">
        <f t="shared" si="305"/>
        <v>149554.76999999999</v>
      </c>
      <c r="L9783" s="27">
        <v>142077.03</v>
      </c>
      <c r="M9783" s="36">
        <v>19634.68</v>
      </c>
      <c r="T9783" s="41">
        <v>0</v>
      </c>
      <c r="U9783" s="41">
        <v>0</v>
      </c>
      <c r="V9783" s="42" t="s">
        <v>113</v>
      </c>
      <c r="W9783" s="42">
        <v>149554.76999999999</v>
      </c>
      <c r="X9783" s="42">
        <v>149554.76999999999</v>
      </c>
    </row>
    <row r="9784" spans="1:24">
      <c r="A9784" s="27" t="s">
        <v>17870</v>
      </c>
      <c r="B9784" s="28" t="s">
        <v>17556</v>
      </c>
      <c r="C9784" s="27" t="s">
        <v>17871</v>
      </c>
      <c r="D9784" s="27" t="s">
        <v>17578</v>
      </c>
      <c r="E9784" s="29">
        <v>41271</v>
      </c>
      <c r="F9784" s="27">
        <v>7</v>
      </c>
      <c r="G9784" s="18">
        <v>24922.06</v>
      </c>
      <c r="H9784" s="27">
        <f t="shared" si="304"/>
        <v>0</v>
      </c>
      <c r="I9784" s="18">
        <v>20404.009999999998</v>
      </c>
      <c r="J9784" s="27">
        <v>24922.06</v>
      </c>
      <c r="K9784" s="18">
        <f t="shared" si="305"/>
        <v>24922.06</v>
      </c>
      <c r="L9784" s="27">
        <v>23675.96</v>
      </c>
      <c r="M9784" s="36">
        <v>3271.95</v>
      </c>
      <c r="T9784" s="41">
        <v>0</v>
      </c>
      <c r="U9784" s="41">
        <v>0</v>
      </c>
      <c r="V9784" s="42" t="s">
        <v>113</v>
      </c>
      <c r="W9784" s="42">
        <v>24922.06</v>
      </c>
      <c r="X9784" s="42">
        <v>24922.06</v>
      </c>
    </row>
    <row r="9785" spans="1:24">
      <c r="A9785" s="27" t="s">
        <v>17872</v>
      </c>
      <c r="B9785" s="28" t="s">
        <v>17556</v>
      </c>
      <c r="C9785" s="27" t="s">
        <v>17873</v>
      </c>
      <c r="D9785" s="27" t="s">
        <v>17558</v>
      </c>
      <c r="E9785" s="29">
        <v>41271</v>
      </c>
      <c r="F9785" s="27">
        <v>7</v>
      </c>
      <c r="G9785" s="18">
        <v>80372.25</v>
      </c>
      <c r="H9785" s="27">
        <f t="shared" si="304"/>
        <v>0</v>
      </c>
      <c r="I9785" s="18">
        <v>65801.759999999995</v>
      </c>
      <c r="J9785" s="27">
        <v>80372.25</v>
      </c>
      <c r="K9785" s="18">
        <f t="shared" si="305"/>
        <v>80372.25</v>
      </c>
      <c r="L9785" s="27">
        <v>76353.64</v>
      </c>
      <c r="M9785" s="36">
        <v>10551.88</v>
      </c>
      <c r="T9785" s="41">
        <v>0</v>
      </c>
      <c r="U9785" s="41">
        <v>0</v>
      </c>
      <c r="V9785" s="42" t="s">
        <v>113</v>
      </c>
      <c r="W9785" s="42">
        <v>80372.25</v>
      </c>
      <c r="X9785" s="42">
        <v>80372.25</v>
      </c>
    </row>
    <row r="9786" spans="1:24">
      <c r="A9786" s="27" t="s">
        <v>17874</v>
      </c>
      <c r="B9786" s="28" t="s">
        <v>17556</v>
      </c>
      <c r="C9786" s="27" t="s">
        <v>17875</v>
      </c>
      <c r="D9786" s="27" t="s">
        <v>17558</v>
      </c>
      <c r="E9786" s="29">
        <v>41271</v>
      </c>
      <c r="F9786" s="27">
        <v>7</v>
      </c>
      <c r="G9786" s="18">
        <v>109702.07</v>
      </c>
      <c r="H9786" s="27">
        <f t="shared" si="304"/>
        <v>0</v>
      </c>
      <c r="I9786" s="18">
        <v>89814.45</v>
      </c>
      <c r="J9786" s="27">
        <v>109702.07</v>
      </c>
      <c r="K9786" s="18">
        <f t="shared" si="305"/>
        <v>109702.07</v>
      </c>
      <c r="L9786" s="27">
        <v>104216.97</v>
      </c>
      <c r="M9786" s="36">
        <v>14402.52</v>
      </c>
      <c r="T9786" s="41">
        <v>0</v>
      </c>
      <c r="U9786" s="41">
        <v>0</v>
      </c>
      <c r="V9786" s="42" t="s">
        <v>113</v>
      </c>
      <c r="W9786" s="42">
        <v>109702.07</v>
      </c>
      <c r="X9786" s="42">
        <v>109702.07</v>
      </c>
    </row>
    <row r="9787" spans="1:24">
      <c r="A9787" s="27" t="s">
        <v>17876</v>
      </c>
      <c r="B9787" s="28" t="s">
        <v>17556</v>
      </c>
      <c r="C9787" s="27" t="s">
        <v>17867</v>
      </c>
      <c r="D9787" s="27" t="s">
        <v>17578</v>
      </c>
      <c r="E9787" s="29">
        <v>41271</v>
      </c>
      <c r="F9787" s="27">
        <v>7</v>
      </c>
      <c r="G9787" s="18">
        <v>74505.08</v>
      </c>
      <c r="H9787" s="27">
        <f t="shared" si="304"/>
        <v>0</v>
      </c>
      <c r="I9787" s="18">
        <v>60998.239999999998</v>
      </c>
      <c r="J9787" s="27">
        <v>74505.08</v>
      </c>
      <c r="K9787" s="18">
        <f t="shared" si="305"/>
        <v>74505.08</v>
      </c>
      <c r="L9787" s="27">
        <v>70779.83</v>
      </c>
      <c r="M9787" s="36">
        <v>9781.59</v>
      </c>
      <c r="T9787" s="41">
        <v>0</v>
      </c>
      <c r="U9787" s="41">
        <v>0</v>
      </c>
      <c r="V9787" s="42" t="s">
        <v>113</v>
      </c>
      <c r="W9787" s="42">
        <v>74505.08</v>
      </c>
      <c r="X9787" s="42">
        <v>74505.08</v>
      </c>
    </row>
    <row r="9788" spans="1:24">
      <c r="A9788" s="27" t="s">
        <v>17877</v>
      </c>
      <c r="B9788" s="28" t="s">
        <v>17556</v>
      </c>
      <c r="C9788" s="27" t="s">
        <v>17869</v>
      </c>
      <c r="D9788" s="27" t="s">
        <v>17578</v>
      </c>
      <c r="E9788" s="29">
        <v>41271</v>
      </c>
      <c r="F9788" s="27">
        <v>7</v>
      </c>
      <c r="G9788" s="18">
        <v>23228.23</v>
      </c>
      <c r="H9788" s="27">
        <f t="shared" si="304"/>
        <v>0</v>
      </c>
      <c r="I9788" s="18">
        <v>19017.240000000002</v>
      </c>
      <c r="J9788" s="27">
        <v>23228.23</v>
      </c>
      <c r="K9788" s="18">
        <f t="shared" si="305"/>
        <v>23228.23</v>
      </c>
      <c r="L9788" s="27">
        <v>22066.82</v>
      </c>
      <c r="M9788" s="36">
        <v>3049.58</v>
      </c>
      <c r="T9788" s="41">
        <v>0</v>
      </c>
      <c r="U9788" s="41">
        <v>0</v>
      </c>
      <c r="V9788" s="42" t="s">
        <v>113</v>
      </c>
      <c r="W9788" s="42">
        <v>23228.23</v>
      </c>
      <c r="X9788" s="42">
        <v>23228.23</v>
      </c>
    </row>
    <row r="9789" spans="1:24">
      <c r="A9789" s="27" t="s">
        <v>17878</v>
      </c>
      <c r="B9789" s="28" t="s">
        <v>17556</v>
      </c>
      <c r="C9789" s="27" t="s">
        <v>17871</v>
      </c>
      <c r="D9789" s="27" t="s">
        <v>17578</v>
      </c>
      <c r="E9789" s="29">
        <v>41271</v>
      </c>
      <c r="F9789" s="27">
        <v>7</v>
      </c>
      <c r="G9789" s="18">
        <v>11643.34</v>
      </c>
      <c r="H9789" s="27">
        <f t="shared" si="304"/>
        <v>0</v>
      </c>
      <c r="I9789" s="18">
        <v>9532.5499999999993</v>
      </c>
      <c r="J9789" s="27">
        <v>11643.34</v>
      </c>
      <c r="K9789" s="18">
        <f t="shared" si="305"/>
        <v>11643.34</v>
      </c>
      <c r="L9789" s="27">
        <v>11061.17</v>
      </c>
      <c r="M9789" s="36">
        <v>1528.62</v>
      </c>
      <c r="T9789" s="41">
        <v>0</v>
      </c>
      <c r="U9789" s="41">
        <v>0</v>
      </c>
      <c r="V9789" s="42" t="s">
        <v>113</v>
      </c>
      <c r="W9789" s="42">
        <v>11643.34</v>
      </c>
      <c r="X9789" s="42">
        <v>11643.34</v>
      </c>
    </row>
    <row r="9790" spans="1:24">
      <c r="A9790" s="27" t="s">
        <v>17879</v>
      </c>
      <c r="B9790" s="28" t="s">
        <v>17556</v>
      </c>
      <c r="C9790" s="27" t="s">
        <v>17880</v>
      </c>
      <c r="D9790" s="27" t="s">
        <v>17558</v>
      </c>
      <c r="E9790" s="29">
        <v>41271</v>
      </c>
      <c r="F9790" s="27">
        <v>7</v>
      </c>
      <c r="G9790" s="18">
        <v>9902.7000000000007</v>
      </c>
      <c r="H9790" s="27">
        <f t="shared" si="304"/>
        <v>0</v>
      </c>
      <c r="I9790" s="18">
        <v>8107.46</v>
      </c>
      <c r="J9790" s="27">
        <v>9902.7000000000007</v>
      </c>
      <c r="K9790" s="18">
        <f t="shared" si="305"/>
        <v>9902.7000000000007</v>
      </c>
      <c r="L9790" s="27">
        <v>9407.56</v>
      </c>
      <c r="M9790" s="36">
        <v>1300.0999999999999</v>
      </c>
      <c r="T9790" s="41">
        <v>0</v>
      </c>
      <c r="U9790" s="41">
        <v>0</v>
      </c>
      <c r="V9790" s="42" t="s">
        <v>113</v>
      </c>
      <c r="W9790" s="42">
        <v>9902.7000000000007</v>
      </c>
      <c r="X9790" s="42">
        <v>9902.7000000000007</v>
      </c>
    </row>
    <row r="9791" spans="1:24">
      <c r="A9791" s="27" t="s">
        <v>17881</v>
      </c>
      <c r="B9791" s="28" t="s">
        <v>17556</v>
      </c>
      <c r="C9791" s="27" t="s">
        <v>17867</v>
      </c>
      <c r="D9791" s="27" t="s">
        <v>17578</v>
      </c>
      <c r="E9791" s="29">
        <v>41271</v>
      </c>
      <c r="F9791" s="27">
        <v>7</v>
      </c>
      <c r="G9791" s="18">
        <v>401310.4</v>
      </c>
      <c r="H9791" s="27">
        <f t="shared" si="304"/>
        <v>0</v>
      </c>
      <c r="I9791" s="18">
        <v>328557.81</v>
      </c>
      <c r="J9791" s="27">
        <v>401310.4</v>
      </c>
      <c r="K9791" s="18">
        <f t="shared" si="305"/>
        <v>401310.4</v>
      </c>
      <c r="L9791" s="27">
        <v>381244.88</v>
      </c>
      <c r="M9791" s="36">
        <v>52687.07</v>
      </c>
      <c r="T9791" s="41">
        <v>0</v>
      </c>
      <c r="U9791" s="41">
        <v>0</v>
      </c>
      <c r="V9791" s="42" t="s">
        <v>113</v>
      </c>
      <c r="W9791" s="42">
        <v>401310.4</v>
      </c>
      <c r="X9791" s="42">
        <v>401310.4</v>
      </c>
    </row>
    <row r="9792" spans="1:24">
      <c r="A9792" s="27" t="s">
        <v>17882</v>
      </c>
      <c r="B9792" s="28" t="s">
        <v>17556</v>
      </c>
      <c r="C9792" s="27" t="s">
        <v>17883</v>
      </c>
      <c r="D9792" s="27" t="s">
        <v>17578</v>
      </c>
      <c r="E9792" s="29">
        <v>41271</v>
      </c>
      <c r="F9792" s="27">
        <v>7</v>
      </c>
      <c r="G9792" s="18">
        <v>7751.39</v>
      </c>
      <c r="H9792" s="27">
        <f t="shared" si="304"/>
        <v>0</v>
      </c>
      <c r="I9792" s="18">
        <v>6346.16</v>
      </c>
      <c r="J9792" s="27">
        <v>7751.39</v>
      </c>
      <c r="K9792" s="18">
        <f t="shared" si="305"/>
        <v>7751.39</v>
      </c>
      <c r="L9792" s="27">
        <v>7363.82</v>
      </c>
      <c r="M9792" s="36">
        <v>1017.66</v>
      </c>
      <c r="T9792" s="41">
        <v>0</v>
      </c>
      <c r="U9792" s="41">
        <v>0</v>
      </c>
      <c r="V9792" s="42" t="s">
        <v>113</v>
      </c>
      <c r="W9792" s="42">
        <v>7751.39</v>
      </c>
      <c r="X9792" s="42">
        <v>7751.39</v>
      </c>
    </row>
    <row r="9793" spans="1:24">
      <c r="A9793" s="27" t="s">
        <v>17884</v>
      </c>
      <c r="B9793" s="28" t="s">
        <v>17556</v>
      </c>
      <c r="C9793" s="27" t="s">
        <v>17869</v>
      </c>
      <c r="D9793" s="27" t="s">
        <v>17578</v>
      </c>
      <c r="E9793" s="29">
        <v>41271</v>
      </c>
      <c r="F9793" s="27">
        <v>7</v>
      </c>
      <c r="G9793" s="18">
        <v>147893.6</v>
      </c>
      <c r="H9793" s="27">
        <f t="shared" si="304"/>
        <v>0</v>
      </c>
      <c r="I9793" s="18">
        <v>121082.33</v>
      </c>
      <c r="J9793" s="27">
        <v>147893.6</v>
      </c>
      <c r="K9793" s="18">
        <f t="shared" si="305"/>
        <v>147893.6</v>
      </c>
      <c r="L9793" s="27">
        <v>140498.92000000001</v>
      </c>
      <c r="M9793" s="36">
        <v>19416.59</v>
      </c>
      <c r="T9793" s="41">
        <v>0</v>
      </c>
      <c r="U9793" s="41">
        <v>0</v>
      </c>
      <c r="V9793" s="42" t="s">
        <v>113</v>
      </c>
      <c r="W9793" s="42">
        <v>147893.6</v>
      </c>
      <c r="X9793" s="42">
        <v>147893.6</v>
      </c>
    </row>
    <row r="9794" spans="1:24">
      <c r="A9794" s="27" t="s">
        <v>17885</v>
      </c>
      <c r="B9794" s="28" t="s">
        <v>17556</v>
      </c>
      <c r="C9794" s="27" t="s">
        <v>17871</v>
      </c>
      <c r="D9794" s="27" t="s">
        <v>17578</v>
      </c>
      <c r="E9794" s="29">
        <v>41271</v>
      </c>
      <c r="F9794" s="27">
        <v>7</v>
      </c>
      <c r="G9794" s="18">
        <v>17374.900000000001</v>
      </c>
      <c r="H9794" s="27">
        <f t="shared" si="304"/>
        <v>0</v>
      </c>
      <c r="I9794" s="18">
        <v>14225.05</v>
      </c>
      <c r="J9794" s="27">
        <v>17374.900000000001</v>
      </c>
      <c r="K9794" s="18">
        <f t="shared" si="305"/>
        <v>17374.900000000001</v>
      </c>
      <c r="L9794" s="27">
        <v>16506.150000000001</v>
      </c>
      <c r="M9794" s="36">
        <v>2281.1</v>
      </c>
      <c r="T9794" s="41">
        <v>0</v>
      </c>
      <c r="U9794" s="41">
        <v>0</v>
      </c>
      <c r="V9794" s="42" t="s">
        <v>113</v>
      </c>
      <c r="W9794" s="42">
        <v>17374.900000000001</v>
      </c>
      <c r="X9794" s="42">
        <v>17374.900000000001</v>
      </c>
    </row>
    <row r="9795" spans="1:24">
      <c r="A9795" s="27" t="s">
        <v>17886</v>
      </c>
      <c r="B9795" s="28" t="s">
        <v>17556</v>
      </c>
      <c r="C9795" s="27" t="s">
        <v>17867</v>
      </c>
      <c r="D9795" s="27" t="s">
        <v>17578</v>
      </c>
      <c r="E9795" s="29">
        <v>41271</v>
      </c>
      <c r="F9795" s="27">
        <v>7</v>
      </c>
      <c r="G9795" s="18">
        <v>54644.37</v>
      </c>
      <c r="H9795" s="27">
        <f t="shared" si="304"/>
        <v>0</v>
      </c>
      <c r="I9795" s="18">
        <v>44738.03</v>
      </c>
      <c r="J9795" s="27">
        <v>54644.37</v>
      </c>
      <c r="K9795" s="18">
        <f t="shared" si="305"/>
        <v>54644.37</v>
      </c>
      <c r="L9795" s="27">
        <v>51912.15</v>
      </c>
      <c r="M9795" s="36">
        <v>7174.12</v>
      </c>
      <c r="T9795" s="41">
        <v>0</v>
      </c>
      <c r="U9795" s="41">
        <v>0</v>
      </c>
      <c r="V9795" s="42" t="s">
        <v>113</v>
      </c>
      <c r="W9795" s="42">
        <v>54644.37</v>
      </c>
      <c r="X9795" s="42">
        <v>54644.37</v>
      </c>
    </row>
    <row r="9796" spans="1:24">
      <c r="A9796" s="27" t="s">
        <v>17887</v>
      </c>
      <c r="B9796" s="28" t="s">
        <v>17556</v>
      </c>
      <c r="C9796" s="27" t="s">
        <v>17869</v>
      </c>
      <c r="D9796" s="27" t="s">
        <v>17578</v>
      </c>
      <c r="E9796" s="29">
        <v>41271</v>
      </c>
      <c r="F9796" s="27">
        <v>7</v>
      </c>
      <c r="G9796" s="18">
        <v>83137.2</v>
      </c>
      <c r="H9796" s="27">
        <f t="shared" si="304"/>
        <v>0</v>
      </c>
      <c r="I9796" s="18">
        <v>68065.460000000006</v>
      </c>
      <c r="J9796" s="27">
        <v>83137.2</v>
      </c>
      <c r="K9796" s="18">
        <f t="shared" si="305"/>
        <v>83137.2</v>
      </c>
      <c r="L9796" s="27">
        <v>78980.34</v>
      </c>
      <c r="M9796" s="36">
        <v>10914.88</v>
      </c>
      <c r="T9796" s="41">
        <v>0</v>
      </c>
      <c r="U9796" s="41">
        <v>0</v>
      </c>
      <c r="V9796" s="42" t="s">
        <v>113</v>
      </c>
      <c r="W9796" s="42">
        <v>83137.2</v>
      </c>
      <c r="X9796" s="42">
        <v>83137.2</v>
      </c>
    </row>
    <row r="9797" spans="1:24">
      <c r="A9797" s="27" t="s">
        <v>17888</v>
      </c>
      <c r="B9797" s="28" t="s">
        <v>17556</v>
      </c>
      <c r="C9797" s="27" t="s">
        <v>17871</v>
      </c>
      <c r="D9797" s="27" t="s">
        <v>17578</v>
      </c>
      <c r="E9797" s="29">
        <v>41271</v>
      </c>
      <c r="F9797" s="27">
        <v>7</v>
      </c>
      <c r="G9797" s="18">
        <v>12809.38</v>
      </c>
      <c r="H9797" s="27">
        <f t="shared" si="304"/>
        <v>0</v>
      </c>
      <c r="I9797" s="18">
        <v>10487.2</v>
      </c>
      <c r="J9797" s="27">
        <v>12809.38</v>
      </c>
      <c r="K9797" s="18">
        <f t="shared" si="305"/>
        <v>12809.38</v>
      </c>
      <c r="L9797" s="27">
        <v>12168.91</v>
      </c>
      <c r="M9797" s="36">
        <v>1681.71</v>
      </c>
      <c r="T9797" s="41">
        <v>0</v>
      </c>
      <c r="U9797" s="41">
        <v>0</v>
      </c>
      <c r="V9797" s="42" t="s">
        <v>113</v>
      </c>
      <c r="W9797" s="42">
        <v>12809.38</v>
      </c>
      <c r="X9797" s="42">
        <v>12809.38</v>
      </c>
    </row>
    <row r="9798" spans="1:24">
      <c r="A9798" s="27" t="s">
        <v>17889</v>
      </c>
      <c r="B9798" s="28" t="s">
        <v>17556</v>
      </c>
      <c r="C9798" s="27" t="s">
        <v>17880</v>
      </c>
      <c r="D9798" s="27" t="s">
        <v>17558</v>
      </c>
      <c r="E9798" s="29">
        <v>41271</v>
      </c>
      <c r="F9798" s="27">
        <v>7</v>
      </c>
      <c r="G9798" s="18">
        <v>246940.6</v>
      </c>
      <c r="H9798" s="27">
        <f t="shared" ref="H9798:H9861" si="306">IFERROR(IF(ROUND((G9798-I9798)/G9798,2)&lt;=0.05,G9798,0),0)</f>
        <v>0</v>
      </c>
      <c r="I9798" s="18">
        <v>202173.34</v>
      </c>
      <c r="J9798" s="27">
        <v>246940.6</v>
      </c>
      <c r="K9798" s="18">
        <f t="shared" ref="K9798:K9861" si="307">IFERROR(IF(ROUND((J9798-L9798)/J9798,2)&lt;=0.05,J9798,0),0)</f>
        <v>246940.6</v>
      </c>
      <c r="L9798" s="27">
        <v>234593.57</v>
      </c>
      <c r="M9798" s="36">
        <v>32420.23</v>
      </c>
      <c r="T9798" s="41">
        <v>0</v>
      </c>
      <c r="U9798" s="41">
        <v>0</v>
      </c>
      <c r="V9798" s="42" t="s">
        <v>113</v>
      </c>
      <c r="W9798" s="42">
        <v>246940.6</v>
      </c>
      <c r="X9798" s="42">
        <v>246940.6</v>
      </c>
    </row>
    <row r="9799" spans="1:24">
      <c r="A9799" s="27" t="s">
        <v>17890</v>
      </c>
      <c r="B9799" s="28" t="s">
        <v>17556</v>
      </c>
      <c r="C9799" s="27" t="s">
        <v>17867</v>
      </c>
      <c r="D9799" s="27" t="s">
        <v>17578</v>
      </c>
      <c r="E9799" s="29">
        <v>41271</v>
      </c>
      <c r="F9799" s="27">
        <v>7</v>
      </c>
      <c r="G9799" s="18">
        <v>47046.96</v>
      </c>
      <c r="H9799" s="27">
        <f t="shared" si="306"/>
        <v>0</v>
      </c>
      <c r="I9799" s="18">
        <v>38517.93</v>
      </c>
      <c r="J9799" s="27">
        <v>47046.96</v>
      </c>
      <c r="K9799" s="18">
        <f t="shared" si="307"/>
        <v>47046.96</v>
      </c>
      <c r="L9799" s="27">
        <v>44694.61</v>
      </c>
      <c r="M9799" s="36">
        <v>6176.68</v>
      </c>
      <c r="T9799" s="41">
        <v>0</v>
      </c>
      <c r="U9799" s="41">
        <v>0</v>
      </c>
      <c r="V9799" s="42" t="s">
        <v>113</v>
      </c>
      <c r="W9799" s="42">
        <v>47046.96</v>
      </c>
      <c r="X9799" s="42">
        <v>47046.96</v>
      </c>
    </row>
    <row r="9800" spans="1:24">
      <c r="A9800" s="27" t="s">
        <v>17891</v>
      </c>
      <c r="B9800" s="28" t="s">
        <v>17556</v>
      </c>
      <c r="C9800" s="27" t="s">
        <v>17869</v>
      </c>
      <c r="D9800" s="27" t="s">
        <v>17578</v>
      </c>
      <c r="E9800" s="29">
        <v>41271</v>
      </c>
      <c r="F9800" s="27">
        <v>7</v>
      </c>
      <c r="G9800" s="18">
        <v>20339.2</v>
      </c>
      <c r="H9800" s="27">
        <f t="shared" si="306"/>
        <v>0</v>
      </c>
      <c r="I9800" s="18">
        <v>16651.96</v>
      </c>
      <c r="J9800" s="27">
        <v>20339.2</v>
      </c>
      <c r="K9800" s="18">
        <f t="shared" si="307"/>
        <v>20339.2</v>
      </c>
      <c r="L9800" s="27">
        <v>19322.240000000002</v>
      </c>
      <c r="M9800" s="36">
        <v>2670.28</v>
      </c>
      <c r="T9800" s="41">
        <v>0</v>
      </c>
      <c r="U9800" s="41">
        <v>0</v>
      </c>
      <c r="V9800" s="42" t="s">
        <v>113</v>
      </c>
      <c r="W9800" s="42">
        <v>20339.2</v>
      </c>
      <c r="X9800" s="42">
        <v>20339.2</v>
      </c>
    </row>
    <row r="9801" spans="1:24">
      <c r="A9801" s="27" t="s">
        <v>17892</v>
      </c>
      <c r="B9801" s="28" t="s">
        <v>17556</v>
      </c>
      <c r="C9801" s="27" t="s">
        <v>17871</v>
      </c>
      <c r="D9801" s="27" t="s">
        <v>17578</v>
      </c>
      <c r="E9801" s="29">
        <v>41271</v>
      </c>
      <c r="F9801" s="27">
        <v>7</v>
      </c>
      <c r="G9801" s="18">
        <v>9803.07</v>
      </c>
      <c r="H9801" s="27">
        <f t="shared" si="306"/>
        <v>0</v>
      </c>
      <c r="I9801" s="18">
        <v>8025.9</v>
      </c>
      <c r="J9801" s="27">
        <v>9803.07</v>
      </c>
      <c r="K9801" s="18">
        <f t="shared" si="307"/>
        <v>9803.07</v>
      </c>
      <c r="L9801" s="27">
        <v>9312.92</v>
      </c>
      <c r="M9801" s="36">
        <v>1287.02</v>
      </c>
      <c r="T9801" s="41">
        <v>0</v>
      </c>
      <c r="U9801" s="41">
        <v>0</v>
      </c>
      <c r="V9801" s="42" t="s">
        <v>113</v>
      </c>
      <c r="W9801" s="42">
        <v>9803.07</v>
      </c>
      <c r="X9801" s="42">
        <v>9803.07</v>
      </c>
    </row>
    <row r="9802" spans="1:24">
      <c r="A9802" s="27" t="s">
        <v>17893</v>
      </c>
      <c r="B9802" s="28" t="s">
        <v>17556</v>
      </c>
      <c r="C9802" s="27" t="s">
        <v>17880</v>
      </c>
      <c r="D9802" s="27" t="s">
        <v>17558</v>
      </c>
      <c r="E9802" s="29">
        <v>41271</v>
      </c>
      <c r="F9802" s="27">
        <v>7</v>
      </c>
      <c r="G9802" s="18">
        <v>16675.11</v>
      </c>
      <c r="H9802" s="27">
        <f t="shared" si="306"/>
        <v>0</v>
      </c>
      <c r="I9802" s="18">
        <v>13652.12</v>
      </c>
      <c r="J9802" s="27">
        <v>16675.11</v>
      </c>
      <c r="K9802" s="18">
        <f t="shared" si="307"/>
        <v>16675.11</v>
      </c>
      <c r="L9802" s="27">
        <v>15841.35</v>
      </c>
      <c r="M9802" s="36">
        <v>2189.23</v>
      </c>
      <c r="T9802" s="41">
        <v>0</v>
      </c>
      <c r="U9802" s="41">
        <v>0</v>
      </c>
      <c r="V9802" s="42" t="s">
        <v>113</v>
      </c>
      <c r="W9802" s="42">
        <v>16675.11</v>
      </c>
      <c r="X9802" s="42">
        <v>16675.11</v>
      </c>
    </row>
    <row r="9803" spans="1:24">
      <c r="A9803" s="27" t="s">
        <v>17894</v>
      </c>
      <c r="B9803" s="28" t="s">
        <v>17556</v>
      </c>
      <c r="C9803" s="27" t="s">
        <v>17895</v>
      </c>
      <c r="D9803" s="27" t="s">
        <v>17558</v>
      </c>
      <c r="E9803" s="29">
        <v>41271</v>
      </c>
      <c r="F9803" s="27">
        <v>7</v>
      </c>
      <c r="G9803" s="18">
        <v>13016.29</v>
      </c>
      <c r="H9803" s="27">
        <f t="shared" si="306"/>
        <v>0</v>
      </c>
      <c r="I9803" s="18">
        <v>10656.6</v>
      </c>
      <c r="J9803" s="27">
        <v>13016.29</v>
      </c>
      <c r="K9803" s="18">
        <f t="shared" si="307"/>
        <v>13016.29</v>
      </c>
      <c r="L9803" s="27">
        <v>12365.48</v>
      </c>
      <c r="M9803" s="36">
        <v>1708.88</v>
      </c>
      <c r="T9803" s="41">
        <v>0</v>
      </c>
      <c r="U9803" s="41">
        <v>0</v>
      </c>
      <c r="V9803" s="42" t="s">
        <v>113</v>
      </c>
      <c r="W9803" s="42">
        <v>13016.29</v>
      </c>
      <c r="X9803" s="42">
        <v>13016.29</v>
      </c>
    </row>
    <row r="9804" spans="1:24">
      <c r="A9804" s="27" t="s">
        <v>17896</v>
      </c>
      <c r="B9804" s="28" t="s">
        <v>17556</v>
      </c>
      <c r="C9804" s="27" t="s">
        <v>17867</v>
      </c>
      <c r="D9804" s="27" t="s">
        <v>17578</v>
      </c>
      <c r="E9804" s="29">
        <v>41271</v>
      </c>
      <c r="F9804" s="27">
        <v>7</v>
      </c>
      <c r="G9804" s="18">
        <v>62720.94</v>
      </c>
      <c r="H9804" s="27">
        <f t="shared" si="306"/>
        <v>0</v>
      </c>
      <c r="I9804" s="18">
        <v>51350.42</v>
      </c>
      <c r="J9804" s="27">
        <v>62720.94</v>
      </c>
      <c r="K9804" s="18">
        <f t="shared" si="307"/>
        <v>62720.94</v>
      </c>
      <c r="L9804" s="27">
        <v>59584.89</v>
      </c>
      <c r="M9804" s="36">
        <v>8234.4699999999993</v>
      </c>
      <c r="T9804" s="41">
        <v>0</v>
      </c>
      <c r="U9804" s="41">
        <v>0</v>
      </c>
      <c r="V9804" s="42" t="s">
        <v>113</v>
      </c>
      <c r="W9804" s="42">
        <v>62720.94</v>
      </c>
      <c r="X9804" s="42">
        <v>62720.94</v>
      </c>
    </row>
    <row r="9805" spans="1:24">
      <c r="A9805" s="27" t="s">
        <v>17897</v>
      </c>
      <c r="B9805" s="28" t="s">
        <v>17556</v>
      </c>
      <c r="C9805" s="27" t="s">
        <v>17869</v>
      </c>
      <c r="D9805" s="27" t="s">
        <v>17578</v>
      </c>
      <c r="E9805" s="29">
        <v>41271</v>
      </c>
      <c r="F9805" s="27">
        <v>7</v>
      </c>
      <c r="G9805" s="18">
        <v>4055.71</v>
      </c>
      <c r="H9805" s="27">
        <f t="shared" si="306"/>
        <v>4055.71</v>
      </c>
      <c r="I9805" s="18">
        <v>4055.71</v>
      </c>
      <c r="J9805" s="27">
        <v>4055.71</v>
      </c>
      <c r="K9805" s="18">
        <f t="shared" si="307"/>
        <v>4055.71</v>
      </c>
      <c r="L9805" s="27">
        <v>4055.71</v>
      </c>
      <c r="M9805" s="36">
        <v>0</v>
      </c>
      <c r="T9805" s="41">
        <v>0</v>
      </c>
      <c r="U9805" s="41">
        <v>0</v>
      </c>
      <c r="V9805" s="42" t="s">
        <v>113</v>
      </c>
      <c r="W9805" s="42">
        <v>4055.71</v>
      </c>
      <c r="X9805" s="42">
        <v>4055.71</v>
      </c>
    </row>
    <row r="9806" spans="1:24">
      <c r="A9806" s="27" t="s">
        <v>17898</v>
      </c>
      <c r="B9806" s="28" t="s">
        <v>17556</v>
      </c>
      <c r="C9806" s="27" t="s">
        <v>17871</v>
      </c>
      <c r="D9806" s="27" t="s">
        <v>17578</v>
      </c>
      <c r="E9806" s="29">
        <v>41271</v>
      </c>
      <c r="F9806" s="27">
        <v>7</v>
      </c>
      <c r="G9806" s="18">
        <v>5082.3900000000003</v>
      </c>
      <c r="H9806" s="27">
        <f t="shared" si="306"/>
        <v>0</v>
      </c>
      <c r="I9806" s="18">
        <v>4161.0200000000004</v>
      </c>
      <c r="J9806" s="27">
        <v>5082.3900000000003</v>
      </c>
      <c r="K9806" s="18">
        <f t="shared" si="307"/>
        <v>5082.3900000000003</v>
      </c>
      <c r="L9806" s="27">
        <v>4828.2700000000004</v>
      </c>
      <c r="M9806" s="36">
        <v>667.25</v>
      </c>
      <c r="T9806" s="41">
        <v>0</v>
      </c>
      <c r="U9806" s="41">
        <v>0</v>
      </c>
      <c r="V9806" s="42" t="s">
        <v>113</v>
      </c>
      <c r="W9806" s="42">
        <v>5082.3900000000003</v>
      </c>
      <c r="X9806" s="42">
        <v>5082.3900000000003</v>
      </c>
    </row>
    <row r="9807" spans="1:24">
      <c r="A9807" s="27" t="s">
        <v>17899</v>
      </c>
      <c r="B9807" s="28" t="s">
        <v>17556</v>
      </c>
      <c r="C9807" s="27" t="s">
        <v>17867</v>
      </c>
      <c r="D9807" s="27" t="s">
        <v>17578</v>
      </c>
      <c r="E9807" s="29">
        <v>41271</v>
      </c>
      <c r="F9807" s="27">
        <v>7</v>
      </c>
      <c r="G9807" s="18">
        <v>129981.66</v>
      </c>
      <c r="H9807" s="27">
        <f t="shared" si="306"/>
        <v>0</v>
      </c>
      <c r="I9807" s="18">
        <v>106417.60000000001</v>
      </c>
      <c r="J9807" s="27">
        <v>129981.66</v>
      </c>
      <c r="K9807" s="18">
        <f t="shared" si="307"/>
        <v>129981.66</v>
      </c>
      <c r="L9807" s="27">
        <v>123482.58</v>
      </c>
      <c r="M9807" s="36">
        <v>17064.98</v>
      </c>
      <c r="T9807" s="41">
        <v>0</v>
      </c>
      <c r="U9807" s="41">
        <v>0</v>
      </c>
      <c r="V9807" s="42" t="s">
        <v>113</v>
      </c>
      <c r="W9807" s="42">
        <v>129981.66</v>
      </c>
      <c r="X9807" s="42">
        <v>129981.66</v>
      </c>
    </row>
    <row r="9808" spans="1:24">
      <c r="A9808" s="27" t="s">
        <v>17900</v>
      </c>
      <c r="B9808" s="28" t="s">
        <v>17556</v>
      </c>
      <c r="C9808" s="27" t="s">
        <v>17869</v>
      </c>
      <c r="D9808" s="27" t="s">
        <v>17578</v>
      </c>
      <c r="E9808" s="29">
        <v>41271</v>
      </c>
      <c r="F9808" s="27">
        <v>7</v>
      </c>
      <c r="G9808" s="18">
        <v>6521.1</v>
      </c>
      <c r="H9808" s="27">
        <f t="shared" si="306"/>
        <v>0</v>
      </c>
      <c r="I9808" s="18">
        <v>5338.9</v>
      </c>
      <c r="J9808" s="27">
        <v>6521.1</v>
      </c>
      <c r="K9808" s="18">
        <f t="shared" si="307"/>
        <v>6521.1</v>
      </c>
      <c r="L9808" s="27">
        <v>6195.04</v>
      </c>
      <c r="M9808" s="36">
        <v>856.14</v>
      </c>
      <c r="T9808" s="41">
        <v>0</v>
      </c>
      <c r="U9808" s="41">
        <v>0</v>
      </c>
      <c r="V9808" s="42" t="s">
        <v>113</v>
      </c>
      <c r="W9808" s="42">
        <v>6521.1</v>
      </c>
      <c r="X9808" s="42">
        <v>6521.1</v>
      </c>
    </row>
    <row r="9809" spans="1:24">
      <c r="A9809" s="27" t="s">
        <v>17901</v>
      </c>
      <c r="B9809" s="28" t="s">
        <v>17556</v>
      </c>
      <c r="C9809" s="27" t="s">
        <v>17871</v>
      </c>
      <c r="D9809" s="27" t="s">
        <v>17578</v>
      </c>
      <c r="E9809" s="29">
        <v>41271</v>
      </c>
      <c r="F9809" s="27">
        <v>7</v>
      </c>
      <c r="G9809" s="18">
        <v>4085.94</v>
      </c>
      <c r="H9809" s="27">
        <f t="shared" si="306"/>
        <v>4085.94</v>
      </c>
      <c r="I9809" s="18">
        <v>4085.94</v>
      </c>
      <c r="J9809" s="27">
        <v>4085.94</v>
      </c>
      <c r="K9809" s="18">
        <f t="shared" si="307"/>
        <v>4085.94</v>
      </c>
      <c r="L9809" s="27">
        <v>4085.94</v>
      </c>
      <c r="M9809" s="36">
        <v>0</v>
      </c>
      <c r="T9809" s="41">
        <v>0</v>
      </c>
      <c r="U9809" s="41">
        <v>0</v>
      </c>
      <c r="V9809" s="42" t="s">
        <v>113</v>
      </c>
      <c r="W9809" s="42">
        <v>4085.94</v>
      </c>
      <c r="X9809" s="42">
        <v>4085.94</v>
      </c>
    </row>
    <row r="9810" spans="1:24">
      <c r="A9810" s="27" t="s">
        <v>17902</v>
      </c>
      <c r="B9810" s="28" t="s">
        <v>17556</v>
      </c>
      <c r="C9810" s="27" t="s">
        <v>17867</v>
      </c>
      <c r="D9810" s="27" t="s">
        <v>17578</v>
      </c>
      <c r="E9810" s="29">
        <v>41271</v>
      </c>
      <c r="F9810" s="27">
        <v>7</v>
      </c>
      <c r="G9810" s="18">
        <v>288659.08</v>
      </c>
      <c r="H9810" s="27">
        <f t="shared" si="306"/>
        <v>0</v>
      </c>
      <c r="I9810" s="18">
        <v>236328.78</v>
      </c>
      <c r="J9810" s="27">
        <v>288659.08</v>
      </c>
      <c r="K9810" s="18">
        <f t="shared" si="307"/>
        <v>288659.08</v>
      </c>
      <c r="L9810" s="27">
        <v>274226.13</v>
      </c>
      <c r="M9810" s="36">
        <v>37897.35</v>
      </c>
      <c r="T9810" s="41">
        <v>0</v>
      </c>
      <c r="U9810" s="41">
        <v>0</v>
      </c>
      <c r="V9810" s="42" t="s">
        <v>113</v>
      </c>
      <c r="W9810" s="42">
        <v>288659.08</v>
      </c>
      <c r="X9810" s="42">
        <v>288659.08</v>
      </c>
    </row>
    <row r="9811" spans="1:24">
      <c r="A9811" s="27" t="s">
        <v>17903</v>
      </c>
      <c r="B9811" s="28" t="s">
        <v>17556</v>
      </c>
      <c r="C9811" s="27" t="s">
        <v>17883</v>
      </c>
      <c r="D9811" s="27" t="s">
        <v>17578</v>
      </c>
      <c r="E9811" s="29">
        <v>41271</v>
      </c>
      <c r="F9811" s="27">
        <v>7</v>
      </c>
      <c r="G9811" s="18">
        <v>27064.560000000001</v>
      </c>
      <c r="H9811" s="27">
        <f t="shared" si="306"/>
        <v>0</v>
      </c>
      <c r="I9811" s="18">
        <v>22158.09</v>
      </c>
      <c r="J9811" s="27">
        <v>27064.560000000001</v>
      </c>
      <c r="K9811" s="18">
        <f t="shared" si="307"/>
        <v>27064.560000000001</v>
      </c>
      <c r="L9811" s="27">
        <v>25711.33</v>
      </c>
      <c r="M9811" s="36">
        <v>3553.24</v>
      </c>
      <c r="T9811" s="41">
        <v>0</v>
      </c>
      <c r="U9811" s="41">
        <v>0</v>
      </c>
      <c r="V9811" s="42" t="s">
        <v>113</v>
      </c>
      <c r="W9811" s="42">
        <v>27064.560000000001</v>
      </c>
      <c r="X9811" s="42">
        <v>27064.560000000001</v>
      </c>
    </row>
    <row r="9812" spans="1:24">
      <c r="A9812" s="27" t="s">
        <v>17904</v>
      </c>
      <c r="B9812" s="28" t="s">
        <v>17556</v>
      </c>
      <c r="C9812" s="27" t="s">
        <v>17869</v>
      </c>
      <c r="D9812" s="27" t="s">
        <v>17578</v>
      </c>
      <c r="E9812" s="29">
        <v>41271</v>
      </c>
      <c r="F9812" s="27">
        <v>7</v>
      </c>
      <c r="G9812" s="18">
        <v>384803.56</v>
      </c>
      <c r="H9812" s="27">
        <f t="shared" si="306"/>
        <v>0</v>
      </c>
      <c r="I9812" s="18">
        <v>315043.45</v>
      </c>
      <c r="J9812" s="27">
        <v>384803.56</v>
      </c>
      <c r="K9812" s="18">
        <f t="shared" si="307"/>
        <v>384803.56</v>
      </c>
      <c r="L9812" s="27">
        <v>365563.38</v>
      </c>
      <c r="M9812" s="36">
        <v>50519.93</v>
      </c>
      <c r="T9812" s="41">
        <v>0</v>
      </c>
      <c r="U9812" s="41">
        <v>0</v>
      </c>
      <c r="V9812" s="42" t="s">
        <v>113</v>
      </c>
      <c r="W9812" s="42">
        <v>384803.56</v>
      </c>
      <c r="X9812" s="42">
        <v>384803.56</v>
      </c>
    </row>
    <row r="9813" spans="1:24">
      <c r="A9813" s="27" t="s">
        <v>17905</v>
      </c>
      <c r="B9813" s="28" t="s">
        <v>17556</v>
      </c>
      <c r="C9813" s="27" t="s">
        <v>17871</v>
      </c>
      <c r="D9813" s="27" t="s">
        <v>17578</v>
      </c>
      <c r="E9813" s="29">
        <v>41271</v>
      </c>
      <c r="F9813" s="27">
        <v>7</v>
      </c>
      <c r="G9813" s="18">
        <v>7777.65</v>
      </c>
      <c r="H9813" s="27">
        <f t="shared" si="306"/>
        <v>0</v>
      </c>
      <c r="I9813" s="18">
        <v>6367.66</v>
      </c>
      <c r="J9813" s="27">
        <v>7777.65</v>
      </c>
      <c r="K9813" s="18">
        <f t="shared" si="307"/>
        <v>7777.65</v>
      </c>
      <c r="L9813" s="27">
        <v>7388.77</v>
      </c>
      <c r="M9813" s="36">
        <v>1021.11</v>
      </c>
      <c r="T9813" s="41">
        <v>0</v>
      </c>
      <c r="U9813" s="41">
        <v>0</v>
      </c>
      <c r="V9813" s="42" t="s">
        <v>113</v>
      </c>
      <c r="W9813" s="42">
        <v>7777.65</v>
      </c>
      <c r="X9813" s="42">
        <v>7777.65</v>
      </c>
    </row>
    <row r="9814" spans="1:24">
      <c r="A9814" s="27" t="s">
        <v>17906</v>
      </c>
      <c r="B9814" s="28" t="s">
        <v>17556</v>
      </c>
      <c r="C9814" s="27" t="s">
        <v>17867</v>
      </c>
      <c r="D9814" s="27" t="s">
        <v>17578</v>
      </c>
      <c r="E9814" s="29">
        <v>41271</v>
      </c>
      <c r="F9814" s="27">
        <v>7</v>
      </c>
      <c r="G9814" s="18">
        <v>72497.14</v>
      </c>
      <c r="H9814" s="27">
        <f t="shared" si="306"/>
        <v>0</v>
      </c>
      <c r="I9814" s="18">
        <v>59354.31</v>
      </c>
      <c r="J9814" s="27">
        <v>72497.14</v>
      </c>
      <c r="K9814" s="18">
        <f t="shared" si="307"/>
        <v>72497.14</v>
      </c>
      <c r="L9814" s="27">
        <v>68872.28</v>
      </c>
      <c r="M9814" s="36">
        <v>9517.9699999999993</v>
      </c>
      <c r="T9814" s="41">
        <v>0</v>
      </c>
      <c r="U9814" s="41">
        <v>0</v>
      </c>
      <c r="V9814" s="42" t="s">
        <v>113</v>
      </c>
      <c r="W9814" s="42">
        <v>72497.14</v>
      </c>
      <c r="X9814" s="42">
        <v>72497.14</v>
      </c>
    </row>
    <row r="9815" spans="1:24">
      <c r="A9815" s="27" t="s">
        <v>17907</v>
      </c>
      <c r="B9815" s="28" t="s">
        <v>17556</v>
      </c>
      <c r="C9815" s="27" t="s">
        <v>17883</v>
      </c>
      <c r="D9815" s="27" t="s">
        <v>17578</v>
      </c>
      <c r="E9815" s="29">
        <v>41271</v>
      </c>
      <c r="F9815" s="27">
        <v>7</v>
      </c>
      <c r="G9815" s="18">
        <v>2830.47</v>
      </c>
      <c r="H9815" s="27">
        <f t="shared" si="306"/>
        <v>2830.47</v>
      </c>
      <c r="I9815" s="18">
        <v>2830.47</v>
      </c>
      <c r="J9815" s="27">
        <v>2830.47</v>
      </c>
      <c r="K9815" s="18">
        <f t="shared" si="307"/>
        <v>2830.47</v>
      </c>
      <c r="L9815" s="27">
        <v>2830.47</v>
      </c>
      <c r="M9815" s="36">
        <v>0</v>
      </c>
      <c r="T9815" s="41">
        <v>0</v>
      </c>
      <c r="U9815" s="41">
        <v>0</v>
      </c>
      <c r="V9815" s="42" t="s">
        <v>113</v>
      </c>
      <c r="W9815" s="42">
        <v>2830.47</v>
      </c>
      <c r="X9815" s="42">
        <v>2830.47</v>
      </c>
    </row>
    <row r="9816" spans="1:24">
      <c r="A9816" s="27" t="s">
        <v>17908</v>
      </c>
      <c r="B9816" s="28" t="s">
        <v>17556</v>
      </c>
      <c r="C9816" s="27" t="s">
        <v>17869</v>
      </c>
      <c r="D9816" s="27" t="s">
        <v>17578</v>
      </c>
      <c r="E9816" s="29">
        <v>41271</v>
      </c>
      <c r="F9816" s="27">
        <v>7</v>
      </c>
      <c r="G9816" s="18">
        <v>116446.63</v>
      </c>
      <c r="H9816" s="27">
        <f t="shared" si="306"/>
        <v>0</v>
      </c>
      <c r="I9816" s="18">
        <v>95336.31</v>
      </c>
      <c r="J9816" s="27">
        <v>116446.63</v>
      </c>
      <c r="K9816" s="18">
        <f t="shared" si="307"/>
        <v>116446.63</v>
      </c>
      <c r="L9816" s="27">
        <v>110624.3</v>
      </c>
      <c r="M9816" s="36">
        <v>15287.99</v>
      </c>
      <c r="T9816" s="41">
        <v>0</v>
      </c>
      <c r="U9816" s="41">
        <v>0</v>
      </c>
      <c r="V9816" s="42" t="s">
        <v>113</v>
      </c>
      <c r="W9816" s="42">
        <v>116446.63</v>
      </c>
      <c r="X9816" s="42">
        <v>116446.63</v>
      </c>
    </row>
    <row r="9817" spans="1:24">
      <c r="A9817" s="27" t="s">
        <v>17909</v>
      </c>
      <c r="B9817" s="28" t="s">
        <v>17556</v>
      </c>
      <c r="C9817" s="27" t="s">
        <v>17871</v>
      </c>
      <c r="D9817" s="27" t="s">
        <v>17578</v>
      </c>
      <c r="E9817" s="29">
        <v>41271</v>
      </c>
      <c r="F9817" s="27">
        <v>7</v>
      </c>
      <c r="G9817" s="18">
        <v>42296.97</v>
      </c>
      <c r="H9817" s="27">
        <f t="shared" si="306"/>
        <v>0</v>
      </c>
      <c r="I9817" s="18">
        <v>34629.06</v>
      </c>
      <c r="J9817" s="27">
        <v>42296.97</v>
      </c>
      <c r="K9817" s="18">
        <f t="shared" si="307"/>
        <v>42296.97</v>
      </c>
      <c r="L9817" s="27">
        <v>40182.120000000003</v>
      </c>
      <c r="M9817" s="36">
        <v>5553.06</v>
      </c>
      <c r="T9817" s="41">
        <v>0</v>
      </c>
      <c r="U9817" s="41">
        <v>0</v>
      </c>
      <c r="V9817" s="42" t="s">
        <v>113</v>
      </c>
      <c r="W9817" s="42">
        <v>42296.97</v>
      </c>
      <c r="X9817" s="42">
        <v>42296.97</v>
      </c>
    </row>
    <row r="9818" spans="1:24">
      <c r="A9818" s="27" t="s">
        <v>17910</v>
      </c>
      <c r="B9818" s="28" t="s">
        <v>17556</v>
      </c>
      <c r="C9818" s="27" t="s">
        <v>17867</v>
      </c>
      <c r="D9818" s="27" t="s">
        <v>17578</v>
      </c>
      <c r="E9818" s="29">
        <v>41271</v>
      </c>
      <c r="F9818" s="27">
        <v>7</v>
      </c>
      <c r="G9818" s="18">
        <v>154459.91</v>
      </c>
      <c r="H9818" s="27">
        <f t="shared" si="306"/>
        <v>0</v>
      </c>
      <c r="I9818" s="18">
        <v>126458.25</v>
      </c>
      <c r="J9818" s="27">
        <v>154459.91</v>
      </c>
      <c r="K9818" s="18">
        <f t="shared" si="307"/>
        <v>154459.91</v>
      </c>
      <c r="L9818" s="27">
        <v>146736.91</v>
      </c>
      <c r="M9818" s="36">
        <v>20278.66</v>
      </c>
      <c r="T9818" s="41">
        <v>0</v>
      </c>
      <c r="U9818" s="41">
        <v>0</v>
      </c>
      <c r="V9818" s="42" t="s">
        <v>113</v>
      </c>
      <c r="W9818" s="42">
        <v>154459.91</v>
      </c>
      <c r="X9818" s="42">
        <v>154459.91</v>
      </c>
    </row>
    <row r="9819" spans="1:24">
      <c r="A9819" s="27" t="s">
        <v>17911</v>
      </c>
      <c r="B9819" s="28" t="s">
        <v>17556</v>
      </c>
      <c r="C9819" s="27" t="s">
        <v>17869</v>
      </c>
      <c r="D9819" s="27" t="s">
        <v>17578</v>
      </c>
      <c r="E9819" s="29">
        <v>41271</v>
      </c>
      <c r="F9819" s="27">
        <v>7</v>
      </c>
      <c r="G9819" s="18">
        <v>123504.7</v>
      </c>
      <c r="H9819" s="27">
        <f t="shared" si="306"/>
        <v>0</v>
      </c>
      <c r="I9819" s="18">
        <v>101114.83</v>
      </c>
      <c r="J9819" s="27">
        <v>123504.7</v>
      </c>
      <c r="K9819" s="18">
        <f t="shared" si="307"/>
        <v>123504.7</v>
      </c>
      <c r="L9819" s="27">
        <v>117329.46</v>
      </c>
      <c r="M9819" s="36">
        <v>16214.63</v>
      </c>
      <c r="T9819" s="41">
        <v>0</v>
      </c>
      <c r="U9819" s="41">
        <v>0</v>
      </c>
      <c r="V9819" s="42" t="s">
        <v>113</v>
      </c>
      <c r="W9819" s="42">
        <v>123504.7</v>
      </c>
      <c r="X9819" s="42">
        <v>123504.7</v>
      </c>
    </row>
    <row r="9820" spans="1:24">
      <c r="A9820" s="27" t="s">
        <v>17912</v>
      </c>
      <c r="B9820" s="28" t="s">
        <v>17556</v>
      </c>
      <c r="C9820" s="27" t="s">
        <v>17871</v>
      </c>
      <c r="D9820" s="27" t="s">
        <v>17578</v>
      </c>
      <c r="E9820" s="29">
        <v>41271</v>
      </c>
      <c r="F9820" s="27">
        <v>7</v>
      </c>
      <c r="G9820" s="18">
        <v>21298.53</v>
      </c>
      <c r="H9820" s="27">
        <f t="shared" si="306"/>
        <v>0</v>
      </c>
      <c r="I9820" s="18">
        <v>17437.37</v>
      </c>
      <c r="J9820" s="27">
        <v>21298.53</v>
      </c>
      <c r="K9820" s="18">
        <f t="shared" si="307"/>
        <v>21298.53</v>
      </c>
      <c r="L9820" s="27">
        <v>20233.599999999999</v>
      </c>
      <c r="M9820" s="36">
        <v>2796.23</v>
      </c>
      <c r="T9820" s="41">
        <v>0</v>
      </c>
      <c r="U9820" s="41">
        <v>0</v>
      </c>
      <c r="V9820" s="42" t="s">
        <v>113</v>
      </c>
      <c r="W9820" s="42">
        <v>21298.53</v>
      </c>
      <c r="X9820" s="42">
        <v>21298.53</v>
      </c>
    </row>
    <row r="9821" spans="1:24">
      <c r="A9821" s="27" t="s">
        <v>17913</v>
      </c>
      <c r="B9821" s="28" t="s">
        <v>17556</v>
      </c>
      <c r="C9821" s="27" t="s">
        <v>17880</v>
      </c>
      <c r="D9821" s="27" t="s">
        <v>17558</v>
      </c>
      <c r="E9821" s="29">
        <v>41271</v>
      </c>
      <c r="F9821" s="27">
        <v>7</v>
      </c>
      <c r="G9821" s="18">
        <v>54343.47</v>
      </c>
      <c r="H9821" s="27">
        <f t="shared" si="306"/>
        <v>0</v>
      </c>
      <c r="I9821" s="18">
        <v>44491.68</v>
      </c>
      <c r="J9821" s="27">
        <v>54343.47</v>
      </c>
      <c r="K9821" s="18">
        <f t="shared" si="307"/>
        <v>54343.47</v>
      </c>
      <c r="L9821" s="27">
        <v>51626.3</v>
      </c>
      <c r="M9821" s="36">
        <v>7134.62</v>
      </c>
      <c r="T9821" s="41">
        <v>0</v>
      </c>
      <c r="U9821" s="41">
        <v>0</v>
      </c>
      <c r="V9821" s="42" t="s">
        <v>113</v>
      </c>
      <c r="W9821" s="42">
        <v>54343.47</v>
      </c>
      <c r="X9821" s="42">
        <v>54343.47</v>
      </c>
    </row>
    <row r="9822" spans="1:24">
      <c r="A9822" s="27" t="s">
        <v>17914</v>
      </c>
      <c r="B9822" s="28" t="s">
        <v>17556</v>
      </c>
      <c r="C9822" s="27" t="s">
        <v>17867</v>
      </c>
      <c r="D9822" s="27" t="s">
        <v>17578</v>
      </c>
      <c r="E9822" s="29">
        <v>41271</v>
      </c>
      <c r="F9822" s="27">
        <v>7</v>
      </c>
      <c r="G9822" s="18">
        <v>534556.38</v>
      </c>
      <c r="H9822" s="27">
        <f t="shared" si="306"/>
        <v>0</v>
      </c>
      <c r="I9822" s="18">
        <v>437647.94</v>
      </c>
      <c r="J9822" s="27">
        <v>534556.38</v>
      </c>
      <c r="K9822" s="18">
        <f t="shared" si="307"/>
        <v>534556.38</v>
      </c>
      <c r="L9822" s="27">
        <v>507828.56</v>
      </c>
      <c r="M9822" s="36">
        <v>70180.62</v>
      </c>
      <c r="T9822" s="41">
        <v>0</v>
      </c>
      <c r="U9822" s="41">
        <v>0</v>
      </c>
      <c r="V9822" s="42" t="s">
        <v>113</v>
      </c>
      <c r="W9822" s="42">
        <v>534556.38</v>
      </c>
      <c r="X9822" s="42">
        <v>534556.38</v>
      </c>
    </row>
    <row r="9823" spans="1:24">
      <c r="A9823" s="27" t="s">
        <v>17915</v>
      </c>
      <c r="B9823" s="28" t="s">
        <v>17556</v>
      </c>
      <c r="C9823" s="27" t="s">
        <v>17883</v>
      </c>
      <c r="D9823" s="27" t="s">
        <v>17578</v>
      </c>
      <c r="E9823" s="29">
        <v>41271</v>
      </c>
      <c r="F9823" s="27">
        <v>7</v>
      </c>
      <c r="G9823" s="18">
        <v>1403.84</v>
      </c>
      <c r="H9823" s="27">
        <f t="shared" si="306"/>
        <v>1403.84</v>
      </c>
      <c r="I9823" s="18">
        <v>1403.84</v>
      </c>
      <c r="J9823" s="27">
        <v>1403.84</v>
      </c>
      <c r="K9823" s="18">
        <f t="shared" si="307"/>
        <v>1403.84</v>
      </c>
      <c r="L9823" s="27">
        <v>1403.84</v>
      </c>
      <c r="M9823" s="36">
        <v>0</v>
      </c>
      <c r="T9823" s="41">
        <v>0</v>
      </c>
      <c r="U9823" s="41">
        <v>0</v>
      </c>
      <c r="V9823" s="42" t="s">
        <v>113</v>
      </c>
      <c r="W9823" s="42">
        <v>1403.84</v>
      </c>
      <c r="X9823" s="42">
        <v>1403.84</v>
      </c>
    </row>
    <row r="9824" spans="1:24">
      <c r="A9824" s="27" t="s">
        <v>17916</v>
      </c>
      <c r="B9824" s="28" t="s">
        <v>17556</v>
      </c>
      <c r="C9824" s="27" t="s">
        <v>17869</v>
      </c>
      <c r="D9824" s="27" t="s">
        <v>17578</v>
      </c>
      <c r="E9824" s="29">
        <v>41271</v>
      </c>
      <c r="F9824" s="27">
        <v>7</v>
      </c>
      <c r="G9824" s="18">
        <v>52732.39</v>
      </c>
      <c r="H9824" s="27">
        <f t="shared" si="306"/>
        <v>0</v>
      </c>
      <c r="I9824" s="18">
        <v>43172.67</v>
      </c>
      <c r="J9824" s="27">
        <v>52732.39</v>
      </c>
      <c r="K9824" s="18">
        <f t="shared" si="307"/>
        <v>52732.39</v>
      </c>
      <c r="L9824" s="27">
        <v>50095.77</v>
      </c>
      <c r="M9824" s="36">
        <v>6923.1</v>
      </c>
      <c r="T9824" s="41">
        <v>0</v>
      </c>
      <c r="U9824" s="41">
        <v>0</v>
      </c>
      <c r="V9824" s="42" t="s">
        <v>113</v>
      </c>
      <c r="W9824" s="42">
        <v>52732.39</v>
      </c>
      <c r="X9824" s="42">
        <v>52732.39</v>
      </c>
    </row>
    <row r="9825" spans="1:24">
      <c r="A9825" s="27" t="s">
        <v>17917</v>
      </c>
      <c r="B9825" s="28" t="s">
        <v>17556</v>
      </c>
      <c r="C9825" s="27" t="s">
        <v>17871</v>
      </c>
      <c r="D9825" s="27" t="s">
        <v>17578</v>
      </c>
      <c r="E9825" s="29">
        <v>41271</v>
      </c>
      <c r="F9825" s="27">
        <v>7</v>
      </c>
      <c r="G9825" s="18">
        <v>20978.2</v>
      </c>
      <c r="H9825" s="27">
        <f t="shared" si="306"/>
        <v>0</v>
      </c>
      <c r="I9825" s="18">
        <v>17175.12</v>
      </c>
      <c r="J9825" s="27">
        <v>20978.2</v>
      </c>
      <c r="K9825" s="18">
        <f t="shared" si="307"/>
        <v>20978.2</v>
      </c>
      <c r="L9825" s="27">
        <v>19929.29</v>
      </c>
      <c r="M9825" s="36">
        <v>2754.17</v>
      </c>
      <c r="T9825" s="41">
        <v>0</v>
      </c>
      <c r="U9825" s="41">
        <v>0</v>
      </c>
      <c r="V9825" s="42" t="s">
        <v>113</v>
      </c>
      <c r="W9825" s="42">
        <v>20978.2</v>
      </c>
      <c r="X9825" s="42">
        <v>20978.2</v>
      </c>
    </row>
    <row r="9826" spans="1:24">
      <c r="A9826" s="27" t="s">
        <v>17918</v>
      </c>
      <c r="B9826" s="28" t="s">
        <v>17556</v>
      </c>
      <c r="C9826" s="27" t="s">
        <v>17867</v>
      </c>
      <c r="D9826" s="27" t="s">
        <v>17578</v>
      </c>
      <c r="E9826" s="29">
        <v>41271</v>
      </c>
      <c r="F9826" s="27">
        <v>7</v>
      </c>
      <c r="G9826" s="18">
        <v>63746.28</v>
      </c>
      <c r="H9826" s="27">
        <f t="shared" si="306"/>
        <v>0</v>
      </c>
      <c r="I9826" s="18">
        <v>52189.87</v>
      </c>
      <c r="J9826" s="27">
        <v>63746.28</v>
      </c>
      <c r="K9826" s="18">
        <f t="shared" si="307"/>
        <v>63746.28</v>
      </c>
      <c r="L9826" s="27">
        <v>60558.97</v>
      </c>
      <c r="M9826" s="36">
        <v>8369.1</v>
      </c>
      <c r="T9826" s="41">
        <v>0</v>
      </c>
      <c r="U9826" s="41">
        <v>0</v>
      </c>
      <c r="V9826" s="42" t="s">
        <v>113</v>
      </c>
      <c r="W9826" s="42">
        <v>63746.28</v>
      </c>
      <c r="X9826" s="42">
        <v>63746.28</v>
      </c>
    </row>
    <row r="9827" spans="1:24">
      <c r="A9827" s="27" t="s">
        <v>17919</v>
      </c>
      <c r="B9827" s="28" t="s">
        <v>17556</v>
      </c>
      <c r="C9827" s="27" t="s">
        <v>17883</v>
      </c>
      <c r="D9827" s="27" t="s">
        <v>17578</v>
      </c>
      <c r="E9827" s="29">
        <v>41271</v>
      </c>
      <c r="F9827" s="27">
        <v>7</v>
      </c>
      <c r="G9827" s="18">
        <v>4725.59</v>
      </c>
      <c r="H9827" s="27">
        <f t="shared" si="306"/>
        <v>4725.59</v>
      </c>
      <c r="I9827" s="18">
        <v>4725.59</v>
      </c>
      <c r="J9827" s="27">
        <v>4725.59</v>
      </c>
      <c r="K9827" s="18">
        <f t="shared" si="307"/>
        <v>4725.59</v>
      </c>
      <c r="L9827" s="27">
        <v>4725.59</v>
      </c>
      <c r="M9827" s="36">
        <v>0</v>
      </c>
      <c r="T9827" s="41">
        <v>0</v>
      </c>
      <c r="U9827" s="41">
        <v>0</v>
      </c>
      <c r="V9827" s="42" t="s">
        <v>113</v>
      </c>
      <c r="W9827" s="42">
        <v>4725.59</v>
      </c>
      <c r="X9827" s="42">
        <v>4725.59</v>
      </c>
    </row>
    <row r="9828" spans="1:24">
      <c r="A9828" s="27" t="s">
        <v>17920</v>
      </c>
      <c r="B9828" s="28" t="s">
        <v>17556</v>
      </c>
      <c r="C9828" s="27" t="s">
        <v>17869</v>
      </c>
      <c r="D9828" s="27" t="s">
        <v>17578</v>
      </c>
      <c r="E9828" s="29">
        <v>41271</v>
      </c>
      <c r="F9828" s="27">
        <v>7</v>
      </c>
      <c r="G9828" s="18">
        <v>59873.53</v>
      </c>
      <c r="H9828" s="27">
        <f t="shared" si="306"/>
        <v>0</v>
      </c>
      <c r="I9828" s="18">
        <v>49019.199999999997</v>
      </c>
      <c r="J9828" s="27">
        <v>59873.53</v>
      </c>
      <c r="K9828" s="18">
        <f t="shared" si="307"/>
        <v>59873.53</v>
      </c>
      <c r="L9828" s="27">
        <v>56879.85</v>
      </c>
      <c r="M9828" s="36">
        <v>7860.65</v>
      </c>
      <c r="T9828" s="41">
        <v>0</v>
      </c>
      <c r="U9828" s="41">
        <v>0</v>
      </c>
      <c r="V9828" s="42" t="s">
        <v>113</v>
      </c>
      <c r="W9828" s="42">
        <v>59873.53</v>
      </c>
      <c r="X9828" s="42">
        <v>59873.53</v>
      </c>
    </row>
    <row r="9829" spans="1:24">
      <c r="A9829" s="27" t="s">
        <v>17921</v>
      </c>
      <c r="B9829" s="28" t="s">
        <v>17556</v>
      </c>
      <c r="C9829" s="27" t="s">
        <v>17871</v>
      </c>
      <c r="D9829" s="27" t="s">
        <v>17578</v>
      </c>
      <c r="E9829" s="29">
        <v>41271</v>
      </c>
      <c r="F9829" s="27">
        <v>7</v>
      </c>
      <c r="G9829" s="18">
        <v>4413.54</v>
      </c>
      <c r="H9829" s="27">
        <f t="shared" si="306"/>
        <v>4413.54</v>
      </c>
      <c r="I9829" s="18">
        <v>4413.54</v>
      </c>
      <c r="J9829" s="27">
        <v>4413.54</v>
      </c>
      <c r="K9829" s="18">
        <f t="shared" si="307"/>
        <v>4413.54</v>
      </c>
      <c r="L9829" s="27">
        <v>4413.54</v>
      </c>
      <c r="M9829" s="36">
        <v>0</v>
      </c>
      <c r="T9829" s="41">
        <v>0</v>
      </c>
      <c r="U9829" s="41">
        <v>0</v>
      </c>
      <c r="V9829" s="42" t="s">
        <v>113</v>
      </c>
      <c r="W9829" s="42">
        <v>4413.54</v>
      </c>
      <c r="X9829" s="42">
        <v>4413.54</v>
      </c>
    </row>
    <row r="9830" spans="1:24">
      <c r="A9830" s="27" t="s">
        <v>17922</v>
      </c>
      <c r="B9830" s="28" t="s">
        <v>17556</v>
      </c>
      <c r="C9830" s="27" t="s">
        <v>17880</v>
      </c>
      <c r="D9830" s="27" t="s">
        <v>17558</v>
      </c>
      <c r="E9830" s="29">
        <v>41271</v>
      </c>
      <c r="F9830" s="27">
        <v>7</v>
      </c>
      <c r="G9830" s="18">
        <v>112612.12</v>
      </c>
      <c r="H9830" s="27">
        <f t="shared" si="306"/>
        <v>0</v>
      </c>
      <c r="I9830" s="18">
        <v>92196.94</v>
      </c>
      <c r="J9830" s="27">
        <v>112612.12</v>
      </c>
      <c r="K9830" s="18">
        <f t="shared" si="307"/>
        <v>112612.12</v>
      </c>
      <c r="L9830" s="27">
        <v>106981.51</v>
      </c>
      <c r="M9830" s="36">
        <v>14784.57</v>
      </c>
      <c r="T9830" s="41">
        <v>0</v>
      </c>
      <c r="U9830" s="41">
        <v>0</v>
      </c>
      <c r="V9830" s="42" t="s">
        <v>113</v>
      </c>
      <c r="W9830" s="42">
        <v>112612.12</v>
      </c>
      <c r="X9830" s="42">
        <v>112612.12</v>
      </c>
    </row>
    <row r="9831" spans="1:24">
      <c r="A9831" s="27" t="s">
        <v>17923</v>
      </c>
      <c r="B9831" s="28" t="s">
        <v>17556</v>
      </c>
      <c r="C9831" s="27" t="s">
        <v>17895</v>
      </c>
      <c r="D9831" s="27" t="s">
        <v>17558</v>
      </c>
      <c r="E9831" s="29">
        <v>41271</v>
      </c>
      <c r="F9831" s="27">
        <v>7</v>
      </c>
      <c r="G9831" s="18">
        <v>105483.6</v>
      </c>
      <c r="H9831" s="27">
        <f t="shared" si="306"/>
        <v>0</v>
      </c>
      <c r="I9831" s="18">
        <v>86360.73</v>
      </c>
      <c r="J9831" s="27">
        <v>105483.6</v>
      </c>
      <c r="K9831" s="18">
        <f t="shared" si="307"/>
        <v>105483.6</v>
      </c>
      <c r="L9831" s="27">
        <v>100209.42</v>
      </c>
      <c r="M9831" s="36">
        <v>13848.69</v>
      </c>
      <c r="T9831" s="41">
        <v>0</v>
      </c>
      <c r="U9831" s="41">
        <v>0</v>
      </c>
      <c r="V9831" s="42" t="s">
        <v>113</v>
      </c>
      <c r="W9831" s="42">
        <v>105483.6</v>
      </c>
      <c r="X9831" s="42">
        <v>105483.6</v>
      </c>
    </row>
    <row r="9832" spans="1:24">
      <c r="A9832" s="27" t="s">
        <v>17924</v>
      </c>
      <c r="B9832" s="28" t="s">
        <v>17556</v>
      </c>
      <c r="C9832" s="27" t="s">
        <v>17925</v>
      </c>
      <c r="D9832" s="27" t="s">
        <v>17558</v>
      </c>
      <c r="E9832" s="29">
        <v>41271</v>
      </c>
      <c r="F9832" s="27">
        <v>7</v>
      </c>
      <c r="G9832" s="18">
        <v>35207.980000000003</v>
      </c>
      <c r="H9832" s="27">
        <f t="shared" si="306"/>
        <v>0</v>
      </c>
      <c r="I9832" s="18">
        <v>28825.21</v>
      </c>
      <c r="J9832" s="27">
        <v>35207.980000000003</v>
      </c>
      <c r="K9832" s="18">
        <f t="shared" si="307"/>
        <v>35207.980000000003</v>
      </c>
      <c r="L9832" s="27">
        <v>33447.58</v>
      </c>
      <c r="M9832" s="36">
        <v>4622.37</v>
      </c>
      <c r="T9832" s="41">
        <v>0</v>
      </c>
      <c r="U9832" s="41">
        <v>0</v>
      </c>
      <c r="V9832" s="42" t="s">
        <v>113</v>
      </c>
      <c r="W9832" s="42">
        <v>35207.980000000003</v>
      </c>
      <c r="X9832" s="42">
        <v>35207.980000000003</v>
      </c>
    </row>
    <row r="9833" spans="1:24">
      <c r="A9833" s="27" t="s">
        <v>17926</v>
      </c>
      <c r="B9833" s="28" t="s">
        <v>17556</v>
      </c>
      <c r="C9833" s="27" t="s">
        <v>17927</v>
      </c>
      <c r="D9833" s="27" t="s">
        <v>17558</v>
      </c>
      <c r="E9833" s="29">
        <v>41271</v>
      </c>
      <c r="F9833" s="27">
        <v>7</v>
      </c>
      <c r="G9833" s="18">
        <v>8916.2199999999993</v>
      </c>
      <c r="H9833" s="27">
        <f t="shared" si="306"/>
        <v>0</v>
      </c>
      <c r="I9833" s="18">
        <v>7299.82</v>
      </c>
      <c r="J9833" s="27">
        <v>8916.2199999999993</v>
      </c>
      <c r="K9833" s="18">
        <f t="shared" si="307"/>
        <v>8916.2199999999993</v>
      </c>
      <c r="L9833" s="27">
        <v>8470.41</v>
      </c>
      <c r="M9833" s="36">
        <v>1170.5899999999999</v>
      </c>
      <c r="T9833" s="41">
        <v>0</v>
      </c>
      <c r="U9833" s="41">
        <v>0</v>
      </c>
      <c r="V9833" s="42" t="s">
        <v>113</v>
      </c>
      <c r="W9833" s="42">
        <v>8916.2199999999993</v>
      </c>
      <c r="X9833" s="42">
        <v>8916.2199999999993</v>
      </c>
    </row>
    <row r="9834" spans="1:24">
      <c r="A9834" s="27" t="s">
        <v>17928</v>
      </c>
      <c r="B9834" s="28" t="s">
        <v>17556</v>
      </c>
      <c r="C9834" s="27" t="s">
        <v>17867</v>
      </c>
      <c r="D9834" s="27" t="s">
        <v>17578</v>
      </c>
      <c r="E9834" s="29">
        <v>41271</v>
      </c>
      <c r="F9834" s="27">
        <v>7</v>
      </c>
      <c r="G9834" s="18">
        <v>391824.97</v>
      </c>
      <c r="H9834" s="27">
        <f t="shared" si="306"/>
        <v>0</v>
      </c>
      <c r="I9834" s="18">
        <v>320791.96999999997</v>
      </c>
      <c r="J9834" s="27">
        <v>391824.97</v>
      </c>
      <c r="K9834" s="18">
        <f t="shared" si="307"/>
        <v>391824.97</v>
      </c>
      <c r="L9834" s="27">
        <v>372233.72</v>
      </c>
      <c r="M9834" s="36">
        <v>51441.75</v>
      </c>
      <c r="T9834" s="41">
        <v>0</v>
      </c>
      <c r="U9834" s="41">
        <v>0</v>
      </c>
      <c r="V9834" s="42" t="s">
        <v>113</v>
      </c>
      <c r="W9834" s="42">
        <v>391824.97</v>
      </c>
      <c r="X9834" s="42">
        <v>391824.97</v>
      </c>
    </row>
    <row r="9835" spans="1:24">
      <c r="A9835" s="27" t="s">
        <v>17929</v>
      </c>
      <c r="B9835" s="28" t="s">
        <v>17556</v>
      </c>
      <c r="C9835" s="27" t="s">
        <v>17883</v>
      </c>
      <c r="D9835" s="27" t="s">
        <v>17578</v>
      </c>
      <c r="E9835" s="29">
        <v>41271</v>
      </c>
      <c r="F9835" s="27">
        <v>7</v>
      </c>
      <c r="G9835" s="18">
        <v>4938.3100000000004</v>
      </c>
      <c r="H9835" s="27">
        <f t="shared" si="306"/>
        <v>0</v>
      </c>
      <c r="I9835" s="18">
        <v>4043.05</v>
      </c>
      <c r="J9835" s="27">
        <v>4938.3100000000004</v>
      </c>
      <c r="K9835" s="18">
        <f t="shared" si="307"/>
        <v>4938.3100000000004</v>
      </c>
      <c r="L9835" s="27">
        <v>4691.3900000000003</v>
      </c>
      <c r="M9835" s="36">
        <v>648.34</v>
      </c>
      <c r="T9835" s="41">
        <v>0</v>
      </c>
      <c r="U9835" s="41">
        <v>0</v>
      </c>
      <c r="V9835" s="42" t="s">
        <v>113</v>
      </c>
      <c r="W9835" s="42">
        <v>4938.3100000000004</v>
      </c>
      <c r="X9835" s="42">
        <v>4938.3100000000004</v>
      </c>
    </row>
    <row r="9836" spans="1:24">
      <c r="A9836" s="27" t="s">
        <v>17930</v>
      </c>
      <c r="B9836" s="28" t="s">
        <v>17556</v>
      </c>
      <c r="C9836" s="27" t="s">
        <v>17869</v>
      </c>
      <c r="D9836" s="27" t="s">
        <v>17578</v>
      </c>
      <c r="E9836" s="29">
        <v>41271</v>
      </c>
      <c r="F9836" s="27">
        <v>7</v>
      </c>
      <c r="G9836" s="18">
        <v>81462.100000000006</v>
      </c>
      <c r="H9836" s="27">
        <f t="shared" si="306"/>
        <v>0</v>
      </c>
      <c r="I9836" s="18">
        <v>66694.03</v>
      </c>
      <c r="J9836" s="27">
        <v>81462.100000000006</v>
      </c>
      <c r="K9836" s="18">
        <f t="shared" si="307"/>
        <v>81462.100000000006</v>
      </c>
      <c r="L9836" s="27">
        <v>77388.990000000005</v>
      </c>
      <c r="M9836" s="36">
        <v>10694.96</v>
      </c>
      <c r="T9836" s="41">
        <v>0</v>
      </c>
      <c r="U9836" s="41">
        <v>0</v>
      </c>
      <c r="V9836" s="42" t="s">
        <v>113</v>
      </c>
      <c r="W9836" s="42">
        <v>81462.100000000006</v>
      </c>
      <c r="X9836" s="42">
        <v>81462.100000000006</v>
      </c>
    </row>
    <row r="9837" spans="1:24">
      <c r="A9837" s="27" t="s">
        <v>17931</v>
      </c>
      <c r="B9837" s="28" t="s">
        <v>17556</v>
      </c>
      <c r="C9837" s="27" t="s">
        <v>17871</v>
      </c>
      <c r="D9837" s="27" t="s">
        <v>17578</v>
      </c>
      <c r="E9837" s="29">
        <v>41271</v>
      </c>
      <c r="F9837" s="27">
        <v>7</v>
      </c>
      <c r="G9837" s="18">
        <v>30748.14</v>
      </c>
      <c r="H9837" s="27">
        <f t="shared" si="306"/>
        <v>0</v>
      </c>
      <c r="I9837" s="18">
        <v>25173.88</v>
      </c>
      <c r="J9837" s="27">
        <v>30748.14</v>
      </c>
      <c r="K9837" s="18">
        <f t="shared" si="307"/>
        <v>30748.14</v>
      </c>
      <c r="L9837" s="27">
        <v>29210.73</v>
      </c>
      <c r="M9837" s="36">
        <v>4036.85</v>
      </c>
      <c r="T9837" s="41">
        <v>0</v>
      </c>
      <c r="U9837" s="41">
        <v>0</v>
      </c>
      <c r="V9837" s="42" t="s">
        <v>113</v>
      </c>
      <c r="W9837" s="42">
        <v>30748.14</v>
      </c>
      <c r="X9837" s="42">
        <v>30748.14</v>
      </c>
    </row>
    <row r="9838" spans="1:24">
      <c r="A9838" s="27" t="s">
        <v>17932</v>
      </c>
      <c r="B9838" s="28" t="s">
        <v>17556</v>
      </c>
      <c r="C9838" s="27" t="s">
        <v>17867</v>
      </c>
      <c r="D9838" s="27" t="s">
        <v>17578</v>
      </c>
      <c r="E9838" s="29">
        <v>41271</v>
      </c>
      <c r="F9838" s="27">
        <v>7</v>
      </c>
      <c r="G9838" s="18">
        <v>395640.98</v>
      </c>
      <c r="H9838" s="27">
        <f t="shared" si="306"/>
        <v>0</v>
      </c>
      <c r="I9838" s="18">
        <v>323916.18</v>
      </c>
      <c r="J9838" s="27">
        <v>395640.98</v>
      </c>
      <c r="K9838" s="18">
        <f t="shared" si="307"/>
        <v>395640.98</v>
      </c>
      <c r="L9838" s="27">
        <v>375858.93</v>
      </c>
      <c r="M9838" s="36">
        <v>51942.75</v>
      </c>
      <c r="T9838" s="41">
        <v>0</v>
      </c>
      <c r="U9838" s="41">
        <v>0</v>
      </c>
      <c r="V9838" s="42" t="s">
        <v>113</v>
      </c>
      <c r="W9838" s="42">
        <v>395640.98</v>
      </c>
      <c r="X9838" s="42">
        <v>395640.98</v>
      </c>
    </row>
    <row r="9839" spans="1:24">
      <c r="A9839" s="27" t="s">
        <v>17933</v>
      </c>
      <c r="B9839" s="28" t="s">
        <v>17556</v>
      </c>
      <c r="C9839" s="27" t="s">
        <v>17883</v>
      </c>
      <c r="D9839" s="27" t="s">
        <v>17578</v>
      </c>
      <c r="E9839" s="29">
        <v>41271</v>
      </c>
      <c r="F9839" s="27">
        <v>7</v>
      </c>
      <c r="G9839" s="18">
        <v>4652.6400000000003</v>
      </c>
      <c r="H9839" s="27">
        <f t="shared" si="306"/>
        <v>4652.6400000000003</v>
      </c>
      <c r="I9839" s="18">
        <v>4652.6400000000003</v>
      </c>
      <c r="J9839" s="27">
        <v>4652.6400000000003</v>
      </c>
      <c r="K9839" s="18">
        <f t="shared" si="307"/>
        <v>4652.6400000000003</v>
      </c>
      <c r="L9839" s="27">
        <v>4652.6400000000003</v>
      </c>
      <c r="M9839" s="36">
        <v>0</v>
      </c>
      <c r="T9839" s="41">
        <v>0</v>
      </c>
      <c r="U9839" s="41">
        <v>0</v>
      </c>
      <c r="V9839" s="42" t="s">
        <v>113</v>
      </c>
      <c r="W9839" s="42">
        <v>4652.6400000000003</v>
      </c>
      <c r="X9839" s="42">
        <v>4652.6400000000003</v>
      </c>
    </row>
    <row r="9840" spans="1:24">
      <c r="A9840" s="27" t="s">
        <v>17934</v>
      </c>
      <c r="B9840" s="28" t="s">
        <v>17556</v>
      </c>
      <c r="C9840" s="27" t="s">
        <v>17869</v>
      </c>
      <c r="D9840" s="27" t="s">
        <v>17578</v>
      </c>
      <c r="E9840" s="29">
        <v>41271</v>
      </c>
      <c r="F9840" s="27">
        <v>7</v>
      </c>
      <c r="G9840" s="18">
        <v>73050.97</v>
      </c>
      <c r="H9840" s="27">
        <f t="shared" si="306"/>
        <v>0</v>
      </c>
      <c r="I9840" s="18">
        <v>59807.73</v>
      </c>
      <c r="J9840" s="27">
        <v>73050.97</v>
      </c>
      <c r="K9840" s="18">
        <f t="shared" si="307"/>
        <v>73050.97</v>
      </c>
      <c r="L9840" s="27">
        <v>69398.42</v>
      </c>
      <c r="M9840" s="36">
        <v>9590.69</v>
      </c>
      <c r="T9840" s="41">
        <v>0</v>
      </c>
      <c r="U9840" s="41">
        <v>0</v>
      </c>
      <c r="V9840" s="42" t="s">
        <v>113</v>
      </c>
      <c r="W9840" s="42">
        <v>73050.97</v>
      </c>
      <c r="X9840" s="42">
        <v>73050.97</v>
      </c>
    </row>
    <row r="9841" spans="1:24">
      <c r="A9841" s="27" t="s">
        <v>17935</v>
      </c>
      <c r="B9841" s="28" t="s">
        <v>17556</v>
      </c>
      <c r="C9841" s="27" t="s">
        <v>17871</v>
      </c>
      <c r="D9841" s="27" t="s">
        <v>17578</v>
      </c>
      <c r="E9841" s="29">
        <v>41271</v>
      </c>
      <c r="F9841" s="27">
        <v>7</v>
      </c>
      <c r="G9841" s="18">
        <v>28969.45</v>
      </c>
      <c r="H9841" s="27">
        <f t="shared" si="306"/>
        <v>0</v>
      </c>
      <c r="I9841" s="18">
        <v>23717.65</v>
      </c>
      <c r="J9841" s="27">
        <v>28969.45</v>
      </c>
      <c r="K9841" s="18">
        <f t="shared" si="307"/>
        <v>28969.45</v>
      </c>
      <c r="L9841" s="27">
        <v>27520.98</v>
      </c>
      <c r="M9841" s="36">
        <v>3803.33</v>
      </c>
      <c r="T9841" s="41">
        <v>0</v>
      </c>
      <c r="U9841" s="41">
        <v>0</v>
      </c>
      <c r="V9841" s="42" t="s">
        <v>113</v>
      </c>
      <c r="W9841" s="42">
        <v>28969.45</v>
      </c>
      <c r="X9841" s="42">
        <v>28969.45</v>
      </c>
    </row>
    <row r="9842" spans="1:24">
      <c r="A9842" s="27" t="s">
        <v>17936</v>
      </c>
      <c r="B9842" s="28" t="s">
        <v>17556</v>
      </c>
      <c r="C9842" s="27" t="s">
        <v>17867</v>
      </c>
      <c r="D9842" s="27" t="s">
        <v>17578</v>
      </c>
      <c r="E9842" s="29">
        <v>41271</v>
      </c>
      <c r="F9842" s="27">
        <v>7</v>
      </c>
      <c r="G9842" s="18">
        <v>295038.57</v>
      </c>
      <c r="H9842" s="27">
        <f t="shared" si="306"/>
        <v>0</v>
      </c>
      <c r="I9842" s="18">
        <v>241551.74</v>
      </c>
      <c r="J9842" s="27">
        <v>295038.57</v>
      </c>
      <c r="K9842" s="18">
        <f t="shared" si="307"/>
        <v>295038.57</v>
      </c>
      <c r="L9842" s="27">
        <v>280286.64</v>
      </c>
      <c r="M9842" s="36">
        <v>38734.9</v>
      </c>
      <c r="T9842" s="41">
        <v>0</v>
      </c>
      <c r="U9842" s="41">
        <v>0</v>
      </c>
      <c r="V9842" s="42" t="s">
        <v>113</v>
      </c>
      <c r="W9842" s="42">
        <v>295038.57</v>
      </c>
      <c r="X9842" s="42">
        <v>295038.57</v>
      </c>
    </row>
    <row r="9843" spans="1:24">
      <c r="A9843" s="27" t="s">
        <v>17937</v>
      </c>
      <c r="B9843" s="28" t="s">
        <v>17556</v>
      </c>
      <c r="C9843" s="27" t="s">
        <v>17883</v>
      </c>
      <c r="D9843" s="27" t="s">
        <v>17578</v>
      </c>
      <c r="E9843" s="29">
        <v>41271</v>
      </c>
      <c r="F9843" s="27">
        <v>7</v>
      </c>
      <c r="G9843" s="18">
        <v>6215.3</v>
      </c>
      <c r="H9843" s="27">
        <f t="shared" si="306"/>
        <v>0</v>
      </c>
      <c r="I9843" s="18">
        <v>5088.54</v>
      </c>
      <c r="J9843" s="27">
        <v>6215.3</v>
      </c>
      <c r="K9843" s="18">
        <f t="shared" si="307"/>
        <v>6215.3</v>
      </c>
      <c r="L9843" s="27">
        <v>5904.53</v>
      </c>
      <c r="M9843" s="36">
        <v>815.99</v>
      </c>
      <c r="T9843" s="41">
        <v>0</v>
      </c>
      <c r="U9843" s="41">
        <v>0</v>
      </c>
      <c r="V9843" s="42" t="s">
        <v>113</v>
      </c>
      <c r="W9843" s="42">
        <v>6215.3</v>
      </c>
      <c r="X9843" s="42">
        <v>6215.3</v>
      </c>
    </row>
    <row r="9844" spans="1:24">
      <c r="A9844" s="27" t="s">
        <v>17938</v>
      </c>
      <c r="B9844" s="28" t="s">
        <v>17556</v>
      </c>
      <c r="C9844" s="27" t="s">
        <v>17869</v>
      </c>
      <c r="D9844" s="27" t="s">
        <v>17578</v>
      </c>
      <c r="E9844" s="29">
        <v>41271</v>
      </c>
      <c r="F9844" s="27">
        <v>7</v>
      </c>
      <c r="G9844" s="18">
        <v>11858.57</v>
      </c>
      <c r="H9844" s="27">
        <f t="shared" si="306"/>
        <v>0</v>
      </c>
      <c r="I9844" s="18">
        <v>9708.76</v>
      </c>
      <c r="J9844" s="27">
        <v>11858.57</v>
      </c>
      <c r="K9844" s="18">
        <f t="shared" si="307"/>
        <v>11858.57</v>
      </c>
      <c r="L9844" s="27">
        <v>11265.64</v>
      </c>
      <c r="M9844" s="36">
        <v>1556.88</v>
      </c>
      <c r="T9844" s="41">
        <v>0</v>
      </c>
      <c r="U9844" s="41">
        <v>0</v>
      </c>
      <c r="V9844" s="42" t="s">
        <v>113</v>
      </c>
      <c r="W9844" s="42">
        <v>11858.57</v>
      </c>
      <c r="X9844" s="42">
        <v>11858.57</v>
      </c>
    </row>
    <row r="9845" spans="1:24">
      <c r="A9845" s="27" t="s">
        <v>17939</v>
      </c>
      <c r="B9845" s="28" t="s">
        <v>17556</v>
      </c>
      <c r="C9845" s="27" t="s">
        <v>17871</v>
      </c>
      <c r="D9845" s="27" t="s">
        <v>17578</v>
      </c>
      <c r="E9845" s="29">
        <v>41271</v>
      </c>
      <c r="F9845" s="27">
        <v>7</v>
      </c>
      <c r="G9845" s="18">
        <v>13931.72</v>
      </c>
      <c r="H9845" s="27">
        <f t="shared" si="306"/>
        <v>0</v>
      </c>
      <c r="I9845" s="18">
        <v>11406.07</v>
      </c>
      <c r="J9845" s="27">
        <v>13931.72</v>
      </c>
      <c r="K9845" s="18">
        <f t="shared" si="307"/>
        <v>13931.72</v>
      </c>
      <c r="L9845" s="27">
        <v>13235.13</v>
      </c>
      <c r="M9845" s="36">
        <v>1829.06</v>
      </c>
      <c r="T9845" s="41">
        <v>0</v>
      </c>
      <c r="U9845" s="41">
        <v>0</v>
      </c>
      <c r="V9845" s="42" t="s">
        <v>113</v>
      </c>
      <c r="W9845" s="42">
        <v>13931.72</v>
      </c>
      <c r="X9845" s="42">
        <v>13931.72</v>
      </c>
    </row>
    <row r="9846" spans="1:24">
      <c r="A9846" s="27" t="s">
        <v>17940</v>
      </c>
      <c r="B9846" s="28" t="s">
        <v>17556</v>
      </c>
      <c r="C9846" s="27" t="s">
        <v>17867</v>
      </c>
      <c r="D9846" s="27" t="s">
        <v>17578</v>
      </c>
      <c r="E9846" s="29">
        <v>41271</v>
      </c>
      <c r="F9846" s="27">
        <v>7</v>
      </c>
      <c r="G9846" s="18">
        <v>390269.1</v>
      </c>
      <c r="H9846" s="27">
        <f t="shared" si="306"/>
        <v>0</v>
      </c>
      <c r="I9846" s="18">
        <v>319518.15000000002</v>
      </c>
      <c r="J9846" s="27">
        <v>390269.1</v>
      </c>
      <c r="K9846" s="18">
        <f t="shared" si="307"/>
        <v>390269.1</v>
      </c>
      <c r="L9846" s="27">
        <v>370755.64</v>
      </c>
      <c r="M9846" s="36">
        <v>51237.49</v>
      </c>
      <c r="T9846" s="41">
        <v>0</v>
      </c>
      <c r="U9846" s="41">
        <v>0</v>
      </c>
      <c r="V9846" s="42" t="s">
        <v>113</v>
      </c>
      <c r="W9846" s="42">
        <v>390269.1</v>
      </c>
      <c r="X9846" s="42">
        <v>390269.1</v>
      </c>
    </row>
    <row r="9847" spans="1:24">
      <c r="A9847" s="27" t="s">
        <v>17941</v>
      </c>
      <c r="B9847" s="28" t="s">
        <v>17556</v>
      </c>
      <c r="C9847" s="27" t="s">
        <v>17883</v>
      </c>
      <c r="D9847" s="27" t="s">
        <v>17578</v>
      </c>
      <c r="E9847" s="29">
        <v>41271</v>
      </c>
      <c r="F9847" s="27">
        <v>7</v>
      </c>
      <c r="G9847" s="18">
        <v>4356.21</v>
      </c>
      <c r="H9847" s="27">
        <f t="shared" si="306"/>
        <v>4356.21</v>
      </c>
      <c r="I9847" s="18">
        <v>4356.21</v>
      </c>
      <c r="J9847" s="27">
        <v>4356.21</v>
      </c>
      <c r="K9847" s="18">
        <f t="shared" si="307"/>
        <v>4356.21</v>
      </c>
      <c r="L9847" s="27">
        <v>4356.21</v>
      </c>
      <c r="M9847" s="36">
        <v>0</v>
      </c>
      <c r="T9847" s="41">
        <v>0</v>
      </c>
      <c r="U9847" s="41">
        <v>0</v>
      </c>
      <c r="V9847" s="42" t="s">
        <v>113</v>
      </c>
      <c r="W9847" s="42">
        <v>4356.21</v>
      </c>
      <c r="X9847" s="42">
        <v>4356.21</v>
      </c>
    </row>
    <row r="9848" spans="1:24">
      <c r="A9848" s="27" t="s">
        <v>17942</v>
      </c>
      <c r="B9848" s="28" t="s">
        <v>17556</v>
      </c>
      <c r="C9848" s="27" t="s">
        <v>17869</v>
      </c>
      <c r="D9848" s="27" t="s">
        <v>17578</v>
      </c>
      <c r="E9848" s="29">
        <v>41271</v>
      </c>
      <c r="F9848" s="27">
        <v>7</v>
      </c>
      <c r="G9848" s="18">
        <v>62336.18</v>
      </c>
      <c r="H9848" s="27">
        <f t="shared" si="306"/>
        <v>0</v>
      </c>
      <c r="I9848" s="18">
        <v>51035.4</v>
      </c>
      <c r="J9848" s="27">
        <v>62336.18</v>
      </c>
      <c r="K9848" s="18">
        <f t="shared" si="307"/>
        <v>62336.18</v>
      </c>
      <c r="L9848" s="27">
        <v>59219.37</v>
      </c>
      <c r="M9848" s="36">
        <v>8183.97</v>
      </c>
      <c r="T9848" s="41">
        <v>0</v>
      </c>
      <c r="U9848" s="41">
        <v>0</v>
      </c>
      <c r="V9848" s="42" t="s">
        <v>113</v>
      </c>
      <c r="W9848" s="42">
        <v>62336.18</v>
      </c>
      <c r="X9848" s="42">
        <v>62336.18</v>
      </c>
    </row>
    <row r="9849" spans="1:24">
      <c r="A9849" s="27" t="s">
        <v>17943</v>
      </c>
      <c r="B9849" s="28" t="s">
        <v>17556</v>
      </c>
      <c r="C9849" s="27" t="s">
        <v>17871</v>
      </c>
      <c r="D9849" s="27" t="s">
        <v>17578</v>
      </c>
      <c r="E9849" s="29">
        <v>41271</v>
      </c>
      <c r="F9849" s="27">
        <v>7</v>
      </c>
      <c r="G9849" s="18">
        <v>27123.71</v>
      </c>
      <c r="H9849" s="27">
        <f t="shared" si="306"/>
        <v>0</v>
      </c>
      <c r="I9849" s="18">
        <v>22206.52</v>
      </c>
      <c r="J9849" s="27">
        <v>27123.71</v>
      </c>
      <c r="K9849" s="18">
        <f t="shared" si="307"/>
        <v>27123.71</v>
      </c>
      <c r="L9849" s="27">
        <v>25767.52</v>
      </c>
      <c r="M9849" s="36">
        <v>3561</v>
      </c>
      <c r="T9849" s="41">
        <v>0</v>
      </c>
      <c r="U9849" s="41">
        <v>0</v>
      </c>
      <c r="V9849" s="42" t="s">
        <v>113</v>
      </c>
      <c r="W9849" s="42">
        <v>27123.71</v>
      </c>
      <c r="X9849" s="42">
        <v>27123.71</v>
      </c>
    </row>
    <row r="9850" spans="1:24">
      <c r="A9850" s="27" t="s">
        <v>17944</v>
      </c>
      <c r="B9850" s="28" t="s">
        <v>17556</v>
      </c>
      <c r="C9850" s="27" t="s">
        <v>17867</v>
      </c>
      <c r="D9850" s="27" t="s">
        <v>17578</v>
      </c>
      <c r="E9850" s="29">
        <v>41271</v>
      </c>
      <c r="F9850" s="27">
        <v>7</v>
      </c>
      <c r="G9850" s="18">
        <v>383061.35</v>
      </c>
      <c r="H9850" s="27">
        <f t="shared" si="306"/>
        <v>0</v>
      </c>
      <c r="I9850" s="18">
        <v>313617.08</v>
      </c>
      <c r="J9850" s="27">
        <v>383061.35</v>
      </c>
      <c r="K9850" s="18">
        <f t="shared" si="307"/>
        <v>383061.35</v>
      </c>
      <c r="L9850" s="27">
        <v>363908.28</v>
      </c>
      <c r="M9850" s="36">
        <v>50291.199999999997</v>
      </c>
      <c r="T9850" s="41">
        <v>0</v>
      </c>
      <c r="U9850" s="41">
        <v>0</v>
      </c>
      <c r="V9850" s="42" t="s">
        <v>113</v>
      </c>
      <c r="W9850" s="42">
        <v>383061.35</v>
      </c>
      <c r="X9850" s="42">
        <v>383061.35</v>
      </c>
    </row>
    <row r="9851" spans="1:24">
      <c r="A9851" s="27" t="s">
        <v>17945</v>
      </c>
      <c r="B9851" s="28" t="s">
        <v>17556</v>
      </c>
      <c r="C9851" s="27" t="s">
        <v>17867</v>
      </c>
      <c r="D9851" s="27" t="s">
        <v>17578</v>
      </c>
      <c r="E9851" s="29">
        <v>41271</v>
      </c>
      <c r="F9851" s="27">
        <v>7</v>
      </c>
      <c r="G9851" s="18">
        <v>10249.25</v>
      </c>
      <c r="H9851" s="27">
        <f t="shared" si="306"/>
        <v>0</v>
      </c>
      <c r="I9851" s="18">
        <v>8391.19</v>
      </c>
      <c r="J9851" s="27">
        <v>10249.25</v>
      </c>
      <c r="K9851" s="18">
        <f t="shared" si="307"/>
        <v>10249.25</v>
      </c>
      <c r="L9851" s="27">
        <v>9736.7900000000009</v>
      </c>
      <c r="M9851" s="36">
        <v>1345.6</v>
      </c>
      <c r="T9851" s="41">
        <v>0</v>
      </c>
      <c r="U9851" s="41">
        <v>0</v>
      </c>
      <c r="V9851" s="42" t="s">
        <v>113</v>
      </c>
      <c r="W9851" s="42">
        <v>10249.25</v>
      </c>
      <c r="X9851" s="42">
        <v>10249.25</v>
      </c>
    </row>
    <row r="9852" spans="1:24">
      <c r="A9852" s="27" t="s">
        <v>17946</v>
      </c>
      <c r="B9852" s="28" t="s">
        <v>17556</v>
      </c>
      <c r="C9852" s="27" t="s">
        <v>17883</v>
      </c>
      <c r="D9852" s="27" t="s">
        <v>17578</v>
      </c>
      <c r="E9852" s="29">
        <v>41271</v>
      </c>
      <c r="F9852" s="27">
        <v>7</v>
      </c>
      <c r="G9852" s="18">
        <v>40219.379999999997</v>
      </c>
      <c r="H9852" s="27">
        <f t="shared" si="306"/>
        <v>0</v>
      </c>
      <c r="I9852" s="18">
        <v>32928.11</v>
      </c>
      <c r="J9852" s="27">
        <v>40219.379999999997</v>
      </c>
      <c r="K9852" s="18">
        <f t="shared" si="307"/>
        <v>40219.379999999997</v>
      </c>
      <c r="L9852" s="27">
        <v>38208.410000000003</v>
      </c>
      <c r="M9852" s="36">
        <v>5280.3</v>
      </c>
      <c r="T9852" s="41">
        <v>0</v>
      </c>
      <c r="U9852" s="41">
        <v>0</v>
      </c>
      <c r="V9852" s="42" t="s">
        <v>113</v>
      </c>
      <c r="W9852" s="42">
        <v>40219.379999999997</v>
      </c>
      <c r="X9852" s="42">
        <v>40219.379999999997</v>
      </c>
    </row>
    <row r="9853" spans="1:24">
      <c r="A9853" s="27" t="s">
        <v>17947</v>
      </c>
      <c r="B9853" s="28" t="s">
        <v>17556</v>
      </c>
      <c r="C9853" s="27" t="s">
        <v>17869</v>
      </c>
      <c r="D9853" s="27" t="s">
        <v>17578</v>
      </c>
      <c r="E9853" s="29">
        <v>41271</v>
      </c>
      <c r="F9853" s="27">
        <v>7</v>
      </c>
      <c r="G9853" s="18">
        <v>79046.3</v>
      </c>
      <c r="H9853" s="27">
        <f t="shared" si="306"/>
        <v>0</v>
      </c>
      <c r="I9853" s="18">
        <v>64716.18</v>
      </c>
      <c r="J9853" s="27">
        <v>79046.3</v>
      </c>
      <c r="K9853" s="18">
        <f t="shared" si="307"/>
        <v>79046.3</v>
      </c>
      <c r="L9853" s="27">
        <v>75093.98</v>
      </c>
      <c r="M9853" s="36">
        <v>10377.799999999999</v>
      </c>
      <c r="T9853" s="41">
        <v>0</v>
      </c>
      <c r="U9853" s="41">
        <v>0</v>
      </c>
      <c r="V9853" s="42" t="s">
        <v>113</v>
      </c>
      <c r="W9853" s="42">
        <v>79046.3</v>
      </c>
      <c r="X9853" s="42">
        <v>79046.3</v>
      </c>
    </row>
    <row r="9854" spans="1:24">
      <c r="A9854" s="27" t="s">
        <v>17948</v>
      </c>
      <c r="B9854" s="28" t="s">
        <v>17556</v>
      </c>
      <c r="C9854" s="27" t="s">
        <v>17871</v>
      </c>
      <c r="D9854" s="27" t="s">
        <v>17578</v>
      </c>
      <c r="E9854" s="29">
        <v>41271</v>
      </c>
      <c r="F9854" s="27">
        <v>7</v>
      </c>
      <c r="G9854" s="18">
        <v>22259.89</v>
      </c>
      <c r="H9854" s="27">
        <f t="shared" si="306"/>
        <v>0</v>
      </c>
      <c r="I9854" s="18">
        <v>18224.46</v>
      </c>
      <c r="J9854" s="27">
        <v>22259.89</v>
      </c>
      <c r="K9854" s="18">
        <f t="shared" si="307"/>
        <v>22259.89</v>
      </c>
      <c r="L9854" s="27">
        <v>21146.9</v>
      </c>
      <c r="M9854" s="36">
        <v>2922.44</v>
      </c>
      <c r="T9854" s="41">
        <v>0</v>
      </c>
      <c r="U9854" s="41">
        <v>0</v>
      </c>
      <c r="V9854" s="42" t="s">
        <v>113</v>
      </c>
      <c r="W9854" s="42">
        <v>22259.89</v>
      </c>
      <c r="X9854" s="42">
        <v>22259.89</v>
      </c>
    </row>
    <row r="9855" spans="1:24">
      <c r="A9855" s="27" t="s">
        <v>17949</v>
      </c>
      <c r="B9855" s="28" t="s">
        <v>17556</v>
      </c>
      <c r="C9855" s="27" t="s">
        <v>17867</v>
      </c>
      <c r="D9855" s="27" t="s">
        <v>17578</v>
      </c>
      <c r="E9855" s="29">
        <v>41271</v>
      </c>
      <c r="F9855" s="27">
        <v>7</v>
      </c>
      <c r="G9855" s="18">
        <v>76987.509999999995</v>
      </c>
      <c r="H9855" s="27">
        <f t="shared" si="306"/>
        <v>0</v>
      </c>
      <c r="I9855" s="18">
        <v>63030.63</v>
      </c>
      <c r="J9855" s="27">
        <v>76987.509999999995</v>
      </c>
      <c r="K9855" s="18">
        <f t="shared" si="307"/>
        <v>76987.509999999995</v>
      </c>
      <c r="L9855" s="27">
        <v>73138.13</v>
      </c>
      <c r="M9855" s="36">
        <v>10107.5</v>
      </c>
      <c r="T9855" s="41">
        <v>0</v>
      </c>
      <c r="U9855" s="41">
        <v>0</v>
      </c>
      <c r="V9855" s="42" t="s">
        <v>113</v>
      </c>
      <c r="W9855" s="42">
        <v>76987.509999999995</v>
      </c>
      <c r="X9855" s="42">
        <v>76987.509999999995</v>
      </c>
    </row>
    <row r="9856" spans="1:24">
      <c r="A9856" s="27" t="s">
        <v>17950</v>
      </c>
      <c r="B9856" s="28" t="s">
        <v>17556</v>
      </c>
      <c r="C9856" s="27" t="s">
        <v>17883</v>
      </c>
      <c r="D9856" s="27" t="s">
        <v>17578</v>
      </c>
      <c r="E9856" s="29">
        <v>41271</v>
      </c>
      <c r="F9856" s="27">
        <v>7</v>
      </c>
      <c r="G9856" s="18">
        <v>4632.1899999999996</v>
      </c>
      <c r="H9856" s="27">
        <f t="shared" si="306"/>
        <v>4632.1899999999996</v>
      </c>
      <c r="I9856" s="18">
        <v>4632.1899999999996</v>
      </c>
      <c r="J9856" s="27">
        <v>4632.1899999999996</v>
      </c>
      <c r="K9856" s="18">
        <f t="shared" si="307"/>
        <v>4632.1899999999996</v>
      </c>
      <c r="L9856" s="27">
        <v>4632.1899999999996</v>
      </c>
      <c r="M9856" s="36">
        <v>0</v>
      </c>
      <c r="T9856" s="41">
        <v>0</v>
      </c>
      <c r="U9856" s="41">
        <v>0</v>
      </c>
      <c r="V9856" s="42" t="s">
        <v>113</v>
      </c>
      <c r="W9856" s="42">
        <v>4632.1899999999996</v>
      </c>
      <c r="X9856" s="42">
        <v>4632.1899999999996</v>
      </c>
    </row>
    <row r="9857" spans="1:24">
      <c r="A9857" s="27" t="s">
        <v>17951</v>
      </c>
      <c r="B9857" s="28" t="s">
        <v>17556</v>
      </c>
      <c r="C9857" s="27" t="s">
        <v>17869</v>
      </c>
      <c r="D9857" s="27" t="s">
        <v>17578</v>
      </c>
      <c r="E9857" s="29">
        <v>41271</v>
      </c>
      <c r="F9857" s="27">
        <v>7</v>
      </c>
      <c r="G9857" s="18">
        <v>16571.36</v>
      </c>
      <c r="H9857" s="27">
        <f t="shared" si="306"/>
        <v>0</v>
      </c>
      <c r="I9857" s="18">
        <v>13567.18</v>
      </c>
      <c r="J9857" s="27">
        <v>16571.36</v>
      </c>
      <c r="K9857" s="18">
        <f t="shared" si="307"/>
        <v>16571.36</v>
      </c>
      <c r="L9857" s="27">
        <v>15742.79</v>
      </c>
      <c r="M9857" s="36">
        <v>2175.61</v>
      </c>
      <c r="T9857" s="41">
        <v>0</v>
      </c>
      <c r="U9857" s="41">
        <v>0</v>
      </c>
      <c r="V9857" s="42" t="s">
        <v>113</v>
      </c>
      <c r="W9857" s="42">
        <v>16571.36</v>
      </c>
      <c r="X9857" s="42">
        <v>16571.36</v>
      </c>
    </row>
    <row r="9858" spans="1:24">
      <c r="A9858" s="27" t="s">
        <v>17952</v>
      </c>
      <c r="B9858" s="28" t="s">
        <v>17556</v>
      </c>
      <c r="C9858" s="27" t="s">
        <v>17871</v>
      </c>
      <c r="D9858" s="27" t="s">
        <v>17578</v>
      </c>
      <c r="E9858" s="29">
        <v>41271</v>
      </c>
      <c r="F9858" s="27">
        <v>7</v>
      </c>
      <c r="G9858" s="18">
        <v>5768.42</v>
      </c>
      <c r="H9858" s="27">
        <f t="shared" si="306"/>
        <v>0</v>
      </c>
      <c r="I9858" s="18">
        <v>4722.68</v>
      </c>
      <c r="J9858" s="27">
        <v>5768.42</v>
      </c>
      <c r="K9858" s="18">
        <f t="shared" si="307"/>
        <v>5768.42</v>
      </c>
      <c r="L9858" s="27">
        <v>5480</v>
      </c>
      <c r="M9858" s="36">
        <v>757.32</v>
      </c>
      <c r="T9858" s="41">
        <v>0</v>
      </c>
      <c r="U9858" s="41">
        <v>0</v>
      </c>
      <c r="V9858" s="42" t="s">
        <v>113</v>
      </c>
      <c r="W9858" s="42">
        <v>5768.42</v>
      </c>
      <c r="X9858" s="42">
        <v>5768.42</v>
      </c>
    </row>
    <row r="9859" spans="1:24">
      <c r="A9859" s="27" t="s">
        <v>17953</v>
      </c>
      <c r="B9859" s="28" t="s">
        <v>17556</v>
      </c>
      <c r="C9859" s="27" t="s">
        <v>17867</v>
      </c>
      <c r="D9859" s="27" t="s">
        <v>17578</v>
      </c>
      <c r="E9859" s="29">
        <v>41271</v>
      </c>
      <c r="F9859" s="27">
        <v>7</v>
      </c>
      <c r="G9859" s="18">
        <v>91255.01</v>
      </c>
      <c r="H9859" s="27">
        <f t="shared" si="306"/>
        <v>0</v>
      </c>
      <c r="I9859" s="18">
        <v>74711.61</v>
      </c>
      <c r="J9859" s="27">
        <v>91255.01</v>
      </c>
      <c r="K9859" s="18">
        <f t="shared" si="307"/>
        <v>91255.01</v>
      </c>
      <c r="L9859" s="27">
        <v>86692.26</v>
      </c>
      <c r="M9859" s="36">
        <v>11980.65</v>
      </c>
      <c r="T9859" s="41">
        <v>0</v>
      </c>
      <c r="U9859" s="41">
        <v>0</v>
      </c>
      <c r="V9859" s="42" t="s">
        <v>113</v>
      </c>
      <c r="W9859" s="42">
        <v>91255.01</v>
      </c>
      <c r="X9859" s="42">
        <v>91255.01</v>
      </c>
    </row>
    <row r="9860" spans="1:24">
      <c r="A9860" s="27" t="s">
        <v>17954</v>
      </c>
      <c r="B9860" s="28" t="s">
        <v>17556</v>
      </c>
      <c r="C9860" s="27" t="s">
        <v>17867</v>
      </c>
      <c r="D9860" s="27" t="s">
        <v>17578</v>
      </c>
      <c r="E9860" s="29">
        <v>41271</v>
      </c>
      <c r="F9860" s="27">
        <v>7</v>
      </c>
      <c r="G9860" s="18">
        <v>1838.55</v>
      </c>
      <c r="H9860" s="27">
        <f t="shared" si="306"/>
        <v>1838.55</v>
      </c>
      <c r="I9860" s="18">
        <v>1838.55</v>
      </c>
      <c r="J9860" s="27">
        <v>1838.55</v>
      </c>
      <c r="K9860" s="18">
        <f t="shared" si="307"/>
        <v>1838.55</v>
      </c>
      <c r="L9860" s="27">
        <v>1838.55</v>
      </c>
      <c r="M9860" s="36">
        <v>0</v>
      </c>
      <c r="T9860" s="41">
        <v>0</v>
      </c>
      <c r="U9860" s="41">
        <v>0</v>
      </c>
      <c r="V9860" s="42" t="s">
        <v>113</v>
      </c>
      <c r="W9860" s="42">
        <v>1838.55</v>
      </c>
      <c r="X9860" s="42">
        <v>1838.55</v>
      </c>
    </row>
    <row r="9861" spans="1:24">
      <c r="A9861" s="27" t="s">
        <v>17955</v>
      </c>
      <c r="B9861" s="28" t="s">
        <v>17556</v>
      </c>
      <c r="C9861" s="27" t="s">
        <v>17869</v>
      </c>
      <c r="D9861" s="27" t="s">
        <v>17578</v>
      </c>
      <c r="E9861" s="29">
        <v>41271</v>
      </c>
      <c r="F9861" s="27">
        <v>7</v>
      </c>
      <c r="G9861" s="18">
        <v>11949.13</v>
      </c>
      <c r="H9861" s="27">
        <f t="shared" si="306"/>
        <v>0</v>
      </c>
      <c r="I9861" s="18">
        <v>9782.9</v>
      </c>
      <c r="J9861" s="27">
        <v>11949.13</v>
      </c>
      <c r="K9861" s="18">
        <f t="shared" si="307"/>
        <v>11949.13</v>
      </c>
      <c r="L9861" s="27">
        <v>11351.67</v>
      </c>
      <c r="M9861" s="36">
        <v>1568.77</v>
      </c>
      <c r="T9861" s="41">
        <v>0</v>
      </c>
      <c r="U9861" s="41">
        <v>0</v>
      </c>
      <c r="V9861" s="42" t="s">
        <v>113</v>
      </c>
      <c r="W9861" s="42">
        <v>11949.13</v>
      </c>
      <c r="X9861" s="42">
        <v>11949.13</v>
      </c>
    </row>
    <row r="9862" spans="1:24">
      <c r="A9862" s="27" t="s">
        <v>17956</v>
      </c>
      <c r="B9862" s="28" t="s">
        <v>17556</v>
      </c>
      <c r="C9862" s="27" t="s">
        <v>17871</v>
      </c>
      <c r="D9862" s="27" t="s">
        <v>17578</v>
      </c>
      <c r="E9862" s="29">
        <v>41271</v>
      </c>
      <c r="F9862" s="27">
        <v>7</v>
      </c>
      <c r="G9862" s="18">
        <v>4991.33</v>
      </c>
      <c r="H9862" s="27">
        <f t="shared" ref="H9862:H9925" si="308">IFERROR(IF(ROUND((G9862-I9862)/G9862,2)&lt;=0.05,G9862,0),0)</f>
        <v>0</v>
      </c>
      <c r="I9862" s="18">
        <v>4086.46</v>
      </c>
      <c r="J9862" s="27">
        <v>4991.33</v>
      </c>
      <c r="K9862" s="18">
        <f t="shared" ref="K9862:K9925" si="309">IFERROR(IF(ROUND((J9862-L9862)/J9862,2)&lt;=0.05,J9862,0),0)</f>
        <v>4991.33</v>
      </c>
      <c r="L9862" s="27">
        <v>4741.76</v>
      </c>
      <c r="M9862" s="36">
        <v>655.29999999999995</v>
      </c>
      <c r="T9862" s="41">
        <v>0</v>
      </c>
      <c r="U9862" s="41">
        <v>0</v>
      </c>
      <c r="V9862" s="42" t="s">
        <v>113</v>
      </c>
      <c r="W9862" s="42">
        <v>4991.33</v>
      </c>
      <c r="X9862" s="42">
        <v>4991.33</v>
      </c>
    </row>
    <row r="9863" spans="1:24">
      <c r="A9863" s="27" t="s">
        <v>17957</v>
      </c>
      <c r="B9863" s="28" t="s">
        <v>17556</v>
      </c>
      <c r="C9863" s="27" t="s">
        <v>17867</v>
      </c>
      <c r="D9863" s="27" t="s">
        <v>17578</v>
      </c>
      <c r="E9863" s="29">
        <v>41271</v>
      </c>
      <c r="F9863" s="27">
        <v>7</v>
      </c>
      <c r="G9863" s="18">
        <v>99795.68</v>
      </c>
      <c r="H9863" s="27">
        <f t="shared" si="308"/>
        <v>0</v>
      </c>
      <c r="I9863" s="18">
        <v>81703.97</v>
      </c>
      <c r="J9863" s="27">
        <v>99795.68</v>
      </c>
      <c r="K9863" s="18">
        <f t="shared" si="309"/>
        <v>99795.68</v>
      </c>
      <c r="L9863" s="27">
        <v>94805.9</v>
      </c>
      <c r="M9863" s="36">
        <v>13101.93</v>
      </c>
      <c r="T9863" s="41">
        <v>0</v>
      </c>
      <c r="U9863" s="41">
        <v>0</v>
      </c>
      <c r="V9863" s="42" t="s">
        <v>113</v>
      </c>
      <c r="W9863" s="42">
        <v>99795.68</v>
      </c>
      <c r="X9863" s="42">
        <v>99795.68</v>
      </c>
    </row>
    <row r="9864" spans="1:24">
      <c r="A9864" s="27" t="s">
        <v>17958</v>
      </c>
      <c r="B9864" s="28" t="s">
        <v>17556</v>
      </c>
      <c r="C9864" s="27" t="s">
        <v>17867</v>
      </c>
      <c r="D9864" s="27" t="s">
        <v>17578</v>
      </c>
      <c r="E9864" s="29">
        <v>41271</v>
      </c>
      <c r="F9864" s="27">
        <v>7</v>
      </c>
      <c r="G9864" s="18">
        <v>19603.560000000001</v>
      </c>
      <c r="H9864" s="27">
        <f t="shared" si="308"/>
        <v>0</v>
      </c>
      <c r="I9864" s="18">
        <v>16049.68</v>
      </c>
      <c r="J9864" s="27">
        <v>19603.560000000001</v>
      </c>
      <c r="K9864" s="18">
        <f t="shared" si="309"/>
        <v>19603.560000000001</v>
      </c>
      <c r="L9864" s="27">
        <v>18623.38</v>
      </c>
      <c r="M9864" s="36">
        <v>2573.6999999999998</v>
      </c>
      <c r="T9864" s="41">
        <v>0</v>
      </c>
      <c r="U9864" s="41">
        <v>0</v>
      </c>
      <c r="V9864" s="42" t="s">
        <v>113</v>
      </c>
      <c r="W9864" s="42">
        <v>19603.560000000001</v>
      </c>
      <c r="X9864" s="42">
        <v>19603.560000000001</v>
      </c>
    </row>
    <row r="9865" spans="1:24">
      <c r="A9865" s="27" t="s">
        <v>17959</v>
      </c>
      <c r="B9865" s="28" t="s">
        <v>17556</v>
      </c>
      <c r="C9865" s="27" t="s">
        <v>17869</v>
      </c>
      <c r="D9865" s="27" t="s">
        <v>17578</v>
      </c>
      <c r="E9865" s="29">
        <v>41271</v>
      </c>
      <c r="F9865" s="27">
        <v>7</v>
      </c>
      <c r="G9865" s="18">
        <v>17423.28</v>
      </c>
      <c r="H9865" s="27">
        <f t="shared" si="308"/>
        <v>0</v>
      </c>
      <c r="I9865" s="18">
        <v>14264.66</v>
      </c>
      <c r="J9865" s="27">
        <v>17423.28</v>
      </c>
      <c r="K9865" s="18">
        <f t="shared" si="309"/>
        <v>17423.28</v>
      </c>
      <c r="L9865" s="27">
        <v>16552.12</v>
      </c>
      <c r="M9865" s="36">
        <v>2287.46</v>
      </c>
      <c r="T9865" s="41">
        <v>0</v>
      </c>
      <c r="U9865" s="41">
        <v>0</v>
      </c>
      <c r="V9865" s="42" t="s">
        <v>113</v>
      </c>
      <c r="W9865" s="42">
        <v>17423.28</v>
      </c>
      <c r="X9865" s="42">
        <v>17423.28</v>
      </c>
    </row>
    <row r="9866" spans="1:24">
      <c r="A9866" s="27" t="s">
        <v>17960</v>
      </c>
      <c r="B9866" s="28" t="s">
        <v>17556</v>
      </c>
      <c r="C9866" s="27" t="s">
        <v>17871</v>
      </c>
      <c r="D9866" s="27" t="s">
        <v>17578</v>
      </c>
      <c r="E9866" s="29">
        <v>41271</v>
      </c>
      <c r="F9866" s="27">
        <v>7</v>
      </c>
      <c r="G9866" s="18">
        <v>5458.47</v>
      </c>
      <c r="H9866" s="27">
        <f t="shared" si="308"/>
        <v>0</v>
      </c>
      <c r="I9866" s="18">
        <v>4468.92</v>
      </c>
      <c r="J9866" s="27">
        <v>5458.47</v>
      </c>
      <c r="K9866" s="18">
        <f t="shared" si="309"/>
        <v>5458.47</v>
      </c>
      <c r="L9866" s="27">
        <v>5185.55</v>
      </c>
      <c r="M9866" s="36">
        <v>716.63</v>
      </c>
      <c r="T9866" s="41">
        <v>0</v>
      </c>
      <c r="U9866" s="41">
        <v>0</v>
      </c>
      <c r="V9866" s="42" t="s">
        <v>113</v>
      </c>
      <c r="W9866" s="42">
        <v>5458.47</v>
      </c>
      <c r="X9866" s="42">
        <v>5458.47</v>
      </c>
    </row>
    <row r="9867" spans="1:24">
      <c r="A9867" s="27" t="s">
        <v>17961</v>
      </c>
      <c r="B9867" s="28" t="s">
        <v>17556</v>
      </c>
      <c r="C9867" s="27" t="s">
        <v>17867</v>
      </c>
      <c r="D9867" s="27" t="s">
        <v>17578</v>
      </c>
      <c r="E9867" s="29">
        <v>41271</v>
      </c>
      <c r="F9867" s="27">
        <v>7</v>
      </c>
      <c r="G9867" s="18">
        <v>92312.15</v>
      </c>
      <c r="H9867" s="27">
        <f t="shared" si="308"/>
        <v>0</v>
      </c>
      <c r="I9867" s="18">
        <v>75577.11</v>
      </c>
      <c r="J9867" s="27">
        <v>92312.15</v>
      </c>
      <c r="K9867" s="18">
        <f t="shared" si="309"/>
        <v>92312.15</v>
      </c>
      <c r="L9867" s="27">
        <v>87696.54</v>
      </c>
      <c r="M9867" s="36">
        <v>12119.43</v>
      </c>
      <c r="T9867" s="41">
        <v>0</v>
      </c>
      <c r="U9867" s="41">
        <v>0</v>
      </c>
      <c r="V9867" s="42" t="s">
        <v>113</v>
      </c>
      <c r="W9867" s="42">
        <v>92312.15</v>
      </c>
      <c r="X9867" s="42">
        <v>92312.15</v>
      </c>
    </row>
    <row r="9868" spans="1:24">
      <c r="A9868" s="27" t="s">
        <v>17962</v>
      </c>
      <c r="B9868" s="28" t="s">
        <v>17556</v>
      </c>
      <c r="C9868" s="27" t="s">
        <v>17867</v>
      </c>
      <c r="D9868" s="27" t="s">
        <v>17578</v>
      </c>
      <c r="E9868" s="29">
        <v>41271</v>
      </c>
      <c r="F9868" s="27">
        <v>7</v>
      </c>
      <c r="G9868" s="18">
        <v>22783.14</v>
      </c>
      <c r="H9868" s="27">
        <f t="shared" si="308"/>
        <v>0</v>
      </c>
      <c r="I9868" s="18">
        <v>18652.84</v>
      </c>
      <c r="J9868" s="27">
        <v>22783.14</v>
      </c>
      <c r="K9868" s="18">
        <f t="shared" si="309"/>
        <v>22783.14</v>
      </c>
      <c r="L9868" s="27">
        <v>21643.98</v>
      </c>
      <c r="M9868" s="36">
        <v>2991.14</v>
      </c>
      <c r="T9868" s="41">
        <v>0</v>
      </c>
      <c r="U9868" s="41">
        <v>0</v>
      </c>
      <c r="V9868" s="42" t="s">
        <v>113</v>
      </c>
      <c r="W9868" s="42">
        <v>22783.14</v>
      </c>
      <c r="X9868" s="42">
        <v>22783.14</v>
      </c>
    </row>
    <row r="9869" spans="1:24">
      <c r="A9869" s="27" t="s">
        <v>17963</v>
      </c>
      <c r="B9869" s="28" t="s">
        <v>17556</v>
      </c>
      <c r="C9869" s="27" t="s">
        <v>17883</v>
      </c>
      <c r="D9869" s="27" t="s">
        <v>17578</v>
      </c>
      <c r="E9869" s="29">
        <v>41271</v>
      </c>
      <c r="F9869" s="27">
        <v>7</v>
      </c>
      <c r="G9869" s="18">
        <v>14866.88</v>
      </c>
      <c r="H9869" s="27">
        <f t="shared" si="308"/>
        <v>0</v>
      </c>
      <c r="I9869" s="18">
        <v>12171.71</v>
      </c>
      <c r="J9869" s="27">
        <v>14866.88</v>
      </c>
      <c r="K9869" s="18">
        <f t="shared" si="309"/>
        <v>14866.88</v>
      </c>
      <c r="L9869" s="27">
        <v>14123.54</v>
      </c>
      <c r="M9869" s="36">
        <v>1951.83</v>
      </c>
      <c r="T9869" s="41">
        <v>0</v>
      </c>
      <c r="U9869" s="41">
        <v>0</v>
      </c>
      <c r="V9869" s="42" t="s">
        <v>113</v>
      </c>
      <c r="W9869" s="42">
        <v>14866.88</v>
      </c>
      <c r="X9869" s="42">
        <v>14866.88</v>
      </c>
    </row>
    <row r="9870" spans="1:24">
      <c r="A9870" s="27" t="s">
        <v>17964</v>
      </c>
      <c r="B9870" s="28" t="s">
        <v>17556</v>
      </c>
      <c r="C9870" s="27" t="s">
        <v>17869</v>
      </c>
      <c r="D9870" s="27" t="s">
        <v>17578</v>
      </c>
      <c r="E9870" s="29">
        <v>41271</v>
      </c>
      <c r="F9870" s="27">
        <v>7</v>
      </c>
      <c r="G9870" s="18">
        <v>16116.74</v>
      </c>
      <c r="H9870" s="27">
        <f t="shared" si="308"/>
        <v>0</v>
      </c>
      <c r="I9870" s="18">
        <v>13194.98</v>
      </c>
      <c r="J9870" s="27">
        <v>16116.74</v>
      </c>
      <c r="K9870" s="18">
        <f t="shared" si="309"/>
        <v>16116.74</v>
      </c>
      <c r="L9870" s="27">
        <v>15310.9</v>
      </c>
      <c r="M9870" s="36">
        <v>2115.92</v>
      </c>
      <c r="T9870" s="41">
        <v>0</v>
      </c>
      <c r="U9870" s="41">
        <v>0</v>
      </c>
      <c r="V9870" s="42" t="s">
        <v>113</v>
      </c>
      <c r="W9870" s="42">
        <v>16116.74</v>
      </c>
      <c r="X9870" s="42">
        <v>16116.74</v>
      </c>
    </row>
    <row r="9871" spans="1:24">
      <c r="A9871" s="27" t="s">
        <v>17965</v>
      </c>
      <c r="B9871" s="28" t="s">
        <v>17556</v>
      </c>
      <c r="C9871" s="27" t="s">
        <v>17871</v>
      </c>
      <c r="D9871" s="27" t="s">
        <v>17578</v>
      </c>
      <c r="E9871" s="29">
        <v>41271</v>
      </c>
      <c r="F9871" s="27">
        <v>7</v>
      </c>
      <c r="G9871" s="18">
        <v>5049.1499999999996</v>
      </c>
      <c r="H9871" s="27">
        <f t="shared" si="308"/>
        <v>0</v>
      </c>
      <c r="I9871" s="18">
        <v>4133.8100000000004</v>
      </c>
      <c r="J9871" s="27">
        <v>5049.1499999999996</v>
      </c>
      <c r="K9871" s="18">
        <f t="shared" si="309"/>
        <v>5049.1499999999996</v>
      </c>
      <c r="L9871" s="27">
        <v>4796.6899999999996</v>
      </c>
      <c r="M9871" s="36">
        <v>662.88</v>
      </c>
      <c r="T9871" s="41">
        <v>0</v>
      </c>
      <c r="U9871" s="41">
        <v>0</v>
      </c>
      <c r="V9871" s="42" t="s">
        <v>113</v>
      </c>
      <c r="W9871" s="42">
        <v>5049.1499999999996</v>
      </c>
      <c r="X9871" s="42">
        <v>5049.1499999999996</v>
      </c>
    </row>
    <row r="9872" spans="1:24">
      <c r="A9872" s="27" t="s">
        <v>17966</v>
      </c>
      <c r="B9872" s="28" t="s">
        <v>17556</v>
      </c>
      <c r="C9872" s="27" t="s">
        <v>17867</v>
      </c>
      <c r="D9872" s="27" t="s">
        <v>17578</v>
      </c>
      <c r="E9872" s="29">
        <v>41271</v>
      </c>
      <c r="F9872" s="27">
        <v>7</v>
      </c>
      <c r="G9872" s="18">
        <v>126769.86</v>
      </c>
      <c r="H9872" s="27">
        <f t="shared" si="308"/>
        <v>0</v>
      </c>
      <c r="I9872" s="18">
        <v>103788.06</v>
      </c>
      <c r="J9872" s="27">
        <v>126769.86</v>
      </c>
      <c r="K9872" s="18">
        <f t="shared" si="309"/>
        <v>126769.86</v>
      </c>
      <c r="L9872" s="27">
        <v>120431.37</v>
      </c>
      <c r="M9872" s="36">
        <v>16643.310000000001</v>
      </c>
      <c r="T9872" s="41">
        <v>0</v>
      </c>
      <c r="U9872" s="41">
        <v>0</v>
      </c>
      <c r="V9872" s="42" t="s">
        <v>113</v>
      </c>
      <c r="W9872" s="42">
        <v>126769.86</v>
      </c>
      <c r="X9872" s="42">
        <v>126769.86</v>
      </c>
    </row>
    <row r="9873" spans="1:24">
      <c r="A9873" s="27" t="s">
        <v>17967</v>
      </c>
      <c r="B9873" s="28" t="s">
        <v>17556</v>
      </c>
      <c r="C9873" s="27" t="s">
        <v>17867</v>
      </c>
      <c r="D9873" s="27" t="s">
        <v>17578</v>
      </c>
      <c r="E9873" s="29">
        <v>41271</v>
      </c>
      <c r="F9873" s="27">
        <v>7</v>
      </c>
      <c r="G9873" s="18">
        <v>9478.0400000000009</v>
      </c>
      <c r="H9873" s="27">
        <f t="shared" si="308"/>
        <v>0</v>
      </c>
      <c r="I9873" s="18">
        <v>7759.8</v>
      </c>
      <c r="J9873" s="27">
        <v>9478.0400000000009</v>
      </c>
      <c r="K9873" s="18">
        <f t="shared" si="309"/>
        <v>9478.0400000000009</v>
      </c>
      <c r="L9873" s="27">
        <v>9004.14</v>
      </c>
      <c r="M9873" s="36">
        <v>1244.3399999999999</v>
      </c>
      <c r="T9873" s="41">
        <v>0</v>
      </c>
      <c r="U9873" s="41">
        <v>0</v>
      </c>
      <c r="V9873" s="42" t="s">
        <v>113</v>
      </c>
      <c r="W9873" s="42">
        <v>9478.0400000000009</v>
      </c>
      <c r="X9873" s="42">
        <v>9478.0400000000009</v>
      </c>
    </row>
    <row r="9874" spans="1:24">
      <c r="A9874" s="27" t="s">
        <v>17968</v>
      </c>
      <c r="B9874" s="28" t="s">
        <v>17556</v>
      </c>
      <c r="C9874" s="27" t="s">
        <v>17883</v>
      </c>
      <c r="D9874" s="27" t="s">
        <v>17578</v>
      </c>
      <c r="E9874" s="29">
        <v>41271</v>
      </c>
      <c r="F9874" s="27">
        <v>7</v>
      </c>
      <c r="G9874" s="18">
        <v>1450.02</v>
      </c>
      <c r="H9874" s="27">
        <f t="shared" si="308"/>
        <v>1450.02</v>
      </c>
      <c r="I9874" s="18">
        <v>1450.02</v>
      </c>
      <c r="J9874" s="27">
        <v>1450.02</v>
      </c>
      <c r="K9874" s="18">
        <f t="shared" si="309"/>
        <v>1450.02</v>
      </c>
      <c r="L9874" s="27">
        <v>1450.02</v>
      </c>
      <c r="M9874" s="36">
        <v>0</v>
      </c>
      <c r="T9874" s="41">
        <v>0</v>
      </c>
      <c r="U9874" s="41">
        <v>0</v>
      </c>
      <c r="V9874" s="42" t="s">
        <v>113</v>
      </c>
      <c r="W9874" s="42">
        <v>1450.02</v>
      </c>
      <c r="X9874" s="42">
        <v>1450.02</v>
      </c>
    </row>
    <row r="9875" spans="1:24">
      <c r="A9875" s="27" t="s">
        <v>17969</v>
      </c>
      <c r="B9875" s="28" t="s">
        <v>17556</v>
      </c>
      <c r="C9875" s="27" t="s">
        <v>17869</v>
      </c>
      <c r="D9875" s="27" t="s">
        <v>17578</v>
      </c>
      <c r="E9875" s="29">
        <v>41271</v>
      </c>
      <c r="F9875" s="27">
        <v>7</v>
      </c>
      <c r="G9875" s="18">
        <v>110663.45</v>
      </c>
      <c r="H9875" s="27">
        <f t="shared" si="308"/>
        <v>0</v>
      </c>
      <c r="I9875" s="18">
        <v>90601.55</v>
      </c>
      <c r="J9875" s="27">
        <v>110663.45</v>
      </c>
      <c r="K9875" s="18">
        <f t="shared" si="309"/>
        <v>110663.45</v>
      </c>
      <c r="L9875" s="27">
        <v>105130.28</v>
      </c>
      <c r="M9875" s="36">
        <v>14528.73</v>
      </c>
      <c r="T9875" s="41">
        <v>0</v>
      </c>
      <c r="U9875" s="41">
        <v>0</v>
      </c>
      <c r="V9875" s="42" t="s">
        <v>113</v>
      </c>
      <c r="W9875" s="42">
        <v>110663.45</v>
      </c>
      <c r="X9875" s="42">
        <v>110663.45</v>
      </c>
    </row>
    <row r="9876" spans="1:24">
      <c r="A9876" s="27" t="s">
        <v>17970</v>
      </c>
      <c r="B9876" s="28" t="s">
        <v>17556</v>
      </c>
      <c r="C9876" s="27" t="s">
        <v>17871</v>
      </c>
      <c r="D9876" s="27" t="s">
        <v>17578</v>
      </c>
      <c r="E9876" s="29">
        <v>41271</v>
      </c>
      <c r="F9876" s="27">
        <v>7</v>
      </c>
      <c r="G9876" s="18">
        <v>10834.17</v>
      </c>
      <c r="H9876" s="27">
        <f t="shared" si="308"/>
        <v>0</v>
      </c>
      <c r="I9876" s="18">
        <v>8870.07</v>
      </c>
      <c r="J9876" s="27">
        <v>10834.17</v>
      </c>
      <c r="K9876" s="18">
        <f t="shared" si="309"/>
        <v>10834.17</v>
      </c>
      <c r="L9876" s="27">
        <v>10292.459999999999</v>
      </c>
      <c r="M9876" s="36">
        <v>1422.39</v>
      </c>
      <c r="T9876" s="41">
        <v>0</v>
      </c>
      <c r="U9876" s="41">
        <v>0</v>
      </c>
      <c r="V9876" s="42" t="s">
        <v>113</v>
      </c>
      <c r="W9876" s="42">
        <v>10834.17</v>
      </c>
      <c r="X9876" s="42">
        <v>10834.17</v>
      </c>
    </row>
    <row r="9877" spans="1:24">
      <c r="A9877" s="27" t="s">
        <v>17971</v>
      </c>
      <c r="B9877" s="28" t="s">
        <v>17556</v>
      </c>
      <c r="C9877" s="27" t="s">
        <v>17880</v>
      </c>
      <c r="D9877" s="27" t="s">
        <v>17558</v>
      </c>
      <c r="E9877" s="29">
        <v>41271</v>
      </c>
      <c r="F9877" s="27">
        <v>7</v>
      </c>
      <c r="G9877" s="18">
        <v>23036.29</v>
      </c>
      <c r="H9877" s="27">
        <f t="shared" si="308"/>
        <v>0</v>
      </c>
      <c r="I9877" s="18">
        <v>18860.099999999999</v>
      </c>
      <c r="J9877" s="27">
        <v>23036.29</v>
      </c>
      <c r="K9877" s="18">
        <f t="shared" si="309"/>
        <v>23036.29</v>
      </c>
      <c r="L9877" s="27">
        <v>21884.48</v>
      </c>
      <c r="M9877" s="36">
        <v>3024.38</v>
      </c>
      <c r="T9877" s="41">
        <v>0</v>
      </c>
      <c r="U9877" s="41">
        <v>0</v>
      </c>
      <c r="V9877" s="42" t="s">
        <v>113</v>
      </c>
      <c r="W9877" s="42">
        <v>23036.29</v>
      </c>
      <c r="X9877" s="42">
        <v>23036.29</v>
      </c>
    </row>
    <row r="9878" spans="1:24">
      <c r="A9878" s="27" t="s">
        <v>17972</v>
      </c>
      <c r="B9878" s="28" t="s">
        <v>17556</v>
      </c>
      <c r="C9878" s="27" t="s">
        <v>17895</v>
      </c>
      <c r="D9878" s="27" t="s">
        <v>17558</v>
      </c>
      <c r="E9878" s="29">
        <v>41271</v>
      </c>
      <c r="F9878" s="27">
        <v>7</v>
      </c>
      <c r="G9878" s="18">
        <v>21578.04</v>
      </c>
      <c r="H9878" s="27">
        <f t="shared" si="308"/>
        <v>0</v>
      </c>
      <c r="I9878" s="18">
        <v>17666.21</v>
      </c>
      <c r="J9878" s="27">
        <v>21578.04</v>
      </c>
      <c r="K9878" s="18">
        <f t="shared" si="309"/>
        <v>21578.04</v>
      </c>
      <c r="L9878" s="27">
        <v>20499.14</v>
      </c>
      <c r="M9878" s="36">
        <v>2832.93</v>
      </c>
      <c r="T9878" s="41">
        <v>0</v>
      </c>
      <c r="U9878" s="41">
        <v>0</v>
      </c>
      <c r="V9878" s="42" t="s">
        <v>113</v>
      </c>
      <c r="W9878" s="42">
        <v>21578.04</v>
      </c>
      <c r="X9878" s="42">
        <v>21578.04</v>
      </c>
    </row>
    <row r="9879" spans="1:24">
      <c r="A9879" s="27" t="s">
        <v>17973</v>
      </c>
      <c r="B9879" s="28" t="s">
        <v>17556</v>
      </c>
      <c r="C9879" s="27" t="s">
        <v>17925</v>
      </c>
      <c r="D9879" s="27" t="s">
        <v>17558</v>
      </c>
      <c r="E9879" s="29">
        <v>41271</v>
      </c>
      <c r="F9879" s="27">
        <v>7</v>
      </c>
      <c r="G9879" s="18">
        <v>17285.400000000001</v>
      </c>
      <c r="H9879" s="27">
        <f t="shared" si="308"/>
        <v>0</v>
      </c>
      <c r="I9879" s="18">
        <v>14151.78</v>
      </c>
      <c r="J9879" s="27">
        <v>17285.400000000001</v>
      </c>
      <c r="K9879" s="18">
        <f t="shared" si="309"/>
        <v>17285.400000000001</v>
      </c>
      <c r="L9879" s="27">
        <v>16421.13</v>
      </c>
      <c r="M9879" s="36">
        <v>2269.35</v>
      </c>
      <c r="T9879" s="41">
        <v>0</v>
      </c>
      <c r="U9879" s="41">
        <v>0</v>
      </c>
      <c r="V9879" s="42" t="s">
        <v>113</v>
      </c>
      <c r="W9879" s="42">
        <v>17285.400000000001</v>
      </c>
      <c r="X9879" s="42">
        <v>17285.400000000001</v>
      </c>
    </row>
    <row r="9880" spans="1:24">
      <c r="A9880" s="27" t="s">
        <v>17974</v>
      </c>
      <c r="B9880" s="28" t="s">
        <v>17556</v>
      </c>
      <c r="C9880" s="27" t="s">
        <v>17867</v>
      </c>
      <c r="D9880" s="27" t="s">
        <v>17578</v>
      </c>
      <c r="E9880" s="29">
        <v>41271</v>
      </c>
      <c r="F9880" s="27">
        <v>7</v>
      </c>
      <c r="G9880" s="18">
        <v>59963.83</v>
      </c>
      <c r="H9880" s="27">
        <f t="shared" si="308"/>
        <v>0</v>
      </c>
      <c r="I9880" s="18">
        <v>49093.14</v>
      </c>
      <c r="J9880" s="27">
        <v>59963.83</v>
      </c>
      <c r="K9880" s="18">
        <f t="shared" si="309"/>
        <v>59963.83</v>
      </c>
      <c r="L9880" s="27">
        <v>56965.64</v>
      </c>
      <c r="M9880" s="36">
        <v>7872.5</v>
      </c>
      <c r="T9880" s="41">
        <v>0</v>
      </c>
      <c r="U9880" s="41">
        <v>0</v>
      </c>
      <c r="V9880" s="42" t="s">
        <v>113</v>
      </c>
      <c r="W9880" s="42">
        <v>59963.83</v>
      </c>
      <c r="X9880" s="42">
        <v>59963.83</v>
      </c>
    </row>
    <row r="9881" spans="1:24">
      <c r="A9881" s="27" t="s">
        <v>17975</v>
      </c>
      <c r="B9881" s="28" t="s">
        <v>17556</v>
      </c>
      <c r="C9881" s="27" t="s">
        <v>17883</v>
      </c>
      <c r="D9881" s="27" t="s">
        <v>17578</v>
      </c>
      <c r="E9881" s="29">
        <v>41271</v>
      </c>
      <c r="F9881" s="27">
        <v>7</v>
      </c>
      <c r="G9881" s="18">
        <v>1567.73</v>
      </c>
      <c r="H9881" s="27">
        <f t="shared" si="308"/>
        <v>1567.73</v>
      </c>
      <c r="I9881" s="18">
        <v>1567.73</v>
      </c>
      <c r="J9881" s="27">
        <v>1567.73</v>
      </c>
      <c r="K9881" s="18">
        <f t="shared" si="309"/>
        <v>1567.73</v>
      </c>
      <c r="L9881" s="27">
        <v>1567.73</v>
      </c>
      <c r="M9881" s="36">
        <v>0</v>
      </c>
      <c r="T9881" s="41">
        <v>0</v>
      </c>
      <c r="U9881" s="41">
        <v>0</v>
      </c>
      <c r="V9881" s="42" t="s">
        <v>113</v>
      </c>
      <c r="W9881" s="42">
        <v>1567.73</v>
      </c>
      <c r="X9881" s="42">
        <v>1567.73</v>
      </c>
    </row>
    <row r="9882" spans="1:24">
      <c r="A9882" s="27" t="s">
        <v>17976</v>
      </c>
      <c r="B9882" s="28" t="s">
        <v>17556</v>
      </c>
      <c r="C9882" s="27" t="s">
        <v>17869</v>
      </c>
      <c r="D9882" s="27" t="s">
        <v>17578</v>
      </c>
      <c r="E9882" s="29">
        <v>41271</v>
      </c>
      <c r="F9882" s="27">
        <v>7</v>
      </c>
      <c r="G9882" s="18">
        <v>10282.11</v>
      </c>
      <c r="H9882" s="27">
        <f t="shared" si="308"/>
        <v>0</v>
      </c>
      <c r="I9882" s="18">
        <v>8418.09</v>
      </c>
      <c r="J9882" s="27">
        <v>10282.11</v>
      </c>
      <c r="K9882" s="18">
        <f t="shared" si="309"/>
        <v>10282.11</v>
      </c>
      <c r="L9882" s="27">
        <v>9768</v>
      </c>
      <c r="M9882" s="36">
        <v>1349.91</v>
      </c>
      <c r="T9882" s="41">
        <v>0</v>
      </c>
      <c r="U9882" s="41">
        <v>0</v>
      </c>
      <c r="V9882" s="42" t="s">
        <v>113</v>
      </c>
      <c r="W9882" s="42">
        <v>10282.11</v>
      </c>
      <c r="X9882" s="42">
        <v>10282.11</v>
      </c>
    </row>
    <row r="9883" spans="1:24">
      <c r="A9883" s="27" t="s">
        <v>17977</v>
      </c>
      <c r="B9883" s="28" t="s">
        <v>17556</v>
      </c>
      <c r="C9883" s="27" t="s">
        <v>17871</v>
      </c>
      <c r="D9883" s="27" t="s">
        <v>17578</v>
      </c>
      <c r="E9883" s="29">
        <v>41271</v>
      </c>
      <c r="F9883" s="27">
        <v>7</v>
      </c>
      <c r="G9883" s="18">
        <v>5856.8</v>
      </c>
      <c r="H9883" s="27">
        <f t="shared" si="308"/>
        <v>0</v>
      </c>
      <c r="I9883" s="18">
        <v>4795.04</v>
      </c>
      <c r="J9883" s="27">
        <v>5856.8</v>
      </c>
      <c r="K9883" s="18">
        <f t="shared" si="309"/>
        <v>5856.8</v>
      </c>
      <c r="L9883" s="27">
        <v>5563.96</v>
      </c>
      <c r="M9883" s="36">
        <v>768.92</v>
      </c>
      <c r="T9883" s="41">
        <v>0</v>
      </c>
      <c r="U9883" s="41">
        <v>0</v>
      </c>
      <c r="V9883" s="42" t="s">
        <v>113</v>
      </c>
      <c r="W9883" s="42">
        <v>5856.8</v>
      </c>
      <c r="X9883" s="42">
        <v>5856.8</v>
      </c>
    </row>
    <row r="9884" spans="1:24">
      <c r="A9884" s="27" t="s">
        <v>17978</v>
      </c>
      <c r="B9884" s="28" t="s">
        <v>17556</v>
      </c>
      <c r="C9884" s="27" t="s">
        <v>17867</v>
      </c>
      <c r="D9884" s="27" t="s">
        <v>17578</v>
      </c>
      <c r="E9884" s="29">
        <v>41271</v>
      </c>
      <c r="F9884" s="27">
        <v>7</v>
      </c>
      <c r="G9884" s="18">
        <v>33207.620000000003</v>
      </c>
      <c r="H9884" s="27">
        <f t="shared" si="308"/>
        <v>0</v>
      </c>
      <c r="I9884" s="18">
        <v>27187.5</v>
      </c>
      <c r="J9884" s="27">
        <v>33207.620000000003</v>
      </c>
      <c r="K9884" s="18">
        <f t="shared" si="309"/>
        <v>33207.620000000003</v>
      </c>
      <c r="L9884" s="27">
        <v>31547.24</v>
      </c>
      <c r="M9884" s="36">
        <v>4359.74</v>
      </c>
      <c r="T9884" s="41">
        <v>0</v>
      </c>
      <c r="U9884" s="41">
        <v>0</v>
      </c>
      <c r="V9884" s="42" t="s">
        <v>113</v>
      </c>
      <c r="W9884" s="42">
        <v>33207.620000000003</v>
      </c>
      <c r="X9884" s="42">
        <v>33207.620000000003</v>
      </c>
    </row>
    <row r="9885" spans="1:24">
      <c r="A9885" s="27" t="s">
        <v>17979</v>
      </c>
      <c r="B9885" s="28" t="s">
        <v>17556</v>
      </c>
      <c r="C9885" s="27" t="s">
        <v>17867</v>
      </c>
      <c r="D9885" s="27" t="s">
        <v>17578</v>
      </c>
      <c r="E9885" s="29">
        <v>41271</v>
      </c>
      <c r="F9885" s="27">
        <v>7</v>
      </c>
      <c r="G9885" s="18">
        <v>53975.45</v>
      </c>
      <c r="H9885" s="27">
        <f t="shared" si="308"/>
        <v>0</v>
      </c>
      <c r="I9885" s="18">
        <v>44190.38</v>
      </c>
      <c r="J9885" s="27">
        <v>53975.45</v>
      </c>
      <c r="K9885" s="18">
        <f t="shared" si="309"/>
        <v>53975.45</v>
      </c>
      <c r="L9885" s="27">
        <v>51276.68</v>
      </c>
      <c r="M9885" s="36">
        <v>7086.3</v>
      </c>
      <c r="T9885" s="41">
        <v>0</v>
      </c>
      <c r="U9885" s="41">
        <v>0</v>
      </c>
      <c r="V9885" s="42" t="s">
        <v>113</v>
      </c>
      <c r="W9885" s="42">
        <v>53975.45</v>
      </c>
      <c r="X9885" s="42">
        <v>53975.45</v>
      </c>
    </row>
    <row r="9886" spans="1:24">
      <c r="A9886" s="27" t="s">
        <v>17980</v>
      </c>
      <c r="B9886" s="28" t="s">
        <v>17556</v>
      </c>
      <c r="C9886" s="27" t="s">
        <v>17883</v>
      </c>
      <c r="D9886" s="27" t="s">
        <v>17578</v>
      </c>
      <c r="E9886" s="29">
        <v>41271</v>
      </c>
      <c r="F9886" s="27">
        <v>7</v>
      </c>
      <c r="G9886" s="18">
        <v>1451.32</v>
      </c>
      <c r="H9886" s="27">
        <f t="shared" si="308"/>
        <v>1451.32</v>
      </c>
      <c r="I9886" s="18">
        <v>1451.32</v>
      </c>
      <c r="J9886" s="27">
        <v>1451.32</v>
      </c>
      <c r="K9886" s="18">
        <f t="shared" si="309"/>
        <v>1451.32</v>
      </c>
      <c r="L9886" s="27">
        <v>1451.32</v>
      </c>
      <c r="M9886" s="36">
        <v>0</v>
      </c>
      <c r="T9886" s="41">
        <v>0</v>
      </c>
      <c r="U9886" s="41">
        <v>0</v>
      </c>
      <c r="V9886" s="42" t="s">
        <v>113</v>
      </c>
      <c r="W9886" s="42">
        <v>1451.32</v>
      </c>
      <c r="X9886" s="42">
        <v>1451.32</v>
      </c>
    </row>
    <row r="9887" spans="1:24">
      <c r="A9887" s="27" t="s">
        <v>17981</v>
      </c>
      <c r="B9887" s="28" t="s">
        <v>17556</v>
      </c>
      <c r="C9887" s="27" t="s">
        <v>17869</v>
      </c>
      <c r="D9887" s="27" t="s">
        <v>17578</v>
      </c>
      <c r="E9887" s="29">
        <v>41271</v>
      </c>
      <c r="F9887" s="27">
        <v>7</v>
      </c>
      <c r="G9887" s="18">
        <v>12979.94</v>
      </c>
      <c r="H9887" s="27">
        <f t="shared" si="308"/>
        <v>0</v>
      </c>
      <c r="I9887" s="18">
        <v>10626.84</v>
      </c>
      <c r="J9887" s="27">
        <v>12979.94</v>
      </c>
      <c r="K9887" s="18">
        <f t="shared" si="309"/>
        <v>12979.94</v>
      </c>
      <c r="L9887" s="27">
        <v>12330.94</v>
      </c>
      <c r="M9887" s="36">
        <v>1704.1</v>
      </c>
      <c r="T9887" s="41">
        <v>0</v>
      </c>
      <c r="U9887" s="41">
        <v>0</v>
      </c>
      <c r="V9887" s="42" t="s">
        <v>113</v>
      </c>
      <c r="W9887" s="42">
        <v>12979.94</v>
      </c>
      <c r="X9887" s="42">
        <v>12979.94</v>
      </c>
    </row>
    <row r="9888" spans="1:24">
      <c r="A9888" s="27" t="s">
        <v>17982</v>
      </c>
      <c r="B9888" s="28" t="s">
        <v>17556</v>
      </c>
      <c r="C9888" s="27" t="s">
        <v>17871</v>
      </c>
      <c r="D9888" s="27" t="s">
        <v>17578</v>
      </c>
      <c r="E9888" s="29">
        <v>41271</v>
      </c>
      <c r="F9888" s="27">
        <v>7</v>
      </c>
      <c r="G9888" s="18">
        <v>5421.91</v>
      </c>
      <c r="H9888" s="27">
        <f t="shared" si="308"/>
        <v>0</v>
      </c>
      <c r="I9888" s="18">
        <v>4438.99</v>
      </c>
      <c r="J9888" s="27">
        <v>5421.91</v>
      </c>
      <c r="K9888" s="18">
        <f t="shared" si="309"/>
        <v>5421.91</v>
      </c>
      <c r="L9888" s="27">
        <v>5150.8100000000004</v>
      </c>
      <c r="M9888" s="36">
        <v>711.82</v>
      </c>
      <c r="T9888" s="41">
        <v>0</v>
      </c>
      <c r="U9888" s="41">
        <v>0</v>
      </c>
      <c r="V9888" s="42" t="s">
        <v>113</v>
      </c>
      <c r="W9888" s="42">
        <v>5421.91</v>
      </c>
      <c r="X9888" s="42">
        <v>5421.91</v>
      </c>
    </row>
    <row r="9889" spans="1:24">
      <c r="A9889" s="27" t="s">
        <v>17983</v>
      </c>
      <c r="B9889" s="28" t="s">
        <v>17556</v>
      </c>
      <c r="C9889" s="27" t="s">
        <v>17867</v>
      </c>
      <c r="D9889" s="27" t="s">
        <v>17578</v>
      </c>
      <c r="E9889" s="29">
        <v>41271</v>
      </c>
      <c r="F9889" s="27">
        <v>7</v>
      </c>
      <c r="G9889" s="18">
        <v>24623.27</v>
      </c>
      <c r="H9889" s="27">
        <f t="shared" si="308"/>
        <v>0</v>
      </c>
      <c r="I9889" s="18">
        <v>20159.38</v>
      </c>
      <c r="J9889" s="27">
        <v>24623.27</v>
      </c>
      <c r="K9889" s="18">
        <f t="shared" si="309"/>
        <v>24623.27</v>
      </c>
      <c r="L9889" s="27">
        <v>23392.11</v>
      </c>
      <c r="M9889" s="36">
        <v>3232.73</v>
      </c>
      <c r="T9889" s="41">
        <v>0</v>
      </c>
      <c r="U9889" s="41">
        <v>0</v>
      </c>
      <c r="V9889" s="42" t="s">
        <v>113</v>
      </c>
      <c r="W9889" s="42">
        <v>24623.27</v>
      </c>
      <c r="X9889" s="42">
        <v>24623.27</v>
      </c>
    </row>
    <row r="9890" spans="1:24">
      <c r="A9890" s="27" t="s">
        <v>17984</v>
      </c>
      <c r="B9890" s="28" t="s">
        <v>17556</v>
      </c>
      <c r="C9890" s="27" t="s">
        <v>17869</v>
      </c>
      <c r="D9890" s="27" t="s">
        <v>17578</v>
      </c>
      <c r="E9890" s="29">
        <v>41271</v>
      </c>
      <c r="F9890" s="27">
        <v>7</v>
      </c>
      <c r="G9890" s="18">
        <v>4421.29</v>
      </c>
      <c r="H9890" s="27">
        <f t="shared" si="308"/>
        <v>4421.29</v>
      </c>
      <c r="I9890" s="18">
        <v>4421.29</v>
      </c>
      <c r="J9890" s="27">
        <v>4421.29</v>
      </c>
      <c r="K9890" s="18">
        <f t="shared" si="309"/>
        <v>4421.29</v>
      </c>
      <c r="L9890" s="27">
        <v>4421.29</v>
      </c>
      <c r="M9890" s="36">
        <v>0</v>
      </c>
      <c r="T9890" s="41">
        <v>0</v>
      </c>
      <c r="U9890" s="41">
        <v>0</v>
      </c>
      <c r="V9890" s="42" t="s">
        <v>113</v>
      </c>
      <c r="W9890" s="42">
        <v>4421.29</v>
      </c>
      <c r="X9890" s="42">
        <v>4421.29</v>
      </c>
    </row>
    <row r="9891" spans="1:24">
      <c r="A9891" s="27" t="s">
        <v>17985</v>
      </c>
      <c r="B9891" s="28" t="s">
        <v>17556</v>
      </c>
      <c r="C9891" s="27" t="s">
        <v>17871</v>
      </c>
      <c r="D9891" s="27" t="s">
        <v>17578</v>
      </c>
      <c r="E9891" s="29">
        <v>41271</v>
      </c>
      <c r="F9891" s="27">
        <v>7</v>
      </c>
      <c r="G9891" s="18">
        <v>3078.06</v>
      </c>
      <c r="H9891" s="27">
        <f t="shared" si="308"/>
        <v>3078.06</v>
      </c>
      <c r="I9891" s="18">
        <v>3078.06</v>
      </c>
      <c r="J9891" s="27">
        <v>3078.06</v>
      </c>
      <c r="K9891" s="18">
        <f t="shared" si="309"/>
        <v>3078.06</v>
      </c>
      <c r="L9891" s="27">
        <v>3078.06</v>
      </c>
      <c r="M9891" s="36">
        <v>0</v>
      </c>
      <c r="T9891" s="41">
        <v>0</v>
      </c>
      <c r="U9891" s="41">
        <v>0</v>
      </c>
      <c r="V9891" s="42" t="s">
        <v>113</v>
      </c>
      <c r="W9891" s="42">
        <v>3078.06</v>
      </c>
      <c r="X9891" s="42">
        <v>3078.06</v>
      </c>
    </row>
    <row r="9892" spans="1:24">
      <c r="A9892" s="27" t="s">
        <v>17986</v>
      </c>
      <c r="B9892" s="28" t="s">
        <v>17556</v>
      </c>
      <c r="C9892" s="27" t="s">
        <v>17880</v>
      </c>
      <c r="D9892" s="27" t="s">
        <v>17558</v>
      </c>
      <c r="E9892" s="29">
        <v>41271</v>
      </c>
      <c r="F9892" s="27">
        <v>7</v>
      </c>
      <c r="G9892" s="18">
        <v>2617.91</v>
      </c>
      <c r="H9892" s="27">
        <f t="shared" si="308"/>
        <v>2617.91</v>
      </c>
      <c r="I9892" s="18">
        <v>2617.91</v>
      </c>
      <c r="J9892" s="27">
        <v>2617.91</v>
      </c>
      <c r="K9892" s="18">
        <f t="shared" si="309"/>
        <v>2617.91</v>
      </c>
      <c r="L9892" s="27">
        <v>2617.91</v>
      </c>
      <c r="M9892" s="36">
        <v>0</v>
      </c>
      <c r="T9892" s="41">
        <v>0</v>
      </c>
      <c r="U9892" s="41">
        <v>0</v>
      </c>
      <c r="V9892" s="42" t="s">
        <v>113</v>
      </c>
      <c r="W9892" s="42">
        <v>2617.91</v>
      </c>
      <c r="X9892" s="42">
        <v>2617.91</v>
      </c>
    </row>
    <row r="9893" spans="1:24">
      <c r="A9893" s="27" t="s">
        <v>17987</v>
      </c>
      <c r="B9893" s="28" t="s">
        <v>17556</v>
      </c>
      <c r="C9893" s="27" t="s">
        <v>17867</v>
      </c>
      <c r="D9893" s="27" t="s">
        <v>17578</v>
      </c>
      <c r="E9893" s="29">
        <v>41271</v>
      </c>
      <c r="F9893" s="27">
        <v>7</v>
      </c>
      <c r="G9893" s="18">
        <v>147736.54</v>
      </c>
      <c r="H9893" s="27">
        <f t="shared" si="308"/>
        <v>0</v>
      </c>
      <c r="I9893" s="18">
        <v>120953.74</v>
      </c>
      <c r="J9893" s="27">
        <v>147736.54</v>
      </c>
      <c r="K9893" s="18">
        <f t="shared" si="309"/>
        <v>147736.54</v>
      </c>
      <c r="L9893" s="27">
        <v>140349.71</v>
      </c>
      <c r="M9893" s="36">
        <v>19395.97</v>
      </c>
      <c r="T9893" s="41">
        <v>0</v>
      </c>
      <c r="U9893" s="41">
        <v>0</v>
      </c>
      <c r="V9893" s="42" t="s">
        <v>113</v>
      </c>
      <c r="W9893" s="42">
        <v>147736.54</v>
      </c>
      <c r="X9893" s="42">
        <v>147736.54</v>
      </c>
    </row>
    <row r="9894" spans="1:24">
      <c r="A9894" s="27" t="s">
        <v>17988</v>
      </c>
      <c r="B9894" s="28" t="s">
        <v>17556</v>
      </c>
      <c r="C9894" s="27" t="s">
        <v>17869</v>
      </c>
      <c r="D9894" s="27" t="s">
        <v>17578</v>
      </c>
      <c r="E9894" s="29">
        <v>41271</v>
      </c>
      <c r="F9894" s="27">
        <v>7</v>
      </c>
      <c r="G9894" s="18">
        <v>38189.86</v>
      </c>
      <c r="H9894" s="27">
        <f t="shared" si="308"/>
        <v>0</v>
      </c>
      <c r="I9894" s="18">
        <v>31266.52</v>
      </c>
      <c r="J9894" s="27">
        <v>38189.86</v>
      </c>
      <c r="K9894" s="18">
        <f t="shared" si="309"/>
        <v>38189.86</v>
      </c>
      <c r="L9894" s="27">
        <v>36280.370000000003</v>
      </c>
      <c r="M9894" s="36">
        <v>5013.8500000000004</v>
      </c>
      <c r="T9894" s="41">
        <v>0</v>
      </c>
      <c r="U9894" s="41">
        <v>0</v>
      </c>
      <c r="V9894" s="42" t="s">
        <v>113</v>
      </c>
      <c r="W9894" s="42">
        <v>38189.86</v>
      </c>
      <c r="X9894" s="42">
        <v>38189.86</v>
      </c>
    </row>
    <row r="9895" spans="1:24">
      <c r="A9895" s="27" t="s">
        <v>17989</v>
      </c>
      <c r="B9895" s="28" t="s">
        <v>17556</v>
      </c>
      <c r="C9895" s="27" t="s">
        <v>17871</v>
      </c>
      <c r="D9895" s="27" t="s">
        <v>17578</v>
      </c>
      <c r="E9895" s="29">
        <v>41271</v>
      </c>
      <c r="F9895" s="27">
        <v>7</v>
      </c>
      <c r="G9895" s="18">
        <v>10876.69</v>
      </c>
      <c r="H9895" s="27">
        <f t="shared" si="308"/>
        <v>0</v>
      </c>
      <c r="I9895" s="18">
        <v>8904.89</v>
      </c>
      <c r="J9895" s="27">
        <v>10876.69</v>
      </c>
      <c r="K9895" s="18">
        <f t="shared" si="309"/>
        <v>10876.69</v>
      </c>
      <c r="L9895" s="27">
        <v>10332.86</v>
      </c>
      <c r="M9895" s="36">
        <v>1427.97</v>
      </c>
      <c r="T9895" s="41">
        <v>0</v>
      </c>
      <c r="U9895" s="41">
        <v>0</v>
      </c>
      <c r="V9895" s="42" t="s">
        <v>113</v>
      </c>
      <c r="W9895" s="42">
        <v>10876.69</v>
      </c>
      <c r="X9895" s="42">
        <v>10876.69</v>
      </c>
    </row>
    <row r="9896" spans="1:24">
      <c r="A9896" s="27" t="s">
        <v>17990</v>
      </c>
      <c r="B9896" s="28" t="s">
        <v>17556</v>
      </c>
      <c r="C9896" s="27" t="s">
        <v>17880</v>
      </c>
      <c r="D9896" s="27" t="s">
        <v>17558</v>
      </c>
      <c r="E9896" s="29">
        <v>41271</v>
      </c>
      <c r="F9896" s="27">
        <v>7</v>
      </c>
      <c r="G9896" s="18">
        <v>9250.66</v>
      </c>
      <c r="H9896" s="27">
        <f t="shared" si="308"/>
        <v>0</v>
      </c>
      <c r="I9896" s="18">
        <v>7573.64</v>
      </c>
      <c r="J9896" s="27">
        <v>9250.66</v>
      </c>
      <c r="K9896" s="18">
        <f t="shared" si="309"/>
        <v>9250.66</v>
      </c>
      <c r="L9896" s="27">
        <v>8788.1299999999992</v>
      </c>
      <c r="M9896" s="36">
        <v>1214.49</v>
      </c>
      <c r="T9896" s="41">
        <v>0</v>
      </c>
      <c r="U9896" s="41">
        <v>0</v>
      </c>
      <c r="V9896" s="42" t="s">
        <v>113</v>
      </c>
      <c r="W9896" s="42">
        <v>9250.66</v>
      </c>
      <c r="X9896" s="42">
        <v>9250.66</v>
      </c>
    </row>
    <row r="9897" spans="1:24">
      <c r="A9897" s="27" t="s">
        <v>17991</v>
      </c>
      <c r="B9897" s="28" t="s">
        <v>17556</v>
      </c>
      <c r="C9897" s="27" t="s">
        <v>17867</v>
      </c>
      <c r="D9897" s="27" t="s">
        <v>17578</v>
      </c>
      <c r="E9897" s="29">
        <v>41271</v>
      </c>
      <c r="F9897" s="27">
        <v>7</v>
      </c>
      <c r="G9897" s="18">
        <v>128072.67</v>
      </c>
      <c r="H9897" s="27">
        <f t="shared" si="308"/>
        <v>0</v>
      </c>
      <c r="I9897" s="18">
        <v>104854.69</v>
      </c>
      <c r="J9897" s="27">
        <v>128072.67</v>
      </c>
      <c r="K9897" s="18">
        <f t="shared" si="309"/>
        <v>128072.67</v>
      </c>
      <c r="L9897" s="27">
        <v>121669.04</v>
      </c>
      <c r="M9897" s="36">
        <v>16814.349999999999</v>
      </c>
      <c r="T9897" s="41">
        <v>0</v>
      </c>
      <c r="U9897" s="41">
        <v>0</v>
      </c>
      <c r="V9897" s="42" t="s">
        <v>113</v>
      </c>
      <c r="W9897" s="42">
        <v>128072.67</v>
      </c>
      <c r="X9897" s="42">
        <v>128072.67</v>
      </c>
    </row>
    <row r="9898" spans="1:24">
      <c r="A9898" s="27" t="s">
        <v>17992</v>
      </c>
      <c r="B9898" s="28" t="s">
        <v>17556</v>
      </c>
      <c r="C9898" s="27" t="s">
        <v>17883</v>
      </c>
      <c r="D9898" s="27" t="s">
        <v>17578</v>
      </c>
      <c r="E9898" s="29">
        <v>41271</v>
      </c>
      <c r="F9898" s="27">
        <v>7</v>
      </c>
      <c r="G9898" s="18">
        <v>1245.08</v>
      </c>
      <c r="H9898" s="27">
        <f t="shared" si="308"/>
        <v>1245.08</v>
      </c>
      <c r="I9898" s="18">
        <v>1245.08</v>
      </c>
      <c r="J9898" s="27">
        <v>1245.08</v>
      </c>
      <c r="K9898" s="18">
        <f t="shared" si="309"/>
        <v>1245.08</v>
      </c>
      <c r="L9898" s="27">
        <v>1245.08</v>
      </c>
      <c r="M9898" s="36">
        <v>0</v>
      </c>
      <c r="T9898" s="41">
        <v>0</v>
      </c>
      <c r="U9898" s="41">
        <v>0</v>
      </c>
      <c r="V9898" s="42" t="s">
        <v>113</v>
      </c>
      <c r="W9898" s="42">
        <v>1245.08</v>
      </c>
      <c r="X9898" s="42">
        <v>1245.08</v>
      </c>
    </row>
    <row r="9899" spans="1:24">
      <c r="A9899" s="27" t="s">
        <v>17993</v>
      </c>
      <c r="B9899" s="28" t="s">
        <v>17556</v>
      </c>
      <c r="C9899" s="27" t="s">
        <v>17869</v>
      </c>
      <c r="D9899" s="27" t="s">
        <v>17578</v>
      </c>
      <c r="E9899" s="29">
        <v>41271</v>
      </c>
      <c r="F9899" s="27">
        <v>7</v>
      </c>
      <c r="G9899" s="18">
        <v>8165.97</v>
      </c>
      <c r="H9899" s="27">
        <f t="shared" si="308"/>
        <v>0</v>
      </c>
      <c r="I9899" s="18">
        <v>6685.58</v>
      </c>
      <c r="J9899" s="27">
        <v>8165.97</v>
      </c>
      <c r="K9899" s="18">
        <f t="shared" si="309"/>
        <v>8165.97</v>
      </c>
      <c r="L9899" s="27">
        <v>7757.67</v>
      </c>
      <c r="M9899" s="36">
        <v>1072.0899999999999</v>
      </c>
      <c r="T9899" s="41">
        <v>0</v>
      </c>
      <c r="U9899" s="41">
        <v>0</v>
      </c>
      <c r="V9899" s="42" t="s">
        <v>113</v>
      </c>
      <c r="W9899" s="42">
        <v>8165.97</v>
      </c>
      <c r="X9899" s="42">
        <v>8165.97</v>
      </c>
    </row>
    <row r="9900" spans="1:24">
      <c r="A9900" s="27" t="s">
        <v>17994</v>
      </c>
      <c r="B9900" s="28" t="s">
        <v>17556</v>
      </c>
      <c r="C9900" s="27" t="s">
        <v>17871</v>
      </c>
      <c r="D9900" s="27" t="s">
        <v>17578</v>
      </c>
      <c r="E9900" s="29">
        <v>41271</v>
      </c>
      <c r="F9900" s="27">
        <v>7</v>
      </c>
      <c r="G9900" s="18">
        <v>4651.42</v>
      </c>
      <c r="H9900" s="27">
        <f t="shared" si="308"/>
        <v>4651.42</v>
      </c>
      <c r="I9900" s="18">
        <v>4651.42</v>
      </c>
      <c r="J9900" s="27">
        <v>4651.42</v>
      </c>
      <c r="K9900" s="18">
        <f t="shared" si="309"/>
        <v>4651.42</v>
      </c>
      <c r="L9900" s="27">
        <v>4651.42</v>
      </c>
      <c r="M9900" s="36">
        <v>0</v>
      </c>
      <c r="T9900" s="41">
        <v>0</v>
      </c>
      <c r="U9900" s="41">
        <v>0</v>
      </c>
      <c r="V9900" s="42" t="s">
        <v>113</v>
      </c>
      <c r="W9900" s="42">
        <v>4651.42</v>
      </c>
      <c r="X9900" s="42">
        <v>4651.42</v>
      </c>
    </row>
    <row r="9901" spans="1:24">
      <c r="A9901" s="27" t="s">
        <v>17995</v>
      </c>
      <c r="B9901" s="28" t="s">
        <v>17556</v>
      </c>
      <c r="C9901" s="27" t="s">
        <v>17867</v>
      </c>
      <c r="D9901" s="27" t="s">
        <v>17578</v>
      </c>
      <c r="E9901" s="29">
        <v>41271</v>
      </c>
      <c r="F9901" s="27">
        <v>7</v>
      </c>
      <c r="G9901" s="18">
        <v>87233.08</v>
      </c>
      <c r="H9901" s="27">
        <f t="shared" si="308"/>
        <v>0</v>
      </c>
      <c r="I9901" s="18">
        <v>71418.81</v>
      </c>
      <c r="J9901" s="27">
        <v>87233.08</v>
      </c>
      <c r="K9901" s="18">
        <f t="shared" si="309"/>
        <v>87233.08</v>
      </c>
      <c r="L9901" s="27">
        <v>82871.429999999993</v>
      </c>
      <c r="M9901" s="36">
        <v>11452.62</v>
      </c>
      <c r="T9901" s="41">
        <v>0</v>
      </c>
      <c r="U9901" s="41">
        <v>0</v>
      </c>
      <c r="V9901" s="42" t="s">
        <v>113</v>
      </c>
      <c r="W9901" s="42">
        <v>87233.08</v>
      </c>
      <c r="X9901" s="42">
        <v>87233.08</v>
      </c>
    </row>
    <row r="9902" spans="1:24">
      <c r="A9902" s="27" t="s">
        <v>17996</v>
      </c>
      <c r="B9902" s="28" t="s">
        <v>17556</v>
      </c>
      <c r="C9902" s="27" t="s">
        <v>17883</v>
      </c>
      <c r="D9902" s="27" t="s">
        <v>17578</v>
      </c>
      <c r="E9902" s="29">
        <v>41271</v>
      </c>
      <c r="F9902" s="27">
        <v>7</v>
      </c>
      <c r="G9902" s="18">
        <v>9611.06</v>
      </c>
      <c r="H9902" s="27">
        <f t="shared" si="308"/>
        <v>0</v>
      </c>
      <c r="I9902" s="18">
        <v>7868.7</v>
      </c>
      <c r="J9902" s="27">
        <v>9611.06</v>
      </c>
      <c r="K9902" s="18">
        <f t="shared" si="309"/>
        <v>9611.06</v>
      </c>
      <c r="L9902" s="27">
        <v>9130.51</v>
      </c>
      <c r="M9902" s="36">
        <v>1261.81</v>
      </c>
      <c r="T9902" s="41">
        <v>0</v>
      </c>
      <c r="U9902" s="41">
        <v>0</v>
      </c>
      <c r="V9902" s="42" t="s">
        <v>113</v>
      </c>
      <c r="W9902" s="42">
        <v>9611.06</v>
      </c>
      <c r="X9902" s="42">
        <v>9611.06</v>
      </c>
    </row>
    <row r="9903" spans="1:24">
      <c r="A9903" s="27" t="s">
        <v>17997</v>
      </c>
      <c r="B9903" s="28" t="s">
        <v>17556</v>
      </c>
      <c r="C9903" s="27" t="s">
        <v>17869</v>
      </c>
      <c r="D9903" s="27" t="s">
        <v>17578</v>
      </c>
      <c r="E9903" s="29">
        <v>41271</v>
      </c>
      <c r="F9903" s="27">
        <v>7</v>
      </c>
      <c r="G9903" s="18">
        <v>45843.9</v>
      </c>
      <c r="H9903" s="27">
        <f t="shared" si="308"/>
        <v>0</v>
      </c>
      <c r="I9903" s="18">
        <v>37532.97</v>
      </c>
      <c r="J9903" s="27">
        <v>45843.9</v>
      </c>
      <c r="K9903" s="18">
        <f t="shared" si="309"/>
        <v>45843.9</v>
      </c>
      <c r="L9903" s="27">
        <v>43551.7</v>
      </c>
      <c r="M9903" s="36">
        <v>6018.73</v>
      </c>
      <c r="T9903" s="41">
        <v>0</v>
      </c>
      <c r="U9903" s="41">
        <v>0</v>
      </c>
      <c r="V9903" s="42" t="s">
        <v>113</v>
      </c>
      <c r="W9903" s="42">
        <v>45843.9</v>
      </c>
      <c r="X9903" s="42">
        <v>45843.9</v>
      </c>
    </row>
    <row r="9904" spans="1:24">
      <c r="A9904" s="27" t="s">
        <v>17998</v>
      </c>
      <c r="B9904" s="28" t="s">
        <v>17556</v>
      </c>
      <c r="C9904" s="27" t="s">
        <v>17871</v>
      </c>
      <c r="D9904" s="27" t="s">
        <v>17578</v>
      </c>
      <c r="E9904" s="29">
        <v>41271</v>
      </c>
      <c r="F9904" s="27">
        <v>7</v>
      </c>
      <c r="G9904" s="18">
        <v>11968.55</v>
      </c>
      <c r="H9904" s="27">
        <f t="shared" si="308"/>
        <v>0</v>
      </c>
      <c r="I9904" s="18">
        <v>9798.7999999999993</v>
      </c>
      <c r="J9904" s="27">
        <v>11968.55</v>
      </c>
      <c r="K9904" s="18">
        <f t="shared" si="309"/>
        <v>11968.55</v>
      </c>
      <c r="L9904" s="27">
        <v>11370.12</v>
      </c>
      <c r="M9904" s="36">
        <v>1571.32</v>
      </c>
      <c r="T9904" s="41">
        <v>0</v>
      </c>
      <c r="U9904" s="41">
        <v>0</v>
      </c>
      <c r="V9904" s="42" t="s">
        <v>113</v>
      </c>
      <c r="W9904" s="42">
        <v>11968.55</v>
      </c>
      <c r="X9904" s="42">
        <v>11968.55</v>
      </c>
    </row>
    <row r="9905" spans="1:24">
      <c r="A9905" s="27" t="s">
        <v>17999</v>
      </c>
      <c r="B9905" s="28" t="s">
        <v>17556</v>
      </c>
      <c r="C9905" s="27" t="s">
        <v>17867</v>
      </c>
      <c r="D9905" s="27" t="s">
        <v>17578</v>
      </c>
      <c r="E9905" s="29">
        <v>41271</v>
      </c>
      <c r="F9905" s="27">
        <v>7</v>
      </c>
      <c r="G9905" s="18">
        <v>120177.07</v>
      </c>
      <c r="H9905" s="27">
        <f t="shared" si="308"/>
        <v>0</v>
      </c>
      <c r="I9905" s="18">
        <v>98390.46</v>
      </c>
      <c r="J9905" s="27">
        <v>120177.07</v>
      </c>
      <c r="K9905" s="18">
        <f t="shared" si="309"/>
        <v>120177.07</v>
      </c>
      <c r="L9905" s="27">
        <v>114168.22</v>
      </c>
      <c r="M9905" s="36">
        <v>15777.76</v>
      </c>
      <c r="T9905" s="41">
        <v>0</v>
      </c>
      <c r="U9905" s="41">
        <v>0</v>
      </c>
      <c r="V9905" s="42" t="s">
        <v>113</v>
      </c>
      <c r="W9905" s="42">
        <v>120177.07</v>
      </c>
      <c r="X9905" s="42">
        <v>120177.07</v>
      </c>
    </row>
    <row r="9906" spans="1:24">
      <c r="A9906" s="27" t="s">
        <v>18000</v>
      </c>
      <c r="B9906" s="28" t="s">
        <v>17556</v>
      </c>
      <c r="C9906" s="27" t="s">
        <v>17883</v>
      </c>
      <c r="D9906" s="27" t="s">
        <v>17578</v>
      </c>
      <c r="E9906" s="29">
        <v>41271</v>
      </c>
      <c r="F9906" s="27">
        <v>7</v>
      </c>
      <c r="G9906" s="18">
        <v>5900.76</v>
      </c>
      <c r="H9906" s="27">
        <f t="shared" si="308"/>
        <v>0</v>
      </c>
      <c r="I9906" s="18">
        <v>4831.03</v>
      </c>
      <c r="J9906" s="27">
        <v>5900.76</v>
      </c>
      <c r="K9906" s="18">
        <f t="shared" si="309"/>
        <v>5900.76</v>
      </c>
      <c r="L9906" s="27">
        <v>5605.72</v>
      </c>
      <c r="M9906" s="36">
        <v>774.69</v>
      </c>
      <c r="T9906" s="41">
        <v>0</v>
      </c>
      <c r="U9906" s="41">
        <v>0</v>
      </c>
      <c r="V9906" s="42" t="s">
        <v>113</v>
      </c>
      <c r="W9906" s="42">
        <v>5900.76</v>
      </c>
      <c r="X9906" s="42">
        <v>5900.76</v>
      </c>
    </row>
    <row r="9907" spans="1:24">
      <c r="A9907" s="27" t="s">
        <v>18001</v>
      </c>
      <c r="B9907" s="28" t="s">
        <v>17556</v>
      </c>
      <c r="C9907" s="27" t="s">
        <v>17869</v>
      </c>
      <c r="D9907" s="27" t="s">
        <v>17578</v>
      </c>
      <c r="E9907" s="29">
        <v>41271</v>
      </c>
      <c r="F9907" s="27">
        <v>7</v>
      </c>
      <c r="G9907" s="18">
        <v>28146.09</v>
      </c>
      <c r="H9907" s="27">
        <f t="shared" si="308"/>
        <v>0</v>
      </c>
      <c r="I9907" s="18">
        <v>23043.56</v>
      </c>
      <c r="J9907" s="27">
        <v>28146.09</v>
      </c>
      <c r="K9907" s="18">
        <f t="shared" si="309"/>
        <v>28146.09</v>
      </c>
      <c r="L9907" s="27">
        <v>26738.79</v>
      </c>
      <c r="M9907" s="36">
        <v>3695.23</v>
      </c>
      <c r="T9907" s="41">
        <v>0</v>
      </c>
      <c r="U9907" s="41">
        <v>0</v>
      </c>
      <c r="V9907" s="42" t="s">
        <v>113</v>
      </c>
      <c r="W9907" s="42">
        <v>28146.09</v>
      </c>
      <c r="X9907" s="42">
        <v>28146.09</v>
      </c>
    </row>
    <row r="9908" spans="1:24">
      <c r="A9908" s="27" t="s">
        <v>18002</v>
      </c>
      <c r="B9908" s="28" t="s">
        <v>17556</v>
      </c>
      <c r="C9908" s="27" t="s">
        <v>17871</v>
      </c>
      <c r="D9908" s="27" t="s">
        <v>17578</v>
      </c>
      <c r="E9908" s="29">
        <v>41271</v>
      </c>
      <c r="F9908" s="27">
        <v>7</v>
      </c>
      <c r="G9908" s="18">
        <v>7348.15</v>
      </c>
      <c r="H9908" s="27">
        <f t="shared" si="308"/>
        <v>0</v>
      </c>
      <c r="I9908" s="18">
        <v>6016.03</v>
      </c>
      <c r="J9908" s="27">
        <v>7348.15</v>
      </c>
      <c r="K9908" s="18">
        <f t="shared" si="309"/>
        <v>7348.15</v>
      </c>
      <c r="L9908" s="27">
        <v>6980.74</v>
      </c>
      <c r="M9908" s="36">
        <v>964.71</v>
      </c>
      <c r="T9908" s="41">
        <v>0</v>
      </c>
      <c r="U9908" s="41">
        <v>0</v>
      </c>
      <c r="V9908" s="42" t="s">
        <v>113</v>
      </c>
      <c r="W9908" s="42">
        <v>7348.15</v>
      </c>
      <c r="X9908" s="42">
        <v>7348.15</v>
      </c>
    </row>
    <row r="9909" spans="1:24">
      <c r="A9909" s="27" t="s">
        <v>18003</v>
      </c>
      <c r="B9909" s="28" t="s">
        <v>17556</v>
      </c>
      <c r="C9909" s="27" t="s">
        <v>17867</v>
      </c>
      <c r="D9909" s="27" t="s">
        <v>17578</v>
      </c>
      <c r="E9909" s="29">
        <v>41271</v>
      </c>
      <c r="F9909" s="27">
        <v>7</v>
      </c>
      <c r="G9909" s="18">
        <v>63384.54</v>
      </c>
      <c r="H9909" s="27">
        <f t="shared" si="308"/>
        <v>0</v>
      </c>
      <c r="I9909" s="18">
        <v>51893.71</v>
      </c>
      <c r="J9909" s="27">
        <v>63384.54</v>
      </c>
      <c r="K9909" s="18">
        <f t="shared" si="309"/>
        <v>63384.54</v>
      </c>
      <c r="L9909" s="27">
        <v>60215.31</v>
      </c>
      <c r="M9909" s="36">
        <v>8321.6</v>
      </c>
      <c r="T9909" s="41">
        <v>0</v>
      </c>
      <c r="U9909" s="41">
        <v>0</v>
      </c>
      <c r="V9909" s="42" t="s">
        <v>113</v>
      </c>
      <c r="W9909" s="42">
        <v>63384.54</v>
      </c>
      <c r="X9909" s="42">
        <v>63384.54</v>
      </c>
    </row>
    <row r="9910" spans="1:24">
      <c r="A9910" s="27" t="s">
        <v>18004</v>
      </c>
      <c r="B9910" s="28" t="s">
        <v>17556</v>
      </c>
      <c r="C9910" s="27" t="s">
        <v>17869</v>
      </c>
      <c r="D9910" s="27" t="s">
        <v>17578</v>
      </c>
      <c r="E9910" s="29">
        <v>41271</v>
      </c>
      <c r="F9910" s="27">
        <v>7</v>
      </c>
      <c r="G9910" s="18">
        <v>17451.099999999999</v>
      </c>
      <c r="H9910" s="27">
        <f t="shared" si="308"/>
        <v>0</v>
      </c>
      <c r="I9910" s="18">
        <v>14287.43</v>
      </c>
      <c r="J9910" s="27">
        <v>17451.099999999999</v>
      </c>
      <c r="K9910" s="18">
        <f t="shared" si="309"/>
        <v>17451.099999999999</v>
      </c>
      <c r="L9910" s="27">
        <v>16578.54</v>
      </c>
      <c r="M9910" s="36">
        <v>2291.11</v>
      </c>
      <c r="T9910" s="41">
        <v>0</v>
      </c>
      <c r="U9910" s="41">
        <v>0</v>
      </c>
      <c r="V9910" s="42" t="s">
        <v>113</v>
      </c>
      <c r="W9910" s="42">
        <v>17451.099999999999</v>
      </c>
      <c r="X9910" s="42">
        <v>17451.099999999999</v>
      </c>
    </row>
    <row r="9911" spans="1:24">
      <c r="A9911" s="27" t="s">
        <v>18005</v>
      </c>
      <c r="B9911" s="28" t="s">
        <v>17556</v>
      </c>
      <c r="C9911" s="27" t="s">
        <v>17871</v>
      </c>
      <c r="D9911" s="27" t="s">
        <v>17578</v>
      </c>
      <c r="E9911" s="29">
        <v>41271</v>
      </c>
      <c r="F9911" s="27">
        <v>7</v>
      </c>
      <c r="G9911" s="18">
        <v>4754.08</v>
      </c>
      <c r="H9911" s="27">
        <f t="shared" si="308"/>
        <v>4754.08</v>
      </c>
      <c r="I9911" s="18">
        <v>4754.08</v>
      </c>
      <c r="J9911" s="27">
        <v>4754.08</v>
      </c>
      <c r="K9911" s="18">
        <f t="shared" si="309"/>
        <v>4754.08</v>
      </c>
      <c r="L9911" s="27">
        <v>4754.08</v>
      </c>
      <c r="M9911" s="36">
        <v>0</v>
      </c>
      <c r="T9911" s="41">
        <v>0</v>
      </c>
      <c r="U9911" s="41">
        <v>0</v>
      </c>
      <c r="V9911" s="42" t="s">
        <v>113</v>
      </c>
      <c r="W9911" s="42">
        <v>4754.08</v>
      </c>
      <c r="X9911" s="42">
        <v>4754.08</v>
      </c>
    </row>
    <row r="9912" spans="1:24">
      <c r="A9912" s="27" t="s">
        <v>18006</v>
      </c>
      <c r="B9912" s="28" t="s">
        <v>17556</v>
      </c>
      <c r="C9912" s="27" t="s">
        <v>17867</v>
      </c>
      <c r="D9912" s="27" t="s">
        <v>17578</v>
      </c>
      <c r="E9912" s="29">
        <v>41271</v>
      </c>
      <c r="F9912" s="27">
        <v>7</v>
      </c>
      <c r="G9912" s="18">
        <v>73071.27</v>
      </c>
      <c r="H9912" s="27">
        <f t="shared" si="308"/>
        <v>0</v>
      </c>
      <c r="I9912" s="18">
        <v>59824.36</v>
      </c>
      <c r="J9912" s="27">
        <v>73071.27</v>
      </c>
      <c r="K9912" s="18">
        <f t="shared" si="309"/>
        <v>73071.27</v>
      </c>
      <c r="L9912" s="27">
        <v>69417.710000000006</v>
      </c>
      <c r="M9912" s="36">
        <v>9593.35</v>
      </c>
      <c r="T9912" s="41">
        <v>0</v>
      </c>
      <c r="U9912" s="41">
        <v>0</v>
      </c>
      <c r="V9912" s="42" t="s">
        <v>113</v>
      </c>
      <c r="W9912" s="42">
        <v>73071.27</v>
      </c>
      <c r="X9912" s="42">
        <v>73071.27</v>
      </c>
    </row>
    <row r="9913" spans="1:24">
      <c r="A9913" s="27" t="s">
        <v>18007</v>
      </c>
      <c r="B9913" s="28" t="s">
        <v>17556</v>
      </c>
      <c r="C9913" s="27" t="s">
        <v>17869</v>
      </c>
      <c r="D9913" s="27" t="s">
        <v>17578</v>
      </c>
      <c r="E9913" s="29">
        <v>41271</v>
      </c>
      <c r="F9913" s="27">
        <v>7</v>
      </c>
      <c r="G9913" s="18">
        <v>35783.120000000003</v>
      </c>
      <c r="H9913" s="27">
        <f t="shared" si="308"/>
        <v>0</v>
      </c>
      <c r="I9913" s="18">
        <v>29296.09</v>
      </c>
      <c r="J9913" s="27">
        <v>35783.120000000003</v>
      </c>
      <c r="K9913" s="18">
        <f t="shared" si="309"/>
        <v>35783.120000000003</v>
      </c>
      <c r="L9913" s="27">
        <v>33993.96</v>
      </c>
      <c r="M9913" s="36">
        <v>4697.87</v>
      </c>
      <c r="T9913" s="41">
        <v>0</v>
      </c>
      <c r="U9913" s="41">
        <v>0</v>
      </c>
      <c r="V9913" s="42" t="s">
        <v>113</v>
      </c>
      <c r="W9913" s="42">
        <v>35783.120000000003</v>
      </c>
      <c r="X9913" s="42">
        <v>35783.120000000003</v>
      </c>
    </row>
    <row r="9914" spans="1:24">
      <c r="A9914" s="27" t="s">
        <v>18008</v>
      </c>
      <c r="B9914" s="28" t="s">
        <v>17556</v>
      </c>
      <c r="C9914" s="27" t="s">
        <v>17871</v>
      </c>
      <c r="D9914" s="27" t="s">
        <v>17578</v>
      </c>
      <c r="E9914" s="29">
        <v>41271</v>
      </c>
      <c r="F9914" s="27">
        <v>7</v>
      </c>
      <c r="G9914" s="18">
        <v>4982.38</v>
      </c>
      <c r="H9914" s="27">
        <f t="shared" si="308"/>
        <v>0</v>
      </c>
      <c r="I9914" s="18">
        <v>4079.14</v>
      </c>
      <c r="J9914" s="27">
        <v>4982.38</v>
      </c>
      <c r="K9914" s="18">
        <f t="shared" si="309"/>
        <v>4982.38</v>
      </c>
      <c r="L9914" s="27">
        <v>4733.26</v>
      </c>
      <c r="M9914" s="36">
        <v>654.12</v>
      </c>
      <c r="T9914" s="41">
        <v>0</v>
      </c>
      <c r="U9914" s="41">
        <v>0</v>
      </c>
      <c r="V9914" s="42" t="s">
        <v>113</v>
      </c>
      <c r="W9914" s="42">
        <v>4982.38</v>
      </c>
      <c r="X9914" s="42">
        <v>4982.38</v>
      </c>
    </row>
    <row r="9915" spans="1:24">
      <c r="A9915" s="27" t="s">
        <v>18009</v>
      </c>
      <c r="B9915" s="28" t="s">
        <v>17556</v>
      </c>
      <c r="C9915" s="27" t="s">
        <v>17867</v>
      </c>
      <c r="D9915" s="27" t="s">
        <v>17578</v>
      </c>
      <c r="E9915" s="29">
        <v>41271</v>
      </c>
      <c r="F9915" s="27">
        <v>7</v>
      </c>
      <c r="G9915" s="18">
        <v>66715.55</v>
      </c>
      <c r="H9915" s="27">
        <f t="shared" si="308"/>
        <v>0</v>
      </c>
      <c r="I9915" s="18">
        <v>54620.85</v>
      </c>
      <c r="J9915" s="27">
        <v>66715.55</v>
      </c>
      <c r="K9915" s="18">
        <f t="shared" si="309"/>
        <v>66715.55</v>
      </c>
      <c r="L9915" s="27">
        <v>63379.77</v>
      </c>
      <c r="M9915" s="36">
        <v>8758.92</v>
      </c>
      <c r="T9915" s="41">
        <v>0</v>
      </c>
      <c r="U9915" s="41">
        <v>0</v>
      </c>
      <c r="V9915" s="42" t="s">
        <v>113</v>
      </c>
      <c r="W9915" s="42">
        <v>66715.55</v>
      </c>
      <c r="X9915" s="42">
        <v>66715.55</v>
      </c>
    </row>
    <row r="9916" spans="1:24">
      <c r="A9916" s="27" t="s">
        <v>18010</v>
      </c>
      <c r="B9916" s="28" t="s">
        <v>17556</v>
      </c>
      <c r="C9916" s="27" t="s">
        <v>17883</v>
      </c>
      <c r="D9916" s="27" t="s">
        <v>17578</v>
      </c>
      <c r="E9916" s="29">
        <v>41271</v>
      </c>
      <c r="F9916" s="27">
        <v>7</v>
      </c>
      <c r="G9916" s="18">
        <v>1395.24</v>
      </c>
      <c r="H9916" s="27">
        <f t="shared" si="308"/>
        <v>1395.24</v>
      </c>
      <c r="I9916" s="18">
        <v>1395.24</v>
      </c>
      <c r="J9916" s="27">
        <v>1395.24</v>
      </c>
      <c r="K9916" s="18">
        <f t="shared" si="309"/>
        <v>1395.24</v>
      </c>
      <c r="L9916" s="27">
        <v>1395.24</v>
      </c>
      <c r="M9916" s="36">
        <v>0</v>
      </c>
      <c r="T9916" s="41">
        <v>0</v>
      </c>
      <c r="U9916" s="41">
        <v>0</v>
      </c>
      <c r="V9916" s="42" t="s">
        <v>113</v>
      </c>
      <c r="W9916" s="42">
        <v>1395.24</v>
      </c>
      <c r="X9916" s="42">
        <v>1395.24</v>
      </c>
    </row>
    <row r="9917" spans="1:24">
      <c r="A9917" s="27" t="s">
        <v>18011</v>
      </c>
      <c r="B9917" s="28" t="s">
        <v>17556</v>
      </c>
      <c r="C9917" s="27" t="s">
        <v>17869</v>
      </c>
      <c r="D9917" s="27" t="s">
        <v>17578</v>
      </c>
      <c r="E9917" s="29">
        <v>41271</v>
      </c>
      <c r="F9917" s="27">
        <v>7</v>
      </c>
      <c r="G9917" s="18">
        <v>28284.36</v>
      </c>
      <c r="H9917" s="27">
        <f t="shared" si="308"/>
        <v>0</v>
      </c>
      <c r="I9917" s="18">
        <v>23156.76</v>
      </c>
      <c r="J9917" s="27">
        <v>28284.36</v>
      </c>
      <c r="K9917" s="18">
        <f t="shared" si="309"/>
        <v>28284.36</v>
      </c>
      <c r="L9917" s="27">
        <v>26870.14</v>
      </c>
      <c r="M9917" s="36">
        <v>3713.38</v>
      </c>
      <c r="T9917" s="41">
        <v>0</v>
      </c>
      <c r="U9917" s="41">
        <v>0</v>
      </c>
      <c r="V9917" s="42" t="s">
        <v>113</v>
      </c>
      <c r="W9917" s="42">
        <v>28284.36</v>
      </c>
      <c r="X9917" s="42">
        <v>28284.36</v>
      </c>
    </row>
    <row r="9918" spans="1:24">
      <c r="A9918" s="27" t="s">
        <v>18012</v>
      </c>
      <c r="B9918" s="28" t="s">
        <v>17556</v>
      </c>
      <c r="C9918" s="27" t="s">
        <v>17871</v>
      </c>
      <c r="D9918" s="27" t="s">
        <v>17578</v>
      </c>
      <c r="E9918" s="29">
        <v>41271</v>
      </c>
      <c r="F9918" s="27">
        <v>7</v>
      </c>
      <c r="G9918" s="18">
        <v>5212.41</v>
      </c>
      <c r="H9918" s="27">
        <f t="shared" si="308"/>
        <v>0</v>
      </c>
      <c r="I9918" s="18">
        <v>4267.47</v>
      </c>
      <c r="J9918" s="27">
        <v>5212.41</v>
      </c>
      <c r="K9918" s="18">
        <f t="shared" si="309"/>
        <v>5212.41</v>
      </c>
      <c r="L9918" s="27">
        <v>4951.79</v>
      </c>
      <c r="M9918" s="36">
        <v>684.32</v>
      </c>
      <c r="T9918" s="41">
        <v>0</v>
      </c>
      <c r="U9918" s="41">
        <v>0</v>
      </c>
      <c r="V9918" s="42" t="s">
        <v>113</v>
      </c>
      <c r="W9918" s="42">
        <v>5212.41</v>
      </c>
      <c r="X9918" s="42">
        <v>5212.41</v>
      </c>
    </row>
    <row r="9919" spans="1:24">
      <c r="A9919" s="27" t="s">
        <v>18013</v>
      </c>
      <c r="B9919" s="28" t="s">
        <v>17556</v>
      </c>
      <c r="C9919" s="27" t="s">
        <v>17867</v>
      </c>
      <c r="D9919" s="27" t="s">
        <v>17578</v>
      </c>
      <c r="E9919" s="29">
        <v>41271</v>
      </c>
      <c r="F9919" s="27">
        <v>7</v>
      </c>
      <c r="G9919" s="18">
        <v>83427.42</v>
      </c>
      <c r="H9919" s="27">
        <f t="shared" si="308"/>
        <v>0</v>
      </c>
      <c r="I9919" s="18">
        <v>68303.070000000007</v>
      </c>
      <c r="J9919" s="27">
        <v>83427.42</v>
      </c>
      <c r="K9919" s="18">
        <f t="shared" si="309"/>
        <v>83427.42</v>
      </c>
      <c r="L9919" s="27">
        <v>79256.05</v>
      </c>
      <c r="M9919" s="36">
        <v>10952.98</v>
      </c>
      <c r="T9919" s="41">
        <v>0</v>
      </c>
      <c r="U9919" s="41">
        <v>0</v>
      </c>
      <c r="V9919" s="42" t="s">
        <v>113</v>
      </c>
      <c r="W9919" s="42">
        <v>83427.42</v>
      </c>
      <c r="X9919" s="42">
        <v>83427.42</v>
      </c>
    </row>
    <row r="9920" spans="1:24">
      <c r="A9920" s="27" t="s">
        <v>18014</v>
      </c>
      <c r="B9920" s="28" t="s">
        <v>17556</v>
      </c>
      <c r="C9920" s="27" t="s">
        <v>17869</v>
      </c>
      <c r="D9920" s="27" t="s">
        <v>17578</v>
      </c>
      <c r="E9920" s="29">
        <v>41271</v>
      </c>
      <c r="F9920" s="27">
        <v>7</v>
      </c>
      <c r="G9920" s="18">
        <v>37663.99</v>
      </c>
      <c r="H9920" s="27">
        <f t="shared" si="308"/>
        <v>0</v>
      </c>
      <c r="I9920" s="18">
        <v>30835.98</v>
      </c>
      <c r="J9920" s="27">
        <v>37663.99</v>
      </c>
      <c r="K9920" s="18">
        <f t="shared" si="309"/>
        <v>37663.99</v>
      </c>
      <c r="L9920" s="27">
        <v>35780.79</v>
      </c>
      <c r="M9920" s="36">
        <v>4944.8100000000004</v>
      </c>
      <c r="T9920" s="41">
        <v>0</v>
      </c>
      <c r="U9920" s="41">
        <v>0</v>
      </c>
      <c r="V9920" s="42" t="s">
        <v>113</v>
      </c>
      <c r="W9920" s="42">
        <v>37663.99</v>
      </c>
      <c r="X9920" s="42">
        <v>37663.99</v>
      </c>
    </row>
    <row r="9921" spans="1:24">
      <c r="A9921" s="27" t="s">
        <v>18015</v>
      </c>
      <c r="B9921" s="28" t="s">
        <v>17556</v>
      </c>
      <c r="C9921" s="27" t="s">
        <v>17871</v>
      </c>
      <c r="D9921" s="27" t="s">
        <v>17578</v>
      </c>
      <c r="E9921" s="29">
        <v>41271</v>
      </c>
      <c r="F9921" s="27">
        <v>7</v>
      </c>
      <c r="G9921" s="18">
        <v>5363.46</v>
      </c>
      <c r="H9921" s="27">
        <f t="shared" si="308"/>
        <v>0</v>
      </c>
      <c r="I9921" s="18">
        <v>4391.1400000000003</v>
      </c>
      <c r="J9921" s="27">
        <v>5363.46</v>
      </c>
      <c r="K9921" s="18">
        <f t="shared" si="309"/>
        <v>5363.46</v>
      </c>
      <c r="L9921" s="27">
        <v>5095.29</v>
      </c>
      <c r="M9921" s="36">
        <v>704.15</v>
      </c>
      <c r="T9921" s="41">
        <v>0</v>
      </c>
      <c r="U9921" s="41">
        <v>0</v>
      </c>
      <c r="V9921" s="42" t="s">
        <v>113</v>
      </c>
      <c r="W9921" s="42">
        <v>5363.46</v>
      </c>
      <c r="X9921" s="42">
        <v>5363.46</v>
      </c>
    </row>
    <row r="9922" spans="1:24">
      <c r="A9922" s="27" t="s">
        <v>18016</v>
      </c>
      <c r="B9922" s="28" t="s">
        <v>17556</v>
      </c>
      <c r="C9922" s="27" t="s">
        <v>17867</v>
      </c>
      <c r="D9922" s="27" t="s">
        <v>17578</v>
      </c>
      <c r="E9922" s="29">
        <v>41271</v>
      </c>
      <c r="F9922" s="27">
        <v>7</v>
      </c>
      <c r="G9922" s="18">
        <v>42581.94</v>
      </c>
      <c r="H9922" s="27">
        <f t="shared" si="308"/>
        <v>0</v>
      </c>
      <c r="I9922" s="18">
        <v>34862.36</v>
      </c>
      <c r="J9922" s="27">
        <v>42581.94</v>
      </c>
      <c r="K9922" s="18">
        <f t="shared" si="309"/>
        <v>42581.94</v>
      </c>
      <c r="L9922" s="27">
        <v>40452.839999999997</v>
      </c>
      <c r="M9922" s="36">
        <v>5590.48</v>
      </c>
      <c r="T9922" s="41">
        <v>0</v>
      </c>
      <c r="U9922" s="41">
        <v>0</v>
      </c>
      <c r="V9922" s="42" t="s">
        <v>113</v>
      </c>
      <c r="W9922" s="42">
        <v>42581.94</v>
      </c>
      <c r="X9922" s="42">
        <v>42581.94</v>
      </c>
    </row>
    <row r="9923" spans="1:24">
      <c r="A9923" s="27" t="s">
        <v>18017</v>
      </c>
      <c r="B9923" s="28" t="s">
        <v>17556</v>
      </c>
      <c r="C9923" s="27" t="s">
        <v>17869</v>
      </c>
      <c r="D9923" s="27" t="s">
        <v>17578</v>
      </c>
      <c r="E9923" s="29">
        <v>41271</v>
      </c>
      <c r="F9923" s="27">
        <v>7</v>
      </c>
      <c r="G9923" s="18">
        <v>14517.53</v>
      </c>
      <c r="H9923" s="27">
        <f t="shared" si="308"/>
        <v>0</v>
      </c>
      <c r="I9923" s="18">
        <v>11885.68</v>
      </c>
      <c r="J9923" s="27">
        <v>14517.53</v>
      </c>
      <c r="K9923" s="18">
        <f t="shared" si="309"/>
        <v>14517.53</v>
      </c>
      <c r="L9923" s="27">
        <v>13791.65</v>
      </c>
      <c r="M9923" s="36">
        <v>1905.97</v>
      </c>
      <c r="T9923" s="41">
        <v>0</v>
      </c>
      <c r="U9923" s="41">
        <v>0</v>
      </c>
      <c r="V9923" s="42" t="s">
        <v>113</v>
      </c>
      <c r="W9923" s="42">
        <v>14517.53</v>
      </c>
      <c r="X9923" s="42">
        <v>14517.53</v>
      </c>
    </row>
    <row r="9924" spans="1:24">
      <c r="A9924" s="27" t="s">
        <v>18018</v>
      </c>
      <c r="B9924" s="28" t="s">
        <v>17556</v>
      </c>
      <c r="C9924" s="27" t="s">
        <v>17871</v>
      </c>
      <c r="D9924" s="27" t="s">
        <v>17578</v>
      </c>
      <c r="E9924" s="29">
        <v>41271</v>
      </c>
      <c r="F9924" s="27">
        <v>7</v>
      </c>
      <c r="G9924" s="18">
        <v>6064.18</v>
      </c>
      <c r="H9924" s="27">
        <f t="shared" si="308"/>
        <v>0</v>
      </c>
      <c r="I9924" s="18">
        <v>4964.82</v>
      </c>
      <c r="J9924" s="27">
        <v>6064.18</v>
      </c>
      <c r="K9924" s="18">
        <f t="shared" si="309"/>
        <v>6064.18</v>
      </c>
      <c r="L9924" s="27">
        <v>5760.97</v>
      </c>
      <c r="M9924" s="36">
        <v>796.15</v>
      </c>
      <c r="T9924" s="41">
        <v>0</v>
      </c>
      <c r="U9924" s="41">
        <v>0</v>
      </c>
      <c r="V9924" s="42" t="s">
        <v>113</v>
      </c>
      <c r="W9924" s="42">
        <v>6064.18</v>
      </c>
      <c r="X9924" s="42">
        <v>6064.18</v>
      </c>
    </row>
    <row r="9925" spans="1:24">
      <c r="A9925" s="27" t="s">
        <v>18019</v>
      </c>
      <c r="B9925" s="28" t="s">
        <v>17556</v>
      </c>
      <c r="C9925" s="27" t="s">
        <v>17867</v>
      </c>
      <c r="D9925" s="27" t="s">
        <v>17578</v>
      </c>
      <c r="E9925" s="29">
        <v>41271</v>
      </c>
      <c r="F9925" s="27">
        <v>7</v>
      </c>
      <c r="G9925" s="18">
        <v>41563.79</v>
      </c>
      <c r="H9925" s="27">
        <f t="shared" si="308"/>
        <v>0</v>
      </c>
      <c r="I9925" s="18">
        <v>34028.79</v>
      </c>
      <c r="J9925" s="27">
        <v>41563.79</v>
      </c>
      <c r="K9925" s="18">
        <f t="shared" si="309"/>
        <v>41563.79</v>
      </c>
      <c r="L9925" s="27">
        <v>39485.599999999999</v>
      </c>
      <c r="M9925" s="36">
        <v>5456.81</v>
      </c>
      <c r="T9925" s="41">
        <v>0</v>
      </c>
      <c r="U9925" s="41">
        <v>0</v>
      </c>
      <c r="V9925" s="42" t="s">
        <v>113</v>
      </c>
      <c r="W9925" s="42">
        <v>41563.79</v>
      </c>
      <c r="X9925" s="42">
        <v>41563.79</v>
      </c>
    </row>
    <row r="9926" spans="1:24">
      <c r="A9926" s="27" t="s">
        <v>18020</v>
      </c>
      <c r="B9926" s="28" t="s">
        <v>17556</v>
      </c>
      <c r="C9926" s="27" t="s">
        <v>17869</v>
      </c>
      <c r="D9926" s="27" t="s">
        <v>17578</v>
      </c>
      <c r="E9926" s="29">
        <v>41271</v>
      </c>
      <c r="F9926" s="27">
        <v>7</v>
      </c>
      <c r="G9926" s="18">
        <v>14352.08</v>
      </c>
      <c r="H9926" s="27">
        <f t="shared" ref="H9926:H9989" si="310">IFERROR(IF(ROUND((G9926-I9926)/G9926,2)&lt;=0.05,G9926,0),0)</f>
        <v>0</v>
      </c>
      <c r="I9926" s="18">
        <v>11750.23</v>
      </c>
      <c r="J9926" s="27">
        <v>14352.08</v>
      </c>
      <c r="K9926" s="18">
        <f t="shared" ref="K9926:K9989" si="311">IFERROR(IF(ROUND((J9926-L9926)/J9926,2)&lt;=0.05,J9926,0),0)</f>
        <v>14352.08</v>
      </c>
      <c r="L9926" s="27">
        <v>13634.48</v>
      </c>
      <c r="M9926" s="36">
        <v>1884.25</v>
      </c>
      <c r="T9926" s="41">
        <v>0</v>
      </c>
      <c r="U9926" s="41">
        <v>0</v>
      </c>
      <c r="V9926" s="42" t="s">
        <v>113</v>
      </c>
      <c r="W9926" s="42">
        <v>14352.08</v>
      </c>
      <c r="X9926" s="42">
        <v>14352.08</v>
      </c>
    </row>
    <row r="9927" spans="1:24">
      <c r="A9927" s="27" t="s">
        <v>18021</v>
      </c>
      <c r="B9927" s="28" t="s">
        <v>17556</v>
      </c>
      <c r="C9927" s="27" t="s">
        <v>17871</v>
      </c>
      <c r="D9927" s="27" t="s">
        <v>17578</v>
      </c>
      <c r="E9927" s="29">
        <v>41271</v>
      </c>
      <c r="F9927" s="27">
        <v>7</v>
      </c>
      <c r="G9927" s="18">
        <v>5995.08</v>
      </c>
      <c r="H9927" s="27">
        <f t="shared" si="310"/>
        <v>0</v>
      </c>
      <c r="I9927" s="18">
        <v>4908.25</v>
      </c>
      <c r="J9927" s="27">
        <v>5995.08</v>
      </c>
      <c r="K9927" s="18">
        <f t="shared" si="311"/>
        <v>5995.08</v>
      </c>
      <c r="L9927" s="27">
        <v>5695.33</v>
      </c>
      <c r="M9927" s="36">
        <v>787.08</v>
      </c>
      <c r="T9927" s="41">
        <v>0</v>
      </c>
      <c r="U9927" s="41">
        <v>0</v>
      </c>
      <c r="V9927" s="42" t="s">
        <v>113</v>
      </c>
      <c r="W9927" s="42">
        <v>5995.08</v>
      </c>
      <c r="X9927" s="42">
        <v>5995.08</v>
      </c>
    </row>
    <row r="9928" spans="1:24">
      <c r="A9928" s="27" t="s">
        <v>18022</v>
      </c>
      <c r="B9928" s="28" t="s">
        <v>17556</v>
      </c>
      <c r="C9928" s="27" t="s">
        <v>17867</v>
      </c>
      <c r="D9928" s="27" t="s">
        <v>17578</v>
      </c>
      <c r="E9928" s="29">
        <v>41271</v>
      </c>
      <c r="F9928" s="27">
        <v>7</v>
      </c>
      <c r="G9928" s="18">
        <v>229152.99</v>
      </c>
      <c r="H9928" s="27">
        <f t="shared" si="310"/>
        <v>0</v>
      </c>
      <c r="I9928" s="18">
        <v>187610.4</v>
      </c>
      <c r="J9928" s="27">
        <v>229152.99</v>
      </c>
      <c r="K9928" s="18">
        <f t="shared" si="311"/>
        <v>229152.99</v>
      </c>
      <c r="L9928" s="27">
        <v>217695.34</v>
      </c>
      <c r="M9928" s="36">
        <v>30084.94</v>
      </c>
      <c r="T9928" s="41">
        <v>0</v>
      </c>
      <c r="U9928" s="41">
        <v>0</v>
      </c>
      <c r="V9928" s="42" t="s">
        <v>113</v>
      </c>
      <c r="W9928" s="42">
        <v>229152.99</v>
      </c>
      <c r="X9928" s="42">
        <v>229152.99</v>
      </c>
    </row>
    <row r="9929" spans="1:24">
      <c r="A9929" s="27" t="s">
        <v>18023</v>
      </c>
      <c r="B9929" s="28" t="s">
        <v>17556</v>
      </c>
      <c r="C9929" s="27" t="s">
        <v>17869</v>
      </c>
      <c r="D9929" s="27" t="s">
        <v>17578</v>
      </c>
      <c r="E9929" s="29">
        <v>41271</v>
      </c>
      <c r="F9929" s="27">
        <v>7</v>
      </c>
      <c r="G9929" s="18">
        <v>191526.29</v>
      </c>
      <c r="H9929" s="27">
        <f t="shared" si="310"/>
        <v>0</v>
      </c>
      <c r="I9929" s="18">
        <v>156804.96</v>
      </c>
      <c r="J9929" s="27">
        <v>191526.29</v>
      </c>
      <c r="K9929" s="18">
        <f t="shared" si="311"/>
        <v>191526.29</v>
      </c>
      <c r="L9929" s="27">
        <v>181949.98</v>
      </c>
      <c r="M9929" s="36">
        <v>25145.02</v>
      </c>
      <c r="T9929" s="41">
        <v>0</v>
      </c>
      <c r="U9929" s="41">
        <v>0</v>
      </c>
      <c r="V9929" s="42" t="s">
        <v>113</v>
      </c>
      <c r="W9929" s="42">
        <v>191526.29</v>
      </c>
      <c r="X9929" s="42">
        <v>191526.29</v>
      </c>
    </row>
    <row r="9930" spans="1:24">
      <c r="A9930" s="27" t="s">
        <v>18024</v>
      </c>
      <c r="B9930" s="28" t="s">
        <v>17556</v>
      </c>
      <c r="C9930" s="27" t="s">
        <v>17871</v>
      </c>
      <c r="D9930" s="27" t="s">
        <v>17578</v>
      </c>
      <c r="E9930" s="29">
        <v>41271</v>
      </c>
      <c r="F9930" s="27">
        <v>7</v>
      </c>
      <c r="G9930" s="18">
        <v>28709.360000000001</v>
      </c>
      <c r="H9930" s="27">
        <f t="shared" si="310"/>
        <v>0</v>
      </c>
      <c r="I9930" s="18">
        <v>23504.71</v>
      </c>
      <c r="J9930" s="27">
        <v>28709.360000000001</v>
      </c>
      <c r="K9930" s="18">
        <f t="shared" si="311"/>
        <v>28709.360000000001</v>
      </c>
      <c r="L9930" s="27">
        <v>27273.89</v>
      </c>
      <c r="M9930" s="36">
        <v>3769.18</v>
      </c>
      <c r="T9930" s="41">
        <v>0</v>
      </c>
      <c r="U9930" s="41">
        <v>0</v>
      </c>
      <c r="V9930" s="42" t="s">
        <v>113</v>
      </c>
      <c r="W9930" s="42">
        <v>28709.360000000001</v>
      </c>
      <c r="X9930" s="42">
        <v>28709.360000000001</v>
      </c>
    </row>
    <row r="9931" spans="1:24">
      <c r="A9931" s="27" t="s">
        <v>18025</v>
      </c>
      <c r="B9931" s="28" t="s">
        <v>17556</v>
      </c>
      <c r="C9931" s="27" t="s">
        <v>17880</v>
      </c>
      <c r="D9931" s="27" t="s">
        <v>17558</v>
      </c>
      <c r="E9931" s="29">
        <v>41271</v>
      </c>
      <c r="F9931" s="27">
        <v>7</v>
      </c>
      <c r="G9931" s="18">
        <v>380912.05</v>
      </c>
      <c r="H9931" s="27">
        <f t="shared" si="310"/>
        <v>0</v>
      </c>
      <c r="I9931" s="18">
        <v>311857.43</v>
      </c>
      <c r="J9931" s="27">
        <v>380912.05</v>
      </c>
      <c r="K9931" s="18">
        <f t="shared" si="311"/>
        <v>380912.05</v>
      </c>
      <c r="L9931" s="27">
        <v>361866.45</v>
      </c>
      <c r="M9931" s="36">
        <v>50009.02</v>
      </c>
      <c r="T9931" s="41">
        <v>0</v>
      </c>
      <c r="U9931" s="41">
        <v>0</v>
      </c>
      <c r="V9931" s="42" t="s">
        <v>113</v>
      </c>
      <c r="W9931" s="42">
        <v>380912.05</v>
      </c>
      <c r="X9931" s="42">
        <v>380912.05</v>
      </c>
    </row>
    <row r="9932" spans="1:24">
      <c r="A9932" s="27" t="s">
        <v>18026</v>
      </c>
      <c r="B9932" s="28" t="s">
        <v>17556</v>
      </c>
      <c r="C9932" s="27" t="s">
        <v>17895</v>
      </c>
      <c r="D9932" s="27" t="s">
        <v>17558</v>
      </c>
      <c r="E9932" s="29">
        <v>41271</v>
      </c>
      <c r="F9932" s="27">
        <v>7</v>
      </c>
      <c r="G9932" s="18">
        <v>45743.55</v>
      </c>
      <c r="H9932" s="27">
        <f t="shared" si="310"/>
        <v>0</v>
      </c>
      <c r="I9932" s="18">
        <v>37450.81</v>
      </c>
      <c r="J9932" s="27">
        <v>45743.55</v>
      </c>
      <c r="K9932" s="18">
        <f t="shared" si="311"/>
        <v>45743.55</v>
      </c>
      <c r="L9932" s="27">
        <v>43456.37</v>
      </c>
      <c r="M9932" s="36">
        <v>6005.56</v>
      </c>
      <c r="T9932" s="41">
        <v>0</v>
      </c>
      <c r="U9932" s="41">
        <v>0</v>
      </c>
      <c r="V9932" s="42" t="s">
        <v>113</v>
      </c>
      <c r="W9932" s="42">
        <v>45743.55</v>
      </c>
      <c r="X9932" s="42">
        <v>45743.55</v>
      </c>
    </row>
    <row r="9933" spans="1:24">
      <c r="A9933" s="27" t="s">
        <v>18027</v>
      </c>
      <c r="B9933" s="28" t="s">
        <v>17556</v>
      </c>
      <c r="C9933" s="27" t="s">
        <v>17867</v>
      </c>
      <c r="D9933" s="27" t="s">
        <v>17578</v>
      </c>
      <c r="E9933" s="29">
        <v>41271</v>
      </c>
      <c r="F9933" s="27">
        <v>7</v>
      </c>
      <c r="G9933" s="18">
        <v>26961.919999999998</v>
      </c>
      <c r="H9933" s="27">
        <f t="shared" si="310"/>
        <v>0</v>
      </c>
      <c r="I9933" s="18">
        <v>22074.06</v>
      </c>
      <c r="J9933" s="27">
        <v>26961.919999999998</v>
      </c>
      <c r="K9933" s="18">
        <f t="shared" si="311"/>
        <v>26961.919999999998</v>
      </c>
      <c r="L9933" s="27">
        <v>25613.82</v>
      </c>
      <c r="M9933" s="36">
        <v>3539.76</v>
      </c>
      <c r="T9933" s="41">
        <v>0</v>
      </c>
      <c r="U9933" s="41">
        <v>0</v>
      </c>
      <c r="V9933" s="42" t="s">
        <v>113</v>
      </c>
      <c r="W9933" s="42">
        <v>26961.919999999998</v>
      </c>
      <c r="X9933" s="42">
        <v>26961.919999999998</v>
      </c>
    </row>
    <row r="9934" spans="1:24">
      <c r="A9934" s="27" t="s">
        <v>18028</v>
      </c>
      <c r="B9934" s="28" t="s">
        <v>17556</v>
      </c>
      <c r="C9934" s="27" t="s">
        <v>17869</v>
      </c>
      <c r="D9934" s="27" t="s">
        <v>17578</v>
      </c>
      <c r="E9934" s="29">
        <v>41271</v>
      </c>
      <c r="F9934" s="27">
        <v>7</v>
      </c>
      <c r="G9934" s="18">
        <v>6916.01</v>
      </c>
      <c r="H9934" s="27">
        <f t="shared" si="310"/>
        <v>0</v>
      </c>
      <c r="I9934" s="18">
        <v>5662.23</v>
      </c>
      <c r="J9934" s="27">
        <v>6916.01</v>
      </c>
      <c r="K9934" s="18">
        <f t="shared" si="311"/>
        <v>6916.01</v>
      </c>
      <c r="L9934" s="27">
        <v>6570.21</v>
      </c>
      <c r="M9934" s="36">
        <v>907.98</v>
      </c>
      <c r="T9934" s="41">
        <v>0</v>
      </c>
      <c r="U9934" s="41">
        <v>0</v>
      </c>
      <c r="V9934" s="42" t="s">
        <v>113</v>
      </c>
      <c r="W9934" s="42">
        <v>6916.01</v>
      </c>
      <c r="X9934" s="42">
        <v>6916.01</v>
      </c>
    </row>
    <row r="9935" spans="1:24">
      <c r="A9935" s="27" t="s">
        <v>18029</v>
      </c>
      <c r="B9935" s="28" t="s">
        <v>17556</v>
      </c>
      <c r="C9935" s="27" t="s">
        <v>17871</v>
      </c>
      <c r="D9935" s="27" t="s">
        <v>17578</v>
      </c>
      <c r="E9935" s="29">
        <v>41271</v>
      </c>
      <c r="F9935" s="27">
        <v>7</v>
      </c>
      <c r="G9935" s="18">
        <v>6190.54</v>
      </c>
      <c r="H9935" s="27">
        <f t="shared" si="310"/>
        <v>0</v>
      </c>
      <c r="I9935" s="18">
        <v>5068.2700000000004</v>
      </c>
      <c r="J9935" s="27">
        <v>6190.54</v>
      </c>
      <c r="K9935" s="18">
        <f t="shared" si="311"/>
        <v>6190.54</v>
      </c>
      <c r="L9935" s="27">
        <v>5881.01</v>
      </c>
      <c r="M9935" s="36">
        <v>812.74</v>
      </c>
      <c r="T9935" s="41">
        <v>0</v>
      </c>
      <c r="U9935" s="41">
        <v>0</v>
      </c>
      <c r="V9935" s="42" t="s">
        <v>113</v>
      </c>
      <c r="W9935" s="42">
        <v>6190.54</v>
      </c>
      <c r="X9935" s="42">
        <v>6190.54</v>
      </c>
    </row>
    <row r="9936" spans="1:24">
      <c r="A9936" s="27" t="s">
        <v>18030</v>
      </c>
      <c r="B9936" s="28" t="s">
        <v>17556</v>
      </c>
      <c r="C9936" s="27" t="s">
        <v>17867</v>
      </c>
      <c r="D9936" s="27" t="s">
        <v>17578</v>
      </c>
      <c r="E9936" s="29">
        <v>41271</v>
      </c>
      <c r="F9936" s="27">
        <v>7</v>
      </c>
      <c r="G9936" s="18">
        <v>38304.730000000003</v>
      </c>
      <c r="H9936" s="27">
        <f t="shared" si="310"/>
        <v>0</v>
      </c>
      <c r="I9936" s="18">
        <v>31360.560000000001</v>
      </c>
      <c r="J9936" s="27">
        <v>38304.730000000003</v>
      </c>
      <c r="K9936" s="18">
        <f t="shared" si="311"/>
        <v>38304.730000000003</v>
      </c>
      <c r="L9936" s="27">
        <v>36389.49</v>
      </c>
      <c r="M9936" s="36">
        <v>5028.93</v>
      </c>
      <c r="T9936" s="41">
        <v>0</v>
      </c>
      <c r="U9936" s="41">
        <v>0</v>
      </c>
      <c r="V9936" s="42" t="s">
        <v>113</v>
      </c>
      <c r="W9936" s="42">
        <v>38304.730000000003</v>
      </c>
      <c r="X9936" s="42">
        <v>38304.730000000003</v>
      </c>
    </row>
    <row r="9937" spans="1:24">
      <c r="A9937" s="27" t="s">
        <v>18031</v>
      </c>
      <c r="B9937" s="28" t="s">
        <v>17556</v>
      </c>
      <c r="C9937" s="27" t="s">
        <v>17883</v>
      </c>
      <c r="D9937" s="27" t="s">
        <v>17578</v>
      </c>
      <c r="E9937" s="29">
        <v>41271</v>
      </c>
      <c r="F9937" s="27">
        <v>7</v>
      </c>
      <c r="G9937" s="18">
        <v>2116.6</v>
      </c>
      <c r="H9937" s="27">
        <f t="shared" si="310"/>
        <v>2116.6</v>
      </c>
      <c r="I9937" s="18">
        <v>2116.6</v>
      </c>
      <c r="J9937" s="27">
        <v>2116.6</v>
      </c>
      <c r="K9937" s="18">
        <f t="shared" si="311"/>
        <v>2116.6</v>
      </c>
      <c r="L9937" s="27">
        <v>2116.6</v>
      </c>
      <c r="M9937" s="36">
        <v>0</v>
      </c>
      <c r="T9937" s="41">
        <v>0</v>
      </c>
      <c r="U9937" s="41">
        <v>0</v>
      </c>
      <c r="V9937" s="42" t="s">
        <v>113</v>
      </c>
      <c r="W9937" s="42">
        <v>2116.6</v>
      </c>
      <c r="X9937" s="42">
        <v>2116.6</v>
      </c>
    </row>
    <row r="9938" spans="1:24">
      <c r="A9938" s="27" t="s">
        <v>18032</v>
      </c>
      <c r="B9938" s="28" t="s">
        <v>17556</v>
      </c>
      <c r="C9938" s="27" t="s">
        <v>17869</v>
      </c>
      <c r="D9938" s="27" t="s">
        <v>17578</v>
      </c>
      <c r="E9938" s="29">
        <v>41271</v>
      </c>
      <c r="F9938" s="27">
        <v>7</v>
      </c>
      <c r="G9938" s="18">
        <v>13250.98</v>
      </c>
      <c r="H9938" s="27">
        <f t="shared" si="310"/>
        <v>0</v>
      </c>
      <c r="I9938" s="18">
        <v>10848.74</v>
      </c>
      <c r="J9938" s="27">
        <v>13250.98</v>
      </c>
      <c r="K9938" s="18">
        <f t="shared" si="311"/>
        <v>13250.98</v>
      </c>
      <c r="L9938" s="27">
        <v>12588.43</v>
      </c>
      <c r="M9938" s="36">
        <v>1739.69</v>
      </c>
      <c r="T9938" s="41">
        <v>0</v>
      </c>
      <c r="U9938" s="41">
        <v>0</v>
      </c>
      <c r="V9938" s="42" t="s">
        <v>113</v>
      </c>
      <c r="W9938" s="42">
        <v>13250.98</v>
      </c>
      <c r="X9938" s="42">
        <v>13250.98</v>
      </c>
    </row>
    <row r="9939" spans="1:24">
      <c r="A9939" s="27" t="s">
        <v>18033</v>
      </c>
      <c r="B9939" s="28" t="s">
        <v>17556</v>
      </c>
      <c r="C9939" s="27" t="s">
        <v>17871</v>
      </c>
      <c r="D9939" s="27" t="s">
        <v>17578</v>
      </c>
      <c r="E9939" s="29">
        <v>41271</v>
      </c>
      <c r="F9939" s="27">
        <v>7</v>
      </c>
      <c r="G9939" s="18">
        <v>19768.34</v>
      </c>
      <c r="H9939" s="27">
        <f t="shared" si="310"/>
        <v>0</v>
      </c>
      <c r="I9939" s="18">
        <v>16184.59</v>
      </c>
      <c r="J9939" s="27">
        <v>19768.34</v>
      </c>
      <c r="K9939" s="18">
        <f t="shared" si="311"/>
        <v>19768.34</v>
      </c>
      <c r="L9939" s="27">
        <v>18779.919999999998</v>
      </c>
      <c r="M9939" s="36">
        <v>2595.33</v>
      </c>
      <c r="T9939" s="41">
        <v>0</v>
      </c>
      <c r="U9939" s="41">
        <v>0</v>
      </c>
      <c r="V9939" s="42" t="s">
        <v>113</v>
      </c>
      <c r="W9939" s="42">
        <v>19768.34</v>
      </c>
      <c r="X9939" s="42">
        <v>19768.34</v>
      </c>
    </row>
    <row r="9940" spans="1:24">
      <c r="A9940" s="27" t="s">
        <v>18034</v>
      </c>
      <c r="B9940" s="28" t="s">
        <v>17556</v>
      </c>
      <c r="C9940" s="27" t="s">
        <v>17880</v>
      </c>
      <c r="D9940" s="27" t="s">
        <v>17558</v>
      </c>
      <c r="E9940" s="29">
        <v>41271</v>
      </c>
      <c r="F9940" s="27">
        <v>7</v>
      </c>
      <c r="G9940" s="18">
        <v>10087.84</v>
      </c>
      <c r="H9940" s="27">
        <f t="shared" si="310"/>
        <v>0</v>
      </c>
      <c r="I9940" s="18">
        <v>8259.0499999999993</v>
      </c>
      <c r="J9940" s="27">
        <v>10087.84</v>
      </c>
      <c r="K9940" s="18">
        <f t="shared" si="311"/>
        <v>10087.84</v>
      </c>
      <c r="L9940" s="27">
        <v>9583.4500000000007</v>
      </c>
      <c r="M9940" s="36">
        <v>1324.4</v>
      </c>
      <c r="T9940" s="41">
        <v>0</v>
      </c>
      <c r="U9940" s="41">
        <v>0</v>
      </c>
      <c r="V9940" s="42" t="s">
        <v>113</v>
      </c>
      <c r="W9940" s="42">
        <v>10087.84</v>
      </c>
      <c r="X9940" s="42">
        <v>10087.84</v>
      </c>
    </row>
    <row r="9941" spans="1:24">
      <c r="A9941" s="27" t="s">
        <v>18035</v>
      </c>
      <c r="B9941" s="28" t="s">
        <v>17556</v>
      </c>
      <c r="C9941" s="27" t="s">
        <v>17895</v>
      </c>
      <c r="D9941" s="27" t="s">
        <v>17558</v>
      </c>
      <c r="E9941" s="29">
        <v>41271</v>
      </c>
      <c r="F9941" s="27">
        <v>7</v>
      </c>
      <c r="G9941" s="18">
        <v>5249.59</v>
      </c>
      <c r="H9941" s="27">
        <f t="shared" si="310"/>
        <v>0</v>
      </c>
      <c r="I9941" s="18">
        <v>4297.91</v>
      </c>
      <c r="J9941" s="27">
        <v>5249.59</v>
      </c>
      <c r="K9941" s="18">
        <f t="shared" si="311"/>
        <v>5249.59</v>
      </c>
      <c r="L9941" s="27">
        <v>4987.1099999999997</v>
      </c>
      <c r="M9941" s="36">
        <v>689.2</v>
      </c>
      <c r="T9941" s="41">
        <v>0</v>
      </c>
      <c r="U9941" s="41">
        <v>0</v>
      </c>
      <c r="V9941" s="42" t="s">
        <v>113</v>
      </c>
      <c r="W9941" s="42">
        <v>5249.59</v>
      </c>
      <c r="X9941" s="42">
        <v>5249.59</v>
      </c>
    </row>
    <row r="9942" spans="1:24">
      <c r="A9942" s="27" t="s">
        <v>18036</v>
      </c>
      <c r="B9942" s="28" t="s">
        <v>17556</v>
      </c>
      <c r="C9942" s="27" t="s">
        <v>17925</v>
      </c>
      <c r="D9942" s="27" t="s">
        <v>17558</v>
      </c>
      <c r="E9942" s="29">
        <v>41271</v>
      </c>
      <c r="F9942" s="27">
        <v>7</v>
      </c>
      <c r="G9942" s="18">
        <v>25231.56</v>
      </c>
      <c r="H9942" s="27">
        <f t="shared" si="310"/>
        <v>0</v>
      </c>
      <c r="I9942" s="18">
        <v>20657.400000000001</v>
      </c>
      <c r="J9942" s="27">
        <v>25231.56</v>
      </c>
      <c r="K9942" s="18">
        <f t="shared" si="311"/>
        <v>25231.56</v>
      </c>
      <c r="L9942" s="27">
        <v>23969.98</v>
      </c>
      <c r="M9942" s="36">
        <v>3312.58</v>
      </c>
      <c r="T9942" s="41">
        <v>0</v>
      </c>
      <c r="U9942" s="41">
        <v>0</v>
      </c>
      <c r="V9942" s="42" t="s">
        <v>113</v>
      </c>
      <c r="W9942" s="42">
        <v>25231.56</v>
      </c>
      <c r="X9942" s="42">
        <v>25231.56</v>
      </c>
    </row>
    <row r="9943" spans="1:24">
      <c r="A9943" s="27" t="s">
        <v>18037</v>
      </c>
      <c r="B9943" s="28" t="s">
        <v>17556</v>
      </c>
      <c r="C9943" s="27" t="s">
        <v>17927</v>
      </c>
      <c r="D9943" s="27" t="s">
        <v>17558</v>
      </c>
      <c r="E9943" s="29">
        <v>41271</v>
      </c>
      <c r="F9943" s="27">
        <v>7</v>
      </c>
      <c r="G9943" s="18">
        <v>95846.28</v>
      </c>
      <c r="H9943" s="27">
        <f t="shared" si="310"/>
        <v>0</v>
      </c>
      <c r="I9943" s="18">
        <v>78470.55</v>
      </c>
      <c r="J9943" s="27">
        <v>95846.28</v>
      </c>
      <c r="K9943" s="18">
        <f t="shared" si="311"/>
        <v>95846.28</v>
      </c>
      <c r="L9943" s="27">
        <v>91053.97</v>
      </c>
      <c r="M9943" s="36">
        <v>12583.42</v>
      </c>
      <c r="T9943" s="41">
        <v>0</v>
      </c>
      <c r="U9943" s="41">
        <v>0</v>
      </c>
      <c r="V9943" s="42" t="s">
        <v>113</v>
      </c>
      <c r="W9943" s="42">
        <v>95846.28</v>
      </c>
      <c r="X9943" s="42">
        <v>95846.28</v>
      </c>
    </row>
    <row r="9944" spans="1:24">
      <c r="A9944" s="27" t="s">
        <v>18038</v>
      </c>
      <c r="B9944" s="28" t="s">
        <v>17556</v>
      </c>
      <c r="C9944" s="27" t="s">
        <v>17867</v>
      </c>
      <c r="D9944" s="27" t="s">
        <v>17578</v>
      </c>
      <c r="E9944" s="29">
        <v>41271</v>
      </c>
      <c r="F9944" s="27">
        <v>7</v>
      </c>
      <c r="G9944" s="18">
        <v>148800.19</v>
      </c>
      <c r="H9944" s="27">
        <f t="shared" si="310"/>
        <v>0</v>
      </c>
      <c r="I9944" s="18">
        <v>121824.56</v>
      </c>
      <c r="J9944" s="27">
        <v>148800.19</v>
      </c>
      <c r="K9944" s="18">
        <f t="shared" si="311"/>
        <v>148800.19</v>
      </c>
      <c r="L9944" s="27">
        <v>141360.18</v>
      </c>
      <c r="M9944" s="36">
        <v>19535.62</v>
      </c>
      <c r="T9944" s="41">
        <v>0</v>
      </c>
      <c r="U9944" s="41">
        <v>0</v>
      </c>
      <c r="V9944" s="42" t="s">
        <v>113</v>
      </c>
      <c r="W9944" s="42">
        <v>148800.19</v>
      </c>
      <c r="X9944" s="42">
        <v>148800.19</v>
      </c>
    </row>
    <row r="9945" spans="1:24">
      <c r="A9945" s="27" t="s">
        <v>18039</v>
      </c>
      <c r="B9945" s="28" t="s">
        <v>17556</v>
      </c>
      <c r="C9945" s="27" t="s">
        <v>17869</v>
      </c>
      <c r="D9945" s="27" t="s">
        <v>17578</v>
      </c>
      <c r="E9945" s="29">
        <v>41271</v>
      </c>
      <c r="F9945" s="27">
        <v>7</v>
      </c>
      <c r="G9945" s="18">
        <v>38474.14</v>
      </c>
      <c r="H9945" s="27">
        <f t="shared" si="310"/>
        <v>0</v>
      </c>
      <c r="I9945" s="18">
        <v>31499.26</v>
      </c>
      <c r="J9945" s="27">
        <v>38474.14</v>
      </c>
      <c r="K9945" s="18">
        <f t="shared" si="311"/>
        <v>38474.14</v>
      </c>
      <c r="L9945" s="27">
        <v>36550.43</v>
      </c>
      <c r="M9945" s="36">
        <v>5051.17</v>
      </c>
      <c r="T9945" s="41">
        <v>0</v>
      </c>
      <c r="U9945" s="41">
        <v>0</v>
      </c>
      <c r="V9945" s="42" t="s">
        <v>113</v>
      </c>
      <c r="W9945" s="42">
        <v>38474.14</v>
      </c>
      <c r="X9945" s="42">
        <v>38474.14</v>
      </c>
    </row>
    <row r="9946" spans="1:24">
      <c r="A9946" s="27" t="s">
        <v>18040</v>
      </c>
      <c r="B9946" s="28" t="s">
        <v>17556</v>
      </c>
      <c r="C9946" s="27" t="s">
        <v>17871</v>
      </c>
      <c r="D9946" s="27" t="s">
        <v>17578</v>
      </c>
      <c r="E9946" s="29">
        <v>41271</v>
      </c>
      <c r="F9946" s="27">
        <v>7</v>
      </c>
      <c r="G9946" s="18">
        <v>8928.4599999999991</v>
      </c>
      <c r="H9946" s="27">
        <f t="shared" si="310"/>
        <v>0</v>
      </c>
      <c r="I9946" s="18">
        <v>7309.84</v>
      </c>
      <c r="J9946" s="27">
        <v>8928.4599999999991</v>
      </c>
      <c r="K9946" s="18">
        <f t="shared" si="311"/>
        <v>8928.4599999999991</v>
      </c>
      <c r="L9946" s="27">
        <v>8482.0400000000009</v>
      </c>
      <c r="M9946" s="36">
        <v>1172.2</v>
      </c>
      <c r="T9946" s="41">
        <v>0</v>
      </c>
      <c r="U9946" s="41">
        <v>0</v>
      </c>
      <c r="V9946" s="42" t="s">
        <v>113</v>
      </c>
      <c r="W9946" s="42">
        <v>8928.4599999999991</v>
      </c>
      <c r="X9946" s="42">
        <v>8928.4599999999991</v>
      </c>
    </row>
    <row r="9947" spans="1:24">
      <c r="A9947" s="27" t="s">
        <v>18041</v>
      </c>
      <c r="B9947" s="28" t="s">
        <v>17556</v>
      </c>
      <c r="C9947" s="27" t="s">
        <v>17867</v>
      </c>
      <c r="D9947" s="27" t="s">
        <v>17578</v>
      </c>
      <c r="E9947" s="29">
        <v>41271</v>
      </c>
      <c r="F9947" s="27">
        <v>7</v>
      </c>
      <c r="G9947" s="18">
        <v>476365.52</v>
      </c>
      <c r="H9947" s="27">
        <f t="shared" si="310"/>
        <v>0</v>
      </c>
      <c r="I9947" s="18">
        <v>390006.37</v>
      </c>
      <c r="J9947" s="27">
        <v>476365.52</v>
      </c>
      <c r="K9947" s="18">
        <f t="shared" si="311"/>
        <v>476365.52</v>
      </c>
      <c r="L9947" s="27">
        <v>452547.24</v>
      </c>
      <c r="M9947" s="36">
        <v>62540.87</v>
      </c>
      <c r="T9947" s="41">
        <v>0</v>
      </c>
      <c r="U9947" s="41">
        <v>0</v>
      </c>
      <c r="V9947" s="42" t="s">
        <v>113</v>
      </c>
      <c r="W9947" s="42">
        <v>476365.52</v>
      </c>
      <c r="X9947" s="42">
        <v>476365.52</v>
      </c>
    </row>
    <row r="9948" spans="1:24">
      <c r="A9948" s="27" t="s">
        <v>18042</v>
      </c>
      <c r="B9948" s="28" t="s">
        <v>17556</v>
      </c>
      <c r="C9948" s="27" t="s">
        <v>17869</v>
      </c>
      <c r="D9948" s="27" t="s">
        <v>17578</v>
      </c>
      <c r="E9948" s="29">
        <v>41271</v>
      </c>
      <c r="F9948" s="27">
        <v>7</v>
      </c>
      <c r="G9948" s="18">
        <v>84737.35</v>
      </c>
      <c r="H9948" s="27">
        <f t="shared" si="310"/>
        <v>0</v>
      </c>
      <c r="I9948" s="18">
        <v>69375.520000000004</v>
      </c>
      <c r="J9948" s="27">
        <v>84737.35</v>
      </c>
      <c r="K9948" s="18">
        <f t="shared" si="311"/>
        <v>84737.35</v>
      </c>
      <c r="L9948" s="27">
        <v>80500.479999999996</v>
      </c>
      <c r="M9948" s="36">
        <v>11124.96</v>
      </c>
      <c r="T9948" s="41">
        <v>0</v>
      </c>
      <c r="U9948" s="41">
        <v>0</v>
      </c>
      <c r="V9948" s="42" t="s">
        <v>113</v>
      </c>
      <c r="W9948" s="42">
        <v>84737.35</v>
      </c>
      <c r="X9948" s="42">
        <v>84737.35</v>
      </c>
    </row>
    <row r="9949" spans="1:24">
      <c r="A9949" s="27" t="s">
        <v>18043</v>
      </c>
      <c r="B9949" s="28" t="s">
        <v>17556</v>
      </c>
      <c r="C9949" s="27" t="s">
        <v>17871</v>
      </c>
      <c r="D9949" s="27" t="s">
        <v>17578</v>
      </c>
      <c r="E9949" s="29">
        <v>41271</v>
      </c>
      <c r="F9949" s="27">
        <v>7</v>
      </c>
      <c r="G9949" s="18">
        <v>37478.199999999997</v>
      </c>
      <c r="H9949" s="27">
        <f t="shared" si="310"/>
        <v>0</v>
      </c>
      <c r="I9949" s="18">
        <v>30683.87</v>
      </c>
      <c r="J9949" s="27">
        <v>37478.199999999997</v>
      </c>
      <c r="K9949" s="18">
        <f t="shared" si="311"/>
        <v>37478.199999999997</v>
      </c>
      <c r="L9949" s="27">
        <v>35604.29</v>
      </c>
      <c r="M9949" s="36">
        <v>4920.42</v>
      </c>
      <c r="T9949" s="41">
        <v>0</v>
      </c>
      <c r="U9949" s="41">
        <v>0</v>
      </c>
      <c r="V9949" s="42" t="s">
        <v>113</v>
      </c>
      <c r="W9949" s="42">
        <v>37478.199999999997</v>
      </c>
      <c r="X9949" s="42">
        <v>37478.199999999997</v>
      </c>
    </row>
    <row r="9950" spans="1:24">
      <c r="A9950" s="27" t="s">
        <v>18044</v>
      </c>
      <c r="B9950" s="28" t="s">
        <v>17556</v>
      </c>
      <c r="C9950" s="27" t="s">
        <v>17867</v>
      </c>
      <c r="D9950" s="27" t="s">
        <v>17578</v>
      </c>
      <c r="E9950" s="29">
        <v>41271</v>
      </c>
      <c r="F9950" s="27">
        <v>7</v>
      </c>
      <c r="G9950" s="18">
        <v>75111.789999999994</v>
      </c>
      <c r="H9950" s="27">
        <f t="shared" si="310"/>
        <v>0</v>
      </c>
      <c r="I9950" s="18">
        <v>61494.95</v>
      </c>
      <c r="J9950" s="27">
        <v>75111.789999999994</v>
      </c>
      <c r="K9950" s="18">
        <f t="shared" si="311"/>
        <v>75111.789999999994</v>
      </c>
      <c r="L9950" s="27">
        <v>71356.2</v>
      </c>
      <c r="M9950" s="36">
        <v>9861.25</v>
      </c>
      <c r="T9950" s="41">
        <v>0</v>
      </c>
      <c r="U9950" s="41">
        <v>0</v>
      </c>
      <c r="V9950" s="42" t="s">
        <v>113</v>
      </c>
      <c r="W9950" s="42">
        <v>75111.789999999994</v>
      </c>
      <c r="X9950" s="42">
        <v>75111.789999999994</v>
      </c>
    </row>
    <row r="9951" spans="1:24">
      <c r="A9951" s="27" t="s">
        <v>18045</v>
      </c>
      <c r="B9951" s="28" t="s">
        <v>17556</v>
      </c>
      <c r="C9951" s="27" t="s">
        <v>17883</v>
      </c>
      <c r="D9951" s="27" t="s">
        <v>17578</v>
      </c>
      <c r="E9951" s="29">
        <v>41271</v>
      </c>
      <c r="F9951" s="27">
        <v>7</v>
      </c>
      <c r="G9951" s="18">
        <v>975</v>
      </c>
      <c r="H9951" s="27">
        <f t="shared" si="310"/>
        <v>975</v>
      </c>
      <c r="I9951" s="18">
        <v>975</v>
      </c>
      <c r="J9951" s="27">
        <v>975</v>
      </c>
      <c r="K9951" s="18">
        <f t="shared" si="311"/>
        <v>975</v>
      </c>
      <c r="L9951" s="27">
        <v>975</v>
      </c>
      <c r="M9951" s="36">
        <v>0</v>
      </c>
      <c r="T9951" s="41">
        <v>0</v>
      </c>
      <c r="U9951" s="41">
        <v>0</v>
      </c>
      <c r="V9951" s="42" t="s">
        <v>113</v>
      </c>
      <c r="W9951" s="42">
        <v>975</v>
      </c>
      <c r="X9951" s="42">
        <v>975</v>
      </c>
    </row>
    <row r="9952" spans="1:24">
      <c r="A9952" s="27" t="s">
        <v>18046</v>
      </c>
      <c r="B9952" s="28" t="s">
        <v>17556</v>
      </c>
      <c r="C9952" s="27" t="s">
        <v>17871</v>
      </c>
      <c r="D9952" s="27" t="s">
        <v>17578</v>
      </c>
      <c r="E9952" s="29">
        <v>41271</v>
      </c>
      <c r="F9952" s="27">
        <v>7</v>
      </c>
      <c r="G9952" s="18">
        <v>3642.45</v>
      </c>
      <c r="H9952" s="27">
        <f t="shared" si="310"/>
        <v>3642.45</v>
      </c>
      <c r="I9952" s="18">
        <v>3642.45</v>
      </c>
      <c r="J9952" s="27">
        <v>3642.45</v>
      </c>
      <c r="K9952" s="18">
        <f t="shared" si="311"/>
        <v>3642.45</v>
      </c>
      <c r="L9952" s="27">
        <v>3642.45</v>
      </c>
      <c r="M9952" s="36">
        <v>0</v>
      </c>
      <c r="T9952" s="41">
        <v>0</v>
      </c>
      <c r="U9952" s="41">
        <v>0</v>
      </c>
      <c r="V9952" s="42" t="s">
        <v>113</v>
      </c>
      <c r="W9952" s="42">
        <v>3642.45</v>
      </c>
      <c r="X9952" s="42">
        <v>3642.45</v>
      </c>
    </row>
    <row r="9953" spans="1:24">
      <c r="A9953" s="27" t="s">
        <v>18047</v>
      </c>
      <c r="B9953" s="28" t="s">
        <v>17556</v>
      </c>
      <c r="C9953" s="27" t="s">
        <v>17867</v>
      </c>
      <c r="D9953" s="27" t="s">
        <v>17578</v>
      </c>
      <c r="E9953" s="29">
        <v>41271</v>
      </c>
      <c r="F9953" s="27">
        <v>7</v>
      </c>
      <c r="G9953" s="18">
        <v>65690.59</v>
      </c>
      <c r="H9953" s="27">
        <f t="shared" si="310"/>
        <v>0</v>
      </c>
      <c r="I9953" s="18">
        <v>53781.71</v>
      </c>
      <c r="J9953" s="27">
        <v>65690.59</v>
      </c>
      <c r="K9953" s="18">
        <f t="shared" si="311"/>
        <v>65690.59</v>
      </c>
      <c r="L9953" s="27">
        <v>62406.06</v>
      </c>
      <c r="M9953" s="36">
        <v>8624.35</v>
      </c>
      <c r="T9953" s="41">
        <v>0</v>
      </c>
      <c r="U9953" s="41">
        <v>0</v>
      </c>
      <c r="V9953" s="42" t="s">
        <v>113</v>
      </c>
      <c r="W9953" s="42">
        <v>65690.59</v>
      </c>
      <c r="X9953" s="42">
        <v>65690.59</v>
      </c>
    </row>
    <row r="9954" spans="1:24">
      <c r="A9954" s="27" t="s">
        <v>18048</v>
      </c>
      <c r="B9954" s="28" t="s">
        <v>17556</v>
      </c>
      <c r="C9954" s="27" t="s">
        <v>17883</v>
      </c>
      <c r="D9954" s="27" t="s">
        <v>17578</v>
      </c>
      <c r="E9954" s="29">
        <v>41271</v>
      </c>
      <c r="F9954" s="27">
        <v>7</v>
      </c>
      <c r="G9954" s="18">
        <v>974.52</v>
      </c>
      <c r="H9954" s="27">
        <f t="shared" si="310"/>
        <v>974.52</v>
      </c>
      <c r="I9954" s="18">
        <v>974.52</v>
      </c>
      <c r="J9954" s="27">
        <v>974.52</v>
      </c>
      <c r="K9954" s="18">
        <f t="shared" si="311"/>
        <v>974.52</v>
      </c>
      <c r="L9954" s="27">
        <v>974.52</v>
      </c>
      <c r="M9954" s="36">
        <v>0</v>
      </c>
      <c r="T9954" s="41">
        <v>0</v>
      </c>
      <c r="U9954" s="41">
        <v>0</v>
      </c>
      <c r="V9954" s="42" t="s">
        <v>113</v>
      </c>
      <c r="W9954" s="42">
        <v>974.52</v>
      </c>
      <c r="X9954" s="42">
        <v>974.52</v>
      </c>
    </row>
    <row r="9955" spans="1:24">
      <c r="A9955" s="27" t="s">
        <v>18049</v>
      </c>
      <c r="B9955" s="28" t="s">
        <v>17556</v>
      </c>
      <c r="C9955" s="27" t="s">
        <v>17871</v>
      </c>
      <c r="D9955" s="27" t="s">
        <v>17578</v>
      </c>
      <c r="E9955" s="29">
        <v>41271</v>
      </c>
      <c r="F9955" s="27">
        <v>7</v>
      </c>
      <c r="G9955" s="18">
        <v>3640.67</v>
      </c>
      <c r="H9955" s="27">
        <f t="shared" si="310"/>
        <v>3640.67</v>
      </c>
      <c r="I9955" s="18">
        <v>3640.67</v>
      </c>
      <c r="J9955" s="27">
        <v>3640.67</v>
      </c>
      <c r="K9955" s="18">
        <f t="shared" si="311"/>
        <v>3640.67</v>
      </c>
      <c r="L9955" s="27">
        <v>3640.67</v>
      </c>
      <c r="M9955" s="36">
        <v>0</v>
      </c>
      <c r="T9955" s="41">
        <v>0</v>
      </c>
      <c r="U9955" s="41">
        <v>0</v>
      </c>
      <c r="V9955" s="42" t="s">
        <v>113</v>
      </c>
      <c r="W9955" s="42">
        <v>3640.67</v>
      </c>
      <c r="X9955" s="42">
        <v>3640.67</v>
      </c>
    </row>
    <row r="9956" spans="1:24">
      <c r="A9956" s="27" t="s">
        <v>18050</v>
      </c>
      <c r="B9956" s="28" t="s">
        <v>17556</v>
      </c>
      <c r="C9956" s="27" t="s">
        <v>17867</v>
      </c>
      <c r="D9956" s="27" t="s">
        <v>17578</v>
      </c>
      <c r="E9956" s="29">
        <v>41271</v>
      </c>
      <c r="F9956" s="27">
        <v>7</v>
      </c>
      <c r="G9956" s="18">
        <v>50009.46</v>
      </c>
      <c r="H9956" s="27">
        <f t="shared" si="310"/>
        <v>0</v>
      </c>
      <c r="I9956" s="18">
        <v>40943.370000000003</v>
      </c>
      <c r="J9956" s="27">
        <v>50009.46</v>
      </c>
      <c r="K9956" s="18">
        <f t="shared" si="311"/>
        <v>50009.46</v>
      </c>
      <c r="L9956" s="27">
        <v>47508.99</v>
      </c>
      <c r="M9956" s="36">
        <v>6565.62</v>
      </c>
      <c r="T9956" s="41">
        <v>0</v>
      </c>
      <c r="U9956" s="41">
        <v>0</v>
      </c>
      <c r="V9956" s="42" t="s">
        <v>113</v>
      </c>
      <c r="W9956" s="42">
        <v>50009.46</v>
      </c>
      <c r="X9956" s="42">
        <v>50009.46</v>
      </c>
    </row>
    <row r="9957" spans="1:24">
      <c r="A9957" s="27" t="s">
        <v>18051</v>
      </c>
      <c r="B9957" s="28" t="s">
        <v>17556</v>
      </c>
      <c r="C9957" s="27" t="s">
        <v>17883</v>
      </c>
      <c r="D9957" s="27" t="s">
        <v>17578</v>
      </c>
      <c r="E9957" s="29">
        <v>41271</v>
      </c>
      <c r="F9957" s="27">
        <v>7</v>
      </c>
      <c r="G9957" s="18">
        <v>984.34</v>
      </c>
      <c r="H9957" s="27">
        <f t="shared" si="310"/>
        <v>984.34</v>
      </c>
      <c r="I9957" s="18">
        <v>984.34</v>
      </c>
      <c r="J9957" s="27">
        <v>984.34</v>
      </c>
      <c r="K9957" s="18">
        <f t="shared" si="311"/>
        <v>984.34</v>
      </c>
      <c r="L9957" s="27">
        <v>984.34</v>
      </c>
      <c r="M9957" s="36">
        <v>0</v>
      </c>
      <c r="T9957" s="41">
        <v>0</v>
      </c>
      <c r="U9957" s="41">
        <v>0</v>
      </c>
      <c r="V9957" s="42" t="s">
        <v>113</v>
      </c>
      <c r="W9957" s="42">
        <v>984.34</v>
      </c>
      <c r="X9957" s="42">
        <v>984.34</v>
      </c>
    </row>
    <row r="9958" spans="1:24">
      <c r="A9958" s="27" t="s">
        <v>18052</v>
      </c>
      <c r="B9958" s="28" t="s">
        <v>17556</v>
      </c>
      <c r="C9958" s="27" t="s">
        <v>17871</v>
      </c>
      <c r="D9958" s="27" t="s">
        <v>17578</v>
      </c>
      <c r="E9958" s="29">
        <v>41271</v>
      </c>
      <c r="F9958" s="27">
        <v>7</v>
      </c>
      <c r="G9958" s="18">
        <v>3677.35</v>
      </c>
      <c r="H9958" s="27">
        <f t="shared" si="310"/>
        <v>3677.35</v>
      </c>
      <c r="I9958" s="18">
        <v>3677.35</v>
      </c>
      <c r="J9958" s="27">
        <v>3677.35</v>
      </c>
      <c r="K9958" s="18">
        <f t="shared" si="311"/>
        <v>3677.35</v>
      </c>
      <c r="L9958" s="27">
        <v>3677.35</v>
      </c>
      <c r="M9958" s="36">
        <v>0</v>
      </c>
      <c r="T9958" s="41">
        <v>0</v>
      </c>
      <c r="U9958" s="41">
        <v>0</v>
      </c>
      <c r="V9958" s="42" t="s">
        <v>113</v>
      </c>
      <c r="W9958" s="42">
        <v>3677.35</v>
      </c>
      <c r="X9958" s="42">
        <v>3677.35</v>
      </c>
    </row>
    <row r="9959" spans="1:24">
      <c r="A9959" s="27" t="s">
        <v>18053</v>
      </c>
      <c r="B9959" s="28" t="s">
        <v>17556</v>
      </c>
      <c r="C9959" s="27" t="s">
        <v>17867</v>
      </c>
      <c r="D9959" s="27" t="s">
        <v>17578</v>
      </c>
      <c r="E9959" s="29">
        <v>41271</v>
      </c>
      <c r="F9959" s="27">
        <v>7</v>
      </c>
      <c r="G9959" s="18">
        <v>74135.360000000001</v>
      </c>
      <c r="H9959" s="27">
        <f t="shared" si="310"/>
        <v>0</v>
      </c>
      <c r="I9959" s="18">
        <v>60695.54</v>
      </c>
      <c r="J9959" s="27">
        <v>74135.360000000001</v>
      </c>
      <c r="K9959" s="18">
        <f t="shared" si="311"/>
        <v>74135.360000000001</v>
      </c>
      <c r="L9959" s="27">
        <v>70428.59</v>
      </c>
      <c r="M9959" s="36">
        <v>9733.0499999999993</v>
      </c>
      <c r="T9959" s="41">
        <v>0</v>
      </c>
      <c r="U9959" s="41">
        <v>0</v>
      </c>
      <c r="V9959" s="42" t="s">
        <v>113</v>
      </c>
      <c r="W9959" s="42">
        <v>74135.360000000001</v>
      </c>
      <c r="X9959" s="42">
        <v>74135.360000000001</v>
      </c>
    </row>
    <row r="9960" spans="1:24">
      <c r="A9960" s="27" t="s">
        <v>18054</v>
      </c>
      <c r="B9960" s="28" t="s">
        <v>17556</v>
      </c>
      <c r="C9960" s="27" t="s">
        <v>17883</v>
      </c>
      <c r="D9960" s="27" t="s">
        <v>17578</v>
      </c>
      <c r="E9960" s="29">
        <v>41271</v>
      </c>
      <c r="F9960" s="27">
        <v>7</v>
      </c>
      <c r="G9960" s="18">
        <v>966.49</v>
      </c>
      <c r="H9960" s="27">
        <f t="shared" si="310"/>
        <v>966.49</v>
      </c>
      <c r="I9960" s="18">
        <v>966.49</v>
      </c>
      <c r="J9960" s="27">
        <v>966.49</v>
      </c>
      <c r="K9960" s="18">
        <f t="shared" si="311"/>
        <v>966.49</v>
      </c>
      <c r="L9960" s="27">
        <v>966.49</v>
      </c>
      <c r="M9960" s="36">
        <v>0</v>
      </c>
      <c r="T9960" s="41">
        <v>0</v>
      </c>
      <c r="U9960" s="41">
        <v>0</v>
      </c>
      <c r="V9960" s="42" t="s">
        <v>113</v>
      </c>
      <c r="W9960" s="42">
        <v>966.49</v>
      </c>
      <c r="X9960" s="42">
        <v>966.49</v>
      </c>
    </row>
    <row r="9961" spans="1:24">
      <c r="A9961" s="27" t="s">
        <v>18055</v>
      </c>
      <c r="B9961" s="28" t="s">
        <v>17556</v>
      </c>
      <c r="C9961" s="27" t="s">
        <v>17871</v>
      </c>
      <c r="D9961" s="27" t="s">
        <v>17578</v>
      </c>
      <c r="E9961" s="29">
        <v>41271</v>
      </c>
      <c r="F9961" s="27">
        <v>7</v>
      </c>
      <c r="G9961" s="18">
        <v>3610.67</v>
      </c>
      <c r="H9961" s="27">
        <f t="shared" si="310"/>
        <v>3610.67</v>
      </c>
      <c r="I9961" s="18">
        <v>3610.67</v>
      </c>
      <c r="J9961" s="27">
        <v>3610.67</v>
      </c>
      <c r="K9961" s="18">
        <f t="shared" si="311"/>
        <v>3610.67</v>
      </c>
      <c r="L9961" s="27">
        <v>3610.67</v>
      </c>
      <c r="M9961" s="36">
        <v>0</v>
      </c>
      <c r="T9961" s="41">
        <v>0</v>
      </c>
      <c r="U9961" s="41">
        <v>0</v>
      </c>
      <c r="V9961" s="42" t="s">
        <v>113</v>
      </c>
      <c r="W9961" s="42">
        <v>3610.67</v>
      </c>
      <c r="X9961" s="42">
        <v>3610.67</v>
      </c>
    </row>
    <row r="9962" spans="1:24">
      <c r="A9962" s="27" t="s">
        <v>18056</v>
      </c>
      <c r="B9962" s="28" t="s">
        <v>17556</v>
      </c>
      <c r="C9962" s="27" t="s">
        <v>17867</v>
      </c>
      <c r="D9962" s="27" t="s">
        <v>17578</v>
      </c>
      <c r="E9962" s="29">
        <v>41271</v>
      </c>
      <c r="F9962" s="27">
        <v>7</v>
      </c>
      <c r="G9962" s="18">
        <v>137819.78</v>
      </c>
      <c r="H9962" s="27">
        <f t="shared" si="310"/>
        <v>0</v>
      </c>
      <c r="I9962" s="18">
        <v>112834.77</v>
      </c>
      <c r="J9962" s="27">
        <v>137819.78</v>
      </c>
      <c r="K9962" s="18">
        <f t="shared" si="311"/>
        <v>137819.78</v>
      </c>
      <c r="L9962" s="27">
        <v>130928.79</v>
      </c>
      <c r="M9962" s="36">
        <v>18094.02</v>
      </c>
      <c r="T9962" s="41">
        <v>0</v>
      </c>
      <c r="U9962" s="41">
        <v>0</v>
      </c>
      <c r="V9962" s="42" t="s">
        <v>113</v>
      </c>
      <c r="W9962" s="42">
        <v>137819.78</v>
      </c>
      <c r="X9962" s="42">
        <v>137819.78</v>
      </c>
    </row>
    <row r="9963" spans="1:24">
      <c r="A9963" s="27" t="s">
        <v>18057</v>
      </c>
      <c r="B9963" s="28" t="s">
        <v>17556</v>
      </c>
      <c r="C9963" s="27" t="s">
        <v>17883</v>
      </c>
      <c r="D9963" s="27" t="s">
        <v>17578</v>
      </c>
      <c r="E9963" s="29">
        <v>41271</v>
      </c>
      <c r="F9963" s="27">
        <v>7</v>
      </c>
      <c r="G9963" s="18">
        <v>1130.9100000000001</v>
      </c>
      <c r="H9963" s="27">
        <f t="shared" si="310"/>
        <v>1130.9100000000001</v>
      </c>
      <c r="I9963" s="18">
        <v>1130.9100000000001</v>
      </c>
      <c r="J9963" s="27">
        <v>1130.9100000000001</v>
      </c>
      <c r="K9963" s="18">
        <f t="shared" si="311"/>
        <v>1130.9100000000001</v>
      </c>
      <c r="L9963" s="27">
        <v>1130.9100000000001</v>
      </c>
      <c r="M9963" s="36">
        <v>0</v>
      </c>
      <c r="T9963" s="41">
        <v>0</v>
      </c>
      <c r="U9963" s="41">
        <v>0</v>
      </c>
      <c r="V9963" s="42" t="s">
        <v>113</v>
      </c>
      <c r="W9963" s="42">
        <v>1130.9100000000001</v>
      </c>
      <c r="X9963" s="42">
        <v>1130.9100000000001</v>
      </c>
    </row>
    <row r="9964" spans="1:24">
      <c r="A9964" s="27" t="s">
        <v>18058</v>
      </c>
      <c r="B9964" s="28" t="s">
        <v>17556</v>
      </c>
      <c r="C9964" s="27" t="s">
        <v>17869</v>
      </c>
      <c r="D9964" s="27" t="s">
        <v>17578</v>
      </c>
      <c r="E9964" s="29">
        <v>41271</v>
      </c>
      <c r="F9964" s="27">
        <v>7</v>
      </c>
      <c r="G9964" s="18">
        <v>16857.32</v>
      </c>
      <c r="H9964" s="27">
        <f t="shared" si="310"/>
        <v>0</v>
      </c>
      <c r="I9964" s="18">
        <v>13801.3</v>
      </c>
      <c r="J9964" s="27">
        <v>16857.32</v>
      </c>
      <c r="K9964" s="18">
        <f t="shared" si="311"/>
        <v>16857.32</v>
      </c>
      <c r="L9964" s="27">
        <v>16014.45</v>
      </c>
      <c r="M9964" s="36">
        <v>2213.15</v>
      </c>
      <c r="T9964" s="41">
        <v>0</v>
      </c>
      <c r="U9964" s="41">
        <v>0</v>
      </c>
      <c r="V9964" s="42" t="s">
        <v>113</v>
      </c>
      <c r="W9964" s="42">
        <v>16857.32</v>
      </c>
      <c r="X9964" s="42">
        <v>16857.32</v>
      </c>
    </row>
    <row r="9965" spans="1:24">
      <c r="A9965" s="27" t="s">
        <v>18059</v>
      </c>
      <c r="B9965" s="28" t="s">
        <v>17556</v>
      </c>
      <c r="C9965" s="27" t="s">
        <v>17871</v>
      </c>
      <c r="D9965" s="27" t="s">
        <v>17578</v>
      </c>
      <c r="E9965" s="29">
        <v>41271</v>
      </c>
      <c r="F9965" s="27">
        <v>7</v>
      </c>
      <c r="G9965" s="18">
        <v>4224.93</v>
      </c>
      <c r="H9965" s="27">
        <f t="shared" si="310"/>
        <v>4224.93</v>
      </c>
      <c r="I9965" s="18">
        <v>4224.93</v>
      </c>
      <c r="J9965" s="27">
        <v>4224.93</v>
      </c>
      <c r="K9965" s="18">
        <f t="shared" si="311"/>
        <v>4224.93</v>
      </c>
      <c r="L9965" s="27">
        <v>4224.93</v>
      </c>
      <c r="M9965" s="36">
        <v>0</v>
      </c>
      <c r="T9965" s="41">
        <v>0</v>
      </c>
      <c r="U9965" s="41">
        <v>0</v>
      </c>
      <c r="V9965" s="42" t="s">
        <v>113</v>
      </c>
      <c r="W9965" s="42">
        <v>4224.93</v>
      </c>
      <c r="X9965" s="42">
        <v>4224.93</v>
      </c>
    </row>
    <row r="9966" spans="1:24">
      <c r="A9966" s="27" t="s">
        <v>18060</v>
      </c>
      <c r="B9966" s="28" t="s">
        <v>17556</v>
      </c>
      <c r="C9966" s="27" t="s">
        <v>17867</v>
      </c>
      <c r="D9966" s="27" t="s">
        <v>17578</v>
      </c>
      <c r="E9966" s="29">
        <v>41271</v>
      </c>
      <c r="F9966" s="27">
        <v>7</v>
      </c>
      <c r="G9966" s="18">
        <v>147932.48000000001</v>
      </c>
      <c r="H9966" s="27">
        <f t="shared" si="310"/>
        <v>0</v>
      </c>
      <c r="I9966" s="18">
        <v>121114.16</v>
      </c>
      <c r="J9966" s="27">
        <v>147932.48000000001</v>
      </c>
      <c r="K9966" s="18">
        <f t="shared" si="311"/>
        <v>147932.48000000001</v>
      </c>
      <c r="L9966" s="27">
        <v>140535.85999999999</v>
      </c>
      <c r="M9966" s="36">
        <v>19421.7</v>
      </c>
      <c r="T9966" s="41">
        <v>0</v>
      </c>
      <c r="U9966" s="41">
        <v>0</v>
      </c>
      <c r="V9966" s="42" t="s">
        <v>113</v>
      </c>
      <c r="W9966" s="42">
        <v>147932.48000000001</v>
      </c>
      <c r="X9966" s="42">
        <v>147932.48000000001</v>
      </c>
    </row>
    <row r="9967" spans="1:24">
      <c r="A9967" s="27" t="s">
        <v>18061</v>
      </c>
      <c r="B9967" s="28" t="s">
        <v>17556</v>
      </c>
      <c r="C9967" s="27" t="s">
        <v>17883</v>
      </c>
      <c r="D9967" s="27" t="s">
        <v>17578</v>
      </c>
      <c r="E9967" s="29">
        <v>41271</v>
      </c>
      <c r="F9967" s="27">
        <v>7</v>
      </c>
      <c r="G9967" s="18">
        <v>1151.1600000000001</v>
      </c>
      <c r="H9967" s="27">
        <f t="shared" si="310"/>
        <v>1151.1600000000001</v>
      </c>
      <c r="I9967" s="18">
        <v>1151.1600000000001</v>
      </c>
      <c r="J9967" s="27">
        <v>1151.1600000000001</v>
      </c>
      <c r="K9967" s="18">
        <f t="shared" si="311"/>
        <v>1151.1600000000001</v>
      </c>
      <c r="L9967" s="27">
        <v>1151.1600000000001</v>
      </c>
      <c r="M9967" s="36">
        <v>0</v>
      </c>
      <c r="T9967" s="41">
        <v>0</v>
      </c>
      <c r="U9967" s="41">
        <v>0</v>
      </c>
      <c r="V9967" s="42" t="s">
        <v>113</v>
      </c>
      <c r="W9967" s="42">
        <v>1151.1600000000001</v>
      </c>
      <c r="X9967" s="42">
        <v>1151.1600000000001</v>
      </c>
    </row>
    <row r="9968" spans="1:24">
      <c r="A9968" s="27" t="s">
        <v>18062</v>
      </c>
      <c r="B9968" s="28" t="s">
        <v>17556</v>
      </c>
      <c r="C9968" s="27" t="s">
        <v>17869</v>
      </c>
      <c r="D9968" s="27" t="s">
        <v>17578</v>
      </c>
      <c r="E9968" s="29">
        <v>41271</v>
      </c>
      <c r="F9968" s="27">
        <v>7</v>
      </c>
      <c r="G9968" s="18">
        <v>20590.97</v>
      </c>
      <c r="H9968" s="27">
        <f t="shared" si="310"/>
        <v>0</v>
      </c>
      <c r="I9968" s="18">
        <v>16858.080000000002</v>
      </c>
      <c r="J9968" s="27">
        <v>20590.97</v>
      </c>
      <c r="K9968" s="18">
        <f t="shared" si="311"/>
        <v>20590.97</v>
      </c>
      <c r="L9968" s="27">
        <v>19561.419999999998</v>
      </c>
      <c r="M9968" s="36">
        <v>2703.34</v>
      </c>
      <c r="T9968" s="41">
        <v>0</v>
      </c>
      <c r="U9968" s="41">
        <v>0</v>
      </c>
      <c r="V9968" s="42" t="s">
        <v>113</v>
      </c>
      <c r="W9968" s="42">
        <v>20590.97</v>
      </c>
      <c r="X9968" s="42">
        <v>20590.97</v>
      </c>
    </row>
    <row r="9969" spans="1:24">
      <c r="A9969" s="27" t="s">
        <v>18063</v>
      </c>
      <c r="B9969" s="28" t="s">
        <v>17556</v>
      </c>
      <c r="C9969" s="27" t="s">
        <v>17871</v>
      </c>
      <c r="D9969" s="27" t="s">
        <v>17578</v>
      </c>
      <c r="E9969" s="29">
        <v>41271</v>
      </c>
      <c r="F9969" s="27">
        <v>7</v>
      </c>
      <c r="G9969" s="18">
        <v>4300.57</v>
      </c>
      <c r="H9969" s="27">
        <f t="shared" si="310"/>
        <v>4300.57</v>
      </c>
      <c r="I9969" s="18">
        <v>4300.57</v>
      </c>
      <c r="J9969" s="27">
        <v>4300.57</v>
      </c>
      <c r="K9969" s="18">
        <f t="shared" si="311"/>
        <v>4300.57</v>
      </c>
      <c r="L9969" s="27">
        <v>4300.57</v>
      </c>
      <c r="M9969" s="36">
        <v>0</v>
      </c>
      <c r="T9969" s="41">
        <v>0</v>
      </c>
      <c r="U9969" s="41">
        <v>0</v>
      </c>
      <c r="V9969" s="42" t="s">
        <v>113</v>
      </c>
      <c r="W9969" s="42">
        <v>4300.57</v>
      </c>
      <c r="X9969" s="42">
        <v>4300.57</v>
      </c>
    </row>
    <row r="9970" spans="1:24">
      <c r="A9970" s="27" t="s">
        <v>18064</v>
      </c>
      <c r="B9970" s="28" t="s">
        <v>17556</v>
      </c>
      <c r="C9970" s="27" t="s">
        <v>17867</v>
      </c>
      <c r="D9970" s="27" t="s">
        <v>17578</v>
      </c>
      <c r="E9970" s="29">
        <v>41271</v>
      </c>
      <c r="F9970" s="27">
        <v>7</v>
      </c>
      <c r="G9970" s="18">
        <v>140205.1</v>
      </c>
      <c r="H9970" s="27">
        <f t="shared" si="310"/>
        <v>0</v>
      </c>
      <c r="I9970" s="18">
        <v>114787.65</v>
      </c>
      <c r="J9970" s="27">
        <v>140205.1</v>
      </c>
      <c r="K9970" s="18">
        <f t="shared" si="311"/>
        <v>140205.1</v>
      </c>
      <c r="L9970" s="27">
        <v>133194.84</v>
      </c>
      <c r="M9970" s="36">
        <v>18407.189999999999</v>
      </c>
      <c r="T9970" s="41">
        <v>0</v>
      </c>
      <c r="U9970" s="41">
        <v>0</v>
      </c>
      <c r="V9970" s="42" t="s">
        <v>113</v>
      </c>
      <c r="W9970" s="42">
        <v>140205.1</v>
      </c>
      <c r="X9970" s="42">
        <v>140205.1</v>
      </c>
    </row>
    <row r="9971" spans="1:24">
      <c r="A9971" s="27" t="s">
        <v>18065</v>
      </c>
      <c r="B9971" s="28" t="s">
        <v>17556</v>
      </c>
      <c r="C9971" s="27" t="s">
        <v>17883</v>
      </c>
      <c r="D9971" s="27" t="s">
        <v>17578</v>
      </c>
      <c r="E9971" s="29">
        <v>41271</v>
      </c>
      <c r="F9971" s="27">
        <v>7</v>
      </c>
      <c r="G9971" s="18">
        <v>1159.97</v>
      </c>
      <c r="H9971" s="27">
        <f t="shared" si="310"/>
        <v>1159.97</v>
      </c>
      <c r="I9971" s="18">
        <v>1159.97</v>
      </c>
      <c r="J9971" s="27">
        <v>1159.97</v>
      </c>
      <c r="K9971" s="18">
        <f t="shared" si="311"/>
        <v>1159.97</v>
      </c>
      <c r="L9971" s="27">
        <v>1159.97</v>
      </c>
      <c r="M9971" s="36">
        <v>0</v>
      </c>
      <c r="T9971" s="41">
        <v>0</v>
      </c>
      <c r="U9971" s="41">
        <v>0</v>
      </c>
      <c r="V9971" s="42" t="s">
        <v>113</v>
      </c>
      <c r="W9971" s="42">
        <v>1159.97</v>
      </c>
      <c r="X9971" s="42">
        <v>1159.97</v>
      </c>
    </row>
    <row r="9972" spans="1:24">
      <c r="A9972" s="27" t="s">
        <v>18066</v>
      </c>
      <c r="B9972" s="28" t="s">
        <v>17556</v>
      </c>
      <c r="C9972" s="27" t="s">
        <v>17869</v>
      </c>
      <c r="D9972" s="27" t="s">
        <v>17578</v>
      </c>
      <c r="E9972" s="29">
        <v>41271</v>
      </c>
      <c r="F9972" s="27">
        <v>7</v>
      </c>
      <c r="G9972" s="18">
        <v>20748.490000000002</v>
      </c>
      <c r="H9972" s="27">
        <f t="shared" si="310"/>
        <v>0</v>
      </c>
      <c r="I9972" s="18">
        <v>16987.05</v>
      </c>
      <c r="J9972" s="27">
        <v>20748.490000000002</v>
      </c>
      <c r="K9972" s="18">
        <f t="shared" si="311"/>
        <v>20748.490000000002</v>
      </c>
      <c r="L9972" s="27">
        <v>19711.07</v>
      </c>
      <c r="M9972" s="36">
        <v>2724.02</v>
      </c>
      <c r="T9972" s="41">
        <v>0</v>
      </c>
      <c r="U9972" s="41">
        <v>0</v>
      </c>
      <c r="V9972" s="42" t="s">
        <v>113</v>
      </c>
      <c r="W9972" s="42">
        <v>20748.490000000002</v>
      </c>
      <c r="X9972" s="42">
        <v>20748.490000000002</v>
      </c>
    </row>
    <row r="9973" spans="1:24">
      <c r="A9973" s="27" t="s">
        <v>18067</v>
      </c>
      <c r="B9973" s="28" t="s">
        <v>17556</v>
      </c>
      <c r="C9973" s="27" t="s">
        <v>17871</v>
      </c>
      <c r="D9973" s="27" t="s">
        <v>17578</v>
      </c>
      <c r="E9973" s="29">
        <v>41271</v>
      </c>
      <c r="F9973" s="27">
        <v>7</v>
      </c>
      <c r="G9973" s="18">
        <v>4333.4799999999996</v>
      </c>
      <c r="H9973" s="27">
        <f t="shared" si="310"/>
        <v>4333.4799999999996</v>
      </c>
      <c r="I9973" s="18">
        <v>4333.4799999999996</v>
      </c>
      <c r="J9973" s="27">
        <v>4333.4799999999996</v>
      </c>
      <c r="K9973" s="18">
        <f t="shared" si="311"/>
        <v>4333.4799999999996</v>
      </c>
      <c r="L9973" s="27">
        <v>4333.4799999999996</v>
      </c>
      <c r="M9973" s="36">
        <v>0</v>
      </c>
      <c r="T9973" s="41">
        <v>0</v>
      </c>
      <c r="U9973" s="41">
        <v>0</v>
      </c>
      <c r="V9973" s="42" t="s">
        <v>113</v>
      </c>
      <c r="W9973" s="42">
        <v>4333.4799999999996</v>
      </c>
      <c r="X9973" s="42">
        <v>4333.4799999999996</v>
      </c>
    </row>
    <row r="9974" spans="1:24">
      <c r="A9974" s="27" t="s">
        <v>18068</v>
      </c>
      <c r="B9974" s="28" t="s">
        <v>17556</v>
      </c>
      <c r="C9974" s="27" t="s">
        <v>17867</v>
      </c>
      <c r="D9974" s="27" t="s">
        <v>17578</v>
      </c>
      <c r="E9974" s="29">
        <v>41271</v>
      </c>
      <c r="F9974" s="27">
        <v>7</v>
      </c>
      <c r="G9974" s="18">
        <v>142459.71</v>
      </c>
      <c r="H9974" s="27">
        <f t="shared" si="310"/>
        <v>0</v>
      </c>
      <c r="I9974" s="18">
        <v>116633.53</v>
      </c>
      <c r="J9974" s="27">
        <v>142459.71</v>
      </c>
      <c r="K9974" s="18">
        <f t="shared" si="311"/>
        <v>142459.71</v>
      </c>
      <c r="L9974" s="27">
        <v>135336.72</v>
      </c>
      <c r="M9974" s="36">
        <v>18703.189999999999</v>
      </c>
      <c r="T9974" s="41">
        <v>0</v>
      </c>
      <c r="U9974" s="41">
        <v>0</v>
      </c>
      <c r="V9974" s="42" t="s">
        <v>113</v>
      </c>
      <c r="W9974" s="42">
        <v>142459.71</v>
      </c>
      <c r="X9974" s="42">
        <v>142459.71</v>
      </c>
    </row>
    <row r="9975" spans="1:24">
      <c r="A9975" s="27" t="s">
        <v>18069</v>
      </c>
      <c r="B9975" s="28" t="s">
        <v>17556</v>
      </c>
      <c r="C9975" s="27" t="s">
        <v>17883</v>
      </c>
      <c r="D9975" s="27" t="s">
        <v>17578</v>
      </c>
      <c r="E9975" s="29">
        <v>41271</v>
      </c>
      <c r="F9975" s="27">
        <v>7</v>
      </c>
      <c r="G9975" s="18">
        <v>1195.04</v>
      </c>
      <c r="H9975" s="27">
        <f t="shared" si="310"/>
        <v>1195.04</v>
      </c>
      <c r="I9975" s="18">
        <v>1195.04</v>
      </c>
      <c r="J9975" s="27">
        <v>1195.04</v>
      </c>
      <c r="K9975" s="18">
        <f t="shared" si="311"/>
        <v>1195.04</v>
      </c>
      <c r="L9975" s="27">
        <v>1195.04</v>
      </c>
      <c r="M9975" s="36">
        <v>0</v>
      </c>
      <c r="T9975" s="41">
        <v>0</v>
      </c>
      <c r="U9975" s="41">
        <v>0</v>
      </c>
      <c r="V9975" s="42" t="s">
        <v>113</v>
      </c>
      <c r="W9975" s="42">
        <v>1195.04</v>
      </c>
      <c r="X9975" s="42">
        <v>1195.04</v>
      </c>
    </row>
    <row r="9976" spans="1:24">
      <c r="A9976" s="27" t="s">
        <v>18070</v>
      </c>
      <c r="B9976" s="28" t="s">
        <v>17556</v>
      </c>
      <c r="C9976" s="27" t="s">
        <v>17869</v>
      </c>
      <c r="D9976" s="27" t="s">
        <v>17578</v>
      </c>
      <c r="E9976" s="29">
        <v>41271</v>
      </c>
      <c r="F9976" s="27">
        <v>7</v>
      </c>
      <c r="G9976" s="18">
        <v>21375.77</v>
      </c>
      <c r="H9976" s="27">
        <f t="shared" si="310"/>
        <v>0</v>
      </c>
      <c r="I9976" s="18">
        <v>17500.61</v>
      </c>
      <c r="J9976" s="27">
        <v>21375.77</v>
      </c>
      <c r="K9976" s="18">
        <f t="shared" si="311"/>
        <v>21375.77</v>
      </c>
      <c r="L9976" s="27">
        <v>20306.98</v>
      </c>
      <c r="M9976" s="36">
        <v>2806.37</v>
      </c>
      <c r="T9976" s="41">
        <v>0</v>
      </c>
      <c r="U9976" s="41">
        <v>0</v>
      </c>
      <c r="V9976" s="42" t="s">
        <v>113</v>
      </c>
      <c r="W9976" s="42">
        <v>21375.77</v>
      </c>
      <c r="X9976" s="42">
        <v>21375.77</v>
      </c>
    </row>
    <row r="9977" spans="1:24">
      <c r="A9977" s="27" t="s">
        <v>18071</v>
      </c>
      <c r="B9977" s="28" t="s">
        <v>17556</v>
      </c>
      <c r="C9977" s="27" t="s">
        <v>17871</v>
      </c>
      <c r="D9977" s="27" t="s">
        <v>17578</v>
      </c>
      <c r="E9977" s="29">
        <v>41271</v>
      </c>
      <c r="F9977" s="27">
        <v>7</v>
      </c>
      <c r="G9977" s="18">
        <v>4464.49</v>
      </c>
      <c r="H9977" s="27">
        <f t="shared" si="310"/>
        <v>4464.49</v>
      </c>
      <c r="I9977" s="18">
        <v>4464.49</v>
      </c>
      <c r="J9977" s="27">
        <v>4464.49</v>
      </c>
      <c r="K9977" s="18">
        <f t="shared" si="311"/>
        <v>4464.49</v>
      </c>
      <c r="L9977" s="27">
        <v>4464.49</v>
      </c>
      <c r="M9977" s="36">
        <v>0</v>
      </c>
      <c r="T9977" s="41">
        <v>0</v>
      </c>
      <c r="U9977" s="41">
        <v>0</v>
      </c>
      <c r="V9977" s="42" t="s">
        <v>113</v>
      </c>
      <c r="W9977" s="42">
        <v>4464.49</v>
      </c>
      <c r="X9977" s="42">
        <v>4464.49</v>
      </c>
    </row>
    <row r="9978" spans="1:24">
      <c r="A9978" s="27" t="s">
        <v>18072</v>
      </c>
      <c r="B9978" s="28" t="s">
        <v>17556</v>
      </c>
      <c r="C9978" s="27" t="s">
        <v>17867</v>
      </c>
      <c r="D9978" s="27" t="s">
        <v>17578</v>
      </c>
      <c r="E9978" s="29">
        <v>41271</v>
      </c>
      <c r="F9978" s="27">
        <v>7</v>
      </c>
      <c r="G9978" s="18">
        <v>80439.22</v>
      </c>
      <c r="H9978" s="27">
        <f t="shared" si="310"/>
        <v>0</v>
      </c>
      <c r="I9978" s="18">
        <v>65856.59</v>
      </c>
      <c r="J9978" s="27">
        <v>80439.22</v>
      </c>
      <c r="K9978" s="18">
        <f t="shared" si="311"/>
        <v>80439.22</v>
      </c>
      <c r="L9978" s="27">
        <v>76417.259999999995</v>
      </c>
      <c r="M9978" s="36">
        <v>10560.67</v>
      </c>
      <c r="T9978" s="41">
        <v>0</v>
      </c>
      <c r="U9978" s="41">
        <v>0</v>
      </c>
      <c r="V9978" s="42" t="s">
        <v>113</v>
      </c>
      <c r="W9978" s="42">
        <v>80439.22</v>
      </c>
      <c r="X9978" s="42">
        <v>80439.22</v>
      </c>
    </row>
    <row r="9979" spans="1:24">
      <c r="A9979" s="27" t="s">
        <v>18073</v>
      </c>
      <c r="B9979" s="28" t="s">
        <v>17556</v>
      </c>
      <c r="C9979" s="27" t="s">
        <v>17883</v>
      </c>
      <c r="D9979" s="27" t="s">
        <v>17578</v>
      </c>
      <c r="E9979" s="29">
        <v>41271</v>
      </c>
      <c r="F9979" s="27">
        <v>7</v>
      </c>
      <c r="G9979" s="18">
        <v>3009.23</v>
      </c>
      <c r="H9979" s="27">
        <f t="shared" si="310"/>
        <v>3009.23</v>
      </c>
      <c r="I9979" s="18">
        <v>3009.23</v>
      </c>
      <c r="J9979" s="27">
        <v>3009.23</v>
      </c>
      <c r="K9979" s="18">
        <f t="shared" si="311"/>
        <v>3009.23</v>
      </c>
      <c r="L9979" s="27">
        <v>3009.23</v>
      </c>
      <c r="M9979" s="36">
        <v>0</v>
      </c>
      <c r="T9979" s="41">
        <v>0</v>
      </c>
      <c r="U9979" s="41">
        <v>0</v>
      </c>
      <c r="V9979" s="42" t="s">
        <v>113</v>
      </c>
      <c r="W9979" s="42">
        <v>3009.23</v>
      </c>
      <c r="X9979" s="42">
        <v>3009.23</v>
      </c>
    </row>
    <row r="9980" spans="1:24">
      <c r="A9980" s="27" t="s">
        <v>18074</v>
      </c>
      <c r="B9980" s="28" t="s">
        <v>17556</v>
      </c>
      <c r="C9980" s="27" t="s">
        <v>17869</v>
      </c>
      <c r="D9980" s="27" t="s">
        <v>17578</v>
      </c>
      <c r="E9980" s="29">
        <v>41271</v>
      </c>
      <c r="F9980" s="27">
        <v>7</v>
      </c>
      <c r="G9980" s="18">
        <v>11662.41</v>
      </c>
      <c r="H9980" s="27">
        <f t="shared" si="310"/>
        <v>0</v>
      </c>
      <c r="I9980" s="18">
        <v>9548.16</v>
      </c>
      <c r="J9980" s="27">
        <v>11662.41</v>
      </c>
      <c r="K9980" s="18">
        <f t="shared" si="311"/>
        <v>11662.41</v>
      </c>
      <c r="L9980" s="27">
        <v>11079.29</v>
      </c>
      <c r="M9980" s="36">
        <v>1531.13</v>
      </c>
      <c r="T9980" s="41">
        <v>0</v>
      </c>
      <c r="U9980" s="41">
        <v>0</v>
      </c>
      <c r="V9980" s="42" t="s">
        <v>113</v>
      </c>
      <c r="W9980" s="42">
        <v>11662.41</v>
      </c>
      <c r="X9980" s="42">
        <v>11662.41</v>
      </c>
    </row>
    <row r="9981" spans="1:24">
      <c r="A9981" s="27" t="s">
        <v>18075</v>
      </c>
      <c r="B9981" s="28" t="s">
        <v>17556</v>
      </c>
      <c r="C9981" s="27" t="s">
        <v>17871</v>
      </c>
      <c r="D9981" s="27" t="s">
        <v>17578</v>
      </c>
      <c r="E9981" s="29">
        <v>41271</v>
      </c>
      <c r="F9981" s="27">
        <v>7</v>
      </c>
      <c r="G9981" s="18">
        <v>5621.03</v>
      </c>
      <c r="H9981" s="27">
        <f t="shared" si="310"/>
        <v>0</v>
      </c>
      <c r="I9981" s="18">
        <v>4602.01</v>
      </c>
      <c r="J9981" s="27">
        <v>5621.03</v>
      </c>
      <c r="K9981" s="18">
        <f t="shared" si="311"/>
        <v>5621.03</v>
      </c>
      <c r="L9981" s="27">
        <v>5339.98</v>
      </c>
      <c r="M9981" s="36">
        <v>737.97</v>
      </c>
      <c r="T9981" s="41">
        <v>0</v>
      </c>
      <c r="U9981" s="41">
        <v>0</v>
      </c>
      <c r="V9981" s="42" t="s">
        <v>113</v>
      </c>
      <c r="W9981" s="42">
        <v>5621.03</v>
      </c>
      <c r="X9981" s="42">
        <v>5621.03</v>
      </c>
    </row>
    <row r="9982" spans="1:24">
      <c r="A9982" s="27" t="s">
        <v>18076</v>
      </c>
      <c r="B9982" s="28" t="s">
        <v>17556</v>
      </c>
      <c r="C9982" s="27" t="s">
        <v>17867</v>
      </c>
      <c r="D9982" s="27" t="s">
        <v>17578</v>
      </c>
      <c r="E9982" s="29">
        <v>41271</v>
      </c>
      <c r="F9982" s="27">
        <v>7</v>
      </c>
      <c r="G9982" s="18">
        <v>98611.23</v>
      </c>
      <c r="H9982" s="27">
        <f t="shared" si="310"/>
        <v>0</v>
      </c>
      <c r="I9982" s="18">
        <v>80734.240000000005</v>
      </c>
      <c r="J9982" s="27">
        <v>98611.23</v>
      </c>
      <c r="K9982" s="18">
        <f t="shared" si="311"/>
        <v>98611.23</v>
      </c>
      <c r="L9982" s="27">
        <v>93680.67</v>
      </c>
      <c r="M9982" s="36">
        <v>12946.43</v>
      </c>
      <c r="T9982" s="41">
        <v>0</v>
      </c>
      <c r="U9982" s="41">
        <v>0</v>
      </c>
      <c r="V9982" s="42" t="s">
        <v>113</v>
      </c>
      <c r="W9982" s="42">
        <v>98611.23</v>
      </c>
      <c r="X9982" s="42">
        <v>98611.23</v>
      </c>
    </row>
    <row r="9983" spans="1:24">
      <c r="A9983" s="27" t="s">
        <v>18077</v>
      </c>
      <c r="B9983" s="28" t="s">
        <v>17556</v>
      </c>
      <c r="C9983" s="27" t="s">
        <v>17869</v>
      </c>
      <c r="D9983" s="27" t="s">
        <v>17578</v>
      </c>
      <c r="E9983" s="29">
        <v>41271</v>
      </c>
      <c r="F9983" s="27">
        <v>7</v>
      </c>
      <c r="G9983" s="18">
        <v>18540.689999999999</v>
      </c>
      <c r="H9983" s="27">
        <f t="shared" si="310"/>
        <v>0</v>
      </c>
      <c r="I9983" s="18">
        <v>15179.5</v>
      </c>
      <c r="J9983" s="27">
        <v>18540.689999999999</v>
      </c>
      <c r="K9983" s="18">
        <f t="shared" si="311"/>
        <v>18540.689999999999</v>
      </c>
      <c r="L9983" s="27">
        <v>17613.66</v>
      </c>
      <c r="M9983" s="36">
        <v>2434.16</v>
      </c>
      <c r="T9983" s="41">
        <v>0</v>
      </c>
      <c r="U9983" s="41">
        <v>0</v>
      </c>
      <c r="V9983" s="42" t="s">
        <v>113</v>
      </c>
      <c r="W9983" s="42">
        <v>18540.689999999999</v>
      </c>
      <c r="X9983" s="42">
        <v>18540.689999999999</v>
      </c>
    </row>
    <row r="9984" spans="1:24">
      <c r="A9984" s="27" t="s">
        <v>18078</v>
      </c>
      <c r="B9984" s="28" t="s">
        <v>17556</v>
      </c>
      <c r="C9984" s="27" t="s">
        <v>17871</v>
      </c>
      <c r="D9984" s="27" t="s">
        <v>17578</v>
      </c>
      <c r="E9984" s="29">
        <v>41271</v>
      </c>
      <c r="F9984" s="27">
        <v>7</v>
      </c>
      <c r="G9984" s="18">
        <v>5808.54</v>
      </c>
      <c r="H9984" s="27">
        <f t="shared" si="310"/>
        <v>0</v>
      </c>
      <c r="I9984" s="18">
        <v>4755.53</v>
      </c>
      <c r="J9984" s="27">
        <v>5808.54</v>
      </c>
      <c r="K9984" s="18">
        <f t="shared" si="311"/>
        <v>5808.54</v>
      </c>
      <c r="L9984" s="27">
        <v>5518.11</v>
      </c>
      <c r="M9984" s="36">
        <v>762.58</v>
      </c>
      <c r="T9984" s="41">
        <v>0</v>
      </c>
      <c r="U9984" s="41">
        <v>0</v>
      </c>
      <c r="V9984" s="42" t="s">
        <v>113</v>
      </c>
      <c r="W9984" s="42">
        <v>5808.54</v>
      </c>
      <c r="X9984" s="42">
        <v>5808.54</v>
      </c>
    </row>
    <row r="9985" spans="1:24">
      <c r="A9985" s="27" t="s">
        <v>18079</v>
      </c>
      <c r="B9985" s="28" t="s">
        <v>17556</v>
      </c>
      <c r="C9985" s="27" t="s">
        <v>17867</v>
      </c>
      <c r="D9985" s="27" t="s">
        <v>17578</v>
      </c>
      <c r="E9985" s="29">
        <v>41271</v>
      </c>
      <c r="F9985" s="27">
        <v>7</v>
      </c>
      <c r="G9985" s="18">
        <v>486297.06</v>
      </c>
      <c r="H9985" s="27">
        <f t="shared" si="310"/>
        <v>0</v>
      </c>
      <c r="I9985" s="18">
        <v>398137.44</v>
      </c>
      <c r="J9985" s="27">
        <v>486297.06</v>
      </c>
      <c r="K9985" s="18">
        <f t="shared" si="311"/>
        <v>486297.06</v>
      </c>
      <c r="L9985" s="27">
        <v>461982.21</v>
      </c>
      <c r="M9985" s="36">
        <v>63844.77</v>
      </c>
      <c r="T9985" s="41">
        <v>0</v>
      </c>
      <c r="U9985" s="41">
        <v>0</v>
      </c>
      <c r="V9985" s="42" t="s">
        <v>113</v>
      </c>
      <c r="W9985" s="42">
        <v>486297.06</v>
      </c>
      <c r="X9985" s="42">
        <v>486297.06</v>
      </c>
    </row>
    <row r="9986" spans="1:24">
      <c r="A9986" s="27" t="s">
        <v>18080</v>
      </c>
      <c r="B9986" s="28" t="s">
        <v>17556</v>
      </c>
      <c r="C9986" s="27" t="s">
        <v>17867</v>
      </c>
      <c r="D9986" s="27" t="s">
        <v>17578</v>
      </c>
      <c r="E9986" s="29">
        <v>41271</v>
      </c>
      <c r="F9986" s="27">
        <v>7</v>
      </c>
      <c r="G9986" s="18">
        <v>33280.769999999997</v>
      </c>
      <c r="H9986" s="27">
        <f t="shared" si="310"/>
        <v>0</v>
      </c>
      <c r="I9986" s="18">
        <v>27247.38</v>
      </c>
      <c r="J9986" s="27">
        <v>33280.769999999997</v>
      </c>
      <c r="K9986" s="18">
        <f t="shared" si="311"/>
        <v>33280.769999999997</v>
      </c>
      <c r="L9986" s="27">
        <v>31616.73</v>
      </c>
      <c r="M9986" s="36">
        <v>4369.3500000000004</v>
      </c>
      <c r="T9986" s="41">
        <v>0</v>
      </c>
      <c r="U9986" s="41">
        <v>0</v>
      </c>
      <c r="V9986" s="42" t="s">
        <v>113</v>
      </c>
      <c r="W9986" s="42">
        <v>33280.769999999997</v>
      </c>
      <c r="X9986" s="42">
        <v>33280.769999999997</v>
      </c>
    </row>
    <row r="9987" spans="1:24">
      <c r="A9987" s="27" t="s">
        <v>18081</v>
      </c>
      <c r="B9987" s="28" t="s">
        <v>17556</v>
      </c>
      <c r="C9987" s="27" t="s">
        <v>17883</v>
      </c>
      <c r="D9987" s="27" t="s">
        <v>17578</v>
      </c>
      <c r="E9987" s="29">
        <v>41271</v>
      </c>
      <c r="F9987" s="27">
        <v>7</v>
      </c>
      <c r="G9987" s="18">
        <v>1488.3</v>
      </c>
      <c r="H9987" s="27">
        <f t="shared" si="310"/>
        <v>1488.3</v>
      </c>
      <c r="I9987" s="18">
        <v>1488.3</v>
      </c>
      <c r="J9987" s="27">
        <v>1488.3</v>
      </c>
      <c r="K9987" s="18">
        <f t="shared" si="311"/>
        <v>1488.3</v>
      </c>
      <c r="L9987" s="27">
        <v>1488.3</v>
      </c>
      <c r="M9987" s="36">
        <v>0</v>
      </c>
      <c r="T9987" s="41">
        <v>0</v>
      </c>
      <c r="U9987" s="41">
        <v>0</v>
      </c>
      <c r="V9987" s="42" t="s">
        <v>113</v>
      </c>
      <c r="W9987" s="42">
        <v>1488.3</v>
      </c>
      <c r="X9987" s="42">
        <v>1488.3</v>
      </c>
    </row>
    <row r="9988" spans="1:24">
      <c r="A9988" s="27" t="s">
        <v>18082</v>
      </c>
      <c r="B9988" s="28" t="s">
        <v>17556</v>
      </c>
      <c r="C9988" s="27" t="s">
        <v>17869</v>
      </c>
      <c r="D9988" s="27" t="s">
        <v>17578</v>
      </c>
      <c r="E9988" s="29">
        <v>41271</v>
      </c>
      <c r="F9988" s="27">
        <v>7</v>
      </c>
      <c r="G9988" s="18">
        <v>48805.88</v>
      </c>
      <c r="H9988" s="27">
        <f t="shared" si="310"/>
        <v>0</v>
      </c>
      <c r="I9988" s="18">
        <v>39957.980000000003</v>
      </c>
      <c r="J9988" s="27">
        <v>48805.88</v>
      </c>
      <c r="K9988" s="18">
        <f t="shared" si="311"/>
        <v>48805.88</v>
      </c>
      <c r="L9988" s="27">
        <v>46365.59</v>
      </c>
      <c r="M9988" s="36">
        <v>6407.61</v>
      </c>
      <c r="T9988" s="41">
        <v>0</v>
      </c>
      <c r="U9988" s="41">
        <v>0</v>
      </c>
      <c r="V9988" s="42" t="s">
        <v>113</v>
      </c>
      <c r="W9988" s="42">
        <v>48805.88</v>
      </c>
      <c r="X9988" s="42">
        <v>48805.88</v>
      </c>
    </row>
    <row r="9989" spans="1:24">
      <c r="A9989" s="27" t="s">
        <v>18083</v>
      </c>
      <c r="B9989" s="28" t="s">
        <v>17556</v>
      </c>
      <c r="C9989" s="27" t="s">
        <v>17871</v>
      </c>
      <c r="D9989" s="27" t="s">
        <v>17578</v>
      </c>
      <c r="E9989" s="29">
        <v>41271</v>
      </c>
      <c r="F9989" s="27">
        <v>7</v>
      </c>
      <c r="G9989" s="18">
        <v>33360.47</v>
      </c>
      <c r="H9989" s="27">
        <f t="shared" si="310"/>
        <v>0</v>
      </c>
      <c r="I9989" s="18">
        <v>27312.63</v>
      </c>
      <c r="J9989" s="27">
        <v>33360.47</v>
      </c>
      <c r="K9989" s="18">
        <f t="shared" si="311"/>
        <v>33360.47</v>
      </c>
      <c r="L9989" s="27">
        <v>31692.45</v>
      </c>
      <c r="M9989" s="36">
        <v>4379.82</v>
      </c>
      <c r="T9989" s="41">
        <v>0</v>
      </c>
      <c r="U9989" s="41">
        <v>0</v>
      </c>
      <c r="V9989" s="42" t="s">
        <v>113</v>
      </c>
      <c r="W9989" s="42">
        <v>33360.47</v>
      </c>
      <c r="X9989" s="42">
        <v>33360.47</v>
      </c>
    </row>
    <row r="9990" spans="1:24">
      <c r="A9990" s="27" t="s">
        <v>18084</v>
      </c>
      <c r="B9990" s="28" t="s">
        <v>17556</v>
      </c>
      <c r="C9990" s="27" t="s">
        <v>17867</v>
      </c>
      <c r="D9990" s="27" t="s">
        <v>17578</v>
      </c>
      <c r="E9990" s="29">
        <v>41271</v>
      </c>
      <c r="F9990" s="27">
        <v>7</v>
      </c>
      <c r="G9990" s="18">
        <v>119001.42</v>
      </c>
      <c r="H9990" s="27">
        <f t="shared" ref="H9990:H10053" si="312">IFERROR(IF(ROUND((G9990-I9990)/G9990,2)&lt;=0.05,G9990,0),0)</f>
        <v>0</v>
      </c>
      <c r="I9990" s="18">
        <v>97427.94</v>
      </c>
      <c r="J9990" s="27">
        <v>119001.42</v>
      </c>
      <c r="K9990" s="18">
        <f t="shared" ref="K9990:K10053" si="313">IFERROR(IF(ROUND((J9990-L9990)/J9990,2)&lt;=0.05,J9990,0),0)</f>
        <v>119001.42</v>
      </c>
      <c r="L9990" s="27">
        <v>113051.35</v>
      </c>
      <c r="M9990" s="36">
        <v>15623.41</v>
      </c>
      <c r="T9990" s="41">
        <v>0</v>
      </c>
      <c r="U9990" s="41">
        <v>0</v>
      </c>
      <c r="V9990" s="42" t="s">
        <v>113</v>
      </c>
      <c r="W9990" s="42">
        <v>119001.42</v>
      </c>
      <c r="X9990" s="42">
        <v>119001.42</v>
      </c>
    </row>
    <row r="9991" spans="1:24">
      <c r="A9991" s="27" t="s">
        <v>18085</v>
      </c>
      <c r="B9991" s="28" t="s">
        <v>17556</v>
      </c>
      <c r="C9991" s="27" t="s">
        <v>17869</v>
      </c>
      <c r="D9991" s="27" t="s">
        <v>17578</v>
      </c>
      <c r="E9991" s="29">
        <v>41271</v>
      </c>
      <c r="F9991" s="27">
        <v>7</v>
      </c>
      <c r="G9991" s="18">
        <v>66329.789999999994</v>
      </c>
      <c r="H9991" s="27">
        <f t="shared" si="312"/>
        <v>0</v>
      </c>
      <c r="I9991" s="18">
        <v>54305.03</v>
      </c>
      <c r="J9991" s="27">
        <v>66329.789999999994</v>
      </c>
      <c r="K9991" s="18">
        <f t="shared" si="313"/>
        <v>66329.789999999994</v>
      </c>
      <c r="L9991" s="27">
        <v>63013.3</v>
      </c>
      <c r="M9991" s="36">
        <v>8708.27</v>
      </c>
      <c r="T9991" s="41">
        <v>0</v>
      </c>
      <c r="U9991" s="41">
        <v>0</v>
      </c>
      <c r="V9991" s="42" t="s">
        <v>113</v>
      </c>
      <c r="W9991" s="42">
        <v>66329.789999999994</v>
      </c>
      <c r="X9991" s="42">
        <v>66329.789999999994</v>
      </c>
    </row>
    <row r="9992" spans="1:24">
      <c r="A9992" s="27" t="s">
        <v>18086</v>
      </c>
      <c r="B9992" s="28" t="s">
        <v>17556</v>
      </c>
      <c r="C9992" s="27" t="s">
        <v>17871</v>
      </c>
      <c r="D9992" s="27" t="s">
        <v>17578</v>
      </c>
      <c r="E9992" s="29">
        <v>41271</v>
      </c>
      <c r="F9992" s="27">
        <v>7</v>
      </c>
      <c r="G9992" s="18">
        <v>6493.81</v>
      </c>
      <c r="H9992" s="27">
        <f t="shared" si="312"/>
        <v>0</v>
      </c>
      <c r="I9992" s="18">
        <v>5316.57</v>
      </c>
      <c r="J9992" s="27">
        <v>6493.81</v>
      </c>
      <c r="K9992" s="18">
        <f t="shared" si="313"/>
        <v>6493.81</v>
      </c>
      <c r="L9992" s="27">
        <v>6169.12</v>
      </c>
      <c r="M9992" s="36">
        <v>852.55</v>
      </c>
      <c r="T9992" s="41">
        <v>0</v>
      </c>
      <c r="U9992" s="41">
        <v>0</v>
      </c>
      <c r="V9992" s="42" t="s">
        <v>113</v>
      </c>
      <c r="W9992" s="42">
        <v>6493.81</v>
      </c>
      <c r="X9992" s="42">
        <v>6493.81</v>
      </c>
    </row>
    <row r="9993" spans="1:24">
      <c r="A9993" s="27" t="s">
        <v>18087</v>
      </c>
      <c r="B9993" s="28" t="s">
        <v>17556</v>
      </c>
      <c r="C9993" s="27" t="s">
        <v>17867</v>
      </c>
      <c r="D9993" s="27" t="s">
        <v>17578</v>
      </c>
      <c r="E9993" s="29">
        <v>41271</v>
      </c>
      <c r="F9993" s="27">
        <v>7</v>
      </c>
      <c r="G9993" s="18">
        <v>212105.88</v>
      </c>
      <c r="H9993" s="27">
        <f t="shared" si="312"/>
        <v>0</v>
      </c>
      <c r="I9993" s="18">
        <v>173653.73</v>
      </c>
      <c r="J9993" s="27">
        <v>212105.88</v>
      </c>
      <c r="K9993" s="18">
        <f t="shared" si="313"/>
        <v>212105.88</v>
      </c>
      <c r="L9993" s="27">
        <v>201500.59</v>
      </c>
      <c r="M9993" s="36">
        <v>27846.86</v>
      </c>
      <c r="T9993" s="41">
        <v>0</v>
      </c>
      <c r="U9993" s="41">
        <v>0</v>
      </c>
      <c r="V9993" s="42" t="s">
        <v>113</v>
      </c>
      <c r="W9993" s="42">
        <v>212105.88</v>
      </c>
      <c r="X9993" s="42">
        <v>212105.88</v>
      </c>
    </row>
    <row r="9994" spans="1:24">
      <c r="A9994" s="27" t="s">
        <v>18088</v>
      </c>
      <c r="B9994" s="28" t="s">
        <v>17556</v>
      </c>
      <c r="C9994" s="27" t="s">
        <v>17883</v>
      </c>
      <c r="D9994" s="27" t="s">
        <v>17578</v>
      </c>
      <c r="E9994" s="29">
        <v>41271</v>
      </c>
      <c r="F9994" s="27">
        <v>7</v>
      </c>
      <c r="G9994" s="18">
        <v>1834.95</v>
      </c>
      <c r="H9994" s="27">
        <f t="shared" si="312"/>
        <v>1834.95</v>
      </c>
      <c r="I9994" s="18">
        <v>1834.95</v>
      </c>
      <c r="J9994" s="27">
        <v>1834.95</v>
      </c>
      <c r="K9994" s="18">
        <f t="shared" si="313"/>
        <v>1834.95</v>
      </c>
      <c r="L9994" s="27">
        <v>1834.95</v>
      </c>
      <c r="M9994" s="36">
        <v>0</v>
      </c>
      <c r="T9994" s="41">
        <v>0</v>
      </c>
      <c r="U9994" s="41">
        <v>0</v>
      </c>
      <c r="V9994" s="42" t="s">
        <v>113</v>
      </c>
      <c r="W9994" s="42">
        <v>1834.95</v>
      </c>
      <c r="X9994" s="42">
        <v>1834.95</v>
      </c>
    </row>
    <row r="9995" spans="1:24">
      <c r="A9995" s="27" t="s">
        <v>18089</v>
      </c>
      <c r="B9995" s="28" t="s">
        <v>17556</v>
      </c>
      <c r="C9995" s="27" t="s">
        <v>18090</v>
      </c>
      <c r="D9995" s="27" t="s">
        <v>17578</v>
      </c>
      <c r="E9995" s="29">
        <v>41271</v>
      </c>
      <c r="F9995" s="27">
        <v>7</v>
      </c>
      <c r="G9995" s="18">
        <v>131898.37</v>
      </c>
      <c r="H9995" s="27">
        <f t="shared" si="312"/>
        <v>0</v>
      </c>
      <c r="I9995" s="18">
        <v>107986.83</v>
      </c>
      <c r="J9995" s="27">
        <v>131898.37</v>
      </c>
      <c r="K9995" s="18">
        <f t="shared" si="313"/>
        <v>131898.37</v>
      </c>
      <c r="L9995" s="27">
        <v>125303.45</v>
      </c>
      <c r="M9995" s="36">
        <v>17316.62</v>
      </c>
      <c r="T9995" s="41">
        <v>0</v>
      </c>
      <c r="U9995" s="41">
        <v>0</v>
      </c>
      <c r="V9995" s="42" t="s">
        <v>113</v>
      </c>
      <c r="W9995" s="42">
        <v>131898.37</v>
      </c>
      <c r="X9995" s="42">
        <v>131898.37</v>
      </c>
    </row>
    <row r="9996" spans="1:24">
      <c r="A9996" s="27" t="s">
        <v>18091</v>
      </c>
      <c r="B9996" s="28" t="s">
        <v>17556</v>
      </c>
      <c r="C9996" s="27" t="s">
        <v>17871</v>
      </c>
      <c r="D9996" s="27" t="s">
        <v>17578</v>
      </c>
      <c r="E9996" s="29">
        <v>41271</v>
      </c>
      <c r="F9996" s="27">
        <v>7</v>
      </c>
      <c r="G9996" s="18">
        <v>13710.22</v>
      </c>
      <c r="H9996" s="27">
        <f t="shared" si="312"/>
        <v>0</v>
      </c>
      <c r="I9996" s="18">
        <v>11224.73</v>
      </c>
      <c r="J9996" s="27">
        <v>13710.22</v>
      </c>
      <c r="K9996" s="18">
        <f t="shared" si="313"/>
        <v>13710.22</v>
      </c>
      <c r="L9996" s="27">
        <v>13024.71</v>
      </c>
      <c r="M9996" s="36">
        <v>1799.98</v>
      </c>
      <c r="T9996" s="41">
        <v>0</v>
      </c>
      <c r="U9996" s="41">
        <v>0</v>
      </c>
      <c r="V9996" s="42" t="s">
        <v>113</v>
      </c>
      <c r="W9996" s="42">
        <v>13710.22</v>
      </c>
      <c r="X9996" s="42">
        <v>13710.22</v>
      </c>
    </row>
    <row r="9997" spans="1:24">
      <c r="A9997" s="27" t="s">
        <v>18092</v>
      </c>
      <c r="B9997" s="28" t="s">
        <v>17556</v>
      </c>
      <c r="C9997" s="27" t="s">
        <v>17867</v>
      </c>
      <c r="D9997" s="27" t="s">
        <v>17578</v>
      </c>
      <c r="E9997" s="29">
        <v>41271</v>
      </c>
      <c r="F9997" s="27">
        <v>7</v>
      </c>
      <c r="G9997" s="18">
        <v>217874.87</v>
      </c>
      <c r="H9997" s="27">
        <f t="shared" si="312"/>
        <v>0</v>
      </c>
      <c r="I9997" s="18">
        <v>178376.87</v>
      </c>
      <c r="J9997" s="27">
        <v>217874.87</v>
      </c>
      <c r="K9997" s="18">
        <f t="shared" si="313"/>
        <v>217874.87</v>
      </c>
      <c r="L9997" s="27">
        <v>206981.13</v>
      </c>
      <c r="M9997" s="36">
        <v>28604.26</v>
      </c>
      <c r="T9997" s="41">
        <v>0</v>
      </c>
      <c r="U9997" s="41">
        <v>0</v>
      </c>
      <c r="V9997" s="42" t="s">
        <v>113</v>
      </c>
      <c r="W9997" s="42">
        <v>217874.87</v>
      </c>
      <c r="X9997" s="42">
        <v>217874.87</v>
      </c>
    </row>
    <row r="9998" spans="1:24">
      <c r="A9998" s="27" t="s">
        <v>18093</v>
      </c>
      <c r="B9998" s="28" t="s">
        <v>17556</v>
      </c>
      <c r="C9998" s="27" t="s">
        <v>17869</v>
      </c>
      <c r="D9998" s="27" t="s">
        <v>17578</v>
      </c>
      <c r="E9998" s="29">
        <v>41271</v>
      </c>
      <c r="F9998" s="27">
        <v>7</v>
      </c>
      <c r="G9998" s="18">
        <v>51491.47</v>
      </c>
      <c r="H9998" s="27">
        <f t="shared" si="312"/>
        <v>0</v>
      </c>
      <c r="I9998" s="18">
        <v>42156.71</v>
      </c>
      <c r="J9998" s="27">
        <v>51491.47</v>
      </c>
      <c r="K9998" s="18">
        <f t="shared" si="313"/>
        <v>51491.47</v>
      </c>
      <c r="L9998" s="27">
        <v>48916.9</v>
      </c>
      <c r="M9998" s="36">
        <v>6760.19</v>
      </c>
      <c r="T9998" s="41">
        <v>0</v>
      </c>
      <c r="U9998" s="41">
        <v>0</v>
      </c>
      <c r="V9998" s="42" t="s">
        <v>113</v>
      </c>
      <c r="W9998" s="42">
        <v>51491.47</v>
      </c>
      <c r="X9998" s="42">
        <v>51491.47</v>
      </c>
    </row>
    <row r="9999" spans="1:24">
      <c r="A9999" s="27" t="s">
        <v>18094</v>
      </c>
      <c r="B9999" s="28" t="s">
        <v>17556</v>
      </c>
      <c r="C9999" s="27" t="s">
        <v>17871</v>
      </c>
      <c r="D9999" s="27" t="s">
        <v>17578</v>
      </c>
      <c r="E9999" s="29">
        <v>41271</v>
      </c>
      <c r="F9999" s="27">
        <v>7</v>
      </c>
      <c r="G9999" s="18">
        <v>5974.65</v>
      </c>
      <c r="H9999" s="27">
        <f t="shared" si="312"/>
        <v>0</v>
      </c>
      <c r="I9999" s="18">
        <v>4891.53</v>
      </c>
      <c r="J9999" s="27">
        <v>5974.65</v>
      </c>
      <c r="K9999" s="18">
        <f t="shared" si="313"/>
        <v>5974.65</v>
      </c>
      <c r="L9999" s="27">
        <v>5675.92</v>
      </c>
      <c r="M9999" s="36">
        <v>784.39</v>
      </c>
      <c r="T9999" s="41">
        <v>0</v>
      </c>
      <c r="U9999" s="41">
        <v>0</v>
      </c>
      <c r="V9999" s="42" t="s">
        <v>113</v>
      </c>
      <c r="W9999" s="42">
        <v>5974.65</v>
      </c>
      <c r="X9999" s="42">
        <v>5974.65</v>
      </c>
    </row>
    <row r="10000" spans="1:24">
      <c r="A10000" s="27" t="s">
        <v>18095</v>
      </c>
      <c r="B10000" s="28" t="s">
        <v>17556</v>
      </c>
      <c r="C10000" s="27" t="s">
        <v>17880</v>
      </c>
      <c r="D10000" s="27" t="s">
        <v>17558</v>
      </c>
      <c r="E10000" s="29">
        <v>41271</v>
      </c>
      <c r="F10000" s="27">
        <v>7</v>
      </c>
      <c r="G10000" s="18">
        <v>20325.89</v>
      </c>
      <c r="H10000" s="27">
        <f t="shared" si="312"/>
        <v>0</v>
      </c>
      <c r="I10000" s="18">
        <v>16641.060000000001</v>
      </c>
      <c r="J10000" s="27">
        <v>20325.89</v>
      </c>
      <c r="K10000" s="18">
        <f t="shared" si="313"/>
        <v>20325.89</v>
      </c>
      <c r="L10000" s="27">
        <v>19309.599999999999</v>
      </c>
      <c r="M10000" s="36">
        <v>2668.54</v>
      </c>
      <c r="T10000" s="41">
        <v>0</v>
      </c>
      <c r="U10000" s="41">
        <v>0</v>
      </c>
      <c r="V10000" s="42" t="s">
        <v>113</v>
      </c>
      <c r="W10000" s="42">
        <v>20325.89</v>
      </c>
      <c r="X10000" s="42">
        <v>20325.89</v>
      </c>
    </row>
    <row r="10001" spans="1:24">
      <c r="A10001" s="27" t="s">
        <v>18096</v>
      </c>
      <c r="B10001" s="28" t="s">
        <v>17556</v>
      </c>
      <c r="C10001" s="27" t="s">
        <v>17867</v>
      </c>
      <c r="D10001" s="27" t="s">
        <v>17578</v>
      </c>
      <c r="E10001" s="29">
        <v>41271</v>
      </c>
      <c r="F10001" s="27">
        <v>7</v>
      </c>
      <c r="G10001" s="18">
        <v>109145.91</v>
      </c>
      <c r="H10001" s="27">
        <f t="shared" si="312"/>
        <v>0</v>
      </c>
      <c r="I10001" s="18">
        <v>89359.11</v>
      </c>
      <c r="J10001" s="27">
        <v>109145.91</v>
      </c>
      <c r="K10001" s="18">
        <f t="shared" si="313"/>
        <v>109145.91</v>
      </c>
      <c r="L10001" s="27">
        <v>103688.61</v>
      </c>
      <c r="M10001" s="36">
        <v>14329.5</v>
      </c>
      <c r="T10001" s="41">
        <v>0</v>
      </c>
      <c r="U10001" s="41">
        <v>0</v>
      </c>
      <c r="V10001" s="42" t="s">
        <v>113</v>
      </c>
      <c r="W10001" s="42">
        <v>109145.91</v>
      </c>
      <c r="X10001" s="42">
        <v>109145.91</v>
      </c>
    </row>
    <row r="10002" spans="1:24">
      <c r="A10002" s="27" t="s">
        <v>18097</v>
      </c>
      <c r="B10002" s="28" t="s">
        <v>17556</v>
      </c>
      <c r="C10002" s="27" t="s">
        <v>17869</v>
      </c>
      <c r="D10002" s="27" t="s">
        <v>17578</v>
      </c>
      <c r="E10002" s="29">
        <v>41271</v>
      </c>
      <c r="F10002" s="27">
        <v>7</v>
      </c>
      <c r="G10002" s="18">
        <v>1845.5</v>
      </c>
      <c r="H10002" s="27">
        <f t="shared" si="312"/>
        <v>1845.5</v>
      </c>
      <c r="I10002" s="18">
        <v>1845.5</v>
      </c>
      <c r="J10002" s="27">
        <v>1845.5</v>
      </c>
      <c r="K10002" s="18">
        <f t="shared" si="313"/>
        <v>1845.5</v>
      </c>
      <c r="L10002" s="27">
        <v>1845.5</v>
      </c>
      <c r="M10002" s="36">
        <v>0</v>
      </c>
      <c r="T10002" s="41">
        <v>0</v>
      </c>
      <c r="U10002" s="41">
        <v>0</v>
      </c>
      <c r="V10002" s="42" t="s">
        <v>113</v>
      </c>
      <c r="W10002" s="42">
        <v>1845.5</v>
      </c>
      <c r="X10002" s="42">
        <v>1845.5</v>
      </c>
    </row>
    <row r="10003" spans="1:24">
      <c r="A10003" s="27" t="s">
        <v>18098</v>
      </c>
      <c r="B10003" s="28" t="s">
        <v>17556</v>
      </c>
      <c r="C10003" s="27" t="s">
        <v>18090</v>
      </c>
      <c r="D10003" s="27" t="s">
        <v>17578</v>
      </c>
      <c r="E10003" s="29">
        <v>41271</v>
      </c>
      <c r="F10003" s="27">
        <v>7</v>
      </c>
      <c r="G10003" s="18">
        <v>15268.88</v>
      </c>
      <c r="H10003" s="27">
        <f t="shared" si="312"/>
        <v>0</v>
      </c>
      <c r="I10003" s="18">
        <v>12500.83</v>
      </c>
      <c r="J10003" s="27">
        <v>15268.88</v>
      </c>
      <c r="K10003" s="18">
        <f t="shared" si="313"/>
        <v>15268.88</v>
      </c>
      <c r="L10003" s="27">
        <v>14505.44</v>
      </c>
      <c r="M10003" s="36">
        <v>2004.61</v>
      </c>
      <c r="T10003" s="41">
        <v>0</v>
      </c>
      <c r="U10003" s="41">
        <v>0</v>
      </c>
      <c r="V10003" s="42" t="s">
        <v>113</v>
      </c>
      <c r="W10003" s="42">
        <v>15268.88</v>
      </c>
      <c r="X10003" s="42">
        <v>15268.88</v>
      </c>
    </row>
    <row r="10004" spans="1:24">
      <c r="A10004" s="27" t="s">
        <v>18099</v>
      </c>
      <c r="B10004" s="28" t="s">
        <v>17556</v>
      </c>
      <c r="C10004" s="27" t="s">
        <v>17871</v>
      </c>
      <c r="D10004" s="27" t="s">
        <v>17578</v>
      </c>
      <c r="E10004" s="29">
        <v>41271</v>
      </c>
      <c r="F10004" s="27">
        <v>7</v>
      </c>
      <c r="G10004" s="18">
        <v>5781.68</v>
      </c>
      <c r="H10004" s="27">
        <f t="shared" si="312"/>
        <v>0</v>
      </c>
      <c r="I10004" s="18">
        <v>4733.54</v>
      </c>
      <c r="J10004" s="27">
        <v>5781.68</v>
      </c>
      <c r="K10004" s="18">
        <f t="shared" si="313"/>
        <v>5781.68</v>
      </c>
      <c r="L10004" s="27">
        <v>5492.6</v>
      </c>
      <c r="M10004" s="36">
        <v>759.06</v>
      </c>
      <c r="T10004" s="41">
        <v>0</v>
      </c>
      <c r="U10004" s="41">
        <v>0</v>
      </c>
      <c r="V10004" s="42" t="s">
        <v>113</v>
      </c>
      <c r="W10004" s="42">
        <v>5781.68</v>
      </c>
      <c r="X10004" s="42">
        <v>5781.68</v>
      </c>
    </row>
    <row r="10005" spans="1:24">
      <c r="A10005" s="27" t="s">
        <v>18100</v>
      </c>
      <c r="B10005" s="28" t="s">
        <v>17556</v>
      </c>
      <c r="C10005" s="27" t="s">
        <v>17867</v>
      </c>
      <c r="D10005" s="27" t="s">
        <v>17578</v>
      </c>
      <c r="E10005" s="29">
        <v>41271</v>
      </c>
      <c r="F10005" s="27">
        <v>7</v>
      </c>
      <c r="G10005" s="18">
        <v>50946.28</v>
      </c>
      <c r="H10005" s="27">
        <f t="shared" si="312"/>
        <v>0</v>
      </c>
      <c r="I10005" s="18">
        <v>41710.36</v>
      </c>
      <c r="J10005" s="27">
        <v>50946.28</v>
      </c>
      <c r="K10005" s="18">
        <f t="shared" si="313"/>
        <v>50946.28</v>
      </c>
      <c r="L10005" s="27">
        <v>48398.97</v>
      </c>
      <c r="M10005" s="36">
        <v>6688.61</v>
      </c>
      <c r="T10005" s="41">
        <v>0</v>
      </c>
      <c r="U10005" s="41">
        <v>0</v>
      </c>
      <c r="V10005" s="42" t="s">
        <v>113</v>
      </c>
      <c r="W10005" s="42">
        <v>50946.28</v>
      </c>
      <c r="X10005" s="42">
        <v>50946.28</v>
      </c>
    </row>
    <row r="10006" spans="1:24">
      <c r="A10006" s="27" t="s">
        <v>18101</v>
      </c>
      <c r="B10006" s="28" t="s">
        <v>17556</v>
      </c>
      <c r="C10006" s="27" t="s">
        <v>17867</v>
      </c>
      <c r="D10006" s="27" t="s">
        <v>17578</v>
      </c>
      <c r="E10006" s="29">
        <v>41271</v>
      </c>
      <c r="F10006" s="27">
        <v>7</v>
      </c>
      <c r="G10006" s="18">
        <v>50483.13</v>
      </c>
      <c r="H10006" s="27">
        <f t="shared" si="312"/>
        <v>0</v>
      </c>
      <c r="I10006" s="18">
        <v>41331.17</v>
      </c>
      <c r="J10006" s="27">
        <v>50483.13</v>
      </c>
      <c r="K10006" s="18">
        <f t="shared" si="313"/>
        <v>50483.13</v>
      </c>
      <c r="L10006" s="27">
        <v>47958.97</v>
      </c>
      <c r="M10006" s="36">
        <v>6627.8</v>
      </c>
      <c r="T10006" s="41">
        <v>0</v>
      </c>
      <c r="U10006" s="41">
        <v>0</v>
      </c>
      <c r="V10006" s="42" t="s">
        <v>113</v>
      </c>
      <c r="W10006" s="42">
        <v>50483.13</v>
      </c>
      <c r="X10006" s="42">
        <v>50483.13</v>
      </c>
    </row>
    <row r="10007" spans="1:24">
      <c r="A10007" s="27" t="s">
        <v>18102</v>
      </c>
      <c r="B10007" s="28" t="s">
        <v>17556</v>
      </c>
      <c r="C10007" s="27" t="s">
        <v>18090</v>
      </c>
      <c r="D10007" s="27" t="s">
        <v>17578</v>
      </c>
      <c r="E10007" s="29">
        <v>41271</v>
      </c>
      <c r="F10007" s="27">
        <v>7</v>
      </c>
      <c r="G10007" s="18">
        <v>14547.29</v>
      </c>
      <c r="H10007" s="27">
        <f t="shared" si="312"/>
        <v>0</v>
      </c>
      <c r="I10007" s="18">
        <v>11910.06</v>
      </c>
      <c r="J10007" s="27">
        <v>14547.29</v>
      </c>
      <c r="K10007" s="18">
        <f t="shared" si="313"/>
        <v>14547.29</v>
      </c>
      <c r="L10007" s="27">
        <v>13819.93</v>
      </c>
      <c r="M10007" s="36">
        <v>1909.87</v>
      </c>
      <c r="T10007" s="41">
        <v>0</v>
      </c>
      <c r="U10007" s="41">
        <v>0</v>
      </c>
      <c r="V10007" s="42" t="s">
        <v>113</v>
      </c>
      <c r="W10007" s="42">
        <v>14547.29</v>
      </c>
      <c r="X10007" s="42">
        <v>14547.29</v>
      </c>
    </row>
    <row r="10008" spans="1:24">
      <c r="A10008" s="27" t="s">
        <v>18103</v>
      </c>
      <c r="B10008" s="28" t="s">
        <v>17556</v>
      </c>
      <c r="C10008" s="27" t="s">
        <v>18104</v>
      </c>
      <c r="D10008" s="27" t="s">
        <v>17578</v>
      </c>
      <c r="E10008" s="29">
        <v>41271</v>
      </c>
      <c r="F10008" s="27">
        <v>7</v>
      </c>
      <c r="G10008" s="18">
        <v>4064.2</v>
      </c>
      <c r="H10008" s="27">
        <f t="shared" si="312"/>
        <v>4064.2</v>
      </c>
      <c r="I10008" s="18">
        <v>4064.2</v>
      </c>
      <c r="J10008" s="27">
        <v>4064.2</v>
      </c>
      <c r="K10008" s="18">
        <f t="shared" si="313"/>
        <v>4064.2</v>
      </c>
      <c r="L10008" s="27">
        <v>4064.2</v>
      </c>
      <c r="M10008" s="36">
        <v>0</v>
      </c>
      <c r="T10008" s="41">
        <v>0</v>
      </c>
      <c r="U10008" s="41">
        <v>0</v>
      </c>
      <c r="V10008" s="42" t="s">
        <v>113</v>
      </c>
      <c r="W10008" s="42">
        <v>4064.2</v>
      </c>
      <c r="X10008" s="42">
        <v>4064.2</v>
      </c>
    </row>
    <row r="10009" spans="1:24">
      <c r="A10009" s="27" t="s">
        <v>18105</v>
      </c>
      <c r="B10009" s="28" t="s">
        <v>17556</v>
      </c>
      <c r="C10009" s="27" t="s">
        <v>17867</v>
      </c>
      <c r="D10009" s="27" t="s">
        <v>17578</v>
      </c>
      <c r="E10009" s="29">
        <v>41271</v>
      </c>
      <c r="F10009" s="27">
        <v>7</v>
      </c>
      <c r="G10009" s="18">
        <v>83194.789999999994</v>
      </c>
      <c r="H10009" s="27">
        <f t="shared" si="312"/>
        <v>0</v>
      </c>
      <c r="I10009" s="18">
        <v>68112.61</v>
      </c>
      <c r="J10009" s="27">
        <v>83194.789999999994</v>
      </c>
      <c r="K10009" s="18">
        <f t="shared" si="313"/>
        <v>83194.789999999994</v>
      </c>
      <c r="L10009" s="27">
        <v>79035.05</v>
      </c>
      <c r="M10009" s="36">
        <v>10922.44</v>
      </c>
      <c r="T10009" s="41">
        <v>0</v>
      </c>
      <c r="U10009" s="41">
        <v>0</v>
      </c>
      <c r="V10009" s="42" t="s">
        <v>113</v>
      </c>
      <c r="W10009" s="42">
        <v>83194.789999999994</v>
      </c>
      <c r="X10009" s="42">
        <v>83194.789999999994</v>
      </c>
    </row>
    <row r="10010" spans="1:24">
      <c r="A10010" s="27" t="s">
        <v>18106</v>
      </c>
      <c r="B10010" s="28" t="s">
        <v>17556</v>
      </c>
      <c r="C10010" s="27" t="s">
        <v>18090</v>
      </c>
      <c r="D10010" s="27" t="s">
        <v>17578</v>
      </c>
      <c r="E10010" s="29">
        <v>41271</v>
      </c>
      <c r="F10010" s="27">
        <v>7</v>
      </c>
      <c r="G10010" s="18">
        <v>37871.230000000003</v>
      </c>
      <c r="H10010" s="27">
        <f t="shared" si="312"/>
        <v>0</v>
      </c>
      <c r="I10010" s="18">
        <v>31005.65</v>
      </c>
      <c r="J10010" s="27">
        <v>37871.230000000003</v>
      </c>
      <c r="K10010" s="18">
        <f t="shared" si="313"/>
        <v>37871.230000000003</v>
      </c>
      <c r="L10010" s="27">
        <v>35977.67</v>
      </c>
      <c r="M10010" s="36">
        <v>4972.0200000000004</v>
      </c>
      <c r="T10010" s="41">
        <v>0</v>
      </c>
      <c r="U10010" s="41">
        <v>0</v>
      </c>
      <c r="V10010" s="42" t="s">
        <v>113</v>
      </c>
      <c r="W10010" s="42">
        <v>37871.230000000003</v>
      </c>
      <c r="X10010" s="42">
        <v>37871.230000000003</v>
      </c>
    </row>
    <row r="10011" spans="1:24">
      <c r="A10011" s="27" t="s">
        <v>18107</v>
      </c>
      <c r="B10011" s="28" t="s">
        <v>17556</v>
      </c>
      <c r="C10011" s="27" t="s">
        <v>18104</v>
      </c>
      <c r="D10011" s="27" t="s">
        <v>17578</v>
      </c>
      <c r="E10011" s="29">
        <v>41271</v>
      </c>
      <c r="F10011" s="27">
        <v>7</v>
      </c>
      <c r="G10011" s="18">
        <v>6403.93</v>
      </c>
      <c r="H10011" s="27">
        <f t="shared" si="312"/>
        <v>0</v>
      </c>
      <c r="I10011" s="18">
        <v>5242.98</v>
      </c>
      <c r="J10011" s="27">
        <v>6403.93</v>
      </c>
      <c r="K10011" s="18">
        <f t="shared" si="313"/>
        <v>6403.93</v>
      </c>
      <c r="L10011" s="27">
        <v>6083.73</v>
      </c>
      <c r="M10011" s="36">
        <v>840.75</v>
      </c>
      <c r="T10011" s="41">
        <v>0</v>
      </c>
      <c r="U10011" s="41">
        <v>0</v>
      </c>
      <c r="V10011" s="42" t="s">
        <v>113</v>
      </c>
      <c r="W10011" s="42">
        <v>6403.93</v>
      </c>
      <c r="X10011" s="42">
        <v>6403.93</v>
      </c>
    </row>
    <row r="10012" spans="1:24">
      <c r="A10012" s="27" t="s">
        <v>18108</v>
      </c>
      <c r="B10012" s="28" t="s">
        <v>17556</v>
      </c>
      <c r="C10012" s="27" t="s">
        <v>17867</v>
      </c>
      <c r="D10012" s="27" t="s">
        <v>17578</v>
      </c>
      <c r="E10012" s="29">
        <v>41271</v>
      </c>
      <c r="F10012" s="27">
        <v>7</v>
      </c>
      <c r="G10012" s="18">
        <v>47870.59</v>
      </c>
      <c r="H10012" s="27">
        <f t="shared" si="312"/>
        <v>0</v>
      </c>
      <c r="I10012" s="18">
        <v>39192.25</v>
      </c>
      <c r="J10012" s="27">
        <v>47870.59</v>
      </c>
      <c r="K10012" s="18">
        <f t="shared" si="313"/>
        <v>47870.59</v>
      </c>
      <c r="L10012" s="27">
        <v>45477.06</v>
      </c>
      <c r="M10012" s="36">
        <v>6284.81</v>
      </c>
      <c r="T10012" s="41">
        <v>0</v>
      </c>
      <c r="U10012" s="41">
        <v>0</v>
      </c>
      <c r="V10012" s="42" t="s">
        <v>113</v>
      </c>
      <c r="W10012" s="42">
        <v>47870.59</v>
      </c>
      <c r="X10012" s="42">
        <v>47870.59</v>
      </c>
    </row>
    <row r="10013" spans="1:24">
      <c r="A10013" s="27" t="s">
        <v>18109</v>
      </c>
      <c r="B10013" s="28" t="s">
        <v>17556</v>
      </c>
      <c r="C10013" s="27" t="s">
        <v>18090</v>
      </c>
      <c r="D10013" s="27" t="s">
        <v>17578</v>
      </c>
      <c r="E10013" s="29">
        <v>41271</v>
      </c>
      <c r="F10013" s="27">
        <v>7</v>
      </c>
      <c r="G10013" s="18">
        <v>26149.48</v>
      </c>
      <c r="H10013" s="27">
        <f t="shared" si="312"/>
        <v>0</v>
      </c>
      <c r="I10013" s="18">
        <v>21408.91</v>
      </c>
      <c r="J10013" s="27">
        <v>26149.48</v>
      </c>
      <c r="K10013" s="18">
        <f t="shared" si="313"/>
        <v>26149.48</v>
      </c>
      <c r="L10013" s="27">
        <v>24842.01</v>
      </c>
      <c r="M10013" s="36">
        <v>3433.1</v>
      </c>
      <c r="T10013" s="41">
        <v>0</v>
      </c>
      <c r="U10013" s="41">
        <v>0</v>
      </c>
      <c r="V10013" s="42" t="s">
        <v>113</v>
      </c>
      <c r="W10013" s="42">
        <v>26149.48</v>
      </c>
      <c r="X10013" s="42">
        <v>26149.48</v>
      </c>
    </row>
    <row r="10014" spans="1:24">
      <c r="A10014" s="27" t="s">
        <v>18110</v>
      </c>
      <c r="B10014" s="28" t="s">
        <v>17556</v>
      </c>
      <c r="C10014" s="27" t="s">
        <v>18104</v>
      </c>
      <c r="D10014" s="27" t="s">
        <v>17578</v>
      </c>
      <c r="E10014" s="29">
        <v>41271</v>
      </c>
      <c r="F10014" s="27">
        <v>7</v>
      </c>
      <c r="G10014" s="18">
        <v>6462.65</v>
      </c>
      <c r="H10014" s="27">
        <f t="shared" si="312"/>
        <v>0</v>
      </c>
      <c r="I10014" s="18">
        <v>5291.06</v>
      </c>
      <c r="J10014" s="27">
        <v>6462.65</v>
      </c>
      <c r="K10014" s="18">
        <f t="shared" si="313"/>
        <v>6462.65</v>
      </c>
      <c r="L10014" s="27">
        <v>6139.52</v>
      </c>
      <c r="M10014" s="36">
        <v>848.46</v>
      </c>
      <c r="T10014" s="41">
        <v>0</v>
      </c>
      <c r="U10014" s="41">
        <v>0</v>
      </c>
      <c r="V10014" s="42" t="s">
        <v>113</v>
      </c>
      <c r="W10014" s="42">
        <v>6462.65</v>
      </c>
      <c r="X10014" s="42">
        <v>6462.65</v>
      </c>
    </row>
    <row r="10015" spans="1:24">
      <c r="A10015" s="27" t="s">
        <v>18111</v>
      </c>
      <c r="B10015" s="28" t="s">
        <v>17556</v>
      </c>
      <c r="C10015" s="27" t="s">
        <v>17867</v>
      </c>
      <c r="D10015" s="27" t="s">
        <v>17578</v>
      </c>
      <c r="E10015" s="29">
        <v>41271</v>
      </c>
      <c r="F10015" s="27">
        <v>7</v>
      </c>
      <c r="G10015" s="18">
        <v>196849.63</v>
      </c>
      <c r="H10015" s="27">
        <f t="shared" si="312"/>
        <v>0</v>
      </c>
      <c r="I10015" s="18">
        <v>161163.24</v>
      </c>
      <c r="J10015" s="27">
        <v>196849.63</v>
      </c>
      <c r="K10015" s="18">
        <f t="shared" si="313"/>
        <v>196849.63</v>
      </c>
      <c r="L10015" s="27">
        <v>187007.15</v>
      </c>
      <c r="M10015" s="36">
        <v>25843.91</v>
      </c>
      <c r="T10015" s="41">
        <v>0</v>
      </c>
      <c r="U10015" s="41">
        <v>0</v>
      </c>
      <c r="V10015" s="42" t="s">
        <v>113</v>
      </c>
      <c r="W10015" s="42">
        <v>196849.63</v>
      </c>
      <c r="X10015" s="42">
        <v>196849.63</v>
      </c>
    </row>
    <row r="10016" spans="1:24">
      <c r="A10016" s="27" t="s">
        <v>18112</v>
      </c>
      <c r="B10016" s="28" t="s">
        <v>17556</v>
      </c>
      <c r="C10016" s="27" t="s">
        <v>18090</v>
      </c>
      <c r="D10016" s="27" t="s">
        <v>17578</v>
      </c>
      <c r="E10016" s="29">
        <v>41271</v>
      </c>
      <c r="F10016" s="27">
        <v>7</v>
      </c>
      <c r="G10016" s="18">
        <v>34740.42</v>
      </c>
      <c r="H10016" s="27">
        <f t="shared" si="312"/>
        <v>0</v>
      </c>
      <c r="I10016" s="18">
        <v>28442.42</v>
      </c>
      <c r="J10016" s="27">
        <v>34740.42</v>
      </c>
      <c r="K10016" s="18">
        <f t="shared" si="313"/>
        <v>34740.42</v>
      </c>
      <c r="L10016" s="27">
        <v>33003.4</v>
      </c>
      <c r="M10016" s="36">
        <v>4560.9799999999996</v>
      </c>
      <c r="T10016" s="41">
        <v>0</v>
      </c>
      <c r="U10016" s="41">
        <v>0</v>
      </c>
      <c r="V10016" s="42" t="s">
        <v>113</v>
      </c>
      <c r="W10016" s="42">
        <v>34740.42</v>
      </c>
      <c r="X10016" s="42">
        <v>34740.42</v>
      </c>
    </row>
    <row r="10017" spans="1:24">
      <c r="A10017" s="27" t="s">
        <v>18113</v>
      </c>
      <c r="B10017" s="28" t="s">
        <v>17556</v>
      </c>
      <c r="C10017" s="27" t="s">
        <v>18104</v>
      </c>
      <c r="D10017" s="27" t="s">
        <v>17578</v>
      </c>
      <c r="E10017" s="29">
        <v>41271</v>
      </c>
      <c r="F10017" s="27">
        <v>7</v>
      </c>
      <c r="G10017" s="18">
        <v>10630.07</v>
      </c>
      <c r="H10017" s="27">
        <f t="shared" si="312"/>
        <v>0</v>
      </c>
      <c r="I10017" s="18">
        <v>8702.98</v>
      </c>
      <c r="J10017" s="27">
        <v>10630.07</v>
      </c>
      <c r="K10017" s="18">
        <f t="shared" si="313"/>
        <v>10630.07</v>
      </c>
      <c r="L10017" s="27">
        <v>10098.57</v>
      </c>
      <c r="M10017" s="36">
        <v>1395.59</v>
      </c>
      <c r="T10017" s="41">
        <v>0</v>
      </c>
      <c r="U10017" s="41">
        <v>0</v>
      </c>
      <c r="V10017" s="42" t="s">
        <v>113</v>
      </c>
      <c r="W10017" s="42">
        <v>10630.07</v>
      </c>
      <c r="X10017" s="42">
        <v>10630.07</v>
      </c>
    </row>
    <row r="10018" spans="1:24">
      <c r="A10018" s="27" t="s">
        <v>18114</v>
      </c>
      <c r="B10018" s="28" t="s">
        <v>17556</v>
      </c>
      <c r="C10018" s="27" t="s">
        <v>17867</v>
      </c>
      <c r="D10018" s="27" t="s">
        <v>17578</v>
      </c>
      <c r="E10018" s="29">
        <v>41271</v>
      </c>
      <c r="F10018" s="27">
        <v>7</v>
      </c>
      <c r="G10018" s="18">
        <v>74870.899999999994</v>
      </c>
      <c r="H10018" s="27">
        <f t="shared" si="312"/>
        <v>0</v>
      </c>
      <c r="I10018" s="18">
        <v>61297.74</v>
      </c>
      <c r="J10018" s="27">
        <v>74870.899999999994</v>
      </c>
      <c r="K10018" s="18">
        <f t="shared" si="313"/>
        <v>74870.899999999994</v>
      </c>
      <c r="L10018" s="27">
        <v>71127.350000000006</v>
      </c>
      <c r="M10018" s="36">
        <v>9829.61</v>
      </c>
      <c r="T10018" s="41">
        <v>0</v>
      </c>
      <c r="U10018" s="41">
        <v>0</v>
      </c>
      <c r="V10018" s="42" t="s">
        <v>113</v>
      </c>
      <c r="W10018" s="42">
        <v>74870.899999999994</v>
      </c>
      <c r="X10018" s="42">
        <v>74870.899999999994</v>
      </c>
    </row>
    <row r="10019" spans="1:24">
      <c r="A10019" s="27" t="s">
        <v>18115</v>
      </c>
      <c r="B10019" s="28" t="s">
        <v>17556</v>
      </c>
      <c r="C10019" s="27" t="s">
        <v>17867</v>
      </c>
      <c r="D10019" s="27" t="s">
        <v>17578</v>
      </c>
      <c r="E10019" s="29">
        <v>41271</v>
      </c>
      <c r="F10019" s="27">
        <v>7</v>
      </c>
      <c r="G10019" s="18">
        <v>83135.87</v>
      </c>
      <c r="H10019" s="27">
        <f t="shared" si="312"/>
        <v>0</v>
      </c>
      <c r="I10019" s="18">
        <v>68064.37</v>
      </c>
      <c r="J10019" s="27">
        <v>83135.87</v>
      </c>
      <c r="K10019" s="18">
        <f t="shared" si="313"/>
        <v>83135.87</v>
      </c>
      <c r="L10019" s="27">
        <v>78979.08</v>
      </c>
      <c r="M10019" s="36">
        <v>10914.71</v>
      </c>
      <c r="T10019" s="41">
        <v>0</v>
      </c>
      <c r="U10019" s="41">
        <v>0</v>
      </c>
      <c r="V10019" s="42" t="s">
        <v>113</v>
      </c>
      <c r="W10019" s="42">
        <v>83135.87</v>
      </c>
      <c r="X10019" s="42">
        <v>83135.87</v>
      </c>
    </row>
    <row r="10020" spans="1:24">
      <c r="A10020" s="27" t="s">
        <v>18116</v>
      </c>
      <c r="B10020" s="28" t="s">
        <v>17556</v>
      </c>
      <c r="C10020" s="27" t="s">
        <v>18090</v>
      </c>
      <c r="D10020" s="27" t="s">
        <v>17578</v>
      </c>
      <c r="E10020" s="29">
        <v>41271</v>
      </c>
      <c r="F10020" s="27">
        <v>7</v>
      </c>
      <c r="G10020" s="18">
        <v>17262.349999999999</v>
      </c>
      <c r="H10020" s="27">
        <f t="shared" si="312"/>
        <v>0</v>
      </c>
      <c r="I10020" s="18">
        <v>14132.9</v>
      </c>
      <c r="J10020" s="27">
        <v>17262.349999999999</v>
      </c>
      <c r="K10020" s="18">
        <f t="shared" si="313"/>
        <v>17262.349999999999</v>
      </c>
      <c r="L10020" s="27">
        <v>16399.23</v>
      </c>
      <c r="M10020" s="36">
        <v>2266.33</v>
      </c>
      <c r="T10020" s="41">
        <v>0</v>
      </c>
      <c r="U10020" s="41">
        <v>0</v>
      </c>
      <c r="V10020" s="42" t="s">
        <v>113</v>
      </c>
      <c r="W10020" s="42">
        <v>17262.349999999999</v>
      </c>
      <c r="X10020" s="42">
        <v>17262.349999999999</v>
      </c>
    </row>
    <row r="10021" spans="1:24">
      <c r="A10021" s="27" t="s">
        <v>18117</v>
      </c>
      <c r="B10021" s="28" t="s">
        <v>17556</v>
      </c>
      <c r="C10021" s="27" t="s">
        <v>18104</v>
      </c>
      <c r="D10021" s="27" t="s">
        <v>17578</v>
      </c>
      <c r="E10021" s="29">
        <v>41271</v>
      </c>
      <c r="F10021" s="27">
        <v>7</v>
      </c>
      <c r="G10021" s="18">
        <v>4266.26</v>
      </c>
      <c r="H10021" s="27">
        <f t="shared" si="312"/>
        <v>4266.26</v>
      </c>
      <c r="I10021" s="18">
        <v>4266.26</v>
      </c>
      <c r="J10021" s="27">
        <v>4266.26</v>
      </c>
      <c r="K10021" s="18">
        <f t="shared" si="313"/>
        <v>4266.26</v>
      </c>
      <c r="L10021" s="27">
        <v>4266.26</v>
      </c>
      <c r="M10021" s="36">
        <v>0</v>
      </c>
      <c r="T10021" s="41">
        <v>0</v>
      </c>
      <c r="U10021" s="41">
        <v>0</v>
      </c>
      <c r="V10021" s="42" t="s">
        <v>113</v>
      </c>
      <c r="W10021" s="42">
        <v>4266.26</v>
      </c>
      <c r="X10021" s="42">
        <v>4266.26</v>
      </c>
    </row>
    <row r="10022" spans="1:24">
      <c r="A10022" s="27" t="s">
        <v>18118</v>
      </c>
      <c r="B10022" s="28" t="s">
        <v>17556</v>
      </c>
      <c r="C10022" s="27" t="s">
        <v>17867</v>
      </c>
      <c r="D10022" s="27" t="s">
        <v>17578</v>
      </c>
      <c r="E10022" s="29">
        <v>41271</v>
      </c>
      <c r="F10022" s="27">
        <v>7</v>
      </c>
      <c r="G10022" s="18">
        <v>81060.34</v>
      </c>
      <c r="H10022" s="27">
        <f t="shared" si="312"/>
        <v>0</v>
      </c>
      <c r="I10022" s="18">
        <v>66365.11</v>
      </c>
      <c r="J10022" s="27">
        <v>81060.34</v>
      </c>
      <c r="K10022" s="18">
        <f t="shared" si="313"/>
        <v>81060.34</v>
      </c>
      <c r="L10022" s="27">
        <v>77007.320000000007</v>
      </c>
      <c r="M10022" s="36">
        <v>10642.21</v>
      </c>
      <c r="T10022" s="41">
        <v>0</v>
      </c>
      <c r="U10022" s="41">
        <v>0</v>
      </c>
      <c r="V10022" s="42" t="s">
        <v>113</v>
      </c>
      <c r="W10022" s="42">
        <v>81060.34</v>
      </c>
      <c r="X10022" s="42">
        <v>81060.34</v>
      </c>
    </row>
    <row r="10023" spans="1:24">
      <c r="A10023" s="27" t="s">
        <v>18119</v>
      </c>
      <c r="B10023" s="28" t="s">
        <v>17556</v>
      </c>
      <c r="C10023" s="27" t="s">
        <v>17883</v>
      </c>
      <c r="D10023" s="27" t="s">
        <v>17578</v>
      </c>
      <c r="E10023" s="29">
        <v>41271</v>
      </c>
      <c r="F10023" s="27">
        <v>7</v>
      </c>
      <c r="G10023" s="18">
        <v>2103.7800000000002</v>
      </c>
      <c r="H10023" s="27">
        <f t="shared" si="312"/>
        <v>2103.7800000000002</v>
      </c>
      <c r="I10023" s="18">
        <v>2103.7800000000002</v>
      </c>
      <c r="J10023" s="27">
        <v>2103.7800000000002</v>
      </c>
      <c r="K10023" s="18">
        <f t="shared" si="313"/>
        <v>2103.7800000000002</v>
      </c>
      <c r="L10023" s="27">
        <v>2103.7800000000002</v>
      </c>
      <c r="M10023" s="36">
        <v>0</v>
      </c>
      <c r="T10023" s="41">
        <v>0</v>
      </c>
      <c r="U10023" s="41">
        <v>0</v>
      </c>
      <c r="V10023" s="42" t="s">
        <v>113</v>
      </c>
      <c r="W10023" s="42">
        <v>2103.7800000000002</v>
      </c>
      <c r="X10023" s="42">
        <v>2103.7800000000002</v>
      </c>
    </row>
    <row r="10024" spans="1:24">
      <c r="A10024" s="27" t="s">
        <v>18120</v>
      </c>
      <c r="B10024" s="28" t="s">
        <v>17556</v>
      </c>
      <c r="C10024" s="27" t="s">
        <v>18090</v>
      </c>
      <c r="D10024" s="27" t="s">
        <v>17578</v>
      </c>
      <c r="E10024" s="29">
        <v>41271</v>
      </c>
      <c r="F10024" s="27">
        <v>7</v>
      </c>
      <c r="G10024" s="18">
        <v>58314.559999999998</v>
      </c>
      <c r="H10024" s="27">
        <f t="shared" si="312"/>
        <v>0</v>
      </c>
      <c r="I10024" s="18">
        <v>47742.86</v>
      </c>
      <c r="J10024" s="27">
        <v>58314.559999999998</v>
      </c>
      <c r="K10024" s="18">
        <f t="shared" si="313"/>
        <v>58314.559999999998</v>
      </c>
      <c r="L10024" s="27">
        <v>55398.83</v>
      </c>
      <c r="M10024" s="36">
        <v>7655.97</v>
      </c>
      <c r="T10024" s="41">
        <v>0</v>
      </c>
      <c r="U10024" s="41">
        <v>0</v>
      </c>
      <c r="V10024" s="42" t="s">
        <v>113</v>
      </c>
      <c r="W10024" s="42">
        <v>58314.559999999998</v>
      </c>
      <c r="X10024" s="42">
        <v>58314.559999999998</v>
      </c>
    </row>
    <row r="10025" spans="1:24">
      <c r="A10025" s="27" t="s">
        <v>18121</v>
      </c>
      <c r="B10025" s="28" t="s">
        <v>17556</v>
      </c>
      <c r="C10025" s="27" t="s">
        <v>18104</v>
      </c>
      <c r="D10025" s="27" t="s">
        <v>17578</v>
      </c>
      <c r="E10025" s="29">
        <v>41271</v>
      </c>
      <c r="F10025" s="27">
        <v>7</v>
      </c>
      <c r="G10025" s="18">
        <v>12702.09</v>
      </c>
      <c r="H10025" s="27">
        <f t="shared" si="312"/>
        <v>0</v>
      </c>
      <c r="I10025" s="18">
        <v>10399.370000000001</v>
      </c>
      <c r="J10025" s="27">
        <v>12702.09</v>
      </c>
      <c r="K10025" s="18">
        <f t="shared" si="313"/>
        <v>12702.09</v>
      </c>
      <c r="L10025" s="27">
        <v>12066.99</v>
      </c>
      <c r="M10025" s="36">
        <v>1667.62</v>
      </c>
      <c r="T10025" s="41">
        <v>0</v>
      </c>
      <c r="U10025" s="41">
        <v>0</v>
      </c>
      <c r="V10025" s="42" t="s">
        <v>113</v>
      </c>
      <c r="W10025" s="42">
        <v>12702.09</v>
      </c>
      <c r="X10025" s="42">
        <v>12702.09</v>
      </c>
    </row>
    <row r="10026" spans="1:24">
      <c r="A10026" s="27" t="s">
        <v>18122</v>
      </c>
      <c r="B10026" s="28" t="s">
        <v>17556</v>
      </c>
      <c r="C10026" s="27" t="s">
        <v>17927</v>
      </c>
      <c r="D10026" s="27" t="s">
        <v>17558</v>
      </c>
      <c r="E10026" s="29">
        <v>41271</v>
      </c>
      <c r="F10026" s="27">
        <v>7</v>
      </c>
      <c r="G10026" s="18">
        <v>15877.61</v>
      </c>
      <c r="H10026" s="27">
        <f t="shared" si="312"/>
        <v>0</v>
      </c>
      <c r="I10026" s="18">
        <v>12999.2</v>
      </c>
      <c r="J10026" s="27">
        <v>15877.61</v>
      </c>
      <c r="K10026" s="18">
        <f t="shared" si="313"/>
        <v>15877.61</v>
      </c>
      <c r="L10026" s="27">
        <v>15083.73</v>
      </c>
      <c r="M10026" s="36">
        <v>2084.5300000000002</v>
      </c>
      <c r="T10026" s="41">
        <v>0</v>
      </c>
      <c r="U10026" s="41">
        <v>0</v>
      </c>
      <c r="V10026" s="42" t="s">
        <v>113</v>
      </c>
      <c r="W10026" s="42">
        <v>15877.61</v>
      </c>
      <c r="X10026" s="42">
        <v>15877.61</v>
      </c>
    </row>
    <row r="10027" spans="1:24">
      <c r="A10027" s="27" t="s">
        <v>18123</v>
      </c>
      <c r="B10027" s="28" t="s">
        <v>17556</v>
      </c>
      <c r="C10027" s="27" t="s">
        <v>17873</v>
      </c>
      <c r="D10027" s="27" t="s">
        <v>17558</v>
      </c>
      <c r="E10027" s="29">
        <v>41271</v>
      </c>
      <c r="F10027" s="27">
        <v>7</v>
      </c>
      <c r="G10027" s="18">
        <v>144835.70000000001</v>
      </c>
      <c r="H10027" s="27">
        <f t="shared" si="312"/>
        <v>0</v>
      </c>
      <c r="I10027" s="18">
        <v>118578.78</v>
      </c>
      <c r="J10027" s="27">
        <v>144835.70000000001</v>
      </c>
      <c r="K10027" s="18">
        <f t="shared" si="313"/>
        <v>144835.70000000001</v>
      </c>
      <c r="L10027" s="27">
        <v>137593.91</v>
      </c>
      <c r="M10027" s="36">
        <v>19015.13</v>
      </c>
      <c r="T10027" s="41">
        <v>0</v>
      </c>
      <c r="U10027" s="41">
        <v>0</v>
      </c>
      <c r="V10027" s="42" t="s">
        <v>113</v>
      </c>
      <c r="W10027" s="42">
        <v>144835.70000000001</v>
      </c>
      <c r="X10027" s="42">
        <v>144835.70000000001</v>
      </c>
    </row>
    <row r="10028" spans="1:24">
      <c r="A10028" s="27" t="s">
        <v>18124</v>
      </c>
      <c r="B10028" s="28" t="s">
        <v>17556</v>
      </c>
      <c r="C10028" s="27" t="s">
        <v>17875</v>
      </c>
      <c r="D10028" s="27" t="s">
        <v>17558</v>
      </c>
      <c r="E10028" s="29">
        <v>41271</v>
      </c>
      <c r="F10028" s="27">
        <v>7</v>
      </c>
      <c r="G10028" s="18">
        <v>19219.86</v>
      </c>
      <c r="H10028" s="27">
        <f t="shared" si="312"/>
        <v>0</v>
      </c>
      <c r="I10028" s="18">
        <v>15735.54</v>
      </c>
      <c r="J10028" s="27">
        <v>19219.86</v>
      </c>
      <c r="K10028" s="18">
        <f t="shared" si="313"/>
        <v>19219.86</v>
      </c>
      <c r="L10028" s="27">
        <v>18258.87</v>
      </c>
      <c r="M10028" s="36">
        <v>2523.33</v>
      </c>
      <c r="T10028" s="41">
        <v>0</v>
      </c>
      <c r="U10028" s="41">
        <v>0</v>
      </c>
      <c r="V10028" s="42" t="s">
        <v>113</v>
      </c>
      <c r="W10028" s="42">
        <v>19219.86</v>
      </c>
      <c r="X10028" s="42">
        <v>19219.86</v>
      </c>
    </row>
    <row r="10029" spans="1:24">
      <c r="A10029" s="27" t="s">
        <v>18125</v>
      </c>
      <c r="B10029" s="28" t="s">
        <v>17556</v>
      </c>
      <c r="C10029" s="27" t="s">
        <v>17867</v>
      </c>
      <c r="D10029" s="27" t="s">
        <v>17578</v>
      </c>
      <c r="E10029" s="29">
        <v>41271</v>
      </c>
      <c r="F10029" s="27">
        <v>7</v>
      </c>
      <c r="G10029" s="18">
        <v>422009.71</v>
      </c>
      <c r="H10029" s="27">
        <f t="shared" si="312"/>
        <v>0</v>
      </c>
      <c r="I10029" s="18">
        <v>345504.58</v>
      </c>
      <c r="J10029" s="27">
        <v>422009.71</v>
      </c>
      <c r="K10029" s="18">
        <f t="shared" si="313"/>
        <v>422009.71</v>
      </c>
      <c r="L10029" s="27">
        <v>400909.22</v>
      </c>
      <c r="M10029" s="36">
        <v>55404.639999999999</v>
      </c>
      <c r="T10029" s="41">
        <v>0</v>
      </c>
      <c r="U10029" s="41">
        <v>0</v>
      </c>
      <c r="V10029" s="42" t="s">
        <v>113</v>
      </c>
      <c r="W10029" s="42">
        <v>422009.71</v>
      </c>
      <c r="X10029" s="42">
        <v>422009.71</v>
      </c>
    </row>
    <row r="10030" spans="1:24">
      <c r="A10030" s="27" t="s">
        <v>18126</v>
      </c>
      <c r="B10030" s="28" t="s">
        <v>17556</v>
      </c>
      <c r="C10030" s="27" t="s">
        <v>17883</v>
      </c>
      <c r="D10030" s="27" t="s">
        <v>17578</v>
      </c>
      <c r="E10030" s="29">
        <v>41271</v>
      </c>
      <c r="F10030" s="27">
        <v>7</v>
      </c>
      <c r="G10030" s="18">
        <v>27627.97</v>
      </c>
      <c r="H10030" s="27">
        <f t="shared" si="312"/>
        <v>0</v>
      </c>
      <c r="I10030" s="18">
        <v>22619.360000000001</v>
      </c>
      <c r="J10030" s="27">
        <v>27627.97</v>
      </c>
      <c r="K10030" s="18">
        <f t="shared" si="313"/>
        <v>27627.97</v>
      </c>
      <c r="L10030" s="27">
        <v>26246.57</v>
      </c>
      <c r="M10030" s="36">
        <v>3627.21</v>
      </c>
      <c r="T10030" s="41">
        <v>0</v>
      </c>
      <c r="U10030" s="41">
        <v>0</v>
      </c>
      <c r="V10030" s="42" t="s">
        <v>113</v>
      </c>
      <c r="W10030" s="42">
        <v>27627.97</v>
      </c>
      <c r="X10030" s="42">
        <v>27627.97</v>
      </c>
    </row>
    <row r="10031" spans="1:24">
      <c r="A10031" s="27" t="s">
        <v>18127</v>
      </c>
      <c r="B10031" s="28" t="s">
        <v>17556</v>
      </c>
      <c r="C10031" s="27" t="s">
        <v>18090</v>
      </c>
      <c r="D10031" s="27" t="s">
        <v>17578</v>
      </c>
      <c r="E10031" s="29">
        <v>41271</v>
      </c>
      <c r="F10031" s="27">
        <v>7</v>
      </c>
      <c r="G10031" s="18">
        <v>197295.71</v>
      </c>
      <c r="H10031" s="27">
        <f t="shared" si="312"/>
        <v>0</v>
      </c>
      <c r="I10031" s="18">
        <v>161528.44</v>
      </c>
      <c r="J10031" s="27">
        <v>197295.71</v>
      </c>
      <c r="K10031" s="18">
        <f t="shared" si="313"/>
        <v>197295.71</v>
      </c>
      <c r="L10031" s="27">
        <v>187430.92</v>
      </c>
      <c r="M10031" s="36">
        <v>25902.48</v>
      </c>
      <c r="T10031" s="41">
        <v>0</v>
      </c>
      <c r="U10031" s="41">
        <v>0</v>
      </c>
      <c r="V10031" s="42" t="s">
        <v>113</v>
      </c>
      <c r="W10031" s="42">
        <v>197295.71</v>
      </c>
      <c r="X10031" s="42">
        <v>197295.71</v>
      </c>
    </row>
    <row r="10032" spans="1:24">
      <c r="A10032" s="27" t="s">
        <v>18128</v>
      </c>
      <c r="B10032" s="28" t="s">
        <v>17556</v>
      </c>
      <c r="C10032" s="27" t="s">
        <v>18104</v>
      </c>
      <c r="D10032" s="27" t="s">
        <v>17578</v>
      </c>
      <c r="E10032" s="29">
        <v>41271</v>
      </c>
      <c r="F10032" s="27">
        <v>7</v>
      </c>
      <c r="G10032" s="18">
        <v>8340.5400000000009</v>
      </c>
      <c r="H10032" s="27">
        <f t="shared" si="312"/>
        <v>0</v>
      </c>
      <c r="I10032" s="18">
        <v>6828.51</v>
      </c>
      <c r="J10032" s="27">
        <v>8340.5400000000009</v>
      </c>
      <c r="K10032" s="18">
        <f t="shared" si="313"/>
        <v>8340.5400000000009</v>
      </c>
      <c r="L10032" s="27">
        <v>7923.51</v>
      </c>
      <c r="M10032" s="36">
        <v>1095</v>
      </c>
      <c r="T10032" s="41">
        <v>0</v>
      </c>
      <c r="U10032" s="41">
        <v>0</v>
      </c>
      <c r="V10032" s="42" t="s">
        <v>113</v>
      </c>
      <c r="W10032" s="42">
        <v>8340.5400000000009</v>
      </c>
      <c r="X10032" s="42">
        <v>8340.5400000000009</v>
      </c>
    </row>
    <row r="10033" spans="1:24">
      <c r="A10033" s="27" t="s">
        <v>18129</v>
      </c>
      <c r="B10033" s="28" t="s">
        <v>17556</v>
      </c>
      <c r="C10033" s="27" t="s">
        <v>17880</v>
      </c>
      <c r="D10033" s="27" t="s">
        <v>17558</v>
      </c>
      <c r="E10033" s="29">
        <v>41271</v>
      </c>
      <c r="F10033" s="27">
        <v>7</v>
      </c>
      <c r="G10033" s="18">
        <v>17556.89</v>
      </c>
      <c r="H10033" s="27">
        <f t="shared" si="312"/>
        <v>0</v>
      </c>
      <c r="I10033" s="18">
        <v>14374.05</v>
      </c>
      <c r="J10033" s="27">
        <v>17556.89</v>
      </c>
      <c r="K10033" s="18">
        <f t="shared" si="313"/>
        <v>17556.89</v>
      </c>
      <c r="L10033" s="27">
        <v>16679.05</v>
      </c>
      <c r="M10033" s="36">
        <v>2305</v>
      </c>
      <c r="T10033" s="41">
        <v>0</v>
      </c>
      <c r="U10033" s="41">
        <v>0</v>
      </c>
      <c r="V10033" s="42" t="s">
        <v>113</v>
      </c>
      <c r="W10033" s="42">
        <v>17556.89</v>
      </c>
      <c r="X10033" s="42">
        <v>17556.89</v>
      </c>
    </row>
    <row r="10034" spans="1:24">
      <c r="A10034" s="27" t="s">
        <v>18130</v>
      </c>
      <c r="B10034" s="28" t="s">
        <v>17556</v>
      </c>
      <c r="C10034" s="27" t="s">
        <v>17873</v>
      </c>
      <c r="D10034" s="27" t="s">
        <v>17558</v>
      </c>
      <c r="E10034" s="29">
        <v>41271</v>
      </c>
      <c r="F10034" s="27">
        <v>7</v>
      </c>
      <c r="G10034" s="18">
        <v>832152.15</v>
      </c>
      <c r="H10034" s="27">
        <f t="shared" si="312"/>
        <v>0</v>
      </c>
      <c r="I10034" s="18">
        <v>714480.44</v>
      </c>
      <c r="J10034" s="27">
        <v>832152.15</v>
      </c>
      <c r="K10034" s="18">
        <f t="shared" si="313"/>
        <v>832152.15</v>
      </c>
      <c r="L10034" s="27">
        <v>790544.54</v>
      </c>
      <c r="M10034" s="36">
        <v>76064.100000000006</v>
      </c>
      <c r="T10034" s="41">
        <v>0</v>
      </c>
      <c r="U10034" s="41">
        <v>0</v>
      </c>
      <c r="V10034" s="42" t="s">
        <v>113</v>
      </c>
      <c r="W10034" s="42">
        <v>832152.15</v>
      </c>
      <c r="X10034" s="42">
        <v>832152.15</v>
      </c>
    </row>
    <row r="10035" spans="1:24">
      <c r="A10035" s="27" t="s">
        <v>18131</v>
      </c>
      <c r="B10035" s="28" t="s">
        <v>17556</v>
      </c>
      <c r="C10035" s="27" t="s">
        <v>17867</v>
      </c>
      <c r="D10035" s="27" t="s">
        <v>17578</v>
      </c>
      <c r="E10035" s="29">
        <v>41271</v>
      </c>
      <c r="F10035" s="27">
        <v>7</v>
      </c>
      <c r="G10035" s="18">
        <v>200659.39</v>
      </c>
      <c r="H10035" s="27">
        <f t="shared" si="312"/>
        <v>0</v>
      </c>
      <c r="I10035" s="18">
        <v>164282.32999999999</v>
      </c>
      <c r="J10035" s="27">
        <v>200659.39</v>
      </c>
      <c r="K10035" s="18">
        <f t="shared" si="313"/>
        <v>200659.39</v>
      </c>
      <c r="L10035" s="27">
        <v>190626.42</v>
      </c>
      <c r="M10035" s="36">
        <v>26344.09</v>
      </c>
      <c r="T10035" s="41">
        <v>0</v>
      </c>
      <c r="U10035" s="41">
        <v>0</v>
      </c>
      <c r="V10035" s="42" t="s">
        <v>113</v>
      </c>
      <c r="W10035" s="42">
        <v>200659.39</v>
      </c>
      <c r="X10035" s="42">
        <v>200659.39</v>
      </c>
    </row>
    <row r="10036" spans="1:24">
      <c r="A10036" s="27" t="s">
        <v>18132</v>
      </c>
      <c r="B10036" s="28" t="s">
        <v>17556</v>
      </c>
      <c r="C10036" s="27" t="s">
        <v>17883</v>
      </c>
      <c r="D10036" s="27" t="s">
        <v>17578</v>
      </c>
      <c r="E10036" s="29">
        <v>41271</v>
      </c>
      <c r="F10036" s="27">
        <v>7</v>
      </c>
      <c r="G10036" s="18">
        <v>29282.32</v>
      </c>
      <c r="H10036" s="27">
        <f t="shared" si="312"/>
        <v>0</v>
      </c>
      <c r="I10036" s="18">
        <v>23973.8</v>
      </c>
      <c r="J10036" s="27">
        <v>29282.32</v>
      </c>
      <c r="K10036" s="18">
        <f t="shared" si="313"/>
        <v>29282.32</v>
      </c>
      <c r="L10036" s="27">
        <v>27818.2</v>
      </c>
      <c r="M10036" s="36">
        <v>3844.4</v>
      </c>
      <c r="T10036" s="41">
        <v>0</v>
      </c>
      <c r="U10036" s="41">
        <v>0</v>
      </c>
      <c r="V10036" s="42" t="s">
        <v>113</v>
      </c>
      <c r="W10036" s="42">
        <v>29282.32</v>
      </c>
      <c r="X10036" s="42">
        <v>29282.32</v>
      </c>
    </row>
    <row r="10037" spans="1:24">
      <c r="A10037" s="27" t="s">
        <v>18133</v>
      </c>
      <c r="B10037" s="28" t="s">
        <v>17556</v>
      </c>
      <c r="C10037" s="27" t="s">
        <v>18090</v>
      </c>
      <c r="D10037" s="27" t="s">
        <v>17578</v>
      </c>
      <c r="E10037" s="29">
        <v>41271</v>
      </c>
      <c r="F10037" s="27">
        <v>7</v>
      </c>
      <c r="G10037" s="18">
        <v>97918.93</v>
      </c>
      <c r="H10037" s="27">
        <f t="shared" si="312"/>
        <v>0</v>
      </c>
      <c r="I10037" s="18">
        <v>80167.44</v>
      </c>
      <c r="J10037" s="27">
        <v>97918.93</v>
      </c>
      <c r="K10037" s="18">
        <f t="shared" si="313"/>
        <v>97918.93</v>
      </c>
      <c r="L10037" s="27">
        <v>93022.98</v>
      </c>
      <c r="M10037" s="36">
        <v>12855.54</v>
      </c>
      <c r="T10037" s="41">
        <v>0</v>
      </c>
      <c r="U10037" s="41">
        <v>0</v>
      </c>
      <c r="V10037" s="42" t="s">
        <v>113</v>
      </c>
      <c r="W10037" s="42">
        <v>97918.93</v>
      </c>
      <c r="X10037" s="42">
        <v>97918.93</v>
      </c>
    </row>
    <row r="10038" spans="1:24">
      <c r="A10038" s="27" t="s">
        <v>18134</v>
      </c>
      <c r="B10038" s="28" t="s">
        <v>17556</v>
      </c>
      <c r="C10038" s="27" t="s">
        <v>18104</v>
      </c>
      <c r="D10038" s="27" t="s">
        <v>17578</v>
      </c>
      <c r="E10038" s="29">
        <v>41271</v>
      </c>
      <c r="F10038" s="27">
        <v>7</v>
      </c>
      <c r="G10038" s="18">
        <v>36399.89</v>
      </c>
      <c r="H10038" s="27">
        <f t="shared" si="312"/>
        <v>0</v>
      </c>
      <c r="I10038" s="18">
        <v>29801.05</v>
      </c>
      <c r="J10038" s="27">
        <v>36399.89</v>
      </c>
      <c r="K10038" s="18">
        <f t="shared" si="313"/>
        <v>36399.89</v>
      </c>
      <c r="L10038" s="27">
        <v>34579.9</v>
      </c>
      <c r="M10038" s="36">
        <v>4778.8500000000004</v>
      </c>
      <c r="T10038" s="41">
        <v>0</v>
      </c>
      <c r="U10038" s="41">
        <v>0</v>
      </c>
      <c r="V10038" s="42" t="s">
        <v>113</v>
      </c>
      <c r="W10038" s="42">
        <v>36399.89</v>
      </c>
      <c r="X10038" s="42">
        <v>36399.89</v>
      </c>
    </row>
    <row r="10039" spans="1:24">
      <c r="A10039" s="27" t="s">
        <v>18135</v>
      </c>
      <c r="B10039" s="28" t="s">
        <v>17556</v>
      </c>
      <c r="C10039" s="27" t="s">
        <v>17880</v>
      </c>
      <c r="D10039" s="27" t="s">
        <v>17558</v>
      </c>
      <c r="E10039" s="29">
        <v>41271</v>
      </c>
      <c r="F10039" s="27">
        <v>7</v>
      </c>
      <c r="G10039" s="18">
        <v>207973.48</v>
      </c>
      <c r="H10039" s="27">
        <f t="shared" si="312"/>
        <v>0</v>
      </c>
      <c r="I10039" s="18">
        <v>170270.47</v>
      </c>
      <c r="J10039" s="27">
        <v>207973.48</v>
      </c>
      <c r="K10039" s="18">
        <f t="shared" si="313"/>
        <v>207973.48</v>
      </c>
      <c r="L10039" s="27">
        <v>197574.81</v>
      </c>
      <c r="M10039" s="36">
        <v>27304.34</v>
      </c>
      <c r="T10039" s="41">
        <v>0</v>
      </c>
      <c r="U10039" s="41">
        <v>0</v>
      </c>
      <c r="V10039" s="42" t="s">
        <v>113</v>
      </c>
      <c r="W10039" s="42">
        <v>207973.48</v>
      </c>
      <c r="X10039" s="42">
        <v>207973.48</v>
      </c>
    </row>
    <row r="10040" spans="1:24">
      <c r="A10040" s="27" t="s">
        <v>18136</v>
      </c>
      <c r="B10040" s="28" t="s">
        <v>17556</v>
      </c>
      <c r="C10040" s="27" t="s">
        <v>17895</v>
      </c>
      <c r="D10040" s="27" t="s">
        <v>17558</v>
      </c>
      <c r="E10040" s="29">
        <v>41271</v>
      </c>
      <c r="F10040" s="27">
        <v>7</v>
      </c>
      <c r="G10040" s="18">
        <v>111074.97</v>
      </c>
      <c r="H10040" s="27">
        <f t="shared" si="312"/>
        <v>0</v>
      </c>
      <c r="I10040" s="18">
        <v>90938.46</v>
      </c>
      <c r="J10040" s="27">
        <v>111074.97</v>
      </c>
      <c r="K10040" s="18">
        <f t="shared" si="313"/>
        <v>111074.97</v>
      </c>
      <c r="L10040" s="27">
        <v>105521.22</v>
      </c>
      <c r="M10040" s="36">
        <v>14582.76</v>
      </c>
      <c r="T10040" s="41">
        <v>0</v>
      </c>
      <c r="U10040" s="41">
        <v>0</v>
      </c>
      <c r="V10040" s="42" t="s">
        <v>113</v>
      </c>
      <c r="W10040" s="42">
        <v>111074.97</v>
      </c>
      <c r="X10040" s="42">
        <v>111074.97</v>
      </c>
    </row>
    <row r="10041" spans="1:24">
      <c r="A10041" s="27" t="s">
        <v>18137</v>
      </c>
      <c r="B10041" s="28" t="s">
        <v>17556</v>
      </c>
      <c r="C10041" s="27" t="s">
        <v>17927</v>
      </c>
      <c r="D10041" s="27" t="s">
        <v>17558</v>
      </c>
      <c r="E10041" s="29">
        <v>41271</v>
      </c>
      <c r="F10041" s="27">
        <v>7</v>
      </c>
      <c r="G10041" s="18">
        <v>51999.79</v>
      </c>
      <c r="H10041" s="27">
        <f t="shared" si="312"/>
        <v>0</v>
      </c>
      <c r="I10041" s="18">
        <v>42572.88</v>
      </c>
      <c r="J10041" s="27">
        <v>51999.79</v>
      </c>
      <c r="K10041" s="18">
        <f t="shared" si="313"/>
        <v>51999.79</v>
      </c>
      <c r="L10041" s="27">
        <v>49399.8</v>
      </c>
      <c r="M10041" s="36">
        <v>6826.92</v>
      </c>
      <c r="T10041" s="41">
        <v>0</v>
      </c>
      <c r="U10041" s="41">
        <v>0</v>
      </c>
      <c r="V10041" s="42" t="s">
        <v>113</v>
      </c>
      <c r="W10041" s="42">
        <v>51999.79</v>
      </c>
      <c r="X10041" s="42">
        <v>51999.79</v>
      </c>
    </row>
    <row r="10042" spans="1:24">
      <c r="A10042" s="27" t="s">
        <v>18138</v>
      </c>
      <c r="B10042" s="28" t="s">
        <v>17556</v>
      </c>
      <c r="C10042" s="27" t="s">
        <v>17873</v>
      </c>
      <c r="D10042" s="27" t="s">
        <v>17558</v>
      </c>
      <c r="E10042" s="29">
        <v>41271</v>
      </c>
      <c r="F10042" s="27">
        <v>7</v>
      </c>
      <c r="G10042" s="18">
        <v>59292.81</v>
      </c>
      <c r="H10042" s="27">
        <f t="shared" si="312"/>
        <v>0</v>
      </c>
      <c r="I10042" s="18">
        <v>48543.77</v>
      </c>
      <c r="J10042" s="27">
        <v>59292.81</v>
      </c>
      <c r="K10042" s="18">
        <f t="shared" si="313"/>
        <v>59292.81</v>
      </c>
      <c r="L10042" s="27">
        <v>56328.17</v>
      </c>
      <c r="M10042" s="36">
        <v>7784.4</v>
      </c>
      <c r="T10042" s="41">
        <v>0</v>
      </c>
      <c r="U10042" s="41">
        <v>0</v>
      </c>
      <c r="V10042" s="42" t="s">
        <v>113</v>
      </c>
      <c r="W10042" s="42">
        <v>59292.81</v>
      </c>
      <c r="X10042" s="42">
        <v>59292.81</v>
      </c>
    </row>
    <row r="10043" spans="1:24">
      <c r="A10043" s="27" t="s">
        <v>18139</v>
      </c>
      <c r="B10043" s="28" t="s">
        <v>17556</v>
      </c>
      <c r="C10043" s="27" t="s">
        <v>17875</v>
      </c>
      <c r="D10043" s="27" t="s">
        <v>17558</v>
      </c>
      <c r="E10043" s="29">
        <v>41271</v>
      </c>
      <c r="F10043" s="27">
        <v>7</v>
      </c>
      <c r="G10043" s="18">
        <v>15736.44</v>
      </c>
      <c r="H10043" s="27">
        <f t="shared" si="312"/>
        <v>0</v>
      </c>
      <c r="I10043" s="18">
        <v>12883.62</v>
      </c>
      <c r="J10043" s="27">
        <v>15736.44</v>
      </c>
      <c r="K10043" s="18">
        <f t="shared" si="313"/>
        <v>15736.44</v>
      </c>
      <c r="L10043" s="27">
        <v>14949.62</v>
      </c>
      <c r="M10043" s="36">
        <v>2066</v>
      </c>
      <c r="T10043" s="41">
        <v>0</v>
      </c>
      <c r="U10043" s="41">
        <v>0</v>
      </c>
      <c r="V10043" s="42" t="s">
        <v>113</v>
      </c>
      <c r="W10043" s="42">
        <v>15736.44</v>
      </c>
      <c r="X10043" s="42">
        <v>15736.44</v>
      </c>
    </row>
    <row r="10044" spans="1:24">
      <c r="A10044" s="27" t="s">
        <v>18140</v>
      </c>
      <c r="B10044" s="28" t="s">
        <v>17556</v>
      </c>
      <c r="C10044" s="27" t="s">
        <v>17867</v>
      </c>
      <c r="D10044" s="27" t="s">
        <v>17578</v>
      </c>
      <c r="E10044" s="29">
        <v>41271</v>
      </c>
      <c r="F10044" s="27">
        <v>7</v>
      </c>
      <c r="G10044" s="18">
        <v>357300.55</v>
      </c>
      <c r="H10044" s="27">
        <f t="shared" si="312"/>
        <v>0</v>
      </c>
      <c r="I10044" s="18">
        <v>292526.39</v>
      </c>
      <c r="J10044" s="27">
        <v>357300.55</v>
      </c>
      <c r="K10044" s="18">
        <f t="shared" si="313"/>
        <v>357300.55</v>
      </c>
      <c r="L10044" s="27">
        <v>339435.52000000002</v>
      </c>
      <c r="M10044" s="36">
        <v>46909.13</v>
      </c>
      <c r="T10044" s="41">
        <v>0</v>
      </c>
      <c r="U10044" s="41">
        <v>0</v>
      </c>
      <c r="V10044" s="42" t="s">
        <v>113</v>
      </c>
      <c r="W10044" s="42">
        <v>357300.55</v>
      </c>
      <c r="X10044" s="42">
        <v>357300.55</v>
      </c>
    </row>
    <row r="10045" spans="1:24">
      <c r="A10045" s="27" t="s">
        <v>18141</v>
      </c>
      <c r="B10045" s="28" t="s">
        <v>17556</v>
      </c>
      <c r="C10045" s="27" t="s">
        <v>17883</v>
      </c>
      <c r="D10045" s="27" t="s">
        <v>17578</v>
      </c>
      <c r="E10045" s="29">
        <v>41271</v>
      </c>
      <c r="F10045" s="27">
        <v>7</v>
      </c>
      <c r="G10045" s="18">
        <v>102717.11</v>
      </c>
      <c r="H10045" s="27">
        <f t="shared" si="312"/>
        <v>0</v>
      </c>
      <c r="I10045" s="18">
        <v>84095.77</v>
      </c>
      <c r="J10045" s="27">
        <v>102717.11</v>
      </c>
      <c r="K10045" s="18">
        <f t="shared" si="313"/>
        <v>102717.11</v>
      </c>
      <c r="L10045" s="27">
        <v>97581.25</v>
      </c>
      <c r="M10045" s="36">
        <v>13485.48</v>
      </c>
      <c r="T10045" s="41">
        <v>0</v>
      </c>
      <c r="U10045" s="41">
        <v>0</v>
      </c>
      <c r="V10045" s="42" t="s">
        <v>113</v>
      </c>
      <c r="W10045" s="42">
        <v>102717.11</v>
      </c>
      <c r="X10045" s="42">
        <v>102717.11</v>
      </c>
    </row>
    <row r="10046" spans="1:24">
      <c r="A10046" s="27" t="s">
        <v>18142</v>
      </c>
      <c r="B10046" s="28" t="s">
        <v>17556</v>
      </c>
      <c r="C10046" s="27" t="s">
        <v>18090</v>
      </c>
      <c r="D10046" s="27" t="s">
        <v>17578</v>
      </c>
      <c r="E10046" s="29">
        <v>41271</v>
      </c>
      <c r="F10046" s="27">
        <v>7</v>
      </c>
      <c r="G10046" s="18">
        <v>242845.76</v>
      </c>
      <c r="H10046" s="27">
        <f t="shared" si="312"/>
        <v>0</v>
      </c>
      <c r="I10046" s="18">
        <v>198820.84</v>
      </c>
      <c r="J10046" s="27">
        <v>242845.76</v>
      </c>
      <c r="K10046" s="18">
        <f t="shared" si="313"/>
        <v>242845.76</v>
      </c>
      <c r="L10046" s="27">
        <v>230703.47</v>
      </c>
      <c r="M10046" s="36">
        <v>31882.63</v>
      </c>
      <c r="T10046" s="41">
        <v>0</v>
      </c>
      <c r="U10046" s="41">
        <v>0</v>
      </c>
      <c r="V10046" s="42" t="s">
        <v>113</v>
      </c>
      <c r="W10046" s="42">
        <v>242845.76</v>
      </c>
      <c r="X10046" s="42">
        <v>242845.76</v>
      </c>
    </row>
    <row r="10047" spans="1:24">
      <c r="A10047" s="27" t="s">
        <v>18143</v>
      </c>
      <c r="B10047" s="28" t="s">
        <v>17556</v>
      </c>
      <c r="C10047" s="27" t="s">
        <v>18104</v>
      </c>
      <c r="D10047" s="27" t="s">
        <v>17578</v>
      </c>
      <c r="E10047" s="29">
        <v>41271</v>
      </c>
      <c r="F10047" s="27">
        <v>7</v>
      </c>
      <c r="G10047" s="18">
        <v>75021.86</v>
      </c>
      <c r="H10047" s="27">
        <f t="shared" si="312"/>
        <v>0</v>
      </c>
      <c r="I10047" s="18">
        <v>61421.34</v>
      </c>
      <c r="J10047" s="27">
        <v>75021.86</v>
      </c>
      <c r="K10047" s="18">
        <f t="shared" si="313"/>
        <v>75021.86</v>
      </c>
      <c r="L10047" s="27">
        <v>71270.77</v>
      </c>
      <c r="M10047" s="36">
        <v>9849.43</v>
      </c>
      <c r="T10047" s="41">
        <v>0</v>
      </c>
      <c r="U10047" s="41">
        <v>0</v>
      </c>
      <c r="V10047" s="42" t="s">
        <v>113</v>
      </c>
      <c r="W10047" s="42">
        <v>75021.86</v>
      </c>
      <c r="X10047" s="42">
        <v>75021.86</v>
      </c>
    </row>
    <row r="10048" spans="1:24">
      <c r="A10048" s="27" t="s">
        <v>18144</v>
      </c>
      <c r="B10048" s="28" t="s">
        <v>17556</v>
      </c>
      <c r="C10048" s="27" t="s">
        <v>17880</v>
      </c>
      <c r="D10048" s="27" t="s">
        <v>17558</v>
      </c>
      <c r="E10048" s="29">
        <v>41271</v>
      </c>
      <c r="F10048" s="27">
        <v>7</v>
      </c>
      <c r="G10048" s="18">
        <v>479027.39</v>
      </c>
      <c r="H10048" s="27">
        <f t="shared" si="312"/>
        <v>0</v>
      </c>
      <c r="I10048" s="18">
        <v>392185.67</v>
      </c>
      <c r="J10048" s="27">
        <v>479027.39</v>
      </c>
      <c r="K10048" s="18">
        <f t="shared" si="313"/>
        <v>479027.39</v>
      </c>
      <c r="L10048" s="27">
        <v>455076.02</v>
      </c>
      <c r="M10048" s="36">
        <v>62890.35</v>
      </c>
      <c r="T10048" s="41">
        <v>0</v>
      </c>
      <c r="U10048" s="41">
        <v>0</v>
      </c>
      <c r="V10048" s="42" t="s">
        <v>113</v>
      </c>
      <c r="W10048" s="42">
        <v>479027.39</v>
      </c>
      <c r="X10048" s="42">
        <v>479027.39</v>
      </c>
    </row>
    <row r="10049" spans="1:24">
      <c r="A10049" s="27" t="s">
        <v>18145</v>
      </c>
      <c r="B10049" s="28" t="s">
        <v>17556</v>
      </c>
      <c r="C10049" s="27" t="s">
        <v>17895</v>
      </c>
      <c r="D10049" s="27" t="s">
        <v>17558</v>
      </c>
      <c r="E10049" s="29">
        <v>41271</v>
      </c>
      <c r="F10049" s="27">
        <v>7</v>
      </c>
      <c r="G10049" s="18">
        <v>131488.4</v>
      </c>
      <c r="H10049" s="27">
        <f t="shared" si="312"/>
        <v>0</v>
      </c>
      <c r="I10049" s="18">
        <v>107651.19</v>
      </c>
      <c r="J10049" s="27">
        <v>131488.4</v>
      </c>
      <c r="K10049" s="18">
        <f t="shared" si="313"/>
        <v>131488.4</v>
      </c>
      <c r="L10049" s="27">
        <v>124913.98</v>
      </c>
      <c r="M10049" s="36">
        <v>17262.79</v>
      </c>
      <c r="T10049" s="41">
        <v>0</v>
      </c>
      <c r="U10049" s="41">
        <v>0</v>
      </c>
      <c r="V10049" s="42" t="s">
        <v>113</v>
      </c>
      <c r="W10049" s="42">
        <v>131488.4</v>
      </c>
      <c r="X10049" s="42">
        <v>131488.4</v>
      </c>
    </row>
    <row r="10050" spans="1:24">
      <c r="A10050" s="27" t="s">
        <v>18146</v>
      </c>
      <c r="B10050" s="28" t="s">
        <v>17556</v>
      </c>
      <c r="C10050" s="27" t="s">
        <v>17925</v>
      </c>
      <c r="D10050" s="27" t="s">
        <v>17558</v>
      </c>
      <c r="E10050" s="29">
        <v>41271</v>
      </c>
      <c r="F10050" s="27">
        <v>7</v>
      </c>
      <c r="G10050" s="18">
        <v>39499.01</v>
      </c>
      <c r="H10050" s="27">
        <f t="shared" si="312"/>
        <v>0</v>
      </c>
      <c r="I10050" s="18">
        <v>32338.33</v>
      </c>
      <c r="J10050" s="27">
        <v>39499.01</v>
      </c>
      <c r="K10050" s="18">
        <f t="shared" si="313"/>
        <v>39499.01</v>
      </c>
      <c r="L10050" s="27">
        <v>37524.06</v>
      </c>
      <c r="M10050" s="36">
        <v>5185.7299999999996</v>
      </c>
      <c r="T10050" s="41">
        <v>0</v>
      </c>
      <c r="U10050" s="41">
        <v>0</v>
      </c>
      <c r="V10050" s="42" t="s">
        <v>113</v>
      </c>
      <c r="W10050" s="42">
        <v>39499.01</v>
      </c>
      <c r="X10050" s="42">
        <v>39499.01</v>
      </c>
    </row>
    <row r="10051" spans="1:24">
      <c r="A10051" s="27" t="s">
        <v>18147</v>
      </c>
      <c r="B10051" s="28" t="s">
        <v>17556</v>
      </c>
      <c r="C10051" s="27" t="s">
        <v>17927</v>
      </c>
      <c r="D10051" s="27" t="s">
        <v>17558</v>
      </c>
      <c r="E10051" s="29">
        <v>41271</v>
      </c>
      <c r="F10051" s="27">
        <v>7</v>
      </c>
      <c r="G10051" s="18">
        <v>25007.26</v>
      </c>
      <c r="H10051" s="27">
        <f t="shared" si="312"/>
        <v>0</v>
      </c>
      <c r="I10051" s="18">
        <v>20473.759999999998</v>
      </c>
      <c r="J10051" s="27">
        <v>25007.26</v>
      </c>
      <c r="K10051" s="18">
        <f t="shared" si="313"/>
        <v>25007.26</v>
      </c>
      <c r="L10051" s="27">
        <v>23756.9</v>
      </c>
      <c r="M10051" s="36">
        <v>3283.14</v>
      </c>
      <c r="T10051" s="41">
        <v>0</v>
      </c>
      <c r="U10051" s="41">
        <v>0</v>
      </c>
      <c r="V10051" s="42" t="s">
        <v>113</v>
      </c>
      <c r="W10051" s="42">
        <v>25007.26</v>
      </c>
      <c r="X10051" s="42">
        <v>25007.26</v>
      </c>
    </row>
    <row r="10052" spans="1:24">
      <c r="A10052" s="27" t="s">
        <v>18148</v>
      </c>
      <c r="B10052" s="28" t="s">
        <v>17556</v>
      </c>
      <c r="C10052" s="27" t="s">
        <v>18149</v>
      </c>
      <c r="D10052" s="27" t="s">
        <v>17558</v>
      </c>
      <c r="E10052" s="29">
        <v>41271</v>
      </c>
      <c r="F10052" s="27">
        <v>7</v>
      </c>
      <c r="G10052" s="18">
        <v>12572.42</v>
      </c>
      <c r="H10052" s="27">
        <f t="shared" si="312"/>
        <v>0</v>
      </c>
      <c r="I10052" s="18">
        <v>10293.200000000001</v>
      </c>
      <c r="J10052" s="27">
        <v>12572.42</v>
      </c>
      <c r="K10052" s="18">
        <f t="shared" si="313"/>
        <v>12572.42</v>
      </c>
      <c r="L10052" s="27">
        <v>11943.8</v>
      </c>
      <c r="M10052" s="36">
        <v>1650.6</v>
      </c>
      <c r="T10052" s="41">
        <v>0</v>
      </c>
      <c r="U10052" s="41">
        <v>0</v>
      </c>
      <c r="V10052" s="42" t="s">
        <v>113</v>
      </c>
      <c r="W10052" s="42">
        <v>12572.42</v>
      </c>
      <c r="X10052" s="42">
        <v>12572.42</v>
      </c>
    </row>
    <row r="10053" spans="1:24">
      <c r="A10053" s="27" t="s">
        <v>18150</v>
      </c>
      <c r="B10053" s="28" t="s">
        <v>17556</v>
      </c>
      <c r="C10053" s="27" t="s">
        <v>17873</v>
      </c>
      <c r="D10053" s="27" t="s">
        <v>17558</v>
      </c>
      <c r="E10053" s="29">
        <v>41271</v>
      </c>
      <c r="F10053" s="27">
        <v>7</v>
      </c>
      <c r="G10053" s="18">
        <v>71286.38</v>
      </c>
      <c r="H10053" s="27">
        <f t="shared" si="312"/>
        <v>0</v>
      </c>
      <c r="I10053" s="18">
        <v>58363.05</v>
      </c>
      <c r="J10053" s="27">
        <v>71286.38</v>
      </c>
      <c r="K10053" s="18">
        <f t="shared" si="313"/>
        <v>71286.38</v>
      </c>
      <c r="L10053" s="27">
        <v>67722.06</v>
      </c>
      <c r="M10053" s="36">
        <v>9359.01</v>
      </c>
      <c r="T10053" s="41">
        <v>0</v>
      </c>
      <c r="U10053" s="41">
        <v>0</v>
      </c>
      <c r="V10053" s="42" t="s">
        <v>113</v>
      </c>
      <c r="W10053" s="42">
        <v>71286.38</v>
      </c>
      <c r="X10053" s="42">
        <v>71286.38</v>
      </c>
    </row>
    <row r="10054" spans="1:24">
      <c r="A10054" s="27" t="s">
        <v>18151</v>
      </c>
      <c r="B10054" s="28" t="s">
        <v>17556</v>
      </c>
      <c r="C10054" s="27" t="s">
        <v>17875</v>
      </c>
      <c r="D10054" s="27" t="s">
        <v>17558</v>
      </c>
      <c r="E10054" s="29">
        <v>41271</v>
      </c>
      <c r="F10054" s="27">
        <v>7</v>
      </c>
      <c r="G10054" s="18">
        <v>90813.93</v>
      </c>
      <c r="H10054" s="27">
        <f t="shared" ref="H10054:H10117" si="314">IFERROR(IF(ROUND((G10054-I10054)/G10054,2)&lt;=0.05,G10054,0),0)</f>
        <v>0</v>
      </c>
      <c r="I10054" s="18">
        <v>74350.490000000005</v>
      </c>
      <c r="J10054" s="27">
        <v>90813.93</v>
      </c>
      <c r="K10054" s="18">
        <f t="shared" ref="K10054:K10117" si="315">IFERROR(IF(ROUND((J10054-L10054)/J10054,2)&lt;=0.05,J10054,0),0)</f>
        <v>90813.93</v>
      </c>
      <c r="L10054" s="27">
        <v>86273.23</v>
      </c>
      <c r="M10054" s="36">
        <v>11922.74</v>
      </c>
      <c r="T10054" s="41">
        <v>0</v>
      </c>
      <c r="U10054" s="41">
        <v>0</v>
      </c>
      <c r="V10054" s="42" t="s">
        <v>113</v>
      </c>
      <c r="W10054" s="42">
        <v>90813.93</v>
      </c>
      <c r="X10054" s="42">
        <v>90813.93</v>
      </c>
    </row>
    <row r="10055" spans="1:24">
      <c r="A10055" s="27" t="s">
        <v>18152</v>
      </c>
      <c r="B10055" s="28" t="s">
        <v>17556</v>
      </c>
      <c r="C10055" s="27" t="s">
        <v>17867</v>
      </c>
      <c r="D10055" s="27" t="s">
        <v>17578</v>
      </c>
      <c r="E10055" s="29">
        <v>41271</v>
      </c>
      <c r="F10055" s="27">
        <v>7</v>
      </c>
      <c r="G10055" s="18">
        <v>125681.64</v>
      </c>
      <c r="H10055" s="27">
        <f t="shared" si="314"/>
        <v>0</v>
      </c>
      <c r="I10055" s="18">
        <v>102897.12</v>
      </c>
      <c r="J10055" s="27">
        <v>125681.64</v>
      </c>
      <c r="K10055" s="18">
        <f t="shared" si="315"/>
        <v>125681.64</v>
      </c>
      <c r="L10055" s="27">
        <v>119397.56</v>
      </c>
      <c r="M10055" s="36">
        <v>16500.439999999999</v>
      </c>
      <c r="T10055" s="41">
        <v>0</v>
      </c>
      <c r="U10055" s="41">
        <v>0</v>
      </c>
      <c r="V10055" s="42" t="s">
        <v>113</v>
      </c>
      <c r="W10055" s="42">
        <v>125681.64</v>
      </c>
      <c r="X10055" s="42">
        <v>125681.64</v>
      </c>
    </row>
    <row r="10056" spans="1:24">
      <c r="A10056" s="27" t="s">
        <v>18153</v>
      </c>
      <c r="B10056" s="28" t="s">
        <v>17556</v>
      </c>
      <c r="C10056" s="27" t="s">
        <v>17883</v>
      </c>
      <c r="D10056" s="27" t="s">
        <v>17578</v>
      </c>
      <c r="E10056" s="29">
        <v>41271</v>
      </c>
      <c r="F10056" s="27">
        <v>7</v>
      </c>
      <c r="G10056" s="18">
        <v>3776.05</v>
      </c>
      <c r="H10056" s="27">
        <f t="shared" si="314"/>
        <v>3776.05</v>
      </c>
      <c r="I10056" s="18">
        <v>3776.05</v>
      </c>
      <c r="J10056" s="27">
        <v>3776.05</v>
      </c>
      <c r="K10056" s="18">
        <f t="shared" si="315"/>
        <v>3776.05</v>
      </c>
      <c r="L10056" s="27">
        <v>3776.05</v>
      </c>
      <c r="M10056" s="36">
        <v>0</v>
      </c>
      <c r="T10056" s="41">
        <v>0</v>
      </c>
      <c r="U10056" s="41">
        <v>0</v>
      </c>
      <c r="V10056" s="42" t="s">
        <v>113</v>
      </c>
      <c r="W10056" s="42">
        <v>3776.05</v>
      </c>
      <c r="X10056" s="42">
        <v>3776.05</v>
      </c>
    </row>
    <row r="10057" spans="1:24">
      <c r="A10057" s="27" t="s">
        <v>18154</v>
      </c>
      <c r="B10057" s="28" t="s">
        <v>17556</v>
      </c>
      <c r="C10057" s="27" t="s">
        <v>18090</v>
      </c>
      <c r="D10057" s="27" t="s">
        <v>17578</v>
      </c>
      <c r="E10057" s="29">
        <v>41271</v>
      </c>
      <c r="F10057" s="27">
        <v>7</v>
      </c>
      <c r="G10057" s="18">
        <v>64752.22</v>
      </c>
      <c r="H10057" s="27">
        <f t="shared" si="314"/>
        <v>0</v>
      </c>
      <c r="I10057" s="18">
        <v>53013.45</v>
      </c>
      <c r="J10057" s="27">
        <v>64752.22</v>
      </c>
      <c r="K10057" s="18">
        <f t="shared" si="315"/>
        <v>64752.22</v>
      </c>
      <c r="L10057" s="27">
        <v>61514.61</v>
      </c>
      <c r="M10057" s="36">
        <v>8501.16</v>
      </c>
      <c r="T10057" s="41">
        <v>0</v>
      </c>
      <c r="U10057" s="41">
        <v>0</v>
      </c>
      <c r="V10057" s="42" t="s">
        <v>113</v>
      </c>
      <c r="W10057" s="42">
        <v>64752.22</v>
      </c>
      <c r="X10057" s="42">
        <v>64752.22</v>
      </c>
    </row>
    <row r="10058" spans="1:24">
      <c r="A10058" s="27" t="s">
        <v>18155</v>
      </c>
      <c r="B10058" s="28" t="s">
        <v>17556</v>
      </c>
      <c r="C10058" s="27" t="s">
        <v>18104</v>
      </c>
      <c r="D10058" s="27" t="s">
        <v>17578</v>
      </c>
      <c r="E10058" s="29">
        <v>41271</v>
      </c>
      <c r="F10058" s="27">
        <v>7</v>
      </c>
      <c r="G10058" s="18">
        <v>17099.099999999999</v>
      </c>
      <c r="H10058" s="27">
        <f t="shared" si="314"/>
        <v>0</v>
      </c>
      <c r="I10058" s="18">
        <v>13999.24</v>
      </c>
      <c r="J10058" s="27">
        <v>17099.099999999999</v>
      </c>
      <c r="K10058" s="18">
        <f t="shared" si="315"/>
        <v>17099.099999999999</v>
      </c>
      <c r="L10058" s="27">
        <v>16244.14</v>
      </c>
      <c r="M10058" s="36">
        <v>2244.9</v>
      </c>
      <c r="T10058" s="41">
        <v>0</v>
      </c>
      <c r="U10058" s="41">
        <v>0</v>
      </c>
      <c r="V10058" s="42" t="s">
        <v>113</v>
      </c>
      <c r="W10058" s="42">
        <v>17099.099999999999</v>
      </c>
      <c r="X10058" s="42">
        <v>17099.099999999999</v>
      </c>
    </row>
    <row r="10059" spans="1:24">
      <c r="A10059" s="27" t="s">
        <v>18156</v>
      </c>
      <c r="B10059" s="28" t="s">
        <v>17556</v>
      </c>
      <c r="C10059" s="27" t="s">
        <v>17880</v>
      </c>
      <c r="D10059" s="27" t="s">
        <v>17558</v>
      </c>
      <c r="E10059" s="29">
        <v>41271</v>
      </c>
      <c r="F10059" s="27">
        <v>7</v>
      </c>
      <c r="G10059" s="18">
        <v>11997.86</v>
      </c>
      <c r="H10059" s="27">
        <f t="shared" si="314"/>
        <v>0</v>
      </c>
      <c r="I10059" s="18">
        <v>9822.7999999999993</v>
      </c>
      <c r="J10059" s="27">
        <v>11997.86</v>
      </c>
      <c r="K10059" s="18">
        <f t="shared" si="315"/>
        <v>11997.86</v>
      </c>
      <c r="L10059" s="27">
        <v>11397.97</v>
      </c>
      <c r="M10059" s="36">
        <v>1575.17</v>
      </c>
      <c r="T10059" s="41">
        <v>0</v>
      </c>
      <c r="U10059" s="41">
        <v>0</v>
      </c>
      <c r="V10059" s="42" t="s">
        <v>113</v>
      </c>
      <c r="W10059" s="42">
        <v>11997.86</v>
      </c>
      <c r="X10059" s="42">
        <v>11997.86</v>
      </c>
    </row>
    <row r="10060" spans="1:24">
      <c r="A10060" s="27" t="s">
        <v>18157</v>
      </c>
      <c r="B10060" s="28" t="s">
        <v>17556</v>
      </c>
      <c r="C10060" s="27" t="s">
        <v>17925</v>
      </c>
      <c r="D10060" s="27" t="s">
        <v>17558</v>
      </c>
      <c r="E10060" s="29">
        <v>41271</v>
      </c>
      <c r="F10060" s="27">
        <v>7</v>
      </c>
      <c r="G10060" s="18">
        <v>11253.36</v>
      </c>
      <c r="H10060" s="27">
        <f t="shared" si="314"/>
        <v>0</v>
      </c>
      <c r="I10060" s="18">
        <v>9213.27</v>
      </c>
      <c r="J10060" s="27">
        <v>11253.36</v>
      </c>
      <c r="K10060" s="18">
        <f t="shared" si="315"/>
        <v>11253.36</v>
      </c>
      <c r="L10060" s="27">
        <v>10690.69</v>
      </c>
      <c r="M10060" s="36">
        <v>1477.42</v>
      </c>
      <c r="T10060" s="41">
        <v>0</v>
      </c>
      <c r="U10060" s="41">
        <v>0</v>
      </c>
      <c r="V10060" s="42" t="s">
        <v>113</v>
      </c>
      <c r="W10060" s="42">
        <v>11253.36</v>
      </c>
      <c r="X10060" s="42">
        <v>11253.36</v>
      </c>
    </row>
    <row r="10061" spans="1:24">
      <c r="A10061" s="27" t="s">
        <v>18158</v>
      </c>
      <c r="B10061" s="28" t="s">
        <v>17556</v>
      </c>
      <c r="C10061" s="27" t="s">
        <v>17875</v>
      </c>
      <c r="D10061" s="27" t="s">
        <v>17558</v>
      </c>
      <c r="E10061" s="29">
        <v>41271</v>
      </c>
      <c r="F10061" s="27">
        <v>7</v>
      </c>
      <c r="G10061" s="18">
        <v>155238.53</v>
      </c>
      <c r="H10061" s="27">
        <f t="shared" si="314"/>
        <v>0</v>
      </c>
      <c r="I10061" s="18">
        <v>127095.71</v>
      </c>
      <c r="J10061" s="27">
        <v>155238.53</v>
      </c>
      <c r="K10061" s="18">
        <f t="shared" si="315"/>
        <v>155238.53</v>
      </c>
      <c r="L10061" s="27">
        <v>147476.6</v>
      </c>
      <c r="M10061" s="36">
        <v>20380.89</v>
      </c>
      <c r="T10061" s="41">
        <v>0</v>
      </c>
      <c r="U10061" s="41">
        <v>0</v>
      </c>
      <c r="V10061" s="42" t="s">
        <v>113</v>
      </c>
      <c r="W10061" s="42">
        <v>155238.53</v>
      </c>
      <c r="X10061" s="42">
        <v>155238.53</v>
      </c>
    </row>
    <row r="10062" spans="1:24">
      <c r="A10062" s="27" t="s">
        <v>18159</v>
      </c>
      <c r="B10062" s="28" t="s">
        <v>17556</v>
      </c>
      <c r="C10062" s="27" t="s">
        <v>17867</v>
      </c>
      <c r="D10062" s="27" t="s">
        <v>17578</v>
      </c>
      <c r="E10062" s="29">
        <v>41271</v>
      </c>
      <c r="F10062" s="27">
        <v>7</v>
      </c>
      <c r="G10062" s="18">
        <v>104616.15</v>
      </c>
      <c r="H10062" s="27">
        <f t="shared" si="314"/>
        <v>0</v>
      </c>
      <c r="I10062" s="18">
        <v>85650.54</v>
      </c>
      <c r="J10062" s="27">
        <v>104616.15</v>
      </c>
      <c r="K10062" s="18">
        <f t="shared" si="315"/>
        <v>104616.15</v>
      </c>
      <c r="L10062" s="27">
        <v>99385.34</v>
      </c>
      <c r="M10062" s="36">
        <v>13734.8</v>
      </c>
      <c r="T10062" s="41">
        <v>0</v>
      </c>
      <c r="U10062" s="41">
        <v>0</v>
      </c>
      <c r="V10062" s="42" t="s">
        <v>113</v>
      </c>
      <c r="W10062" s="42">
        <v>104616.15</v>
      </c>
      <c r="X10062" s="42">
        <v>104616.15</v>
      </c>
    </row>
    <row r="10063" spans="1:24">
      <c r="A10063" s="27" t="s">
        <v>18160</v>
      </c>
      <c r="B10063" s="28" t="s">
        <v>17556</v>
      </c>
      <c r="C10063" s="27" t="s">
        <v>18090</v>
      </c>
      <c r="D10063" s="27" t="s">
        <v>17578</v>
      </c>
      <c r="E10063" s="29">
        <v>41271</v>
      </c>
      <c r="F10063" s="27">
        <v>7</v>
      </c>
      <c r="G10063" s="18">
        <v>74785.8</v>
      </c>
      <c r="H10063" s="27">
        <f t="shared" si="314"/>
        <v>0</v>
      </c>
      <c r="I10063" s="18">
        <v>61228.07</v>
      </c>
      <c r="J10063" s="27">
        <v>74785.8</v>
      </c>
      <c r="K10063" s="18">
        <f t="shared" si="315"/>
        <v>74785.8</v>
      </c>
      <c r="L10063" s="27">
        <v>71046.509999999995</v>
      </c>
      <c r="M10063" s="36">
        <v>9818.44</v>
      </c>
      <c r="T10063" s="41">
        <v>0</v>
      </c>
      <c r="U10063" s="41">
        <v>0</v>
      </c>
      <c r="V10063" s="42" t="s">
        <v>113</v>
      </c>
      <c r="W10063" s="42">
        <v>74785.8</v>
      </c>
      <c r="X10063" s="42">
        <v>74785.8</v>
      </c>
    </row>
    <row r="10064" spans="1:24">
      <c r="A10064" s="27" t="s">
        <v>18161</v>
      </c>
      <c r="B10064" s="28" t="s">
        <v>17556</v>
      </c>
      <c r="C10064" s="27" t="s">
        <v>18104</v>
      </c>
      <c r="D10064" s="27" t="s">
        <v>17578</v>
      </c>
      <c r="E10064" s="29">
        <v>41271</v>
      </c>
      <c r="F10064" s="27">
        <v>7</v>
      </c>
      <c r="G10064" s="18">
        <v>31204.65</v>
      </c>
      <c r="H10064" s="27">
        <f t="shared" si="314"/>
        <v>0</v>
      </c>
      <c r="I10064" s="18">
        <v>25547.64</v>
      </c>
      <c r="J10064" s="27">
        <v>31204.65</v>
      </c>
      <c r="K10064" s="18">
        <f t="shared" si="315"/>
        <v>31204.65</v>
      </c>
      <c r="L10064" s="27">
        <v>29644.42</v>
      </c>
      <c r="M10064" s="36">
        <v>4096.78</v>
      </c>
      <c r="T10064" s="41">
        <v>0</v>
      </c>
      <c r="U10064" s="41">
        <v>0</v>
      </c>
      <c r="V10064" s="42" t="s">
        <v>113</v>
      </c>
      <c r="W10064" s="42">
        <v>31204.65</v>
      </c>
      <c r="X10064" s="42">
        <v>31204.65</v>
      </c>
    </row>
    <row r="10065" spans="1:24">
      <c r="A10065" s="27" t="s">
        <v>18162</v>
      </c>
      <c r="B10065" s="28" t="s">
        <v>17556</v>
      </c>
      <c r="C10065" s="27" t="s">
        <v>17895</v>
      </c>
      <c r="D10065" s="27" t="s">
        <v>17558</v>
      </c>
      <c r="E10065" s="29">
        <v>41271</v>
      </c>
      <c r="F10065" s="27">
        <v>7</v>
      </c>
      <c r="G10065" s="18">
        <v>10254.629999999999</v>
      </c>
      <c r="H10065" s="27">
        <f t="shared" si="314"/>
        <v>0</v>
      </c>
      <c r="I10065" s="18">
        <v>8395.6</v>
      </c>
      <c r="J10065" s="27">
        <v>10254.629999999999</v>
      </c>
      <c r="K10065" s="18">
        <f t="shared" si="315"/>
        <v>10254.629999999999</v>
      </c>
      <c r="L10065" s="27">
        <v>9741.9</v>
      </c>
      <c r="M10065" s="36">
        <v>1346.3</v>
      </c>
      <c r="T10065" s="41">
        <v>0</v>
      </c>
      <c r="U10065" s="41">
        <v>0</v>
      </c>
      <c r="V10065" s="42" t="s">
        <v>113</v>
      </c>
      <c r="W10065" s="42">
        <v>10254.629999999999</v>
      </c>
      <c r="X10065" s="42">
        <v>10254.629999999999</v>
      </c>
    </row>
    <row r="10066" spans="1:24">
      <c r="A10066" s="27" t="s">
        <v>18163</v>
      </c>
      <c r="B10066" s="28" t="s">
        <v>17556</v>
      </c>
      <c r="C10066" s="27" t="s">
        <v>17925</v>
      </c>
      <c r="D10066" s="27" t="s">
        <v>17558</v>
      </c>
      <c r="E10066" s="29">
        <v>41271</v>
      </c>
      <c r="F10066" s="27">
        <v>7</v>
      </c>
      <c r="G10066" s="18">
        <v>12321.93</v>
      </c>
      <c r="H10066" s="27">
        <f t="shared" si="314"/>
        <v>0</v>
      </c>
      <c r="I10066" s="18">
        <v>10088.120000000001</v>
      </c>
      <c r="J10066" s="27">
        <v>12321.93</v>
      </c>
      <c r="K10066" s="18">
        <f t="shared" si="315"/>
        <v>12321.93</v>
      </c>
      <c r="L10066" s="27">
        <v>11705.83</v>
      </c>
      <c r="M10066" s="36">
        <v>1617.71</v>
      </c>
      <c r="T10066" s="41">
        <v>0</v>
      </c>
      <c r="U10066" s="41">
        <v>0</v>
      </c>
      <c r="V10066" s="42" t="s">
        <v>113</v>
      </c>
      <c r="W10066" s="42">
        <v>12321.93</v>
      </c>
      <c r="X10066" s="42">
        <v>12321.93</v>
      </c>
    </row>
    <row r="10067" spans="1:24">
      <c r="A10067" s="27" t="s">
        <v>18164</v>
      </c>
      <c r="B10067" s="28" t="s">
        <v>17556</v>
      </c>
      <c r="C10067" s="27" t="s">
        <v>18149</v>
      </c>
      <c r="D10067" s="27" t="s">
        <v>17558</v>
      </c>
      <c r="E10067" s="29">
        <v>41271</v>
      </c>
      <c r="F10067" s="27">
        <v>7</v>
      </c>
      <c r="G10067" s="18">
        <v>15688.14</v>
      </c>
      <c r="H10067" s="27">
        <f t="shared" si="314"/>
        <v>0</v>
      </c>
      <c r="I10067" s="18">
        <v>12844.07</v>
      </c>
      <c r="J10067" s="27">
        <v>15688.14</v>
      </c>
      <c r="K10067" s="18">
        <f t="shared" si="315"/>
        <v>15688.14</v>
      </c>
      <c r="L10067" s="27">
        <v>14903.73</v>
      </c>
      <c r="M10067" s="36">
        <v>2059.66</v>
      </c>
      <c r="T10067" s="41">
        <v>0</v>
      </c>
      <c r="U10067" s="41">
        <v>0</v>
      </c>
      <c r="V10067" s="42" t="s">
        <v>113</v>
      </c>
      <c r="W10067" s="42">
        <v>15688.14</v>
      </c>
      <c r="X10067" s="42">
        <v>15688.14</v>
      </c>
    </row>
    <row r="10068" spans="1:24">
      <c r="A10068" s="27" t="s">
        <v>18165</v>
      </c>
      <c r="B10068" s="28" t="s">
        <v>17556</v>
      </c>
      <c r="C10068" s="27" t="s">
        <v>17873</v>
      </c>
      <c r="D10068" s="27" t="s">
        <v>17558</v>
      </c>
      <c r="E10068" s="29">
        <v>41271</v>
      </c>
      <c r="F10068" s="27">
        <v>7</v>
      </c>
      <c r="G10068" s="18">
        <v>106743.23</v>
      </c>
      <c r="H10068" s="27">
        <f t="shared" si="314"/>
        <v>0</v>
      </c>
      <c r="I10068" s="18">
        <v>87392.01</v>
      </c>
      <c r="J10068" s="27">
        <v>106743.23</v>
      </c>
      <c r="K10068" s="18">
        <f t="shared" si="315"/>
        <v>106743.23</v>
      </c>
      <c r="L10068" s="27">
        <v>101406.07</v>
      </c>
      <c r="M10068" s="36">
        <v>14014.06</v>
      </c>
      <c r="T10068" s="41">
        <v>0</v>
      </c>
      <c r="U10068" s="41">
        <v>0</v>
      </c>
      <c r="V10068" s="42" t="s">
        <v>113</v>
      </c>
      <c r="W10068" s="42">
        <v>106743.23</v>
      </c>
      <c r="X10068" s="42">
        <v>106743.23</v>
      </c>
    </row>
    <row r="10069" spans="1:24">
      <c r="A10069" s="27" t="s">
        <v>18166</v>
      </c>
      <c r="B10069" s="28" t="s">
        <v>17556</v>
      </c>
      <c r="C10069" s="27" t="s">
        <v>17875</v>
      </c>
      <c r="D10069" s="27" t="s">
        <v>17558</v>
      </c>
      <c r="E10069" s="29">
        <v>41271</v>
      </c>
      <c r="F10069" s="27">
        <v>7</v>
      </c>
      <c r="G10069" s="18">
        <v>75546.38</v>
      </c>
      <c r="H10069" s="27">
        <f t="shared" si="314"/>
        <v>0</v>
      </c>
      <c r="I10069" s="18">
        <v>61850.76</v>
      </c>
      <c r="J10069" s="27">
        <v>75546.38</v>
      </c>
      <c r="K10069" s="18">
        <f t="shared" si="315"/>
        <v>75546.38</v>
      </c>
      <c r="L10069" s="27">
        <v>71769.06</v>
      </c>
      <c r="M10069" s="36">
        <v>9918.2999999999993</v>
      </c>
      <c r="T10069" s="41">
        <v>0</v>
      </c>
      <c r="U10069" s="41">
        <v>0</v>
      </c>
      <c r="V10069" s="42" t="s">
        <v>113</v>
      </c>
      <c r="W10069" s="42">
        <v>75546.38</v>
      </c>
      <c r="X10069" s="42">
        <v>75546.38</v>
      </c>
    </row>
    <row r="10070" spans="1:24">
      <c r="A10070" s="27" t="s">
        <v>18167</v>
      </c>
      <c r="B10070" s="28" t="s">
        <v>17556</v>
      </c>
      <c r="C10070" s="27" t="s">
        <v>17867</v>
      </c>
      <c r="D10070" s="27" t="s">
        <v>17578</v>
      </c>
      <c r="E10070" s="29">
        <v>41271</v>
      </c>
      <c r="F10070" s="27">
        <v>7</v>
      </c>
      <c r="G10070" s="18">
        <v>64716.27</v>
      </c>
      <c r="H10070" s="27">
        <f t="shared" si="314"/>
        <v>0</v>
      </c>
      <c r="I10070" s="18">
        <v>52984.02</v>
      </c>
      <c r="J10070" s="27">
        <v>64716.27</v>
      </c>
      <c r="K10070" s="18">
        <f t="shared" si="315"/>
        <v>64716.27</v>
      </c>
      <c r="L10070" s="27">
        <v>61480.46</v>
      </c>
      <c r="M10070" s="36">
        <v>8496.44</v>
      </c>
      <c r="T10070" s="41">
        <v>0</v>
      </c>
      <c r="U10070" s="41">
        <v>0</v>
      </c>
      <c r="V10070" s="42" t="s">
        <v>113</v>
      </c>
      <c r="W10070" s="42">
        <v>64716.27</v>
      </c>
      <c r="X10070" s="42">
        <v>64716.27</v>
      </c>
    </row>
    <row r="10071" spans="1:24">
      <c r="A10071" s="27" t="s">
        <v>18168</v>
      </c>
      <c r="B10071" s="28" t="s">
        <v>17556</v>
      </c>
      <c r="C10071" s="27" t="s">
        <v>17883</v>
      </c>
      <c r="D10071" s="27" t="s">
        <v>17578</v>
      </c>
      <c r="E10071" s="29">
        <v>41271</v>
      </c>
      <c r="F10071" s="27">
        <v>7</v>
      </c>
      <c r="G10071" s="18">
        <v>34645.11</v>
      </c>
      <c r="H10071" s="27">
        <f t="shared" si="314"/>
        <v>0</v>
      </c>
      <c r="I10071" s="18">
        <v>28364.38</v>
      </c>
      <c r="J10071" s="27">
        <v>34645.11</v>
      </c>
      <c r="K10071" s="18">
        <f t="shared" si="315"/>
        <v>34645.11</v>
      </c>
      <c r="L10071" s="27">
        <v>32912.85</v>
      </c>
      <c r="M10071" s="36">
        <v>4548.47</v>
      </c>
      <c r="T10071" s="41">
        <v>0</v>
      </c>
      <c r="U10071" s="41">
        <v>0</v>
      </c>
      <c r="V10071" s="42" t="s">
        <v>113</v>
      </c>
      <c r="W10071" s="42">
        <v>34645.11</v>
      </c>
      <c r="X10071" s="42">
        <v>34645.11</v>
      </c>
    </row>
    <row r="10072" spans="1:24">
      <c r="A10072" s="27" t="s">
        <v>18169</v>
      </c>
      <c r="B10072" s="28" t="s">
        <v>17556</v>
      </c>
      <c r="C10072" s="27" t="s">
        <v>18090</v>
      </c>
      <c r="D10072" s="27" t="s">
        <v>17578</v>
      </c>
      <c r="E10072" s="29">
        <v>41271</v>
      </c>
      <c r="F10072" s="27">
        <v>7</v>
      </c>
      <c r="G10072" s="18">
        <v>48830.15</v>
      </c>
      <c r="H10072" s="27">
        <f t="shared" si="314"/>
        <v>0</v>
      </c>
      <c r="I10072" s="18">
        <v>39977.85</v>
      </c>
      <c r="J10072" s="27">
        <v>48830.15</v>
      </c>
      <c r="K10072" s="18">
        <f t="shared" si="315"/>
        <v>48830.15</v>
      </c>
      <c r="L10072" s="27">
        <v>46388.639999999999</v>
      </c>
      <c r="M10072" s="36">
        <v>6410.79</v>
      </c>
      <c r="T10072" s="41">
        <v>0</v>
      </c>
      <c r="U10072" s="41">
        <v>0</v>
      </c>
      <c r="V10072" s="42" t="s">
        <v>113</v>
      </c>
      <c r="W10072" s="42">
        <v>48830.15</v>
      </c>
      <c r="X10072" s="42">
        <v>48830.15</v>
      </c>
    </row>
    <row r="10073" spans="1:24">
      <c r="A10073" s="27" t="s">
        <v>18170</v>
      </c>
      <c r="B10073" s="28" t="s">
        <v>17556</v>
      </c>
      <c r="C10073" s="27" t="s">
        <v>18104</v>
      </c>
      <c r="D10073" s="27" t="s">
        <v>17578</v>
      </c>
      <c r="E10073" s="29">
        <v>41271</v>
      </c>
      <c r="F10073" s="27">
        <v>7</v>
      </c>
      <c r="G10073" s="18">
        <v>15688.39</v>
      </c>
      <c r="H10073" s="27">
        <f t="shared" si="314"/>
        <v>0</v>
      </c>
      <c r="I10073" s="18">
        <v>12844.28</v>
      </c>
      <c r="J10073" s="27">
        <v>15688.39</v>
      </c>
      <c r="K10073" s="18">
        <f t="shared" si="315"/>
        <v>15688.39</v>
      </c>
      <c r="L10073" s="27">
        <v>14903.97</v>
      </c>
      <c r="M10073" s="36">
        <v>2059.69</v>
      </c>
      <c r="T10073" s="41">
        <v>0</v>
      </c>
      <c r="U10073" s="41">
        <v>0</v>
      </c>
      <c r="V10073" s="42" t="s">
        <v>113</v>
      </c>
      <c r="W10073" s="42">
        <v>15688.39</v>
      </c>
      <c r="X10073" s="42">
        <v>15688.39</v>
      </c>
    </row>
    <row r="10074" spans="1:24">
      <c r="A10074" s="27" t="s">
        <v>18171</v>
      </c>
      <c r="B10074" s="28" t="s">
        <v>17556</v>
      </c>
      <c r="C10074" s="27" t="s">
        <v>17880</v>
      </c>
      <c r="D10074" s="27" t="s">
        <v>17558</v>
      </c>
      <c r="E10074" s="29">
        <v>41271</v>
      </c>
      <c r="F10074" s="27">
        <v>7</v>
      </c>
      <c r="G10074" s="18">
        <v>93568.29</v>
      </c>
      <c r="H10074" s="27">
        <f t="shared" si="314"/>
        <v>0</v>
      </c>
      <c r="I10074" s="18">
        <v>76605.53</v>
      </c>
      <c r="J10074" s="27">
        <v>93568.29</v>
      </c>
      <c r="K10074" s="18">
        <f t="shared" si="315"/>
        <v>93568.29</v>
      </c>
      <c r="L10074" s="27">
        <v>88889.88</v>
      </c>
      <c r="M10074" s="36">
        <v>12284.35</v>
      </c>
      <c r="T10074" s="41">
        <v>0</v>
      </c>
      <c r="U10074" s="41">
        <v>0</v>
      </c>
      <c r="V10074" s="42" t="s">
        <v>113</v>
      </c>
      <c r="W10074" s="42">
        <v>93568.29</v>
      </c>
      <c r="X10074" s="42">
        <v>93568.29</v>
      </c>
    </row>
    <row r="10075" spans="1:24">
      <c r="A10075" s="27" t="s">
        <v>18172</v>
      </c>
      <c r="B10075" s="28" t="s">
        <v>17556</v>
      </c>
      <c r="C10075" s="27" t="s">
        <v>17895</v>
      </c>
      <c r="D10075" s="27" t="s">
        <v>17558</v>
      </c>
      <c r="E10075" s="29">
        <v>41271</v>
      </c>
      <c r="F10075" s="27">
        <v>7</v>
      </c>
      <c r="G10075" s="18">
        <v>17185.349999999999</v>
      </c>
      <c r="H10075" s="27">
        <f t="shared" si="314"/>
        <v>0</v>
      </c>
      <c r="I10075" s="18">
        <v>14069.86</v>
      </c>
      <c r="J10075" s="27">
        <v>17185.349999999999</v>
      </c>
      <c r="K10075" s="18">
        <f t="shared" si="315"/>
        <v>17185.349999999999</v>
      </c>
      <c r="L10075" s="27">
        <v>16326.08</v>
      </c>
      <c r="M10075" s="36">
        <v>2256.2199999999998</v>
      </c>
      <c r="T10075" s="41">
        <v>0</v>
      </c>
      <c r="U10075" s="41">
        <v>0</v>
      </c>
      <c r="V10075" s="42" t="s">
        <v>113</v>
      </c>
      <c r="W10075" s="42">
        <v>17185.349999999999</v>
      </c>
      <c r="X10075" s="42">
        <v>17185.349999999999</v>
      </c>
    </row>
    <row r="10076" spans="1:24">
      <c r="A10076" s="27" t="s">
        <v>18173</v>
      </c>
      <c r="B10076" s="28" t="s">
        <v>17556</v>
      </c>
      <c r="C10076" s="27" t="s">
        <v>17873</v>
      </c>
      <c r="D10076" s="27" t="s">
        <v>17558</v>
      </c>
      <c r="E10076" s="29">
        <v>41271</v>
      </c>
      <c r="F10076" s="27">
        <v>7</v>
      </c>
      <c r="G10076" s="18">
        <v>44721.74</v>
      </c>
      <c r="H10076" s="27">
        <f t="shared" si="314"/>
        <v>0</v>
      </c>
      <c r="I10076" s="18">
        <v>36614.239999999998</v>
      </c>
      <c r="J10076" s="27">
        <v>44721.74</v>
      </c>
      <c r="K10076" s="18">
        <f t="shared" si="315"/>
        <v>44721.74</v>
      </c>
      <c r="L10076" s="27">
        <v>42485.65</v>
      </c>
      <c r="M10076" s="36">
        <v>5871.41</v>
      </c>
      <c r="T10076" s="41">
        <v>0</v>
      </c>
      <c r="U10076" s="41">
        <v>0</v>
      </c>
      <c r="V10076" s="42" t="s">
        <v>113</v>
      </c>
      <c r="W10076" s="42">
        <v>44721.74</v>
      </c>
      <c r="X10076" s="42">
        <v>44721.74</v>
      </c>
    </row>
    <row r="10077" spans="1:24">
      <c r="A10077" s="27" t="s">
        <v>18174</v>
      </c>
      <c r="B10077" s="28" t="s">
        <v>17556</v>
      </c>
      <c r="C10077" s="27" t="s">
        <v>17875</v>
      </c>
      <c r="D10077" s="27" t="s">
        <v>17558</v>
      </c>
      <c r="E10077" s="29">
        <v>41271</v>
      </c>
      <c r="F10077" s="27">
        <v>7</v>
      </c>
      <c r="G10077" s="18">
        <v>31651.34</v>
      </c>
      <c r="H10077" s="27">
        <f t="shared" si="314"/>
        <v>0</v>
      </c>
      <c r="I10077" s="18">
        <v>25913.34</v>
      </c>
      <c r="J10077" s="27">
        <v>31651.34</v>
      </c>
      <c r="K10077" s="18">
        <f t="shared" si="315"/>
        <v>31651.34</v>
      </c>
      <c r="L10077" s="27">
        <v>30068.77</v>
      </c>
      <c r="M10077" s="36">
        <v>4155.43</v>
      </c>
      <c r="T10077" s="41">
        <v>0</v>
      </c>
      <c r="U10077" s="41">
        <v>0</v>
      </c>
      <c r="V10077" s="42" t="s">
        <v>113</v>
      </c>
      <c r="W10077" s="42">
        <v>31651.34</v>
      </c>
      <c r="X10077" s="42">
        <v>31651.34</v>
      </c>
    </row>
    <row r="10078" spans="1:24">
      <c r="A10078" s="27" t="s">
        <v>18175</v>
      </c>
      <c r="B10078" s="28" t="s">
        <v>17556</v>
      </c>
      <c r="C10078" s="27" t="s">
        <v>17867</v>
      </c>
      <c r="D10078" s="27" t="s">
        <v>17578</v>
      </c>
      <c r="E10078" s="29">
        <v>41271</v>
      </c>
      <c r="F10078" s="27">
        <v>7</v>
      </c>
      <c r="G10078" s="18">
        <v>128654.63</v>
      </c>
      <c r="H10078" s="27">
        <f t="shared" si="314"/>
        <v>0</v>
      </c>
      <c r="I10078" s="18">
        <v>105331.14</v>
      </c>
      <c r="J10078" s="27">
        <v>128654.63</v>
      </c>
      <c r="K10078" s="18">
        <f t="shared" si="315"/>
        <v>128654.63</v>
      </c>
      <c r="L10078" s="27">
        <v>122221.9</v>
      </c>
      <c r="M10078" s="36">
        <v>16890.759999999998</v>
      </c>
      <c r="T10078" s="41">
        <v>0</v>
      </c>
      <c r="U10078" s="41">
        <v>0</v>
      </c>
      <c r="V10078" s="42" t="s">
        <v>113</v>
      </c>
      <c r="W10078" s="42">
        <v>128654.63</v>
      </c>
      <c r="X10078" s="42">
        <v>128654.63</v>
      </c>
    </row>
    <row r="10079" spans="1:24">
      <c r="A10079" s="27" t="s">
        <v>18176</v>
      </c>
      <c r="B10079" s="28" t="s">
        <v>17556</v>
      </c>
      <c r="C10079" s="27" t="s">
        <v>18090</v>
      </c>
      <c r="D10079" s="27" t="s">
        <v>17578</v>
      </c>
      <c r="E10079" s="29">
        <v>41271</v>
      </c>
      <c r="F10079" s="27">
        <v>7</v>
      </c>
      <c r="G10079" s="18">
        <v>73280.850000000006</v>
      </c>
      <c r="H10079" s="27">
        <f t="shared" si="314"/>
        <v>0</v>
      </c>
      <c r="I10079" s="18">
        <v>59995.95</v>
      </c>
      <c r="J10079" s="27">
        <v>73280.850000000006</v>
      </c>
      <c r="K10079" s="18">
        <f t="shared" si="315"/>
        <v>73280.850000000006</v>
      </c>
      <c r="L10079" s="27">
        <v>69616.81</v>
      </c>
      <c r="M10079" s="36">
        <v>9620.86</v>
      </c>
      <c r="T10079" s="41">
        <v>0</v>
      </c>
      <c r="U10079" s="41">
        <v>0</v>
      </c>
      <c r="V10079" s="42" t="s">
        <v>113</v>
      </c>
      <c r="W10079" s="42">
        <v>73280.850000000006</v>
      </c>
      <c r="X10079" s="42">
        <v>73280.850000000006</v>
      </c>
    </row>
    <row r="10080" spans="1:24">
      <c r="A10080" s="27" t="s">
        <v>18177</v>
      </c>
      <c r="B10080" s="28" t="s">
        <v>17556</v>
      </c>
      <c r="C10080" s="27" t="s">
        <v>18104</v>
      </c>
      <c r="D10080" s="27" t="s">
        <v>17578</v>
      </c>
      <c r="E10080" s="29">
        <v>41271</v>
      </c>
      <c r="F10080" s="27">
        <v>7</v>
      </c>
      <c r="G10080" s="18">
        <v>42807.360000000001</v>
      </c>
      <c r="H10080" s="27">
        <f t="shared" si="314"/>
        <v>0</v>
      </c>
      <c r="I10080" s="18">
        <v>35046.92</v>
      </c>
      <c r="J10080" s="27">
        <v>42807.360000000001</v>
      </c>
      <c r="K10080" s="18">
        <f t="shared" si="315"/>
        <v>42807.360000000001</v>
      </c>
      <c r="L10080" s="27">
        <v>40666.99</v>
      </c>
      <c r="M10080" s="36">
        <v>5620.07</v>
      </c>
      <c r="T10080" s="41">
        <v>0</v>
      </c>
      <c r="U10080" s="41">
        <v>0</v>
      </c>
      <c r="V10080" s="42" t="s">
        <v>113</v>
      </c>
      <c r="W10080" s="42">
        <v>42807.360000000001</v>
      </c>
      <c r="X10080" s="42">
        <v>42807.360000000001</v>
      </c>
    </row>
    <row r="10081" spans="1:24">
      <c r="A10081" s="27" t="s">
        <v>18178</v>
      </c>
      <c r="B10081" s="28" t="s">
        <v>17556</v>
      </c>
      <c r="C10081" s="27" t="s">
        <v>17880</v>
      </c>
      <c r="D10081" s="27" t="s">
        <v>17558</v>
      </c>
      <c r="E10081" s="29">
        <v>41271</v>
      </c>
      <c r="F10081" s="27">
        <v>7</v>
      </c>
      <c r="G10081" s="18">
        <v>77236.78</v>
      </c>
      <c r="H10081" s="27">
        <f t="shared" si="314"/>
        <v>0</v>
      </c>
      <c r="I10081" s="18">
        <v>63234.71</v>
      </c>
      <c r="J10081" s="27">
        <v>77236.78</v>
      </c>
      <c r="K10081" s="18">
        <f t="shared" si="315"/>
        <v>77236.78</v>
      </c>
      <c r="L10081" s="27">
        <v>73374.94</v>
      </c>
      <c r="M10081" s="36">
        <v>10140.23</v>
      </c>
      <c r="T10081" s="41">
        <v>0</v>
      </c>
      <c r="U10081" s="41">
        <v>0</v>
      </c>
      <c r="V10081" s="42" t="s">
        <v>113</v>
      </c>
      <c r="W10081" s="42">
        <v>77236.78</v>
      </c>
      <c r="X10081" s="42">
        <v>77236.78</v>
      </c>
    </row>
    <row r="10082" spans="1:24">
      <c r="A10082" s="27" t="s">
        <v>18179</v>
      </c>
      <c r="B10082" s="28" t="s">
        <v>17556</v>
      </c>
      <c r="C10082" s="27" t="s">
        <v>17895</v>
      </c>
      <c r="D10082" s="27" t="s">
        <v>17558</v>
      </c>
      <c r="E10082" s="29">
        <v>41271</v>
      </c>
      <c r="F10082" s="27">
        <v>7</v>
      </c>
      <c r="G10082" s="18">
        <v>50241.35</v>
      </c>
      <c r="H10082" s="27">
        <f t="shared" si="314"/>
        <v>0</v>
      </c>
      <c r="I10082" s="18">
        <v>41133.22</v>
      </c>
      <c r="J10082" s="27">
        <v>50241.35</v>
      </c>
      <c r="K10082" s="18">
        <f t="shared" si="315"/>
        <v>50241.35</v>
      </c>
      <c r="L10082" s="27">
        <v>47729.279999999999</v>
      </c>
      <c r="M10082" s="36">
        <v>6596.06</v>
      </c>
      <c r="T10082" s="41">
        <v>0</v>
      </c>
      <c r="U10082" s="41">
        <v>0</v>
      </c>
      <c r="V10082" s="42" t="s">
        <v>113</v>
      </c>
      <c r="W10082" s="42">
        <v>50241.35</v>
      </c>
      <c r="X10082" s="42">
        <v>50241.35</v>
      </c>
    </row>
    <row r="10083" spans="1:24">
      <c r="A10083" s="27" t="s">
        <v>18180</v>
      </c>
      <c r="B10083" s="28" t="s">
        <v>17556</v>
      </c>
      <c r="C10083" s="27" t="s">
        <v>17927</v>
      </c>
      <c r="D10083" s="27" t="s">
        <v>17558</v>
      </c>
      <c r="E10083" s="29">
        <v>41271</v>
      </c>
      <c r="F10083" s="27">
        <v>7</v>
      </c>
      <c r="G10083" s="18">
        <v>15288.32</v>
      </c>
      <c r="H10083" s="27">
        <f t="shared" si="314"/>
        <v>0</v>
      </c>
      <c r="I10083" s="18">
        <v>12516.73</v>
      </c>
      <c r="J10083" s="27">
        <v>15288.32</v>
      </c>
      <c r="K10083" s="18">
        <f t="shared" si="315"/>
        <v>15288.32</v>
      </c>
      <c r="L10083" s="27">
        <v>14523.9</v>
      </c>
      <c r="M10083" s="36">
        <v>2007.17</v>
      </c>
      <c r="T10083" s="41">
        <v>0</v>
      </c>
      <c r="U10083" s="41">
        <v>0</v>
      </c>
      <c r="V10083" s="42" t="s">
        <v>113</v>
      </c>
      <c r="W10083" s="42">
        <v>15288.32</v>
      </c>
      <c r="X10083" s="42">
        <v>15288.32</v>
      </c>
    </row>
    <row r="10084" spans="1:24">
      <c r="A10084" s="27" t="s">
        <v>18181</v>
      </c>
      <c r="B10084" s="28" t="s">
        <v>17556</v>
      </c>
      <c r="C10084" s="27" t="s">
        <v>17873</v>
      </c>
      <c r="D10084" s="27" t="s">
        <v>17558</v>
      </c>
      <c r="E10084" s="29">
        <v>41271</v>
      </c>
      <c r="F10084" s="27">
        <v>7</v>
      </c>
      <c r="G10084" s="18">
        <v>34865.06</v>
      </c>
      <c r="H10084" s="27">
        <f t="shared" si="314"/>
        <v>0</v>
      </c>
      <c r="I10084" s="18">
        <v>28544.46</v>
      </c>
      <c r="J10084" s="27">
        <v>34865.06</v>
      </c>
      <c r="K10084" s="18">
        <f t="shared" si="315"/>
        <v>34865.06</v>
      </c>
      <c r="L10084" s="27">
        <v>33121.81</v>
      </c>
      <c r="M10084" s="36">
        <v>4577.3500000000004</v>
      </c>
      <c r="T10084" s="41">
        <v>0</v>
      </c>
      <c r="U10084" s="41">
        <v>0</v>
      </c>
      <c r="V10084" s="42" t="s">
        <v>113</v>
      </c>
      <c r="W10084" s="42">
        <v>34865.06</v>
      </c>
      <c r="X10084" s="42">
        <v>34865.06</v>
      </c>
    </row>
    <row r="10085" spans="1:24">
      <c r="A10085" s="27" t="s">
        <v>18182</v>
      </c>
      <c r="B10085" s="28" t="s">
        <v>17556</v>
      </c>
      <c r="C10085" s="27" t="s">
        <v>17875</v>
      </c>
      <c r="D10085" s="27" t="s">
        <v>17558</v>
      </c>
      <c r="E10085" s="29">
        <v>41271</v>
      </c>
      <c r="F10085" s="27">
        <v>7</v>
      </c>
      <c r="G10085" s="18">
        <v>55519.6</v>
      </c>
      <c r="H10085" s="27">
        <f t="shared" si="314"/>
        <v>0</v>
      </c>
      <c r="I10085" s="18">
        <v>45454.59</v>
      </c>
      <c r="J10085" s="27">
        <v>55519.6</v>
      </c>
      <c r="K10085" s="18">
        <f t="shared" si="315"/>
        <v>55519.6</v>
      </c>
      <c r="L10085" s="27">
        <v>52743.62</v>
      </c>
      <c r="M10085" s="36">
        <v>7289.03</v>
      </c>
      <c r="T10085" s="41">
        <v>0</v>
      </c>
      <c r="U10085" s="41">
        <v>0</v>
      </c>
      <c r="V10085" s="42" t="s">
        <v>113</v>
      </c>
      <c r="W10085" s="42">
        <v>55519.6</v>
      </c>
      <c r="X10085" s="42">
        <v>55519.6</v>
      </c>
    </row>
    <row r="10086" spans="1:24">
      <c r="A10086" s="27" t="s">
        <v>18183</v>
      </c>
      <c r="B10086" s="28" t="s">
        <v>17556</v>
      </c>
      <c r="C10086" s="27" t="s">
        <v>17867</v>
      </c>
      <c r="D10086" s="27" t="s">
        <v>17578</v>
      </c>
      <c r="E10086" s="29">
        <v>41271</v>
      </c>
      <c r="F10086" s="27">
        <v>7</v>
      </c>
      <c r="G10086" s="18">
        <v>71784.25</v>
      </c>
      <c r="H10086" s="27">
        <f t="shared" si="314"/>
        <v>0</v>
      </c>
      <c r="I10086" s="18">
        <v>58770.66</v>
      </c>
      <c r="J10086" s="27">
        <v>71784.25</v>
      </c>
      <c r="K10086" s="18">
        <f t="shared" si="315"/>
        <v>71784.25</v>
      </c>
      <c r="L10086" s="27">
        <v>68195.039999999994</v>
      </c>
      <c r="M10086" s="36">
        <v>9424.3799999999992</v>
      </c>
      <c r="T10086" s="41">
        <v>0</v>
      </c>
      <c r="U10086" s="41">
        <v>0</v>
      </c>
      <c r="V10086" s="42" t="s">
        <v>113</v>
      </c>
      <c r="W10086" s="42">
        <v>71784.25</v>
      </c>
      <c r="X10086" s="42">
        <v>71784.25</v>
      </c>
    </row>
    <row r="10087" spans="1:24">
      <c r="A10087" s="27" t="s">
        <v>18184</v>
      </c>
      <c r="B10087" s="28" t="s">
        <v>17556</v>
      </c>
      <c r="C10087" s="27" t="s">
        <v>18090</v>
      </c>
      <c r="D10087" s="27" t="s">
        <v>17578</v>
      </c>
      <c r="E10087" s="29">
        <v>41271</v>
      </c>
      <c r="F10087" s="27">
        <v>7</v>
      </c>
      <c r="G10087" s="18">
        <v>49649.53</v>
      </c>
      <c r="H10087" s="27">
        <f t="shared" si="314"/>
        <v>0</v>
      </c>
      <c r="I10087" s="18">
        <v>40648.69</v>
      </c>
      <c r="J10087" s="27">
        <v>49649.53</v>
      </c>
      <c r="K10087" s="18">
        <f t="shared" si="315"/>
        <v>49649.53</v>
      </c>
      <c r="L10087" s="27">
        <v>47167.05</v>
      </c>
      <c r="M10087" s="36">
        <v>6518.36</v>
      </c>
      <c r="T10087" s="41">
        <v>0</v>
      </c>
      <c r="U10087" s="41">
        <v>0</v>
      </c>
      <c r="V10087" s="42" t="s">
        <v>113</v>
      </c>
      <c r="W10087" s="42">
        <v>49649.53</v>
      </c>
      <c r="X10087" s="42">
        <v>49649.53</v>
      </c>
    </row>
    <row r="10088" spans="1:24">
      <c r="A10088" s="27" t="s">
        <v>18185</v>
      </c>
      <c r="B10088" s="28" t="s">
        <v>17556</v>
      </c>
      <c r="C10088" s="27" t="s">
        <v>18104</v>
      </c>
      <c r="D10088" s="27" t="s">
        <v>17578</v>
      </c>
      <c r="E10088" s="29">
        <v>41271</v>
      </c>
      <c r="F10088" s="27">
        <v>7</v>
      </c>
      <c r="G10088" s="18">
        <v>15192.04</v>
      </c>
      <c r="H10088" s="27">
        <f t="shared" si="314"/>
        <v>0</v>
      </c>
      <c r="I10088" s="18">
        <v>12437.91</v>
      </c>
      <c r="J10088" s="27">
        <v>15192.04</v>
      </c>
      <c r="K10088" s="18">
        <f t="shared" si="315"/>
        <v>15192.04</v>
      </c>
      <c r="L10088" s="27">
        <v>14432.44</v>
      </c>
      <c r="M10088" s="36">
        <v>1994.53</v>
      </c>
      <c r="T10088" s="41">
        <v>0</v>
      </c>
      <c r="U10088" s="41">
        <v>0</v>
      </c>
      <c r="V10088" s="42" t="s">
        <v>113</v>
      </c>
      <c r="W10088" s="42">
        <v>15192.04</v>
      </c>
      <c r="X10088" s="42">
        <v>15192.04</v>
      </c>
    </row>
    <row r="10089" spans="1:24">
      <c r="A10089" s="27" t="s">
        <v>18186</v>
      </c>
      <c r="B10089" s="28" t="s">
        <v>17556</v>
      </c>
      <c r="C10089" s="27" t="s">
        <v>17875</v>
      </c>
      <c r="D10089" s="27" t="s">
        <v>17558</v>
      </c>
      <c r="E10089" s="29">
        <v>41271</v>
      </c>
      <c r="F10089" s="27">
        <v>7</v>
      </c>
      <c r="G10089" s="18">
        <v>122599.84</v>
      </c>
      <c r="H10089" s="27">
        <f t="shared" si="314"/>
        <v>0</v>
      </c>
      <c r="I10089" s="18">
        <v>100374.01</v>
      </c>
      <c r="J10089" s="27">
        <v>122599.84</v>
      </c>
      <c r="K10089" s="18">
        <f t="shared" si="315"/>
        <v>122599.84</v>
      </c>
      <c r="L10089" s="27">
        <v>116469.85</v>
      </c>
      <c r="M10089" s="36">
        <v>16095.84</v>
      </c>
      <c r="T10089" s="41">
        <v>0</v>
      </c>
      <c r="U10089" s="41">
        <v>0</v>
      </c>
      <c r="V10089" s="42" t="s">
        <v>113</v>
      </c>
      <c r="W10089" s="42">
        <v>122599.84</v>
      </c>
      <c r="X10089" s="42">
        <v>122599.84</v>
      </c>
    </row>
    <row r="10090" spans="1:24">
      <c r="A10090" s="27" t="s">
        <v>18187</v>
      </c>
      <c r="B10090" s="28" t="s">
        <v>17556</v>
      </c>
      <c r="C10090" s="27" t="s">
        <v>17867</v>
      </c>
      <c r="D10090" s="27" t="s">
        <v>17578</v>
      </c>
      <c r="E10090" s="29">
        <v>41271</v>
      </c>
      <c r="F10090" s="27">
        <v>7</v>
      </c>
      <c r="G10090" s="18">
        <v>128099.51</v>
      </c>
      <c r="H10090" s="27">
        <f t="shared" si="314"/>
        <v>0</v>
      </c>
      <c r="I10090" s="18">
        <v>104876.66</v>
      </c>
      <c r="J10090" s="27">
        <v>128099.51</v>
      </c>
      <c r="K10090" s="18">
        <f t="shared" si="315"/>
        <v>128099.51</v>
      </c>
      <c r="L10090" s="27">
        <v>121694.53</v>
      </c>
      <c r="M10090" s="36">
        <v>16817.87</v>
      </c>
      <c r="T10090" s="41">
        <v>0</v>
      </c>
      <c r="U10090" s="41">
        <v>0</v>
      </c>
      <c r="V10090" s="42" t="s">
        <v>113</v>
      </c>
      <c r="W10090" s="42">
        <v>128099.51</v>
      </c>
      <c r="X10090" s="42">
        <v>128099.51</v>
      </c>
    </row>
    <row r="10091" spans="1:24">
      <c r="A10091" s="27" t="s">
        <v>18188</v>
      </c>
      <c r="B10091" s="28" t="s">
        <v>17556</v>
      </c>
      <c r="C10091" s="27" t="s">
        <v>18090</v>
      </c>
      <c r="D10091" s="27" t="s">
        <v>17578</v>
      </c>
      <c r="E10091" s="29">
        <v>41271</v>
      </c>
      <c r="F10091" s="27">
        <v>7</v>
      </c>
      <c r="G10091" s="18">
        <v>16356.9</v>
      </c>
      <c r="H10091" s="27">
        <f t="shared" si="314"/>
        <v>0</v>
      </c>
      <c r="I10091" s="18">
        <v>13391.59</v>
      </c>
      <c r="J10091" s="27">
        <v>16356.9</v>
      </c>
      <c r="K10091" s="18">
        <f t="shared" si="315"/>
        <v>16356.9</v>
      </c>
      <c r="L10091" s="27">
        <v>15539.05</v>
      </c>
      <c r="M10091" s="36">
        <v>2147.46</v>
      </c>
      <c r="T10091" s="41">
        <v>0</v>
      </c>
      <c r="U10091" s="41">
        <v>0</v>
      </c>
      <c r="V10091" s="42" t="s">
        <v>113</v>
      </c>
      <c r="W10091" s="42">
        <v>16356.9</v>
      </c>
      <c r="X10091" s="42">
        <v>16356.9</v>
      </c>
    </row>
    <row r="10092" spans="1:24">
      <c r="A10092" s="27" t="s">
        <v>18189</v>
      </c>
      <c r="B10092" s="28" t="s">
        <v>17556</v>
      </c>
      <c r="C10092" s="27" t="s">
        <v>18104</v>
      </c>
      <c r="D10092" s="27" t="s">
        <v>17578</v>
      </c>
      <c r="E10092" s="29">
        <v>41271</v>
      </c>
      <c r="F10092" s="27">
        <v>7</v>
      </c>
      <c r="G10092" s="18">
        <v>4379.3599999999997</v>
      </c>
      <c r="H10092" s="27">
        <f t="shared" si="314"/>
        <v>4379.3599999999997</v>
      </c>
      <c r="I10092" s="18">
        <v>4379.3599999999997</v>
      </c>
      <c r="J10092" s="27">
        <v>4379.3599999999997</v>
      </c>
      <c r="K10092" s="18">
        <f t="shared" si="315"/>
        <v>4379.3599999999997</v>
      </c>
      <c r="L10092" s="27">
        <v>4379.3599999999997</v>
      </c>
      <c r="M10092" s="36">
        <v>0</v>
      </c>
      <c r="T10092" s="41">
        <v>0</v>
      </c>
      <c r="U10092" s="41">
        <v>0</v>
      </c>
      <c r="V10092" s="42" t="s">
        <v>113</v>
      </c>
      <c r="W10092" s="42">
        <v>4379.3599999999997</v>
      </c>
      <c r="X10092" s="42">
        <v>4379.3599999999997</v>
      </c>
    </row>
    <row r="10093" spans="1:24">
      <c r="A10093" s="27" t="s">
        <v>18190</v>
      </c>
      <c r="B10093" s="28" t="s">
        <v>17556</v>
      </c>
      <c r="C10093" s="27" t="s">
        <v>17867</v>
      </c>
      <c r="D10093" s="27" t="s">
        <v>17578</v>
      </c>
      <c r="E10093" s="29">
        <v>41271</v>
      </c>
      <c r="F10093" s="27">
        <v>7</v>
      </c>
      <c r="G10093" s="18">
        <v>187222.39</v>
      </c>
      <c r="H10093" s="27">
        <f t="shared" si="314"/>
        <v>0</v>
      </c>
      <c r="I10093" s="18">
        <v>153281.29999999999</v>
      </c>
      <c r="J10093" s="27">
        <v>187222.39</v>
      </c>
      <c r="K10093" s="18">
        <f t="shared" si="315"/>
        <v>187222.39</v>
      </c>
      <c r="L10093" s="27">
        <v>177861.27</v>
      </c>
      <c r="M10093" s="36">
        <v>24579.97</v>
      </c>
      <c r="T10093" s="41">
        <v>0</v>
      </c>
      <c r="U10093" s="41">
        <v>0</v>
      </c>
      <c r="V10093" s="42" t="s">
        <v>113</v>
      </c>
      <c r="W10093" s="42">
        <v>187222.39</v>
      </c>
      <c r="X10093" s="42">
        <v>187222.39</v>
      </c>
    </row>
    <row r="10094" spans="1:24">
      <c r="A10094" s="27" t="s">
        <v>18191</v>
      </c>
      <c r="B10094" s="28" t="s">
        <v>17556</v>
      </c>
      <c r="C10094" s="27" t="s">
        <v>17883</v>
      </c>
      <c r="D10094" s="27" t="s">
        <v>17578</v>
      </c>
      <c r="E10094" s="29">
        <v>41271</v>
      </c>
      <c r="F10094" s="27">
        <v>7</v>
      </c>
      <c r="G10094" s="18">
        <v>1975.81</v>
      </c>
      <c r="H10094" s="27">
        <f t="shared" si="314"/>
        <v>1975.81</v>
      </c>
      <c r="I10094" s="18">
        <v>1975.81</v>
      </c>
      <c r="J10094" s="27">
        <v>1975.81</v>
      </c>
      <c r="K10094" s="18">
        <f t="shared" si="315"/>
        <v>1975.81</v>
      </c>
      <c r="L10094" s="27">
        <v>1975.81</v>
      </c>
      <c r="M10094" s="36">
        <v>0</v>
      </c>
      <c r="T10094" s="41">
        <v>0</v>
      </c>
      <c r="U10094" s="41">
        <v>0</v>
      </c>
      <c r="V10094" s="42" t="s">
        <v>113</v>
      </c>
      <c r="W10094" s="42">
        <v>1975.81</v>
      </c>
      <c r="X10094" s="42">
        <v>1975.81</v>
      </c>
    </row>
    <row r="10095" spans="1:24">
      <c r="A10095" s="27" t="s">
        <v>18192</v>
      </c>
      <c r="B10095" s="28" t="s">
        <v>17556</v>
      </c>
      <c r="C10095" s="27" t="s">
        <v>18090</v>
      </c>
      <c r="D10095" s="27" t="s">
        <v>17578</v>
      </c>
      <c r="E10095" s="29">
        <v>41271</v>
      </c>
      <c r="F10095" s="27">
        <v>7</v>
      </c>
      <c r="G10095" s="18">
        <v>129028.12</v>
      </c>
      <c r="H10095" s="27">
        <f t="shared" si="314"/>
        <v>0</v>
      </c>
      <c r="I10095" s="18">
        <v>105636.92</v>
      </c>
      <c r="J10095" s="27">
        <v>129028.12</v>
      </c>
      <c r="K10095" s="18">
        <f t="shared" si="315"/>
        <v>129028.12</v>
      </c>
      <c r="L10095" s="27">
        <v>122576.71</v>
      </c>
      <c r="M10095" s="36">
        <v>16939.79</v>
      </c>
      <c r="T10095" s="41">
        <v>0</v>
      </c>
      <c r="U10095" s="41">
        <v>0</v>
      </c>
      <c r="V10095" s="42" t="s">
        <v>113</v>
      </c>
      <c r="W10095" s="42">
        <v>129028.12</v>
      </c>
      <c r="X10095" s="42">
        <v>129028.12</v>
      </c>
    </row>
    <row r="10096" spans="1:24">
      <c r="A10096" s="27" t="s">
        <v>18193</v>
      </c>
      <c r="B10096" s="28" t="s">
        <v>17556</v>
      </c>
      <c r="C10096" s="27" t="s">
        <v>18104</v>
      </c>
      <c r="D10096" s="27" t="s">
        <v>17578</v>
      </c>
      <c r="E10096" s="29">
        <v>41271</v>
      </c>
      <c r="F10096" s="27">
        <v>7</v>
      </c>
      <c r="G10096" s="18">
        <v>29823.63</v>
      </c>
      <c r="H10096" s="27">
        <f t="shared" si="314"/>
        <v>0</v>
      </c>
      <c r="I10096" s="18">
        <v>24416.98</v>
      </c>
      <c r="J10096" s="27">
        <v>29823.63</v>
      </c>
      <c r="K10096" s="18">
        <f t="shared" si="315"/>
        <v>29823.63</v>
      </c>
      <c r="L10096" s="27">
        <v>28332.45</v>
      </c>
      <c r="M10096" s="36">
        <v>3915.47</v>
      </c>
      <c r="T10096" s="41">
        <v>0</v>
      </c>
      <c r="U10096" s="41">
        <v>0</v>
      </c>
      <c r="V10096" s="42" t="s">
        <v>113</v>
      </c>
      <c r="W10096" s="42">
        <v>29823.63</v>
      </c>
      <c r="X10096" s="42">
        <v>29823.63</v>
      </c>
    </row>
    <row r="10097" spans="1:24">
      <c r="A10097" s="27" t="s">
        <v>18194</v>
      </c>
      <c r="B10097" s="28" t="s">
        <v>17556</v>
      </c>
      <c r="C10097" s="27" t="s">
        <v>17880</v>
      </c>
      <c r="D10097" s="27" t="s">
        <v>17558</v>
      </c>
      <c r="E10097" s="29">
        <v>41271</v>
      </c>
      <c r="F10097" s="27">
        <v>7</v>
      </c>
      <c r="G10097" s="18">
        <v>12555.72</v>
      </c>
      <c r="H10097" s="27">
        <f t="shared" si="314"/>
        <v>0</v>
      </c>
      <c r="I10097" s="18">
        <v>10279.52</v>
      </c>
      <c r="J10097" s="27">
        <v>12555.72</v>
      </c>
      <c r="K10097" s="18">
        <f t="shared" si="315"/>
        <v>12555.72</v>
      </c>
      <c r="L10097" s="27">
        <v>11927.93</v>
      </c>
      <c r="M10097" s="36">
        <v>1648.41</v>
      </c>
      <c r="T10097" s="41">
        <v>0</v>
      </c>
      <c r="U10097" s="41">
        <v>0</v>
      </c>
      <c r="V10097" s="42" t="s">
        <v>113</v>
      </c>
      <c r="W10097" s="42">
        <v>12555.72</v>
      </c>
      <c r="X10097" s="42">
        <v>12555.72</v>
      </c>
    </row>
    <row r="10098" spans="1:24">
      <c r="A10098" s="27" t="s">
        <v>18195</v>
      </c>
      <c r="B10098" s="28" t="s">
        <v>17556</v>
      </c>
      <c r="C10098" s="27" t="s">
        <v>17895</v>
      </c>
      <c r="D10098" s="27" t="s">
        <v>17558</v>
      </c>
      <c r="E10098" s="29">
        <v>41271</v>
      </c>
      <c r="F10098" s="27">
        <v>7</v>
      </c>
      <c r="G10098" s="18">
        <v>68605.53</v>
      </c>
      <c r="H10098" s="27">
        <f t="shared" si="314"/>
        <v>0</v>
      </c>
      <c r="I10098" s="18">
        <v>56168.2</v>
      </c>
      <c r="J10098" s="27">
        <v>68605.53</v>
      </c>
      <c r="K10098" s="18">
        <f t="shared" si="315"/>
        <v>68605.53</v>
      </c>
      <c r="L10098" s="27">
        <v>65175.25</v>
      </c>
      <c r="M10098" s="36">
        <v>9007.0499999999993</v>
      </c>
      <c r="T10098" s="41">
        <v>0</v>
      </c>
      <c r="U10098" s="41">
        <v>0</v>
      </c>
      <c r="V10098" s="42" t="s">
        <v>113</v>
      </c>
      <c r="W10098" s="42">
        <v>68605.53</v>
      </c>
      <c r="X10098" s="42">
        <v>68605.53</v>
      </c>
    </row>
    <row r="10099" spans="1:24">
      <c r="A10099" s="27" t="s">
        <v>18196</v>
      </c>
      <c r="B10099" s="28" t="s">
        <v>17556</v>
      </c>
      <c r="C10099" s="27" t="s">
        <v>17927</v>
      </c>
      <c r="D10099" s="27" t="s">
        <v>17558</v>
      </c>
      <c r="E10099" s="29">
        <v>41271</v>
      </c>
      <c r="F10099" s="27">
        <v>7</v>
      </c>
      <c r="G10099" s="18">
        <v>14911.79</v>
      </c>
      <c r="H10099" s="27">
        <f t="shared" si="314"/>
        <v>0</v>
      </c>
      <c r="I10099" s="18">
        <v>12208.47</v>
      </c>
      <c r="J10099" s="27">
        <v>14911.79</v>
      </c>
      <c r="K10099" s="18">
        <f t="shared" si="315"/>
        <v>14911.79</v>
      </c>
      <c r="L10099" s="27">
        <v>14166.2</v>
      </c>
      <c r="M10099" s="36">
        <v>1957.73</v>
      </c>
      <c r="T10099" s="41">
        <v>0</v>
      </c>
      <c r="U10099" s="41">
        <v>0</v>
      </c>
      <c r="V10099" s="42" t="s">
        <v>113</v>
      </c>
      <c r="W10099" s="42">
        <v>14911.79</v>
      </c>
      <c r="X10099" s="42">
        <v>14911.79</v>
      </c>
    </row>
    <row r="10100" spans="1:24">
      <c r="A10100" s="27" t="s">
        <v>18197</v>
      </c>
      <c r="B10100" s="28" t="s">
        <v>17556</v>
      </c>
      <c r="C10100" s="27" t="s">
        <v>18149</v>
      </c>
      <c r="D10100" s="27" t="s">
        <v>17558</v>
      </c>
      <c r="E10100" s="29">
        <v>41271</v>
      </c>
      <c r="F10100" s="27">
        <v>7</v>
      </c>
      <c r="G10100" s="18">
        <v>14993.83</v>
      </c>
      <c r="H10100" s="27">
        <f t="shared" si="314"/>
        <v>0</v>
      </c>
      <c r="I10100" s="18">
        <v>12275.64</v>
      </c>
      <c r="J10100" s="27">
        <v>14993.83</v>
      </c>
      <c r="K10100" s="18">
        <f t="shared" si="315"/>
        <v>14993.83</v>
      </c>
      <c r="L10100" s="27">
        <v>14244.14</v>
      </c>
      <c r="M10100" s="36">
        <v>1968.5</v>
      </c>
      <c r="T10100" s="41">
        <v>0</v>
      </c>
      <c r="U10100" s="41">
        <v>0</v>
      </c>
      <c r="V10100" s="42" t="s">
        <v>113</v>
      </c>
      <c r="W10100" s="42">
        <v>14993.83</v>
      </c>
      <c r="X10100" s="42">
        <v>14993.83</v>
      </c>
    </row>
    <row r="10101" spans="1:24">
      <c r="A10101" s="27" t="s">
        <v>18198</v>
      </c>
      <c r="B10101" s="28" t="s">
        <v>17556</v>
      </c>
      <c r="C10101" s="27" t="s">
        <v>17873</v>
      </c>
      <c r="D10101" s="27" t="s">
        <v>17558</v>
      </c>
      <c r="E10101" s="29">
        <v>41271</v>
      </c>
      <c r="F10101" s="27">
        <v>7</v>
      </c>
      <c r="G10101" s="18">
        <v>85015.91</v>
      </c>
      <c r="H10101" s="27">
        <f t="shared" si="314"/>
        <v>0</v>
      </c>
      <c r="I10101" s="18">
        <v>69603.58</v>
      </c>
      <c r="J10101" s="27">
        <v>85015.91</v>
      </c>
      <c r="K10101" s="18">
        <f t="shared" si="315"/>
        <v>85015.91</v>
      </c>
      <c r="L10101" s="27">
        <v>80765.11</v>
      </c>
      <c r="M10101" s="36">
        <v>11161.53</v>
      </c>
      <c r="T10101" s="41">
        <v>0</v>
      </c>
      <c r="U10101" s="41">
        <v>0</v>
      </c>
      <c r="V10101" s="42" t="s">
        <v>113</v>
      </c>
      <c r="W10101" s="42">
        <v>85015.91</v>
      </c>
      <c r="X10101" s="42">
        <v>85015.91</v>
      </c>
    </row>
    <row r="10102" spans="1:24">
      <c r="A10102" s="27" t="s">
        <v>18199</v>
      </c>
      <c r="B10102" s="28" t="s">
        <v>17556</v>
      </c>
      <c r="C10102" s="27" t="s">
        <v>17875</v>
      </c>
      <c r="D10102" s="27" t="s">
        <v>17558</v>
      </c>
      <c r="E10102" s="29">
        <v>41271</v>
      </c>
      <c r="F10102" s="27">
        <v>7</v>
      </c>
      <c r="G10102" s="18">
        <v>90253.66</v>
      </c>
      <c r="H10102" s="27">
        <f t="shared" si="314"/>
        <v>0</v>
      </c>
      <c r="I10102" s="18">
        <v>73891.8</v>
      </c>
      <c r="J10102" s="27">
        <v>90253.66</v>
      </c>
      <c r="K10102" s="18">
        <f t="shared" si="315"/>
        <v>90253.66</v>
      </c>
      <c r="L10102" s="27">
        <v>85740.98</v>
      </c>
      <c r="M10102" s="36">
        <v>11849.18</v>
      </c>
      <c r="T10102" s="41">
        <v>0</v>
      </c>
      <c r="U10102" s="41">
        <v>0</v>
      </c>
      <c r="V10102" s="42" t="s">
        <v>113</v>
      </c>
      <c r="W10102" s="42">
        <v>90253.66</v>
      </c>
      <c r="X10102" s="42">
        <v>90253.66</v>
      </c>
    </row>
    <row r="10103" spans="1:24">
      <c r="A10103" s="27" t="s">
        <v>18200</v>
      </c>
      <c r="B10103" s="28" t="s">
        <v>17556</v>
      </c>
      <c r="C10103" s="27" t="s">
        <v>17867</v>
      </c>
      <c r="D10103" s="27" t="s">
        <v>17578</v>
      </c>
      <c r="E10103" s="29">
        <v>41271</v>
      </c>
      <c r="F10103" s="27">
        <v>7</v>
      </c>
      <c r="G10103" s="18">
        <v>81873.36</v>
      </c>
      <c r="H10103" s="27">
        <f t="shared" si="314"/>
        <v>0</v>
      </c>
      <c r="I10103" s="18">
        <v>67030.740000000005</v>
      </c>
      <c r="J10103" s="27">
        <v>81873.36</v>
      </c>
      <c r="K10103" s="18">
        <f t="shared" si="315"/>
        <v>81873.36</v>
      </c>
      <c r="L10103" s="27">
        <v>77779.69</v>
      </c>
      <c r="M10103" s="36">
        <v>10748.95</v>
      </c>
      <c r="T10103" s="41">
        <v>0</v>
      </c>
      <c r="U10103" s="41">
        <v>0</v>
      </c>
      <c r="V10103" s="42" t="s">
        <v>113</v>
      </c>
      <c r="W10103" s="42">
        <v>81873.36</v>
      </c>
      <c r="X10103" s="42">
        <v>81873.36</v>
      </c>
    </row>
    <row r="10104" spans="1:24">
      <c r="A10104" s="27" t="s">
        <v>18201</v>
      </c>
      <c r="B10104" s="28" t="s">
        <v>17556</v>
      </c>
      <c r="C10104" s="27" t="s">
        <v>17883</v>
      </c>
      <c r="D10104" s="27" t="s">
        <v>17578</v>
      </c>
      <c r="E10104" s="29">
        <v>41271</v>
      </c>
      <c r="F10104" s="27">
        <v>7</v>
      </c>
      <c r="G10104" s="18">
        <v>54787.44</v>
      </c>
      <c r="H10104" s="27">
        <f t="shared" si="314"/>
        <v>0</v>
      </c>
      <c r="I10104" s="18">
        <v>44855.16</v>
      </c>
      <c r="J10104" s="27">
        <v>54787.44</v>
      </c>
      <c r="K10104" s="18">
        <f t="shared" si="315"/>
        <v>54787.44</v>
      </c>
      <c r="L10104" s="27">
        <v>52048.07</v>
      </c>
      <c r="M10104" s="36">
        <v>7192.91</v>
      </c>
      <c r="T10104" s="41">
        <v>0</v>
      </c>
      <c r="U10104" s="41">
        <v>0</v>
      </c>
      <c r="V10104" s="42" t="s">
        <v>113</v>
      </c>
      <c r="W10104" s="42">
        <v>54787.44</v>
      </c>
      <c r="X10104" s="42">
        <v>54787.44</v>
      </c>
    </row>
    <row r="10105" spans="1:24">
      <c r="A10105" s="27" t="s">
        <v>18202</v>
      </c>
      <c r="B10105" s="28" t="s">
        <v>17556</v>
      </c>
      <c r="C10105" s="27" t="s">
        <v>18090</v>
      </c>
      <c r="D10105" s="27" t="s">
        <v>17578</v>
      </c>
      <c r="E10105" s="29">
        <v>41271</v>
      </c>
      <c r="F10105" s="27">
        <v>7</v>
      </c>
      <c r="G10105" s="18">
        <v>97811.41</v>
      </c>
      <c r="H10105" s="27">
        <f t="shared" si="314"/>
        <v>0</v>
      </c>
      <c r="I10105" s="18">
        <v>80079.42</v>
      </c>
      <c r="J10105" s="27">
        <v>97811.41</v>
      </c>
      <c r="K10105" s="18">
        <f t="shared" si="315"/>
        <v>97811.41</v>
      </c>
      <c r="L10105" s="27">
        <v>92920.84</v>
      </c>
      <c r="M10105" s="36">
        <v>12841.42</v>
      </c>
      <c r="T10105" s="41">
        <v>0</v>
      </c>
      <c r="U10105" s="41">
        <v>0</v>
      </c>
      <c r="V10105" s="42" t="s">
        <v>113</v>
      </c>
      <c r="W10105" s="42">
        <v>97811.41</v>
      </c>
      <c r="X10105" s="42">
        <v>97811.41</v>
      </c>
    </row>
    <row r="10106" spans="1:24">
      <c r="A10106" s="27" t="s">
        <v>18203</v>
      </c>
      <c r="B10106" s="28" t="s">
        <v>17556</v>
      </c>
      <c r="C10106" s="27" t="s">
        <v>18104</v>
      </c>
      <c r="D10106" s="27" t="s">
        <v>17578</v>
      </c>
      <c r="E10106" s="29">
        <v>41271</v>
      </c>
      <c r="F10106" s="27">
        <v>7</v>
      </c>
      <c r="G10106" s="18">
        <v>22052.89</v>
      </c>
      <c r="H10106" s="27">
        <f t="shared" si="314"/>
        <v>0</v>
      </c>
      <c r="I10106" s="18">
        <v>18054.98</v>
      </c>
      <c r="J10106" s="27">
        <v>22052.89</v>
      </c>
      <c r="K10106" s="18">
        <f t="shared" si="315"/>
        <v>22052.89</v>
      </c>
      <c r="L10106" s="27">
        <v>20950.25</v>
      </c>
      <c r="M10106" s="36">
        <v>2895.27</v>
      </c>
      <c r="T10106" s="41">
        <v>0</v>
      </c>
      <c r="U10106" s="41">
        <v>0</v>
      </c>
      <c r="V10106" s="42" t="s">
        <v>113</v>
      </c>
      <c r="W10106" s="42">
        <v>22052.89</v>
      </c>
      <c r="X10106" s="42">
        <v>22052.89</v>
      </c>
    </row>
    <row r="10107" spans="1:24">
      <c r="A10107" s="27" t="s">
        <v>18204</v>
      </c>
      <c r="B10107" s="28" t="s">
        <v>17556</v>
      </c>
      <c r="C10107" s="27" t="s">
        <v>17880</v>
      </c>
      <c r="D10107" s="27" t="s">
        <v>17558</v>
      </c>
      <c r="E10107" s="29">
        <v>41271</v>
      </c>
      <c r="F10107" s="27">
        <v>7</v>
      </c>
      <c r="G10107" s="18">
        <v>121856.01</v>
      </c>
      <c r="H10107" s="27">
        <f t="shared" si="314"/>
        <v>0</v>
      </c>
      <c r="I10107" s="18">
        <v>99765.03</v>
      </c>
      <c r="J10107" s="27">
        <v>121856.01</v>
      </c>
      <c r="K10107" s="18">
        <f t="shared" si="315"/>
        <v>121856.01</v>
      </c>
      <c r="L10107" s="27">
        <v>115763.21</v>
      </c>
      <c r="M10107" s="36">
        <v>15998.18</v>
      </c>
      <c r="T10107" s="41">
        <v>0</v>
      </c>
      <c r="U10107" s="41">
        <v>0</v>
      </c>
      <c r="V10107" s="42" t="s">
        <v>113</v>
      </c>
      <c r="W10107" s="42">
        <v>121856.01</v>
      </c>
      <c r="X10107" s="42">
        <v>121856.01</v>
      </c>
    </row>
    <row r="10108" spans="1:24">
      <c r="A10108" s="27" t="s">
        <v>18205</v>
      </c>
      <c r="B10108" s="28" t="s">
        <v>17556</v>
      </c>
      <c r="C10108" s="27" t="s">
        <v>17895</v>
      </c>
      <c r="D10108" s="27" t="s">
        <v>17558</v>
      </c>
      <c r="E10108" s="29">
        <v>41271</v>
      </c>
      <c r="F10108" s="27">
        <v>7</v>
      </c>
      <c r="G10108" s="18">
        <v>163060.47</v>
      </c>
      <c r="H10108" s="27">
        <f t="shared" si="314"/>
        <v>0</v>
      </c>
      <c r="I10108" s="18">
        <v>133499.64000000001</v>
      </c>
      <c r="J10108" s="27">
        <v>163060.47</v>
      </c>
      <c r="K10108" s="18">
        <f t="shared" si="315"/>
        <v>163060.47</v>
      </c>
      <c r="L10108" s="27">
        <v>154907.45000000001</v>
      </c>
      <c r="M10108" s="36">
        <v>21407.81</v>
      </c>
      <c r="T10108" s="41">
        <v>0</v>
      </c>
      <c r="U10108" s="41">
        <v>0</v>
      </c>
      <c r="V10108" s="42" t="s">
        <v>113</v>
      </c>
      <c r="W10108" s="42">
        <v>163060.47</v>
      </c>
      <c r="X10108" s="42">
        <v>163060.47</v>
      </c>
    </row>
    <row r="10109" spans="1:24">
      <c r="A10109" s="27" t="s">
        <v>18206</v>
      </c>
      <c r="B10109" s="28" t="s">
        <v>17556</v>
      </c>
      <c r="C10109" s="27" t="s">
        <v>17873</v>
      </c>
      <c r="D10109" s="27" t="s">
        <v>17558</v>
      </c>
      <c r="E10109" s="29">
        <v>41271</v>
      </c>
      <c r="F10109" s="27">
        <v>7</v>
      </c>
      <c r="G10109" s="18">
        <v>47148.35</v>
      </c>
      <c r="H10109" s="27">
        <f t="shared" si="314"/>
        <v>0</v>
      </c>
      <c r="I10109" s="18">
        <v>38600.94</v>
      </c>
      <c r="J10109" s="27">
        <v>47148.35</v>
      </c>
      <c r="K10109" s="18">
        <f t="shared" si="315"/>
        <v>47148.35</v>
      </c>
      <c r="L10109" s="27">
        <v>44790.93</v>
      </c>
      <c r="M10109" s="36">
        <v>6189.99</v>
      </c>
      <c r="T10109" s="41">
        <v>0</v>
      </c>
      <c r="U10109" s="41">
        <v>0</v>
      </c>
      <c r="V10109" s="42" t="s">
        <v>113</v>
      </c>
      <c r="W10109" s="42">
        <v>47148.35</v>
      </c>
      <c r="X10109" s="42">
        <v>47148.35</v>
      </c>
    </row>
    <row r="10110" spans="1:24">
      <c r="A10110" s="27" t="s">
        <v>18207</v>
      </c>
      <c r="B10110" s="28" t="s">
        <v>17556</v>
      </c>
      <c r="C10110" s="27" t="s">
        <v>17875</v>
      </c>
      <c r="D10110" s="27" t="s">
        <v>17558</v>
      </c>
      <c r="E10110" s="29">
        <v>41271</v>
      </c>
      <c r="F10110" s="27">
        <v>7</v>
      </c>
      <c r="G10110" s="18">
        <v>16684.37</v>
      </c>
      <c r="H10110" s="27">
        <f t="shared" si="314"/>
        <v>0</v>
      </c>
      <c r="I10110" s="18">
        <v>13659.7</v>
      </c>
      <c r="J10110" s="27">
        <v>16684.37</v>
      </c>
      <c r="K10110" s="18">
        <f t="shared" si="315"/>
        <v>16684.37</v>
      </c>
      <c r="L10110" s="27">
        <v>15850.15</v>
      </c>
      <c r="M10110" s="36">
        <v>2190.4499999999998</v>
      </c>
      <c r="T10110" s="41">
        <v>0</v>
      </c>
      <c r="U10110" s="41">
        <v>0</v>
      </c>
      <c r="V10110" s="42" t="s">
        <v>113</v>
      </c>
      <c r="W10110" s="42">
        <v>16684.37</v>
      </c>
      <c r="X10110" s="42">
        <v>16684.37</v>
      </c>
    </row>
    <row r="10111" spans="1:24">
      <c r="A10111" s="27" t="s">
        <v>18208</v>
      </c>
      <c r="B10111" s="28" t="s">
        <v>17556</v>
      </c>
      <c r="C10111" s="27" t="s">
        <v>17873</v>
      </c>
      <c r="D10111" s="27" t="s">
        <v>17558</v>
      </c>
      <c r="E10111" s="29">
        <v>41271</v>
      </c>
      <c r="F10111" s="27">
        <v>7</v>
      </c>
      <c r="G10111" s="18">
        <v>63751.8</v>
      </c>
      <c r="H10111" s="27">
        <f t="shared" si="314"/>
        <v>0</v>
      </c>
      <c r="I10111" s="18">
        <v>52194.39</v>
      </c>
      <c r="J10111" s="27">
        <v>63751.8</v>
      </c>
      <c r="K10111" s="18">
        <f t="shared" si="315"/>
        <v>63751.8</v>
      </c>
      <c r="L10111" s="27">
        <v>60564.21</v>
      </c>
      <c r="M10111" s="36">
        <v>8369.82</v>
      </c>
      <c r="T10111" s="41">
        <v>0</v>
      </c>
      <c r="U10111" s="41">
        <v>0</v>
      </c>
      <c r="V10111" s="42" t="s">
        <v>113</v>
      </c>
      <c r="W10111" s="42">
        <v>63751.8</v>
      </c>
      <c r="X10111" s="42">
        <v>63751.8</v>
      </c>
    </row>
    <row r="10112" spans="1:24">
      <c r="A10112" s="27" t="s">
        <v>18209</v>
      </c>
      <c r="B10112" s="28" t="s">
        <v>17556</v>
      </c>
      <c r="C10112" s="27" t="s">
        <v>17875</v>
      </c>
      <c r="D10112" s="27" t="s">
        <v>17558</v>
      </c>
      <c r="E10112" s="29">
        <v>41271</v>
      </c>
      <c r="F10112" s="27">
        <v>7</v>
      </c>
      <c r="G10112" s="18">
        <v>38674</v>
      </c>
      <c r="H10112" s="27">
        <f t="shared" si="314"/>
        <v>0</v>
      </c>
      <c r="I10112" s="18">
        <v>31662.89</v>
      </c>
      <c r="J10112" s="27">
        <v>38674</v>
      </c>
      <c r="K10112" s="18">
        <f t="shared" si="315"/>
        <v>38674</v>
      </c>
      <c r="L10112" s="27">
        <v>36740.300000000003</v>
      </c>
      <c r="M10112" s="36">
        <v>5077.41</v>
      </c>
      <c r="T10112" s="41">
        <v>0</v>
      </c>
      <c r="U10112" s="41">
        <v>0</v>
      </c>
      <c r="V10112" s="42" t="s">
        <v>113</v>
      </c>
      <c r="W10112" s="42">
        <v>38674</v>
      </c>
      <c r="X10112" s="42">
        <v>38674</v>
      </c>
    </row>
    <row r="10113" spans="1:24">
      <c r="A10113" s="27" t="s">
        <v>18210</v>
      </c>
      <c r="B10113" s="28" t="s">
        <v>17556</v>
      </c>
      <c r="C10113" s="27" t="s">
        <v>17873</v>
      </c>
      <c r="D10113" s="27" t="s">
        <v>17558</v>
      </c>
      <c r="E10113" s="29">
        <v>41271</v>
      </c>
      <c r="F10113" s="27">
        <v>7</v>
      </c>
      <c r="G10113" s="18">
        <v>56723.33</v>
      </c>
      <c r="H10113" s="27">
        <f t="shared" si="314"/>
        <v>0</v>
      </c>
      <c r="I10113" s="18">
        <v>46440.1</v>
      </c>
      <c r="J10113" s="27">
        <v>56723.33</v>
      </c>
      <c r="K10113" s="18">
        <f t="shared" si="315"/>
        <v>56723.33</v>
      </c>
      <c r="L10113" s="27">
        <v>53887.16</v>
      </c>
      <c r="M10113" s="36">
        <v>7447.06</v>
      </c>
      <c r="T10113" s="41">
        <v>0</v>
      </c>
      <c r="U10113" s="41">
        <v>0</v>
      </c>
      <c r="V10113" s="42" t="s">
        <v>113</v>
      </c>
      <c r="W10113" s="42">
        <v>56723.33</v>
      </c>
      <c r="X10113" s="42">
        <v>56723.33</v>
      </c>
    </row>
    <row r="10114" spans="1:24">
      <c r="A10114" s="27" t="s">
        <v>18211</v>
      </c>
      <c r="B10114" s="28" t="s">
        <v>17556</v>
      </c>
      <c r="C10114" s="27" t="s">
        <v>17873</v>
      </c>
      <c r="D10114" s="27" t="s">
        <v>17558</v>
      </c>
      <c r="E10114" s="29">
        <v>41271</v>
      </c>
      <c r="F10114" s="27">
        <v>7</v>
      </c>
      <c r="G10114" s="18">
        <v>72178.070000000007</v>
      </c>
      <c r="H10114" s="27">
        <f t="shared" si="314"/>
        <v>0</v>
      </c>
      <c r="I10114" s="18">
        <v>59093.09</v>
      </c>
      <c r="J10114" s="27">
        <v>72178.070000000007</v>
      </c>
      <c r="K10114" s="18">
        <f t="shared" si="315"/>
        <v>72178.070000000007</v>
      </c>
      <c r="L10114" s="27">
        <v>68569.17</v>
      </c>
      <c r="M10114" s="36">
        <v>9476.08</v>
      </c>
      <c r="T10114" s="41">
        <v>0</v>
      </c>
      <c r="U10114" s="41">
        <v>0</v>
      </c>
      <c r="V10114" s="42" t="s">
        <v>113</v>
      </c>
      <c r="W10114" s="42">
        <v>72178.070000000007</v>
      </c>
      <c r="X10114" s="42">
        <v>72178.070000000007</v>
      </c>
    </row>
    <row r="10115" spans="1:24">
      <c r="A10115" s="27" t="s">
        <v>18212</v>
      </c>
      <c r="B10115" s="28" t="s">
        <v>17556</v>
      </c>
      <c r="C10115" s="27" t="s">
        <v>18213</v>
      </c>
      <c r="D10115" s="27" t="s">
        <v>17578</v>
      </c>
      <c r="E10115" s="29">
        <v>40843</v>
      </c>
      <c r="F10115" s="27">
        <v>7</v>
      </c>
      <c r="G10115" s="18">
        <v>78467911.480000004</v>
      </c>
      <c r="H10115" s="27">
        <f t="shared" si="314"/>
        <v>78467911.480000004</v>
      </c>
      <c r="I10115" s="18">
        <v>74544515.909999996</v>
      </c>
      <c r="J10115" s="27">
        <v>78467911.480000004</v>
      </c>
      <c r="K10115" s="18">
        <f t="shared" si="315"/>
        <v>78467911.480000004</v>
      </c>
      <c r="L10115" s="27">
        <v>74544515.909999996</v>
      </c>
      <c r="M10115" s="36">
        <v>0</v>
      </c>
      <c r="T10115" s="41">
        <v>0</v>
      </c>
      <c r="U10115" s="41">
        <v>0</v>
      </c>
      <c r="V10115" s="42" t="s">
        <v>113</v>
      </c>
      <c r="W10115" s="42">
        <v>78467911.480000004</v>
      </c>
      <c r="X10115" s="42">
        <v>78467911.480000004</v>
      </c>
    </row>
    <row r="10116" spans="1:24">
      <c r="A10116" s="27" t="s">
        <v>18214</v>
      </c>
      <c r="B10116" s="28" t="s">
        <v>17556</v>
      </c>
      <c r="C10116" s="27" t="s">
        <v>18215</v>
      </c>
      <c r="D10116" s="27" t="s">
        <v>17578</v>
      </c>
      <c r="E10116" s="29">
        <v>40843</v>
      </c>
      <c r="F10116" s="27">
        <v>7</v>
      </c>
      <c r="G10116" s="18">
        <v>79880158.519999996</v>
      </c>
      <c r="H10116" s="27">
        <f t="shared" si="314"/>
        <v>79880158.519999996</v>
      </c>
      <c r="I10116" s="18">
        <v>75886150.590000004</v>
      </c>
      <c r="J10116" s="27">
        <v>79880158.519999996</v>
      </c>
      <c r="K10116" s="18">
        <f t="shared" si="315"/>
        <v>79880158.519999996</v>
      </c>
      <c r="L10116" s="27">
        <v>75886150.590000004</v>
      </c>
      <c r="M10116" s="36">
        <v>0</v>
      </c>
      <c r="T10116" s="41">
        <v>0</v>
      </c>
      <c r="U10116" s="41">
        <v>0</v>
      </c>
      <c r="V10116" s="42" t="s">
        <v>113</v>
      </c>
      <c r="W10116" s="42">
        <v>79880158.519999996</v>
      </c>
      <c r="X10116" s="42">
        <v>79880158.519999996</v>
      </c>
    </row>
    <row r="10117" spans="1:24">
      <c r="A10117" s="27" t="s">
        <v>18216</v>
      </c>
      <c r="B10117" s="28" t="s">
        <v>17556</v>
      </c>
      <c r="C10117" s="27" t="s">
        <v>18217</v>
      </c>
      <c r="D10117" s="27" t="s">
        <v>17578</v>
      </c>
      <c r="E10117" s="29">
        <v>39234</v>
      </c>
      <c r="F10117" s="27">
        <v>7</v>
      </c>
      <c r="G10117" s="18">
        <v>5597.76</v>
      </c>
      <c r="H10117" s="27">
        <f t="shared" si="314"/>
        <v>5597.76</v>
      </c>
      <c r="I10117" s="18">
        <v>5317.87</v>
      </c>
      <c r="J10117" s="27">
        <v>5597.76</v>
      </c>
      <c r="K10117" s="18">
        <f t="shared" si="315"/>
        <v>5597.76</v>
      </c>
      <c r="L10117" s="27">
        <v>5317.87</v>
      </c>
      <c r="M10117" s="36">
        <v>0</v>
      </c>
      <c r="T10117" s="41">
        <v>0</v>
      </c>
      <c r="U10117" s="41">
        <v>0</v>
      </c>
      <c r="V10117" s="42" t="s">
        <v>113</v>
      </c>
      <c r="W10117" s="42">
        <v>5597.76</v>
      </c>
      <c r="X10117" s="42">
        <v>5597.76</v>
      </c>
    </row>
    <row r="10118" spans="1:24">
      <c r="A10118" s="27" t="s">
        <v>18218</v>
      </c>
      <c r="B10118" s="28" t="s">
        <v>17556</v>
      </c>
      <c r="C10118" s="27" t="s">
        <v>17588</v>
      </c>
      <c r="D10118" s="27" t="s">
        <v>17578</v>
      </c>
      <c r="E10118" s="29">
        <v>38443</v>
      </c>
      <c r="F10118" s="27">
        <v>7</v>
      </c>
      <c r="G10118" s="18">
        <v>3232</v>
      </c>
      <c r="H10118" s="27">
        <f t="shared" ref="H10118:H10181" si="316">IFERROR(IF(ROUND((G10118-I10118)/G10118,2)&lt;=0.05,G10118,0),0)</f>
        <v>3232</v>
      </c>
      <c r="I10118" s="18">
        <v>3232</v>
      </c>
      <c r="J10118" s="27">
        <v>3232</v>
      </c>
      <c r="K10118" s="18">
        <f t="shared" ref="K10118:K10181" si="317">IFERROR(IF(ROUND((J10118-L10118)/J10118,2)&lt;=0.05,J10118,0),0)</f>
        <v>3232</v>
      </c>
      <c r="L10118" s="27">
        <v>3232</v>
      </c>
      <c r="M10118" s="36">
        <v>0</v>
      </c>
      <c r="T10118" s="41">
        <v>0</v>
      </c>
      <c r="U10118" s="41">
        <v>0</v>
      </c>
      <c r="V10118" s="42" t="s">
        <v>113</v>
      </c>
      <c r="W10118" s="42">
        <v>3232</v>
      </c>
      <c r="X10118" s="42">
        <v>3232</v>
      </c>
    </row>
    <row r="10119" spans="1:24">
      <c r="A10119" s="27" t="s">
        <v>18219</v>
      </c>
      <c r="B10119" s="28" t="s">
        <v>17556</v>
      </c>
      <c r="C10119" s="27" t="s">
        <v>18220</v>
      </c>
      <c r="D10119" s="27" t="s">
        <v>17578</v>
      </c>
      <c r="E10119" s="29">
        <v>39417</v>
      </c>
      <c r="F10119" s="27">
        <v>7</v>
      </c>
      <c r="G10119" s="18">
        <v>9387.83</v>
      </c>
      <c r="H10119" s="27">
        <f t="shared" si="316"/>
        <v>9387.83</v>
      </c>
      <c r="I10119" s="18">
        <v>8918.44</v>
      </c>
      <c r="J10119" s="27">
        <v>9387.83</v>
      </c>
      <c r="K10119" s="18">
        <f t="shared" si="317"/>
        <v>9387.83</v>
      </c>
      <c r="L10119" s="27">
        <v>8918.44</v>
      </c>
      <c r="M10119" s="36">
        <v>0</v>
      </c>
      <c r="T10119" s="41">
        <v>0</v>
      </c>
      <c r="U10119" s="41">
        <v>0</v>
      </c>
      <c r="V10119" s="42" t="s">
        <v>113</v>
      </c>
      <c r="W10119" s="42">
        <v>9387.83</v>
      </c>
      <c r="X10119" s="42">
        <v>9387.83</v>
      </c>
    </row>
    <row r="10120" spans="1:24">
      <c r="A10120" s="27" t="s">
        <v>18221</v>
      </c>
      <c r="B10120" s="28" t="s">
        <v>17556</v>
      </c>
      <c r="C10120" s="27" t="s">
        <v>18222</v>
      </c>
      <c r="D10120" s="27" t="s">
        <v>17578</v>
      </c>
      <c r="E10120" s="29">
        <v>38443</v>
      </c>
      <c r="F10120" s="27">
        <v>7</v>
      </c>
      <c r="G10120" s="18">
        <v>12377.24</v>
      </c>
      <c r="H10120" s="27">
        <f t="shared" si="316"/>
        <v>12377.24</v>
      </c>
      <c r="I10120" s="18">
        <v>11758.38</v>
      </c>
      <c r="J10120" s="27">
        <v>12377.24</v>
      </c>
      <c r="K10120" s="18">
        <f t="shared" si="317"/>
        <v>12377.24</v>
      </c>
      <c r="L10120" s="27">
        <v>11758.38</v>
      </c>
      <c r="M10120" s="36">
        <v>0</v>
      </c>
      <c r="T10120" s="41">
        <v>0</v>
      </c>
      <c r="U10120" s="41">
        <v>0</v>
      </c>
      <c r="V10120" s="42" t="s">
        <v>113</v>
      </c>
      <c r="W10120" s="42">
        <v>12377.24</v>
      </c>
      <c r="X10120" s="42">
        <v>12377.24</v>
      </c>
    </row>
    <row r="10121" spans="1:24">
      <c r="A10121" s="27" t="s">
        <v>18223</v>
      </c>
      <c r="B10121" s="28" t="s">
        <v>17556</v>
      </c>
      <c r="C10121" s="27" t="s">
        <v>18224</v>
      </c>
      <c r="D10121" s="27" t="s">
        <v>17578</v>
      </c>
      <c r="E10121" s="29">
        <v>38443</v>
      </c>
      <c r="F10121" s="27">
        <v>7</v>
      </c>
      <c r="G10121" s="18">
        <v>14370.44</v>
      </c>
      <c r="H10121" s="27">
        <f t="shared" si="316"/>
        <v>14370.44</v>
      </c>
      <c r="I10121" s="18">
        <v>13651.92</v>
      </c>
      <c r="J10121" s="27">
        <v>14370.44</v>
      </c>
      <c r="K10121" s="18">
        <f t="shared" si="317"/>
        <v>14370.44</v>
      </c>
      <c r="L10121" s="27">
        <v>13651.92</v>
      </c>
      <c r="M10121" s="36">
        <v>0</v>
      </c>
      <c r="T10121" s="41">
        <v>0</v>
      </c>
      <c r="U10121" s="41">
        <v>0</v>
      </c>
      <c r="V10121" s="42" t="s">
        <v>113</v>
      </c>
      <c r="W10121" s="42">
        <v>14370.44</v>
      </c>
      <c r="X10121" s="42">
        <v>14370.44</v>
      </c>
    </row>
    <row r="10122" spans="1:24">
      <c r="A10122" s="27" t="s">
        <v>18225</v>
      </c>
      <c r="B10122" s="28" t="s">
        <v>17556</v>
      </c>
      <c r="C10122" s="27" t="s">
        <v>18226</v>
      </c>
      <c r="D10122" s="27" t="s">
        <v>17578</v>
      </c>
      <c r="E10122" s="29">
        <v>41269</v>
      </c>
      <c r="F10122" s="27">
        <v>7</v>
      </c>
      <c r="G10122" s="18">
        <v>13392.92</v>
      </c>
      <c r="H10122" s="27">
        <f t="shared" si="316"/>
        <v>0</v>
      </c>
      <c r="I10122" s="18">
        <v>11278.16</v>
      </c>
      <c r="J10122" s="27">
        <v>13392.92</v>
      </c>
      <c r="K10122" s="18">
        <f t="shared" si="317"/>
        <v>13392.92</v>
      </c>
      <c r="L10122" s="27">
        <v>12723.27</v>
      </c>
      <c r="M10122" s="36">
        <v>1445.11</v>
      </c>
      <c r="T10122" s="41">
        <v>0</v>
      </c>
      <c r="U10122" s="41">
        <v>0</v>
      </c>
      <c r="V10122" s="42" t="s">
        <v>113</v>
      </c>
      <c r="W10122" s="42">
        <v>13392.92</v>
      </c>
      <c r="X10122" s="42">
        <v>13392.92</v>
      </c>
    </row>
    <row r="10123" spans="1:24">
      <c r="A10123" s="27" t="s">
        <v>18227</v>
      </c>
      <c r="B10123" s="28" t="s">
        <v>17556</v>
      </c>
      <c r="C10123" s="27" t="s">
        <v>18228</v>
      </c>
      <c r="D10123" s="27" t="s">
        <v>17578</v>
      </c>
      <c r="E10123" s="29">
        <v>41269</v>
      </c>
      <c r="F10123" s="27">
        <v>7</v>
      </c>
      <c r="G10123" s="18">
        <v>13392.92</v>
      </c>
      <c r="H10123" s="27">
        <f t="shared" si="316"/>
        <v>0</v>
      </c>
      <c r="I10123" s="18">
        <v>11278.16</v>
      </c>
      <c r="J10123" s="27">
        <v>13392.92</v>
      </c>
      <c r="K10123" s="18">
        <f t="shared" si="317"/>
        <v>13392.92</v>
      </c>
      <c r="L10123" s="27">
        <v>12723.27</v>
      </c>
      <c r="M10123" s="36">
        <v>1445.11</v>
      </c>
      <c r="T10123" s="41">
        <v>0</v>
      </c>
      <c r="U10123" s="41">
        <v>0</v>
      </c>
      <c r="V10123" s="42" t="s">
        <v>113</v>
      </c>
      <c r="W10123" s="42">
        <v>13392.92</v>
      </c>
      <c r="X10123" s="42">
        <v>13392.92</v>
      </c>
    </row>
    <row r="10124" spans="1:24">
      <c r="A10124" s="27" t="s">
        <v>18229</v>
      </c>
      <c r="B10124" s="28" t="s">
        <v>17556</v>
      </c>
      <c r="C10124" s="27" t="s">
        <v>18230</v>
      </c>
      <c r="D10124" s="27" t="s">
        <v>17578</v>
      </c>
      <c r="E10124" s="29">
        <v>41269</v>
      </c>
      <c r="F10124" s="27">
        <v>7</v>
      </c>
      <c r="G10124" s="18">
        <v>13392.92</v>
      </c>
      <c r="H10124" s="27">
        <f t="shared" si="316"/>
        <v>0</v>
      </c>
      <c r="I10124" s="18">
        <v>11278.16</v>
      </c>
      <c r="J10124" s="27">
        <v>13392.92</v>
      </c>
      <c r="K10124" s="18">
        <f t="shared" si="317"/>
        <v>13392.92</v>
      </c>
      <c r="L10124" s="27">
        <v>12723.27</v>
      </c>
      <c r="M10124" s="36">
        <v>1445.11</v>
      </c>
      <c r="T10124" s="41">
        <v>0</v>
      </c>
      <c r="U10124" s="41">
        <v>0</v>
      </c>
      <c r="V10124" s="42" t="s">
        <v>113</v>
      </c>
      <c r="W10124" s="42">
        <v>13392.92</v>
      </c>
      <c r="X10124" s="42">
        <v>13392.92</v>
      </c>
    </row>
    <row r="10125" spans="1:24">
      <c r="A10125" s="27" t="s">
        <v>18231</v>
      </c>
      <c r="B10125" s="28" t="s">
        <v>17556</v>
      </c>
      <c r="C10125" s="27" t="s">
        <v>18232</v>
      </c>
      <c r="D10125" s="27" t="s">
        <v>17578</v>
      </c>
      <c r="E10125" s="29">
        <v>41269</v>
      </c>
      <c r="F10125" s="27">
        <v>7</v>
      </c>
      <c r="G10125" s="18">
        <v>13375.53</v>
      </c>
      <c r="H10125" s="27">
        <f t="shared" si="316"/>
        <v>0</v>
      </c>
      <c r="I10125" s="18">
        <v>11263.51</v>
      </c>
      <c r="J10125" s="27">
        <v>13375.53</v>
      </c>
      <c r="K10125" s="18">
        <f t="shared" si="317"/>
        <v>13375.53</v>
      </c>
      <c r="L10125" s="27">
        <v>12706.75</v>
      </c>
      <c r="M10125" s="36">
        <v>1443.24</v>
      </c>
      <c r="T10125" s="41">
        <v>0</v>
      </c>
      <c r="U10125" s="41">
        <v>0</v>
      </c>
      <c r="V10125" s="42" t="s">
        <v>113</v>
      </c>
      <c r="W10125" s="42">
        <v>13375.53</v>
      </c>
      <c r="X10125" s="42">
        <v>13375.53</v>
      </c>
    </row>
    <row r="10126" spans="1:24">
      <c r="A10126" s="27" t="s">
        <v>18233</v>
      </c>
      <c r="B10126" s="28" t="s">
        <v>17556</v>
      </c>
      <c r="C10126" s="27" t="s">
        <v>18234</v>
      </c>
      <c r="D10126" s="27" t="s">
        <v>17578</v>
      </c>
      <c r="E10126" s="29">
        <v>41269</v>
      </c>
      <c r="F10126" s="27">
        <v>7</v>
      </c>
      <c r="G10126" s="18">
        <v>13375.53</v>
      </c>
      <c r="H10126" s="27">
        <f t="shared" si="316"/>
        <v>0</v>
      </c>
      <c r="I10126" s="18">
        <v>11263.51</v>
      </c>
      <c r="J10126" s="27">
        <v>13375.53</v>
      </c>
      <c r="K10126" s="18">
        <f t="shared" si="317"/>
        <v>13375.53</v>
      </c>
      <c r="L10126" s="27">
        <v>12706.75</v>
      </c>
      <c r="M10126" s="36">
        <v>1443.24</v>
      </c>
      <c r="T10126" s="41">
        <v>0</v>
      </c>
      <c r="U10126" s="41">
        <v>0</v>
      </c>
      <c r="V10126" s="42" t="s">
        <v>113</v>
      </c>
      <c r="W10126" s="42">
        <v>13375.53</v>
      </c>
      <c r="X10126" s="42">
        <v>13375.53</v>
      </c>
    </row>
    <row r="10127" spans="1:24">
      <c r="A10127" s="27" t="s">
        <v>18235</v>
      </c>
      <c r="B10127" s="28" t="s">
        <v>17556</v>
      </c>
      <c r="C10127" s="27" t="s">
        <v>18236</v>
      </c>
      <c r="D10127" s="27" t="s">
        <v>17578</v>
      </c>
      <c r="E10127" s="29">
        <v>41269</v>
      </c>
      <c r="F10127" s="27">
        <v>7</v>
      </c>
      <c r="G10127" s="18">
        <v>13375.52</v>
      </c>
      <c r="H10127" s="27">
        <f t="shared" si="316"/>
        <v>0</v>
      </c>
      <c r="I10127" s="18">
        <v>11263.5</v>
      </c>
      <c r="J10127" s="27">
        <v>13375.52</v>
      </c>
      <c r="K10127" s="18">
        <f t="shared" si="317"/>
        <v>13375.52</v>
      </c>
      <c r="L10127" s="27">
        <v>12706.74</v>
      </c>
      <c r="M10127" s="36">
        <v>1443.24</v>
      </c>
      <c r="T10127" s="41">
        <v>0</v>
      </c>
      <c r="U10127" s="41">
        <v>0</v>
      </c>
      <c r="V10127" s="42" t="s">
        <v>113</v>
      </c>
      <c r="W10127" s="42">
        <v>13375.52</v>
      </c>
      <c r="X10127" s="42">
        <v>13375.52</v>
      </c>
    </row>
    <row r="10128" spans="1:24">
      <c r="A10128" s="27" t="s">
        <v>18237</v>
      </c>
      <c r="B10128" s="28" t="s">
        <v>17556</v>
      </c>
      <c r="C10128" s="27" t="s">
        <v>18238</v>
      </c>
      <c r="D10128" s="27" t="s">
        <v>17578</v>
      </c>
      <c r="E10128" s="29">
        <v>41269</v>
      </c>
      <c r="F10128" s="27">
        <v>7</v>
      </c>
      <c r="G10128" s="18">
        <v>13375.52</v>
      </c>
      <c r="H10128" s="27">
        <f t="shared" si="316"/>
        <v>0</v>
      </c>
      <c r="I10128" s="18">
        <v>11263.5</v>
      </c>
      <c r="J10128" s="27">
        <v>13375.52</v>
      </c>
      <c r="K10128" s="18">
        <f t="shared" si="317"/>
        <v>13375.52</v>
      </c>
      <c r="L10128" s="27">
        <v>12706.74</v>
      </c>
      <c r="M10128" s="36">
        <v>1443.24</v>
      </c>
      <c r="T10128" s="41">
        <v>0</v>
      </c>
      <c r="U10128" s="41">
        <v>0</v>
      </c>
      <c r="V10128" s="42" t="s">
        <v>113</v>
      </c>
      <c r="W10128" s="42">
        <v>13375.52</v>
      </c>
      <c r="X10128" s="42">
        <v>13375.52</v>
      </c>
    </row>
    <row r="10129" spans="1:24">
      <c r="A10129" s="27" t="s">
        <v>18239</v>
      </c>
      <c r="B10129" s="28" t="s">
        <v>17556</v>
      </c>
      <c r="C10129" s="27" t="s">
        <v>18240</v>
      </c>
      <c r="D10129" s="27" t="s">
        <v>17578</v>
      </c>
      <c r="E10129" s="29">
        <v>41269</v>
      </c>
      <c r="F10129" s="27">
        <v>7</v>
      </c>
      <c r="G10129" s="18">
        <v>13375.52</v>
      </c>
      <c r="H10129" s="27">
        <f t="shared" si="316"/>
        <v>0</v>
      </c>
      <c r="I10129" s="18">
        <v>11263.5</v>
      </c>
      <c r="J10129" s="27">
        <v>13375.52</v>
      </c>
      <c r="K10129" s="18">
        <f t="shared" si="317"/>
        <v>13375.52</v>
      </c>
      <c r="L10129" s="27">
        <v>12706.74</v>
      </c>
      <c r="M10129" s="36">
        <v>1443.24</v>
      </c>
      <c r="T10129" s="41">
        <v>0</v>
      </c>
      <c r="U10129" s="41">
        <v>0</v>
      </c>
      <c r="V10129" s="42" t="s">
        <v>113</v>
      </c>
      <c r="W10129" s="42">
        <v>13375.52</v>
      </c>
      <c r="X10129" s="42">
        <v>13375.52</v>
      </c>
    </row>
    <row r="10130" spans="1:24">
      <c r="A10130" s="27" t="s">
        <v>18241</v>
      </c>
      <c r="B10130" s="28" t="s">
        <v>17556</v>
      </c>
      <c r="C10130" s="27" t="s">
        <v>18242</v>
      </c>
      <c r="D10130" s="27" t="s">
        <v>17578</v>
      </c>
      <c r="E10130" s="29">
        <v>41269</v>
      </c>
      <c r="F10130" s="27">
        <v>7</v>
      </c>
      <c r="G10130" s="18">
        <v>13375.52</v>
      </c>
      <c r="H10130" s="27">
        <f t="shared" si="316"/>
        <v>0</v>
      </c>
      <c r="I10130" s="18">
        <v>11263.5</v>
      </c>
      <c r="J10130" s="27">
        <v>13375.52</v>
      </c>
      <c r="K10130" s="18">
        <f t="shared" si="317"/>
        <v>13375.52</v>
      </c>
      <c r="L10130" s="27">
        <v>12706.74</v>
      </c>
      <c r="M10130" s="36">
        <v>1443.24</v>
      </c>
      <c r="T10130" s="41">
        <v>0</v>
      </c>
      <c r="U10130" s="41">
        <v>0</v>
      </c>
      <c r="V10130" s="42" t="s">
        <v>113</v>
      </c>
      <c r="W10130" s="42">
        <v>13375.52</v>
      </c>
      <c r="X10130" s="42">
        <v>13375.52</v>
      </c>
    </row>
    <row r="10131" spans="1:24">
      <c r="A10131" s="27" t="s">
        <v>18243</v>
      </c>
      <c r="B10131" s="28" t="s">
        <v>17556</v>
      </c>
      <c r="C10131" s="27" t="s">
        <v>18244</v>
      </c>
      <c r="D10131" s="27" t="s">
        <v>17578</v>
      </c>
      <c r="E10131" s="29">
        <v>41269</v>
      </c>
      <c r="F10131" s="27">
        <v>7</v>
      </c>
      <c r="G10131" s="18">
        <v>13375.52</v>
      </c>
      <c r="H10131" s="27">
        <f t="shared" si="316"/>
        <v>0</v>
      </c>
      <c r="I10131" s="18">
        <v>11263.5</v>
      </c>
      <c r="J10131" s="27">
        <v>13375.52</v>
      </c>
      <c r="K10131" s="18">
        <f t="shared" si="317"/>
        <v>13375.52</v>
      </c>
      <c r="L10131" s="27">
        <v>12706.74</v>
      </c>
      <c r="M10131" s="36">
        <v>1443.24</v>
      </c>
      <c r="T10131" s="41">
        <v>0</v>
      </c>
      <c r="U10131" s="41">
        <v>0</v>
      </c>
      <c r="V10131" s="42" t="s">
        <v>113</v>
      </c>
      <c r="W10131" s="42">
        <v>13375.52</v>
      </c>
      <c r="X10131" s="42">
        <v>13375.52</v>
      </c>
    </row>
    <row r="10132" spans="1:24">
      <c r="A10132" s="27" t="s">
        <v>18245</v>
      </c>
      <c r="B10132" s="28" t="s">
        <v>17556</v>
      </c>
      <c r="C10132" s="27" t="s">
        <v>18246</v>
      </c>
      <c r="D10132" s="27" t="s">
        <v>17578</v>
      </c>
      <c r="E10132" s="29">
        <v>41269</v>
      </c>
      <c r="F10132" s="27">
        <v>7</v>
      </c>
      <c r="G10132" s="18">
        <v>13375.52</v>
      </c>
      <c r="H10132" s="27">
        <f t="shared" si="316"/>
        <v>0</v>
      </c>
      <c r="I10132" s="18">
        <v>11263.5</v>
      </c>
      <c r="J10132" s="27">
        <v>13375.52</v>
      </c>
      <c r="K10132" s="18">
        <f t="shared" si="317"/>
        <v>13375.52</v>
      </c>
      <c r="L10132" s="27">
        <v>12706.74</v>
      </c>
      <c r="M10132" s="36">
        <v>1443.24</v>
      </c>
      <c r="T10132" s="41">
        <v>0</v>
      </c>
      <c r="U10132" s="41">
        <v>0</v>
      </c>
      <c r="V10132" s="42" t="s">
        <v>113</v>
      </c>
      <c r="W10132" s="42">
        <v>13375.52</v>
      </c>
      <c r="X10132" s="42">
        <v>13375.52</v>
      </c>
    </row>
    <row r="10133" spans="1:24">
      <c r="A10133" s="27" t="s">
        <v>18247</v>
      </c>
      <c r="B10133" s="28" t="s">
        <v>17556</v>
      </c>
      <c r="C10133" s="27" t="s">
        <v>18248</v>
      </c>
      <c r="D10133" s="27" t="s">
        <v>17578</v>
      </c>
      <c r="E10133" s="29">
        <v>41269</v>
      </c>
      <c r="F10133" s="27">
        <v>7</v>
      </c>
      <c r="G10133" s="18">
        <v>13375.52</v>
      </c>
      <c r="H10133" s="27">
        <f t="shared" si="316"/>
        <v>0</v>
      </c>
      <c r="I10133" s="18">
        <v>11263.5</v>
      </c>
      <c r="J10133" s="27">
        <v>13375.52</v>
      </c>
      <c r="K10133" s="18">
        <f t="shared" si="317"/>
        <v>13375.52</v>
      </c>
      <c r="L10133" s="27">
        <v>12706.74</v>
      </c>
      <c r="M10133" s="36">
        <v>1443.24</v>
      </c>
      <c r="T10133" s="41">
        <v>0</v>
      </c>
      <c r="U10133" s="41">
        <v>0</v>
      </c>
      <c r="V10133" s="42" t="s">
        <v>113</v>
      </c>
      <c r="W10133" s="42">
        <v>13375.52</v>
      </c>
      <c r="X10133" s="42">
        <v>13375.52</v>
      </c>
    </row>
    <row r="10134" spans="1:24">
      <c r="A10134" s="27" t="s">
        <v>18249</v>
      </c>
      <c r="B10134" s="28" t="s">
        <v>17556</v>
      </c>
      <c r="C10134" s="27" t="s">
        <v>18250</v>
      </c>
      <c r="D10134" s="27" t="s">
        <v>17578</v>
      </c>
      <c r="E10134" s="29">
        <v>41269</v>
      </c>
      <c r="F10134" s="27">
        <v>7</v>
      </c>
      <c r="G10134" s="18">
        <v>13375.52</v>
      </c>
      <c r="H10134" s="27">
        <f t="shared" si="316"/>
        <v>0</v>
      </c>
      <c r="I10134" s="18">
        <v>11263.5</v>
      </c>
      <c r="J10134" s="27">
        <v>13375.52</v>
      </c>
      <c r="K10134" s="18">
        <f t="shared" si="317"/>
        <v>13375.52</v>
      </c>
      <c r="L10134" s="27">
        <v>12706.74</v>
      </c>
      <c r="M10134" s="36">
        <v>1443.24</v>
      </c>
      <c r="T10134" s="41">
        <v>0</v>
      </c>
      <c r="U10134" s="41">
        <v>0</v>
      </c>
      <c r="V10134" s="42" t="s">
        <v>113</v>
      </c>
      <c r="W10134" s="42">
        <v>13375.52</v>
      </c>
      <c r="X10134" s="42">
        <v>13375.52</v>
      </c>
    </row>
    <row r="10135" spans="1:24">
      <c r="A10135" s="27" t="s">
        <v>18251</v>
      </c>
      <c r="B10135" s="28" t="s">
        <v>17556</v>
      </c>
      <c r="C10135" s="27" t="s">
        <v>18252</v>
      </c>
      <c r="D10135" s="27" t="s">
        <v>17578</v>
      </c>
      <c r="E10135" s="29">
        <v>40544</v>
      </c>
      <c r="F10135" s="27">
        <v>7</v>
      </c>
      <c r="G10135" s="18">
        <v>320980.57</v>
      </c>
      <c r="H10135" s="27">
        <f t="shared" si="316"/>
        <v>320980.57</v>
      </c>
      <c r="I10135" s="18">
        <v>304931.53999999998</v>
      </c>
      <c r="J10135" s="27">
        <v>320980.57</v>
      </c>
      <c r="K10135" s="18">
        <f t="shared" si="317"/>
        <v>320980.57</v>
      </c>
      <c r="L10135" s="27">
        <v>304931.53999999998</v>
      </c>
      <c r="M10135" s="36">
        <v>0</v>
      </c>
      <c r="T10135" s="41">
        <v>0</v>
      </c>
      <c r="U10135" s="41">
        <v>0</v>
      </c>
      <c r="V10135" s="42" t="s">
        <v>113</v>
      </c>
      <c r="W10135" s="42">
        <v>320980.57</v>
      </c>
      <c r="X10135" s="42">
        <v>320980.57</v>
      </c>
    </row>
    <row r="10136" spans="1:24">
      <c r="A10136" s="27" t="s">
        <v>18253</v>
      </c>
      <c r="B10136" s="28" t="s">
        <v>17556</v>
      </c>
      <c r="C10136" s="27" t="s">
        <v>18254</v>
      </c>
      <c r="D10136" s="27" t="s">
        <v>17578</v>
      </c>
      <c r="E10136" s="29">
        <v>42369</v>
      </c>
      <c r="F10136" s="27">
        <v>7</v>
      </c>
      <c r="G10136" s="18">
        <v>380014.35</v>
      </c>
      <c r="H10136" s="27">
        <f t="shared" si="316"/>
        <v>380014.35</v>
      </c>
      <c r="I10136" s="18">
        <v>380014.35</v>
      </c>
      <c r="J10136" s="27">
        <v>380014.35</v>
      </c>
      <c r="K10136" s="18">
        <f t="shared" si="317"/>
        <v>380014.35</v>
      </c>
      <c r="L10136" s="27">
        <v>361013.63</v>
      </c>
      <c r="M10136" s="36">
        <v>-19000.72</v>
      </c>
      <c r="T10136" s="41">
        <v>0</v>
      </c>
      <c r="U10136" s="41">
        <v>0</v>
      </c>
      <c r="V10136" s="42" t="s">
        <v>113</v>
      </c>
      <c r="W10136" s="42">
        <v>380014.35</v>
      </c>
      <c r="X10136" s="42">
        <v>380014.35</v>
      </c>
    </row>
    <row r="10137" spans="1:24">
      <c r="A10137" s="27" t="s">
        <v>18255</v>
      </c>
      <c r="B10137" s="28" t="s">
        <v>17556</v>
      </c>
      <c r="C10137" s="27" t="s">
        <v>18256</v>
      </c>
      <c r="D10137" s="27" t="s">
        <v>17578</v>
      </c>
      <c r="E10137" s="29">
        <v>42155</v>
      </c>
      <c r="F10137" s="27">
        <v>7</v>
      </c>
      <c r="G10137" s="18">
        <v>161811.03</v>
      </c>
      <c r="H10137" s="27">
        <f t="shared" si="316"/>
        <v>161811.03</v>
      </c>
      <c r="I10137" s="18">
        <v>161811.03</v>
      </c>
      <c r="J10137" s="27">
        <v>161811.03</v>
      </c>
      <c r="K10137" s="18">
        <f t="shared" si="317"/>
        <v>161811.03</v>
      </c>
      <c r="L10137" s="27">
        <v>153720.48000000001</v>
      </c>
      <c r="M10137" s="36">
        <v>-8090.55</v>
      </c>
      <c r="T10137" s="41">
        <v>0</v>
      </c>
      <c r="U10137" s="41">
        <v>0</v>
      </c>
      <c r="V10137" s="42" t="s">
        <v>113</v>
      </c>
      <c r="W10137" s="42">
        <v>161811.03</v>
      </c>
      <c r="X10137" s="42">
        <v>161811.03</v>
      </c>
    </row>
    <row r="10138" spans="1:24">
      <c r="A10138" s="27" t="s">
        <v>18257</v>
      </c>
      <c r="B10138" s="28" t="s">
        <v>17556</v>
      </c>
      <c r="C10138" s="27" t="s">
        <v>18258</v>
      </c>
      <c r="D10138" s="27" t="s">
        <v>17578</v>
      </c>
      <c r="E10138" s="29">
        <v>42155</v>
      </c>
      <c r="F10138" s="27">
        <v>7</v>
      </c>
      <c r="G10138" s="18">
        <v>1459416.53</v>
      </c>
      <c r="H10138" s="27">
        <f t="shared" si="316"/>
        <v>1459416.53</v>
      </c>
      <c r="I10138" s="18">
        <v>1459416.53</v>
      </c>
      <c r="J10138" s="27">
        <v>1459416.53</v>
      </c>
      <c r="K10138" s="18">
        <f t="shared" si="317"/>
        <v>1459416.53</v>
      </c>
      <c r="L10138" s="27">
        <v>1386445.7</v>
      </c>
      <c r="M10138" s="36">
        <v>-72970.83</v>
      </c>
      <c r="T10138" s="41">
        <v>0</v>
      </c>
      <c r="U10138" s="41">
        <v>0</v>
      </c>
      <c r="V10138" s="42" t="s">
        <v>113</v>
      </c>
      <c r="W10138" s="42">
        <v>1459416.53</v>
      </c>
      <c r="X10138" s="42">
        <v>1459416.53</v>
      </c>
    </row>
    <row r="10139" spans="1:24">
      <c r="A10139" s="27" t="s">
        <v>18259</v>
      </c>
      <c r="B10139" s="28" t="s">
        <v>17556</v>
      </c>
      <c r="C10139" s="27" t="s">
        <v>18260</v>
      </c>
      <c r="D10139" s="27" t="s">
        <v>17578</v>
      </c>
      <c r="E10139" s="29">
        <v>42551</v>
      </c>
      <c r="F10139" s="27">
        <v>7</v>
      </c>
      <c r="G10139" s="18">
        <v>13115.73</v>
      </c>
      <c r="H10139" s="27">
        <f t="shared" si="316"/>
        <v>0</v>
      </c>
      <c r="I10139" s="18">
        <v>4449.9799999999996</v>
      </c>
      <c r="J10139" s="27">
        <v>13115.73</v>
      </c>
      <c r="K10139" s="18">
        <f t="shared" si="317"/>
        <v>0</v>
      </c>
      <c r="L10139" s="27">
        <v>6229.97</v>
      </c>
      <c r="M10139" s="36">
        <v>1779.99</v>
      </c>
      <c r="T10139" s="41">
        <v>0</v>
      </c>
      <c r="U10139" s="41">
        <v>0</v>
      </c>
      <c r="V10139" s="42" t="s">
        <v>113</v>
      </c>
      <c r="W10139" s="42">
        <v>0</v>
      </c>
      <c r="X10139" s="42">
        <v>0</v>
      </c>
    </row>
    <row r="10140" spans="1:24">
      <c r="A10140" s="27" t="s">
        <v>18261</v>
      </c>
      <c r="B10140" s="28" t="s">
        <v>17556</v>
      </c>
      <c r="C10140" s="27" t="s">
        <v>18260</v>
      </c>
      <c r="D10140" s="27" t="s">
        <v>17578</v>
      </c>
      <c r="E10140" s="29">
        <v>42551</v>
      </c>
      <c r="F10140" s="27">
        <v>7</v>
      </c>
      <c r="G10140" s="18">
        <v>13115.73</v>
      </c>
      <c r="H10140" s="27">
        <f t="shared" si="316"/>
        <v>0</v>
      </c>
      <c r="I10140" s="18">
        <v>4449.9799999999996</v>
      </c>
      <c r="J10140" s="27">
        <v>13115.73</v>
      </c>
      <c r="K10140" s="18">
        <f t="shared" si="317"/>
        <v>0</v>
      </c>
      <c r="L10140" s="27">
        <v>6229.97</v>
      </c>
      <c r="M10140" s="36">
        <v>1779.99</v>
      </c>
      <c r="T10140" s="41">
        <v>0</v>
      </c>
      <c r="U10140" s="41">
        <v>0</v>
      </c>
      <c r="V10140" s="42" t="s">
        <v>113</v>
      </c>
      <c r="W10140" s="42">
        <v>0</v>
      </c>
      <c r="X10140" s="42">
        <v>0</v>
      </c>
    </row>
    <row r="10141" spans="1:24">
      <c r="A10141" s="27" t="s">
        <v>18262</v>
      </c>
      <c r="B10141" s="28" t="s">
        <v>17556</v>
      </c>
      <c r="C10141" s="27" t="s">
        <v>18260</v>
      </c>
      <c r="D10141" s="27" t="s">
        <v>17578</v>
      </c>
      <c r="E10141" s="29">
        <v>42551</v>
      </c>
      <c r="F10141" s="27">
        <v>7</v>
      </c>
      <c r="G10141" s="18">
        <v>13115.73</v>
      </c>
      <c r="H10141" s="27">
        <f t="shared" si="316"/>
        <v>0</v>
      </c>
      <c r="I10141" s="18">
        <v>4449.9799999999996</v>
      </c>
      <c r="J10141" s="27">
        <v>13115.73</v>
      </c>
      <c r="K10141" s="18">
        <f t="shared" si="317"/>
        <v>0</v>
      </c>
      <c r="L10141" s="27">
        <v>6229.97</v>
      </c>
      <c r="M10141" s="36">
        <v>1779.99</v>
      </c>
      <c r="T10141" s="41">
        <v>0</v>
      </c>
      <c r="U10141" s="41">
        <v>0</v>
      </c>
      <c r="V10141" s="42" t="s">
        <v>113</v>
      </c>
      <c r="W10141" s="42">
        <v>0</v>
      </c>
      <c r="X10141" s="42">
        <v>0</v>
      </c>
    </row>
    <row r="10142" spans="1:24">
      <c r="A10142" s="27" t="s">
        <v>18263</v>
      </c>
      <c r="B10142" s="28" t="s">
        <v>17556</v>
      </c>
      <c r="C10142" s="27" t="s">
        <v>18260</v>
      </c>
      <c r="D10142" s="27" t="s">
        <v>17578</v>
      </c>
      <c r="E10142" s="29">
        <v>42551</v>
      </c>
      <c r="F10142" s="27">
        <v>7</v>
      </c>
      <c r="G10142" s="18">
        <v>13115.73</v>
      </c>
      <c r="H10142" s="27">
        <f t="shared" si="316"/>
        <v>0</v>
      </c>
      <c r="I10142" s="18">
        <v>4449.9799999999996</v>
      </c>
      <c r="J10142" s="27">
        <v>13115.73</v>
      </c>
      <c r="K10142" s="18">
        <f t="shared" si="317"/>
        <v>0</v>
      </c>
      <c r="L10142" s="27">
        <v>6229.97</v>
      </c>
      <c r="M10142" s="36">
        <v>1779.99</v>
      </c>
      <c r="T10142" s="41">
        <v>0</v>
      </c>
      <c r="U10142" s="41">
        <v>0</v>
      </c>
      <c r="V10142" s="42" t="s">
        <v>113</v>
      </c>
      <c r="W10142" s="42">
        <v>0</v>
      </c>
      <c r="X10142" s="42">
        <v>0</v>
      </c>
    </row>
    <row r="10143" spans="1:24">
      <c r="A10143" s="27" t="s">
        <v>18264</v>
      </c>
      <c r="B10143" s="28" t="s">
        <v>17556</v>
      </c>
      <c r="C10143" s="27" t="s">
        <v>18265</v>
      </c>
      <c r="D10143" s="27" t="s">
        <v>230</v>
      </c>
      <c r="E10143" s="29">
        <v>42551</v>
      </c>
      <c r="F10143" s="27">
        <v>7</v>
      </c>
      <c r="G10143" s="18">
        <v>24971.55</v>
      </c>
      <c r="H10143" s="27">
        <f t="shared" si="316"/>
        <v>0</v>
      </c>
      <c r="I10143" s="18">
        <v>8472.49</v>
      </c>
      <c r="J10143" s="27">
        <v>24971.55</v>
      </c>
      <c r="K10143" s="18">
        <f t="shared" si="317"/>
        <v>0</v>
      </c>
      <c r="L10143" s="27">
        <v>11861.49</v>
      </c>
      <c r="M10143" s="36">
        <v>3389</v>
      </c>
      <c r="T10143" s="41">
        <v>0</v>
      </c>
      <c r="U10143" s="41">
        <v>0</v>
      </c>
      <c r="V10143" s="42" t="s">
        <v>113</v>
      </c>
      <c r="W10143" s="42">
        <v>0</v>
      </c>
      <c r="X10143" s="42">
        <v>0</v>
      </c>
    </row>
    <row r="10144" spans="1:24">
      <c r="A10144" s="27" t="s">
        <v>18266</v>
      </c>
      <c r="B10144" s="28" t="s">
        <v>17556</v>
      </c>
      <c r="C10144" s="27" t="s">
        <v>18267</v>
      </c>
      <c r="D10144" s="27" t="s">
        <v>230</v>
      </c>
      <c r="E10144" s="29">
        <v>42551</v>
      </c>
      <c r="F10144" s="27">
        <v>7</v>
      </c>
      <c r="G10144" s="18">
        <v>224743.96</v>
      </c>
      <c r="H10144" s="27">
        <f t="shared" si="316"/>
        <v>0</v>
      </c>
      <c r="I10144" s="18">
        <v>76252.42</v>
      </c>
      <c r="J10144" s="27">
        <v>224743.96</v>
      </c>
      <c r="K10144" s="18">
        <f t="shared" si="317"/>
        <v>0</v>
      </c>
      <c r="L10144" s="27">
        <v>106753.38</v>
      </c>
      <c r="M10144" s="36">
        <v>30500.959999999999</v>
      </c>
      <c r="T10144" s="41">
        <v>0</v>
      </c>
      <c r="U10144" s="41">
        <v>0</v>
      </c>
      <c r="V10144" s="42" t="s">
        <v>113</v>
      </c>
      <c r="W10144" s="42">
        <v>0</v>
      </c>
      <c r="X10144" s="42">
        <v>0</v>
      </c>
    </row>
    <row r="10145" spans="1:24">
      <c r="A10145" s="27" t="s">
        <v>18268</v>
      </c>
      <c r="B10145" s="28" t="s">
        <v>17556</v>
      </c>
      <c r="C10145" s="27" t="s">
        <v>18269</v>
      </c>
      <c r="D10145" s="27" t="s">
        <v>230</v>
      </c>
      <c r="E10145" s="29">
        <v>42551</v>
      </c>
      <c r="F10145" s="27">
        <v>7</v>
      </c>
      <c r="G10145" s="18">
        <v>149829.31</v>
      </c>
      <c r="H10145" s="27">
        <f t="shared" si="316"/>
        <v>0</v>
      </c>
      <c r="I10145" s="18">
        <v>50834.95</v>
      </c>
      <c r="J10145" s="27">
        <v>149829.31</v>
      </c>
      <c r="K10145" s="18">
        <f t="shared" si="317"/>
        <v>0</v>
      </c>
      <c r="L10145" s="27">
        <v>71168.929999999993</v>
      </c>
      <c r="M10145" s="36">
        <v>20333.98</v>
      </c>
      <c r="T10145" s="41">
        <v>0</v>
      </c>
      <c r="U10145" s="41">
        <v>0</v>
      </c>
      <c r="V10145" s="42" t="s">
        <v>113</v>
      </c>
      <c r="W10145" s="42">
        <v>0</v>
      </c>
      <c r="X10145" s="42">
        <v>0</v>
      </c>
    </row>
    <row r="10146" spans="1:24">
      <c r="A10146" s="27" t="s">
        <v>18270</v>
      </c>
      <c r="B10146" s="28" t="s">
        <v>17556</v>
      </c>
      <c r="C10146" s="27" t="s">
        <v>18271</v>
      </c>
      <c r="D10146" s="27" t="s">
        <v>230</v>
      </c>
      <c r="E10146" s="29">
        <v>42551</v>
      </c>
      <c r="F10146" s="27">
        <v>7</v>
      </c>
      <c r="G10146" s="18">
        <v>16647.7</v>
      </c>
      <c r="H10146" s="27">
        <f t="shared" si="316"/>
        <v>0</v>
      </c>
      <c r="I10146" s="18">
        <v>5648.33</v>
      </c>
      <c r="J10146" s="27">
        <v>16647.7</v>
      </c>
      <c r="K10146" s="18">
        <f t="shared" si="317"/>
        <v>0</v>
      </c>
      <c r="L10146" s="27">
        <v>7907.66</v>
      </c>
      <c r="M10146" s="36">
        <v>2259.33</v>
      </c>
      <c r="T10146" s="41">
        <v>0</v>
      </c>
      <c r="U10146" s="41">
        <v>0</v>
      </c>
      <c r="V10146" s="42" t="s">
        <v>113</v>
      </c>
      <c r="W10146" s="42">
        <v>0</v>
      </c>
      <c r="X10146" s="42">
        <v>0</v>
      </c>
    </row>
    <row r="10147" spans="1:24">
      <c r="A10147" s="27" t="s">
        <v>18272</v>
      </c>
      <c r="B10147" s="28" t="s">
        <v>17556</v>
      </c>
      <c r="C10147" s="27" t="s">
        <v>18273</v>
      </c>
      <c r="D10147" s="27" t="s">
        <v>230</v>
      </c>
      <c r="E10147" s="29">
        <v>42551</v>
      </c>
      <c r="F10147" s="27">
        <v>7</v>
      </c>
      <c r="G10147" s="18">
        <v>24971.55</v>
      </c>
      <c r="H10147" s="27">
        <f t="shared" si="316"/>
        <v>0</v>
      </c>
      <c r="I10147" s="18">
        <v>8472.49</v>
      </c>
      <c r="J10147" s="27">
        <v>24971.55</v>
      </c>
      <c r="K10147" s="18">
        <f t="shared" si="317"/>
        <v>0</v>
      </c>
      <c r="L10147" s="27">
        <v>11861.49</v>
      </c>
      <c r="M10147" s="36">
        <v>3389</v>
      </c>
      <c r="T10147" s="41">
        <v>0</v>
      </c>
      <c r="U10147" s="41">
        <v>0</v>
      </c>
      <c r="V10147" s="42" t="s">
        <v>113</v>
      </c>
      <c r="W10147" s="42">
        <v>0</v>
      </c>
      <c r="X10147" s="42">
        <v>0</v>
      </c>
    </row>
    <row r="10148" spans="1:24">
      <c r="A10148" s="27" t="s">
        <v>18274</v>
      </c>
      <c r="B10148" s="28" t="s">
        <v>17556</v>
      </c>
      <c r="C10148" s="27" t="s">
        <v>18275</v>
      </c>
      <c r="D10148" s="27" t="s">
        <v>230</v>
      </c>
      <c r="E10148" s="29">
        <v>42551</v>
      </c>
      <c r="F10148" s="27">
        <v>7</v>
      </c>
      <c r="G10148" s="18">
        <v>42616.79</v>
      </c>
      <c r="H10148" s="27">
        <f t="shared" si="316"/>
        <v>0</v>
      </c>
      <c r="I10148" s="18">
        <v>14459.27</v>
      </c>
      <c r="J10148" s="27">
        <v>42616.79</v>
      </c>
      <c r="K10148" s="18">
        <f t="shared" si="317"/>
        <v>0</v>
      </c>
      <c r="L10148" s="27">
        <v>20242.98</v>
      </c>
      <c r="M10148" s="36">
        <v>5783.71</v>
      </c>
      <c r="T10148" s="41">
        <v>0</v>
      </c>
      <c r="U10148" s="41">
        <v>0</v>
      </c>
      <c r="V10148" s="42" t="s">
        <v>113</v>
      </c>
      <c r="W10148" s="42">
        <v>0</v>
      </c>
      <c r="X10148" s="42">
        <v>0</v>
      </c>
    </row>
    <row r="10149" spans="1:24">
      <c r="A10149" s="27" t="s">
        <v>18276</v>
      </c>
      <c r="B10149" s="28" t="s">
        <v>17556</v>
      </c>
      <c r="C10149" s="27" t="s">
        <v>18277</v>
      </c>
      <c r="D10149" s="27" t="s">
        <v>17578</v>
      </c>
      <c r="E10149" s="29">
        <v>42551</v>
      </c>
      <c r="F10149" s="27">
        <v>7</v>
      </c>
      <c r="G10149" s="18">
        <v>1698.98</v>
      </c>
      <c r="H10149" s="27">
        <f t="shared" si="316"/>
        <v>0</v>
      </c>
      <c r="I10149" s="18">
        <v>576.44000000000005</v>
      </c>
      <c r="J10149" s="27">
        <v>1698.98</v>
      </c>
      <c r="K10149" s="18">
        <f t="shared" si="317"/>
        <v>0</v>
      </c>
      <c r="L10149" s="27">
        <v>807.02</v>
      </c>
      <c r="M10149" s="36">
        <v>230.58</v>
      </c>
      <c r="T10149" s="41">
        <v>0</v>
      </c>
      <c r="U10149" s="41">
        <v>0</v>
      </c>
      <c r="V10149" s="42" t="s">
        <v>113</v>
      </c>
      <c r="W10149" s="42">
        <v>0</v>
      </c>
      <c r="X10149" s="42">
        <v>0</v>
      </c>
    </row>
    <row r="10150" spans="1:24">
      <c r="A10150" s="27" t="s">
        <v>18278</v>
      </c>
      <c r="B10150" s="28" t="s">
        <v>17556</v>
      </c>
      <c r="C10150" s="27" t="s">
        <v>18279</v>
      </c>
      <c r="D10150" s="27" t="s">
        <v>17578</v>
      </c>
      <c r="E10150" s="29">
        <v>42551</v>
      </c>
      <c r="F10150" s="27">
        <v>7</v>
      </c>
      <c r="G10150" s="18">
        <v>28316.240000000002</v>
      </c>
      <c r="H10150" s="27">
        <f t="shared" si="316"/>
        <v>0</v>
      </c>
      <c r="I10150" s="18">
        <v>9607.2999999999993</v>
      </c>
      <c r="J10150" s="27">
        <v>28316.240000000002</v>
      </c>
      <c r="K10150" s="18">
        <f t="shared" si="317"/>
        <v>0</v>
      </c>
      <c r="L10150" s="27">
        <v>13450.22</v>
      </c>
      <c r="M10150" s="36">
        <v>3842.92</v>
      </c>
      <c r="T10150" s="41">
        <v>0</v>
      </c>
      <c r="U10150" s="41">
        <v>0</v>
      </c>
      <c r="V10150" s="42" t="s">
        <v>113</v>
      </c>
      <c r="W10150" s="42">
        <v>0</v>
      </c>
      <c r="X10150" s="42">
        <v>0</v>
      </c>
    </row>
    <row r="10151" spans="1:24">
      <c r="A10151" s="27" t="s">
        <v>18280</v>
      </c>
      <c r="B10151" s="28" t="s">
        <v>17556</v>
      </c>
      <c r="C10151" s="27" t="s">
        <v>18281</v>
      </c>
      <c r="D10151" s="27" t="s">
        <v>17578</v>
      </c>
      <c r="E10151" s="29">
        <v>42551</v>
      </c>
      <c r="F10151" s="27">
        <v>7</v>
      </c>
      <c r="G10151" s="18">
        <v>50282.18</v>
      </c>
      <c r="H10151" s="27">
        <f t="shared" si="316"/>
        <v>0</v>
      </c>
      <c r="I10151" s="18">
        <v>17060.03</v>
      </c>
      <c r="J10151" s="27">
        <v>50282.18</v>
      </c>
      <c r="K10151" s="18">
        <f t="shared" si="317"/>
        <v>0</v>
      </c>
      <c r="L10151" s="27">
        <v>23884.04</v>
      </c>
      <c r="M10151" s="36">
        <v>6824.01</v>
      </c>
      <c r="T10151" s="41">
        <v>0</v>
      </c>
      <c r="U10151" s="41">
        <v>0</v>
      </c>
      <c r="V10151" s="42" t="s">
        <v>113</v>
      </c>
      <c r="W10151" s="42">
        <v>0</v>
      </c>
      <c r="X10151" s="42">
        <v>0</v>
      </c>
    </row>
    <row r="10152" spans="1:24">
      <c r="A10152" s="27" t="s">
        <v>18282</v>
      </c>
      <c r="B10152" s="28" t="s">
        <v>17556</v>
      </c>
      <c r="C10152" s="27" t="s">
        <v>18283</v>
      </c>
      <c r="D10152" s="27" t="s">
        <v>17578</v>
      </c>
      <c r="E10152" s="29">
        <v>42551</v>
      </c>
      <c r="F10152" s="27">
        <v>7</v>
      </c>
      <c r="G10152" s="18">
        <v>25141.1</v>
      </c>
      <c r="H10152" s="27">
        <f t="shared" si="316"/>
        <v>0</v>
      </c>
      <c r="I10152" s="18">
        <v>8530.02</v>
      </c>
      <c r="J10152" s="27">
        <v>25141.1</v>
      </c>
      <c r="K10152" s="18">
        <f t="shared" si="317"/>
        <v>0</v>
      </c>
      <c r="L10152" s="27">
        <v>11942.02</v>
      </c>
      <c r="M10152" s="36">
        <v>3412</v>
      </c>
      <c r="T10152" s="41">
        <v>0</v>
      </c>
      <c r="U10152" s="41">
        <v>0</v>
      </c>
      <c r="V10152" s="42" t="s">
        <v>113</v>
      </c>
      <c r="W10152" s="42">
        <v>0</v>
      </c>
      <c r="X10152" s="42">
        <v>0</v>
      </c>
    </row>
    <row r="10153" spans="1:24">
      <c r="A10153" s="27" t="s">
        <v>18284</v>
      </c>
      <c r="B10153" s="28" t="s">
        <v>17556</v>
      </c>
      <c r="C10153" s="27" t="s">
        <v>18285</v>
      </c>
      <c r="D10153" s="27" t="s">
        <v>230</v>
      </c>
      <c r="E10153" s="29">
        <v>42551</v>
      </c>
      <c r="F10153" s="27">
        <v>7</v>
      </c>
      <c r="G10153" s="18">
        <v>31629.88</v>
      </c>
      <c r="H10153" s="27">
        <f t="shared" si="316"/>
        <v>0</v>
      </c>
      <c r="I10153" s="18">
        <v>10731.57</v>
      </c>
      <c r="J10153" s="27">
        <v>31629.88</v>
      </c>
      <c r="K10153" s="18">
        <f t="shared" si="317"/>
        <v>0</v>
      </c>
      <c r="L10153" s="27">
        <v>15024.2</v>
      </c>
      <c r="M10153" s="36">
        <v>4292.63</v>
      </c>
      <c r="T10153" s="41">
        <v>0</v>
      </c>
      <c r="U10153" s="41">
        <v>0</v>
      </c>
      <c r="V10153" s="42" t="s">
        <v>113</v>
      </c>
      <c r="W10153" s="42">
        <v>0</v>
      </c>
      <c r="X10153" s="42">
        <v>0</v>
      </c>
    </row>
    <row r="10154" spans="1:24">
      <c r="A10154" s="27" t="s">
        <v>18286</v>
      </c>
      <c r="B10154" s="28" t="s">
        <v>17556</v>
      </c>
      <c r="C10154" s="27" t="s">
        <v>18287</v>
      </c>
      <c r="D10154" s="27" t="s">
        <v>230</v>
      </c>
      <c r="E10154" s="29">
        <v>42551</v>
      </c>
      <c r="F10154" s="27">
        <v>7</v>
      </c>
      <c r="G10154" s="18">
        <v>407.28</v>
      </c>
      <c r="H10154" s="27">
        <f t="shared" si="316"/>
        <v>0</v>
      </c>
      <c r="I10154" s="18">
        <v>138.18</v>
      </c>
      <c r="J10154" s="27">
        <v>407.28</v>
      </c>
      <c r="K10154" s="18">
        <f t="shared" si="317"/>
        <v>0</v>
      </c>
      <c r="L10154" s="27">
        <v>193.46</v>
      </c>
      <c r="M10154" s="36">
        <v>55.28</v>
      </c>
      <c r="T10154" s="41">
        <v>0</v>
      </c>
      <c r="U10154" s="41">
        <v>0</v>
      </c>
      <c r="V10154" s="42" t="s">
        <v>113</v>
      </c>
      <c r="W10154" s="42">
        <v>0</v>
      </c>
      <c r="X10154" s="42">
        <v>0</v>
      </c>
    </row>
    <row r="10155" spans="1:24">
      <c r="A10155" s="27" t="s">
        <v>18288</v>
      </c>
      <c r="B10155" s="28" t="s">
        <v>17556</v>
      </c>
      <c r="C10155" s="27" t="s">
        <v>18289</v>
      </c>
      <c r="D10155" s="27" t="s">
        <v>230</v>
      </c>
      <c r="E10155" s="29">
        <v>42551</v>
      </c>
      <c r="F10155" s="27">
        <v>7</v>
      </c>
      <c r="G10155" s="18">
        <v>39652.239999999998</v>
      </c>
      <c r="H10155" s="27">
        <f t="shared" si="316"/>
        <v>0</v>
      </c>
      <c r="I10155" s="18">
        <v>13453.44</v>
      </c>
      <c r="J10155" s="27">
        <v>39652.239999999998</v>
      </c>
      <c r="K10155" s="18">
        <f t="shared" si="317"/>
        <v>0</v>
      </c>
      <c r="L10155" s="27">
        <v>18834.82</v>
      </c>
      <c r="M10155" s="36">
        <v>5381.38</v>
      </c>
      <c r="T10155" s="41">
        <v>0</v>
      </c>
      <c r="U10155" s="41">
        <v>0</v>
      </c>
      <c r="V10155" s="42" t="s">
        <v>113</v>
      </c>
      <c r="W10155" s="42">
        <v>0</v>
      </c>
      <c r="X10155" s="42">
        <v>0</v>
      </c>
    </row>
    <row r="10156" spans="1:24">
      <c r="A10156" s="27" t="s">
        <v>18290</v>
      </c>
      <c r="B10156" s="28" t="s">
        <v>17556</v>
      </c>
      <c r="C10156" s="27" t="s">
        <v>18291</v>
      </c>
      <c r="D10156" s="27" t="s">
        <v>230</v>
      </c>
      <c r="E10156" s="29">
        <v>42551</v>
      </c>
      <c r="F10156" s="27">
        <v>7</v>
      </c>
      <c r="G10156" s="18">
        <v>224749.97</v>
      </c>
      <c r="H10156" s="27">
        <f t="shared" si="316"/>
        <v>0</v>
      </c>
      <c r="I10156" s="18">
        <v>76254.45</v>
      </c>
      <c r="J10156" s="27">
        <v>224749.97</v>
      </c>
      <c r="K10156" s="18">
        <f t="shared" si="317"/>
        <v>0</v>
      </c>
      <c r="L10156" s="27">
        <v>106756.23</v>
      </c>
      <c r="M10156" s="36">
        <v>30501.78</v>
      </c>
      <c r="T10156" s="41">
        <v>0</v>
      </c>
      <c r="U10156" s="41">
        <v>0</v>
      </c>
      <c r="V10156" s="42" t="s">
        <v>113</v>
      </c>
      <c r="W10156" s="42">
        <v>0</v>
      </c>
      <c r="X10156" s="42">
        <v>0</v>
      </c>
    </row>
    <row r="10157" spans="1:24">
      <c r="A10157" s="27" t="s">
        <v>18292</v>
      </c>
      <c r="B10157" s="28" t="s">
        <v>17556</v>
      </c>
      <c r="C10157" s="27" t="s">
        <v>18293</v>
      </c>
      <c r="D10157" s="27" t="s">
        <v>230</v>
      </c>
      <c r="E10157" s="29">
        <v>42551</v>
      </c>
      <c r="F10157" s="27">
        <v>7</v>
      </c>
      <c r="G10157" s="18">
        <v>9829.35</v>
      </c>
      <c r="H10157" s="27">
        <f t="shared" si="316"/>
        <v>0</v>
      </c>
      <c r="I10157" s="18">
        <v>3334.95</v>
      </c>
      <c r="J10157" s="27">
        <v>9829.35</v>
      </c>
      <c r="K10157" s="18">
        <f t="shared" si="317"/>
        <v>0</v>
      </c>
      <c r="L10157" s="27">
        <v>4668.93</v>
      </c>
      <c r="M10157" s="36">
        <v>1333.98</v>
      </c>
      <c r="T10157" s="41">
        <v>0</v>
      </c>
      <c r="U10157" s="41">
        <v>0</v>
      </c>
      <c r="V10157" s="42" t="s">
        <v>113</v>
      </c>
      <c r="W10157" s="42">
        <v>0</v>
      </c>
      <c r="X10157" s="42">
        <v>0</v>
      </c>
    </row>
    <row r="10158" spans="1:24">
      <c r="A10158" s="27" t="s">
        <v>18294</v>
      </c>
      <c r="B10158" s="28" t="s">
        <v>17556</v>
      </c>
      <c r="C10158" s="27" t="s">
        <v>18295</v>
      </c>
      <c r="D10158" s="27" t="s">
        <v>230</v>
      </c>
      <c r="E10158" s="29">
        <v>42551</v>
      </c>
      <c r="F10158" s="27">
        <v>7</v>
      </c>
      <c r="G10158" s="18">
        <v>28191.46</v>
      </c>
      <c r="H10158" s="27">
        <f t="shared" si="316"/>
        <v>0</v>
      </c>
      <c r="I10158" s="18">
        <v>9564.9599999999991</v>
      </c>
      <c r="J10158" s="27">
        <v>28191.46</v>
      </c>
      <c r="K10158" s="18">
        <f t="shared" si="317"/>
        <v>0</v>
      </c>
      <c r="L10158" s="27">
        <v>13390.94</v>
      </c>
      <c r="M10158" s="36">
        <v>3825.98</v>
      </c>
      <c r="T10158" s="41">
        <v>0</v>
      </c>
      <c r="U10158" s="41">
        <v>0</v>
      </c>
      <c r="V10158" s="42" t="s">
        <v>113</v>
      </c>
      <c r="W10158" s="42">
        <v>0</v>
      </c>
      <c r="X10158" s="42">
        <v>0</v>
      </c>
    </row>
    <row r="10159" spans="1:24">
      <c r="A10159" s="27" t="s">
        <v>18296</v>
      </c>
      <c r="B10159" s="28" t="s">
        <v>17556</v>
      </c>
      <c r="C10159" s="27" t="s">
        <v>18297</v>
      </c>
      <c r="D10159" s="27" t="s">
        <v>230</v>
      </c>
      <c r="E10159" s="29">
        <v>42551</v>
      </c>
      <c r="F10159" s="27">
        <v>7</v>
      </c>
      <c r="G10159" s="18">
        <v>31824.98</v>
      </c>
      <c r="H10159" s="27">
        <f t="shared" si="316"/>
        <v>0</v>
      </c>
      <c r="I10159" s="18">
        <v>10797.76</v>
      </c>
      <c r="J10159" s="27">
        <v>31824.98</v>
      </c>
      <c r="K10159" s="18">
        <f t="shared" si="317"/>
        <v>0</v>
      </c>
      <c r="L10159" s="27">
        <v>15116.86</v>
      </c>
      <c r="M10159" s="36">
        <v>4319.1000000000004</v>
      </c>
      <c r="T10159" s="41">
        <v>0</v>
      </c>
      <c r="U10159" s="41">
        <v>0</v>
      </c>
      <c r="V10159" s="42" t="s">
        <v>113</v>
      </c>
      <c r="W10159" s="42">
        <v>0</v>
      </c>
      <c r="X10159" s="42">
        <v>0</v>
      </c>
    </row>
    <row r="10160" spans="1:24">
      <c r="A10160" s="27" t="s">
        <v>18298</v>
      </c>
      <c r="B10160" s="28" t="s">
        <v>17556</v>
      </c>
      <c r="C10160" s="27" t="s">
        <v>18299</v>
      </c>
      <c r="D10160" s="27" t="s">
        <v>230</v>
      </c>
      <c r="E10160" s="29">
        <v>42551</v>
      </c>
      <c r="F10160" s="27">
        <v>7</v>
      </c>
      <c r="G10160" s="18">
        <v>40162.18</v>
      </c>
      <c r="H10160" s="27">
        <f t="shared" si="316"/>
        <v>0</v>
      </c>
      <c r="I10160" s="18">
        <v>13626.45</v>
      </c>
      <c r="J10160" s="27">
        <v>40162.18</v>
      </c>
      <c r="K10160" s="18">
        <f t="shared" si="317"/>
        <v>0</v>
      </c>
      <c r="L10160" s="27">
        <v>19077.03</v>
      </c>
      <c r="M10160" s="36">
        <v>5450.58</v>
      </c>
      <c r="T10160" s="41">
        <v>0</v>
      </c>
      <c r="U10160" s="41">
        <v>0</v>
      </c>
      <c r="V10160" s="42" t="s">
        <v>113</v>
      </c>
      <c r="W10160" s="42">
        <v>0</v>
      </c>
      <c r="X10160" s="42">
        <v>0</v>
      </c>
    </row>
    <row r="10161" spans="1:24">
      <c r="A10161" s="27" t="s">
        <v>18300</v>
      </c>
      <c r="B10161" s="28" t="s">
        <v>17556</v>
      </c>
      <c r="C10161" s="27" t="s">
        <v>18301</v>
      </c>
      <c r="D10161" s="27" t="s">
        <v>230</v>
      </c>
      <c r="E10161" s="29">
        <v>42551</v>
      </c>
      <c r="F10161" s="27">
        <v>7</v>
      </c>
      <c r="G10161" s="18">
        <v>264482.49</v>
      </c>
      <c r="H10161" s="27">
        <f t="shared" si="316"/>
        <v>0</v>
      </c>
      <c r="I10161" s="18">
        <v>89735.13</v>
      </c>
      <c r="J10161" s="27">
        <v>264482.49</v>
      </c>
      <c r="K10161" s="18">
        <f t="shared" si="317"/>
        <v>0</v>
      </c>
      <c r="L10161" s="27">
        <v>125629.18</v>
      </c>
      <c r="M10161" s="36">
        <v>35894.050000000003</v>
      </c>
      <c r="T10161" s="41">
        <v>0</v>
      </c>
      <c r="U10161" s="41">
        <v>0</v>
      </c>
      <c r="V10161" s="42" t="s">
        <v>113</v>
      </c>
      <c r="W10161" s="42">
        <v>0</v>
      </c>
      <c r="X10161" s="42">
        <v>0</v>
      </c>
    </row>
    <row r="10162" spans="1:24">
      <c r="A10162" s="27" t="s">
        <v>18302</v>
      </c>
      <c r="B10162" s="28" t="s">
        <v>17556</v>
      </c>
      <c r="C10162" s="27" t="s">
        <v>18303</v>
      </c>
      <c r="D10162" s="27" t="s">
        <v>17578</v>
      </c>
      <c r="E10162" s="29">
        <v>42488</v>
      </c>
      <c r="F10162" s="27">
        <v>7</v>
      </c>
      <c r="G10162" s="18">
        <v>2276057.69</v>
      </c>
      <c r="H10162" s="27">
        <f t="shared" si="316"/>
        <v>0</v>
      </c>
      <c r="I10162" s="18">
        <v>823716.12</v>
      </c>
      <c r="J10162" s="27">
        <v>2276057.69</v>
      </c>
      <c r="K10162" s="18">
        <f t="shared" si="317"/>
        <v>0</v>
      </c>
      <c r="L10162" s="27">
        <v>1132609.6599999999</v>
      </c>
      <c r="M10162" s="36">
        <v>308893.53999999998</v>
      </c>
      <c r="T10162" s="41">
        <v>0</v>
      </c>
      <c r="U10162" s="41">
        <v>0</v>
      </c>
      <c r="V10162" s="42" t="s">
        <v>113</v>
      </c>
      <c r="W10162" s="42">
        <v>0</v>
      </c>
      <c r="X10162" s="42">
        <v>0</v>
      </c>
    </row>
    <row r="10163" spans="1:24">
      <c r="A10163" s="27" t="s">
        <v>18304</v>
      </c>
      <c r="B10163" s="28" t="s">
        <v>17556</v>
      </c>
      <c r="C10163" s="27" t="s">
        <v>18305</v>
      </c>
      <c r="D10163" s="27" t="s">
        <v>17578</v>
      </c>
      <c r="E10163" s="29">
        <v>40171</v>
      </c>
      <c r="F10163" s="27">
        <v>7</v>
      </c>
      <c r="G10163" s="18">
        <v>93287.24</v>
      </c>
      <c r="H10163" s="27">
        <f t="shared" si="316"/>
        <v>93287.24</v>
      </c>
      <c r="I10163" s="18">
        <v>88622.88</v>
      </c>
      <c r="J10163" s="27">
        <v>93287.24</v>
      </c>
      <c r="K10163" s="18">
        <f t="shared" si="317"/>
        <v>93287.24</v>
      </c>
      <c r="L10163" s="27">
        <v>88622.88</v>
      </c>
      <c r="M10163" s="36">
        <v>0</v>
      </c>
      <c r="T10163" s="41">
        <v>0</v>
      </c>
      <c r="U10163" s="41">
        <v>0</v>
      </c>
      <c r="V10163" s="42" t="s">
        <v>113</v>
      </c>
      <c r="W10163" s="42">
        <v>93287.24</v>
      </c>
      <c r="X10163" s="42">
        <v>93287.24</v>
      </c>
    </row>
    <row r="10164" spans="1:24">
      <c r="A10164" s="27" t="s">
        <v>18306</v>
      </c>
      <c r="B10164" s="28" t="s">
        <v>17556</v>
      </c>
      <c r="C10164" s="27" t="s">
        <v>18307</v>
      </c>
      <c r="D10164" s="27" t="s">
        <v>17578</v>
      </c>
      <c r="E10164" s="29">
        <v>40171</v>
      </c>
      <c r="F10164" s="27">
        <v>7</v>
      </c>
      <c r="G10164" s="18">
        <v>62905.65</v>
      </c>
      <c r="H10164" s="27">
        <f t="shared" si="316"/>
        <v>62905.65</v>
      </c>
      <c r="I10164" s="18">
        <v>59899.61</v>
      </c>
      <c r="J10164" s="27">
        <v>62905.65</v>
      </c>
      <c r="K10164" s="18">
        <f t="shared" si="317"/>
        <v>62905.65</v>
      </c>
      <c r="L10164" s="27">
        <v>59760.37</v>
      </c>
      <c r="M10164" s="36">
        <v>-139.24</v>
      </c>
      <c r="T10164" s="41">
        <v>0</v>
      </c>
      <c r="U10164" s="41">
        <v>0</v>
      </c>
      <c r="V10164" s="42" t="s">
        <v>113</v>
      </c>
      <c r="W10164" s="42">
        <v>62905.65</v>
      </c>
      <c r="X10164" s="42">
        <v>62905.65</v>
      </c>
    </row>
    <row r="10165" spans="1:24">
      <c r="A10165" s="27" t="s">
        <v>18308</v>
      </c>
      <c r="B10165" s="28" t="s">
        <v>17556</v>
      </c>
      <c r="C10165" s="27" t="s">
        <v>18309</v>
      </c>
      <c r="D10165" s="27" t="s">
        <v>17578</v>
      </c>
      <c r="E10165" s="29">
        <v>38534</v>
      </c>
      <c r="F10165" s="27">
        <v>7</v>
      </c>
      <c r="G10165" s="18">
        <v>32073.46</v>
      </c>
      <c r="H10165" s="27">
        <f t="shared" si="316"/>
        <v>32073.46</v>
      </c>
      <c r="I10165" s="18">
        <v>30469.78</v>
      </c>
      <c r="J10165" s="27">
        <v>32073.46</v>
      </c>
      <c r="K10165" s="18">
        <f t="shared" si="317"/>
        <v>32073.46</v>
      </c>
      <c r="L10165" s="27">
        <v>30469.78</v>
      </c>
      <c r="M10165" s="36">
        <v>0</v>
      </c>
      <c r="T10165" s="41">
        <v>0</v>
      </c>
      <c r="U10165" s="41">
        <v>0</v>
      </c>
      <c r="V10165" s="42" t="s">
        <v>113</v>
      </c>
      <c r="W10165" s="42">
        <v>32073.46</v>
      </c>
      <c r="X10165" s="42">
        <v>32073.46</v>
      </c>
    </row>
    <row r="10166" spans="1:24">
      <c r="A10166" s="27" t="s">
        <v>18310</v>
      </c>
      <c r="B10166" s="28" t="s">
        <v>17556</v>
      </c>
      <c r="C10166" s="27" t="s">
        <v>18311</v>
      </c>
      <c r="D10166" s="27" t="s">
        <v>17578</v>
      </c>
      <c r="E10166" s="29">
        <v>40169</v>
      </c>
      <c r="F10166" s="27">
        <v>7</v>
      </c>
      <c r="G10166" s="18">
        <v>44609.53</v>
      </c>
      <c r="H10166" s="27">
        <f t="shared" si="316"/>
        <v>44609.53</v>
      </c>
      <c r="I10166" s="18">
        <v>44485.47</v>
      </c>
      <c r="J10166" s="27">
        <v>44609.53</v>
      </c>
      <c r="K10166" s="18">
        <f t="shared" si="317"/>
        <v>44609.53</v>
      </c>
      <c r="L10166" s="27">
        <v>42379.05</v>
      </c>
      <c r="M10166" s="36">
        <v>-2106.42</v>
      </c>
      <c r="T10166" s="41">
        <v>0</v>
      </c>
      <c r="U10166" s="41">
        <v>0</v>
      </c>
      <c r="V10166" s="42" t="s">
        <v>113</v>
      </c>
      <c r="W10166" s="42">
        <v>44609.53</v>
      </c>
      <c r="X10166" s="42">
        <v>44609.53</v>
      </c>
    </row>
    <row r="10167" spans="1:24">
      <c r="A10167" s="27" t="s">
        <v>18312</v>
      </c>
      <c r="B10167" s="28" t="s">
        <v>17556</v>
      </c>
      <c r="C10167" s="27" t="s">
        <v>17575</v>
      </c>
      <c r="D10167" s="27" t="s">
        <v>17578</v>
      </c>
      <c r="E10167" s="29">
        <v>40268</v>
      </c>
      <c r="F10167" s="27">
        <v>7</v>
      </c>
      <c r="G10167" s="18">
        <v>33481.99</v>
      </c>
      <c r="H10167" s="27">
        <f t="shared" si="316"/>
        <v>33481.99</v>
      </c>
      <c r="I10167" s="18">
        <v>31807.89</v>
      </c>
      <c r="J10167" s="27">
        <v>33481.99</v>
      </c>
      <c r="K10167" s="18">
        <f t="shared" si="317"/>
        <v>33481.99</v>
      </c>
      <c r="L10167" s="27">
        <v>31807.89</v>
      </c>
      <c r="M10167" s="36">
        <v>0</v>
      </c>
      <c r="T10167" s="41">
        <v>0</v>
      </c>
      <c r="U10167" s="41">
        <v>0</v>
      </c>
      <c r="V10167" s="42" t="s">
        <v>113</v>
      </c>
      <c r="W10167" s="42">
        <v>33481.99</v>
      </c>
      <c r="X10167" s="42">
        <v>33481.99</v>
      </c>
    </row>
    <row r="10168" spans="1:24">
      <c r="A10168" s="27" t="s">
        <v>18313</v>
      </c>
      <c r="B10168" s="28" t="s">
        <v>17556</v>
      </c>
      <c r="C10168" s="27" t="s">
        <v>18314</v>
      </c>
      <c r="D10168" s="27" t="s">
        <v>17578</v>
      </c>
      <c r="E10168" s="29">
        <v>40268</v>
      </c>
      <c r="F10168" s="27">
        <v>7</v>
      </c>
      <c r="G10168" s="18">
        <v>125280.1</v>
      </c>
      <c r="H10168" s="27">
        <f t="shared" si="316"/>
        <v>125280.1</v>
      </c>
      <c r="I10168" s="18">
        <v>119016.09</v>
      </c>
      <c r="J10168" s="27">
        <v>125280.1</v>
      </c>
      <c r="K10168" s="18">
        <f t="shared" si="317"/>
        <v>125280.1</v>
      </c>
      <c r="L10168" s="27">
        <v>119016.09</v>
      </c>
      <c r="M10168" s="36">
        <v>0</v>
      </c>
      <c r="T10168" s="41">
        <v>0</v>
      </c>
      <c r="U10168" s="41">
        <v>0</v>
      </c>
      <c r="V10168" s="42" t="s">
        <v>113</v>
      </c>
      <c r="W10168" s="42">
        <v>125280.1</v>
      </c>
      <c r="X10168" s="42">
        <v>125280.1</v>
      </c>
    </row>
    <row r="10169" spans="1:24">
      <c r="A10169" s="27" t="s">
        <v>18315</v>
      </c>
      <c r="B10169" s="28" t="s">
        <v>17556</v>
      </c>
      <c r="C10169" s="27" t="s">
        <v>18316</v>
      </c>
      <c r="D10169" s="27" t="s">
        <v>17578</v>
      </c>
      <c r="E10169" s="29">
        <v>40268</v>
      </c>
      <c r="F10169" s="27">
        <v>7</v>
      </c>
      <c r="G10169" s="18">
        <v>38919.440000000002</v>
      </c>
      <c r="H10169" s="27">
        <f t="shared" si="316"/>
        <v>38919.440000000002</v>
      </c>
      <c r="I10169" s="18">
        <v>36973.47</v>
      </c>
      <c r="J10169" s="27">
        <v>38919.440000000002</v>
      </c>
      <c r="K10169" s="18">
        <f t="shared" si="317"/>
        <v>38919.440000000002</v>
      </c>
      <c r="L10169" s="27">
        <v>36973.47</v>
      </c>
      <c r="M10169" s="36">
        <v>0</v>
      </c>
      <c r="T10169" s="41">
        <v>0</v>
      </c>
      <c r="U10169" s="41">
        <v>0</v>
      </c>
      <c r="V10169" s="42" t="s">
        <v>113</v>
      </c>
      <c r="W10169" s="42">
        <v>38919.440000000002</v>
      </c>
      <c r="X10169" s="42">
        <v>38919.440000000002</v>
      </c>
    </row>
    <row r="10170" spans="1:24">
      <c r="A10170" s="27" t="s">
        <v>18317</v>
      </c>
      <c r="B10170" s="28" t="s">
        <v>17556</v>
      </c>
      <c r="C10170" s="27" t="s">
        <v>17575</v>
      </c>
      <c r="D10170" s="27" t="s">
        <v>17578</v>
      </c>
      <c r="E10170" s="29">
        <v>40156</v>
      </c>
      <c r="F10170" s="27">
        <v>7</v>
      </c>
      <c r="G10170" s="18">
        <v>7500</v>
      </c>
      <c r="H10170" s="27">
        <f t="shared" si="316"/>
        <v>7500</v>
      </c>
      <c r="I10170" s="18">
        <v>7125</v>
      </c>
      <c r="J10170" s="27">
        <v>7500</v>
      </c>
      <c r="K10170" s="18">
        <f t="shared" si="317"/>
        <v>7500</v>
      </c>
      <c r="L10170" s="27">
        <v>7125</v>
      </c>
      <c r="M10170" s="36">
        <v>0</v>
      </c>
      <c r="T10170" s="41">
        <v>0</v>
      </c>
      <c r="U10170" s="41">
        <v>0</v>
      </c>
      <c r="V10170" s="42" t="s">
        <v>113</v>
      </c>
      <c r="W10170" s="42">
        <v>7500</v>
      </c>
      <c r="X10170" s="42">
        <v>7500</v>
      </c>
    </row>
    <row r="10171" spans="1:24">
      <c r="A10171" s="27" t="s">
        <v>18318</v>
      </c>
      <c r="B10171" s="28" t="s">
        <v>17556</v>
      </c>
      <c r="C10171" s="27" t="s">
        <v>18319</v>
      </c>
      <c r="D10171" s="27" t="s">
        <v>17578</v>
      </c>
      <c r="E10171" s="29">
        <v>40543</v>
      </c>
      <c r="F10171" s="27">
        <v>7</v>
      </c>
      <c r="G10171" s="18">
        <v>18903.03</v>
      </c>
      <c r="H10171" s="27">
        <f t="shared" si="316"/>
        <v>18903.03</v>
      </c>
      <c r="I10171" s="18">
        <v>17957.88</v>
      </c>
      <c r="J10171" s="27">
        <v>18903.03</v>
      </c>
      <c r="K10171" s="18">
        <f t="shared" si="317"/>
        <v>18903.03</v>
      </c>
      <c r="L10171" s="27">
        <v>17957.88</v>
      </c>
      <c r="M10171" s="36">
        <v>0</v>
      </c>
      <c r="T10171" s="41">
        <v>0</v>
      </c>
      <c r="U10171" s="41">
        <v>0</v>
      </c>
      <c r="V10171" s="42" t="s">
        <v>113</v>
      </c>
      <c r="W10171" s="42">
        <v>18903.03</v>
      </c>
      <c r="X10171" s="42">
        <v>18903.03</v>
      </c>
    </row>
    <row r="10172" spans="1:24">
      <c r="A10172" s="27" t="s">
        <v>18320</v>
      </c>
      <c r="B10172" s="28" t="s">
        <v>17556</v>
      </c>
      <c r="C10172" s="27" t="s">
        <v>18321</v>
      </c>
      <c r="D10172" s="27" t="s">
        <v>17578</v>
      </c>
      <c r="E10172" s="29">
        <v>39263</v>
      </c>
      <c r="F10172" s="27">
        <v>7</v>
      </c>
      <c r="G10172" s="18">
        <v>20218.61</v>
      </c>
      <c r="H10172" s="27">
        <f t="shared" si="316"/>
        <v>20218.61</v>
      </c>
      <c r="I10172" s="18">
        <v>19207.68</v>
      </c>
      <c r="J10172" s="27">
        <v>20218.61</v>
      </c>
      <c r="K10172" s="18">
        <f t="shared" si="317"/>
        <v>20218.61</v>
      </c>
      <c r="L10172" s="27">
        <v>19207.68</v>
      </c>
      <c r="M10172" s="36">
        <v>0</v>
      </c>
      <c r="T10172" s="41">
        <v>0</v>
      </c>
      <c r="U10172" s="41">
        <v>0</v>
      </c>
      <c r="V10172" s="42" t="s">
        <v>113</v>
      </c>
      <c r="W10172" s="42">
        <v>20218.61</v>
      </c>
      <c r="X10172" s="42">
        <v>20218.61</v>
      </c>
    </row>
    <row r="10173" spans="1:24">
      <c r="A10173" s="27" t="s">
        <v>18322</v>
      </c>
      <c r="B10173" s="28" t="s">
        <v>17556</v>
      </c>
      <c r="C10173" s="27" t="s">
        <v>18323</v>
      </c>
      <c r="D10173" s="27" t="s">
        <v>17578</v>
      </c>
      <c r="E10173" s="29">
        <v>39112</v>
      </c>
      <c r="F10173" s="27">
        <v>7</v>
      </c>
      <c r="G10173" s="18">
        <v>3354</v>
      </c>
      <c r="H10173" s="27">
        <f t="shared" si="316"/>
        <v>3354</v>
      </c>
      <c r="I10173" s="18">
        <v>3354</v>
      </c>
      <c r="J10173" s="27">
        <v>3354</v>
      </c>
      <c r="K10173" s="18">
        <f t="shared" si="317"/>
        <v>3354</v>
      </c>
      <c r="L10173" s="27">
        <v>3354</v>
      </c>
      <c r="M10173" s="36">
        <v>0</v>
      </c>
      <c r="T10173" s="41">
        <v>0</v>
      </c>
      <c r="U10173" s="41">
        <v>0</v>
      </c>
      <c r="V10173" s="42" t="s">
        <v>113</v>
      </c>
      <c r="W10173" s="42">
        <v>3354</v>
      </c>
      <c r="X10173" s="42">
        <v>3354</v>
      </c>
    </row>
    <row r="10174" spans="1:24">
      <c r="A10174" s="27" t="s">
        <v>18324</v>
      </c>
      <c r="B10174" s="28" t="s">
        <v>17556</v>
      </c>
      <c r="C10174" s="27" t="s">
        <v>18325</v>
      </c>
      <c r="D10174" s="27" t="s">
        <v>17558</v>
      </c>
      <c r="E10174" s="29">
        <v>35064</v>
      </c>
      <c r="F10174" s="27">
        <v>7</v>
      </c>
      <c r="G10174" s="18">
        <v>13.38</v>
      </c>
      <c r="H10174" s="27">
        <f t="shared" si="316"/>
        <v>13.38</v>
      </c>
      <c r="I10174" s="18">
        <v>13.38</v>
      </c>
      <c r="J10174" s="27">
        <v>13.38</v>
      </c>
      <c r="K10174" s="18">
        <f t="shared" si="317"/>
        <v>13.38</v>
      </c>
      <c r="L10174" s="27">
        <v>13.38</v>
      </c>
      <c r="M10174" s="36">
        <v>0</v>
      </c>
      <c r="T10174" s="41">
        <v>0</v>
      </c>
      <c r="U10174" s="41">
        <v>0</v>
      </c>
      <c r="V10174" s="42" t="s">
        <v>113</v>
      </c>
      <c r="W10174" s="42">
        <v>13.38</v>
      </c>
      <c r="X10174" s="42">
        <v>13.38</v>
      </c>
    </row>
    <row r="10175" spans="1:24">
      <c r="A10175" s="27" t="s">
        <v>18326</v>
      </c>
      <c r="B10175" s="28" t="s">
        <v>17556</v>
      </c>
      <c r="C10175" s="27" t="s">
        <v>12740</v>
      </c>
      <c r="D10175" s="27" t="s">
        <v>17558</v>
      </c>
      <c r="E10175" s="29">
        <v>38411</v>
      </c>
      <c r="F10175" s="27">
        <v>7</v>
      </c>
      <c r="G10175" s="18">
        <v>5121.1400000000003</v>
      </c>
      <c r="H10175" s="27">
        <f t="shared" si="316"/>
        <v>5121.1400000000003</v>
      </c>
      <c r="I10175" s="18">
        <v>4865.08</v>
      </c>
      <c r="J10175" s="27">
        <v>5121.1400000000003</v>
      </c>
      <c r="K10175" s="18">
        <f t="shared" si="317"/>
        <v>5121.1400000000003</v>
      </c>
      <c r="L10175" s="27">
        <v>4865.08</v>
      </c>
      <c r="M10175" s="36">
        <v>0</v>
      </c>
      <c r="T10175" s="41">
        <v>0</v>
      </c>
      <c r="U10175" s="41">
        <v>0</v>
      </c>
      <c r="V10175" s="42" t="s">
        <v>113</v>
      </c>
      <c r="W10175" s="42">
        <v>5121.1400000000003</v>
      </c>
      <c r="X10175" s="42">
        <v>5121.1400000000003</v>
      </c>
    </row>
    <row r="10176" spans="1:24">
      <c r="A10176" s="27" t="s">
        <v>18327</v>
      </c>
      <c r="B10176" s="28" t="s">
        <v>17556</v>
      </c>
      <c r="C10176" s="27" t="s">
        <v>18328</v>
      </c>
      <c r="D10176" s="27" t="s">
        <v>17558</v>
      </c>
      <c r="E10176" s="29">
        <v>38655</v>
      </c>
      <c r="F10176" s="27">
        <v>7</v>
      </c>
      <c r="G10176" s="18">
        <v>3800</v>
      </c>
      <c r="H10176" s="27">
        <f t="shared" si="316"/>
        <v>3800</v>
      </c>
      <c r="I10176" s="18">
        <v>3800</v>
      </c>
      <c r="J10176" s="27">
        <v>3800</v>
      </c>
      <c r="K10176" s="18">
        <f t="shared" si="317"/>
        <v>3800</v>
      </c>
      <c r="L10176" s="27">
        <v>3800</v>
      </c>
      <c r="M10176" s="36">
        <v>0</v>
      </c>
      <c r="T10176" s="41">
        <v>0</v>
      </c>
      <c r="U10176" s="41">
        <v>0</v>
      </c>
      <c r="V10176" s="42" t="s">
        <v>113</v>
      </c>
      <c r="W10176" s="42">
        <v>3800</v>
      </c>
      <c r="X10176" s="42">
        <v>3800</v>
      </c>
    </row>
    <row r="10177" spans="1:24">
      <c r="A10177" s="27" t="s">
        <v>18329</v>
      </c>
      <c r="B10177" s="28" t="s">
        <v>17556</v>
      </c>
      <c r="C10177" s="27" t="s">
        <v>18330</v>
      </c>
      <c r="D10177" s="27" t="s">
        <v>17558</v>
      </c>
      <c r="E10177" s="29">
        <v>35430</v>
      </c>
      <c r="F10177" s="27">
        <v>7</v>
      </c>
      <c r="G10177" s="18">
        <v>11234.01</v>
      </c>
      <c r="H10177" s="27">
        <f t="shared" si="316"/>
        <v>11234.01</v>
      </c>
      <c r="I10177" s="18">
        <v>11234.01</v>
      </c>
      <c r="J10177" s="27">
        <v>11234.01</v>
      </c>
      <c r="K10177" s="18">
        <f t="shared" si="317"/>
        <v>11234.01</v>
      </c>
      <c r="L10177" s="27">
        <v>10672.31</v>
      </c>
      <c r="M10177" s="36">
        <v>-561.70000000000005</v>
      </c>
      <c r="T10177" s="41">
        <v>0</v>
      </c>
      <c r="U10177" s="41">
        <v>0</v>
      </c>
      <c r="V10177" s="42" t="s">
        <v>113</v>
      </c>
      <c r="W10177" s="42">
        <v>11234.01</v>
      </c>
      <c r="X10177" s="42">
        <v>11234.01</v>
      </c>
    </row>
    <row r="10178" spans="1:24">
      <c r="A10178" s="27" t="s">
        <v>18331</v>
      </c>
      <c r="B10178" s="28" t="s">
        <v>17556</v>
      </c>
      <c r="C10178" s="27" t="s">
        <v>18332</v>
      </c>
      <c r="D10178" s="27" t="s">
        <v>17558</v>
      </c>
      <c r="E10178" s="29">
        <v>34699</v>
      </c>
      <c r="F10178" s="27">
        <v>7</v>
      </c>
      <c r="G10178" s="18">
        <v>9715.52</v>
      </c>
      <c r="H10178" s="27">
        <f t="shared" si="316"/>
        <v>9715.52</v>
      </c>
      <c r="I10178" s="18">
        <v>9715.52</v>
      </c>
      <c r="J10178" s="27">
        <v>9715.52</v>
      </c>
      <c r="K10178" s="18">
        <f t="shared" si="317"/>
        <v>9715.52</v>
      </c>
      <c r="L10178" s="27">
        <v>9229.74</v>
      </c>
      <c r="M10178" s="36">
        <v>-485.78</v>
      </c>
      <c r="T10178" s="41">
        <v>0</v>
      </c>
      <c r="U10178" s="41">
        <v>0</v>
      </c>
      <c r="V10178" s="42" t="s">
        <v>113</v>
      </c>
      <c r="W10178" s="42">
        <v>9715.52</v>
      </c>
      <c r="X10178" s="42">
        <v>9715.52</v>
      </c>
    </row>
    <row r="10179" spans="1:24">
      <c r="A10179" s="27" t="s">
        <v>18333</v>
      </c>
      <c r="B10179" s="28" t="s">
        <v>17556</v>
      </c>
      <c r="C10179" s="27" t="s">
        <v>18334</v>
      </c>
      <c r="D10179" s="27" t="s">
        <v>17558</v>
      </c>
      <c r="E10179" s="29">
        <v>38502</v>
      </c>
      <c r="F10179" s="27">
        <v>7</v>
      </c>
      <c r="G10179" s="18">
        <v>4550</v>
      </c>
      <c r="H10179" s="27">
        <f t="shared" si="316"/>
        <v>4550</v>
      </c>
      <c r="I10179" s="18">
        <v>4550</v>
      </c>
      <c r="J10179" s="27">
        <v>4550</v>
      </c>
      <c r="K10179" s="18">
        <f t="shared" si="317"/>
        <v>4550</v>
      </c>
      <c r="L10179" s="27">
        <v>4550</v>
      </c>
      <c r="M10179" s="36">
        <v>0</v>
      </c>
      <c r="T10179" s="41">
        <v>0</v>
      </c>
      <c r="U10179" s="41">
        <v>0</v>
      </c>
      <c r="V10179" s="42" t="s">
        <v>113</v>
      </c>
      <c r="W10179" s="42">
        <v>4550</v>
      </c>
      <c r="X10179" s="42">
        <v>4550</v>
      </c>
    </row>
    <row r="10180" spans="1:24">
      <c r="A10180" s="27" t="s">
        <v>18335</v>
      </c>
      <c r="B10180" s="28" t="s">
        <v>17556</v>
      </c>
      <c r="C10180" s="27" t="s">
        <v>18336</v>
      </c>
      <c r="D10180" s="27" t="s">
        <v>17578</v>
      </c>
      <c r="E10180" s="29">
        <v>38686</v>
      </c>
      <c r="F10180" s="27">
        <v>7</v>
      </c>
      <c r="G10180" s="18">
        <v>13416</v>
      </c>
      <c r="H10180" s="27">
        <f t="shared" si="316"/>
        <v>13416</v>
      </c>
      <c r="I10180" s="18">
        <v>12745.2</v>
      </c>
      <c r="J10180" s="27">
        <v>13416</v>
      </c>
      <c r="K10180" s="18">
        <f t="shared" si="317"/>
        <v>13416</v>
      </c>
      <c r="L10180" s="27">
        <v>12745.2</v>
      </c>
      <c r="M10180" s="36">
        <v>0</v>
      </c>
      <c r="T10180" s="41">
        <v>0</v>
      </c>
      <c r="U10180" s="41">
        <v>0</v>
      </c>
      <c r="V10180" s="42" t="s">
        <v>113</v>
      </c>
      <c r="W10180" s="42">
        <v>13416</v>
      </c>
      <c r="X10180" s="42">
        <v>13416</v>
      </c>
    </row>
    <row r="10181" spans="1:24">
      <c r="A10181" s="27" t="s">
        <v>18337</v>
      </c>
      <c r="B10181" s="28" t="s">
        <v>17556</v>
      </c>
      <c r="C10181" s="27" t="s">
        <v>17588</v>
      </c>
      <c r="D10181" s="27" t="s">
        <v>17558</v>
      </c>
      <c r="E10181" s="29">
        <v>39071</v>
      </c>
      <c r="F10181" s="27">
        <v>7</v>
      </c>
      <c r="G10181" s="18">
        <v>46500</v>
      </c>
      <c r="H10181" s="27">
        <f t="shared" si="316"/>
        <v>46500</v>
      </c>
      <c r="I10181" s="18">
        <v>44175</v>
      </c>
      <c r="J10181" s="27">
        <v>46500</v>
      </c>
      <c r="K10181" s="18">
        <f t="shared" si="317"/>
        <v>46500</v>
      </c>
      <c r="L10181" s="27">
        <v>44175</v>
      </c>
      <c r="M10181" s="36">
        <v>0</v>
      </c>
      <c r="T10181" s="41">
        <v>0</v>
      </c>
      <c r="U10181" s="41">
        <v>0</v>
      </c>
      <c r="V10181" s="42" t="s">
        <v>113</v>
      </c>
      <c r="W10181" s="42">
        <v>46500</v>
      </c>
      <c r="X10181" s="42">
        <v>46500</v>
      </c>
    </row>
    <row r="10182" spans="1:24">
      <c r="A10182" s="27" t="s">
        <v>18338</v>
      </c>
      <c r="B10182" s="28" t="s">
        <v>17556</v>
      </c>
      <c r="C10182" s="27" t="s">
        <v>18339</v>
      </c>
      <c r="D10182" s="27" t="s">
        <v>17558</v>
      </c>
      <c r="E10182" s="29">
        <v>38749</v>
      </c>
      <c r="F10182" s="27">
        <v>7</v>
      </c>
      <c r="G10182" s="18">
        <v>4550</v>
      </c>
      <c r="H10182" s="27">
        <f t="shared" ref="H10182:H10245" si="318">IFERROR(IF(ROUND((G10182-I10182)/G10182,2)&lt;=0.05,G10182,0),0)</f>
        <v>4550</v>
      </c>
      <c r="I10182" s="18">
        <v>4550</v>
      </c>
      <c r="J10182" s="27">
        <v>4550</v>
      </c>
      <c r="K10182" s="18">
        <f t="shared" ref="K10182:K10245" si="319">IFERROR(IF(ROUND((J10182-L10182)/J10182,2)&lt;=0.05,J10182,0),0)</f>
        <v>4550</v>
      </c>
      <c r="L10182" s="27">
        <v>4550</v>
      </c>
      <c r="M10182" s="36">
        <v>0</v>
      </c>
      <c r="T10182" s="41">
        <v>0</v>
      </c>
      <c r="U10182" s="41">
        <v>0</v>
      </c>
      <c r="V10182" s="42" t="s">
        <v>113</v>
      </c>
      <c r="W10182" s="42">
        <v>4550</v>
      </c>
      <c r="X10182" s="42">
        <v>4550</v>
      </c>
    </row>
    <row r="10183" spans="1:24">
      <c r="A10183" s="27" t="s">
        <v>18340</v>
      </c>
      <c r="B10183" s="28" t="s">
        <v>17556</v>
      </c>
      <c r="C10183" s="27" t="s">
        <v>18341</v>
      </c>
      <c r="D10183" s="27" t="s">
        <v>17558</v>
      </c>
      <c r="E10183" s="29">
        <v>38229</v>
      </c>
      <c r="F10183" s="27">
        <v>7</v>
      </c>
      <c r="G10183" s="18">
        <v>3800</v>
      </c>
      <c r="H10183" s="27">
        <f t="shared" si="318"/>
        <v>3800</v>
      </c>
      <c r="I10183" s="18">
        <v>3800</v>
      </c>
      <c r="J10183" s="27">
        <v>3800</v>
      </c>
      <c r="K10183" s="18">
        <f t="shared" si="319"/>
        <v>3800</v>
      </c>
      <c r="L10183" s="27">
        <v>3800</v>
      </c>
      <c r="M10183" s="36">
        <v>0</v>
      </c>
      <c r="T10183" s="41">
        <v>0</v>
      </c>
      <c r="U10183" s="41">
        <v>0</v>
      </c>
      <c r="V10183" s="42" t="s">
        <v>113</v>
      </c>
      <c r="W10183" s="42">
        <v>3800</v>
      </c>
      <c r="X10183" s="42">
        <v>3800</v>
      </c>
    </row>
    <row r="10184" spans="1:24">
      <c r="A10184" s="27" t="s">
        <v>18342</v>
      </c>
      <c r="B10184" s="28" t="s">
        <v>17556</v>
      </c>
      <c r="C10184" s="27" t="s">
        <v>18343</v>
      </c>
      <c r="D10184" s="27" t="s">
        <v>17558</v>
      </c>
      <c r="E10184" s="29">
        <v>38594</v>
      </c>
      <c r="F10184" s="27">
        <v>7</v>
      </c>
      <c r="G10184" s="18">
        <v>4550</v>
      </c>
      <c r="H10184" s="27">
        <f t="shared" si="318"/>
        <v>4550</v>
      </c>
      <c r="I10184" s="18">
        <v>4550</v>
      </c>
      <c r="J10184" s="27">
        <v>4550</v>
      </c>
      <c r="K10184" s="18">
        <f t="shared" si="319"/>
        <v>4550</v>
      </c>
      <c r="L10184" s="27">
        <v>4550</v>
      </c>
      <c r="M10184" s="36">
        <v>0</v>
      </c>
      <c r="T10184" s="41">
        <v>0</v>
      </c>
      <c r="U10184" s="41">
        <v>0</v>
      </c>
      <c r="V10184" s="42" t="s">
        <v>113</v>
      </c>
      <c r="W10184" s="42">
        <v>4550</v>
      </c>
      <c r="X10184" s="42">
        <v>4550</v>
      </c>
    </row>
    <row r="10185" spans="1:24">
      <c r="A10185" s="27" t="s">
        <v>18344</v>
      </c>
      <c r="B10185" s="28" t="s">
        <v>17556</v>
      </c>
      <c r="C10185" s="27" t="s">
        <v>18345</v>
      </c>
      <c r="D10185" s="27" t="s">
        <v>17558</v>
      </c>
      <c r="E10185" s="29">
        <v>35795</v>
      </c>
      <c r="F10185" s="27">
        <v>7</v>
      </c>
      <c r="G10185" s="18">
        <v>661.42</v>
      </c>
      <c r="H10185" s="27">
        <f t="shared" si="318"/>
        <v>661.42</v>
      </c>
      <c r="I10185" s="18">
        <v>661.42</v>
      </c>
      <c r="J10185" s="27">
        <v>661.42</v>
      </c>
      <c r="K10185" s="18">
        <f t="shared" si="319"/>
        <v>661.42</v>
      </c>
      <c r="L10185" s="27">
        <v>661.42</v>
      </c>
      <c r="M10185" s="36">
        <v>0</v>
      </c>
      <c r="T10185" s="41">
        <v>0</v>
      </c>
      <c r="U10185" s="41">
        <v>0</v>
      </c>
      <c r="V10185" s="42" t="s">
        <v>113</v>
      </c>
      <c r="W10185" s="42">
        <v>661.42</v>
      </c>
      <c r="X10185" s="42">
        <v>661.42</v>
      </c>
    </row>
    <row r="10186" spans="1:24">
      <c r="A10186" s="27" t="s">
        <v>18346</v>
      </c>
      <c r="B10186" s="28" t="s">
        <v>17556</v>
      </c>
      <c r="C10186" s="27" t="s">
        <v>17588</v>
      </c>
      <c r="D10186" s="27" t="s">
        <v>17558</v>
      </c>
      <c r="E10186" s="29">
        <v>39048</v>
      </c>
      <c r="F10186" s="27">
        <v>7</v>
      </c>
      <c r="G10186" s="18">
        <v>46500</v>
      </c>
      <c r="H10186" s="27">
        <f t="shared" si="318"/>
        <v>46500</v>
      </c>
      <c r="I10186" s="18">
        <v>44175</v>
      </c>
      <c r="J10186" s="27">
        <v>46500</v>
      </c>
      <c r="K10186" s="18">
        <f t="shared" si="319"/>
        <v>46500</v>
      </c>
      <c r="L10186" s="27">
        <v>44175</v>
      </c>
      <c r="M10186" s="36">
        <v>0</v>
      </c>
      <c r="T10186" s="41">
        <v>0</v>
      </c>
      <c r="U10186" s="41">
        <v>0</v>
      </c>
      <c r="V10186" s="42" t="s">
        <v>113</v>
      </c>
      <c r="W10186" s="42">
        <v>46500</v>
      </c>
      <c r="X10186" s="42">
        <v>46500</v>
      </c>
    </row>
    <row r="10187" spans="1:24">
      <c r="A10187" s="27" t="s">
        <v>18347</v>
      </c>
      <c r="B10187" s="28" t="s">
        <v>17556</v>
      </c>
      <c r="C10187" s="27" t="s">
        <v>18348</v>
      </c>
      <c r="D10187" s="27" t="s">
        <v>17558</v>
      </c>
      <c r="E10187" s="29">
        <v>41263</v>
      </c>
      <c r="F10187" s="27">
        <v>7</v>
      </c>
      <c r="G10187" s="18">
        <v>23531.62</v>
      </c>
      <c r="H10187" s="27">
        <f t="shared" si="318"/>
        <v>0</v>
      </c>
      <c r="I10187" s="18">
        <v>19161.47</v>
      </c>
      <c r="J10187" s="27">
        <v>23531.62</v>
      </c>
      <c r="K10187" s="18">
        <f t="shared" si="319"/>
        <v>23531.62</v>
      </c>
      <c r="L10187" s="27">
        <v>22355.040000000001</v>
      </c>
      <c r="M10187" s="36">
        <v>3193.57</v>
      </c>
      <c r="T10187" s="41">
        <v>0</v>
      </c>
      <c r="U10187" s="41">
        <v>0</v>
      </c>
      <c r="V10187" s="42" t="s">
        <v>113</v>
      </c>
      <c r="W10187" s="42">
        <v>23531.62</v>
      </c>
      <c r="X10187" s="42">
        <v>23531.62</v>
      </c>
    </row>
    <row r="10188" spans="1:24">
      <c r="A10188" s="27" t="s">
        <v>18349</v>
      </c>
      <c r="B10188" s="28" t="s">
        <v>17556</v>
      </c>
      <c r="C10188" s="27" t="s">
        <v>18350</v>
      </c>
      <c r="D10188" s="27" t="s">
        <v>17558</v>
      </c>
      <c r="E10188" s="29">
        <v>41263</v>
      </c>
      <c r="F10188" s="27">
        <v>7</v>
      </c>
      <c r="G10188" s="18">
        <v>43688.55</v>
      </c>
      <c r="H10188" s="27">
        <f t="shared" si="318"/>
        <v>0</v>
      </c>
      <c r="I10188" s="18">
        <v>35574.959999999999</v>
      </c>
      <c r="J10188" s="27">
        <v>43688.55</v>
      </c>
      <c r="K10188" s="18">
        <f t="shared" si="319"/>
        <v>43688.55</v>
      </c>
      <c r="L10188" s="27">
        <v>41504.120000000003</v>
      </c>
      <c r="M10188" s="36">
        <v>5929.16</v>
      </c>
      <c r="T10188" s="41">
        <v>0</v>
      </c>
      <c r="U10188" s="41">
        <v>0</v>
      </c>
      <c r="V10188" s="42" t="s">
        <v>113</v>
      </c>
      <c r="W10188" s="42">
        <v>43688.55</v>
      </c>
      <c r="X10188" s="42">
        <v>43688.55</v>
      </c>
    </row>
    <row r="10189" spans="1:24">
      <c r="A10189" s="27" t="s">
        <v>18351</v>
      </c>
      <c r="B10189" s="28" t="s">
        <v>17556</v>
      </c>
      <c r="C10189" s="27" t="s">
        <v>18352</v>
      </c>
      <c r="D10189" s="27" t="s">
        <v>17558</v>
      </c>
      <c r="E10189" s="29">
        <v>41263</v>
      </c>
      <c r="F10189" s="27">
        <v>7</v>
      </c>
      <c r="G10189" s="18">
        <v>37923.42</v>
      </c>
      <c r="H10189" s="27">
        <f t="shared" si="318"/>
        <v>0</v>
      </c>
      <c r="I10189" s="18">
        <v>30880.5</v>
      </c>
      <c r="J10189" s="27">
        <v>37923.42</v>
      </c>
      <c r="K10189" s="18">
        <f t="shared" si="319"/>
        <v>37923.42</v>
      </c>
      <c r="L10189" s="27">
        <v>36027.25</v>
      </c>
      <c r="M10189" s="36">
        <v>5146.75</v>
      </c>
      <c r="T10189" s="41">
        <v>0</v>
      </c>
      <c r="U10189" s="41">
        <v>0</v>
      </c>
      <c r="V10189" s="42" t="s">
        <v>113</v>
      </c>
      <c r="W10189" s="42">
        <v>37923.42</v>
      </c>
      <c r="X10189" s="42">
        <v>37923.42</v>
      </c>
    </row>
    <row r="10190" spans="1:24">
      <c r="A10190" s="27" t="s">
        <v>18353</v>
      </c>
      <c r="B10190" s="28" t="s">
        <v>17556</v>
      </c>
      <c r="C10190" s="27" t="s">
        <v>18354</v>
      </c>
      <c r="D10190" s="27" t="s">
        <v>17558</v>
      </c>
      <c r="E10190" s="29">
        <v>41263</v>
      </c>
      <c r="F10190" s="27">
        <v>7</v>
      </c>
      <c r="G10190" s="18">
        <v>34461.54</v>
      </c>
      <c r="H10190" s="27">
        <f t="shared" si="318"/>
        <v>0</v>
      </c>
      <c r="I10190" s="18">
        <v>28061.54</v>
      </c>
      <c r="J10190" s="27">
        <v>34461.54</v>
      </c>
      <c r="K10190" s="18">
        <f t="shared" si="319"/>
        <v>34461.54</v>
      </c>
      <c r="L10190" s="27">
        <v>32738.46</v>
      </c>
      <c r="M10190" s="36">
        <v>4676.92</v>
      </c>
      <c r="T10190" s="41">
        <v>0</v>
      </c>
      <c r="U10190" s="41">
        <v>0</v>
      </c>
      <c r="V10190" s="42" t="s">
        <v>113</v>
      </c>
      <c r="W10190" s="42">
        <v>34461.54</v>
      </c>
      <c r="X10190" s="42">
        <v>34461.54</v>
      </c>
    </row>
    <row r="10191" spans="1:24">
      <c r="A10191" s="27" t="s">
        <v>18355</v>
      </c>
      <c r="B10191" s="28" t="s">
        <v>17556</v>
      </c>
      <c r="C10191" s="27" t="s">
        <v>18356</v>
      </c>
      <c r="D10191" s="27" t="s">
        <v>17558</v>
      </c>
      <c r="E10191" s="29">
        <v>41263</v>
      </c>
      <c r="F10191" s="27">
        <v>7</v>
      </c>
      <c r="G10191" s="18">
        <v>32132.89</v>
      </c>
      <c r="H10191" s="27">
        <f t="shared" si="318"/>
        <v>0</v>
      </c>
      <c r="I10191" s="18">
        <v>26165.360000000001</v>
      </c>
      <c r="J10191" s="27">
        <v>32132.89</v>
      </c>
      <c r="K10191" s="18">
        <f t="shared" si="319"/>
        <v>32132.89</v>
      </c>
      <c r="L10191" s="27">
        <v>30526.25</v>
      </c>
      <c r="M10191" s="36">
        <v>4360.8900000000003</v>
      </c>
      <c r="T10191" s="41">
        <v>0</v>
      </c>
      <c r="U10191" s="41">
        <v>0</v>
      </c>
      <c r="V10191" s="42" t="s">
        <v>113</v>
      </c>
      <c r="W10191" s="42">
        <v>32132.89</v>
      </c>
      <c r="X10191" s="42">
        <v>32132.89</v>
      </c>
    </row>
    <row r="10192" spans="1:24">
      <c r="A10192" s="27" t="s">
        <v>18357</v>
      </c>
      <c r="B10192" s="28" t="s">
        <v>17556</v>
      </c>
      <c r="C10192" s="27" t="s">
        <v>18358</v>
      </c>
      <c r="D10192" s="27" t="s">
        <v>17558</v>
      </c>
      <c r="E10192" s="29">
        <v>41263</v>
      </c>
      <c r="F10192" s="27">
        <v>7</v>
      </c>
      <c r="G10192" s="18">
        <v>14260.43</v>
      </c>
      <c r="H10192" s="27">
        <f t="shared" si="318"/>
        <v>0</v>
      </c>
      <c r="I10192" s="18">
        <v>11612.07</v>
      </c>
      <c r="J10192" s="27">
        <v>14260.43</v>
      </c>
      <c r="K10192" s="18">
        <f t="shared" si="319"/>
        <v>14260.43</v>
      </c>
      <c r="L10192" s="27">
        <v>13547.41</v>
      </c>
      <c r="M10192" s="36">
        <v>1935.34</v>
      </c>
      <c r="T10192" s="41">
        <v>0</v>
      </c>
      <c r="U10192" s="41">
        <v>0</v>
      </c>
      <c r="V10192" s="42" t="s">
        <v>113</v>
      </c>
      <c r="W10192" s="42">
        <v>14260.43</v>
      </c>
      <c r="X10192" s="42">
        <v>14260.43</v>
      </c>
    </row>
    <row r="10193" spans="1:24">
      <c r="A10193" s="27" t="s">
        <v>18359</v>
      </c>
      <c r="B10193" s="28" t="s">
        <v>17556</v>
      </c>
      <c r="C10193" s="27" t="s">
        <v>18360</v>
      </c>
      <c r="D10193" s="27" t="s">
        <v>17558</v>
      </c>
      <c r="E10193" s="29">
        <v>35064</v>
      </c>
      <c r="F10193" s="27">
        <v>7</v>
      </c>
      <c r="G10193" s="18">
        <v>667.16</v>
      </c>
      <c r="H10193" s="27">
        <f t="shared" si="318"/>
        <v>667.16</v>
      </c>
      <c r="I10193" s="18">
        <v>667.16</v>
      </c>
      <c r="J10193" s="27">
        <v>667.16</v>
      </c>
      <c r="K10193" s="18">
        <f t="shared" si="319"/>
        <v>667.16</v>
      </c>
      <c r="L10193" s="27">
        <v>667.16</v>
      </c>
      <c r="M10193" s="36">
        <v>0</v>
      </c>
      <c r="T10193" s="41">
        <v>0</v>
      </c>
      <c r="U10193" s="41">
        <v>0</v>
      </c>
      <c r="V10193" s="42" t="s">
        <v>113</v>
      </c>
      <c r="W10193" s="42">
        <v>667.16</v>
      </c>
      <c r="X10193" s="42">
        <v>667.16</v>
      </c>
    </row>
    <row r="10194" spans="1:24">
      <c r="A10194" s="27" t="s">
        <v>18361</v>
      </c>
      <c r="B10194" s="28" t="s">
        <v>17556</v>
      </c>
      <c r="C10194" s="27" t="s">
        <v>18362</v>
      </c>
      <c r="D10194" s="27" t="s">
        <v>17558</v>
      </c>
      <c r="E10194" s="29">
        <v>35064</v>
      </c>
      <c r="F10194" s="27">
        <v>7</v>
      </c>
      <c r="G10194" s="18">
        <v>667.16</v>
      </c>
      <c r="H10194" s="27">
        <f t="shared" si="318"/>
        <v>667.16</v>
      </c>
      <c r="I10194" s="18">
        <v>667.16</v>
      </c>
      <c r="J10194" s="27">
        <v>667.16</v>
      </c>
      <c r="K10194" s="18">
        <f t="shared" si="319"/>
        <v>667.16</v>
      </c>
      <c r="L10194" s="27">
        <v>667.16</v>
      </c>
      <c r="M10194" s="36">
        <v>0</v>
      </c>
      <c r="T10194" s="41">
        <v>0</v>
      </c>
      <c r="U10194" s="41">
        <v>0</v>
      </c>
      <c r="V10194" s="42" t="s">
        <v>113</v>
      </c>
      <c r="W10194" s="42">
        <v>667.16</v>
      </c>
      <c r="X10194" s="42">
        <v>667.16</v>
      </c>
    </row>
    <row r="10195" spans="1:24">
      <c r="A10195" s="27" t="s">
        <v>18363</v>
      </c>
      <c r="B10195" s="28" t="s">
        <v>17556</v>
      </c>
      <c r="C10195" s="27" t="s">
        <v>18364</v>
      </c>
      <c r="D10195" s="27" t="s">
        <v>17558</v>
      </c>
      <c r="E10195" s="29">
        <v>35064</v>
      </c>
      <c r="F10195" s="27">
        <v>7</v>
      </c>
      <c r="G10195" s="18">
        <v>667.16</v>
      </c>
      <c r="H10195" s="27">
        <f t="shared" si="318"/>
        <v>667.16</v>
      </c>
      <c r="I10195" s="18">
        <v>667.16</v>
      </c>
      <c r="J10195" s="27">
        <v>667.16</v>
      </c>
      <c r="K10195" s="18">
        <f t="shared" si="319"/>
        <v>667.16</v>
      </c>
      <c r="L10195" s="27">
        <v>667.16</v>
      </c>
      <c r="M10195" s="36">
        <v>0</v>
      </c>
      <c r="T10195" s="41">
        <v>0</v>
      </c>
      <c r="U10195" s="41">
        <v>0</v>
      </c>
      <c r="V10195" s="42" t="s">
        <v>113</v>
      </c>
      <c r="W10195" s="42">
        <v>667.16</v>
      </c>
      <c r="X10195" s="42">
        <v>667.16</v>
      </c>
    </row>
    <row r="10196" spans="1:24">
      <c r="A10196" s="27" t="s">
        <v>18365</v>
      </c>
      <c r="B10196" s="28" t="s">
        <v>17556</v>
      </c>
      <c r="C10196" s="27" t="s">
        <v>18366</v>
      </c>
      <c r="D10196" s="27" t="s">
        <v>17558</v>
      </c>
      <c r="E10196" s="29">
        <v>35064</v>
      </c>
      <c r="F10196" s="27">
        <v>7</v>
      </c>
      <c r="G10196" s="18">
        <v>667.16</v>
      </c>
      <c r="H10196" s="27">
        <f t="shared" si="318"/>
        <v>667.16</v>
      </c>
      <c r="I10196" s="18">
        <v>667.16</v>
      </c>
      <c r="J10196" s="27">
        <v>667.16</v>
      </c>
      <c r="K10196" s="18">
        <f t="shared" si="319"/>
        <v>667.16</v>
      </c>
      <c r="L10196" s="27">
        <v>667.16</v>
      </c>
      <c r="M10196" s="36">
        <v>0</v>
      </c>
      <c r="T10196" s="41">
        <v>0</v>
      </c>
      <c r="U10196" s="41">
        <v>0</v>
      </c>
      <c r="V10196" s="42" t="s">
        <v>113</v>
      </c>
      <c r="W10196" s="42">
        <v>667.16</v>
      </c>
      <c r="X10196" s="42">
        <v>667.16</v>
      </c>
    </row>
    <row r="10197" spans="1:24">
      <c r="A10197" s="27" t="s">
        <v>18367</v>
      </c>
      <c r="B10197" s="28" t="s">
        <v>17556</v>
      </c>
      <c r="C10197" s="27" t="s">
        <v>18368</v>
      </c>
      <c r="D10197" s="27" t="s">
        <v>17558</v>
      </c>
      <c r="E10197" s="29">
        <v>35064</v>
      </c>
      <c r="F10197" s="27">
        <v>7</v>
      </c>
      <c r="G10197" s="18">
        <v>667.16</v>
      </c>
      <c r="H10197" s="27">
        <f t="shared" si="318"/>
        <v>667.16</v>
      </c>
      <c r="I10197" s="18">
        <v>667.16</v>
      </c>
      <c r="J10197" s="27">
        <v>667.16</v>
      </c>
      <c r="K10197" s="18">
        <f t="shared" si="319"/>
        <v>667.16</v>
      </c>
      <c r="L10197" s="27">
        <v>667.16</v>
      </c>
      <c r="M10197" s="36">
        <v>0</v>
      </c>
      <c r="T10197" s="41">
        <v>0</v>
      </c>
      <c r="U10197" s="41">
        <v>0</v>
      </c>
      <c r="V10197" s="42" t="s">
        <v>113</v>
      </c>
      <c r="W10197" s="42">
        <v>667.16</v>
      </c>
      <c r="X10197" s="42">
        <v>667.16</v>
      </c>
    </row>
    <row r="10198" spans="1:24">
      <c r="A10198" s="27" t="s">
        <v>18369</v>
      </c>
      <c r="B10198" s="28" t="s">
        <v>17556</v>
      </c>
      <c r="C10198" s="27" t="s">
        <v>18370</v>
      </c>
      <c r="D10198" s="27" t="s">
        <v>17558</v>
      </c>
      <c r="E10198" s="29">
        <v>35064</v>
      </c>
      <c r="F10198" s="27">
        <v>7</v>
      </c>
      <c r="G10198" s="18">
        <v>667.16</v>
      </c>
      <c r="H10198" s="27">
        <f t="shared" si="318"/>
        <v>667.16</v>
      </c>
      <c r="I10198" s="18">
        <v>667.16</v>
      </c>
      <c r="J10198" s="27">
        <v>667.16</v>
      </c>
      <c r="K10198" s="18">
        <f t="shared" si="319"/>
        <v>667.16</v>
      </c>
      <c r="L10198" s="27">
        <v>667.16</v>
      </c>
      <c r="M10198" s="36">
        <v>0</v>
      </c>
      <c r="T10198" s="41">
        <v>0</v>
      </c>
      <c r="U10198" s="41">
        <v>0</v>
      </c>
      <c r="V10198" s="42" t="s">
        <v>113</v>
      </c>
      <c r="W10198" s="42">
        <v>667.16</v>
      </c>
      <c r="X10198" s="42">
        <v>667.16</v>
      </c>
    </row>
    <row r="10199" spans="1:24">
      <c r="A10199" s="27" t="s">
        <v>18371</v>
      </c>
      <c r="B10199" s="28" t="s">
        <v>17556</v>
      </c>
      <c r="C10199" s="27" t="s">
        <v>18372</v>
      </c>
      <c r="D10199" s="27" t="s">
        <v>17558</v>
      </c>
      <c r="E10199" s="29">
        <v>35064</v>
      </c>
      <c r="F10199" s="27">
        <v>7</v>
      </c>
      <c r="G10199" s="18">
        <v>667.16</v>
      </c>
      <c r="H10199" s="27">
        <f t="shared" si="318"/>
        <v>667.16</v>
      </c>
      <c r="I10199" s="18">
        <v>667.16</v>
      </c>
      <c r="J10199" s="27">
        <v>667.16</v>
      </c>
      <c r="K10199" s="18">
        <f t="shared" si="319"/>
        <v>667.16</v>
      </c>
      <c r="L10199" s="27">
        <v>667.16</v>
      </c>
      <c r="M10199" s="36">
        <v>0</v>
      </c>
      <c r="T10199" s="41">
        <v>0</v>
      </c>
      <c r="U10199" s="41">
        <v>0</v>
      </c>
      <c r="V10199" s="42" t="s">
        <v>113</v>
      </c>
      <c r="W10199" s="42">
        <v>667.16</v>
      </c>
      <c r="X10199" s="42">
        <v>667.16</v>
      </c>
    </row>
    <row r="10200" spans="1:24">
      <c r="A10200" s="27" t="s">
        <v>18373</v>
      </c>
      <c r="B10200" s="28" t="s">
        <v>17556</v>
      </c>
      <c r="C10200" s="27" t="s">
        <v>18374</v>
      </c>
      <c r="D10200" s="27" t="s">
        <v>17558</v>
      </c>
      <c r="E10200" s="29">
        <v>35064</v>
      </c>
      <c r="F10200" s="27">
        <v>7</v>
      </c>
      <c r="G10200" s="18">
        <v>667.16</v>
      </c>
      <c r="H10200" s="27">
        <f t="shared" si="318"/>
        <v>667.16</v>
      </c>
      <c r="I10200" s="18">
        <v>667.16</v>
      </c>
      <c r="J10200" s="27">
        <v>667.16</v>
      </c>
      <c r="K10200" s="18">
        <f t="shared" si="319"/>
        <v>667.16</v>
      </c>
      <c r="L10200" s="27">
        <v>667.16</v>
      </c>
      <c r="M10200" s="36">
        <v>0</v>
      </c>
      <c r="T10200" s="41">
        <v>0</v>
      </c>
      <c r="U10200" s="41">
        <v>0</v>
      </c>
      <c r="V10200" s="42" t="s">
        <v>113</v>
      </c>
      <c r="W10200" s="42">
        <v>667.16</v>
      </c>
      <c r="X10200" s="42">
        <v>667.16</v>
      </c>
    </row>
    <row r="10201" spans="1:24">
      <c r="A10201" s="27" t="s">
        <v>18375</v>
      </c>
      <c r="B10201" s="28" t="s">
        <v>17556</v>
      </c>
      <c r="C10201" s="27" t="s">
        <v>18376</v>
      </c>
      <c r="D10201" s="27" t="s">
        <v>17558</v>
      </c>
      <c r="E10201" s="29">
        <v>35064</v>
      </c>
      <c r="F10201" s="27">
        <v>7</v>
      </c>
      <c r="G10201" s="18">
        <v>667.16</v>
      </c>
      <c r="H10201" s="27">
        <f t="shared" si="318"/>
        <v>667.16</v>
      </c>
      <c r="I10201" s="18">
        <v>667.16</v>
      </c>
      <c r="J10201" s="27">
        <v>667.16</v>
      </c>
      <c r="K10201" s="18">
        <f t="shared" si="319"/>
        <v>667.16</v>
      </c>
      <c r="L10201" s="27">
        <v>667.16</v>
      </c>
      <c r="M10201" s="36">
        <v>0</v>
      </c>
      <c r="T10201" s="41">
        <v>0</v>
      </c>
      <c r="U10201" s="41">
        <v>0</v>
      </c>
      <c r="V10201" s="42" t="s">
        <v>113</v>
      </c>
      <c r="W10201" s="42">
        <v>667.16</v>
      </c>
      <c r="X10201" s="42">
        <v>667.16</v>
      </c>
    </row>
    <row r="10202" spans="1:24">
      <c r="A10202" s="27" t="s">
        <v>18377</v>
      </c>
      <c r="B10202" s="28" t="s">
        <v>17556</v>
      </c>
      <c r="C10202" s="27" t="s">
        <v>18378</v>
      </c>
      <c r="D10202" s="27" t="s">
        <v>17558</v>
      </c>
      <c r="E10202" s="29">
        <v>35064</v>
      </c>
      <c r="F10202" s="27">
        <v>7</v>
      </c>
      <c r="G10202" s="18">
        <v>667.16</v>
      </c>
      <c r="H10202" s="27">
        <f t="shared" si="318"/>
        <v>667.16</v>
      </c>
      <c r="I10202" s="18">
        <v>667.16</v>
      </c>
      <c r="J10202" s="27">
        <v>667.16</v>
      </c>
      <c r="K10202" s="18">
        <f t="shared" si="319"/>
        <v>667.16</v>
      </c>
      <c r="L10202" s="27">
        <v>667.16</v>
      </c>
      <c r="M10202" s="36">
        <v>0</v>
      </c>
      <c r="T10202" s="41">
        <v>0</v>
      </c>
      <c r="U10202" s="41">
        <v>0</v>
      </c>
      <c r="V10202" s="42" t="s">
        <v>113</v>
      </c>
      <c r="W10202" s="42">
        <v>667.16</v>
      </c>
      <c r="X10202" s="42">
        <v>667.16</v>
      </c>
    </row>
    <row r="10203" spans="1:24">
      <c r="A10203" s="27" t="s">
        <v>18379</v>
      </c>
      <c r="B10203" s="28" t="s">
        <v>17556</v>
      </c>
      <c r="C10203" s="27" t="s">
        <v>18380</v>
      </c>
      <c r="D10203" s="27" t="s">
        <v>17558</v>
      </c>
      <c r="E10203" s="29">
        <v>35064</v>
      </c>
      <c r="F10203" s="27">
        <v>7</v>
      </c>
      <c r="G10203" s="18">
        <v>667.16</v>
      </c>
      <c r="H10203" s="27">
        <f t="shared" si="318"/>
        <v>667.16</v>
      </c>
      <c r="I10203" s="18">
        <v>667.16</v>
      </c>
      <c r="J10203" s="27">
        <v>667.16</v>
      </c>
      <c r="K10203" s="18">
        <f t="shared" si="319"/>
        <v>667.16</v>
      </c>
      <c r="L10203" s="27">
        <v>667.16</v>
      </c>
      <c r="M10203" s="36">
        <v>0</v>
      </c>
      <c r="T10203" s="41">
        <v>0</v>
      </c>
      <c r="U10203" s="41">
        <v>0</v>
      </c>
      <c r="V10203" s="42" t="s">
        <v>113</v>
      </c>
      <c r="W10203" s="42">
        <v>667.16</v>
      </c>
      <c r="X10203" s="42">
        <v>667.16</v>
      </c>
    </row>
    <row r="10204" spans="1:24">
      <c r="A10204" s="27" t="s">
        <v>18381</v>
      </c>
      <c r="B10204" s="28" t="s">
        <v>17556</v>
      </c>
      <c r="C10204" s="27" t="s">
        <v>18382</v>
      </c>
      <c r="D10204" s="27" t="s">
        <v>17558</v>
      </c>
      <c r="E10204" s="29">
        <v>35064</v>
      </c>
      <c r="F10204" s="27">
        <v>7</v>
      </c>
      <c r="G10204" s="18">
        <v>667.16</v>
      </c>
      <c r="H10204" s="27">
        <f t="shared" si="318"/>
        <v>667.16</v>
      </c>
      <c r="I10204" s="18">
        <v>667.16</v>
      </c>
      <c r="J10204" s="27">
        <v>667.16</v>
      </c>
      <c r="K10204" s="18">
        <f t="shared" si="319"/>
        <v>667.16</v>
      </c>
      <c r="L10204" s="27">
        <v>667.16</v>
      </c>
      <c r="M10204" s="36">
        <v>0</v>
      </c>
      <c r="T10204" s="41">
        <v>0</v>
      </c>
      <c r="U10204" s="41">
        <v>0</v>
      </c>
      <c r="V10204" s="42" t="s">
        <v>113</v>
      </c>
      <c r="W10204" s="42">
        <v>667.16</v>
      </c>
      <c r="X10204" s="42">
        <v>667.16</v>
      </c>
    </row>
    <row r="10205" spans="1:24">
      <c r="A10205" s="27" t="s">
        <v>18383</v>
      </c>
      <c r="B10205" s="28" t="s">
        <v>17556</v>
      </c>
      <c r="C10205" s="27" t="s">
        <v>18384</v>
      </c>
      <c r="D10205" s="27" t="s">
        <v>17558</v>
      </c>
      <c r="E10205" s="29">
        <v>35064</v>
      </c>
      <c r="F10205" s="27">
        <v>7</v>
      </c>
      <c r="G10205" s="18">
        <v>667.16</v>
      </c>
      <c r="H10205" s="27">
        <f t="shared" si="318"/>
        <v>667.16</v>
      </c>
      <c r="I10205" s="18">
        <v>667.16</v>
      </c>
      <c r="J10205" s="27">
        <v>667.16</v>
      </c>
      <c r="K10205" s="18">
        <f t="shared" si="319"/>
        <v>667.16</v>
      </c>
      <c r="L10205" s="27">
        <v>667.16</v>
      </c>
      <c r="M10205" s="36">
        <v>0</v>
      </c>
      <c r="T10205" s="41">
        <v>0</v>
      </c>
      <c r="U10205" s="41">
        <v>0</v>
      </c>
      <c r="V10205" s="42" t="s">
        <v>113</v>
      </c>
      <c r="W10205" s="42">
        <v>667.16</v>
      </c>
      <c r="X10205" s="42">
        <v>667.16</v>
      </c>
    </row>
    <row r="10206" spans="1:24">
      <c r="A10206" s="27" t="s">
        <v>18385</v>
      </c>
      <c r="B10206" s="28" t="s">
        <v>17556</v>
      </c>
      <c r="C10206" s="27" t="s">
        <v>18386</v>
      </c>
      <c r="D10206" s="27" t="s">
        <v>17558</v>
      </c>
      <c r="E10206" s="29">
        <v>35064</v>
      </c>
      <c r="F10206" s="27">
        <v>7</v>
      </c>
      <c r="G10206" s="18">
        <v>667.16</v>
      </c>
      <c r="H10206" s="27">
        <f t="shared" si="318"/>
        <v>667.16</v>
      </c>
      <c r="I10206" s="18">
        <v>667.16</v>
      </c>
      <c r="J10206" s="27">
        <v>667.16</v>
      </c>
      <c r="K10206" s="18">
        <f t="shared" si="319"/>
        <v>667.16</v>
      </c>
      <c r="L10206" s="27">
        <v>667.16</v>
      </c>
      <c r="M10206" s="36">
        <v>0</v>
      </c>
      <c r="T10206" s="41">
        <v>0</v>
      </c>
      <c r="U10206" s="41">
        <v>0</v>
      </c>
      <c r="V10206" s="42" t="s">
        <v>113</v>
      </c>
      <c r="W10206" s="42">
        <v>667.16</v>
      </c>
      <c r="X10206" s="42">
        <v>667.16</v>
      </c>
    </row>
    <row r="10207" spans="1:24">
      <c r="A10207" s="27" t="s">
        <v>18387</v>
      </c>
      <c r="B10207" s="28" t="s">
        <v>17556</v>
      </c>
      <c r="C10207" s="27" t="s">
        <v>18388</v>
      </c>
      <c r="D10207" s="27" t="s">
        <v>17558</v>
      </c>
      <c r="E10207" s="29">
        <v>35064</v>
      </c>
      <c r="F10207" s="27">
        <v>7</v>
      </c>
      <c r="G10207" s="18">
        <v>667.16</v>
      </c>
      <c r="H10207" s="27">
        <f t="shared" si="318"/>
        <v>667.16</v>
      </c>
      <c r="I10207" s="18">
        <v>667.16</v>
      </c>
      <c r="J10207" s="27">
        <v>667.16</v>
      </c>
      <c r="K10207" s="18">
        <f t="shared" si="319"/>
        <v>667.16</v>
      </c>
      <c r="L10207" s="27">
        <v>667.16</v>
      </c>
      <c r="M10207" s="36">
        <v>0</v>
      </c>
      <c r="T10207" s="41">
        <v>0</v>
      </c>
      <c r="U10207" s="41">
        <v>0</v>
      </c>
      <c r="V10207" s="42" t="s">
        <v>113</v>
      </c>
      <c r="W10207" s="42">
        <v>667.16</v>
      </c>
      <c r="X10207" s="42">
        <v>667.16</v>
      </c>
    </row>
    <row r="10208" spans="1:24">
      <c r="A10208" s="27" t="s">
        <v>18389</v>
      </c>
      <c r="B10208" s="28" t="s">
        <v>17556</v>
      </c>
      <c r="C10208" s="27" t="s">
        <v>18390</v>
      </c>
      <c r="D10208" s="27" t="s">
        <v>17558</v>
      </c>
      <c r="E10208" s="29">
        <v>35064</v>
      </c>
      <c r="F10208" s="27">
        <v>7</v>
      </c>
      <c r="G10208" s="18">
        <v>667.16</v>
      </c>
      <c r="H10208" s="27">
        <f t="shared" si="318"/>
        <v>667.16</v>
      </c>
      <c r="I10208" s="18">
        <v>667.16</v>
      </c>
      <c r="J10208" s="27">
        <v>667.16</v>
      </c>
      <c r="K10208" s="18">
        <f t="shared" si="319"/>
        <v>667.16</v>
      </c>
      <c r="L10208" s="27">
        <v>667.16</v>
      </c>
      <c r="M10208" s="36">
        <v>0</v>
      </c>
      <c r="T10208" s="41">
        <v>0</v>
      </c>
      <c r="U10208" s="41">
        <v>0</v>
      </c>
      <c r="V10208" s="42" t="s">
        <v>113</v>
      </c>
      <c r="W10208" s="42">
        <v>667.16</v>
      </c>
      <c r="X10208" s="42">
        <v>667.16</v>
      </c>
    </row>
    <row r="10209" spans="1:24">
      <c r="A10209" s="27" t="s">
        <v>18391</v>
      </c>
      <c r="B10209" s="28" t="s">
        <v>17556</v>
      </c>
      <c r="C10209" s="27" t="s">
        <v>18392</v>
      </c>
      <c r="D10209" s="27" t="s">
        <v>17558</v>
      </c>
      <c r="E10209" s="29">
        <v>35064</v>
      </c>
      <c r="F10209" s="27">
        <v>7</v>
      </c>
      <c r="G10209" s="18">
        <v>667.16</v>
      </c>
      <c r="H10209" s="27">
        <f t="shared" si="318"/>
        <v>667.16</v>
      </c>
      <c r="I10209" s="18">
        <v>667.16</v>
      </c>
      <c r="J10209" s="27">
        <v>667.16</v>
      </c>
      <c r="K10209" s="18">
        <f t="shared" si="319"/>
        <v>667.16</v>
      </c>
      <c r="L10209" s="27">
        <v>667.16</v>
      </c>
      <c r="M10209" s="36">
        <v>0</v>
      </c>
      <c r="T10209" s="41">
        <v>0</v>
      </c>
      <c r="U10209" s="41">
        <v>0</v>
      </c>
      <c r="V10209" s="42" t="s">
        <v>113</v>
      </c>
      <c r="W10209" s="42">
        <v>667.16</v>
      </c>
      <c r="X10209" s="42">
        <v>667.16</v>
      </c>
    </row>
    <row r="10210" spans="1:24">
      <c r="A10210" s="27" t="s">
        <v>18393</v>
      </c>
      <c r="B10210" s="28" t="s">
        <v>17556</v>
      </c>
      <c r="C10210" s="27" t="s">
        <v>18394</v>
      </c>
      <c r="D10210" s="27" t="s">
        <v>17558</v>
      </c>
      <c r="E10210" s="29">
        <v>35064</v>
      </c>
      <c r="F10210" s="27">
        <v>7</v>
      </c>
      <c r="G10210" s="18">
        <v>667.16</v>
      </c>
      <c r="H10210" s="27">
        <f t="shared" si="318"/>
        <v>667.16</v>
      </c>
      <c r="I10210" s="18">
        <v>667.16</v>
      </c>
      <c r="J10210" s="27">
        <v>667.16</v>
      </c>
      <c r="K10210" s="18">
        <f t="shared" si="319"/>
        <v>667.16</v>
      </c>
      <c r="L10210" s="27">
        <v>667.16</v>
      </c>
      <c r="M10210" s="36">
        <v>0</v>
      </c>
      <c r="T10210" s="41">
        <v>0</v>
      </c>
      <c r="U10210" s="41">
        <v>0</v>
      </c>
      <c r="V10210" s="42" t="s">
        <v>113</v>
      </c>
      <c r="W10210" s="42">
        <v>667.16</v>
      </c>
      <c r="X10210" s="42">
        <v>667.16</v>
      </c>
    </row>
    <row r="10211" spans="1:24">
      <c r="A10211" s="27" t="s">
        <v>18395</v>
      </c>
      <c r="B10211" s="28" t="s">
        <v>17556</v>
      </c>
      <c r="C10211" s="27" t="s">
        <v>18396</v>
      </c>
      <c r="D10211" s="27" t="s">
        <v>17558</v>
      </c>
      <c r="E10211" s="29">
        <v>35064</v>
      </c>
      <c r="F10211" s="27">
        <v>7</v>
      </c>
      <c r="G10211" s="18">
        <v>667.16</v>
      </c>
      <c r="H10211" s="27">
        <f t="shared" si="318"/>
        <v>667.16</v>
      </c>
      <c r="I10211" s="18">
        <v>667.16</v>
      </c>
      <c r="J10211" s="27">
        <v>667.16</v>
      </c>
      <c r="K10211" s="18">
        <f t="shared" si="319"/>
        <v>667.16</v>
      </c>
      <c r="L10211" s="27">
        <v>667.16</v>
      </c>
      <c r="M10211" s="36">
        <v>0</v>
      </c>
      <c r="T10211" s="41">
        <v>0</v>
      </c>
      <c r="U10211" s="41">
        <v>0</v>
      </c>
      <c r="V10211" s="42" t="s">
        <v>113</v>
      </c>
      <c r="W10211" s="42">
        <v>667.16</v>
      </c>
      <c r="X10211" s="42">
        <v>667.16</v>
      </c>
    </row>
    <row r="10212" spans="1:24">
      <c r="A10212" s="27" t="s">
        <v>18397</v>
      </c>
      <c r="B10212" s="28" t="s">
        <v>17556</v>
      </c>
      <c r="C10212" s="27" t="s">
        <v>18398</v>
      </c>
      <c r="D10212" s="27" t="s">
        <v>17558</v>
      </c>
      <c r="E10212" s="29">
        <v>35064</v>
      </c>
      <c r="F10212" s="27">
        <v>7</v>
      </c>
      <c r="G10212" s="18">
        <v>667.16</v>
      </c>
      <c r="H10212" s="27">
        <f t="shared" si="318"/>
        <v>667.16</v>
      </c>
      <c r="I10212" s="18">
        <v>667.16</v>
      </c>
      <c r="J10212" s="27">
        <v>667.16</v>
      </c>
      <c r="K10212" s="18">
        <f t="shared" si="319"/>
        <v>667.16</v>
      </c>
      <c r="L10212" s="27">
        <v>667.16</v>
      </c>
      <c r="M10212" s="36">
        <v>0</v>
      </c>
      <c r="T10212" s="41">
        <v>0</v>
      </c>
      <c r="U10212" s="41">
        <v>0</v>
      </c>
      <c r="V10212" s="42" t="s">
        <v>113</v>
      </c>
      <c r="W10212" s="42">
        <v>667.16</v>
      </c>
      <c r="X10212" s="42">
        <v>667.16</v>
      </c>
    </row>
    <row r="10213" spans="1:24">
      <c r="A10213" s="27" t="s">
        <v>18399</v>
      </c>
      <c r="B10213" s="28" t="s">
        <v>17556</v>
      </c>
      <c r="C10213" s="27" t="s">
        <v>18400</v>
      </c>
      <c r="D10213" s="27" t="s">
        <v>17558</v>
      </c>
      <c r="E10213" s="29">
        <v>35064</v>
      </c>
      <c r="F10213" s="27">
        <v>7</v>
      </c>
      <c r="G10213" s="18">
        <v>667.16</v>
      </c>
      <c r="H10213" s="27">
        <f t="shared" si="318"/>
        <v>667.16</v>
      </c>
      <c r="I10213" s="18">
        <v>667.16</v>
      </c>
      <c r="J10213" s="27">
        <v>667.16</v>
      </c>
      <c r="K10213" s="18">
        <f t="shared" si="319"/>
        <v>667.16</v>
      </c>
      <c r="L10213" s="27">
        <v>667.16</v>
      </c>
      <c r="M10213" s="36">
        <v>0</v>
      </c>
      <c r="T10213" s="41">
        <v>0</v>
      </c>
      <c r="U10213" s="41">
        <v>0</v>
      </c>
      <c r="V10213" s="42" t="s">
        <v>113</v>
      </c>
      <c r="W10213" s="42">
        <v>667.16</v>
      </c>
      <c r="X10213" s="42">
        <v>667.16</v>
      </c>
    </row>
    <row r="10214" spans="1:24">
      <c r="A10214" s="27" t="s">
        <v>18401</v>
      </c>
      <c r="B10214" s="28" t="s">
        <v>17556</v>
      </c>
      <c r="C10214" s="27" t="s">
        <v>18402</v>
      </c>
      <c r="D10214" s="27" t="s">
        <v>17558</v>
      </c>
      <c r="E10214" s="29">
        <v>35064</v>
      </c>
      <c r="F10214" s="27">
        <v>7</v>
      </c>
      <c r="G10214" s="18">
        <v>667.16</v>
      </c>
      <c r="H10214" s="27">
        <f t="shared" si="318"/>
        <v>667.16</v>
      </c>
      <c r="I10214" s="18">
        <v>667.16</v>
      </c>
      <c r="J10214" s="27">
        <v>667.16</v>
      </c>
      <c r="K10214" s="18">
        <f t="shared" si="319"/>
        <v>667.16</v>
      </c>
      <c r="L10214" s="27">
        <v>667.16</v>
      </c>
      <c r="M10214" s="36">
        <v>0</v>
      </c>
      <c r="T10214" s="41">
        <v>0</v>
      </c>
      <c r="U10214" s="41">
        <v>0</v>
      </c>
      <c r="V10214" s="42" t="s">
        <v>113</v>
      </c>
      <c r="W10214" s="42">
        <v>667.16</v>
      </c>
      <c r="X10214" s="42">
        <v>667.16</v>
      </c>
    </row>
    <row r="10215" spans="1:24">
      <c r="A10215" s="27" t="s">
        <v>18403</v>
      </c>
      <c r="B10215" s="28" t="s">
        <v>17556</v>
      </c>
      <c r="C10215" s="27" t="s">
        <v>18404</v>
      </c>
      <c r="D10215" s="27" t="s">
        <v>17558</v>
      </c>
      <c r="E10215" s="29">
        <v>35064</v>
      </c>
      <c r="F10215" s="27">
        <v>7</v>
      </c>
      <c r="G10215" s="18">
        <v>667.16</v>
      </c>
      <c r="H10215" s="27">
        <f t="shared" si="318"/>
        <v>667.16</v>
      </c>
      <c r="I10215" s="18">
        <v>667.16</v>
      </c>
      <c r="J10215" s="27">
        <v>667.16</v>
      </c>
      <c r="K10215" s="18">
        <f t="shared" si="319"/>
        <v>667.16</v>
      </c>
      <c r="L10215" s="27">
        <v>667.16</v>
      </c>
      <c r="M10215" s="36">
        <v>0</v>
      </c>
      <c r="T10215" s="41">
        <v>0</v>
      </c>
      <c r="U10215" s="41">
        <v>0</v>
      </c>
      <c r="V10215" s="42" t="s">
        <v>113</v>
      </c>
      <c r="W10215" s="42">
        <v>667.16</v>
      </c>
      <c r="X10215" s="42">
        <v>667.16</v>
      </c>
    </row>
    <row r="10216" spans="1:24">
      <c r="A10216" s="27" t="s">
        <v>18405</v>
      </c>
      <c r="B10216" s="28" t="s">
        <v>17556</v>
      </c>
      <c r="C10216" s="27" t="s">
        <v>18406</v>
      </c>
      <c r="D10216" s="27" t="s">
        <v>17558</v>
      </c>
      <c r="E10216" s="29">
        <v>35064</v>
      </c>
      <c r="F10216" s="27">
        <v>7</v>
      </c>
      <c r="G10216" s="18">
        <v>667.16</v>
      </c>
      <c r="H10216" s="27">
        <f t="shared" si="318"/>
        <v>667.16</v>
      </c>
      <c r="I10216" s="18">
        <v>667.16</v>
      </c>
      <c r="J10216" s="27">
        <v>667.16</v>
      </c>
      <c r="K10216" s="18">
        <f t="shared" si="319"/>
        <v>667.16</v>
      </c>
      <c r="L10216" s="27">
        <v>667.16</v>
      </c>
      <c r="M10216" s="36">
        <v>0</v>
      </c>
      <c r="T10216" s="41">
        <v>0</v>
      </c>
      <c r="U10216" s="41">
        <v>0</v>
      </c>
      <c r="V10216" s="42" t="s">
        <v>113</v>
      </c>
      <c r="W10216" s="42">
        <v>667.16</v>
      </c>
      <c r="X10216" s="42">
        <v>667.16</v>
      </c>
    </row>
    <row r="10217" spans="1:24">
      <c r="A10217" s="27" t="s">
        <v>18407</v>
      </c>
      <c r="B10217" s="28" t="s">
        <v>17556</v>
      </c>
      <c r="C10217" s="27" t="s">
        <v>18408</v>
      </c>
      <c r="D10217" s="27" t="s">
        <v>17558</v>
      </c>
      <c r="E10217" s="29">
        <v>35064</v>
      </c>
      <c r="F10217" s="27">
        <v>7</v>
      </c>
      <c r="G10217" s="18">
        <v>667.16</v>
      </c>
      <c r="H10217" s="27">
        <f t="shared" si="318"/>
        <v>667.16</v>
      </c>
      <c r="I10217" s="18">
        <v>667.16</v>
      </c>
      <c r="J10217" s="27">
        <v>667.16</v>
      </c>
      <c r="K10217" s="18">
        <f t="shared" si="319"/>
        <v>667.16</v>
      </c>
      <c r="L10217" s="27">
        <v>667.16</v>
      </c>
      <c r="M10217" s="36">
        <v>0</v>
      </c>
      <c r="T10217" s="41">
        <v>0</v>
      </c>
      <c r="U10217" s="41">
        <v>0</v>
      </c>
      <c r="V10217" s="42" t="s">
        <v>113</v>
      </c>
      <c r="W10217" s="42">
        <v>667.16</v>
      </c>
      <c r="X10217" s="42">
        <v>667.16</v>
      </c>
    </row>
    <row r="10218" spans="1:24">
      <c r="A10218" s="27" t="s">
        <v>18409</v>
      </c>
      <c r="B10218" s="28" t="s">
        <v>17556</v>
      </c>
      <c r="C10218" s="27" t="s">
        <v>18410</v>
      </c>
      <c r="D10218" s="27" t="s">
        <v>17558</v>
      </c>
      <c r="E10218" s="29">
        <v>35064</v>
      </c>
      <c r="F10218" s="27">
        <v>7</v>
      </c>
      <c r="G10218" s="18">
        <v>667.16</v>
      </c>
      <c r="H10218" s="27">
        <f t="shared" si="318"/>
        <v>667.16</v>
      </c>
      <c r="I10218" s="18">
        <v>667.16</v>
      </c>
      <c r="J10218" s="27">
        <v>667.16</v>
      </c>
      <c r="K10218" s="18">
        <f t="shared" si="319"/>
        <v>667.16</v>
      </c>
      <c r="L10218" s="27">
        <v>667.16</v>
      </c>
      <c r="M10218" s="36">
        <v>0</v>
      </c>
      <c r="T10218" s="41">
        <v>0</v>
      </c>
      <c r="U10218" s="41">
        <v>0</v>
      </c>
      <c r="V10218" s="42" t="s">
        <v>113</v>
      </c>
      <c r="W10218" s="42">
        <v>667.16</v>
      </c>
      <c r="X10218" s="42">
        <v>667.16</v>
      </c>
    </row>
    <row r="10219" spans="1:24">
      <c r="A10219" s="27" t="s">
        <v>18411</v>
      </c>
      <c r="B10219" s="28" t="s">
        <v>17556</v>
      </c>
      <c r="C10219" s="27" t="s">
        <v>18412</v>
      </c>
      <c r="D10219" s="27" t="s">
        <v>17558</v>
      </c>
      <c r="E10219" s="29">
        <v>35064</v>
      </c>
      <c r="F10219" s="27">
        <v>7</v>
      </c>
      <c r="G10219" s="18">
        <v>667.16</v>
      </c>
      <c r="H10219" s="27">
        <f t="shared" si="318"/>
        <v>667.16</v>
      </c>
      <c r="I10219" s="18">
        <v>667.16</v>
      </c>
      <c r="J10219" s="27">
        <v>667.16</v>
      </c>
      <c r="K10219" s="18">
        <f t="shared" si="319"/>
        <v>667.16</v>
      </c>
      <c r="L10219" s="27">
        <v>667.16</v>
      </c>
      <c r="M10219" s="36">
        <v>0</v>
      </c>
      <c r="T10219" s="41">
        <v>0</v>
      </c>
      <c r="U10219" s="41">
        <v>0</v>
      </c>
      <c r="V10219" s="42" t="s">
        <v>113</v>
      </c>
      <c r="W10219" s="42">
        <v>667.16</v>
      </c>
      <c r="X10219" s="42">
        <v>667.16</v>
      </c>
    </row>
    <row r="10220" spans="1:24">
      <c r="A10220" s="27" t="s">
        <v>18413</v>
      </c>
      <c r="B10220" s="28" t="s">
        <v>17556</v>
      </c>
      <c r="C10220" s="27" t="s">
        <v>18414</v>
      </c>
      <c r="D10220" s="27" t="s">
        <v>17558</v>
      </c>
      <c r="E10220" s="29">
        <v>35064</v>
      </c>
      <c r="F10220" s="27">
        <v>7</v>
      </c>
      <c r="G10220" s="18">
        <v>667.16</v>
      </c>
      <c r="H10220" s="27">
        <f t="shared" si="318"/>
        <v>667.16</v>
      </c>
      <c r="I10220" s="18">
        <v>667.16</v>
      </c>
      <c r="J10220" s="27">
        <v>667.16</v>
      </c>
      <c r="K10220" s="18">
        <f t="shared" si="319"/>
        <v>667.16</v>
      </c>
      <c r="L10220" s="27">
        <v>667.16</v>
      </c>
      <c r="M10220" s="36">
        <v>0</v>
      </c>
      <c r="T10220" s="41">
        <v>0</v>
      </c>
      <c r="U10220" s="41">
        <v>0</v>
      </c>
      <c r="V10220" s="42" t="s">
        <v>113</v>
      </c>
      <c r="W10220" s="42">
        <v>667.16</v>
      </c>
      <c r="X10220" s="42">
        <v>667.16</v>
      </c>
    </row>
    <row r="10221" spans="1:24">
      <c r="A10221" s="27" t="s">
        <v>18415</v>
      </c>
      <c r="B10221" s="28" t="s">
        <v>17556</v>
      </c>
      <c r="C10221" s="27" t="s">
        <v>18416</v>
      </c>
      <c r="D10221" s="27" t="s">
        <v>17558</v>
      </c>
      <c r="E10221" s="29">
        <v>35064</v>
      </c>
      <c r="F10221" s="27">
        <v>7</v>
      </c>
      <c r="G10221" s="18">
        <v>667.16</v>
      </c>
      <c r="H10221" s="27">
        <f t="shared" si="318"/>
        <v>667.16</v>
      </c>
      <c r="I10221" s="18">
        <v>667.16</v>
      </c>
      <c r="J10221" s="27">
        <v>667.16</v>
      </c>
      <c r="K10221" s="18">
        <f t="shared" si="319"/>
        <v>667.16</v>
      </c>
      <c r="L10221" s="27">
        <v>667.16</v>
      </c>
      <c r="M10221" s="36">
        <v>0</v>
      </c>
      <c r="T10221" s="41">
        <v>0</v>
      </c>
      <c r="U10221" s="41">
        <v>0</v>
      </c>
      <c r="V10221" s="42" t="s">
        <v>113</v>
      </c>
      <c r="W10221" s="42">
        <v>667.16</v>
      </c>
      <c r="X10221" s="42">
        <v>667.16</v>
      </c>
    </row>
    <row r="10222" spans="1:24">
      <c r="A10222" s="27" t="s">
        <v>18417</v>
      </c>
      <c r="B10222" s="28" t="s">
        <v>17556</v>
      </c>
      <c r="C10222" s="27" t="s">
        <v>18418</v>
      </c>
      <c r="D10222" s="27" t="s">
        <v>17558</v>
      </c>
      <c r="E10222" s="29">
        <v>35064</v>
      </c>
      <c r="F10222" s="27">
        <v>7</v>
      </c>
      <c r="G10222" s="18">
        <v>667.16</v>
      </c>
      <c r="H10222" s="27">
        <f t="shared" si="318"/>
        <v>667.16</v>
      </c>
      <c r="I10222" s="18">
        <v>667.16</v>
      </c>
      <c r="J10222" s="27">
        <v>667.16</v>
      </c>
      <c r="K10222" s="18">
        <f t="shared" si="319"/>
        <v>667.16</v>
      </c>
      <c r="L10222" s="27">
        <v>667.16</v>
      </c>
      <c r="M10222" s="36">
        <v>0</v>
      </c>
      <c r="T10222" s="41">
        <v>0</v>
      </c>
      <c r="U10222" s="41">
        <v>0</v>
      </c>
      <c r="V10222" s="42" t="s">
        <v>113</v>
      </c>
      <c r="W10222" s="42">
        <v>667.16</v>
      </c>
      <c r="X10222" s="42">
        <v>667.16</v>
      </c>
    </row>
    <row r="10223" spans="1:24">
      <c r="A10223" s="27" t="s">
        <v>18419</v>
      </c>
      <c r="B10223" s="28" t="s">
        <v>17556</v>
      </c>
      <c r="C10223" s="27" t="s">
        <v>18420</v>
      </c>
      <c r="D10223" s="27" t="s">
        <v>17558</v>
      </c>
      <c r="E10223" s="29">
        <v>35064</v>
      </c>
      <c r="F10223" s="27">
        <v>7</v>
      </c>
      <c r="G10223" s="18">
        <v>667.16</v>
      </c>
      <c r="H10223" s="27">
        <f t="shared" si="318"/>
        <v>667.16</v>
      </c>
      <c r="I10223" s="18">
        <v>667.16</v>
      </c>
      <c r="J10223" s="27">
        <v>667.16</v>
      </c>
      <c r="K10223" s="18">
        <f t="shared" si="319"/>
        <v>667.16</v>
      </c>
      <c r="L10223" s="27">
        <v>667.16</v>
      </c>
      <c r="M10223" s="36">
        <v>0</v>
      </c>
      <c r="T10223" s="41">
        <v>0</v>
      </c>
      <c r="U10223" s="41">
        <v>0</v>
      </c>
      <c r="V10223" s="42" t="s">
        <v>113</v>
      </c>
      <c r="W10223" s="42">
        <v>667.16</v>
      </c>
      <c r="X10223" s="42">
        <v>667.16</v>
      </c>
    </row>
    <row r="10224" spans="1:24">
      <c r="A10224" s="27" t="s">
        <v>18421</v>
      </c>
      <c r="B10224" s="28" t="s">
        <v>17556</v>
      </c>
      <c r="C10224" s="27" t="s">
        <v>18422</v>
      </c>
      <c r="D10224" s="27" t="s">
        <v>17558</v>
      </c>
      <c r="E10224" s="29">
        <v>35064</v>
      </c>
      <c r="F10224" s="27">
        <v>7</v>
      </c>
      <c r="G10224" s="18">
        <v>667.16</v>
      </c>
      <c r="H10224" s="27">
        <f t="shared" si="318"/>
        <v>667.16</v>
      </c>
      <c r="I10224" s="18">
        <v>667.16</v>
      </c>
      <c r="J10224" s="27">
        <v>667.16</v>
      </c>
      <c r="K10224" s="18">
        <f t="shared" si="319"/>
        <v>667.16</v>
      </c>
      <c r="L10224" s="27">
        <v>667.16</v>
      </c>
      <c r="M10224" s="36">
        <v>0</v>
      </c>
      <c r="T10224" s="41">
        <v>0</v>
      </c>
      <c r="U10224" s="41">
        <v>0</v>
      </c>
      <c r="V10224" s="42" t="s">
        <v>113</v>
      </c>
      <c r="W10224" s="42">
        <v>667.16</v>
      </c>
      <c r="X10224" s="42">
        <v>667.16</v>
      </c>
    </row>
    <row r="10225" spans="1:24">
      <c r="A10225" s="27" t="s">
        <v>18423</v>
      </c>
      <c r="B10225" s="28" t="s">
        <v>17556</v>
      </c>
      <c r="C10225" s="27" t="s">
        <v>18424</v>
      </c>
      <c r="D10225" s="27" t="s">
        <v>17558</v>
      </c>
      <c r="E10225" s="29">
        <v>35064</v>
      </c>
      <c r="F10225" s="27">
        <v>7</v>
      </c>
      <c r="G10225" s="18">
        <v>667.16</v>
      </c>
      <c r="H10225" s="27">
        <f t="shared" si="318"/>
        <v>667.16</v>
      </c>
      <c r="I10225" s="18">
        <v>667.16</v>
      </c>
      <c r="J10225" s="27">
        <v>667.16</v>
      </c>
      <c r="K10225" s="18">
        <f t="shared" si="319"/>
        <v>667.16</v>
      </c>
      <c r="L10225" s="27">
        <v>667.16</v>
      </c>
      <c r="M10225" s="36">
        <v>0</v>
      </c>
      <c r="T10225" s="41">
        <v>0</v>
      </c>
      <c r="U10225" s="41">
        <v>0</v>
      </c>
      <c r="V10225" s="42" t="s">
        <v>113</v>
      </c>
      <c r="W10225" s="42">
        <v>667.16</v>
      </c>
      <c r="X10225" s="42">
        <v>667.16</v>
      </c>
    </row>
    <row r="10226" spans="1:24">
      <c r="A10226" s="27" t="s">
        <v>18425</v>
      </c>
      <c r="B10226" s="28" t="s">
        <v>17556</v>
      </c>
      <c r="C10226" s="27" t="s">
        <v>18426</v>
      </c>
      <c r="D10226" s="27" t="s">
        <v>17558</v>
      </c>
      <c r="E10226" s="29">
        <v>35064</v>
      </c>
      <c r="F10226" s="27">
        <v>7</v>
      </c>
      <c r="G10226" s="18">
        <v>667.16</v>
      </c>
      <c r="H10226" s="27">
        <f t="shared" si="318"/>
        <v>667.16</v>
      </c>
      <c r="I10226" s="18">
        <v>667.16</v>
      </c>
      <c r="J10226" s="27">
        <v>667.16</v>
      </c>
      <c r="K10226" s="18">
        <f t="shared" si="319"/>
        <v>667.16</v>
      </c>
      <c r="L10226" s="27">
        <v>667.16</v>
      </c>
      <c r="M10226" s="36">
        <v>0</v>
      </c>
      <c r="T10226" s="41">
        <v>0</v>
      </c>
      <c r="U10226" s="41">
        <v>0</v>
      </c>
      <c r="V10226" s="42" t="s">
        <v>113</v>
      </c>
      <c r="W10226" s="42">
        <v>667.16</v>
      </c>
      <c r="X10226" s="42">
        <v>667.16</v>
      </c>
    </row>
    <row r="10227" spans="1:24">
      <c r="A10227" s="27" t="s">
        <v>18427</v>
      </c>
      <c r="B10227" s="28" t="s">
        <v>17556</v>
      </c>
      <c r="C10227" s="27" t="s">
        <v>18428</v>
      </c>
      <c r="D10227" s="27" t="s">
        <v>17558</v>
      </c>
      <c r="E10227" s="29">
        <v>35064</v>
      </c>
      <c r="F10227" s="27">
        <v>7</v>
      </c>
      <c r="G10227" s="18">
        <v>667.16</v>
      </c>
      <c r="H10227" s="27">
        <f t="shared" si="318"/>
        <v>667.16</v>
      </c>
      <c r="I10227" s="18">
        <v>667.16</v>
      </c>
      <c r="J10227" s="27">
        <v>667.16</v>
      </c>
      <c r="K10227" s="18">
        <f t="shared" si="319"/>
        <v>667.16</v>
      </c>
      <c r="L10227" s="27">
        <v>667.16</v>
      </c>
      <c r="M10227" s="36">
        <v>0</v>
      </c>
      <c r="T10227" s="41">
        <v>0</v>
      </c>
      <c r="U10227" s="41">
        <v>0</v>
      </c>
      <c r="V10227" s="42" t="s">
        <v>113</v>
      </c>
      <c r="W10227" s="42">
        <v>667.16</v>
      </c>
      <c r="X10227" s="42">
        <v>667.16</v>
      </c>
    </row>
    <row r="10228" spans="1:24">
      <c r="A10228" s="27" t="s">
        <v>18429</v>
      </c>
      <c r="B10228" s="28" t="s">
        <v>17556</v>
      </c>
      <c r="C10228" s="27" t="s">
        <v>18430</v>
      </c>
      <c r="D10228" s="27" t="s">
        <v>17558</v>
      </c>
      <c r="E10228" s="29">
        <v>35064</v>
      </c>
      <c r="F10228" s="27">
        <v>7</v>
      </c>
      <c r="G10228" s="18">
        <v>667.16</v>
      </c>
      <c r="H10228" s="27">
        <f t="shared" si="318"/>
        <v>667.16</v>
      </c>
      <c r="I10228" s="18">
        <v>667.16</v>
      </c>
      <c r="J10228" s="27">
        <v>667.16</v>
      </c>
      <c r="K10228" s="18">
        <f t="shared" si="319"/>
        <v>667.16</v>
      </c>
      <c r="L10228" s="27">
        <v>667.16</v>
      </c>
      <c r="M10228" s="36">
        <v>0</v>
      </c>
      <c r="T10228" s="41">
        <v>0</v>
      </c>
      <c r="U10228" s="41">
        <v>0</v>
      </c>
      <c r="V10228" s="42" t="s">
        <v>113</v>
      </c>
      <c r="W10228" s="42">
        <v>667.16</v>
      </c>
      <c r="X10228" s="42">
        <v>667.16</v>
      </c>
    </row>
    <row r="10229" spans="1:24">
      <c r="A10229" s="27" t="s">
        <v>18431</v>
      </c>
      <c r="B10229" s="28" t="s">
        <v>17556</v>
      </c>
      <c r="C10229" s="27" t="s">
        <v>18432</v>
      </c>
      <c r="D10229" s="27" t="s">
        <v>17558</v>
      </c>
      <c r="E10229" s="29">
        <v>35064</v>
      </c>
      <c r="F10229" s="27">
        <v>7</v>
      </c>
      <c r="G10229" s="18">
        <v>667.16</v>
      </c>
      <c r="H10229" s="27">
        <f t="shared" si="318"/>
        <v>667.16</v>
      </c>
      <c r="I10229" s="18">
        <v>667.16</v>
      </c>
      <c r="J10229" s="27">
        <v>667.16</v>
      </c>
      <c r="K10229" s="18">
        <f t="shared" si="319"/>
        <v>667.16</v>
      </c>
      <c r="L10229" s="27">
        <v>667.16</v>
      </c>
      <c r="M10229" s="36">
        <v>0</v>
      </c>
      <c r="T10229" s="41">
        <v>0</v>
      </c>
      <c r="U10229" s="41">
        <v>0</v>
      </c>
      <c r="V10229" s="42" t="s">
        <v>113</v>
      </c>
      <c r="W10229" s="42">
        <v>667.16</v>
      </c>
      <c r="X10229" s="42">
        <v>667.16</v>
      </c>
    </row>
    <row r="10230" spans="1:24">
      <c r="A10230" s="27" t="s">
        <v>18433</v>
      </c>
      <c r="B10230" s="28" t="s">
        <v>17556</v>
      </c>
      <c r="C10230" s="27" t="s">
        <v>18434</v>
      </c>
      <c r="D10230" s="27" t="s">
        <v>17558</v>
      </c>
      <c r="E10230" s="29">
        <v>35064</v>
      </c>
      <c r="F10230" s="27">
        <v>7</v>
      </c>
      <c r="G10230" s="18">
        <v>667.16</v>
      </c>
      <c r="H10230" s="27">
        <f t="shared" si="318"/>
        <v>667.16</v>
      </c>
      <c r="I10230" s="18">
        <v>667.16</v>
      </c>
      <c r="J10230" s="27">
        <v>667.16</v>
      </c>
      <c r="K10230" s="18">
        <f t="shared" si="319"/>
        <v>667.16</v>
      </c>
      <c r="L10230" s="27">
        <v>667.16</v>
      </c>
      <c r="M10230" s="36">
        <v>0</v>
      </c>
      <c r="T10230" s="41">
        <v>0</v>
      </c>
      <c r="U10230" s="41">
        <v>0</v>
      </c>
      <c r="V10230" s="42" t="s">
        <v>113</v>
      </c>
      <c r="W10230" s="42">
        <v>667.16</v>
      </c>
      <c r="X10230" s="42">
        <v>667.16</v>
      </c>
    </row>
    <row r="10231" spans="1:24">
      <c r="A10231" s="27" t="s">
        <v>18435</v>
      </c>
      <c r="B10231" s="28" t="s">
        <v>17556</v>
      </c>
      <c r="C10231" s="27" t="s">
        <v>18436</v>
      </c>
      <c r="D10231" s="27" t="s">
        <v>17558</v>
      </c>
      <c r="E10231" s="29">
        <v>35064</v>
      </c>
      <c r="F10231" s="27">
        <v>7</v>
      </c>
      <c r="G10231" s="18">
        <v>667.16</v>
      </c>
      <c r="H10231" s="27">
        <f t="shared" si="318"/>
        <v>667.16</v>
      </c>
      <c r="I10231" s="18">
        <v>667.16</v>
      </c>
      <c r="J10231" s="27">
        <v>667.16</v>
      </c>
      <c r="K10231" s="18">
        <f t="shared" si="319"/>
        <v>667.16</v>
      </c>
      <c r="L10231" s="27">
        <v>667.16</v>
      </c>
      <c r="M10231" s="36">
        <v>0</v>
      </c>
      <c r="T10231" s="41">
        <v>0</v>
      </c>
      <c r="U10231" s="41">
        <v>0</v>
      </c>
      <c r="V10231" s="42" t="s">
        <v>113</v>
      </c>
      <c r="W10231" s="42">
        <v>667.16</v>
      </c>
      <c r="X10231" s="42">
        <v>667.16</v>
      </c>
    </row>
    <row r="10232" spans="1:24">
      <c r="A10232" s="27" t="s">
        <v>18437</v>
      </c>
      <c r="B10232" s="28" t="s">
        <v>17556</v>
      </c>
      <c r="C10232" s="27" t="s">
        <v>18438</v>
      </c>
      <c r="D10232" s="27" t="s">
        <v>17558</v>
      </c>
      <c r="E10232" s="29">
        <v>35064</v>
      </c>
      <c r="F10232" s="27">
        <v>7</v>
      </c>
      <c r="G10232" s="18">
        <v>667.16</v>
      </c>
      <c r="H10232" s="27">
        <f t="shared" si="318"/>
        <v>667.16</v>
      </c>
      <c r="I10232" s="18">
        <v>667.16</v>
      </c>
      <c r="J10232" s="27">
        <v>667.16</v>
      </c>
      <c r="K10232" s="18">
        <f t="shared" si="319"/>
        <v>667.16</v>
      </c>
      <c r="L10232" s="27">
        <v>667.16</v>
      </c>
      <c r="M10232" s="36">
        <v>0</v>
      </c>
      <c r="T10232" s="41">
        <v>0</v>
      </c>
      <c r="U10232" s="41">
        <v>0</v>
      </c>
      <c r="V10232" s="42" t="s">
        <v>113</v>
      </c>
      <c r="W10232" s="42">
        <v>667.16</v>
      </c>
      <c r="X10232" s="42">
        <v>667.16</v>
      </c>
    </row>
    <row r="10233" spans="1:24">
      <c r="A10233" s="27" t="s">
        <v>18439</v>
      </c>
      <c r="B10233" s="28" t="s">
        <v>17556</v>
      </c>
      <c r="C10233" s="27" t="s">
        <v>18440</v>
      </c>
      <c r="D10233" s="27" t="s">
        <v>17558</v>
      </c>
      <c r="E10233" s="29">
        <v>35064</v>
      </c>
      <c r="F10233" s="27">
        <v>7</v>
      </c>
      <c r="G10233" s="18">
        <v>667.16</v>
      </c>
      <c r="H10233" s="27">
        <f t="shared" si="318"/>
        <v>667.16</v>
      </c>
      <c r="I10233" s="18">
        <v>667.16</v>
      </c>
      <c r="J10233" s="27">
        <v>667.16</v>
      </c>
      <c r="K10233" s="18">
        <f t="shared" si="319"/>
        <v>667.16</v>
      </c>
      <c r="L10233" s="27">
        <v>667.16</v>
      </c>
      <c r="M10233" s="36">
        <v>0</v>
      </c>
      <c r="T10233" s="41">
        <v>0</v>
      </c>
      <c r="U10233" s="41">
        <v>0</v>
      </c>
      <c r="V10233" s="42" t="s">
        <v>113</v>
      </c>
      <c r="W10233" s="42">
        <v>667.16</v>
      </c>
      <c r="X10233" s="42">
        <v>667.16</v>
      </c>
    </row>
    <row r="10234" spans="1:24">
      <c r="A10234" s="27" t="s">
        <v>18441</v>
      </c>
      <c r="B10234" s="28" t="s">
        <v>17556</v>
      </c>
      <c r="C10234" s="27" t="s">
        <v>18442</v>
      </c>
      <c r="D10234" s="27" t="s">
        <v>17558</v>
      </c>
      <c r="E10234" s="29">
        <v>35064</v>
      </c>
      <c r="F10234" s="27">
        <v>7</v>
      </c>
      <c r="G10234" s="18">
        <v>667.16</v>
      </c>
      <c r="H10234" s="27">
        <f t="shared" si="318"/>
        <v>667.16</v>
      </c>
      <c r="I10234" s="18">
        <v>667.16</v>
      </c>
      <c r="J10234" s="27">
        <v>667.16</v>
      </c>
      <c r="K10234" s="18">
        <f t="shared" si="319"/>
        <v>667.16</v>
      </c>
      <c r="L10234" s="27">
        <v>667.16</v>
      </c>
      <c r="M10234" s="36">
        <v>0</v>
      </c>
      <c r="T10234" s="41">
        <v>0</v>
      </c>
      <c r="U10234" s="41">
        <v>0</v>
      </c>
      <c r="V10234" s="42" t="s">
        <v>113</v>
      </c>
      <c r="W10234" s="42">
        <v>667.16</v>
      </c>
      <c r="X10234" s="42">
        <v>667.16</v>
      </c>
    </row>
    <row r="10235" spans="1:24">
      <c r="A10235" s="27" t="s">
        <v>18443</v>
      </c>
      <c r="B10235" s="28" t="s">
        <v>17556</v>
      </c>
      <c r="C10235" s="27" t="s">
        <v>18444</v>
      </c>
      <c r="D10235" s="27" t="s">
        <v>17558</v>
      </c>
      <c r="E10235" s="29">
        <v>35064</v>
      </c>
      <c r="F10235" s="27">
        <v>7</v>
      </c>
      <c r="G10235" s="18">
        <v>667.16</v>
      </c>
      <c r="H10235" s="27">
        <f t="shared" si="318"/>
        <v>667.16</v>
      </c>
      <c r="I10235" s="18">
        <v>667.16</v>
      </c>
      <c r="J10235" s="27">
        <v>667.16</v>
      </c>
      <c r="K10235" s="18">
        <f t="shared" si="319"/>
        <v>667.16</v>
      </c>
      <c r="L10235" s="27">
        <v>667.16</v>
      </c>
      <c r="M10235" s="36">
        <v>0</v>
      </c>
      <c r="T10235" s="41">
        <v>0</v>
      </c>
      <c r="U10235" s="41">
        <v>0</v>
      </c>
      <c r="V10235" s="42" t="s">
        <v>113</v>
      </c>
      <c r="W10235" s="42">
        <v>667.16</v>
      </c>
      <c r="X10235" s="42">
        <v>667.16</v>
      </c>
    </row>
    <row r="10236" spans="1:24">
      <c r="A10236" s="27" t="s">
        <v>18445</v>
      </c>
      <c r="B10236" s="28" t="s">
        <v>17556</v>
      </c>
      <c r="C10236" s="27" t="s">
        <v>18446</v>
      </c>
      <c r="D10236" s="27" t="s">
        <v>17558</v>
      </c>
      <c r="E10236" s="29">
        <v>35064</v>
      </c>
      <c r="F10236" s="27">
        <v>7</v>
      </c>
      <c r="G10236" s="18">
        <v>667.16</v>
      </c>
      <c r="H10236" s="27">
        <f t="shared" si="318"/>
        <v>667.16</v>
      </c>
      <c r="I10236" s="18">
        <v>667.16</v>
      </c>
      <c r="J10236" s="27">
        <v>667.16</v>
      </c>
      <c r="K10236" s="18">
        <f t="shared" si="319"/>
        <v>667.16</v>
      </c>
      <c r="L10236" s="27">
        <v>667.16</v>
      </c>
      <c r="M10236" s="36">
        <v>0</v>
      </c>
      <c r="T10236" s="41">
        <v>0</v>
      </c>
      <c r="U10236" s="41">
        <v>0</v>
      </c>
      <c r="V10236" s="42" t="s">
        <v>113</v>
      </c>
      <c r="W10236" s="42">
        <v>667.16</v>
      </c>
      <c r="X10236" s="42">
        <v>667.16</v>
      </c>
    </row>
    <row r="10237" spans="1:24">
      <c r="A10237" s="27" t="s">
        <v>18447</v>
      </c>
      <c r="B10237" s="28" t="s">
        <v>17556</v>
      </c>
      <c r="C10237" s="27" t="s">
        <v>18448</v>
      </c>
      <c r="D10237" s="27" t="s">
        <v>17558</v>
      </c>
      <c r="E10237" s="29">
        <v>35064</v>
      </c>
      <c r="F10237" s="27">
        <v>7</v>
      </c>
      <c r="G10237" s="18">
        <v>667.16</v>
      </c>
      <c r="H10237" s="27">
        <f t="shared" si="318"/>
        <v>667.16</v>
      </c>
      <c r="I10237" s="18">
        <v>667.16</v>
      </c>
      <c r="J10237" s="27">
        <v>667.16</v>
      </c>
      <c r="K10237" s="18">
        <f t="shared" si="319"/>
        <v>667.16</v>
      </c>
      <c r="L10237" s="27">
        <v>667.16</v>
      </c>
      <c r="M10237" s="36">
        <v>0</v>
      </c>
      <c r="T10237" s="41">
        <v>0</v>
      </c>
      <c r="U10237" s="41">
        <v>0</v>
      </c>
      <c r="V10237" s="42" t="s">
        <v>113</v>
      </c>
      <c r="W10237" s="42">
        <v>667.16</v>
      </c>
      <c r="X10237" s="42">
        <v>667.16</v>
      </c>
    </row>
    <row r="10238" spans="1:24">
      <c r="A10238" s="27" t="s">
        <v>18449</v>
      </c>
      <c r="B10238" s="28" t="s">
        <v>17556</v>
      </c>
      <c r="C10238" s="27" t="s">
        <v>18450</v>
      </c>
      <c r="D10238" s="27" t="s">
        <v>17558</v>
      </c>
      <c r="E10238" s="29">
        <v>35064</v>
      </c>
      <c r="F10238" s="27">
        <v>7</v>
      </c>
      <c r="G10238" s="18">
        <v>667.16</v>
      </c>
      <c r="H10238" s="27">
        <f t="shared" si="318"/>
        <v>667.16</v>
      </c>
      <c r="I10238" s="18">
        <v>667.16</v>
      </c>
      <c r="J10238" s="27">
        <v>667.16</v>
      </c>
      <c r="K10238" s="18">
        <f t="shared" si="319"/>
        <v>667.16</v>
      </c>
      <c r="L10238" s="27">
        <v>667.16</v>
      </c>
      <c r="M10238" s="36">
        <v>0</v>
      </c>
      <c r="T10238" s="41">
        <v>0</v>
      </c>
      <c r="U10238" s="41">
        <v>0</v>
      </c>
      <c r="V10238" s="42" t="s">
        <v>113</v>
      </c>
      <c r="W10238" s="42">
        <v>667.16</v>
      </c>
      <c r="X10238" s="42">
        <v>667.16</v>
      </c>
    </row>
    <row r="10239" spans="1:24">
      <c r="A10239" s="27" t="s">
        <v>18451</v>
      </c>
      <c r="B10239" s="28" t="s">
        <v>17556</v>
      </c>
      <c r="C10239" s="27" t="s">
        <v>18452</v>
      </c>
      <c r="D10239" s="27" t="s">
        <v>17558</v>
      </c>
      <c r="E10239" s="29">
        <v>35064</v>
      </c>
      <c r="F10239" s="27">
        <v>7</v>
      </c>
      <c r="G10239" s="18">
        <v>667.16</v>
      </c>
      <c r="H10239" s="27">
        <f t="shared" si="318"/>
        <v>667.16</v>
      </c>
      <c r="I10239" s="18">
        <v>667.16</v>
      </c>
      <c r="J10239" s="27">
        <v>667.16</v>
      </c>
      <c r="K10239" s="18">
        <f t="shared" si="319"/>
        <v>667.16</v>
      </c>
      <c r="L10239" s="27">
        <v>667.16</v>
      </c>
      <c r="M10239" s="36">
        <v>0</v>
      </c>
      <c r="T10239" s="41">
        <v>0</v>
      </c>
      <c r="U10239" s="41">
        <v>0</v>
      </c>
      <c r="V10239" s="42" t="s">
        <v>113</v>
      </c>
      <c r="W10239" s="42">
        <v>667.16</v>
      </c>
      <c r="X10239" s="42">
        <v>667.16</v>
      </c>
    </row>
    <row r="10240" spans="1:24">
      <c r="A10240" s="27" t="s">
        <v>18453</v>
      </c>
      <c r="B10240" s="28" t="s">
        <v>17556</v>
      </c>
      <c r="C10240" s="27" t="s">
        <v>18454</v>
      </c>
      <c r="D10240" s="27" t="s">
        <v>17558</v>
      </c>
      <c r="E10240" s="29">
        <v>35064</v>
      </c>
      <c r="F10240" s="27">
        <v>7</v>
      </c>
      <c r="G10240" s="18">
        <v>667.16</v>
      </c>
      <c r="H10240" s="27">
        <f t="shared" si="318"/>
        <v>667.16</v>
      </c>
      <c r="I10240" s="18">
        <v>667.16</v>
      </c>
      <c r="J10240" s="27">
        <v>667.16</v>
      </c>
      <c r="K10240" s="18">
        <f t="shared" si="319"/>
        <v>667.16</v>
      </c>
      <c r="L10240" s="27">
        <v>667.16</v>
      </c>
      <c r="M10240" s="36">
        <v>0</v>
      </c>
      <c r="T10240" s="41">
        <v>0</v>
      </c>
      <c r="U10240" s="41">
        <v>0</v>
      </c>
      <c r="V10240" s="42" t="s">
        <v>113</v>
      </c>
      <c r="W10240" s="42">
        <v>667.16</v>
      </c>
      <c r="X10240" s="42">
        <v>667.16</v>
      </c>
    </row>
    <row r="10241" spans="1:24">
      <c r="A10241" s="27" t="s">
        <v>18455</v>
      </c>
      <c r="B10241" s="28" t="s">
        <v>17556</v>
      </c>
      <c r="C10241" s="27" t="s">
        <v>18456</v>
      </c>
      <c r="D10241" s="27" t="s">
        <v>17558</v>
      </c>
      <c r="E10241" s="29">
        <v>35064</v>
      </c>
      <c r="F10241" s="27">
        <v>7</v>
      </c>
      <c r="G10241" s="18">
        <v>667.16</v>
      </c>
      <c r="H10241" s="27">
        <f t="shared" si="318"/>
        <v>667.16</v>
      </c>
      <c r="I10241" s="18">
        <v>667.16</v>
      </c>
      <c r="J10241" s="27">
        <v>667.16</v>
      </c>
      <c r="K10241" s="18">
        <f t="shared" si="319"/>
        <v>667.16</v>
      </c>
      <c r="L10241" s="27">
        <v>667.16</v>
      </c>
      <c r="M10241" s="36">
        <v>0</v>
      </c>
      <c r="T10241" s="41">
        <v>0</v>
      </c>
      <c r="U10241" s="41">
        <v>0</v>
      </c>
      <c r="V10241" s="42" t="s">
        <v>113</v>
      </c>
      <c r="W10241" s="42">
        <v>667.16</v>
      </c>
      <c r="X10241" s="42">
        <v>667.16</v>
      </c>
    </row>
    <row r="10242" spans="1:24">
      <c r="A10242" s="27" t="s">
        <v>18457</v>
      </c>
      <c r="B10242" s="28" t="s">
        <v>17556</v>
      </c>
      <c r="C10242" s="27" t="s">
        <v>18458</v>
      </c>
      <c r="D10242" s="27" t="s">
        <v>17558</v>
      </c>
      <c r="E10242" s="29">
        <v>35064</v>
      </c>
      <c r="F10242" s="27">
        <v>7</v>
      </c>
      <c r="G10242" s="18">
        <v>667.16</v>
      </c>
      <c r="H10242" s="27">
        <f t="shared" si="318"/>
        <v>667.16</v>
      </c>
      <c r="I10242" s="18">
        <v>667.16</v>
      </c>
      <c r="J10242" s="27">
        <v>667.16</v>
      </c>
      <c r="K10242" s="18">
        <f t="shared" si="319"/>
        <v>667.16</v>
      </c>
      <c r="L10242" s="27">
        <v>667.16</v>
      </c>
      <c r="M10242" s="36">
        <v>0</v>
      </c>
      <c r="T10242" s="41">
        <v>0</v>
      </c>
      <c r="U10242" s="41">
        <v>0</v>
      </c>
      <c r="V10242" s="42" t="s">
        <v>113</v>
      </c>
      <c r="W10242" s="42">
        <v>667.16</v>
      </c>
      <c r="X10242" s="42">
        <v>667.16</v>
      </c>
    </row>
    <row r="10243" spans="1:24">
      <c r="A10243" s="27" t="s">
        <v>18459</v>
      </c>
      <c r="B10243" s="28" t="s">
        <v>17556</v>
      </c>
      <c r="C10243" s="27" t="s">
        <v>18460</v>
      </c>
      <c r="D10243" s="27" t="s">
        <v>17558</v>
      </c>
      <c r="E10243" s="29">
        <v>35064</v>
      </c>
      <c r="F10243" s="27">
        <v>7</v>
      </c>
      <c r="G10243" s="18">
        <v>667.16</v>
      </c>
      <c r="H10243" s="27">
        <f t="shared" si="318"/>
        <v>667.16</v>
      </c>
      <c r="I10243" s="18">
        <v>667.16</v>
      </c>
      <c r="J10243" s="27">
        <v>667.16</v>
      </c>
      <c r="K10243" s="18">
        <f t="shared" si="319"/>
        <v>667.16</v>
      </c>
      <c r="L10243" s="27">
        <v>667.16</v>
      </c>
      <c r="M10243" s="36">
        <v>0</v>
      </c>
      <c r="T10243" s="41">
        <v>0</v>
      </c>
      <c r="U10243" s="41">
        <v>0</v>
      </c>
      <c r="V10243" s="42" t="s">
        <v>113</v>
      </c>
      <c r="W10243" s="42">
        <v>667.16</v>
      </c>
      <c r="X10243" s="42">
        <v>667.16</v>
      </c>
    </row>
    <row r="10244" spans="1:24">
      <c r="A10244" s="27" t="s">
        <v>18461</v>
      </c>
      <c r="B10244" s="28" t="s">
        <v>17556</v>
      </c>
      <c r="C10244" s="27" t="s">
        <v>18462</v>
      </c>
      <c r="D10244" s="27" t="s">
        <v>17558</v>
      </c>
      <c r="E10244" s="29">
        <v>35064</v>
      </c>
      <c r="F10244" s="27">
        <v>7</v>
      </c>
      <c r="G10244" s="18">
        <v>667.16</v>
      </c>
      <c r="H10244" s="27">
        <f t="shared" si="318"/>
        <v>667.16</v>
      </c>
      <c r="I10244" s="18">
        <v>667.16</v>
      </c>
      <c r="J10244" s="27">
        <v>667.16</v>
      </c>
      <c r="K10244" s="18">
        <f t="shared" si="319"/>
        <v>667.16</v>
      </c>
      <c r="L10244" s="27">
        <v>667.16</v>
      </c>
      <c r="M10244" s="36">
        <v>0</v>
      </c>
      <c r="T10244" s="41">
        <v>0</v>
      </c>
      <c r="U10244" s="41">
        <v>0</v>
      </c>
      <c r="V10244" s="42" t="s">
        <v>113</v>
      </c>
      <c r="W10244" s="42">
        <v>667.16</v>
      </c>
      <c r="X10244" s="42">
        <v>667.16</v>
      </c>
    </row>
    <row r="10245" spans="1:24">
      <c r="A10245" s="27" t="s">
        <v>18463</v>
      </c>
      <c r="B10245" s="28" t="s">
        <v>17556</v>
      </c>
      <c r="C10245" s="27" t="s">
        <v>18464</v>
      </c>
      <c r="D10245" s="27" t="s">
        <v>17558</v>
      </c>
      <c r="E10245" s="29">
        <v>35064</v>
      </c>
      <c r="F10245" s="27">
        <v>7</v>
      </c>
      <c r="G10245" s="18">
        <v>667.16</v>
      </c>
      <c r="H10245" s="27">
        <f t="shared" si="318"/>
        <v>667.16</v>
      </c>
      <c r="I10245" s="18">
        <v>667.16</v>
      </c>
      <c r="J10245" s="27">
        <v>667.16</v>
      </c>
      <c r="K10245" s="18">
        <f t="shared" si="319"/>
        <v>667.16</v>
      </c>
      <c r="L10245" s="27">
        <v>667.16</v>
      </c>
      <c r="M10245" s="36">
        <v>0</v>
      </c>
      <c r="T10245" s="41">
        <v>0</v>
      </c>
      <c r="U10245" s="41">
        <v>0</v>
      </c>
      <c r="V10245" s="42" t="s">
        <v>113</v>
      </c>
      <c r="W10245" s="42">
        <v>667.16</v>
      </c>
      <c r="X10245" s="42">
        <v>667.16</v>
      </c>
    </row>
    <row r="10246" spans="1:24">
      <c r="A10246" s="27" t="s">
        <v>18465</v>
      </c>
      <c r="B10246" s="28" t="s">
        <v>17556</v>
      </c>
      <c r="C10246" s="27" t="s">
        <v>18466</v>
      </c>
      <c r="D10246" s="27" t="s">
        <v>17558</v>
      </c>
      <c r="E10246" s="29">
        <v>35064</v>
      </c>
      <c r="F10246" s="27">
        <v>7</v>
      </c>
      <c r="G10246" s="18">
        <v>667.16</v>
      </c>
      <c r="H10246" s="27">
        <f t="shared" ref="H10246:H10309" si="320">IFERROR(IF(ROUND((G10246-I10246)/G10246,2)&lt;=0.05,G10246,0),0)</f>
        <v>667.16</v>
      </c>
      <c r="I10246" s="18">
        <v>667.16</v>
      </c>
      <c r="J10246" s="27">
        <v>667.16</v>
      </c>
      <c r="K10246" s="18">
        <f t="shared" ref="K10246:K10309" si="321">IFERROR(IF(ROUND((J10246-L10246)/J10246,2)&lt;=0.05,J10246,0),0)</f>
        <v>667.16</v>
      </c>
      <c r="L10246" s="27">
        <v>667.16</v>
      </c>
      <c r="M10246" s="36">
        <v>0</v>
      </c>
      <c r="T10246" s="41">
        <v>0</v>
      </c>
      <c r="U10246" s="41">
        <v>0</v>
      </c>
      <c r="V10246" s="42" t="s">
        <v>113</v>
      </c>
      <c r="W10246" s="42">
        <v>667.16</v>
      </c>
      <c r="X10246" s="42">
        <v>667.16</v>
      </c>
    </row>
    <row r="10247" spans="1:24">
      <c r="A10247" s="27" t="s">
        <v>18467</v>
      </c>
      <c r="B10247" s="28" t="s">
        <v>17556</v>
      </c>
      <c r="C10247" s="27" t="s">
        <v>18468</v>
      </c>
      <c r="D10247" s="27" t="s">
        <v>17558</v>
      </c>
      <c r="E10247" s="29">
        <v>35064</v>
      </c>
      <c r="F10247" s="27">
        <v>7</v>
      </c>
      <c r="G10247" s="18">
        <v>667.16</v>
      </c>
      <c r="H10247" s="27">
        <f t="shared" si="320"/>
        <v>667.16</v>
      </c>
      <c r="I10247" s="18">
        <v>667.16</v>
      </c>
      <c r="J10247" s="27">
        <v>667.16</v>
      </c>
      <c r="K10247" s="18">
        <f t="shared" si="321"/>
        <v>667.16</v>
      </c>
      <c r="L10247" s="27">
        <v>667.16</v>
      </c>
      <c r="M10247" s="36">
        <v>0</v>
      </c>
      <c r="T10247" s="41">
        <v>0</v>
      </c>
      <c r="U10247" s="41">
        <v>0</v>
      </c>
      <c r="V10247" s="42" t="s">
        <v>113</v>
      </c>
      <c r="W10247" s="42">
        <v>667.16</v>
      </c>
      <c r="X10247" s="42">
        <v>667.16</v>
      </c>
    </row>
    <row r="10248" spans="1:24">
      <c r="A10248" s="27" t="s">
        <v>18469</v>
      </c>
      <c r="B10248" s="28" t="s">
        <v>17556</v>
      </c>
      <c r="C10248" s="27" t="s">
        <v>18470</v>
      </c>
      <c r="D10248" s="27" t="s">
        <v>17558</v>
      </c>
      <c r="E10248" s="29">
        <v>35064</v>
      </c>
      <c r="F10248" s="27">
        <v>7</v>
      </c>
      <c r="G10248" s="18">
        <v>667.16</v>
      </c>
      <c r="H10248" s="27">
        <f t="shared" si="320"/>
        <v>667.16</v>
      </c>
      <c r="I10248" s="18">
        <v>667.16</v>
      </c>
      <c r="J10248" s="27">
        <v>667.16</v>
      </c>
      <c r="K10248" s="18">
        <f t="shared" si="321"/>
        <v>667.16</v>
      </c>
      <c r="L10248" s="27">
        <v>667.16</v>
      </c>
      <c r="M10248" s="36">
        <v>0</v>
      </c>
      <c r="T10248" s="41">
        <v>0</v>
      </c>
      <c r="U10248" s="41">
        <v>0</v>
      </c>
      <c r="V10248" s="42" t="s">
        <v>113</v>
      </c>
      <c r="W10248" s="42">
        <v>667.16</v>
      </c>
      <c r="X10248" s="42">
        <v>667.16</v>
      </c>
    </row>
    <row r="10249" spans="1:24">
      <c r="A10249" s="27" t="s">
        <v>18471</v>
      </c>
      <c r="B10249" s="28" t="s">
        <v>17556</v>
      </c>
      <c r="C10249" s="27" t="s">
        <v>18472</v>
      </c>
      <c r="D10249" s="27" t="s">
        <v>17558</v>
      </c>
      <c r="E10249" s="29">
        <v>35064</v>
      </c>
      <c r="F10249" s="27">
        <v>7</v>
      </c>
      <c r="G10249" s="18">
        <v>667.16</v>
      </c>
      <c r="H10249" s="27">
        <f t="shared" si="320"/>
        <v>667.16</v>
      </c>
      <c r="I10249" s="18">
        <v>667.16</v>
      </c>
      <c r="J10249" s="27">
        <v>667.16</v>
      </c>
      <c r="K10249" s="18">
        <f t="shared" si="321"/>
        <v>667.16</v>
      </c>
      <c r="L10249" s="27">
        <v>667.16</v>
      </c>
      <c r="M10249" s="36">
        <v>0</v>
      </c>
      <c r="T10249" s="41">
        <v>0</v>
      </c>
      <c r="U10249" s="41">
        <v>0</v>
      </c>
      <c r="V10249" s="42" t="s">
        <v>113</v>
      </c>
      <c r="W10249" s="42">
        <v>667.16</v>
      </c>
      <c r="X10249" s="42">
        <v>667.16</v>
      </c>
    </row>
    <row r="10250" spans="1:24">
      <c r="A10250" s="27" t="s">
        <v>18473</v>
      </c>
      <c r="B10250" s="28" t="s">
        <v>17556</v>
      </c>
      <c r="C10250" s="27" t="s">
        <v>18474</v>
      </c>
      <c r="D10250" s="27" t="s">
        <v>17558</v>
      </c>
      <c r="E10250" s="29">
        <v>35064</v>
      </c>
      <c r="F10250" s="27">
        <v>7</v>
      </c>
      <c r="G10250" s="18">
        <v>667.16</v>
      </c>
      <c r="H10250" s="27">
        <f t="shared" si="320"/>
        <v>667.16</v>
      </c>
      <c r="I10250" s="18">
        <v>667.16</v>
      </c>
      <c r="J10250" s="27">
        <v>667.16</v>
      </c>
      <c r="K10250" s="18">
        <f t="shared" si="321"/>
        <v>667.16</v>
      </c>
      <c r="L10250" s="27">
        <v>667.16</v>
      </c>
      <c r="M10250" s="36">
        <v>0</v>
      </c>
      <c r="T10250" s="41">
        <v>0</v>
      </c>
      <c r="U10250" s="41">
        <v>0</v>
      </c>
      <c r="V10250" s="42" t="s">
        <v>113</v>
      </c>
      <c r="W10250" s="42">
        <v>667.16</v>
      </c>
      <c r="X10250" s="42">
        <v>667.16</v>
      </c>
    </row>
    <row r="10251" spans="1:24">
      <c r="A10251" s="27" t="s">
        <v>18475</v>
      </c>
      <c r="B10251" s="28" t="s">
        <v>17556</v>
      </c>
      <c r="C10251" s="27" t="s">
        <v>18476</v>
      </c>
      <c r="D10251" s="27" t="s">
        <v>17558</v>
      </c>
      <c r="E10251" s="29">
        <v>35064</v>
      </c>
      <c r="F10251" s="27">
        <v>7</v>
      </c>
      <c r="G10251" s="18">
        <v>667.16</v>
      </c>
      <c r="H10251" s="27">
        <f t="shared" si="320"/>
        <v>667.16</v>
      </c>
      <c r="I10251" s="18">
        <v>667.16</v>
      </c>
      <c r="J10251" s="27">
        <v>667.16</v>
      </c>
      <c r="K10251" s="18">
        <f t="shared" si="321"/>
        <v>667.16</v>
      </c>
      <c r="L10251" s="27">
        <v>667.16</v>
      </c>
      <c r="M10251" s="36">
        <v>0</v>
      </c>
      <c r="T10251" s="41">
        <v>0</v>
      </c>
      <c r="U10251" s="41">
        <v>0</v>
      </c>
      <c r="V10251" s="42" t="s">
        <v>113</v>
      </c>
      <c r="W10251" s="42">
        <v>667.16</v>
      </c>
      <c r="X10251" s="42">
        <v>667.16</v>
      </c>
    </row>
    <row r="10252" spans="1:24">
      <c r="A10252" s="27" t="s">
        <v>18477</v>
      </c>
      <c r="B10252" s="28" t="s">
        <v>17556</v>
      </c>
      <c r="C10252" s="27" t="s">
        <v>18478</v>
      </c>
      <c r="D10252" s="27" t="s">
        <v>17558</v>
      </c>
      <c r="E10252" s="29">
        <v>35064</v>
      </c>
      <c r="F10252" s="27">
        <v>7</v>
      </c>
      <c r="G10252" s="18">
        <v>667.16</v>
      </c>
      <c r="H10252" s="27">
        <f t="shared" si="320"/>
        <v>667.16</v>
      </c>
      <c r="I10252" s="18">
        <v>667.16</v>
      </c>
      <c r="J10252" s="27">
        <v>667.16</v>
      </c>
      <c r="K10252" s="18">
        <f t="shared" si="321"/>
        <v>667.16</v>
      </c>
      <c r="L10252" s="27">
        <v>667.16</v>
      </c>
      <c r="M10252" s="36">
        <v>0</v>
      </c>
      <c r="T10252" s="41">
        <v>0</v>
      </c>
      <c r="U10252" s="41">
        <v>0</v>
      </c>
      <c r="V10252" s="42" t="s">
        <v>113</v>
      </c>
      <c r="W10252" s="42">
        <v>667.16</v>
      </c>
      <c r="X10252" s="42">
        <v>667.16</v>
      </c>
    </row>
    <row r="10253" spans="1:24">
      <c r="A10253" s="27" t="s">
        <v>18479</v>
      </c>
      <c r="B10253" s="28" t="s">
        <v>17556</v>
      </c>
      <c r="C10253" s="27" t="s">
        <v>18480</v>
      </c>
      <c r="D10253" s="27" t="s">
        <v>17558</v>
      </c>
      <c r="E10253" s="29">
        <v>35064</v>
      </c>
      <c r="F10253" s="27">
        <v>7</v>
      </c>
      <c r="G10253" s="18">
        <v>667.16</v>
      </c>
      <c r="H10253" s="27">
        <f t="shared" si="320"/>
        <v>667.16</v>
      </c>
      <c r="I10253" s="18">
        <v>667.16</v>
      </c>
      <c r="J10253" s="27">
        <v>667.16</v>
      </c>
      <c r="K10253" s="18">
        <f t="shared" si="321"/>
        <v>667.16</v>
      </c>
      <c r="L10253" s="27">
        <v>667.16</v>
      </c>
      <c r="M10253" s="36">
        <v>0</v>
      </c>
      <c r="T10253" s="41">
        <v>0</v>
      </c>
      <c r="U10253" s="41">
        <v>0</v>
      </c>
      <c r="V10253" s="42" t="s">
        <v>113</v>
      </c>
      <c r="W10253" s="42">
        <v>667.16</v>
      </c>
      <c r="X10253" s="42">
        <v>667.16</v>
      </c>
    </row>
    <row r="10254" spans="1:24">
      <c r="A10254" s="27" t="s">
        <v>18481</v>
      </c>
      <c r="B10254" s="28" t="s">
        <v>17556</v>
      </c>
      <c r="C10254" s="27" t="s">
        <v>18482</v>
      </c>
      <c r="D10254" s="27" t="s">
        <v>17558</v>
      </c>
      <c r="E10254" s="29">
        <v>35064</v>
      </c>
      <c r="F10254" s="27">
        <v>7</v>
      </c>
      <c r="G10254" s="18">
        <v>667.16</v>
      </c>
      <c r="H10254" s="27">
        <f t="shared" si="320"/>
        <v>667.16</v>
      </c>
      <c r="I10254" s="18">
        <v>667.16</v>
      </c>
      <c r="J10254" s="27">
        <v>667.16</v>
      </c>
      <c r="K10254" s="18">
        <f t="shared" si="321"/>
        <v>667.16</v>
      </c>
      <c r="L10254" s="27">
        <v>667.16</v>
      </c>
      <c r="M10254" s="36">
        <v>0</v>
      </c>
      <c r="T10254" s="41">
        <v>0</v>
      </c>
      <c r="U10254" s="41">
        <v>0</v>
      </c>
      <c r="V10254" s="42" t="s">
        <v>113</v>
      </c>
      <c r="W10254" s="42">
        <v>667.16</v>
      </c>
      <c r="X10254" s="42">
        <v>667.16</v>
      </c>
    </row>
    <row r="10255" spans="1:24">
      <c r="A10255" s="27" t="s">
        <v>18483</v>
      </c>
      <c r="B10255" s="28" t="s">
        <v>17556</v>
      </c>
      <c r="C10255" s="27" t="s">
        <v>18484</v>
      </c>
      <c r="D10255" s="27" t="s">
        <v>17558</v>
      </c>
      <c r="E10255" s="29">
        <v>35064</v>
      </c>
      <c r="F10255" s="27">
        <v>7</v>
      </c>
      <c r="G10255" s="18">
        <v>667.16</v>
      </c>
      <c r="H10255" s="27">
        <f t="shared" si="320"/>
        <v>667.16</v>
      </c>
      <c r="I10255" s="18">
        <v>667.16</v>
      </c>
      <c r="J10255" s="27">
        <v>667.16</v>
      </c>
      <c r="K10255" s="18">
        <f t="shared" si="321"/>
        <v>667.16</v>
      </c>
      <c r="L10255" s="27">
        <v>667.16</v>
      </c>
      <c r="M10255" s="36">
        <v>0</v>
      </c>
      <c r="T10255" s="41">
        <v>0</v>
      </c>
      <c r="U10255" s="41">
        <v>0</v>
      </c>
      <c r="V10255" s="42" t="s">
        <v>113</v>
      </c>
      <c r="W10255" s="42">
        <v>667.16</v>
      </c>
      <c r="X10255" s="42">
        <v>667.16</v>
      </c>
    </row>
    <row r="10256" spans="1:24">
      <c r="A10256" s="27" t="s">
        <v>18485</v>
      </c>
      <c r="B10256" s="28" t="s">
        <v>17556</v>
      </c>
      <c r="C10256" s="27" t="s">
        <v>18486</v>
      </c>
      <c r="D10256" s="27" t="s">
        <v>17558</v>
      </c>
      <c r="E10256" s="29">
        <v>35064</v>
      </c>
      <c r="F10256" s="27">
        <v>7</v>
      </c>
      <c r="G10256" s="18">
        <v>667.16</v>
      </c>
      <c r="H10256" s="27">
        <f t="shared" si="320"/>
        <v>667.16</v>
      </c>
      <c r="I10256" s="18">
        <v>667.16</v>
      </c>
      <c r="J10256" s="27">
        <v>667.16</v>
      </c>
      <c r="K10256" s="18">
        <f t="shared" si="321"/>
        <v>667.16</v>
      </c>
      <c r="L10256" s="27">
        <v>667.16</v>
      </c>
      <c r="M10256" s="36">
        <v>0</v>
      </c>
      <c r="T10256" s="41">
        <v>0</v>
      </c>
      <c r="U10256" s="41">
        <v>0</v>
      </c>
      <c r="V10256" s="42" t="s">
        <v>113</v>
      </c>
      <c r="W10256" s="42">
        <v>667.16</v>
      </c>
      <c r="X10256" s="42">
        <v>667.16</v>
      </c>
    </row>
    <row r="10257" spans="1:24">
      <c r="A10257" s="27" t="s">
        <v>18487</v>
      </c>
      <c r="B10257" s="28" t="s">
        <v>17556</v>
      </c>
      <c r="C10257" s="27" t="s">
        <v>18488</v>
      </c>
      <c r="D10257" s="27" t="s">
        <v>17558</v>
      </c>
      <c r="E10257" s="29">
        <v>35064</v>
      </c>
      <c r="F10257" s="27">
        <v>7</v>
      </c>
      <c r="G10257" s="18">
        <v>667.16</v>
      </c>
      <c r="H10257" s="27">
        <f t="shared" si="320"/>
        <v>667.16</v>
      </c>
      <c r="I10257" s="18">
        <v>667.16</v>
      </c>
      <c r="J10257" s="27">
        <v>667.16</v>
      </c>
      <c r="K10257" s="18">
        <f t="shared" si="321"/>
        <v>667.16</v>
      </c>
      <c r="L10257" s="27">
        <v>667.16</v>
      </c>
      <c r="M10257" s="36">
        <v>0</v>
      </c>
      <c r="T10257" s="41">
        <v>0</v>
      </c>
      <c r="U10257" s="41">
        <v>0</v>
      </c>
      <c r="V10257" s="42" t="s">
        <v>113</v>
      </c>
      <c r="W10257" s="42">
        <v>667.16</v>
      </c>
      <c r="X10257" s="42">
        <v>667.16</v>
      </c>
    </row>
    <row r="10258" spans="1:24">
      <c r="A10258" s="27" t="s">
        <v>18489</v>
      </c>
      <c r="B10258" s="28" t="s">
        <v>17556</v>
      </c>
      <c r="C10258" s="27" t="s">
        <v>18490</v>
      </c>
      <c r="D10258" s="27" t="s">
        <v>17558</v>
      </c>
      <c r="E10258" s="29">
        <v>35064</v>
      </c>
      <c r="F10258" s="27">
        <v>7</v>
      </c>
      <c r="G10258" s="18">
        <v>667.16</v>
      </c>
      <c r="H10258" s="27">
        <f t="shared" si="320"/>
        <v>667.16</v>
      </c>
      <c r="I10258" s="18">
        <v>667.16</v>
      </c>
      <c r="J10258" s="27">
        <v>667.16</v>
      </c>
      <c r="K10258" s="18">
        <f t="shared" si="321"/>
        <v>667.16</v>
      </c>
      <c r="L10258" s="27">
        <v>667.16</v>
      </c>
      <c r="M10258" s="36">
        <v>0</v>
      </c>
      <c r="T10258" s="41">
        <v>0</v>
      </c>
      <c r="U10258" s="41">
        <v>0</v>
      </c>
      <c r="V10258" s="42" t="s">
        <v>113</v>
      </c>
      <c r="W10258" s="42">
        <v>667.16</v>
      </c>
      <c r="X10258" s="42">
        <v>667.16</v>
      </c>
    </row>
    <row r="10259" spans="1:24">
      <c r="A10259" s="27" t="s">
        <v>18491</v>
      </c>
      <c r="B10259" s="28" t="s">
        <v>17556</v>
      </c>
      <c r="C10259" s="27" t="s">
        <v>18492</v>
      </c>
      <c r="D10259" s="27" t="s">
        <v>17558</v>
      </c>
      <c r="E10259" s="29">
        <v>35064</v>
      </c>
      <c r="F10259" s="27">
        <v>7</v>
      </c>
      <c r="G10259" s="18">
        <v>667.16</v>
      </c>
      <c r="H10259" s="27">
        <f t="shared" si="320"/>
        <v>667.16</v>
      </c>
      <c r="I10259" s="18">
        <v>667.16</v>
      </c>
      <c r="J10259" s="27">
        <v>667.16</v>
      </c>
      <c r="K10259" s="18">
        <f t="shared" si="321"/>
        <v>667.16</v>
      </c>
      <c r="L10259" s="27">
        <v>667.16</v>
      </c>
      <c r="M10259" s="36">
        <v>0</v>
      </c>
      <c r="T10259" s="41">
        <v>0</v>
      </c>
      <c r="U10259" s="41">
        <v>0</v>
      </c>
      <c r="V10259" s="42" t="s">
        <v>113</v>
      </c>
      <c r="W10259" s="42">
        <v>667.16</v>
      </c>
      <c r="X10259" s="42">
        <v>667.16</v>
      </c>
    </row>
    <row r="10260" spans="1:24">
      <c r="A10260" s="27" t="s">
        <v>18493</v>
      </c>
      <c r="B10260" s="28" t="s">
        <v>17556</v>
      </c>
      <c r="C10260" s="27" t="s">
        <v>18494</v>
      </c>
      <c r="D10260" s="27" t="s">
        <v>17558</v>
      </c>
      <c r="E10260" s="29">
        <v>35064</v>
      </c>
      <c r="F10260" s="27">
        <v>7</v>
      </c>
      <c r="G10260" s="18">
        <v>667.16</v>
      </c>
      <c r="H10260" s="27">
        <f t="shared" si="320"/>
        <v>667.16</v>
      </c>
      <c r="I10260" s="18">
        <v>667.16</v>
      </c>
      <c r="J10260" s="27">
        <v>667.16</v>
      </c>
      <c r="K10260" s="18">
        <f t="shared" si="321"/>
        <v>667.16</v>
      </c>
      <c r="L10260" s="27">
        <v>667.16</v>
      </c>
      <c r="M10260" s="36">
        <v>0</v>
      </c>
      <c r="T10260" s="41">
        <v>0</v>
      </c>
      <c r="U10260" s="41">
        <v>0</v>
      </c>
      <c r="V10260" s="42" t="s">
        <v>113</v>
      </c>
      <c r="W10260" s="42">
        <v>667.16</v>
      </c>
      <c r="X10260" s="42">
        <v>667.16</v>
      </c>
    </row>
    <row r="10261" spans="1:24">
      <c r="A10261" s="27" t="s">
        <v>18495</v>
      </c>
      <c r="B10261" s="28" t="s">
        <v>17556</v>
      </c>
      <c r="C10261" s="27" t="s">
        <v>18496</v>
      </c>
      <c r="D10261" s="27" t="s">
        <v>17558</v>
      </c>
      <c r="E10261" s="29">
        <v>35064</v>
      </c>
      <c r="F10261" s="27">
        <v>7</v>
      </c>
      <c r="G10261" s="18">
        <v>667.16</v>
      </c>
      <c r="H10261" s="27">
        <f t="shared" si="320"/>
        <v>667.16</v>
      </c>
      <c r="I10261" s="18">
        <v>667.16</v>
      </c>
      <c r="J10261" s="27">
        <v>667.16</v>
      </c>
      <c r="K10261" s="18">
        <f t="shared" si="321"/>
        <v>667.16</v>
      </c>
      <c r="L10261" s="27">
        <v>667.16</v>
      </c>
      <c r="M10261" s="36">
        <v>0</v>
      </c>
      <c r="T10261" s="41">
        <v>0</v>
      </c>
      <c r="U10261" s="41">
        <v>0</v>
      </c>
      <c r="V10261" s="42" t="s">
        <v>113</v>
      </c>
      <c r="W10261" s="42">
        <v>667.16</v>
      </c>
      <c r="X10261" s="42">
        <v>667.16</v>
      </c>
    </row>
    <row r="10262" spans="1:24">
      <c r="A10262" s="27" t="s">
        <v>18497</v>
      </c>
      <c r="B10262" s="28" t="s">
        <v>17556</v>
      </c>
      <c r="C10262" s="27" t="s">
        <v>18498</v>
      </c>
      <c r="D10262" s="27" t="s">
        <v>17558</v>
      </c>
      <c r="E10262" s="29">
        <v>35064</v>
      </c>
      <c r="F10262" s="27">
        <v>7</v>
      </c>
      <c r="G10262" s="18">
        <v>667.16</v>
      </c>
      <c r="H10262" s="27">
        <f t="shared" si="320"/>
        <v>667.16</v>
      </c>
      <c r="I10262" s="18">
        <v>667.16</v>
      </c>
      <c r="J10262" s="27">
        <v>667.16</v>
      </c>
      <c r="K10262" s="18">
        <f t="shared" si="321"/>
        <v>667.16</v>
      </c>
      <c r="L10262" s="27">
        <v>667.16</v>
      </c>
      <c r="M10262" s="36">
        <v>0</v>
      </c>
      <c r="T10262" s="41">
        <v>0</v>
      </c>
      <c r="U10262" s="41">
        <v>0</v>
      </c>
      <c r="V10262" s="42" t="s">
        <v>113</v>
      </c>
      <c r="W10262" s="42">
        <v>667.16</v>
      </c>
      <c r="X10262" s="42">
        <v>667.16</v>
      </c>
    </row>
    <row r="10263" spans="1:24">
      <c r="A10263" s="27" t="s">
        <v>18499</v>
      </c>
      <c r="B10263" s="28" t="s">
        <v>17556</v>
      </c>
      <c r="C10263" s="27" t="s">
        <v>18500</v>
      </c>
      <c r="D10263" s="27" t="s">
        <v>17558</v>
      </c>
      <c r="E10263" s="29">
        <v>35064</v>
      </c>
      <c r="F10263" s="27">
        <v>7</v>
      </c>
      <c r="G10263" s="18">
        <v>667.16</v>
      </c>
      <c r="H10263" s="27">
        <f t="shared" si="320"/>
        <v>667.16</v>
      </c>
      <c r="I10263" s="18">
        <v>667.16</v>
      </c>
      <c r="J10263" s="27">
        <v>667.16</v>
      </c>
      <c r="K10263" s="18">
        <f t="shared" si="321"/>
        <v>667.16</v>
      </c>
      <c r="L10263" s="27">
        <v>667.16</v>
      </c>
      <c r="M10263" s="36">
        <v>0</v>
      </c>
      <c r="T10263" s="41">
        <v>0</v>
      </c>
      <c r="U10263" s="41">
        <v>0</v>
      </c>
      <c r="V10263" s="42" t="s">
        <v>113</v>
      </c>
      <c r="W10263" s="42">
        <v>667.16</v>
      </c>
      <c r="X10263" s="42">
        <v>667.16</v>
      </c>
    </row>
    <row r="10264" spans="1:24">
      <c r="A10264" s="27" t="s">
        <v>18501</v>
      </c>
      <c r="B10264" s="28" t="s">
        <v>17556</v>
      </c>
      <c r="C10264" s="27" t="s">
        <v>18502</v>
      </c>
      <c r="D10264" s="27" t="s">
        <v>17558</v>
      </c>
      <c r="E10264" s="29">
        <v>35064</v>
      </c>
      <c r="F10264" s="27">
        <v>7</v>
      </c>
      <c r="G10264" s="18">
        <v>667.16</v>
      </c>
      <c r="H10264" s="27">
        <f t="shared" si="320"/>
        <v>667.16</v>
      </c>
      <c r="I10264" s="18">
        <v>667.16</v>
      </c>
      <c r="J10264" s="27">
        <v>667.16</v>
      </c>
      <c r="K10264" s="18">
        <f t="shared" si="321"/>
        <v>667.16</v>
      </c>
      <c r="L10264" s="27">
        <v>667.16</v>
      </c>
      <c r="M10264" s="36">
        <v>0</v>
      </c>
      <c r="T10264" s="41">
        <v>0</v>
      </c>
      <c r="U10264" s="41">
        <v>0</v>
      </c>
      <c r="V10264" s="42" t="s">
        <v>113</v>
      </c>
      <c r="W10264" s="42">
        <v>667.16</v>
      </c>
      <c r="X10264" s="42">
        <v>667.16</v>
      </c>
    </row>
    <row r="10265" spans="1:24">
      <c r="A10265" s="27" t="s">
        <v>18503</v>
      </c>
      <c r="B10265" s="28" t="s">
        <v>17556</v>
      </c>
      <c r="C10265" s="27" t="s">
        <v>18504</v>
      </c>
      <c r="D10265" s="27" t="s">
        <v>17558</v>
      </c>
      <c r="E10265" s="29">
        <v>35064</v>
      </c>
      <c r="F10265" s="27">
        <v>7</v>
      </c>
      <c r="G10265" s="18">
        <v>667.16</v>
      </c>
      <c r="H10265" s="27">
        <f t="shared" si="320"/>
        <v>667.16</v>
      </c>
      <c r="I10265" s="18">
        <v>667.16</v>
      </c>
      <c r="J10265" s="27">
        <v>667.16</v>
      </c>
      <c r="K10265" s="18">
        <f t="shared" si="321"/>
        <v>667.16</v>
      </c>
      <c r="L10265" s="27">
        <v>667.16</v>
      </c>
      <c r="M10265" s="36">
        <v>0</v>
      </c>
      <c r="T10265" s="41">
        <v>0</v>
      </c>
      <c r="U10265" s="41">
        <v>0</v>
      </c>
      <c r="V10265" s="42" t="s">
        <v>113</v>
      </c>
      <c r="W10265" s="42">
        <v>667.16</v>
      </c>
      <c r="X10265" s="42">
        <v>667.16</v>
      </c>
    </row>
    <row r="10266" spans="1:24">
      <c r="A10266" s="27" t="s">
        <v>18505</v>
      </c>
      <c r="B10266" s="28" t="s">
        <v>17556</v>
      </c>
      <c r="C10266" s="27" t="s">
        <v>18506</v>
      </c>
      <c r="D10266" s="27" t="s">
        <v>17558</v>
      </c>
      <c r="E10266" s="29">
        <v>35064</v>
      </c>
      <c r="F10266" s="27">
        <v>7</v>
      </c>
      <c r="G10266" s="18">
        <v>667.16</v>
      </c>
      <c r="H10266" s="27">
        <f t="shared" si="320"/>
        <v>667.16</v>
      </c>
      <c r="I10266" s="18">
        <v>667.16</v>
      </c>
      <c r="J10266" s="27">
        <v>667.16</v>
      </c>
      <c r="K10266" s="18">
        <f t="shared" si="321"/>
        <v>667.16</v>
      </c>
      <c r="L10266" s="27">
        <v>667.16</v>
      </c>
      <c r="M10266" s="36">
        <v>0</v>
      </c>
      <c r="T10266" s="41">
        <v>0</v>
      </c>
      <c r="U10266" s="41">
        <v>0</v>
      </c>
      <c r="V10266" s="42" t="s">
        <v>113</v>
      </c>
      <c r="W10266" s="42">
        <v>667.16</v>
      </c>
      <c r="X10266" s="42">
        <v>667.16</v>
      </c>
    </row>
    <row r="10267" spans="1:24">
      <c r="A10267" s="27" t="s">
        <v>18507</v>
      </c>
      <c r="B10267" s="28" t="s">
        <v>17556</v>
      </c>
      <c r="C10267" s="27" t="s">
        <v>18508</v>
      </c>
      <c r="D10267" s="27" t="s">
        <v>17558</v>
      </c>
      <c r="E10267" s="29">
        <v>35064</v>
      </c>
      <c r="F10267" s="27">
        <v>7</v>
      </c>
      <c r="G10267" s="18">
        <v>667.16</v>
      </c>
      <c r="H10267" s="27">
        <f t="shared" si="320"/>
        <v>667.16</v>
      </c>
      <c r="I10267" s="18">
        <v>667.16</v>
      </c>
      <c r="J10267" s="27">
        <v>667.16</v>
      </c>
      <c r="K10267" s="18">
        <f t="shared" si="321"/>
        <v>667.16</v>
      </c>
      <c r="L10267" s="27">
        <v>667.16</v>
      </c>
      <c r="M10267" s="36">
        <v>0</v>
      </c>
      <c r="T10267" s="41">
        <v>0</v>
      </c>
      <c r="U10267" s="41">
        <v>0</v>
      </c>
      <c r="V10267" s="42" t="s">
        <v>113</v>
      </c>
      <c r="W10267" s="42">
        <v>667.16</v>
      </c>
      <c r="X10267" s="42">
        <v>667.16</v>
      </c>
    </row>
    <row r="10268" spans="1:24">
      <c r="A10268" s="27" t="s">
        <v>18509</v>
      </c>
      <c r="B10268" s="28" t="s">
        <v>17556</v>
      </c>
      <c r="C10268" s="27" t="s">
        <v>18510</v>
      </c>
      <c r="D10268" s="27" t="s">
        <v>17558</v>
      </c>
      <c r="E10268" s="29">
        <v>35064</v>
      </c>
      <c r="F10268" s="27">
        <v>7</v>
      </c>
      <c r="G10268" s="18">
        <v>667.16</v>
      </c>
      <c r="H10268" s="27">
        <f t="shared" si="320"/>
        <v>667.16</v>
      </c>
      <c r="I10268" s="18">
        <v>667.16</v>
      </c>
      <c r="J10268" s="27">
        <v>667.16</v>
      </c>
      <c r="K10268" s="18">
        <f t="shared" si="321"/>
        <v>667.16</v>
      </c>
      <c r="L10268" s="27">
        <v>667.16</v>
      </c>
      <c r="M10268" s="36">
        <v>0</v>
      </c>
      <c r="T10268" s="41">
        <v>0</v>
      </c>
      <c r="U10268" s="41">
        <v>0</v>
      </c>
      <c r="V10268" s="42" t="s">
        <v>113</v>
      </c>
      <c r="W10268" s="42">
        <v>667.16</v>
      </c>
      <c r="X10268" s="42">
        <v>667.16</v>
      </c>
    </row>
    <row r="10269" spans="1:24">
      <c r="A10269" s="27" t="s">
        <v>18511</v>
      </c>
      <c r="B10269" s="28" t="s">
        <v>17556</v>
      </c>
      <c r="C10269" s="27" t="s">
        <v>18512</v>
      </c>
      <c r="D10269" s="27" t="s">
        <v>17558</v>
      </c>
      <c r="E10269" s="29">
        <v>35064</v>
      </c>
      <c r="F10269" s="27">
        <v>7</v>
      </c>
      <c r="G10269" s="18">
        <v>667.16</v>
      </c>
      <c r="H10269" s="27">
        <f t="shared" si="320"/>
        <v>667.16</v>
      </c>
      <c r="I10269" s="18">
        <v>667.16</v>
      </c>
      <c r="J10269" s="27">
        <v>667.16</v>
      </c>
      <c r="K10269" s="18">
        <f t="shared" si="321"/>
        <v>667.16</v>
      </c>
      <c r="L10269" s="27">
        <v>667.16</v>
      </c>
      <c r="M10269" s="36">
        <v>0</v>
      </c>
      <c r="T10269" s="41">
        <v>0</v>
      </c>
      <c r="U10269" s="41">
        <v>0</v>
      </c>
      <c r="V10269" s="42" t="s">
        <v>113</v>
      </c>
      <c r="W10269" s="42">
        <v>667.16</v>
      </c>
      <c r="X10269" s="42">
        <v>667.16</v>
      </c>
    </row>
    <row r="10270" spans="1:24">
      <c r="A10270" s="27" t="s">
        <v>18513</v>
      </c>
      <c r="B10270" s="28" t="s">
        <v>17556</v>
      </c>
      <c r="C10270" s="27" t="s">
        <v>18514</v>
      </c>
      <c r="D10270" s="27" t="s">
        <v>17558</v>
      </c>
      <c r="E10270" s="29">
        <v>35064</v>
      </c>
      <c r="F10270" s="27">
        <v>7</v>
      </c>
      <c r="G10270" s="18">
        <v>667.16</v>
      </c>
      <c r="H10270" s="27">
        <f t="shared" si="320"/>
        <v>667.16</v>
      </c>
      <c r="I10270" s="18">
        <v>667.16</v>
      </c>
      <c r="J10270" s="27">
        <v>667.16</v>
      </c>
      <c r="K10270" s="18">
        <f t="shared" si="321"/>
        <v>667.16</v>
      </c>
      <c r="L10270" s="27">
        <v>667.16</v>
      </c>
      <c r="M10270" s="36">
        <v>0</v>
      </c>
      <c r="T10270" s="41">
        <v>0</v>
      </c>
      <c r="U10270" s="41">
        <v>0</v>
      </c>
      <c r="V10270" s="42" t="s">
        <v>113</v>
      </c>
      <c r="W10270" s="42">
        <v>667.16</v>
      </c>
      <c r="X10270" s="42">
        <v>667.16</v>
      </c>
    </row>
    <row r="10271" spans="1:24">
      <c r="A10271" s="27" t="s">
        <v>18515</v>
      </c>
      <c r="B10271" s="28" t="s">
        <v>17556</v>
      </c>
      <c r="C10271" s="27" t="s">
        <v>18516</v>
      </c>
      <c r="D10271" s="27" t="s">
        <v>17558</v>
      </c>
      <c r="E10271" s="29">
        <v>35064</v>
      </c>
      <c r="F10271" s="27">
        <v>7</v>
      </c>
      <c r="G10271" s="18">
        <v>667.16</v>
      </c>
      <c r="H10271" s="27">
        <f t="shared" si="320"/>
        <v>667.16</v>
      </c>
      <c r="I10271" s="18">
        <v>667.16</v>
      </c>
      <c r="J10271" s="27">
        <v>667.16</v>
      </c>
      <c r="K10271" s="18">
        <f t="shared" si="321"/>
        <v>667.16</v>
      </c>
      <c r="L10271" s="27">
        <v>667.16</v>
      </c>
      <c r="M10271" s="36">
        <v>0</v>
      </c>
      <c r="T10271" s="41">
        <v>0</v>
      </c>
      <c r="U10271" s="41">
        <v>0</v>
      </c>
      <c r="V10271" s="42" t="s">
        <v>113</v>
      </c>
      <c r="W10271" s="42">
        <v>667.16</v>
      </c>
      <c r="X10271" s="42">
        <v>667.16</v>
      </c>
    </row>
    <row r="10272" spans="1:24">
      <c r="A10272" s="27" t="s">
        <v>18517</v>
      </c>
      <c r="B10272" s="28" t="s">
        <v>17556</v>
      </c>
      <c r="C10272" s="27" t="s">
        <v>18518</v>
      </c>
      <c r="D10272" s="27" t="s">
        <v>17558</v>
      </c>
      <c r="E10272" s="29">
        <v>35064</v>
      </c>
      <c r="F10272" s="27">
        <v>7</v>
      </c>
      <c r="G10272" s="18">
        <v>667.16</v>
      </c>
      <c r="H10272" s="27">
        <f t="shared" si="320"/>
        <v>667.16</v>
      </c>
      <c r="I10272" s="18">
        <v>667.16</v>
      </c>
      <c r="J10272" s="27">
        <v>667.16</v>
      </c>
      <c r="K10272" s="18">
        <f t="shared" si="321"/>
        <v>667.16</v>
      </c>
      <c r="L10272" s="27">
        <v>667.16</v>
      </c>
      <c r="M10272" s="36">
        <v>0</v>
      </c>
      <c r="T10272" s="41">
        <v>0</v>
      </c>
      <c r="U10272" s="41">
        <v>0</v>
      </c>
      <c r="V10272" s="42" t="s">
        <v>113</v>
      </c>
      <c r="W10272" s="42">
        <v>667.16</v>
      </c>
      <c r="X10272" s="42">
        <v>667.16</v>
      </c>
    </row>
    <row r="10273" spans="1:24">
      <c r="A10273" s="27" t="s">
        <v>18519</v>
      </c>
      <c r="B10273" s="28" t="s">
        <v>17556</v>
      </c>
      <c r="C10273" s="27" t="s">
        <v>18520</v>
      </c>
      <c r="D10273" s="27" t="s">
        <v>17558</v>
      </c>
      <c r="E10273" s="29">
        <v>35064</v>
      </c>
      <c r="F10273" s="27">
        <v>7</v>
      </c>
      <c r="G10273" s="18">
        <v>667.16</v>
      </c>
      <c r="H10273" s="27">
        <f t="shared" si="320"/>
        <v>667.16</v>
      </c>
      <c r="I10273" s="18">
        <v>667.16</v>
      </c>
      <c r="J10273" s="27">
        <v>667.16</v>
      </c>
      <c r="K10273" s="18">
        <f t="shared" si="321"/>
        <v>667.16</v>
      </c>
      <c r="L10273" s="27">
        <v>667.16</v>
      </c>
      <c r="M10273" s="36">
        <v>0</v>
      </c>
      <c r="T10273" s="41">
        <v>0</v>
      </c>
      <c r="U10273" s="41">
        <v>0</v>
      </c>
      <c r="V10273" s="42" t="s">
        <v>113</v>
      </c>
      <c r="W10273" s="42">
        <v>667.16</v>
      </c>
      <c r="X10273" s="42">
        <v>667.16</v>
      </c>
    </row>
    <row r="10274" spans="1:24">
      <c r="A10274" s="27" t="s">
        <v>18521</v>
      </c>
      <c r="B10274" s="28" t="s">
        <v>17556</v>
      </c>
      <c r="C10274" s="27" t="s">
        <v>18522</v>
      </c>
      <c r="D10274" s="27" t="s">
        <v>17558</v>
      </c>
      <c r="E10274" s="29">
        <v>35064</v>
      </c>
      <c r="F10274" s="27">
        <v>7</v>
      </c>
      <c r="G10274" s="18">
        <v>667.16</v>
      </c>
      <c r="H10274" s="27">
        <f t="shared" si="320"/>
        <v>667.16</v>
      </c>
      <c r="I10274" s="18">
        <v>667.16</v>
      </c>
      <c r="J10274" s="27">
        <v>667.16</v>
      </c>
      <c r="K10274" s="18">
        <f t="shared" si="321"/>
        <v>667.16</v>
      </c>
      <c r="L10274" s="27">
        <v>667.16</v>
      </c>
      <c r="M10274" s="36">
        <v>0</v>
      </c>
      <c r="T10274" s="41">
        <v>0</v>
      </c>
      <c r="U10274" s="41">
        <v>0</v>
      </c>
      <c r="V10274" s="42" t="s">
        <v>113</v>
      </c>
      <c r="W10274" s="42">
        <v>667.16</v>
      </c>
      <c r="X10274" s="42">
        <v>667.16</v>
      </c>
    </row>
    <row r="10275" spans="1:24">
      <c r="A10275" s="27" t="s">
        <v>18523</v>
      </c>
      <c r="B10275" s="28" t="s">
        <v>17556</v>
      </c>
      <c r="C10275" s="27" t="s">
        <v>18524</v>
      </c>
      <c r="D10275" s="27" t="s">
        <v>17558</v>
      </c>
      <c r="E10275" s="29">
        <v>35064</v>
      </c>
      <c r="F10275" s="27">
        <v>7</v>
      </c>
      <c r="G10275" s="18">
        <v>667.16</v>
      </c>
      <c r="H10275" s="27">
        <f t="shared" si="320"/>
        <v>667.16</v>
      </c>
      <c r="I10275" s="18">
        <v>667.16</v>
      </c>
      <c r="J10275" s="27">
        <v>667.16</v>
      </c>
      <c r="K10275" s="18">
        <f t="shared" si="321"/>
        <v>667.16</v>
      </c>
      <c r="L10275" s="27">
        <v>667.16</v>
      </c>
      <c r="M10275" s="36">
        <v>0</v>
      </c>
      <c r="T10275" s="41">
        <v>0</v>
      </c>
      <c r="U10275" s="41">
        <v>0</v>
      </c>
      <c r="V10275" s="42" t="s">
        <v>113</v>
      </c>
      <c r="W10275" s="42">
        <v>667.16</v>
      </c>
      <c r="X10275" s="42">
        <v>667.16</v>
      </c>
    </row>
    <row r="10276" spans="1:24">
      <c r="A10276" s="27" t="s">
        <v>18525</v>
      </c>
      <c r="B10276" s="28" t="s">
        <v>17556</v>
      </c>
      <c r="C10276" s="27" t="s">
        <v>18526</v>
      </c>
      <c r="D10276" s="27" t="s">
        <v>17558</v>
      </c>
      <c r="E10276" s="29">
        <v>35064</v>
      </c>
      <c r="F10276" s="27">
        <v>7</v>
      </c>
      <c r="G10276" s="18">
        <v>667.16</v>
      </c>
      <c r="H10276" s="27">
        <f t="shared" si="320"/>
        <v>667.16</v>
      </c>
      <c r="I10276" s="18">
        <v>667.16</v>
      </c>
      <c r="J10276" s="27">
        <v>667.16</v>
      </c>
      <c r="K10276" s="18">
        <f t="shared" si="321"/>
        <v>667.16</v>
      </c>
      <c r="L10276" s="27">
        <v>667.16</v>
      </c>
      <c r="M10276" s="36">
        <v>0</v>
      </c>
      <c r="T10276" s="41">
        <v>0</v>
      </c>
      <c r="U10276" s="41">
        <v>0</v>
      </c>
      <c r="V10276" s="42" t="s">
        <v>113</v>
      </c>
      <c r="W10276" s="42">
        <v>667.16</v>
      </c>
      <c r="X10276" s="42">
        <v>667.16</v>
      </c>
    </row>
    <row r="10277" spans="1:24">
      <c r="A10277" s="27" t="s">
        <v>18527</v>
      </c>
      <c r="B10277" s="28" t="s">
        <v>17556</v>
      </c>
      <c r="C10277" s="27" t="s">
        <v>18528</v>
      </c>
      <c r="D10277" s="27" t="s">
        <v>17558</v>
      </c>
      <c r="E10277" s="29">
        <v>35064</v>
      </c>
      <c r="F10277" s="27">
        <v>7</v>
      </c>
      <c r="G10277" s="18">
        <v>667.16</v>
      </c>
      <c r="H10277" s="27">
        <f t="shared" si="320"/>
        <v>667.16</v>
      </c>
      <c r="I10277" s="18">
        <v>667.16</v>
      </c>
      <c r="J10277" s="27">
        <v>667.16</v>
      </c>
      <c r="K10277" s="18">
        <f t="shared" si="321"/>
        <v>667.16</v>
      </c>
      <c r="L10277" s="27">
        <v>667.16</v>
      </c>
      <c r="M10277" s="36">
        <v>0</v>
      </c>
      <c r="T10277" s="41">
        <v>0</v>
      </c>
      <c r="U10277" s="41">
        <v>0</v>
      </c>
      <c r="V10277" s="42" t="s">
        <v>113</v>
      </c>
      <c r="W10277" s="42">
        <v>667.16</v>
      </c>
      <c r="X10277" s="42">
        <v>667.16</v>
      </c>
    </row>
    <row r="10278" spans="1:24">
      <c r="A10278" s="27" t="s">
        <v>18529</v>
      </c>
      <c r="B10278" s="28" t="s">
        <v>17556</v>
      </c>
      <c r="C10278" s="27" t="s">
        <v>18530</v>
      </c>
      <c r="D10278" s="27" t="s">
        <v>17558</v>
      </c>
      <c r="E10278" s="29">
        <v>35064</v>
      </c>
      <c r="F10278" s="27">
        <v>7</v>
      </c>
      <c r="G10278" s="18">
        <v>667.16</v>
      </c>
      <c r="H10278" s="27">
        <f t="shared" si="320"/>
        <v>667.16</v>
      </c>
      <c r="I10278" s="18">
        <v>667.16</v>
      </c>
      <c r="J10278" s="27">
        <v>667.16</v>
      </c>
      <c r="K10278" s="18">
        <f t="shared" si="321"/>
        <v>667.16</v>
      </c>
      <c r="L10278" s="27">
        <v>667.16</v>
      </c>
      <c r="M10278" s="36">
        <v>0</v>
      </c>
      <c r="T10278" s="41">
        <v>0</v>
      </c>
      <c r="U10278" s="41">
        <v>0</v>
      </c>
      <c r="V10278" s="42" t="s">
        <v>113</v>
      </c>
      <c r="W10278" s="42">
        <v>667.16</v>
      </c>
      <c r="X10278" s="42">
        <v>667.16</v>
      </c>
    </row>
    <row r="10279" spans="1:24">
      <c r="A10279" s="27" t="s">
        <v>18531</v>
      </c>
      <c r="B10279" s="28" t="s">
        <v>17556</v>
      </c>
      <c r="C10279" s="27" t="s">
        <v>18532</v>
      </c>
      <c r="D10279" s="27" t="s">
        <v>17558</v>
      </c>
      <c r="E10279" s="29">
        <v>35064</v>
      </c>
      <c r="F10279" s="27">
        <v>7</v>
      </c>
      <c r="G10279" s="18">
        <v>667.16</v>
      </c>
      <c r="H10279" s="27">
        <f t="shared" si="320"/>
        <v>667.16</v>
      </c>
      <c r="I10279" s="18">
        <v>667.16</v>
      </c>
      <c r="J10279" s="27">
        <v>667.16</v>
      </c>
      <c r="K10279" s="18">
        <f t="shared" si="321"/>
        <v>667.16</v>
      </c>
      <c r="L10279" s="27">
        <v>667.16</v>
      </c>
      <c r="M10279" s="36">
        <v>0</v>
      </c>
      <c r="T10279" s="41">
        <v>0</v>
      </c>
      <c r="U10279" s="41">
        <v>0</v>
      </c>
      <c r="V10279" s="42" t="s">
        <v>113</v>
      </c>
      <c r="W10279" s="42">
        <v>667.16</v>
      </c>
      <c r="X10279" s="42">
        <v>667.16</v>
      </c>
    </row>
    <row r="10280" spans="1:24">
      <c r="A10280" s="27" t="s">
        <v>18533</v>
      </c>
      <c r="B10280" s="28" t="s">
        <v>17556</v>
      </c>
      <c r="C10280" s="27" t="s">
        <v>18534</v>
      </c>
      <c r="D10280" s="27" t="s">
        <v>17558</v>
      </c>
      <c r="E10280" s="29">
        <v>35064</v>
      </c>
      <c r="F10280" s="27">
        <v>7</v>
      </c>
      <c r="G10280" s="18">
        <v>667.16</v>
      </c>
      <c r="H10280" s="27">
        <f t="shared" si="320"/>
        <v>667.16</v>
      </c>
      <c r="I10280" s="18">
        <v>667.16</v>
      </c>
      <c r="J10280" s="27">
        <v>667.16</v>
      </c>
      <c r="K10280" s="18">
        <f t="shared" si="321"/>
        <v>667.16</v>
      </c>
      <c r="L10280" s="27">
        <v>667.16</v>
      </c>
      <c r="M10280" s="36">
        <v>0</v>
      </c>
      <c r="T10280" s="41">
        <v>0</v>
      </c>
      <c r="U10280" s="41">
        <v>0</v>
      </c>
      <c r="V10280" s="42" t="s">
        <v>113</v>
      </c>
      <c r="W10280" s="42">
        <v>667.16</v>
      </c>
      <c r="X10280" s="42">
        <v>667.16</v>
      </c>
    </row>
    <row r="10281" spans="1:24">
      <c r="A10281" s="27" t="s">
        <v>18535</v>
      </c>
      <c r="B10281" s="28" t="s">
        <v>17556</v>
      </c>
      <c r="C10281" s="27" t="s">
        <v>18536</v>
      </c>
      <c r="D10281" s="27" t="s">
        <v>17558</v>
      </c>
      <c r="E10281" s="29">
        <v>35064</v>
      </c>
      <c r="F10281" s="27">
        <v>7</v>
      </c>
      <c r="G10281" s="18">
        <v>667.16</v>
      </c>
      <c r="H10281" s="27">
        <f t="shared" si="320"/>
        <v>667.16</v>
      </c>
      <c r="I10281" s="18">
        <v>667.16</v>
      </c>
      <c r="J10281" s="27">
        <v>667.16</v>
      </c>
      <c r="K10281" s="18">
        <f t="shared" si="321"/>
        <v>667.16</v>
      </c>
      <c r="L10281" s="27">
        <v>667.16</v>
      </c>
      <c r="M10281" s="36">
        <v>0</v>
      </c>
      <c r="T10281" s="41">
        <v>0</v>
      </c>
      <c r="U10281" s="41">
        <v>0</v>
      </c>
      <c r="V10281" s="42" t="s">
        <v>113</v>
      </c>
      <c r="W10281" s="42">
        <v>667.16</v>
      </c>
      <c r="X10281" s="42">
        <v>667.16</v>
      </c>
    </row>
    <row r="10282" spans="1:24">
      <c r="A10282" s="27" t="s">
        <v>18537</v>
      </c>
      <c r="B10282" s="28" t="s">
        <v>17556</v>
      </c>
      <c r="C10282" s="27" t="s">
        <v>18538</v>
      </c>
      <c r="D10282" s="27" t="s">
        <v>17558</v>
      </c>
      <c r="E10282" s="29">
        <v>35064</v>
      </c>
      <c r="F10282" s="27">
        <v>7</v>
      </c>
      <c r="G10282" s="18">
        <v>667.16</v>
      </c>
      <c r="H10282" s="27">
        <f t="shared" si="320"/>
        <v>667.16</v>
      </c>
      <c r="I10282" s="18">
        <v>667.16</v>
      </c>
      <c r="J10282" s="27">
        <v>667.16</v>
      </c>
      <c r="K10282" s="18">
        <f t="shared" si="321"/>
        <v>667.16</v>
      </c>
      <c r="L10282" s="27">
        <v>667.16</v>
      </c>
      <c r="M10282" s="36">
        <v>0</v>
      </c>
      <c r="T10282" s="41">
        <v>0</v>
      </c>
      <c r="U10282" s="41">
        <v>0</v>
      </c>
      <c r="V10282" s="42" t="s">
        <v>113</v>
      </c>
      <c r="W10282" s="42">
        <v>667.16</v>
      </c>
      <c r="X10282" s="42">
        <v>667.16</v>
      </c>
    </row>
    <row r="10283" spans="1:24">
      <c r="A10283" s="27" t="s">
        <v>18539</v>
      </c>
      <c r="B10283" s="28" t="s">
        <v>17556</v>
      </c>
      <c r="C10283" s="27" t="s">
        <v>18540</v>
      </c>
      <c r="D10283" s="27" t="s">
        <v>17558</v>
      </c>
      <c r="E10283" s="29">
        <v>35064</v>
      </c>
      <c r="F10283" s="27">
        <v>7</v>
      </c>
      <c r="G10283" s="18">
        <v>667.16</v>
      </c>
      <c r="H10283" s="27">
        <f t="shared" si="320"/>
        <v>667.16</v>
      </c>
      <c r="I10283" s="18">
        <v>667.16</v>
      </c>
      <c r="J10283" s="27">
        <v>667.16</v>
      </c>
      <c r="K10283" s="18">
        <f t="shared" si="321"/>
        <v>667.16</v>
      </c>
      <c r="L10283" s="27">
        <v>667.16</v>
      </c>
      <c r="M10283" s="36">
        <v>0</v>
      </c>
      <c r="T10283" s="41">
        <v>0</v>
      </c>
      <c r="U10283" s="41">
        <v>0</v>
      </c>
      <c r="V10283" s="42" t="s">
        <v>113</v>
      </c>
      <c r="W10283" s="42">
        <v>667.16</v>
      </c>
      <c r="X10283" s="42">
        <v>667.16</v>
      </c>
    </row>
    <row r="10284" spans="1:24">
      <c r="A10284" s="27" t="s">
        <v>18541</v>
      </c>
      <c r="B10284" s="28" t="s">
        <v>17556</v>
      </c>
      <c r="C10284" s="27" t="s">
        <v>18542</v>
      </c>
      <c r="D10284" s="27" t="s">
        <v>17558</v>
      </c>
      <c r="E10284" s="29">
        <v>35064</v>
      </c>
      <c r="F10284" s="27">
        <v>7</v>
      </c>
      <c r="G10284" s="18">
        <v>667.16</v>
      </c>
      <c r="H10284" s="27">
        <f t="shared" si="320"/>
        <v>667.16</v>
      </c>
      <c r="I10284" s="18">
        <v>667.16</v>
      </c>
      <c r="J10284" s="27">
        <v>667.16</v>
      </c>
      <c r="K10284" s="18">
        <f t="shared" si="321"/>
        <v>667.16</v>
      </c>
      <c r="L10284" s="27">
        <v>667.16</v>
      </c>
      <c r="M10284" s="36">
        <v>0</v>
      </c>
      <c r="T10284" s="41">
        <v>0</v>
      </c>
      <c r="U10284" s="41">
        <v>0</v>
      </c>
      <c r="V10284" s="42" t="s">
        <v>113</v>
      </c>
      <c r="W10284" s="42">
        <v>667.16</v>
      </c>
      <c r="X10284" s="42">
        <v>667.16</v>
      </c>
    </row>
    <row r="10285" spans="1:24">
      <c r="A10285" s="27" t="s">
        <v>18543</v>
      </c>
      <c r="B10285" s="28" t="s">
        <v>17556</v>
      </c>
      <c r="C10285" s="27" t="s">
        <v>18544</v>
      </c>
      <c r="D10285" s="27" t="s">
        <v>17558</v>
      </c>
      <c r="E10285" s="29">
        <v>35064</v>
      </c>
      <c r="F10285" s="27">
        <v>7</v>
      </c>
      <c r="G10285" s="18">
        <v>667.16</v>
      </c>
      <c r="H10285" s="27">
        <f t="shared" si="320"/>
        <v>667.16</v>
      </c>
      <c r="I10285" s="18">
        <v>667.16</v>
      </c>
      <c r="J10285" s="27">
        <v>667.16</v>
      </c>
      <c r="K10285" s="18">
        <f t="shared" si="321"/>
        <v>667.16</v>
      </c>
      <c r="L10285" s="27">
        <v>667.16</v>
      </c>
      <c r="M10285" s="36">
        <v>0</v>
      </c>
      <c r="T10285" s="41">
        <v>0</v>
      </c>
      <c r="U10285" s="41">
        <v>0</v>
      </c>
      <c r="V10285" s="42" t="s">
        <v>113</v>
      </c>
      <c r="W10285" s="42">
        <v>667.16</v>
      </c>
      <c r="X10285" s="42">
        <v>667.16</v>
      </c>
    </row>
    <row r="10286" spans="1:24">
      <c r="A10286" s="27" t="s">
        <v>18545</v>
      </c>
      <c r="B10286" s="28" t="s">
        <v>17556</v>
      </c>
      <c r="C10286" s="27" t="s">
        <v>18546</v>
      </c>
      <c r="D10286" s="27" t="s">
        <v>17558</v>
      </c>
      <c r="E10286" s="29">
        <v>35064</v>
      </c>
      <c r="F10286" s="27">
        <v>7</v>
      </c>
      <c r="G10286" s="18">
        <v>667.16</v>
      </c>
      <c r="H10286" s="27">
        <f t="shared" si="320"/>
        <v>667.16</v>
      </c>
      <c r="I10286" s="18">
        <v>667.16</v>
      </c>
      <c r="J10286" s="27">
        <v>667.16</v>
      </c>
      <c r="K10286" s="18">
        <f t="shared" si="321"/>
        <v>667.16</v>
      </c>
      <c r="L10286" s="27">
        <v>667.16</v>
      </c>
      <c r="M10286" s="36">
        <v>0</v>
      </c>
      <c r="T10286" s="41">
        <v>0</v>
      </c>
      <c r="U10286" s="41">
        <v>0</v>
      </c>
      <c r="V10286" s="42" t="s">
        <v>113</v>
      </c>
      <c r="W10286" s="42">
        <v>667.16</v>
      </c>
      <c r="X10286" s="42">
        <v>667.16</v>
      </c>
    </row>
    <row r="10287" spans="1:24">
      <c r="A10287" s="27" t="s">
        <v>18547</v>
      </c>
      <c r="B10287" s="28" t="s">
        <v>17556</v>
      </c>
      <c r="C10287" s="27" t="s">
        <v>18548</v>
      </c>
      <c r="D10287" s="27" t="s">
        <v>17558</v>
      </c>
      <c r="E10287" s="29">
        <v>35064</v>
      </c>
      <c r="F10287" s="27">
        <v>7</v>
      </c>
      <c r="G10287" s="18">
        <v>667.16</v>
      </c>
      <c r="H10287" s="27">
        <f t="shared" si="320"/>
        <v>667.16</v>
      </c>
      <c r="I10287" s="18">
        <v>667.16</v>
      </c>
      <c r="J10287" s="27">
        <v>667.16</v>
      </c>
      <c r="K10287" s="18">
        <f t="shared" si="321"/>
        <v>667.16</v>
      </c>
      <c r="L10287" s="27">
        <v>667.16</v>
      </c>
      <c r="M10287" s="36">
        <v>0</v>
      </c>
      <c r="T10287" s="41">
        <v>0</v>
      </c>
      <c r="U10287" s="41">
        <v>0</v>
      </c>
      <c r="V10287" s="42" t="s">
        <v>113</v>
      </c>
      <c r="W10287" s="42">
        <v>667.16</v>
      </c>
      <c r="X10287" s="42">
        <v>667.16</v>
      </c>
    </row>
    <row r="10288" spans="1:24">
      <c r="A10288" s="27" t="s">
        <v>18549</v>
      </c>
      <c r="B10288" s="28" t="s">
        <v>17556</v>
      </c>
      <c r="C10288" s="27" t="s">
        <v>18550</v>
      </c>
      <c r="D10288" s="27" t="s">
        <v>17558</v>
      </c>
      <c r="E10288" s="29">
        <v>35064</v>
      </c>
      <c r="F10288" s="27">
        <v>7</v>
      </c>
      <c r="G10288" s="18">
        <v>667.16</v>
      </c>
      <c r="H10288" s="27">
        <f t="shared" si="320"/>
        <v>667.16</v>
      </c>
      <c r="I10288" s="18">
        <v>667.16</v>
      </c>
      <c r="J10288" s="27">
        <v>667.16</v>
      </c>
      <c r="K10288" s="18">
        <f t="shared" si="321"/>
        <v>667.16</v>
      </c>
      <c r="L10288" s="27">
        <v>667.16</v>
      </c>
      <c r="M10288" s="36">
        <v>0</v>
      </c>
      <c r="T10288" s="41">
        <v>0</v>
      </c>
      <c r="U10288" s="41">
        <v>0</v>
      </c>
      <c r="V10288" s="42" t="s">
        <v>113</v>
      </c>
      <c r="W10288" s="42">
        <v>667.16</v>
      </c>
      <c r="X10288" s="42">
        <v>667.16</v>
      </c>
    </row>
    <row r="10289" spans="1:24">
      <c r="A10289" s="27" t="s">
        <v>18551</v>
      </c>
      <c r="B10289" s="28" t="s">
        <v>17556</v>
      </c>
      <c r="C10289" s="27" t="s">
        <v>18552</v>
      </c>
      <c r="D10289" s="27" t="s">
        <v>17558</v>
      </c>
      <c r="E10289" s="29">
        <v>35064</v>
      </c>
      <c r="F10289" s="27">
        <v>7</v>
      </c>
      <c r="G10289" s="18">
        <v>667.16</v>
      </c>
      <c r="H10289" s="27">
        <f t="shared" si="320"/>
        <v>667.16</v>
      </c>
      <c r="I10289" s="18">
        <v>667.16</v>
      </c>
      <c r="J10289" s="27">
        <v>667.16</v>
      </c>
      <c r="K10289" s="18">
        <f t="shared" si="321"/>
        <v>667.16</v>
      </c>
      <c r="L10289" s="27">
        <v>667.16</v>
      </c>
      <c r="M10289" s="36">
        <v>0</v>
      </c>
      <c r="T10289" s="41">
        <v>0</v>
      </c>
      <c r="U10289" s="41">
        <v>0</v>
      </c>
      <c r="V10289" s="42" t="s">
        <v>113</v>
      </c>
      <c r="W10289" s="42">
        <v>667.16</v>
      </c>
      <c r="X10289" s="42">
        <v>667.16</v>
      </c>
    </row>
    <row r="10290" spans="1:24">
      <c r="A10290" s="27" t="s">
        <v>18553</v>
      </c>
      <c r="B10290" s="28" t="s">
        <v>17556</v>
      </c>
      <c r="C10290" s="27" t="s">
        <v>18554</v>
      </c>
      <c r="D10290" s="27" t="s">
        <v>17558</v>
      </c>
      <c r="E10290" s="29">
        <v>35064</v>
      </c>
      <c r="F10290" s="27">
        <v>7</v>
      </c>
      <c r="G10290" s="18">
        <v>667.16</v>
      </c>
      <c r="H10290" s="27">
        <f t="shared" si="320"/>
        <v>667.16</v>
      </c>
      <c r="I10290" s="18">
        <v>667.16</v>
      </c>
      <c r="J10290" s="27">
        <v>667.16</v>
      </c>
      <c r="K10290" s="18">
        <f t="shared" si="321"/>
        <v>667.16</v>
      </c>
      <c r="L10290" s="27">
        <v>667.16</v>
      </c>
      <c r="M10290" s="36">
        <v>0</v>
      </c>
      <c r="T10290" s="41">
        <v>0</v>
      </c>
      <c r="U10290" s="41">
        <v>0</v>
      </c>
      <c r="V10290" s="42" t="s">
        <v>113</v>
      </c>
      <c r="W10290" s="42">
        <v>667.16</v>
      </c>
      <c r="X10290" s="42">
        <v>667.16</v>
      </c>
    </row>
    <row r="10291" spans="1:24">
      <c r="A10291" s="27" t="s">
        <v>18555</v>
      </c>
      <c r="B10291" s="28" t="s">
        <v>17556</v>
      </c>
      <c r="C10291" s="27" t="s">
        <v>18556</v>
      </c>
      <c r="D10291" s="27" t="s">
        <v>17558</v>
      </c>
      <c r="E10291" s="29">
        <v>35064</v>
      </c>
      <c r="F10291" s="27">
        <v>7</v>
      </c>
      <c r="G10291" s="18">
        <v>667.16</v>
      </c>
      <c r="H10291" s="27">
        <f t="shared" si="320"/>
        <v>667.16</v>
      </c>
      <c r="I10291" s="18">
        <v>667.16</v>
      </c>
      <c r="J10291" s="27">
        <v>667.16</v>
      </c>
      <c r="K10291" s="18">
        <f t="shared" si="321"/>
        <v>667.16</v>
      </c>
      <c r="L10291" s="27">
        <v>667.16</v>
      </c>
      <c r="M10291" s="36">
        <v>0</v>
      </c>
      <c r="T10291" s="41">
        <v>0</v>
      </c>
      <c r="U10291" s="41">
        <v>0</v>
      </c>
      <c r="V10291" s="42" t="s">
        <v>113</v>
      </c>
      <c r="W10291" s="42">
        <v>667.16</v>
      </c>
      <c r="X10291" s="42">
        <v>667.16</v>
      </c>
    </row>
    <row r="10292" spans="1:24">
      <c r="A10292" s="27" t="s">
        <v>18557</v>
      </c>
      <c r="B10292" s="28" t="s">
        <v>17556</v>
      </c>
      <c r="C10292" s="27" t="s">
        <v>18558</v>
      </c>
      <c r="D10292" s="27" t="s">
        <v>17558</v>
      </c>
      <c r="E10292" s="29">
        <v>35064</v>
      </c>
      <c r="F10292" s="27">
        <v>7</v>
      </c>
      <c r="G10292" s="18">
        <v>667.16</v>
      </c>
      <c r="H10292" s="27">
        <f t="shared" si="320"/>
        <v>667.16</v>
      </c>
      <c r="I10292" s="18">
        <v>667.16</v>
      </c>
      <c r="J10292" s="27">
        <v>667.16</v>
      </c>
      <c r="K10292" s="18">
        <f t="shared" si="321"/>
        <v>667.16</v>
      </c>
      <c r="L10292" s="27">
        <v>667.16</v>
      </c>
      <c r="M10292" s="36">
        <v>0</v>
      </c>
      <c r="T10292" s="41">
        <v>0</v>
      </c>
      <c r="U10292" s="41">
        <v>0</v>
      </c>
      <c r="V10292" s="42" t="s">
        <v>113</v>
      </c>
      <c r="W10292" s="42">
        <v>667.16</v>
      </c>
      <c r="X10292" s="42">
        <v>667.16</v>
      </c>
    </row>
    <row r="10293" spans="1:24">
      <c r="A10293" s="27" t="s">
        <v>18559</v>
      </c>
      <c r="B10293" s="28" t="s">
        <v>17556</v>
      </c>
      <c r="C10293" s="27" t="s">
        <v>18560</v>
      </c>
      <c r="D10293" s="27" t="s">
        <v>17558</v>
      </c>
      <c r="E10293" s="29">
        <v>35064</v>
      </c>
      <c r="F10293" s="27">
        <v>7</v>
      </c>
      <c r="G10293" s="18">
        <v>667.16</v>
      </c>
      <c r="H10293" s="27">
        <f t="shared" si="320"/>
        <v>667.16</v>
      </c>
      <c r="I10293" s="18">
        <v>667.16</v>
      </c>
      <c r="J10293" s="27">
        <v>667.16</v>
      </c>
      <c r="K10293" s="18">
        <f t="shared" si="321"/>
        <v>667.16</v>
      </c>
      <c r="L10293" s="27">
        <v>667.16</v>
      </c>
      <c r="M10293" s="36">
        <v>0</v>
      </c>
      <c r="T10293" s="41">
        <v>0</v>
      </c>
      <c r="U10293" s="41">
        <v>0</v>
      </c>
      <c r="V10293" s="42" t="s">
        <v>113</v>
      </c>
      <c r="W10293" s="42">
        <v>667.16</v>
      </c>
      <c r="X10293" s="42">
        <v>667.16</v>
      </c>
    </row>
    <row r="10294" spans="1:24">
      <c r="A10294" s="27" t="s">
        <v>18561</v>
      </c>
      <c r="B10294" s="28" t="s">
        <v>17556</v>
      </c>
      <c r="C10294" s="27" t="s">
        <v>18562</v>
      </c>
      <c r="D10294" s="27" t="s">
        <v>17558</v>
      </c>
      <c r="E10294" s="29">
        <v>35064</v>
      </c>
      <c r="F10294" s="27">
        <v>7</v>
      </c>
      <c r="G10294" s="18">
        <v>667.16</v>
      </c>
      <c r="H10294" s="27">
        <f t="shared" si="320"/>
        <v>667.16</v>
      </c>
      <c r="I10294" s="18">
        <v>667.16</v>
      </c>
      <c r="J10294" s="27">
        <v>667.16</v>
      </c>
      <c r="K10294" s="18">
        <f t="shared" si="321"/>
        <v>667.16</v>
      </c>
      <c r="L10294" s="27">
        <v>667.16</v>
      </c>
      <c r="M10294" s="36">
        <v>0</v>
      </c>
      <c r="T10294" s="41">
        <v>0</v>
      </c>
      <c r="U10294" s="41">
        <v>0</v>
      </c>
      <c r="V10294" s="42" t="s">
        <v>113</v>
      </c>
      <c r="W10294" s="42">
        <v>667.16</v>
      </c>
      <c r="X10294" s="42">
        <v>667.16</v>
      </c>
    </row>
    <row r="10295" spans="1:24">
      <c r="A10295" s="27" t="s">
        <v>18563</v>
      </c>
      <c r="B10295" s="28" t="s">
        <v>17556</v>
      </c>
      <c r="C10295" s="27" t="s">
        <v>18564</v>
      </c>
      <c r="D10295" s="27" t="s">
        <v>17558</v>
      </c>
      <c r="E10295" s="29">
        <v>35064</v>
      </c>
      <c r="F10295" s="27">
        <v>7</v>
      </c>
      <c r="G10295" s="18">
        <v>667.16</v>
      </c>
      <c r="H10295" s="27">
        <f t="shared" si="320"/>
        <v>667.16</v>
      </c>
      <c r="I10295" s="18">
        <v>667.16</v>
      </c>
      <c r="J10295" s="27">
        <v>667.16</v>
      </c>
      <c r="K10295" s="18">
        <f t="shared" si="321"/>
        <v>667.16</v>
      </c>
      <c r="L10295" s="27">
        <v>667.16</v>
      </c>
      <c r="M10295" s="36">
        <v>0</v>
      </c>
      <c r="T10295" s="41">
        <v>0</v>
      </c>
      <c r="U10295" s="41">
        <v>0</v>
      </c>
      <c r="V10295" s="42" t="s">
        <v>113</v>
      </c>
      <c r="W10295" s="42">
        <v>667.16</v>
      </c>
      <c r="X10295" s="42">
        <v>667.16</v>
      </c>
    </row>
    <row r="10296" spans="1:24">
      <c r="A10296" s="27" t="s">
        <v>18565</v>
      </c>
      <c r="B10296" s="28" t="s">
        <v>17556</v>
      </c>
      <c r="C10296" s="27" t="s">
        <v>18566</v>
      </c>
      <c r="D10296" s="27" t="s">
        <v>17558</v>
      </c>
      <c r="E10296" s="29">
        <v>35064</v>
      </c>
      <c r="F10296" s="27">
        <v>7</v>
      </c>
      <c r="G10296" s="18">
        <v>667.16</v>
      </c>
      <c r="H10296" s="27">
        <f t="shared" si="320"/>
        <v>667.16</v>
      </c>
      <c r="I10296" s="18">
        <v>667.16</v>
      </c>
      <c r="J10296" s="27">
        <v>667.16</v>
      </c>
      <c r="K10296" s="18">
        <f t="shared" si="321"/>
        <v>667.16</v>
      </c>
      <c r="L10296" s="27">
        <v>667.16</v>
      </c>
      <c r="M10296" s="36">
        <v>0</v>
      </c>
      <c r="T10296" s="41">
        <v>0</v>
      </c>
      <c r="U10296" s="41">
        <v>0</v>
      </c>
      <c r="V10296" s="42" t="s">
        <v>113</v>
      </c>
      <c r="W10296" s="42">
        <v>667.16</v>
      </c>
      <c r="X10296" s="42">
        <v>667.16</v>
      </c>
    </row>
    <row r="10297" spans="1:24">
      <c r="A10297" s="27" t="s">
        <v>18567</v>
      </c>
      <c r="B10297" s="28" t="s">
        <v>17556</v>
      </c>
      <c r="C10297" s="27" t="s">
        <v>18568</v>
      </c>
      <c r="D10297" s="27" t="s">
        <v>17558</v>
      </c>
      <c r="E10297" s="29">
        <v>35064</v>
      </c>
      <c r="F10297" s="27">
        <v>7</v>
      </c>
      <c r="G10297" s="18">
        <v>667.16</v>
      </c>
      <c r="H10297" s="27">
        <f t="shared" si="320"/>
        <v>667.16</v>
      </c>
      <c r="I10297" s="18">
        <v>667.16</v>
      </c>
      <c r="J10297" s="27">
        <v>667.16</v>
      </c>
      <c r="K10297" s="18">
        <f t="shared" si="321"/>
        <v>667.16</v>
      </c>
      <c r="L10297" s="27">
        <v>667.16</v>
      </c>
      <c r="M10297" s="36">
        <v>0</v>
      </c>
      <c r="T10297" s="41">
        <v>0</v>
      </c>
      <c r="U10297" s="41">
        <v>0</v>
      </c>
      <c r="V10297" s="42" t="s">
        <v>113</v>
      </c>
      <c r="W10297" s="42">
        <v>667.16</v>
      </c>
      <c r="X10297" s="42">
        <v>667.16</v>
      </c>
    </row>
    <row r="10298" spans="1:24">
      <c r="A10298" s="27" t="s">
        <v>18569</v>
      </c>
      <c r="B10298" s="28" t="s">
        <v>17556</v>
      </c>
      <c r="C10298" s="27" t="s">
        <v>18570</v>
      </c>
      <c r="D10298" s="27" t="s">
        <v>17558</v>
      </c>
      <c r="E10298" s="29">
        <v>35064</v>
      </c>
      <c r="F10298" s="27">
        <v>7</v>
      </c>
      <c r="G10298" s="18">
        <v>667.16</v>
      </c>
      <c r="H10298" s="27">
        <f t="shared" si="320"/>
        <v>667.16</v>
      </c>
      <c r="I10298" s="18">
        <v>667.16</v>
      </c>
      <c r="J10298" s="27">
        <v>667.16</v>
      </c>
      <c r="K10298" s="18">
        <f t="shared" si="321"/>
        <v>667.16</v>
      </c>
      <c r="L10298" s="27">
        <v>667.16</v>
      </c>
      <c r="M10298" s="36">
        <v>0</v>
      </c>
      <c r="T10298" s="41">
        <v>0</v>
      </c>
      <c r="U10298" s="41">
        <v>0</v>
      </c>
      <c r="V10298" s="42" t="s">
        <v>113</v>
      </c>
      <c r="W10298" s="42">
        <v>667.16</v>
      </c>
      <c r="X10298" s="42">
        <v>667.16</v>
      </c>
    </row>
    <row r="10299" spans="1:24">
      <c r="A10299" s="27" t="s">
        <v>18571</v>
      </c>
      <c r="B10299" s="28" t="s">
        <v>17556</v>
      </c>
      <c r="C10299" s="27" t="s">
        <v>18572</v>
      </c>
      <c r="D10299" s="27" t="s">
        <v>17558</v>
      </c>
      <c r="E10299" s="29">
        <v>35064</v>
      </c>
      <c r="F10299" s="27">
        <v>7</v>
      </c>
      <c r="G10299" s="18">
        <v>667.16</v>
      </c>
      <c r="H10299" s="27">
        <f t="shared" si="320"/>
        <v>667.16</v>
      </c>
      <c r="I10299" s="18">
        <v>667.16</v>
      </c>
      <c r="J10299" s="27">
        <v>667.16</v>
      </c>
      <c r="K10299" s="18">
        <f t="shared" si="321"/>
        <v>667.16</v>
      </c>
      <c r="L10299" s="27">
        <v>667.16</v>
      </c>
      <c r="M10299" s="36">
        <v>0</v>
      </c>
      <c r="T10299" s="41">
        <v>0</v>
      </c>
      <c r="U10299" s="41">
        <v>0</v>
      </c>
      <c r="V10299" s="42" t="s">
        <v>113</v>
      </c>
      <c r="W10299" s="42">
        <v>667.16</v>
      </c>
      <c r="X10299" s="42">
        <v>667.16</v>
      </c>
    </row>
    <row r="10300" spans="1:24">
      <c r="A10300" s="27" t="s">
        <v>18573</v>
      </c>
      <c r="B10300" s="28" t="s">
        <v>17556</v>
      </c>
      <c r="C10300" s="27" t="s">
        <v>18574</v>
      </c>
      <c r="D10300" s="27" t="s">
        <v>17558</v>
      </c>
      <c r="E10300" s="29">
        <v>35064</v>
      </c>
      <c r="F10300" s="27">
        <v>7</v>
      </c>
      <c r="G10300" s="18">
        <v>667.16</v>
      </c>
      <c r="H10300" s="27">
        <f t="shared" si="320"/>
        <v>667.16</v>
      </c>
      <c r="I10300" s="18">
        <v>667.16</v>
      </c>
      <c r="J10300" s="27">
        <v>667.16</v>
      </c>
      <c r="K10300" s="18">
        <f t="shared" si="321"/>
        <v>667.16</v>
      </c>
      <c r="L10300" s="27">
        <v>667.16</v>
      </c>
      <c r="M10300" s="36">
        <v>0</v>
      </c>
      <c r="T10300" s="41">
        <v>0</v>
      </c>
      <c r="U10300" s="41">
        <v>0</v>
      </c>
      <c r="V10300" s="42" t="s">
        <v>113</v>
      </c>
      <c r="W10300" s="42">
        <v>667.16</v>
      </c>
      <c r="X10300" s="42">
        <v>667.16</v>
      </c>
    </row>
    <row r="10301" spans="1:24">
      <c r="A10301" s="27" t="s">
        <v>18575</v>
      </c>
      <c r="B10301" s="28" t="s">
        <v>17556</v>
      </c>
      <c r="C10301" s="27" t="s">
        <v>18576</v>
      </c>
      <c r="D10301" s="27" t="s">
        <v>17558</v>
      </c>
      <c r="E10301" s="29">
        <v>35064</v>
      </c>
      <c r="F10301" s="27">
        <v>7</v>
      </c>
      <c r="G10301" s="18">
        <v>667.16</v>
      </c>
      <c r="H10301" s="27">
        <f t="shared" si="320"/>
        <v>667.16</v>
      </c>
      <c r="I10301" s="18">
        <v>667.16</v>
      </c>
      <c r="J10301" s="27">
        <v>667.16</v>
      </c>
      <c r="K10301" s="18">
        <f t="shared" si="321"/>
        <v>667.16</v>
      </c>
      <c r="L10301" s="27">
        <v>667.16</v>
      </c>
      <c r="M10301" s="36">
        <v>0</v>
      </c>
      <c r="T10301" s="41">
        <v>0</v>
      </c>
      <c r="U10301" s="41">
        <v>0</v>
      </c>
      <c r="V10301" s="42" t="s">
        <v>113</v>
      </c>
      <c r="W10301" s="42">
        <v>667.16</v>
      </c>
      <c r="X10301" s="42">
        <v>667.16</v>
      </c>
    </row>
    <row r="10302" spans="1:24">
      <c r="A10302" s="27" t="s">
        <v>18577</v>
      </c>
      <c r="B10302" s="28" t="s">
        <v>17556</v>
      </c>
      <c r="C10302" s="27" t="s">
        <v>18578</v>
      </c>
      <c r="D10302" s="27" t="s">
        <v>17558</v>
      </c>
      <c r="E10302" s="29">
        <v>35064</v>
      </c>
      <c r="F10302" s="27">
        <v>7</v>
      </c>
      <c r="G10302" s="18">
        <v>667.16</v>
      </c>
      <c r="H10302" s="27">
        <f t="shared" si="320"/>
        <v>667.16</v>
      </c>
      <c r="I10302" s="18">
        <v>667.16</v>
      </c>
      <c r="J10302" s="27">
        <v>667.16</v>
      </c>
      <c r="K10302" s="18">
        <f t="shared" si="321"/>
        <v>667.16</v>
      </c>
      <c r="L10302" s="27">
        <v>667.16</v>
      </c>
      <c r="M10302" s="36">
        <v>0</v>
      </c>
      <c r="T10302" s="41">
        <v>0</v>
      </c>
      <c r="U10302" s="41">
        <v>0</v>
      </c>
      <c r="V10302" s="42" t="s">
        <v>113</v>
      </c>
      <c r="W10302" s="42">
        <v>667.16</v>
      </c>
      <c r="X10302" s="42">
        <v>667.16</v>
      </c>
    </row>
    <row r="10303" spans="1:24">
      <c r="A10303" s="27" t="s">
        <v>18579</v>
      </c>
      <c r="B10303" s="28" t="s">
        <v>17556</v>
      </c>
      <c r="C10303" s="27" t="s">
        <v>18580</v>
      </c>
      <c r="D10303" s="27" t="s">
        <v>17558</v>
      </c>
      <c r="E10303" s="29">
        <v>35064</v>
      </c>
      <c r="F10303" s="27">
        <v>7</v>
      </c>
      <c r="G10303" s="18">
        <v>667.16</v>
      </c>
      <c r="H10303" s="27">
        <f t="shared" si="320"/>
        <v>667.16</v>
      </c>
      <c r="I10303" s="18">
        <v>667.16</v>
      </c>
      <c r="J10303" s="27">
        <v>667.16</v>
      </c>
      <c r="K10303" s="18">
        <f t="shared" si="321"/>
        <v>667.16</v>
      </c>
      <c r="L10303" s="27">
        <v>667.16</v>
      </c>
      <c r="M10303" s="36">
        <v>0</v>
      </c>
      <c r="T10303" s="41">
        <v>0</v>
      </c>
      <c r="U10303" s="41">
        <v>0</v>
      </c>
      <c r="V10303" s="42" t="s">
        <v>113</v>
      </c>
      <c r="W10303" s="42">
        <v>667.16</v>
      </c>
      <c r="X10303" s="42">
        <v>667.16</v>
      </c>
    </row>
    <row r="10304" spans="1:24">
      <c r="A10304" s="27" t="s">
        <v>18581</v>
      </c>
      <c r="B10304" s="28" t="s">
        <v>17556</v>
      </c>
      <c r="C10304" s="27" t="s">
        <v>18582</v>
      </c>
      <c r="D10304" s="27" t="s">
        <v>17558</v>
      </c>
      <c r="E10304" s="29">
        <v>35064</v>
      </c>
      <c r="F10304" s="27">
        <v>7</v>
      </c>
      <c r="G10304" s="18">
        <v>667.16</v>
      </c>
      <c r="H10304" s="27">
        <f t="shared" si="320"/>
        <v>667.16</v>
      </c>
      <c r="I10304" s="18">
        <v>667.16</v>
      </c>
      <c r="J10304" s="27">
        <v>667.16</v>
      </c>
      <c r="K10304" s="18">
        <f t="shared" si="321"/>
        <v>667.16</v>
      </c>
      <c r="L10304" s="27">
        <v>667.16</v>
      </c>
      <c r="M10304" s="36">
        <v>0</v>
      </c>
      <c r="T10304" s="41">
        <v>0</v>
      </c>
      <c r="U10304" s="41">
        <v>0</v>
      </c>
      <c r="V10304" s="42" t="s">
        <v>113</v>
      </c>
      <c r="W10304" s="42">
        <v>667.16</v>
      </c>
      <c r="X10304" s="42">
        <v>667.16</v>
      </c>
    </row>
    <row r="10305" spans="1:24">
      <c r="A10305" s="27" t="s">
        <v>18583</v>
      </c>
      <c r="B10305" s="28" t="s">
        <v>17556</v>
      </c>
      <c r="C10305" s="27" t="s">
        <v>18584</v>
      </c>
      <c r="D10305" s="27" t="s">
        <v>17558</v>
      </c>
      <c r="E10305" s="29">
        <v>35064</v>
      </c>
      <c r="F10305" s="27">
        <v>7</v>
      </c>
      <c r="G10305" s="18">
        <v>667.16</v>
      </c>
      <c r="H10305" s="27">
        <f t="shared" si="320"/>
        <v>667.16</v>
      </c>
      <c r="I10305" s="18">
        <v>667.16</v>
      </c>
      <c r="J10305" s="27">
        <v>667.16</v>
      </c>
      <c r="K10305" s="18">
        <f t="shared" si="321"/>
        <v>667.16</v>
      </c>
      <c r="L10305" s="27">
        <v>667.16</v>
      </c>
      <c r="M10305" s="36">
        <v>0</v>
      </c>
      <c r="T10305" s="41">
        <v>0</v>
      </c>
      <c r="U10305" s="41">
        <v>0</v>
      </c>
      <c r="V10305" s="42" t="s">
        <v>113</v>
      </c>
      <c r="W10305" s="42">
        <v>667.16</v>
      </c>
      <c r="X10305" s="42">
        <v>667.16</v>
      </c>
    </row>
    <row r="10306" spans="1:24">
      <c r="A10306" s="27" t="s">
        <v>18585</v>
      </c>
      <c r="B10306" s="28" t="s">
        <v>17556</v>
      </c>
      <c r="C10306" s="27" t="s">
        <v>18586</v>
      </c>
      <c r="D10306" s="27" t="s">
        <v>17558</v>
      </c>
      <c r="E10306" s="29">
        <v>35064</v>
      </c>
      <c r="F10306" s="27">
        <v>7</v>
      </c>
      <c r="G10306" s="18">
        <v>667.16</v>
      </c>
      <c r="H10306" s="27">
        <f t="shared" si="320"/>
        <v>667.16</v>
      </c>
      <c r="I10306" s="18">
        <v>667.16</v>
      </c>
      <c r="J10306" s="27">
        <v>667.16</v>
      </c>
      <c r="K10306" s="18">
        <f t="shared" si="321"/>
        <v>667.16</v>
      </c>
      <c r="L10306" s="27">
        <v>667.16</v>
      </c>
      <c r="M10306" s="36">
        <v>0</v>
      </c>
      <c r="T10306" s="41">
        <v>0</v>
      </c>
      <c r="U10306" s="41">
        <v>0</v>
      </c>
      <c r="V10306" s="42" t="s">
        <v>113</v>
      </c>
      <c r="W10306" s="42">
        <v>667.16</v>
      </c>
      <c r="X10306" s="42">
        <v>667.16</v>
      </c>
    </row>
    <row r="10307" spans="1:24">
      <c r="A10307" s="27" t="s">
        <v>18587</v>
      </c>
      <c r="B10307" s="28" t="s">
        <v>17556</v>
      </c>
      <c r="C10307" s="27" t="s">
        <v>18588</v>
      </c>
      <c r="D10307" s="27" t="s">
        <v>17558</v>
      </c>
      <c r="E10307" s="29">
        <v>35064</v>
      </c>
      <c r="F10307" s="27">
        <v>7</v>
      </c>
      <c r="G10307" s="18">
        <v>667.16</v>
      </c>
      <c r="H10307" s="27">
        <f t="shared" si="320"/>
        <v>667.16</v>
      </c>
      <c r="I10307" s="18">
        <v>667.16</v>
      </c>
      <c r="J10307" s="27">
        <v>667.16</v>
      </c>
      <c r="K10307" s="18">
        <f t="shared" si="321"/>
        <v>667.16</v>
      </c>
      <c r="L10307" s="27">
        <v>667.16</v>
      </c>
      <c r="M10307" s="36">
        <v>0</v>
      </c>
      <c r="T10307" s="41">
        <v>0</v>
      </c>
      <c r="U10307" s="41">
        <v>0</v>
      </c>
      <c r="V10307" s="42" t="s">
        <v>113</v>
      </c>
      <c r="W10307" s="42">
        <v>667.16</v>
      </c>
      <c r="X10307" s="42">
        <v>667.16</v>
      </c>
    </row>
    <row r="10308" spans="1:24">
      <c r="A10308" s="27" t="s">
        <v>18589</v>
      </c>
      <c r="B10308" s="28" t="s">
        <v>17556</v>
      </c>
      <c r="C10308" s="27" t="s">
        <v>18590</v>
      </c>
      <c r="D10308" s="27" t="s">
        <v>17558</v>
      </c>
      <c r="E10308" s="29">
        <v>35064</v>
      </c>
      <c r="F10308" s="27">
        <v>7</v>
      </c>
      <c r="G10308" s="18">
        <v>667.16</v>
      </c>
      <c r="H10308" s="27">
        <f t="shared" si="320"/>
        <v>667.16</v>
      </c>
      <c r="I10308" s="18">
        <v>667.16</v>
      </c>
      <c r="J10308" s="27">
        <v>667.16</v>
      </c>
      <c r="K10308" s="18">
        <f t="shared" si="321"/>
        <v>667.16</v>
      </c>
      <c r="L10308" s="27">
        <v>667.16</v>
      </c>
      <c r="M10308" s="36">
        <v>0</v>
      </c>
      <c r="T10308" s="41">
        <v>0</v>
      </c>
      <c r="U10308" s="41">
        <v>0</v>
      </c>
      <c r="V10308" s="42" t="s">
        <v>113</v>
      </c>
      <c r="W10308" s="42">
        <v>667.16</v>
      </c>
      <c r="X10308" s="42">
        <v>667.16</v>
      </c>
    </row>
    <row r="10309" spans="1:24">
      <c r="A10309" s="27" t="s">
        <v>18591</v>
      </c>
      <c r="B10309" s="28" t="s">
        <v>17556</v>
      </c>
      <c r="C10309" s="27" t="s">
        <v>18592</v>
      </c>
      <c r="D10309" s="27" t="s">
        <v>17558</v>
      </c>
      <c r="E10309" s="29">
        <v>35064</v>
      </c>
      <c r="F10309" s="27">
        <v>7</v>
      </c>
      <c r="G10309" s="18">
        <v>667.16</v>
      </c>
      <c r="H10309" s="27">
        <f t="shared" si="320"/>
        <v>667.16</v>
      </c>
      <c r="I10309" s="18">
        <v>667.16</v>
      </c>
      <c r="J10309" s="27">
        <v>667.16</v>
      </c>
      <c r="K10309" s="18">
        <f t="shared" si="321"/>
        <v>667.16</v>
      </c>
      <c r="L10309" s="27">
        <v>667.16</v>
      </c>
      <c r="M10309" s="36">
        <v>0</v>
      </c>
      <c r="T10309" s="41">
        <v>0</v>
      </c>
      <c r="U10309" s="41">
        <v>0</v>
      </c>
      <c r="V10309" s="42" t="s">
        <v>113</v>
      </c>
      <c r="W10309" s="42">
        <v>667.16</v>
      </c>
      <c r="X10309" s="42">
        <v>667.16</v>
      </c>
    </row>
    <row r="10310" spans="1:24">
      <c r="A10310" s="27" t="s">
        <v>18593</v>
      </c>
      <c r="B10310" s="28" t="s">
        <v>17556</v>
      </c>
      <c r="C10310" s="27" t="s">
        <v>18594</v>
      </c>
      <c r="D10310" s="27" t="s">
        <v>17558</v>
      </c>
      <c r="E10310" s="29">
        <v>35064</v>
      </c>
      <c r="F10310" s="27">
        <v>7</v>
      </c>
      <c r="G10310" s="18">
        <v>667.16</v>
      </c>
      <c r="H10310" s="27">
        <f t="shared" ref="H10310:H10373" si="322">IFERROR(IF(ROUND((G10310-I10310)/G10310,2)&lt;=0.05,G10310,0),0)</f>
        <v>667.16</v>
      </c>
      <c r="I10310" s="18">
        <v>667.16</v>
      </c>
      <c r="J10310" s="27">
        <v>667.16</v>
      </c>
      <c r="K10310" s="18">
        <f t="shared" ref="K10310:K10373" si="323">IFERROR(IF(ROUND((J10310-L10310)/J10310,2)&lt;=0.05,J10310,0),0)</f>
        <v>667.16</v>
      </c>
      <c r="L10310" s="27">
        <v>667.16</v>
      </c>
      <c r="M10310" s="36">
        <v>0</v>
      </c>
      <c r="T10310" s="41">
        <v>0</v>
      </c>
      <c r="U10310" s="41">
        <v>0</v>
      </c>
      <c r="V10310" s="42" t="s">
        <v>113</v>
      </c>
      <c r="W10310" s="42">
        <v>667.16</v>
      </c>
      <c r="X10310" s="42">
        <v>667.16</v>
      </c>
    </row>
    <row r="10311" spans="1:24">
      <c r="A10311" s="27" t="s">
        <v>18595</v>
      </c>
      <c r="B10311" s="28" t="s">
        <v>17556</v>
      </c>
      <c r="C10311" s="27" t="s">
        <v>18596</v>
      </c>
      <c r="D10311" s="27" t="s">
        <v>17558</v>
      </c>
      <c r="E10311" s="29">
        <v>35064</v>
      </c>
      <c r="F10311" s="27">
        <v>7</v>
      </c>
      <c r="G10311" s="18">
        <v>667.16</v>
      </c>
      <c r="H10311" s="27">
        <f t="shared" si="322"/>
        <v>667.16</v>
      </c>
      <c r="I10311" s="18">
        <v>667.16</v>
      </c>
      <c r="J10311" s="27">
        <v>667.16</v>
      </c>
      <c r="K10311" s="18">
        <f t="shared" si="323"/>
        <v>667.16</v>
      </c>
      <c r="L10311" s="27">
        <v>667.16</v>
      </c>
      <c r="M10311" s="36">
        <v>0</v>
      </c>
      <c r="T10311" s="41">
        <v>0</v>
      </c>
      <c r="U10311" s="41">
        <v>0</v>
      </c>
      <c r="V10311" s="42" t="s">
        <v>113</v>
      </c>
      <c r="W10311" s="42">
        <v>667.16</v>
      </c>
      <c r="X10311" s="42">
        <v>667.16</v>
      </c>
    </row>
    <row r="10312" spans="1:24">
      <c r="A10312" s="27" t="s">
        <v>18597</v>
      </c>
      <c r="B10312" s="28" t="s">
        <v>17556</v>
      </c>
      <c r="C10312" s="27" t="s">
        <v>18598</v>
      </c>
      <c r="D10312" s="27" t="s">
        <v>17558</v>
      </c>
      <c r="E10312" s="29">
        <v>35064</v>
      </c>
      <c r="F10312" s="27">
        <v>7</v>
      </c>
      <c r="G10312" s="18">
        <v>667.16</v>
      </c>
      <c r="H10312" s="27">
        <f t="shared" si="322"/>
        <v>667.16</v>
      </c>
      <c r="I10312" s="18">
        <v>667.16</v>
      </c>
      <c r="J10312" s="27">
        <v>667.16</v>
      </c>
      <c r="K10312" s="18">
        <f t="shared" si="323"/>
        <v>667.16</v>
      </c>
      <c r="L10312" s="27">
        <v>667.16</v>
      </c>
      <c r="M10312" s="36">
        <v>0</v>
      </c>
      <c r="T10312" s="41">
        <v>0</v>
      </c>
      <c r="U10312" s="41">
        <v>0</v>
      </c>
      <c r="V10312" s="42" t="s">
        <v>113</v>
      </c>
      <c r="W10312" s="42">
        <v>667.16</v>
      </c>
      <c r="X10312" s="42">
        <v>667.16</v>
      </c>
    </row>
    <row r="10313" spans="1:24">
      <c r="A10313" s="27" t="s">
        <v>18599</v>
      </c>
      <c r="B10313" s="28" t="s">
        <v>17556</v>
      </c>
      <c r="C10313" s="27" t="s">
        <v>18600</v>
      </c>
      <c r="D10313" s="27" t="s">
        <v>17558</v>
      </c>
      <c r="E10313" s="29">
        <v>35064</v>
      </c>
      <c r="F10313" s="27">
        <v>7</v>
      </c>
      <c r="G10313" s="18">
        <v>667.16</v>
      </c>
      <c r="H10313" s="27">
        <f t="shared" si="322"/>
        <v>667.16</v>
      </c>
      <c r="I10313" s="18">
        <v>667.16</v>
      </c>
      <c r="J10313" s="27">
        <v>667.16</v>
      </c>
      <c r="K10313" s="18">
        <f t="shared" si="323"/>
        <v>667.16</v>
      </c>
      <c r="L10313" s="27">
        <v>667.16</v>
      </c>
      <c r="M10313" s="36">
        <v>0</v>
      </c>
      <c r="T10313" s="41">
        <v>0</v>
      </c>
      <c r="U10313" s="41">
        <v>0</v>
      </c>
      <c r="V10313" s="42" t="s">
        <v>113</v>
      </c>
      <c r="W10313" s="42">
        <v>667.16</v>
      </c>
      <c r="X10313" s="42">
        <v>667.16</v>
      </c>
    </row>
    <row r="10314" spans="1:24">
      <c r="A10314" s="27" t="s">
        <v>18601</v>
      </c>
      <c r="B10314" s="28" t="s">
        <v>17556</v>
      </c>
      <c r="C10314" s="27" t="s">
        <v>18602</v>
      </c>
      <c r="D10314" s="27" t="s">
        <v>17558</v>
      </c>
      <c r="E10314" s="29">
        <v>35064</v>
      </c>
      <c r="F10314" s="27">
        <v>7</v>
      </c>
      <c r="G10314" s="18">
        <v>667.16</v>
      </c>
      <c r="H10314" s="27">
        <f t="shared" si="322"/>
        <v>667.16</v>
      </c>
      <c r="I10314" s="18">
        <v>667.16</v>
      </c>
      <c r="J10314" s="27">
        <v>667.16</v>
      </c>
      <c r="K10314" s="18">
        <f t="shared" si="323"/>
        <v>667.16</v>
      </c>
      <c r="L10314" s="27">
        <v>667.16</v>
      </c>
      <c r="M10314" s="36">
        <v>0</v>
      </c>
      <c r="T10314" s="41">
        <v>0</v>
      </c>
      <c r="U10314" s="41">
        <v>0</v>
      </c>
      <c r="V10314" s="42" t="s">
        <v>113</v>
      </c>
      <c r="W10314" s="42">
        <v>667.16</v>
      </c>
      <c r="X10314" s="42">
        <v>667.16</v>
      </c>
    </row>
    <row r="10315" spans="1:24">
      <c r="A10315" s="27" t="s">
        <v>18603</v>
      </c>
      <c r="B10315" s="28" t="s">
        <v>17556</v>
      </c>
      <c r="C10315" s="27" t="s">
        <v>18604</v>
      </c>
      <c r="D10315" s="27" t="s">
        <v>17558</v>
      </c>
      <c r="E10315" s="29">
        <v>35064</v>
      </c>
      <c r="F10315" s="27">
        <v>7</v>
      </c>
      <c r="G10315" s="18">
        <v>667.16</v>
      </c>
      <c r="H10315" s="27">
        <f t="shared" si="322"/>
        <v>667.16</v>
      </c>
      <c r="I10315" s="18">
        <v>667.16</v>
      </c>
      <c r="J10315" s="27">
        <v>667.16</v>
      </c>
      <c r="K10315" s="18">
        <f t="shared" si="323"/>
        <v>667.16</v>
      </c>
      <c r="L10315" s="27">
        <v>667.16</v>
      </c>
      <c r="M10315" s="36">
        <v>0</v>
      </c>
      <c r="T10315" s="41">
        <v>0</v>
      </c>
      <c r="U10315" s="41">
        <v>0</v>
      </c>
      <c r="V10315" s="42" t="s">
        <v>113</v>
      </c>
      <c r="W10315" s="42">
        <v>667.16</v>
      </c>
      <c r="X10315" s="42">
        <v>667.16</v>
      </c>
    </row>
    <row r="10316" spans="1:24">
      <c r="A10316" s="27" t="s">
        <v>18605</v>
      </c>
      <c r="B10316" s="28" t="s">
        <v>17556</v>
      </c>
      <c r="C10316" s="27" t="s">
        <v>18606</v>
      </c>
      <c r="D10316" s="27" t="s">
        <v>17558</v>
      </c>
      <c r="E10316" s="29">
        <v>35064</v>
      </c>
      <c r="F10316" s="27">
        <v>7</v>
      </c>
      <c r="G10316" s="18">
        <v>667.16</v>
      </c>
      <c r="H10316" s="27">
        <f t="shared" si="322"/>
        <v>667.16</v>
      </c>
      <c r="I10316" s="18">
        <v>667.16</v>
      </c>
      <c r="J10316" s="27">
        <v>667.16</v>
      </c>
      <c r="K10316" s="18">
        <f t="shared" si="323"/>
        <v>667.16</v>
      </c>
      <c r="L10316" s="27">
        <v>667.16</v>
      </c>
      <c r="M10316" s="36">
        <v>0</v>
      </c>
      <c r="T10316" s="41">
        <v>0</v>
      </c>
      <c r="U10316" s="41">
        <v>0</v>
      </c>
      <c r="V10316" s="42" t="s">
        <v>113</v>
      </c>
      <c r="W10316" s="42">
        <v>667.16</v>
      </c>
      <c r="X10316" s="42">
        <v>667.16</v>
      </c>
    </row>
    <row r="10317" spans="1:24">
      <c r="A10317" s="27" t="s">
        <v>18607</v>
      </c>
      <c r="B10317" s="28" t="s">
        <v>17556</v>
      </c>
      <c r="C10317" s="27" t="s">
        <v>18608</v>
      </c>
      <c r="D10317" s="27" t="s">
        <v>17558</v>
      </c>
      <c r="E10317" s="29">
        <v>35064</v>
      </c>
      <c r="F10317" s="27">
        <v>7</v>
      </c>
      <c r="G10317" s="18">
        <v>667.16</v>
      </c>
      <c r="H10317" s="27">
        <f t="shared" si="322"/>
        <v>667.16</v>
      </c>
      <c r="I10317" s="18">
        <v>667.16</v>
      </c>
      <c r="J10317" s="27">
        <v>667.16</v>
      </c>
      <c r="K10317" s="18">
        <f t="shared" si="323"/>
        <v>667.16</v>
      </c>
      <c r="L10317" s="27">
        <v>667.16</v>
      </c>
      <c r="M10317" s="36">
        <v>0</v>
      </c>
      <c r="T10317" s="41">
        <v>0</v>
      </c>
      <c r="U10317" s="41">
        <v>0</v>
      </c>
      <c r="V10317" s="42" t="s">
        <v>113</v>
      </c>
      <c r="W10317" s="42">
        <v>667.16</v>
      </c>
      <c r="X10317" s="42">
        <v>667.16</v>
      </c>
    </row>
    <row r="10318" spans="1:24">
      <c r="A10318" s="27" t="s">
        <v>18609</v>
      </c>
      <c r="B10318" s="28" t="s">
        <v>17556</v>
      </c>
      <c r="C10318" s="27" t="s">
        <v>18610</v>
      </c>
      <c r="D10318" s="27" t="s">
        <v>17558</v>
      </c>
      <c r="E10318" s="29">
        <v>35064</v>
      </c>
      <c r="F10318" s="27">
        <v>7</v>
      </c>
      <c r="G10318" s="18">
        <v>667.16</v>
      </c>
      <c r="H10318" s="27">
        <f t="shared" si="322"/>
        <v>667.16</v>
      </c>
      <c r="I10318" s="18">
        <v>667.16</v>
      </c>
      <c r="J10318" s="27">
        <v>667.16</v>
      </c>
      <c r="K10318" s="18">
        <f t="shared" si="323"/>
        <v>667.16</v>
      </c>
      <c r="L10318" s="27">
        <v>667.16</v>
      </c>
      <c r="M10318" s="36">
        <v>0</v>
      </c>
      <c r="T10318" s="41">
        <v>0</v>
      </c>
      <c r="U10318" s="41">
        <v>0</v>
      </c>
      <c r="V10318" s="42" t="s">
        <v>113</v>
      </c>
      <c r="W10318" s="42">
        <v>667.16</v>
      </c>
      <c r="X10318" s="42">
        <v>667.16</v>
      </c>
    </row>
    <row r="10319" spans="1:24">
      <c r="A10319" s="27" t="s">
        <v>18611</v>
      </c>
      <c r="B10319" s="28" t="s">
        <v>17556</v>
      </c>
      <c r="C10319" s="27" t="s">
        <v>18612</v>
      </c>
      <c r="D10319" s="27" t="s">
        <v>17558</v>
      </c>
      <c r="E10319" s="29">
        <v>35064</v>
      </c>
      <c r="F10319" s="27">
        <v>7</v>
      </c>
      <c r="G10319" s="18">
        <v>667.16</v>
      </c>
      <c r="H10319" s="27">
        <f t="shared" si="322"/>
        <v>667.16</v>
      </c>
      <c r="I10319" s="18">
        <v>667.16</v>
      </c>
      <c r="J10319" s="27">
        <v>667.16</v>
      </c>
      <c r="K10319" s="18">
        <f t="shared" si="323"/>
        <v>667.16</v>
      </c>
      <c r="L10319" s="27">
        <v>667.16</v>
      </c>
      <c r="M10319" s="36">
        <v>0</v>
      </c>
      <c r="T10319" s="41">
        <v>0</v>
      </c>
      <c r="U10319" s="41">
        <v>0</v>
      </c>
      <c r="V10319" s="42" t="s">
        <v>113</v>
      </c>
      <c r="W10319" s="42">
        <v>667.16</v>
      </c>
      <c r="X10319" s="42">
        <v>667.16</v>
      </c>
    </row>
    <row r="10320" spans="1:24">
      <c r="A10320" s="27" t="s">
        <v>18613</v>
      </c>
      <c r="B10320" s="28" t="s">
        <v>17556</v>
      </c>
      <c r="C10320" s="27" t="s">
        <v>18614</v>
      </c>
      <c r="D10320" s="27" t="s">
        <v>17558</v>
      </c>
      <c r="E10320" s="29">
        <v>35064</v>
      </c>
      <c r="F10320" s="27">
        <v>7</v>
      </c>
      <c r="G10320" s="18">
        <v>667.16</v>
      </c>
      <c r="H10320" s="27">
        <f t="shared" si="322"/>
        <v>667.16</v>
      </c>
      <c r="I10320" s="18">
        <v>667.16</v>
      </c>
      <c r="J10320" s="27">
        <v>667.16</v>
      </c>
      <c r="K10320" s="18">
        <f t="shared" si="323"/>
        <v>667.16</v>
      </c>
      <c r="L10320" s="27">
        <v>667.16</v>
      </c>
      <c r="M10320" s="36">
        <v>0</v>
      </c>
      <c r="T10320" s="41">
        <v>0</v>
      </c>
      <c r="U10320" s="41">
        <v>0</v>
      </c>
      <c r="V10320" s="42" t="s">
        <v>113</v>
      </c>
      <c r="W10320" s="42">
        <v>667.16</v>
      </c>
      <c r="X10320" s="42">
        <v>667.16</v>
      </c>
    </row>
    <row r="10321" spans="1:24">
      <c r="A10321" s="27" t="s">
        <v>18615</v>
      </c>
      <c r="B10321" s="28" t="s">
        <v>17556</v>
      </c>
      <c r="C10321" s="27" t="s">
        <v>18616</v>
      </c>
      <c r="D10321" s="27" t="s">
        <v>17558</v>
      </c>
      <c r="E10321" s="29">
        <v>35064</v>
      </c>
      <c r="F10321" s="27">
        <v>7</v>
      </c>
      <c r="G10321" s="18">
        <v>667.16</v>
      </c>
      <c r="H10321" s="27">
        <f t="shared" si="322"/>
        <v>667.16</v>
      </c>
      <c r="I10321" s="18">
        <v>667.16</v>
      </c>
      <c r="J10321" s="27">
        <v>667.16</v>
      </c>
      <c r="K10321" s="18">
        <f t="shared" si="323"/>
        <v>667.16</v>
      </c>
      <c r="L10321" s="27">
        <v>667.16</v>
      </c>
      <c r="M10321" s="36">
        <v>0</v>
      </c>
      <c r="T10321" s="41">
        <v>0</v>
      </c>
      <c r="U10321" s="41">
        <v>0</v>
      </c>
      <c r="V10321" s="42" t="s">
        <v>113</v>
      </c>
      <c r="W10321" s="42">
        <v>667.16</v>
      </c>
      <c r="X10321" s="42">
        <v>667.16</v>
      </c>
    </row>
    <row r="10322" spans="1:24">
      <c r="A10322" s="27" t="s">
        <v>18617</v>
      </c>
      <c r="B10322" s="28" t="s">
        <v>17556</v>
      </c>
      <c r="C10322" s="27" t="s">
        <v>18618</v>
      </c>
      <c r="D10322" s="27" t="s">
        <v>17558</v>
      </c>
      <c r="E10322" s="29">
        <v>35064</v>
      </c>
      <c r="F10322" s="27">
        <v>7</v>
      </c>
      <c r="G10322" s="18">
        <v>667.16</v>
      </c>
      <c r="H10322" s="27">
        <f t="shared" si="322"/>
        <v>667.16</v>
      </c>
      <c r="I10322" s="18">
        <v>667.16</v>
      </c>
      <c r="J10322" s="27">
        <v>667.16</v>
      </c>
      <c r="K10322" s="18">
        <f t="shared" si="323"/>
        <v>667.16</v>
      </c>
      <c r="L10322" s="27">
        <v>667.16</v>
      </c>
      <c r="M10322" s="36">
        <v>0</v>
      </c>
      <c r="T10322" s="41">
        <v>0</v>
      </c>
      <c r="U10322" s="41">
        <v>0</v>
      </c>
      <c r="V10322" s="42" t="s">
        <v>113</v>
      </c>
      <c r="W10322" s="42">
        <v>667.16</v>
      </c>
      <c r="X10322" s="42">
        <v>667.16</v>
      </c>
    </row>
    <row r="10323" spans="1:24">
      <c r="A10323" s="27" t="s">
        <v>18619</v>
      </c>
      <c r="B10323" s="28" t="s">
        <v>17556</v>
      </c>
      <c r="C10323" s="27" t="s">
        <v>18620</v>
      </c>
      <c r="D10323" s="27" t="s">
        <v>17558</v>
      </c>
      <c r="E10323" s="29">
        <v>35064</v>
      </c>
      <c r="F10323" s="27">
        <v>7</v>
      </c>
      <c r="G10323" s="18">
        <v>667.16</v>
      </c>
      <c r="H10323" s="27">
        <f t="shared" si="322"/>
        <v>667.16</v>
      </c>
      <c r="I10323" s="18">
        <v>667.16</v>
      </c>
      <c r="J10323" s="27">
        <v>667.16</v>
      </c>
      <c r="K10323" s="18">
        <f t="shared" si="323"/>
        <v>667.16</v>
      </c>
      <c r="L10323" s="27">
        <v>667.16</v>
      </c>
      <c r="M10323" s="36">
        <v>0</v>
      </c>
      <c r="T10323" s="41">
        <v>0</v>
      </c>
      <c r="U10323" s="41">
        <v>0</v>
      </c>
      <c r="V10323" s="42" t="s">
        <v>113</v>
      </c>
      <c r="W10323" s="42">
        <v>667.16</v>
      </c>
      <c r="X10323" s="42">
        <v>667.16</v>
      </c>
    </row>
    <row r="10324" spans="1:24">
      <c r="A10324" s="27" t="s">
        <v>18621</v>
      </c>
      <c r="B10324" s="28" t="s">
        <v>17556</v>
      </c>
      <c r="C10324" s="27" t="s">
        <v>18622</v>
      </c>
      <c r="D10324" s="27" t="s">
        <v>17558</v>
      </c>
      <c r="E10324" s="29">
        <v>35064</v>
      </c>
      <c r="F10324" s="27">
        <v>7</v>
      </c>
      <c r="G10324" s="18">
        <v>667.16</v>
      </c>
      <c r="H10324" s="27">
        <f t="shared" si="322"/>
        <v>667.16</v>
      </c>
      <c r="I10324" s="18">
        <v>667.16</v>
      </c>
      <c r="J10324" s="27">
        <v>667.16</v>
      </c>
      <c r="K10324" s="18">
        <f t="shared" si="323"/>
        <v>667.16</v>
      </c>
      <c r="L10324" s="27">
        <v>667.16</v>
      </c>
      <c r="M10324" s="36">
        <v>0</v>
      </c>
      <c r="T10324" s="41">
        <v>0</v>
      </c>
      <c r="U10324" s="41">
        <v>0</v>
      </c>
      <c r="V10324" s="42" t="s">
        <v>113</v>
      </c>
      <c r="W10324" s="42">
        <v>667.16</v>
      </c>
      <c r="X10324" s="42">
        <v>667.16</v>
      </c>
    </row>
    <row r="10325" spans="1:24">
      <c r="A10325" s="27" t="s">
        <v>18623</v>
      </c>
      <c r="B10325" s="28" t="s">
        <v>17556</v>
      </c>
      <c r="C10325" s="27" t="s">
        <v>18624</v>
      </c>
      <c r="D10325" s="27" t="s">
        <v>17558</v>
      </c>
      <c r="E10325" s="29">
        <v>35064</v>
      </c>
      <c r="F10325" s="27">
        <v>7</v>
      </c>
      <c r="G10325" s="18">
        <v>667.16</v>
      </c>
      <c r="H10325" s="27">
        <f t="shared" si="322"/>
        <v>667.16</v>
      </c>
      <c r="I10325" s="18">
        <v>667.16</v>
      </c>
      <c r="J10325" s="27">
        <v>667.16</v>
      </c>
      <c r="K10325" s="18">
        <f t="shared" si="323"/>
        <v>667.16</v>
      </c>
      <c r="L10325" s="27">
        <v>667.16</v>
      </c>
      <c r="M10325" s="36">
        <v>0</v>
      </c>
      <c r="T10325" s="41">
        <v>0</v>
      </c>
      <c r="U10325" s="41">
        <v>0</v>
      </c>
      <c r="V10325" s="42" t="s">
        <v>113</v>
      </c>
      <c r="W10325" s="42">
        <v>667.16</v>
      </c>
      <c r="X10325" s="42">
        <v>667.16</v>
      </c>
    </row>
    <row r="10326" spans="1:24">
      <c r="A10326" s="27" t="s">
        <v>18625</v>
      </c>
      <c r="B10326" s="28" t="s">
        <v>17556</v>
      </c>
      <c r="C10326" s="27" t="s">
        <v>18626</v>
      </c>
      <c r="D10326" s="27" t="s">
        <v>17558</v>
      </c>
      <c r="E10326" s="29">
        <v>35064</v>
      </c>
      <c r="F10326" s="27">
        <v>7</v>
      </c>
      <c r="G10326" s="18">
        <v>667.16</v>
      </c>
      <c r="H10326" s="27">
        <f t="shared" si="322"/>
        <v>667.16</v>
      </c>
      <c r="I10326" s="18">
        <v>667.16</v>
      </c>
      <c r="J10326" s="27">
        <v>667.16</v>
      </c>
      <c r="K10326" s="18">
        <f t="shared" si="323"/>
        <v>667.16</v>
      </c>
      <c r="L10326" s="27">
        <v>667.16</v>
      </c>
      <c r="M10326" s="36">
        <v>0</v>
      </c>
      <c r="T10326" s="41">
        <v>0</v>
      </c>
      <c r="U10326" s="41">
        <v>0</v>
      </c>
      <c r="V10326" s="42" t="s">
        <v>113</v>
      </c>
      <c r="W10326" s="42">
        <v>667.16</v>
      </c>
      <c r="X10326" s="42">
        <v>667.16</v>
      </c>
    </row>
    <row r="10327" spans="1:24">
      <c r="A10327" s="27" t="s">
        <v>18627</v>
      </c>
      <c r="B10327" s="28" t="s">
        <v>17556</v>
      </c>
      <c r="C10327" s="27" t="s">
        <v>18628</v>
      </c>
      <c r="D10327" s="27" t="s">
        <v>17558</v>
      </c>
      <c r="E10327" s="29">
        <v>35064</v>
      </c>
      <c r="F10327" s="27">
        <v>7</v>
      </c>
      <c r="G10327" s="18">
        <v>667.16</v>
      </c>
      <c r="H10327" s="27">
        <f t="shared" si="322"/>
        <v>667.16</v>
      </c>
      <c r="I10327" s="18">
        <v>667.16</v>
      </c>
      <c r="J10327" s="27">
        <v>667.16</v>
      </c>
      <c r="K10327" s="18">
        <f t="shared" si="323"/>
        <v>667.16</v>
      </c>
      <c r="L10327" s="27">
        <v>667.16</v>
      </c>
      <c r="M10327" s="36">
        <v>0</v>
      </c>
      <c r="T10327" s="41">
        <v>0</v>
      </c>
      <c r="U10327" s="41">
        <v>0</v>
      </c>
      <c r="V10327" s="42" t="s">
        <v>113</v>
      </c>
      <c r="W10327" s="42">
        <v>667.16</v>
      </c>
      <c r="X10327" s="42">
        <v>667.16</v>
      </c>
    </row>
    <row r="10328" spans="1:24">
      <c r="A10328" s="27" t="s">
        <v>18629</v>
      </c>
      <c r="B10328" s="28" t="s">
        <v>17556</v>
      </c>
      <c r="C10328" s="27" t="s">
        <v>18630</v>
      </c>
      <c r="D10328" s="27" t="s">
        <v>17558</v>
      </c>
      <c r="E10328" s="29">
        <v>35064</v>
      </c>
      <c r="F10328" s="27">
        <v>7</v>
      </c>
      <c r="G10328" s="18">
        <v>667.16</v>
      </c>
      <c r="H10328" s="27">
        <f t="shared" si="322"/>
        <v>667.16</v>
      </c>
      <c r="I10328" s="18">
        <v>667.16</v>
      </c>
      <c r="J10328" s="27">
        <v>667.16</v>
      </c>
      <c r="K10328" s="18">
        <f t="shared" si="323"/>
        <v>667.16</v>
      </c>
      <c r="L10328" s="27">
        <v>667.16</v>
      </c>
      <c r="M10328" s="36">
        <v>0</v>
      </c>
      <c r="T10328" s="41">
        <v>0</v>
      </c>
      <c r="U10328" s="41">
        <v>0</v>
      </c>
      <c r="V10328" s="42" t="s">
        <v>113</v>
      </c>
      <c r="W10328" s="42">
        <v>667.16</v>
      </c>
      <c r="X10328" s="42">
        <v>667.16</v>
      </c>
    </row>
    <row r="10329" spans="1:24">
      <c r="A10329" s="27" t="s">
        <v>18631</v>
      </c>
      <c r="B10329" s="28" t="s">
        <v>17556</v>
      </c>
      <c r="C10329" s="27" t="s">
        <v>18632</v>
      </c>
      <c r="D10329" s="27" t="s">
        <v>17558</v>
      </c>
      <c r="E10329" s="29">
        <v>35064</v>
      </c>
      <c r="F10329" s="27">
        <v>7</v>
      </c>
      <c r="G10329" s="18">
        <v>667.16</v>
      </c>
      <c r="H10329" s="27">
        <f t="shared" si="322"/>
        <v>667.16</v>
      </c>
      <c r="I10329" s="18">
        <v>667.16</v>
      </c>
      <c r="J10329" s="27">
        <v>667.16</v>
      </c>
      <c r="K10329" s="18">
        <f t="shared" si="323"/>
        <v>667.16</v>
      </c>
      <c r="L10329" s="27">
        <v>667.16</v>
      </c>
      <c r="M10329" s="36">
        <v>0</v>
      </c>
      <c r="T10329" s="41">
        <v>0</v>
      </c>
      <c r="U10329" s="41">
        <v>0</v>
      </c>
      <c r="V10329" s="42" t="s">
        <v>113</v>
      </c>
      <c r="W10329" s="42">
        <v>667.16</v>
      </c>
      <c r="X10329" s="42">
        <v>667.16</v>
      </c>
    </row>
    <row r="10330" spans="1:24">
      <c r="A10330" s="27" t="s">
        <v>18633</v>
      </c>
      <c r="B10330" s="28" t="s">
        <v>17556</v>
      </c>
      <c r="C10330" s="27" t="s">
        <v>18634</v>
      </c>
      <c r="D10330" s="27" t="s">
        <v>17558</v>
      </c>
      <c r="E10330" s="29">
        <v>35064</v>
      </c>
      <c r="F10330" s="27">
        <v>7</v>
      </c>
      <c r="G10330" s="18">
        <v>667.16</v>
      </c>
      <c r="H10330" s="27">
        <f t="shared" si="322"/>
        <v>667.16</v>
      </c>
      <c r="I10330" s="18">
        <v>667.16</v>
      </c>
      <c r="J10330" s="27">
        <v>667.16</v>
      </c>
      <c r="K10330" s="18">
        <f t="shared" si="323"/>
        <v>667.16</v>
      </c>
      <c r="L10330" s="27">
        <v>667.16</v>
      </c>
      <c r="M10330" s="36">
        <v>0</v>
      </c>
      <c r="T10330" s="41">
        <v>0</v>
      </c>
      <c r="U10330" s="41">
        <v>0</v>
      </c>
      <c r="V10330" s="42" t="s">
        <v>113</v>
      </c>
      <c r="W10330" s="42">
        <v>667.16</v>
      </c>
      <c r="X10330" s="42">
        <v>667.16</v>
      </c>
    </row>
    <row r="10331" spans="1:24">
      <c r="A10331" s="27" t="s">
        <v>18635</v>
      </c>
      <c r="B10331" s="28" t="s">
        <v>17556</v>
      </c>
      <c r="C10331" s="27" t="s">
        <v>18636</v>
      </c>
      <c r="D10331" s="27" t="s">
        <v>17558</v>
      </c>
      <c r="E10331" s="29">
        <v>35064</v>
      </c>
      <c r="F10331" s="27">
        <v>7</v>
      </c>
      <c r="G10331" s="18">
        <v>667.16</v>
      </c>
      <c r="H10331" s="27">
        <f t="shared" si="322"/>
        <v>667.16</v>
      </c>
      <c r="I10331" s="18">
        <v>667.16</v>
      </c>
      <c r="J10331" s="27">
        <v>667.16</v>
      </c>
      <c r="K10331" s="18">
        <f t="shared" si="323"/>
        <v>667.16</v>
      </c>
      <c r="L10331" s="27">
        <v>667.16</v>
      </c>
      <c r="M10331" s="36">
        <v>0</v>
      </c>
      <c r="T10331" s="41">
        <v>0</v>
      </c>
      <c r="U10331" s="41">
        <v>0</v>
      </c>
      <c r="V10331" s="42" t="s">
        <v>113</v>
      </c>
      <c r="W10331" s="42">
        <v>667.16</v>
      </c>
      <c r="X10331" s="42">
        <v>667.16</v>
      </c>
    </row>
    <row r="10332" spans="1:24">
      <c r="A10332" s="27" t="s">
        <v>18637</v>
      </c>
      <c r="B10332" s="28" t="s">
        <v>17556</v>
      </c>
      <c r="C10332" s="27" t="s">
        <v>18638</v>
      </c>
      <c r="D10332" s="27" t="s">
        <v>17558</v>
      </c>
      <c r="E10332" s="29">
        <v>35064</v>
      </c>
      <c r="F10332" s="27">
        <v>7</v>
      </c>
      <c r="G10332" s="18">
        <v>667.16</v>
      </c>
      <c r="H10332" s="27">
        <f t="shared" si="322"/>
        <v>667.16</v>
      </c>
      <c r="I10332" s="18">
        <v>667.16</v>
      </c>
      <c r="J10332" s="27">
        <v>667.16</v>
      </c>
      <c r="K10332" s="18">
        <f t="shared" si="323"/>
        <v>667.16</v>
      </c>
      <c r="L10332" s="27">
        <v>667.16</v>
      </c>
      <c r="M10332" s="36">
        <v>0</v>
      </c>
      <c r="T10332" s="41">
        <v>0</v>
      </c>
      <c r="U10332" s="41">
        <v>0</v>
      </c>
      <c r="V10332" s="42" t="s">
        <v>113</v>
      </c>
      <c r="W10332" s="42">
        <v>667.16</v>
      </c>
      <c r="X10332" s="42">
        <v>667.16</v>
      </c>
    </row>
    <row r="10333" spans="1:24">
      <c r="A10333" s="27" t="s">
        <v>18639</v>
      </c>
      <c r="B10333" s="28" t="s">
        <v>17556</v>
      </c>
      <c r="C10333" s="27" t="s">
        <v>18640</v>
      </c>
      <c r="D10333" s="27" t="s">
        <v>17558</v>
      </c>
      <c r="E10333" s="29">
        <v>35064</v>
      </c>
      <c r="F10333" s="27">
        <v>7</v>
      </c>
      <c r="G10333" s="18">
        <v>667.16</v>
      </c>
      <c r="H10333" s="27">
        <f t="shared" si="322"/>
        <v>667.16</v>
      </c>
      <c r="I10333" s="18">
        <v>667.16</v>
      </c>
      <c r="J10333" s="27">
        <v>667.16</v>
      </c>
      <c r="K10333" s="18">
        <f t="shared" si="323"/>
        <v>667.16</v>
      </c>
      <c r="L10333" s="27">
        <v>667.16</v>
      </c>
      <c r="M10333" s="36">
        <v>0</v>
      </c>
      <c r="T10333" s="41">
        <v>0</v>
      </c>
      <c r="U10333" s="41">
        <v>0</v>
      </c>
      <c r="V10333" s="42" t="s">
        <v>113</v>
      </c>
      <c r="W10333" s="42">
        <v>667.16</v>
      </c>
      <c r="X10333" s="42">
        <v>667.16</v>
      </c>
    </row>
    <row r="10334" spans="1:24">
      <c r="A10334" s="27" t="s">
        <v>18641</v>
      </c>
      <c r="B10334" s="28" t="s">
        <v>17556</v>
      </c>
      <c r="C10334" s="27" t="s">
        <v>18642</v>
      </c>
      <c r="D10334" s="27" t="s">
        <v>17558</v>
      </c>
      <c r="E10334" s="29">
        <v>35064</v>
      </c>
      <c r="F10334" s="27">
        <v>7</v>
      </c>
      <c r="G10334" s="18">
        <v>667.16</v>
      </c>
      <c r="H10334" s="27">
        <f t="shared" si="322"/>
        <v>667.16</v>
      </c>
      <c r="I10334" s="18">
        <v>667.16</v>
      </c>
      <c r="J10334" s="27">
        <v>667.16</v>
      </c>
      <c r="K10334" s="18">
        <f t="shared" si="323"/>
        <v>667.16</v>
      </c>
      <c r="L10334" s="27">
        <v>667.16</v>
      </c>
      <c r="M10334" s="36">
        <v>0</v>
      </c>
      <c r="T10334" s="41">
        <v>0</v>
      </c>
      <c r="U10334" s="41">
        <v>0</v>
      </c>
      <c r="V10334" s="42" t="s">
        <v>113</v>
      </c>
      <c r="W10334" s="42">
        <v>667.16</v>
      </c>
      <c r="X10334" s="42">
        <v>667.16</v>
      </c>
    </row>
    <row r="10335" spans="1:24">
      <c r="A10335" s="27" t="s">
        <v>18643</v>
      </c>
      <c r="B10335" s="28" t="s">
        <v>17556</v>
      </c>
      <c r="C10335" s="27" t="s">
        <v>18644</v>
      </c>
      <c r="D10335" s="27" t="s">
        <v>17558</v>
      </c>
      <c r="E10335" s="29">
        <v>35064</v>
      </c>
      <c r="F10335" s="27">
        <v>7</v>
      </c>
      <c r="G10335" s="18">
        <v>667.16</v>
      </c>
      <c r="H10335" s="27">
        <f t="shared" si="322"/>
        <v>667.16</v>
      </c>
      <c r="I10335" s="18">
        <v>667.16</v>
      </c>
      <c r="J10335" s="27">
        <v>667.16</v>
      </c>
      <c r="K10335" s="18">
        <f t="shared" si="323"/>
        <v>667.16</v>
      </c>
      <c r="L10335" s="27">
        <v>667.16</v>
      </c>
      <c r="M10335" s="36">
        <v>0</v>
      </c>
      <c r="T10335" s="41">
        <v>0</v>
      </c>
      <c r="U10335" s="41">
        <v>0</v>
      </c>
      <c r="V10335" s="42" t="s">
        <v>113</v>
      </c>
      <c r="W10335" s="42">
        <v>667.16</v>
      </c>
      <c r="X10335" s="42">
        <v>667.16</v>
      </c>
    </row>
    <row r="10336" spans="1:24">
      <c r="A10336" s="27" t="s">
        <v>18645</v>
      </c>
      <c r="B10336" s="28" t="s">
        <v>17556</v>
      </c>
      <c r="C10336" s="27" t="s">
        <v>18646</v>
      </c>
      <c r="D10336" s="27" t="s">
        <v>17558</v>
      </c>
      <c r="E10336" s="29">
        <v>35064</v>
      </c>
      <c r="F10336" s="27">
        <v>7</v>
      </c>
      <c r="G10336" s="18">
        <v>667.16</v>
      </c>
      <c r="H10336" s="27">
        <f t="shared" si="322"/>
        <v>667.16</v>
      </c>
      <c r="I10336" s="18">
        <v>667.16</v>
      </c>
      <c r="J10336" s="27">
        <v>667.16</v>
      </c>
      <c r="K10336" s="18">
        <f t="shared" si="323"/>
        <v>667.16</v>
      </c>
      <c r="L10336" s="27">
        <v>667.16</v>
      </c>
      <c r="M10336" s="36">
        <v>0</v>
      </c>
      <c r="T10336" s="41">
        <v>0</v>
      </c>
      <c r="U10336" s="41">
        <v>0</v>
      </c>
      <c r="V10336" s="42" t="s">
        <v>113</v>
      </c>
      <c r="W10336" s="42">
        <v>667.16</v>
      </c>
      <c r="X10336" s="42">
        <v>667.16</v>
      </c>
    </row>
    <row r="10337" spans="1:24">
      <c r="A10337" s="27" t="s">
        <v>18647</v>
      </c>
      <c r="B10337" s="28" t="s">
        <v>17556</v>
      </c>
      <c r="C10337" s="27" t="s">
        <v>18648</v>
      </c>
      <c r="D10337" s="27" t="s">
        <v>17558</v>
      </c>
      <c r="E10337" s="29">
        <v>35064</v>
      </c>
      <c r="F10337" s="27">
        <v>7</v>
      </c>
      <c r="G10337" s="18">
        <v>667.16</v>
      </c>
      <c r="H10337" s="27">
        <f t="shared" si="322"/>
        <v>667.16</v>
      </c>
      <c r="I10337" s="18">
        <v>667.16</v>
      </c>
      <c r="J10337" s="27">
        <v>667.16</v>
      </c>
      <c r="K10337" s="18">
        <f t="shared" si="323"/>
        <v>667.16</v>
      </c>
      <c r="L10337" s="27">
        <v>667.16</v>
      </c>
      <c r="M10337" s="36">
        <v>0</v>
      </c>
      <c r="T10337" s="41">
        <v>0</v>
      </c>
      <c r="U10337" s="41">
        <v>0</v>
      </c>
      <c r="V10337" s="42" t="s">
        <v>113</v>
      </c>
      <c r="W10337" s="42">
        <v>667.16</v>
      </c>
      <c r="X10337" s="42">
        <v>667.16</v>
      </c>
    </row>
    <row r="10338" spans="1:24">
      <c r="A10338" s="27" t="s">
        <v>18649</v>
      </c>
      <c r="B10338" s="28" t="s">
        <v>17556</v>
      </c>
      <c r="C10338" s="27" t="s">
        <v>18650</v>
      </c>
      <c r="D10338" s="27" t="s">
        <v>17558</v>
      </c>
      <c r="E10338" s="29">
        <v>35064</v>
      </c>
      <c r="F10338" s="27">
        <v>7</v>
      </c>
      <c r="G10338" s="18">
        <v>667.16</v>
      </c>
      <c r="H10338" s="27">
        <f t="shared" si="322"/>
        <v>667.16</v>
      </c>
      <c r="I10338" s="18">
        <v>667.16</v>
      </c>
      <c r="J10338" s="27">
        <v>667.16</v>
      </c>
      <c r="K10338" s="18">
        <f t="shared" si="323"/>
        <v>667.16</v>
      </c>
      <c r="L10338" s="27">
        <v>667.16</v>
      </c>
      <c r="M10338" s="36">
        <v>0</v>
      </c>
      <c r="T10338" s="41">
        <v>0</v>
      </c>
      <c r="U10338" s="41">
        <v>0</v>
      </c>
      <c r="V10338" s="42" t="s">
        <v>113</v>
      </c>
      <c r="W10338" s="42">
        <v>667.16</v>
      </c>
      <c r="X10338" s="42">
        <v>667.16</v>
      </c>
    </row>
    <row r="10339" spans="1:24">
      <c r="A10339" s="27" t="s">
        <v>18651</v>
      </c>
      <c r="B10339" s="28" t="s">
        <v>17556</v>
      </c>
      <c r="C10339" s="27" t="s">
        <v>18652</v>
      </c>
      <c r="D10339" s="27" t="s">
        <v>17558</v>
      </c>
      <c r="E10339" s="29">
        <v>35064</v>
      </c>
      <c r="F10339" s="27">
        <v>7</v>
      </c>
      <c r="G10339" s="18">
        <v>667.16</v>
      </c>
      <c r="H10339" s="27">
        <f t="shared" si="322"/>
        <v>667.16</v>
      </c>
      <c r="I10339" s="18">
        <v>667.16</v>
      </c>
      <c r="J10339" s="27">
        <v>667.16</v>
      </c>
      <c r="K10339" s="18">
        <f t="shared" si="323"/>
        <v>667.16</v>
      </c>
      <c r="L10339" s="27">
        <v>667.16</v>
      </c>
      <c r="M10339" s="36">
        <v>0</v>
      </c>
      <c r="T10339" s="41">
        <v>0</v>
      </c>
      <c r="U10339" s="41">
        <v>0</v>
      </c>
      <c r="V10339" s="42" t="s">
        <v>113</v>
      </c>
      <c r="W10339" s="42">
        <v>667.16</v>
      </c>
      <c r="X10339" s="42">
        <v>667.16</v>
      </c>
    </row>
    <row r="10340" spans="1:24">
      <c r="A10340" s="27" t="s">
        <v>18653</v>
      </c>
      <c r="B10340" s="28" t="s">
        <v>17556</v>
      </c>
      <c r="C10340" s="27" t="s">
        <v>18654</v>
      </c>
      <c r="D10340" s="27" t="s">
        <v>17558</v>
      </c>
      <c r="E10340" s="29">
        <v>35064</v>
      </c>
      <c r="F10340" s="27">
        <v>7</v>
      </c>
      <c r="G10340" s="18">
        <v>667.16</v>
      </c>
      <c r="H10340" s="27">
        <f t="shared" si="322"/>
        <v>667.16</v>
      </c>
      <c r="I10340" s="18">
        <v>667.16</v>
      </c>
      <c r="J10340" s="27">
        <v>667.16</v>
      </c>
      <c r="K10340" s="18">
        <f t="shared" si="323"/>
        <v>667.16</v>
      </c>
      <c r="L10340" s="27">
        <v>667.16</v>
      </c>
      <c r="M10340" s="36">
        <v>0</v>
      </c>
      <c r="T10340" s="41">
        <v>0</v>
      </c>
      <c r="U10340" s="41">
        <v>0</v>
      </c>
      <c r="V10340" s="42" t="s">
        <v>113</v>
      </c>
      <c r="W10340" s="42">
        <v>667.16</v>
      </c>
      <c r="X10340" s="42">
        <v>667.16</v>
      </c>
    </row>
    <row r="10341" spans="1:24">
      <c r="A10341" s="27" t="s">
        <v>18655</v>
      </c>
      <c r="B10341" s="28" t="s">
        <v>17556</v>
      </c>
      <c r="C10341" s="27" t="s">
        <v>18656</v>
      </c>
      <c r="D10341" s="27" t="s">
        <v>17558</v>
      </c>
      <c r="E10341" s="29">
        <v>35064</v>
      </c>
      <c r="F10341" s="27">
        <v>7</v>
      </c>
      <c r="G10341" s="18">
        <v>667.16</v>
      </c>
      <c r="H10341" s="27">
        <f t="shared" si="322"/>
        <v>667.16</v>
      </c>
      <c r="I10341" s="18">
        <v>667.16</v>
      </c>
      <c r="J10341" s="27">
        <v>667.16</v>
      </c>
      <c r="K10341" s="18">
        <f t="shared" si="323"/>
        <v>667.16</v>
      </c>
      <c r="L10341" s="27">
        <v>667.16</v>
      </c>
      <c r="M10341" s="36">
        <v>0</v>
      </c>
      <c r="T10341" s="41">
        <v>0</v>
      </c>
      <c r="U10341" s="41">
        <v>0</v>
      </c>
      <c r="V10341" s="42" t="s">
        <v>113</v>
      </c>
      <c r="W10341" s="42">
        <v>667.16</v>
      </c>
      <c r="X10341" s="42">
        <v>667.16</v>
      </c>
    </row>
    <row r="10342" spans="1:24">
      <c r="A10342" s="27" t="s">
        <v>18657</v>
      </c>
      <c r="B10342" s="28" t="s">
        <v>17556</v>
      </c>
      <c r="C10342" s="27" t="s">
        <v>18658</v>
      </c>
      <c r="D10342" s="27" t="s">
        <v>17558</v>
      </c>
      <c r="E10342" s="29">
        <v>35064</v>
      </c>
      <c r="F10342" s="27">
        <v>7</v>
      </c>
      <c r="G10342" s="18">
        <v>667.16</v>
      </c>
      <c r="H10342" s="27">
        <f t="shared" si="322"/>
        <v>667.16</v>
      </c>
      <c r="I10342" s="18">
        <v>667.16</v>
      </c>
      <c r="J10342" s="27">
        <v>667.16</v>
      </c>
      <c r="K10342" s="18">
        <f t="shared" si="323"/>
        <v>667.16</v>
      </c>
      <c r="L10342" s="27">
        <v>667.16</v>
      </c>
      <c r="M10342" s="36">
        <v>0</v>
      </c>
      <c r="T10342" s="41">
        <v>0</v>
      </c>
      <c r="U10342" s="41">
        <v>0</v>
      </c>
      <c r="V10342" s="42" t="s">
        <v>113</v>
      </c>
      <c r="W10342" s="42">
        <v>667.16</v>
      </c>
      <c r="X10342" s="42">
        <v>667.16</v>
      </c>
    </row>
    <row r="10343" spans="1:24">
      <c r="A10343" s="27" t="s">
        <v>18659</v>
      </c>
      <c r="B10343" s="28" t="s">
        <v>17556</v>
      </c>
      <c r="C10343" s="27" t="s">
        <v>18660</v>
      </c>
      <c r="D10343" s="27" t="s">
        <v>17558</v>
      </c>
      <c r="E10343" s="29">
        <v>35064</v>
      </c>
      <c r="F10343" s="27">
        <v>7</v>
      </c>
      <c r="G10343" s="18">
        <v>667.16</v>
      </c>
      <c r="H10343" s="27">
        <f t="shared" si="322"/>
        <v>667.16</v>
      </c>
      <c r="I10343" s="18">
        <v>667.16</v>
      </c>
      <c r="J10343" s="27">
        <v>667.16</v>
      </c>
      <c r="K10343" s="18">
        <f t="shared" si="323"/>
        <v>667.16</v>
      </c>
      <c r="L10343" s="27">
        <v>667.16</v>
      </c>
      <c r="M10343" s="36">
        <v>0</v>
      </c>
      <c r="T10343" s="41">
        <v>0</v>
      </c>
      <c r="U10343" s="41">
        <v>0</v>
      </c>
      <c r="V10343" s="42" t="s">
        <v>113</v>
      </c>
      <c r="W10343" s="42">
        <v>667.16</v>
      </c>
      <c r="X10343" s="42">
        <v>667.16</v>
      </c>
    </row>
    <row r="10344" spans="1:24">
      <c r="A10344" s="27" t="s">
        <v>18661</v>
      </c>
      <c r="B10344" s="28" t="s">
        <v>17556</v>
      </c>
      <c r="C10344" s="27" t="s">
        <v>18662</v>
      </c>
      <c r="D10344" s="27" t="s">
        <v>17558</v>
      </c>
      <c r="E10344" s="29">
        <v>35064</v>
      </c>
      <c r="F10344" s="27">
        <v>7</v>
      </c>
      <c r="G10344" s="18">
        <v>667.16</v>
      </c>
      <c r="H10344" s="27">
        <f t="shared" si="322"/>
        <v>667.16</v>
      </c>
      <c r="I10344" s="18">
        <v>667.16</v>
      </c>
      <c r="J10344" s="27">
        <v>667.16</v>
      </c>
      <c r="K10344" s="18">
        <f t="shared" si="323"/>
        <v>667.16</v>
      </c>
      <c r="L10344" s="27">
        <v>667.16</v>
      </c>
      <c r="M10344" s="36">
        <v>0</v>
      </c>
      <c r="T10344" s="41">
        <v>0</v>
      </c>
      <c r="U10344" s="41">
        <v>0</v>
      </c>
      <c r="V10344" s="42" t="s">
        <v>113</v>
      </c>
      <c r="W10344" s="42">
        <v>667.16</v>
      </c>
      <c r="X10344" s="42">
        <v>667.16</v>
      </c>
    </row>
    <row r="10345" spans="1:24">
      <c r="A10345" s="27" t="s">
        <v>18663</v>
      </c>
      <c r="B10345" s="28" t="s">
        <v>17556</v>
      </c>
      <c r="C10345" s="27" t="s">
        <v>18664</v>
      </c>
      <c r="D10345" s="27" t="s">
        <v>17558</v>
      </c>
      <c r="E10345" s="29">
        <v>35064</v>
      </c>
      <c r="F10345" s="27">
        <v>7</v>
      </c>
      <c r="G10345" s="18">
        <v>667.16</v>
      </c>
      <c r="H10345" s="27">
        <f t="shared" si="322"/>
        <v>667.16</v>
      </c>
      <c r="I10345" s="18">
        <v>667.16</v>
      </c>
      <c r="J10345" s="27">
        <v>667.16</v>
      </c>
      <c r="K10345" s="18">
        <f t="shared" si="323"/>
        <v>667.16</v>
      </c>
      <c r="L10345" s="27">
        <v>667.16</v>
      </c>
      <c r="M10345" s="36">
        <v>0</v>
      </c>
      <c r="T10345" s="41">
        <v>0</v>
      </c>
      <c r="U10345" s="41">
        <v>0</v>
      </c>
      <c r="V10345" s="42" t="s">
        <v>113</v>
      </c>
      <c r="W10345" s="42">
        <v>667.16</v>
      </c>
      <c r="X10345" s="42">
        <v>667.16</v>
      </c>
    </row>
    <row r="10346" spans="1:24">
      <c r="A10346" s="27" t="s">
        <v>18665</v>
      </c>
      <c r="B10346" s="28" t="s">
        <v>17556</v>
      </c>
      <c r="C10346" s="27" t="s">
        <v>18666</v>
      </c>
      <c r="D10346" s="27" t="s">
        <v>17558</v>
      </c>
      <c r="E10346" s="29">
        <v>35064</v>
      </c>
      <c r="F10346" s="27">
        <v>7</v>
      </c>
      <c r="G10346" s="18">
        <v>667.16</v>
      </c>
      <c r="H10346" s="27">
        <f t="shared" si="322"/>
        <v>667.16</v>
      </c>
      <c r="I10346" s="18">
        <v>667.16</v>
      </c>
      <c r="J10346" s="27">
        <v>667.16</v>
      </c>
      <c r="K10346" s="18">
        <f t="shared" si="323"/>
        <v>667.16</v>
      </c>
      <c r="L10346" s="27">
        <v>667.16</v>
      </c>
      <c r="M10346" s="36">
        <v>0</v>
      </c>
      <c r="T10346" s="41">
        <v>0</v>
      </c>
      <c r="U10346" s="41">
        <v>0</v>
      </c>
      <c r="V10346" s="42" t="s">
        <v>113</v>
      </c>
      <c r="W10346" s="42">
        <v>667.16</v>
      </c>
      <c r="X10346" s="42">
        <v>667.16</v>
      </c>
    </row>
    <row r="10347" spans="1:24">
      <c r="A10347" s="27" t="s">
        <v>18667</v>
      </c>
      <c r="B10347" s="28" t="s">
        <v>17556</v>
      </c>
      <c r="C10347" s="27" t="s">
        <v>18668</v>
      </c>
      <c r="D10347" s="27" t="s">
        <v>17558</v>
      </c>
      <c r="E10347" s="29">
        <v>35064</v>
      </c>
      <c r="F10347" s="27">
        <v>7</v>
      </c>
      <c r="G10347" s="18">
        <v>667.16</v>
      </c>
      <c r="H10347" s="27">
        <f t="shared" si="322"/>
        <v>667.16</v>
      </c>
      <c r="I10347" s="18">
        <v>667.16</v>
      </c>
      <c r="J10347" s="27">
        <v>667.16</v>
      </c>
      <c r="K10347" s="18">
        <f t="shared" si="323"/>
        <v>667.16</v>
      </c>
      <c r="L10347" s="27">
        <v>667.16</v>
      </c>
      <c r="M10347" s="36">
        <v>0</v>
      </c>
      <c r="T10347" s="41">
        <v>0</v>
      </c>
      <c r="U10347" s="41">
        <v>0</v>
      </c>
      <c r="V10347" s="42" t="s">
        <v>113</v>
      </c>
      <c r="W10347" s="42">
        <v>667.16</v>
      </c>
      <c r="X10347" s="42">
        <v>667.16</v>
      </c>
    </row>
    <row r="10348" spans="1:24">
      <c r="A10348" s="27" t="s">
        <v>18669</v>
      </c>
      <c r="B10348" s="28" t="s">
        <v>17556</v>
      </c>
      <c r="C10348" s="27" t="s">
        <v>18670</v>
      </c>
      <c r="D10348" s="27" t="s">
        <v>17558</v>
      </c>
      <c r="E10348" s="29">
        <v>35064</v>
      </c>
      <c r="F10348" s="27">
        <v>7</v>
      </c>
      <c r="G10348" s="18">
        <v>667.16</v>
      </c>
      <c r="H10348" s="27">
        <f t="shared" si="322"/>
        <v>667.16</v>
      </c>
      <c r="I10348" s="18">
        <v>667.16</v>
      </c>
      <c r="J10348" s="27">
        <v>667.16</v>
      </c>
      <c r="K10348" s="18">
        <f t="shared" si="323"/>
        <v>667.16</v>
      </c>
      <c r="L10348" s="27">
        <v>667.16</v>
      </c>
      <c r="M10348" s="36">
        <v>0</v>
      </c>
      <c r="T10348" s="41">
        <v>0</v>
      </c>
      <c r="U10348" s="41">
        <v>0</v>
      </c>
      <c r="V10348" s="42" t="s">
        <v>113</v>
      </c>
      <c r="W10348" s="42">
        <v>667.16</v>
      </c>
      <c r="X10348" s="42">
        <v>667.16</v>
      </c>
    </row>
    <row r="10349" spans="1:24">
      <c r="A10349" s="27" t="s">
        <v>18671</v>
      </c>
      <c r="B10349" s="28" t="s">
        <v>17556</v>
      </c>
      <c r="C10349" s="27" t="s">
        <v>18672</v>
      </c>
      <c r="D10349" s="27" t="s">
        <v>17558</v>
      </c>
      <c r="E10349" s="29">
        <v>35064</v>
      </c>
      <c r="F10349" s="27">
        <v>7</v>
      </c>
      <c r="G10349" s="18">
        <v>667.16</v>
      </c>
      <c r="H10349" s="27">
        <f t="shared" si="322"/>
        <v>667.16</v>
      </c>
      <c r="I10349" s="18">
        <v>667.16</v>
      </c>
      <c r="J10349" s="27">
        <v>667.16</v>
      </c>
      <c r="K10349" s="18">
        <f t="shared" si="323"/>
        <v>667.16</v>
      </c>
      <c r="L10349" s="27">
        <v>667.16</v>
      </c>
      <c r="M10349" s="36">
        <v>0</v>
      </c>
      <c r="T10349" s="41">
        <v>0</v>
      </c>
      <c r="U10349" s="41">
        <v>0</v>
      </c>
      <c r="V10349" s="42" t="s">
        <v>113</v>
      </c>
      <c r="W10349" s="42">
        <v>667.16</v>
      </c>
      <c r="X10349" s="42">
        <v>667.16</v>
      </c>
    </row>
    <row r="10350" spans="1:24">
      <c r="A10350" s="27" t="s">
        <v>18673</v>
      </c>
      <c r="B10350" s="28" t="s">
        <v>17556</v>
      </c>
      <c r="C10350" s="27" t="s">
        <v>18674</v>
      </c>
      <c r="D10350" s="27" t="s">
        <v>17558</v>
      </c>
      <c r="E10350" s="29">
        <v>35064</v>
      </c>
      <c r="F10350" s="27">
        <v>7</v>
      </c>
      <c r="G10350" s="18">
        <v>667.16</v>
      </c>
      <c r="H10350" s="27">
        <f t="shared" si="322"/>
        <v>667.16</v>
      </c>
      <c r="I10350" s="18">
        <v>667.16</v>
      </c>
      <c r="J10350" s="27">
        <v>667.16</v>
      </c>
      <c r="K10350" s="18">
        <f t="shared" si="323"/>
        <v>667.16</v>
      </c>
      <c r="L10350" s="27">
        <v>667.16</v>
      </c>
      <c r="M10350" s="36">
        <v>0</v>
      </c>
      <c r="T10350" s="41">
        <v>0</v>
      </c>
      <c r="U10350" s="41">
        <v>0</v>
      </c>
      <c r="V10350" s="42" t="s">
        <v>113</v>
      </c>
      <c r="W10350" s="42">
        <v>667.16</v>
      </c>
      <c r="X10350" s="42">
        <v>667.16</v>
      </c>
    </row>
    <row r="10351" spans="1:24">
      <c r="A10351" s="27" t="s">
        <v>18675</v>
      </c>
      <c r="B10351" s="28" t="s">
        <v>17556</v>
      </c>
      <c r="C10351" s="27" t="s">
        <v>18676</v>
      </c>
      <c r="D10351" s="27" t="s">
        <v>17558</v>
      </c>
      <c r="E10351" s="29">
        <v>35064</v>
      </c>
      <c r="F10351" s="27">
        <v>7</v>
      </c>
      <c r="G10351" s="18">
        <v>667.16</v>
      </c>
      <c r="H10351" s="27">
        <f t="shared" si="322"/>
        <v>667.16</v>
      </c>
      <c r="I10351" s="18">
        <v>667.16</v>
      </c>
      <c r="J10351" s="27">
        <v>667.16</v>
      </c>
      <c r="K10351" s="18">
        <f t="shared" si="323"/>
        <v>667.16</v>
      </c>
      <c r="L10351" s="27">
        <v>667.16</v>
      </c>
      <c r="M10351" s="36">
        <v>0</v>
      </c>
      <c r="T10351" s="41">
        <v>0</v>
      </c>
      <c r="U10351" s="41">
        <v>0</v>
      </c>
      <c r="V10351" s="42" t="s">
        <v>113</v>
      </c>
      <c r="W10351" s="42">
        <v>667.16</v>
      </c>
      <c r="X10351" s="42">
        <v>667.16</v>
      </c>
    </row>
    <row r="10352" spans="1:24">
      <c r="A10352" s="27" t="s">
        <v>18677</v>
      </c>
      <c r="B10352" s="28" t="s">
        <v>17556</v>
      </c>
      <c r="C10352" s="27" t="s">
        <v>18678</v>
      </c>
      <c r="D10352" s="27" t="s">
        <v>17558</v>
      </c>
      <c r="E10352" s="29">
        <v>35064</v>
      </c>
      <c r="F10352" s="27">
        <v>7</v>
      </c>
      <c r="G10352" s="18">
        <v>667.16</v>
      </c>
      <c r="H10352" s="27">
        <f t="shared" si="322"/>
        <v>667.16</v>
      </c>
      <c r="I10352" s="18">
        <v>667.16</v>
      </c>
      <c r="J10352" s="27">
        <v>667.16</v>
      </c>
      <c r="K10352" s="18">
        <f t="shared" si="323"/>
        <v>667.16</v>
      </c>
      <c r="L10352" s="27">
        <v>667.16</v>
      </c>
      <c r="M10352" s="36">
        <v>0</v>
      </c>
      <c r="T10352" s="41">
        <v>0</v>
      </c>
      <c r="U10352" s="41">
        <v>0</v>
      </c>
      <c r="V10352" s="42" t="s">
        <v>113</v>
      </c>
      <c r="W10352" s="42">
        <v>667.16</v>
      </c>
      <c r="X10352" s="42">
        <v>667.16</v>
      </c>
    </row>
    <row r="10353" spans="1:24">
      <c r="A10353" s="27" t="s">
        <v>18679</v>
      </c>
      <c r="B10353" s="28" t="s">
        <v>17556</v>
      </c>
      <c r="C10353" s="27" t="s">
        <v>18680</v>
      </c>
      <c r="D10353" s="27" t="s">
        <v>17558</v>
      </c>
      <c r="E10353" s="29">
        <v>35064</v>
      </c>
      <c r="F10353" s="27">
        <v>7</v>
      </c>
      <c r="G10353" s="18">
        <v>667.16</v>
      </c>
      <c r="H10353" s="27">
        <f t="shared" si="322"/>
        <v>667.16</v>
      </c>
      <c r="I10353" s="18">
        <v>667.16</v>
      </c>
      <c r="J10353" s="27">
        <v>667.16</v>
      </c>
      <c r="K10353" s="18">
        <f t="shared" si="323"/>
        <v>667.16</v>
      </c>
      <c r="L10353" s="27">
        <v>667.16</v>
      </c>
      <c r="M10353" s="36">
        <v>0</v>
      </c>
      <c r="T10353" s="41">
        <v>0</v>
      </c>
      <c r="U10353" s="41">
        <v>0</v>
      </c>
      <c r="V10353" s="42" t="s">
        <v>113</v>
      </c>
      <c r="W10353" s="42">
        <v>667.16</v>
      </c>
      <c r="X10353" s="42">
        <v>667.16</v>
      </c>
    </row>
    <row r="10354" spans="1:24">
      <c r="A10354" s="27" t="s">
        <v>18681</v>
      </c>
      <c r="B10354" s="28" t="s">
        <v>17556</v>
      </c>
      <c r="C10354" s="27" t="s">
        <v>18682</v>
      </c>
      <c r="D10354" s="27" t="s">
        <v>17558</v>
      </c>
      <c r="E10354" s="29">
        <v>35064</v>
      </c>
      <c r="F10354" s="27">
        <v>7</v>
      </c>
      <c r="G10354" s="18">
        <v>667.16</v>
      </c>
      <c r="H10354" s="27">
        <f t="shared" si="322"/>
        <v>667.16</v>
      </c>
      <c r="I10354" s="18">
        <v>667.16</v>
      </c>
      <c r="J10354" s="27">
        <v>667.16</v>
      </c>
      <c r="K10354" s="18">
        <f t="shared" si="323"/>
        <v>667.16</v>
      </c>
      <c r="L10354" s="27">
        <v>667.16</v>
      </c>
      <c r="M10354" s="36">
        <v>0</v>
      </c>
      <c r="T10354" s="41">
        <v>0</v>
      </c>
      <c r="U10354" s="41">
        <v>0</v>
      </c>
      <c r="V10354" s="42" t="s">
        <v>113</v>
      </c>
      <c r="W10354" s="42">
        <v>667.16</v>
      </c>
      <c r="X10354" s="42">
        <v>667.16</v>
      </c>
    </row>
    <row r="10355" spans="1:24">
      <c r="A10355" s="27" t="s">
        <v>18683</v>
      </c>
      <c r="B10355" s="28" t="s">
        <v>17556</v>
      </c>
      <c r="C10355" s="27" t="s">
        <v>18684</v>
      </c>
      <c r="D10355" s="27" t="s">
        <v>17558</v>
      </c>
      <c r="E10355" s="29">
        <v>35064</v>
      </c>
      <c r="F10355" s="27">
        <v>7</v>
      </c>
      <c r="G10355" s="18">
        <v>667.16</v>
      </c>
      <c r="H10355" s="27">
        <f t="shared" si="322"/>
        <v>667.16</v>
      </c>
      <c r="I10355" s="18">
        <v>667.16</v>
      </c>
      <c r="J10355" s="27">
        <v>667.16</v>
      </c>
      <c r="K10355" s="18">
        <f t="shared" si="323"/>
        <v>667.16</v>
      </c>
      <c r="L10355" s="27">
        <v>667.16</v>
      </c>
      <c r="M10355" s="36">
        <v>0</v>
      </c>
      <c r="T10355" s="41">
        <v>0</v>
      </c>
      <c r="U10355" s="41">
        <v>0</v>
      </c>
      <c r="V10355" s="42" t="s">
        <v>113</v>
      </c>
      <c r="W10355" s="42">
        <v>667.16</v>
      </c>
      <c r="X10355" s="42">
        <v>667.16</v>
      </c>
    </row>
    <row r="10356" spans="1:24">
      <c r="A10356" s="27" t="s">
        <v>18685</v>
      </c>
      <c r="B10356" s="28" t="s">
        <v>17556</v>
      </c>
      <c r="C10356" s="27" t="s">
        <v>18686</v>
      </c>
      <c r="D10356" s="27" t="s">
        <v>17558</v>
      </c>
      <c r="E10356" s="29">
        <v>35064</v>
      </c>
      <c r="F10356" s="27">
        <v>7</v>
      </c>
      <c r="G10356" s="18">
        <v>667.16</v>
      </c>
      <c r="H10356" s="27">
        <f t="shared" si="322"/>
        <v>667.16</v>
      </c>
      <c r="I10356" s="18">
        <v>667.16</v>
      </c>
      <c r="J10356" s="27">
        <v>667.16</v>
      </c>
      <c r="K10356" s="18">
        <f t="shared" si="323"/>
        <v>667.16</v>
      </c>
      <c r="L10356" s="27">
        <v>667.16</v>
      </c>
      <c r="M10356" s="36">
        <v>0</v>
      </c>
      <c r="T10356" s="41">
        <v>0</v>
      </c>
      <c r="U10356" s="41">
        <v>0</v>
      </c>
      <c r="V10356" s="42" t="s">
        <v>113</v>
      </c>
      <c r="W10356" s="42">
        <v>667.16</v>
      </c>
      <c r="X10356" s="42">
        <v>667.16</v>
      </c>
    </row>
    <row r="10357" spans="1:24">
      <c r="A10357" s="27" t="s">
        <v>18687</v>
      </c>
      <c r="B10357" s="28" t="s">
        <v>17556</v>
      </c>
      <c r="C10357" s="27" t="s">
        <v>18688</v>
      </c>
      <c r="D10357" s="27" t="s">
        <v>17558</v>
      </c>
      <c r="E10357" s="29">
        <v>35064</v>
      </c>
      <c r="F10357" s="27">
        <v>7</v>
      </c>
      <c r="G10357" s="18">
        <v>667.16</v>
      </c>
      <c r="H10357" s="27">
        <f t="shared" si="322"/>
        <v>667.16</v>
      </c>
      <c r="I10357" s="18">
        <v>667.16</v>
      </c>
      <c r="J10357" s="27">
        <v>667.16</v>
      </c>
      <c r="K10357" s="18">
        <f t="shared" si="323"/>
        <v>667.16</v>
      </c>
      <c r="L10357" s="27">
        <v>667.16</v>
      </c>
      <c r="M10357" s="36">
        <v>0</v>
      </c>
      <c r="T10357" s="41">
        <v>0</v>
      </c>
      <c r="U10357" s="41">
        <v>0</v>
      </c>
      <c r="V10357" s="42" t="s">
        <v>113</v>
      </c>
      <c r="W10357" s="42">
        <v>667.16</v>
      </c>
      <c r="X10357" s="42">
        <v>667.16</v>
      </c>
    </row>
    <row r="10358" spans="1:24">
      <c r="A10358" s="27" t="s">
        <v>18689</v>
      </c>
      <c r="B10358" s="28" t="s">
        <v>17556</v>
      </c>
      <c r="C10358" s="27" t="s">
        <v>18690</v>
      </c>
      <c r="D10358" s="27" t="s">
        <v>17558</v>
      </c>
      <c r="E10358" s="29">
        <v>35064</v>
      </c>
      <c r="F10358" s="27">
        <v>7</v>
      </c>
      <c r="G10358" s="18">
        <v>667.16</v>
      </c>
      <c r="H10358" s="27">
        <f t="shared" si="322"/>
        <v>667.16</v>
      </c>
      <c r="I10358" s="18">
        <v>667.16</v>
      </c>
      <c r="J10358" s="27">
        <v>667.16</v>
      </c>
      <c r="K10358" s="18">
        <f t="shared" si="323"/>
        <v>667.16</v>
      </c>
      <c r="L10358" s="27">
        <v>667.16</v>
      </c>
      <c r="M10358" s="36">
        <v>0</v>
      </c>
      <c r="T10358" s="41">
        <v>0</v>
      </c>
      <c r="U10358" s="41">
        <v>0</v>
      </c>
      <c r="V10358" s="42" t="s">
        <v>113</v>
      </c>
      <c r="W10358" s="42">
        <v>667.16</v>
      </c>
      <c r="X10358" s="42">
        <v>667.16</v>
      </c>
    </row>
    <row r="10359" spans="1:24">
      <c r="A10359" s="27" t="s">
        <v>18691</v>
      </c>
      <c r="B10359" s="28" t="s">
        <v>17556</v>
      </c>
      <c r="C10359" s="27" t="s">
        <v>18692</v>
      </c>
      <c r="D10359" s="27" t="s">
        <v>17558</v>
      </c>
      <c r="E10359" s="29">
        <v>35064</v>
      </c>
      <c r="F10359" s="27">
        <v>7</v>
      </c>
      <c r="G10359" s="18">
        <v>667.16</v>
      </c>
      <c r="H10359" s="27">
        <f t="shared" si="322"/>
        <v>667.16</v>
      </c>
      <c r="I10359" s="18">
        <v>667.16</v>
      </c>
      <c r="J10359" s="27">
        <v>667.16</v>
      </c>
      <c r="K10359" s="18">
        <f t="shared" si="323"/>
        <v>667.16</v>
      </c>
      <c r="L10359" s="27">
        <v>667.16</v>
      </c>
      <c r="M10359" s="36">
        <v>0</v>
      </c>
      <c r="T10359" s="41">
        <v>0</v>
      </c>
      <c r="U10359" s="41">
        <v>0</v>
      </c>
      <c r="V10359" s="42" t="s">
        <v>113</v>
      </c>
      <c r="W10359" s="42">
        <v>667.16</v>
      </c>
      <c r="X10359" s="42">
        <v>667.16</v>
      </c>
    </row>
    <row r="10360" spans="1:24">
      <c r="A10360" s="27" t="s">
        <v>18693</v>
      </c>
      <c r="B10360" s="28" t="s">
        <v>17556</v>
      </c>
      <c r="C10360" s="27" t="s">
        <v>18694</v>
      </c>
      <c r="D10360" s="27" t="s">
        <v>17558</v>
      </c>
      <c r="E10360" s="29">
        <v>35064</v>
      </c>
      <c r="F10360" s="27">
        <v>7</v>
      </c>
      <c r="G10360" s="18">
        <v>667.16</v>
      </c>
      <c r="H10360" s="27">
        <f t="shared" si="322"/>
        <v>667.16</v>
      </c>
      <c r="I10360" s="18">
        <v>667.16</v>
      </c>
      <c r="J10360" s="27">
        <v>667.16</v>
      </c>
      <c r="K10360" s="18">
        <f t="shared" si="323"/>
        <v>667.16</v>
      </c>
      <c r="L10360" s="27">
        <v>667.16</v>
      </c>
      <c r="M10360" s="36">
        <v>0</v>
      </c>
      <c r="T10360" s="41">
        <v>0</v>
      </c>
      <c r="U10360" s="41">
        <v>0</v>
      </c>
      <c r="V10360" s="42" t="s">
        <v>113</v>
      </c>
      <c r="W10360" s="42">
        <v>667.16</v>
      </c>
      <c r="X10360" s="42">
        <v>667.16</v>
      </c>
    </row>
    <row r="10361" spans="1:24">
      <c r="A10361" s="27" t="s">
        <v>18695</v>
      </c>
      <c r="B10361" s="28" t="s">
        <v>17556</v>
      </c>
      <c r="C10361" s="27" t="s">
        <v>18696</v>
      </c>
      <c r="D10361" s="27" t="s">
        <v>17558</v>
      </c>
      <c r="E10361" s="29">
        <v>35064</v>
      </c>
      <c r="F10361" s="27">
        <v>7</v>
      </c>
      <c r="G10361" s="18">
        <v>667.16</v>
      </c>
      <c r="H10361" s="27">
        <f t="shared" si="322"/>
        <v>667.16</v>
      </c>
      <c r="I10361" s="18">
        <v>667.16</v>
      </c>
      <c r="J10361" s="27">
        <v>667.16</v>
      </c>
      <c r="K10361" s="18">
        <f t="shared" si="323"/>
        <v>667.16</v>
      </c>
      <c r="L10361" s="27">
        <v>667.16</v>
      </c>
      <c r="M10361" s="36">
        <v>0</v>
      </c>
      <c r="T10361" s="41">
        <v>0</v>
      </c>
      <c r="U10361" s="41">
        <v>0</v>
      </c>
      <c r="V10361" s="42" t="s">
        <v>113</v>
      </c>
      <c r="W10361" s="42">
        <v>667.16</v>
      </c>
      <c r="X10361" s="42">
        <v>667.16</v>
      </c>
    </row>
    <row r="10362" spans="1:24">
      <c r="A10362" s="27" t="s">
        <v>18697</v>
      </c>
      <c r="B10362" s="28" t="s">
        <v>17556</v>
      </c>
      <c r="C10362" s="27" t="s">
        <v>18698</v>
      </c>
      <c r="D10362" s="27" t="s">
        <v>17558</v>
      </c>
      <c r="E10362" s="29">
        <v>35064</v>
      </c>
      <c r="F10362" s="27">
        <v>7</v>
      </c>
      <c r="G10362" s="18">
        <v>667.16</v>
      </c>
      <c r="H10362" s="27">
        <f t="shared" si="322"/>
        <v>667.16</v>
      </c>
      <c r="I10362" s="18">
        <v>667.16</v>
      </c>
      <c r="J10362" s="27">
        <v>667.16</v>
      </c>
      <c r="K10362" s="18">
        <f t="shared" si="323"/>
        <v>667.16</v>
      </c>
      <c r="L10362" s="27">
        <v>667.16</v>
      </c>
      <c r="M10362" s="36">
        <v>0</v>
      </c>
      <c r="T10362" s="41">
        <v>0</v>
      </c>
      <c r="U10362" s="41">
        <v>0</v>
      </c>
      <c r="V10362" s="42" t="s">
        <v>113</v>
      </c>
      <c r="W10362" s="42">
        <v>667.16</v>
      </c>
      <c r="X10362" s="42">
        <v>667.16</v>
      </c>
    </row>
    <row r="10363" spans="1:24">
      <c r="A10363" s="27" t="s">
        <v>18699</v>
      </c>
      <c r="B10363" s="28" t="s">
        <v>17556</v>
      </c>
      <c r="C10363" s="27" t="s">
        <v>18700</v>
      </c>
      <c r="D10363" s="27" t="s">
        <v>17558</v>
      </c>
      <c r="E10363" s="29">
        <v>35064</v>
      </c>
      <c r="F10363" s="27">
        <v>7</v>
      </c>
      <c r="G10363" s="18">
        <v>667.16</v>
      </c>
      <c r="H10363" s="27">
        <f t="shared" si="322"/>
        <v>667.16</v>
      </c>
      <c r="I10363" s="18">
        <v>667.16</v>
      </c>
      <c r="J10363" s="27">
        <v>667.16</v>
      </c>
      <c r="K10363" s="18">
        <f t="shared" si="323"/>
        <v>667.16</v>
      </c>
      <c r="L10363" s="27">
        <v>667.16</v>
      </c>
      <c r="M10363" s="36">
        <v>0</v>
      </c>
      <c r="T10363" s="41">
        <v>0</v>
      </c>
      <c r="U10363" s="41">
        <v>0</v>
      </c>
      <c r="V10363" s="42" t="s">
        <v>113</v>
      </c>
      <c r="W10363" s="42">
        <v>667.16</v>
      </c>
      <c r="X10363" s="42">
        <v>667.16</v>
      </c>
    </row>
    <row r="10364" spans="1:24">
      <c r="A10364" s="27" t="s">
        <v>18701</v>
      </c>
      <c r="B10364" s="28" t="s">
        <v>17556</v>
      </c>
      <c r="C10364" s="27" t="s">
        <v>18702</v>
      </c>
      <c r="D10364" s="27" t="s">
        <v>17558</v>
      </c>
      <c r="E10364" s="29">
        <v>35064</v>
      </c>
      <c r="F10364" s="27">
        <v>7</v>
      </c>
      <c r="G10364" s="18">
        <v>667.16</v>
      </c>
      <c r="H10364" s="27">
        <f t="shared" si="322"/>
        <v>667.16</v>
      </c>
      <c r="I10364" s="18">
        <v>667.16</v>
      </c>
      <c r="J10364" s="27">
        <v>667.16</v>
      </c>
      <c r="K10364" s="18">
        <f t="shared" si="323"/>
        <v>667.16</v>
      </c>
      <c r="L10364" s="27">
        <v>667.16</v>
      </c>
      <c r="M10364" s="36">
        <v>0</v>
      </c>
      <c r="T10364" s="41">
        <v>0</v>
      </c>
      <c r="U10364" s="41">
        <v>0</v>
      </c>
      <c r="V10364" s="42" t="s">
        <v>113</v>
      </c>
      <c r="W10364" s="42">
        <v>667.16</v>
      </c>
      <c r="X10364" s="42">
        <v>667.16</v>
      </c>
    </row>
    <row r="10365" spans="1:24">
      <c r="A10365" s="27" t="s">
        <v>18703</v>
      </c>
      <c r="B10365" s="28" t="s">
        <v>17556</v>
      </c>
      <c r="C10365" s="27" t="s">
        <v>18704</v>
      </c>
      <c r="D10365" s="27" t="s">
        <v>17558</v>
      </c>
      <c r="E10365" s="29">
        <v>35064</v>
      </c>
      <c r="F10365" s="27">
        <v>7</v>
      </c>
      <c r="G10365" s="18">
        <v>667.16</v>
      </c>
      <c r="H10365" s="27">
        <f t="shared" si="322"/>
        <v>667.16</v>
      </c>
      <c r="I10365" s="18">
        <v>667.16</v>
      </c>
      <c r="J10365" s="27">
        <v>667.16</v>
      </c>
      <c r="K10365" s="18">
        <f t="shared" si="323"/>
        <v>667.16</v>
      </c>
      <c r="L10365" s="27">
        <v>667.16</v>
      </c>
      <c r="M10365" s="36">
        <v>0</v>
      </c>
      <c r="T10365" s="41">
        <v>0</v>
      </c>
      <c r="U10365" s="41">
        <v>0</v>
      </c>
      <c r="V10365" s="42" t="s">
        <v>113</v>
      </c>
      <c r="W10365" s="42">
        <v>667.16</v>
      </c>
      <c r="X10365" s="42">
        <v>667.16</v>
      </c>
    </row>
    <row r="10366" spans="1:24">
      <c r="A10366" s="27" t="s">
        <v>18705</v>
      </c>
      <c r="B10366" s="28" t="s">
        <v>17556</v>
      </c>
      <c r="C10366" s="27" t="s">
        <v>18706</v>
      </c>
      <c r="D10366" s="27" t="s">
        <v>17558</v>
      </c>
      <c r="E10366" s="29">
        <v>35064</v>
      </c>
      <c r="F10366" s="27">
        <v>7</v>
      </c>
      <c r="G10366" s="18">
        <v>667.16</v>
      </c>
      <c r="H10366" s="27">
        <f t="shared" si="322"/>
        <v>667.16</v>
      </c>
      <c r="I10366" s="18">
        <v>667.16</v>
      </c>
      <c r="J10366" s="27">
        <v>667.16</v>
      </c>
      <c r="K10366" s="18">
        <f t="shared" si="323"/>
        <v>667.16</v>
      </c>
      <c r="L10366" s="27">
        <v>667.16</v>
      </c>
      <c r="M10366" s="36">
        <v>0</v>
      </c>
      <c r="T10366" s="41">
        <v>0</v>
      </c>
      <c r="U10366" s="41">
        <v>0</v>
      </c>
      <c r="V10366" s="42" t="s">
        <v>113</v>
      </c>
      <c r="W10366" s="42">
        <v>667.16</v>
      </c>
      <c r="X10366" s="42">
        <v>667.16</v>
      </c>
    </row>
    <row r="10367" spans="1:24">
      <c r="A10367" s="27" t="s">
        <v>18707</v>
      </c>
      <c r="B10367" s="28" t="s">
        <v>17556</v>
      </c>
      <c r="C10367" s="27" t="s">
        <v>18708</v>
      </c>
      <c r="D10367" s="27" t="s">
        <v>17558</v>
      </c>
      <c r="E10367" s="29">
        <v>35064</v>
      </c>
      <c r="F10367" s="27">
        <v>7</v>
      </c>
      <c r="G10367" s="18">
        <v>667.16</v>
      </c>
      <c r="H10367" s="27">
        <f t="shared" si="322"/>
        <v>667.16</v>
      </c>
      <c r="I10367" s="18">
        <v>667.16</v>
      </c>
      <c r="J10367" s="27">
        <v>667.16</v>
      </c>
      <c r="K10367" s="18">
        <f t="shared" si="323"/>
        <v>667.16</v>
      </c>
      <c r="L10367" s="27">
        <v>667.16</v>
      </c>
      <c r="M10367" s="36">
        <v>0</v>
      </c>
      <c r="T10367" s="41">
        <v>0</v>
      </c>
      <c r="U10367" s="41">
        <v>0</v>
      </c>
      <c r="V10367" s="42" t="s">
        <v>113</v>
      </c>
      <c r="W10367" s="42">
        <v>667.16</v>
      </c>
      <c r="X10367" s="42">
        <v>667.16</v>
      </c>
    </row>
    <row r="10368" spans="1:24">
      <c r="A10368" s="27" t="s">
        <v>18709</v>
      </c>
      <c r="B10368" s="28" t="s">
        <v>17556</v>
      </c>
      <c r="C10368" s="27" t="s">
        <v>18710</v>
      </c>
      <c r="D10368" s="27" t="s">
        <v>17558</v>
      </c>
      <c r="E10368" s="29">
        <v>35064</v>
      </c>
      <c r="F10368" s="27">
        <v>7</v>
      </c>
      <c r="G10368" s="18">
        <v>667.16</v>
      </c>
      <c r="H10368" s="27">
        <f t="shared" si="322"/>
        <v>667.16</v>
      </c>
      <c r="I10368" s="18">
        <v>667.16</v>
      </c>
      <c r="J10368" s="27">
        <v>667.16</v>
      </c>
      <c r="K10368" s="18">
        <f t="shared" si="323"/>
        <v>667.16</v>
      </c>
      <c r="L10368" s="27">
        <v>667.16</v>
      </c>
      <c r="M10368" s="36">
        <v>0</v>
      </c>
      <c r="T10368" s="41">
        <v>0</v>
      </c>
      <c r="U10368" s="41">
        <v>0</v>
      </c>
      <c r="V10368" s="42" t="s">
        <v>113</v>
      </c>
      <c r="W10368" s="42">
        <v>667.16</v>
      </c>
      <c r="X10368" s="42">
        <v>667.16</v>
      </c>
    </row>
    <row r="10369" spans="1:24">
      <c r="A10369" s="27" t="s">
        <v>18711</v>
      </c>
      <c r="B10369" s="28" t="s">
        <v>17556</v>
      </c>
      <c r="C10369" s="27" t="s">
        <v>18712</v>
      </c>
      <c r="D10369" s="27" t="s">
        <v>17558</v>
      </c>
      <c r="E10369" s="29">
        <v>35064</v>
      </c>
      <c r="F10369" s="27">
        <v>7</v>
      </c>
      <c r="G10369" s="18">
        <v>667.16</v>
      </c>
      <c r="H10369" s="27">
        <f t="shared" si="322"/>
        <v>667.16</v>
      </c>
      <c r="I10369" s="18">
        <v>667.16</v>
      </c>
      <c r="J10369" s="27">
        <v>667.16</v>
      </c>
      <c r="K10369" s="18">
        <f t="shared" si="323"/>
        <v>667.16</v>
      </c>
      <c r="L10369" s="27">
        <v>667.16</v>
      </c>
      <c r="M10369" s="36">
        <v>0</v>
      </c>
      <c r="T10369" s="41">
        <v>0</v>
      </c>
      <c r="U10369" s="41">
        <v>0</v>
      </c>
      <c r="V10369" s="42" t="s">
        <v>113</v>
      </c>
      <c r="W10369" s="42">
        <v>667.16</v>
      </c>
      <c r="X10369" s="42">
        <v>667.16</v>
      </c>
    </row>
    <row r="10370" spans="1:24">
      <c r="A10370" s="27" t="s">
        <v>18713</v>
      </c>
      <c r="B10370" s="28" t="s">
        <v>17556</v>
      </c>
      <c r="C10370" s="27" t="s">
        <v>18714</v>
      </c>
      <c r="D10370" s="27" t="s">
        <v>17558</v>
      </c>
      <c r="E10370" s="29">
        <v>35064</v>
      </c>
      <c r="F10370" s="27">
        <v>7</v>
      </c>
      <c r="G10370" s="18">
        <v>667.16</v>
      </c>
      <c r="H10370" s="27">
        <f t="shared" si="322"/>
        <v>667.16</v>
      </c>
      <c r="I10370" s="18">
        <v>667.16</v>
      </c>
      <c r="J10370" s="27">
        <v>667.16</v>
      </c>
      <c r="K10370" s="18">
        <f t="shared" si="323"/>
        <v>667.16</v>
      </c>
      <c r="L10370" s="27">
        <v>667.16</v>
      </c>
      <c r="M10370" s="36">
        <v>0</v>
      </c>
      <c r="T10370" s="41">
        <v>0</v>
      </c>
      <c r="U10370" s="41">
        <v>0</v>
      </c>
      <c r="V10370" s="42" t="s">
        <v>113</v>
      </c>
      <c r="W10370" s="42">
        <v>667.16</v>
      </c>
      <c r="X10370" s="42">
        <v>667.16</v>
      </c>
    </row>
    <row r="10371" spans="1:24">
      <c r="A10371" s="27" t="s">
        <v>18715</v>
      </c>
      <c r="B10371" s="28" t="s">
        <v>17556</v>
      </c>
      <c r="C10371" s="27" t="s">
        <v>18716</v>
      </c>
      <c r="D10371" s="27" t="s">
        <v>17558</v>
      </c>
      <c r="E10371" s="29">
        <v>35064</v>
      </c>
      <c r="F10371" s="27">
        <v>7</v>
      </c>
      <c r="G10371" s="18">
        <v>667.16</v>
      </c>
      <c r="H10371" s="27">
        <f t="shared" si="322"/>
        <v>667.16</v>
      </c>
      <c r="I10371" s="18">
        <v>667.16</v>
      </c>
      <c r="J10371" s="27">
        <v>667.16</v>
      </c>
      <c r="K10371" s="18">
        <f t="shared" si="323"/>
        <v>667.16</v>
      </c>
      <c r="L10371" s="27">
        <v>667.16</v>
      </c>
      <c r="M10371" s="36">
        <v>0</v>
      </c>
      <c r="T10371" s="41">
        <v>0</v>
      </c>
      <c r="U10371" s="41">
        <v>0</v>
      </c>
      <c r="V10371" s="42" t="s">
        <v>113</v>
      </c>
      <c r="W10371" s="42">
        <v>667.16</v>
      </c>
      <c r="X10371" s="42">
        <v>667.16</v>
      </c>
    </row>
    <row r="10372" spans="1:24">
      <c r="A10372" s="27" t="s">
        <v>18717</v>
      </c>
      <c r="B10372" s="28" t="s">
        <v>17556</v>
      </c>
      <c r="C10372" s="27" t="s">
        <v>18718</v>
      </c>
      <c r="D10372" s="27" t="s">
        <v>17558</v>
      </c>
      <c r="E10372" s="29">
        <v>35064</v>
      </c>
      <c r="F10372" s="27">
        <v>7</v>
      </c>
      <c r="G10372" s="18">
        <v>667.16</v>
      </c>
      <c r="H10372" s="27">
        <f t="shared" si="322"/>
        <v>667.16</v>
      </c>
      <c r="I10372" s="18">
        <v>667.16</v>
      </c>
      <c r="J10372" s="27">
        <v>667.16</v>
      </c>
      <c r="K10372" s="18">
        <f t="shared" si="323"/>
        <v>667.16</v>
      </c>
      <c r="L10372" s="27">
        <v>667.16</v>
      </c>
      <c r="M10372" s="36">
        <v>0</v>
      </c>
      <c r="T10372" s="41">
        <v>0</v>
      </c>
      <c r="U10372" s="41">
        <v>0</v>
      </c>
      <c r="V10372" s="42" t="s">
        <v>113</v>
      </c>
      <c r="W10372" s="42">
        <v>667.16</v>
      </c>
      <c r="X10372" s="42">
        <v>667.16</v>
      </c>
    </row>
    <row r="10373" spans="1:24">
      <c r="A10373" s="27" t="s">
        <v>18719</v>
      </c>
      <c r="B10373" s="28" t="s">
        <v>17556</v>
      </c>
      <c r="C10373" s="27" t="s">
        <v>18720</v>
      </c>
      <c r="D10373" s="27" t="s">
        <v>17558</v>
      </c>
      <c r="E10373" s="29">
        <v>35064</v>
      </c>
      <c r="F10373" s="27">
        <v>7</v>
      </c>
      <c r="G10373" s="18">
        <v>667.16</v>
      </c>
      <c r="H10373" s="27">
        <f t="shared" si="322"/>
        <v>667.16</v>
      </c>
      <c r="I10373" s="18">
        <v>667.16</v>
      </c>
      <c r="J10373" s="27">
        <v>667.16</v>
      </c>
      <c r="K10373" s="18">
        <f t="shared" si="323"/>
        <v>667.16</v>
      </c>
      <c r="L10373" s="27">
        <v>667.16</v>
      </c>
      <c r="M10373" s="36">
        <v>0</v>
      </c>
      <c r="T10373" s="41">
        <v>0</v>
      </c>
      <c r="U10373" s="41">
        <v>0</v>
      </c>
      <c r="V10373" s="42" t="s">
        <v>113</v>
      </c>
      <c r="W10373" s="42">
        <v>667.16</v>
      </c>
      <c r="X10373" s="42">
        <v>667.16</v>
      </c>
    </row>
    <row r="10374" spans="1:24">
      <c r="A10374" s="27" t="s">
        <v>18721</v>
      </c>
      <c r="B10374" s="28" t="s">
        <v>17556</v>
      </c>
      <c r="C10374" s="27" t="s">
        <v>18722</v>
      </c>
      <c r="D10374" s="27" t="s">
        <v>17558</v>
      </c>
      <c r="E10374" s="29">
        <v>35064</v>
      </c>
      <c r="F10374" s="27">
        <v>7</v>
      </c>
      <c r="G10374" s="18">
        <v>667.16</v>
      </c>
      <c r="H10374" s="27">
        <f t="shared" ref="H10374:H10437" si="324">IFERROR(IF(ROUND((G10374-I10374)/G10374,2)&lt;=0.05,G10374,0),0)</f>
        <v>667.16</v>
      </c>
      <c r="I10374" s="18">
        <v>667.16</v>
      </c>
      <c r="J10374" s="27">
        <v>667.16</v>
      </c>
      <c r="K10374" s="18">
        <f t="shared" ref="K10374:K10437" si="325">IFERROR(IF(ROUND((J10374-L10374)/J10374,2)&lt;=0.05,J10374,0),0)</f>
        <v>667.16</v>
      </c>
      <c r="L10374" s="27">
        <v>667.16</v>
      </c>
      <c r="M10374" s="36">
        <v>0</v>
      </c>
      <c r="T10374" s="41">
        <v>0</v>
      </c>
      <c r="U10374" s="41">
        <v>0</v>
      </c>
      <c r="V10374" s="42" t="s">
        <v>113</v>
      </c>
      <c r="W10374" s="42">
        <v>667.16</v>
      </c>
      <c r="X10374" s="42">
        <v>667.16</v>
      </c>
    </row>
    <row r="10375" spans="1:24">
      <c r="A10375" s="27" t="s">
        <v>18723</v>
      </c>
      <c r="B10375" s="28" t="s">
        <v>17556</v>
      </c>
      <c r="C10375" s="27" t="s">
        <v>18724</v>
      </c>
      <c r="D10375" s="27" t="s">
        <v>17558</v>
      </c>
      <c r="E10375" s="29">
        <v>35064</v>
      </c>
      <c r="F10375" s="27">
        <v>7</v>
      </c>
      <c r="G10375" s="18">
        <v>667.16</v>
      </c>
      <c r="H10375" s="27">
        <f t="shared" si="324"/>
        <v>667.16</v>
      </c>
      <c r="I10375" s="18">
        <v>667.16</v>
      </c>
      <c r="J10375" s="27">
        <v>667.16</v>
      </c>
      <c r="K10375" s="18">
        <f t="shared" si="325"/>
        <v>667.16</v>
      </c>
      <c r="L10375" s="27">
        <v>667.16</v>
      </c>
      <c r="M10375" s="36">
        <v>0</v>
      </c>
      <c r="T10375" s="41">
        <v>0</v>
      </c>
      <c r="U10375" s="41">
        <v>0</v>
      </c>
      <c r="V10375" s="42" t="s">
        <v>113</v>
      </c>
      <c r="W10375" s="42">
        <v>667.16</v>
      </c>
      <c r="X10375" s="42">
        <v>667.16</v>
      </c>
    </row>
    <row r="10376" spans="1:24">
      <c r="A10376" s="27" t="s">
        <v>18725</v>
      </c>
      <c r="B10376" s="28" t="s">
        <v>17556</v>
      </c>
      <c r="C10376" s="27" t="s">
        <v>18726</v>
      </c>
      <c r="D10376" s="27" t="s">
        <v>17558</v>
      </c>
      <c r="E10376" s="29">
        <v>35064</v>
      </c>
      <c r="F10376" s="27">
        <v>7</v>
      </c>
      <c r="G10376" s="18">
        <v>667.16</v>
      </c>
      <c r="H10376" s="27">
        <f t="shared" si="324"/>
        <v>667.16</v>
      </c>
      <c r="I10376" s="18">
        <v>667.16</v>
      </c>
      <c r="J10376" s="27">
        <v>667.16</v>
      </c>
      <c r="K10376" s="18">
        <f t="shared" si="325"/>
        <v>667.16</v>
      </c>
      <c r="L10376" s="27">
        <v>667.16</v>
      </c>
      <c r="M10376" s="36">
        <v>0</v>
      </c>
      <c r="T10376" s="41">
        <v>0</v>
      </c>
      <c r="U10376" s="41">
        <v>0</v>
      </c>
      <c r="V10376" s="42" t="s">
        <v>113</v>
      </c>
      <c r="W10376" s="42">
        <v>667.16</v>
      </c>
      <c r="X10376" s="42">
        <v>667.16</v>
      </c>
    </row>
    <row r="10377" spans="1:24">
      <c r="A10377" s="27" t="s">
        <v>18727</v>
      </c>
      <c r="B10377" s="28" t="s">
        <v>17556</v>
      </c>
      <c r="C10377" s="27" t="s">
        <v>18728</v>
      </c>
      <c r="D10377" s="27" t="s">
        <v>17558</v>
      </c>
      <c r="E10377" s="29">
        <v>35064</v>
      </c>
      <c r="F10377" s="27">
        <v>7</v>
      </c>
      <c r="G10377" s="18">
        <v>667.16</v>
      </c>
      <c r="H10377" s="27">
        <f t="shared" si="324"/>
        <v>667.16</v>
      </c>
      <c r="I10377" s="18">
        <v>667.16</v>
      </c>
      <c r="J10377" s="27">
        <v>667.16</v>
      </c>
      <c r="K10377" s="18">
        <f t="shared" si="325"/>
        <v>667.16</v>
      </c>
      <c r="L10377" s="27">
        <v>667.16</v>
      </c>
      <c r="M10377" s="36">
        <v>0</v>
      </c>
      <c r="T10377" s="41">
        <v>0</v>
      </c>
      <c r="U10377" s="41">
        <v>0</v>
      </c>
      <c r="V10377" s="42" t="s">
        <v>113</v>
      </c>
      <c r="W10377" s="42">
        <v>667.16</v>
      </c>
      <c r="X10377" s="42">
        <v>667.16</v>
      </c>
    </row>
    <row r="10378" spans="1:24">
      <c r="A10378" s="27" t="s">
        <v>18729</v>
      </c>
      <c r="B10378" s="28" t="s">
        <v>17556</v>
      </c>
      <c r="C10378" s="27" t="s">
        <v>18730</v>
      </c>
      <c r="D10378" s="27" t="s">
        <v>17558</v>
      </c>
      <c r="E10378" s="29">
        <v>35064</v>
      </c>
      <c r="F10378" s="27">
        <v>7</v>
      </c>
      <c r="G10378" s="18">
        <v>667.16</v>
      </c>
      <c r="H10378" s="27">
        <f t="shared" si="324"/>
        <v>667.16</v>
      </c>
      <c r="I10378" s="18">
        <v>667.16</v>
      </c>
      <c r="J10378" s="27">
        <v>667.16</v>
      </c>
      <c r="K10378" s="18">
        <f t="shared" si="325"/>
        <v>667.16</v>
      </c>
      <c r="L10378" s="27">
        <v>667.16</v>
      </c>
      <c r="M10378" s="36">
        <v>0</v>
      </c>
      <c r="T10378" s="41">
        <v>0</v>
      </c>
      <c r="U10378" s="41">
        <v>0</v>
      </c>
      <c r="V10378" s="42" t="s">
        <v>113</v>
      </c>
      <c r="W10378" s="42">
        <v>667.16</v>
      </c>
      <c r="X10378" s="42">
        <v>667.16</v>
      </c>
    </row>
    <row r="10379" spans="1:24">
      <c r="A10379" s="27" t="s">
        <v>18731</v>
      </c>
      <c r="B10379" s="28" t="s">
        <v>17556</v>
      </c>
      <c r="C10379" s="27" t="s">
        <v>18732</v>
      </c>
      <c r="D10379" s="27" t="s">
        <v>17558</v>
      </c>
      <c r="E10379" s="29">
        <v>35064</v>
      </c>
      <c r="F10379" s="27">
        <v>7</v>
      </c>
      <c r="G10379" s="18">
        <v>667.16</v>
      </c>
      <c r="H10379" s="27">
        <f t="shared" si="324"/>
        <v>667.16</v>
      </c>
      <c r="I10379" s="18">
        <v>667.16</v>
      </c>
      <c r="J10379" s="27">
        <v>667.16</v>
      </c>
      <c r="K10379" s="18">
        <f t="shared" si="325"/>
        <v>667.16</v>
      </c>
      <c r="L10379" s="27">
        <v>667.16</v>
      </c>
      <c r="M10379" s="36">
        <v>0</v>
      </c>
      <c r="T10379" s="41">
        <v>0</v>
      </c>
      <c r="U10379" s="41">
        <v>0</v>
      </c>
      <c r="V10379" s="42" t="s">
        <v>113</v>
      </c>
      <c r="W10379" s="42">
        <v>667.16</v>
      </c>
      <c r="X10379" s="42">
        <v>667.16</v>
      </c>
    </row>
    <row r="10380" spans="1:24">
      <c r="A10380" s="27" t="s">
        <v>18733</v>
      </c>
      <c r="B10380" s="28" t="s">
        <v>17556</v>
      </c>
      <c r="C10380" s="27" t="s">
        <v>18734</v>
      </c>
      <c r="D10380" s="27" t="s">
        <v>17558</v>
      </c>
      <c r="E10380" s="29">
        <v>35064</v>
      </c>
      <c r="F10380" s="27">
        <v>7</v>
      </c>
      <c r="G10380" s="18">
        <v>667.16</v>
      </c>
      <c r="H10380" s="27">
        <f t="shared" si="324"/>
        <v>667.16</v>
      </c>
      <c r="I10380" s="18">
        <v>667.16</v>
      </c>
      <c r="J10380" s="27">
        <v>667.16</v>
      </c>
      <c r="K10380" s="18">
        <f t="shared" si="325"/>
        <v>667.16</v>
      </c>
      <c r="L10380" s="27">
        <v>667.16</v>
      </c>
      <c r="M10380" s="36">
        <v>0</v>
      </c>
      <c r="T10380" s="41">
        <v>0</v>
      </c>
      <c r="U10380" s="41">
        <v>0</v>
      </c>
      <c r="V10380" s="42" t="s">
        <v>113</v>
      </c>
      <c r="W10380" s="42">
        <v>667.16</v>
      </c>
      <c r="X10380" s="42">
        <v>667.16</v>
      </c>
    </row>
    <row r="10381" spans="1:24">
      <c r="A10381" s="27" t="s">
        <v>18735</v>
      </c>
      <c r="B10381" s="28" t="s">
        <v>17556</v>
      </c>
      <c r="C10381" s="27" t="s">
        <v>18736</v>
      </c>
      <c r="D10381" s="27" t="s">
        <v>17558</v>
      </c>
      <c r="E10381" s="29">
        <v>35064</v>
      </c>
      <c r="F10381" s="27">
        <v>7</v>
      </c>
      <c r="G10381" s="18">
        <v>667.16</v>
      </c>
      <c r="H10381" s="27">
        <f t="shared" si="324"/>
        <v>667.16</v>
      </c>
      <c r="I10381" s="18">
        <v>667.16</v>
      </c>
      <c r="J10381" s="27">
        <v>667.16</v>
      </c>
      <c r="K10381" s="18">
        <f t="shared" si="325"/>
        <v>667.16</v>
      </c>
      <c r="L10381" s="27">
        <v>667.16</v>
      </c>
      <c r="M10381" s="36">
        <v>0</v>
      </c>
      <c r="T10381" s="41">
        <v>0</v>
      </c>
      <c r="U10381" s="41">
        <v>0</v>
      </c>
      <c r="V10381" s="42" t="s">
        <v>113</v>
      </c>
      <c r="W10381" s="42">
        <v>667.16</v>
      </c>
      <c r="X10381" s="42">
        <v>667.16</v>
      </c>
    </row>
    <row r="10382" spans="1:24">
      <c r="A10382" s="27" t="s">
        <v>18737</v>
      </c>
      <c r="B10382" s="28" t="s">
        <v>17556</v>
      </c>
      <c r="C10382" s="27" t="s">
        <v>18738</v>
      </c>
      <c r="D10382" s="27" t="s">
        <v>17558</v>
      </c>
      <c r="E10382" s="29">
        <v>35064</v>
      </c>
      <c r="F10382" s="27">
        <v>7</v>
      </c>
      <c r="G10382" s="18">
        <v>667.16</v>
      </c>
      <c r="H10382" s="27">
        <f t="shared" si="324"/>
        <v>667.16</v>
      </c>
      <c r="I10382" s="18">
        <v>667.16</v>
      </c>
      <c r="J10382" s="27">
        <v>667.16</v>
      </c>
      <c r="K10382" s="18">
        <f t="shared" si="325"/>
        <v>667.16</v>
      </c>
      <c r="L10382" s="27">
        <v>667.16</v>
      </c>
      <c r="M10382" s="36">
        <v>0</v>
      </c>
      <c r="T10382" s="41">
        <v>0</v>
      </c>
      <c r="U10382" s="41">
        <v>0</v>
      </c>
      <c r="V10382" s="42" t="s">
        <v>113</v>
      </c>
      <c r="W10382" s="42">
        <v>667.16</v>
      </c>
      <c r="X10382" s="42">
        <v>667.16</v>
      </c>
    </row>
    <row r="10383" spans="1:24">
      <c r="A10383" s="27" t="s">
        <v>18739</v>
      </c>
      <c r="B10383" s="28" t="s">
        <v>17556</v>
      </c>
      <c r="C10383" s="27" t="s">
        <v>18740</v>
      </c>
      <c r="D10383" s="27" t="s">
        <v>17558</v>
      </c>
      <c r="E10383" s="29">
        <v>35064</v>
      </c>
      <c r="F10383" s="27">
        <v>7</v>
      </c>
      <c r="G10383" s="18">
        <v>667.16</v>
      </c>
      <c r="H10383" s="27">
        <f t="shared" si="324"/>
        <v>667.16</v>
      </c>
      <c r="I10383" s="18">
        <v>667.16</v>
      </c>
      <c r="J10383" s="27">
        <v>667.16</v>
      </c>
      <c r="K10383" s="18">
        <f t="shared" si="325"/>
        <v>667.16</v>
      </c>
      <c r="L10383" s="27">
        <v>667.16</v>
      </c>
      <c r="M10383" s="36">
        <v>0</v>
      </c>
      <c r="T10383" s="41">
        <v>0</v>
      </c>
      <c r="U10383" s="41">
        <v>0</v>
      </c>
      <c r="V10383" s="42" t="s">
        <v>113</v>
      </c>
      <c r="W10383" s="42">
        <v>667.16</v>
      </c>
      <c r="X10383" s="42">
        <v>667.16</v>
      </c>
    </row>
    <row r="10384" spans="1:24">
      <c r="A10384" s="27" t="s">
        <v>18741</v>
      </c>
      <c r="B10384" s="28" t="s">
        <v>17556</v>
      </c>
      <c r="C10384" s="27" t="s">
        <v>18742</v>
      </c>
      <c r="D10384" s="27" t="s">
        <v>17558</v>
      </c>
      <c r="E10384" s="29">
        <v>35064</v>
      </c>
      <c r="F10384" s="27">
        <v>7</v>
      </c>
      <c r="G10384" s="18">
        <v>667.16</v>
      </c>
      <c r="H10384" s="27">
        <f t="shared" si="324"/>
        <v>667.16</v>
      </c>
      <c r="I10384" s="18">
        <v>667.16</v>
      </c>
      <c r="J10384" s="27">
        <v>667.16</v>
      </c>
      <c r="K10384" s="18">
        <f t="shared" si="325"/>
        <v>667.16</v>
      </c>
      <c r="L10384" s="27">
        <v>667.16</v>
      </c>
      <c r="M10384" s="36">
        <v>0</v>
      </c>
      <c r="T10384" s="41">
        <v>0</v>
      </c>
      <c r="U10384" s="41">
        <v>0</v>
      </c>
      <c r="V10384" s="42" t="s">
        <v>113</v>
      </c>
      <c r="W10384" s="42">
        <v>667.16</v>
      </c>
      <c r="X10384" s="42">
        <v>667.16</v>
      </c>
    </row>
    <row r="10385" spans="1:24">
      <c r="A10385" s="27" t="s">
        <v>18743</v>
      </c>
      <c r="B10385" s="28" t="s">
        <v>17556</v>
      </c>
      <c r="C10385" s="27" t="s">
        <v>18744</v>
      </c>
      <c r="D10385" s="27" t="s">
        <v>17558</v>
      </c>
      <c r="E10385" s="29">
        <v>35064</v>
      </c>
      <c r="F10385" s="27">
        <v>7</v>
      </c>
      <c r="G10385" s="18">
        <v>667.16</v>
      </c>
      <c r="H10385" s="27">
        <f t="shared" si="324"/>
        <v>667.16</v>
      </c>
      <c r="I10385" s="18">
        <v>667.16</v>
      </c>
      <c r="J10385" s="27">
        <v>667.16</v>
      </c>
      <c r="K10385" s="18">
        <f t="shared" si="325"/>
        <v>667.16</v>
      </c>
      <c r="L10385" s="27">
        <v>667.16</v>
      </c>
      <c r="M10385" s="36">
        <v>0</v>
      </c>
      <c r="T10385" s="41">
        <v>0</v>
      </c>
      <c r="U10385" s="41">
        <v>0</v>
      </c>
      <c r="V10385" s="42" t="s">
        <v>113</v>
      </c>
      <c r="W10385" s="42">
        <v>667.16</v>
      </c>
      <c r="X10385" s="42">
        <v>667.16</v>
      </c>
    </row>
    <row r="10386" spans="1:24">
      <c r="A10386" s="27" t="s">
        <v>18745</v>
      </c>
      <c r="B10386" s="28" t="s">
        <v>17556</v>
      </c>
      <c r="C10386" s="27" t="s">
        <v>18746</v>
      </c>
      <c r="D10386" s="27" t="s">
        <v>17558</v>
      </c>
      <c r="E10386" s="29">
        <v>35064</v>
      </c>
      <c r="F10386" s="27">
        <v>7</v>
      </c>
      <c r="G10386" s="18">
        <v>667.16</v>
      </c>
      <c r="H10386" s="27">
        <f t="shared" si="324"/>
        <v>667.16</v>
      </c>
      <c r="I10386" s="18">
        <v>667.16</v>
      </c>
      <c r="J10386" s="27">
        <v>667.16</v>
      </c>
      <c r="K10386" s="18">
        <f t="shared" si="325"/>
        <v>667.16</v>
      </c>
      <c r="L10386" s="27">
        <v>667.16</v>
      </c>
      <c r="M10386" s="36">
        <v>0</v>
      </c>
      <c r="T10386" s="41">
        <v>0</v>
      </c>
      <c r="U10386" s="41">
        <v>0</v>
      </c>
      <c r="V10386" s="42" t="s">
        <v>113</v>
      </c>
      <c r="W10386" s="42">
        <v>667.16</v>
      </c>
      <c r="X10386" s="42">
        <v>667.16</v>
      </c>
    </row>
    <row r="10387" spans="1:24">
      <c r="A10387" s="27" t="s">
        <v>18747</v>
      </c>
      <c r="B10387" s="28" t="s">
        <v>17556</v>
      </c>
      <c r="C10387" s="27" t="s">
        <v>18748</v>
      </c>
      <c r="D10387" s="27" t="s">
        <v>17558</v>
      </c>
      <c r="E10387" s="29">
        <v>35064</v>
      </c>
      <c r="F10387" s="27">
        <v>7</v>
      </c>
      <c r="G10387" s="18">
        <v>667.16</v>
      </c>
      <c r="H10387" s="27">
        <f t="shared" si="324"/>
        <v>667.16</v>
      </c>
      <c r="I10387" s="18">
        <v>667.16</v>
      </c>
      <c r="J10387" s="27">
        <v>667.16</v>
      </c>
      <c r="K10387" s="18">
        <f t="shared" si="325"/>
        <v>667.16</v>
      </c>
      <c r="L10387" s="27">
        <v>667.16</v>
      </c>
      <c r="M10387" s="36">
        <v>0</v>
      </c>
      <c r="T10387" s="41">
        <v>0</v>
      </c>
      <c r="U10387" s="41">
        <v>0</v>
      </c>
      <c r="V10387" s="42" t="s">
        <v>113</v>
      </c>
      <c r="W10387" s="42">
        <v>667.16</v>
      </c>
      <c r="X10387" s="42">
        <v>667.16</v>
      </c>
    </row>
    <row r="10388" spans="1:24">
      <c r="A10388" s="27" t="s">
        <v>18749</v>
      </c>
      <c r="B10388" s="28" t="s">
        <v>17556</v>
      </c>
      <c r="C10388" s="27" t="s">
        <v>18750</v>
      </c>
      <c r="D10388" s="27" t="s">
        <v>17558</v>
      </c>
      <c r="E10388" s="29">
        <v>35064</v>
      </c>
      <c r="F10388" s="27">
        <v>7</v>
      </c>
      <c r="G10388" s="18">
        <v>667.16</v>
      </c>
      <c r="H10388" s="27">
        <f t="shared" si="324"/>
        <v>667.16</v>
      </c>
      <c r="I10388" s="18">
        <v>667.16</v>
      </c>
      <c r="J10388" s="27">
        <v>667.16</v>
      </c>
      <c r="K10388" s="18">
        <f t="shared" si="325"/>
        <v>667.16</v>
      </c>
      <c r="L10388" s="27">
        <v>667.16</v>
      </c>
      <c r="M10388" s="36">
        <v>0</v>
      </c>
      <c r="T10388" s="41">
        <v>0</v>
      </c>
      <c r="U10388" s="41">
        <v>0</v>
      </c>
      <c r="V10388" s="42" t="s">
        <v>113</v>
      </c>
      <c r="W10388" s="42">
        <v>667.16</v>
      </c>
      <c r="X10388" s="42">
        <v>667.16</v>
      </c>
    </row>
    <row r="10389" spans="1:24">
      <c r="A10389" s="27" t="s">
        <v>18751</v>
      </c>
      <c r="B10389" s="28" t="s">
        <v>17556</v>
      </c>
      <c r="C10389" s="27" t="s">
        <v>18752</v>
      </c>
      <c r="D10389" s="27" t="s">
        <v>17558</v>
      </c>
      <c r="E10389" s="29">
        <v>35064</v>
      </c>
      <c r="F10389" s="27">
        <v>7</v>
      </c>
      <c r="G10389" s="18">
        <v>667.16</v>
      </c>
      <c r="H10389" s="27">
        <f t="shared" si="324"/>
        <v>667.16</v>
      </c>
      <c r="I10389" s="18">
        <v>667.16</v>
      </c>
      <c r="J10389" s="27">
        <v>667.16</v>
      </c>
      <c r="K10389" s="18">
        <f t="shared" si="325"/>
        <v>667.16</v>
      </c>
      <c r="L10389" s="27">
        <v>667.16</v>
      </c>
      <c r="M10389" s="36">
        <v>0</v>
      </c>
      <c r="T10389" s="41">
        <v>0</v>
      </c>
      <c r="U10389" s="41">
        <v>0</v>
      </c>
      <c r="V10389" s="42" t="s">
        <v>113</v>
      </c>
      <c r="W10389" s="42">
        <v>667.16</v>
      </c>
      <c r="X10389" s="42">
        <v>667.16</v>
      </c>
    </row>
    <row r="10390" spans="1:24">
      <c r="A10390" s="27" t="s">
        <v>18753</v>
      </c>
      <c r="B10390" s="28" t="s">
        <v>17556</v>
      </c>
      <c r="C10390" s="27" t="s">
        <v>18754</v>
      </c>
      <c r="D10390" s="27" t="s">
        <v>17558</v>
      </c>
      <c r="E10390" s="29">
        <v>35064</v>
      </c>
      <c r="F10390" s="27">
        <v>7</v>
      </c>
      <c r="G10390" s="18">
        <v>667.16</v>
      </c>
      <c r="H10390" s="27">
        <f t="shared" si="324"/>
        <v>667.16</v>
      </c>
      <c r="I10390" s="18">
        <v>667.16</v>
      </c>
      <c r="J10390" s="27">
        <v>667.16</v>
      </c>
      <c r="K10390" s="18">
        <f t="shared" si="325"/>
        <v>667.16</v>
      </c>
      <c r="L10390" s="27">
        <v>667.16</v>
      </c>
      <c r="M10390" s="36">
        <v>0</v>
      </c>
      <c r="T10390" s="41">
        <v>0</v>
      </c>
      <c r="U10390" s="41">
        <v>0</v>
      </c>
      <c r="V10390" s="42" t="s">
        <v>113</v>
      </c>
      <c r="W10390" s="42">
        <v>667.16</v>
      </c>
      <c r="X10390" s="42">
        <v>667.16</v>
      </c>
    </row>
    <row r="10391" spans="1:24">
      <c r="A10391" s="27" t="s">
        <v>18755</v>
      </c>
      <c r="B10391" s="28" t="s">
        <v>17556</v>
      </c>
      <c r="C10391" s="27" t="s">
        <v>18756</v>
      </c>
      <c r="D10391" s="27" t="s">
        <v>17558</v>
      </c>
      <c r="E10391" s="29">
        <v>35064</v>
      </c>
      <c r="F10391" s="27">
        <v>7</v>
      </c>
      <c r="G10391" s="18">
        <v>667.16</v>
      </c>
      <c r="H10391" s="27">
        <f t="shared" si="324"/>
        <v>667.16</v>
      </c>
      <c r="I10391" s="18">
        <v>667.16</v>
      </c>
      <c r="J10391" s="27">
        <v>667.16</v>
      </c>
      <c r="K10391" s="18">
        <f t="shared" si="325"/>
        <v>667.16</v>
      </c>
      <c r="L10391" s="27">
        <v>667.16</v>
      </c>
      <c r="M10391" s="36">
        <v>0</v>
      </c>
      <c r="T10391" s="41">
        <v>0</v>
      </c>
      <c r="U10391" s="41">
        <v>0</v>
      </c>
      <c r="V10391" s="42" t="s">
        <v>113</v>
      </c>
      <c r="W10391" s="42">
        <v>667.16</v>
      </c>
      <c r="X10391" s="42">
        <v>667.16</v>
      </c>
    </row>
    <row r="10392" spans="1:24">
      <c r="A10392" s="27" t="s">
        <v>18757</v>
      </c>
      <c r="B10392" s="28" t="s">
        <v>17556</v>
      </c>
      <c r="C10392" s="27" t="s">
        <v>18758</v>
      </c>
      <c r="D10392" s="27" t="s">
        <v>17558</v>
      </c>
      <c r="E10392" s="29">
        <v>35064</v>
      </c>
      <c r="F10392" s="27">
        <v>7</v>
      </c>
      <c r="G10392" s="18">
        <v>667.16</v>
      </c>
      <c r="H10392" s="27">
        <f t="shared" si="324"/>
        <v>667.16</v>
      </c>
      <c r="I10392" s="18">
        <v>667.16</v>
      </c>
      <c r="J10392" s="27">
        <v>667.16</v>
      </c>
      <c r="K10392" s="18">
        <f t="shared" si="325"/>
        <v>667.16</v>
      </c>
      <c r="L10392" s="27">
        <v>667.16</v>
      </c>
      <c r="M10392" s="36">
        <v>0</v>
      </c>
      <c r="T10392" s="41">
        <v>0</v>
      </c>
      <c r="U10392" s="41">
        <v>0</v>
      </c>
      <c r="V10392" s="42" t="s">
        <v>113</v>
      </c>
      <c r="W10392" s="42">
        <v>667.16</v>
      </c>
      <c r="X10392" s="42">
        <v>667.16</v>
      </c>
    </row>
    <row r="10393" spans="1:24">
      <c r="A10393" s="27" t="s">
        <v>18759</v>
      </c>
      <c r="B10393" s="28" t="s">
        <v>17556</v>
      </c>
      <c r="C10393" s="27" t="s">
        <v>18760</v>
      </c>
      <c r="D10393" s="27" t="s">
        <v>17558</v>
      </c>
      <c r="E10393" s="29">
        <v>35064</v>
      </c>
      <c r="F10393" s="27">
        <v>7</v>
      </c>
      <c r="G10393" s="18">
        <v>667.16</v>
      </c>
      <c r="H10393" s="27">
        <f t="shared" si="324"/>
        <v>667.16</v>
      </c>
      <c r="I10393" s="18">
        <v>667.16</v>
      </c>
      <c r="J10393" s="27">
        <v>667.16</v>
      </c>
      <c r="K10393" s="18">
        <f t="shared" si="325"/>
        <v>667.16</v>
      </c>
      <c r="L10393" s="27">
        <v>667.16</v>
      </c>
      <c r="M10393" s="36">
        <v>0</v>
      </c>
      <c r="T10393" s="41">
        <v>0</v>
      </c>
      <c r="U10393" s="41">
        <v>0</v>
      </c>
      <c r="V10393" s="42" t="s">
        <v>113</v>
      </c>
      <c r="W10393" s="42">
        <v>667.16</v>
      </c>
      <c r="X10393" s="42">
        <v>667.16</v>
      </c>
    </row>
    <row r="10394" spans="1:24">
      <c r="A10394" s="27" t="s">
        <v>18761</v>
      </c>
      <c r="B10394" s="28" t="s">
        <v>17556</v>
      </c>
      <c r="C10394" s="27" t="s">
        <v>18762</v>
      </c>
      <c r="D10394" s="27" t="s">
        <v>17558</v>
      </c>
      <c r="E10394" s="29">
        <v>35064</v>
      </c>
      <c r="F10394" s="27">
        <v>7</v>
      </c>
      <c r="G10394" s="18">
        <v>667.16</v>
      </c>
      <c r="H10394" s="27">
        <f t="shared" si="324"/>
        <v>667.16</v>
      </c>
      <c r="I10394" s="18">
        <v>667.16</v>
      </c>
      <c r="J10394" s="27">
        <v>667.16</v>
      </c>
      <c r="K10394" s="18">
        <f t="shared" si="325"/>
        <v>667.16</v>
      </c>
      <c r="L10394" s="27">
        <v>667.16</v>
      </c>
      <c r="M10394" s="36">
        <v>0</v>
      </c>
      <c r="T10394" s="41">
        <v>0</v>
      </c>
      <c r="U10394" s="41">
        <v>0</v>
      </c>
      <c r="V10394" s="42" t="s">
        <v>113</v>
      </c>
      <c r="W10394" s="42">
        <v>667.16</v>
      </c>
      <c r="X10394" s="42">
        <v>667.16</v>
      </c>
    </row>
    <row r="10395" spans="1:24">
      <c r="A10395" s="27" t="s">
        <v>18763</v>
      </c>
      <c r="B10395" s="28" t="s">
        <v>17556</v>
      </c>
      <c r="C10395" s="27" t="s">
        <v>18764</v>
      </c>
      <c r="D10395" s="27" t="s">
        <v>17558</v>
      </c>
      <c r="E10395" s="29">
        <v>35064</v>
      </c>
      <c r="F10395" s="27">
        <v>7</v>
      </c>
      <c r="G10395" s="18">
        <v>13.32</v>
      </c>
      <c r="H10395" s="27">
        <f t="shared" si="324"/>
        <v>13.32</v>
      </c>
      <c r="I10395" s="18">
        <v>13.32</v>
      </c>
      <c r="J10395" s="27">
        <v>13.32</v>
      </c>
      <c r="K10395" s="18">
        <f t="shared" si="325"/>
        <v>13.32</v>
      </c>
      <c r="L10395" s="27">
        <v>13.32</v>
      </c>
      <c r="M10395" s="36">
        <v>0</v>
      </c>
      <c r="T10395" s="41">
        <v>0</v>
      </c>
      <c r="U10395" s="41">
        <v>0</v>
      </c>
      <c r="V10395" s="42" t="s">
        <v>113</v>
      </c>
      <c r="W10395" s="42">
        <v>13.32</v>
      </c>
      <c r="X10395" s="42">
        <v>13.32</v>
      </c>
    </row>
    <row r="10396" spans="1:24">
      <c r="A10396" s="27" t="s">
        <v>18765</v>
      </c>
      <c r="B10396" s="28" t="s">
        <v>17556</v>
      </c>
      <c r="C10396" s="27" t="s">
        <v>18766</v>
      </c>
      <c r="D10396" s="27" t="s">
        <v>17558</v>
      </c>
      <c r="E10396" s="29">
        <v>35064</v>
      </c>
      <c r="F10396" s="27">
        <v>7</v>
      </c>
      <c r="G10396" s="18">
        <v>13.32</v>
      </c>
      <c r="H10396" s="27">
        <f t="shared" si="324"/>
        <v>13.32</v>
      </c>
      <c r="I10396" s="18">
        <v>13.32</v>
      </c>
      <c r="J10396" s="27">
        <v>13.32</v>
      </c>
      <c r="K10396" s="18">
        <f t="shared" si="325"/>
        <v>13.32</v>
      </c>
      <c r="L10396" s="27">
        <v>13.32</v>
      </c>
      <c r="M10396" s="36">
        <v>0</v>
      </c>
      <c r="T10396" s="41">
        <v>0</v>
      </c>
      <c r="U10396" s="41">
        <v>0</v>
      </c>
      <c r="V10396" s="42" t="s">
        <v>113</v>
      </c>
      <c r="W10396" s="42">
        <v>13.32</v>
      </c>
      <c r="X10396" s="42">
        <v>13.32</v>
      </c>
    </row>
    <row r="10397" spans="1:24">
      <c r="A10397" s="27" t="s">
        <v>18767</v>
      </c>
      <c r="B10397" s="28" t="s">
        <v>17556</v>
      </c>
      <c r="C10397" s="27" t="s">
        <v>18768</v>
      </c>
      <c r="D10397" s="27" t="s">
        <v>17558</v>
      </c>
      <c r="E10397" s="29">
        <v>35064</v>
      </c>
      <c r="F10397" s="27">
        <v>7</v>
      </c>
      <c r="G10397" s="18">
        <v>13.32</v>
      </c>
      <c r="H10397" s="27">
        <f t="shared" si="324"/>
        <v>13.32</v>
      </c>
      <c r="I10397" s="18">
        <v>13.32</v>
      </c>
      <c r="J10397" s="27">
        <v>13.32</v>
      </c>
      <c r="K10397" s="18">
        <f t="shared" si="325"/>
        <v>13.32</v>
      </c>
      <c r="L10397" s="27">
        <v>13.32</v>
      </c>
      <c r="M10397" s="36">
        <v>0</v>
      </c>
      <c r="T10397" s="41">
        <v>0</v>
      </c>
      <c r="U10397" s="41">
        <v>0</v>
      </c>
      <c r="V10397" s="42" t="s">
        <v>113</v>
      </c>
      <c r="W10397" s="42">
        <v>13.32</v>
      </c>
      <c r="X10397" s="42">
        <v>13.32</v>
      </c>
    </row>
    <row r="10398" spans="1:24">
      <c r="A10398" s="27" t="s">
        <v>18769</v>
      </c>
      <c r="B10398" s="28" t="s">
        <v>17556</v>
      </c>
      <c r="C10398" s="27" t="s">
        <v>18770</v>
      </c>
      <c r="D10398" s="27" t="s">
        <v>17558</v>
      </c>
      <c r="E10398" s="29">
        <v>35064</v>
      </c>
      <c r="F10398" s="27">
        <v>7</v>
      </c>
      <c r="G10398" s="18">
        <v>13.32</v>
      </c>
      <c r="H10398" s="27">
        <f t="shared" si="324"/>
        <v>13.32</v>
      </c>
      <c r="I10398" s="18">
        <v>13.32</v>
      </c>
      <c r="J10398" s="27">
        <v>13.32</v>
      </c>
      <c r="K10398" s="18">
        <f t="shared" si="325"/>
        <v>13.32</v>
      </c>
      <c r="L10398" s="27">
        <v>13.32</v>
      </c>
      <c r="M10398" s="36">
        <v>0</v>
      </c>
      <c r="T10398" s="41">
        <v>0</v>
      </c>
      <c r="U10398" s="41">
        <v>0</v>
      </c>
      <c r="V10398" s="42" t="s">
        <v>113</v>
      </c>
      <c r="W10398" s="42">
        <v>13.32</v>
      </c>
      <c r="X10398" s="42">
        <v>13.32</v>
      </c>
    </row>
    <row r="10399" spans="1:24">
      <c r="A10399" s="27" t="s">
        <v>18771</v>
      </c>
      <c r="B10399" s="28" t="s">
        <v>17556</v>
      </c>
      <c r="C10399" s="27" t="s">
        <v>18772</v>
      </c>
      <c r="D10399" s="27" t="s">
        <v>17558</v>
      </c>
      <c r="E10399" s="29">
        <v>35064</v>
      </c>
      <c r="F10399" s="27">
        <v>7</v>
      </c>
      <c r="G10399" s="18">
        <v>13.32</v>
      </c>
      <c r="H10399" s="27">
        <f t="shared" si="324"/>
        <v>13.32</v>
      </c>
      <c r="I10399" s="18">
        <v>13.32</v>
      </c>
      <c r="J10399" s="27">
        <v>13.32</v>
      </c>
      <c r="K10399" s="18">
        <f t="shared" si="325"/>
        <v>13.32</v>
      </c>
      <c r="L10399" s="27">
        <v>13.32</v>
      </c>
      <c r="M10399" s="36">
        <v>0</v>
      </c>
      <c r="T10399" s="41">
        <v>0</v>
      </c>
      <c r="U10399" s="41">
        <v>0</v>
      </c>
      <c r="V10399" s="42" t="s">
        <v>113</v>
      </c>
      <c r="W10399" s="42">
        <v>13.32</v>
      </c>
      <c r="X10399" s="42">
        <v>13.32</v>
      </c>
    </row>
    <row r="10400" spans="1:24">
      <c r="A10400" s="27" t="s">
        <v>18773</v>
      </c>
      <c r="B10400" s="28" t="s">
        <v>17556</v>
      </c>
      <c r="C10400" s="27" t="s">
        <v>18774</v>
      </c>
      <c r="D10400" s="27" t="s">
        <v>17558</v>
      </c>
      <c r="E10400" s="29">
        <v>35064</v>
      </c>
      <c r="F10400" s="27">
        <v>7</v>
      </c>
      <c r="G10400" s="18">
        <v>13.32</v>
      </c>
      <c r="H10400" s="27">
        <f t="shared" si="324"/>
        <v>13.32</v>
      </c>
      <c r="I10400" s="18">
        <v>13.32</v>
      </c>
      <c r="J10400" s="27">
        <v>13.32</v>
      </c>
      <c r="K10400" s="18">
        <f t="shared" si="325"/>
        <v>13.32</v>
      </c>
      <c r="L10400" s="27">
        <v>13.32</v>
      </c>
      <c r="M10400" s="36">
        <v>0</v>
      </c>
      <c r="T10400" s="41">
        <v>0</v>
      </c>
      <c r="U10400" s="41">
        <v>0</v>
      </c>
      <c r="V10400" s="42" t="s">
        <v>113</v>
      </c>
      <c r="W10400" s="42">
        <v>13.32</v>
      </c>
      <c r="X10400" s="42">
        <v>13.32</v>
      </c>
    </row>
    <row r="10401" spans="1:24">
      <c r="A10401" s="27" t="s">
        <v>18775</v>
      </c>
      <c r="B10401" s="28" t="s">
        <v>17556</v>
      </c>
      <c r="C10401" s="27" t="s">
        <v>18776</v>
      </c>
      <c r="D10401" s="27" t="s">
        <v>17558</v>
      </c>
      <c r="E10401" s="29">
        <v>35064</v>
      </c>
      <c r="F10401" s="27">
        <v>7</v>
      </c>
      <c r="G10401" s="18">
        <v>13.32</v>
      </c>
      <c r="H10401" s="27">
        <f t="shared" si="324"/>
        <v>13.32</v>
      </c>
      <c r="I10401" s="18">
        <v>13.32</v>
      </c>
      <c r="J10401" s="27">
        <v>13.32</v>
      </c>
      <c r="K10401" s="18">
        <f t="shared" si="325"/>
        <v>13.32</v>
      </c>
      <c r="L10401" s="27">
        <v>13.32</v>
      </c>
      <c r="M10401" s="36">
        <v>0</v>
      </c>
      <c r="T10401" s="41">
        <v>0</v>
      </c>
      <c r="U10401" s="41">
        <v>0</v>
      </c>
      <c r="V10401" s="42" t="s">
        <v>113</v>
      </c>
      <c r="W10401" s="42">
        <v>13.32</v>
      </c>
      <c r="X10401" s="42">
        <v>13.32</v>
      </c>
    </row>
    <row r="10402" spans="1:24">
      <c r="A10402" s="27" t="s">
        <v>18777</v>
      </c>
      <c r="B10402" s="28" t="s">
        <v>17556</v>
      </c>
      <c r="C10402" s="27" t="s">
        <v>18778</v>
      </c>
      <c r="D10402" s="27" t="s">
        <v>17558</v>
      </c>
      <c r="E10402" s="29">
        <v>35064</v>
      </c>
      <c r="F10402" s="27">
        <v>7</v>
      </c>
      <c r="G10402" s="18">
        <v>13.32</v>
      </c>
      <c r="H10402" s="27">
        <f t="shared" si="324"/>
        <v>13.32</v>
      </c>
      <c r="I10402" s="18">
        <v>13.32</v>
      </c>
      <c r="J10402" s="27">
        <v>13.32</v>
      </c>
      <c r="K10402" s="18">
        <f t="shared" si="325"/>
        <v>13.32</v>
      </c>
      <c r="L10402" s="27">
        <v>13.32</v>
      </c>
      <c r="M10402" s="36">
        <v>0</v>
      </c>
      <c r="T10402" s="41">
        <v>0</v>
      </c>
      <c r="U10402" s="41">
        <v>0</v>
      </c>
      <c r="V10402" s="42" t="s">
        <v>113</v>
      </c>
      <c r="W10402" s="42">
        <v>13.32</v>
      </c>
      <c r="X10402" s="42">
        <v>13.32</v>
      </c>
    </row>
    <row r="10403" spans="1:24">
      <c r="A10403" s="27" t="s">
        <v>18779</v>
      </c>
      <c r="B10403" s="28" t="s">
        <v>17556</v>
      </c>
      <c r="C10403" s="27" t="s">
        <v>18780</v>
      </c>
      <c r="D10403" s="27" t="s">
        <v>17558</v>
      </c>
      <c r="E10403" s="29">
        <v>35064</v>
      </c>
      <c r="F10403" s="27">
        <v>7</v>
      </c>
      <c r="G10403" s="18">
        <v>13.32</v>
      </c>
      <c r="H10403" s="27">
        <f t="shared" si="324"/>
        <v>13.32</v>
      </c>
      <c r="I10403" s="18">
        <v>13.32</v>
      </c>
      <c r="J10403" s="27">
        <v>13.32</v>
      </c>
      <c r="K10403" s="18">
        <f t="shared" si="325"/>
        <v>13.32</v>
      </c>
      <c r="L10403" s="27">
        <v>13.32</v>
      </c>
      <c r="M10403" s="36">
        <v>0</v>
      </c>
      <c r="T10403" s="41">
        <v>0</v>
      </c>
      <c r="U10403" s="41">
        <v>0</v>
      </c>
      <c r="V10403" s="42" t="s">
        <v>113</v>
      </c>
      <c r="W10403" s="42">
        <v>13.32</v>
      </c>
      <c r="X10403" s="42">
        <v>13.32</v>
      </c>
    </row>
    <row r="10404" spans="1:24">
      <c r="A10404" s="27" t="s">
        <v>18781</v>
      </c>
      <c r="B10404" s="28" t="s">
        <v>17556</v>
      </c>
      <c r="C10404" s="27" t="s">
        <v>18782</v>
      </c>
      <c r="D10404" s="27" t="s">
        <v>17558</v>
      </c>
      <c r="E10404" s="29">
        <v>35064</v>
      </c>
      <c r="F10404" s="27">
        <v>7</v>
      </c>
      <c r="G10404" s="18">
        <v>13.32</v>
      </c>
      <c r="H10404" s="27">
        <f t="shared" si="324"/>
        <v>13.32</v>
      </c>
      <c r="I10404" s="18">
        <v>13.32</v>
      </c>
      <c r="J10404" s="27">
        <v>13.32</v>
      </c>
      <c r="K10404" s="18">
        <f t="shared" si="325"/>
        <v>13.32</v>
      </c>
      <c r="L10404" s="27">
        <v>13.32</v>
      </c>
      <c r="M10404" s="36">
        <v>0</v>
      </c>
      <c r="T10404" s="41">
        <v>0</v>
      </c>
      <c r="U10404" s="41">
        <v>0</v>
      </c>
      <c r="V10404" s="42" t="s">
        <v>113</v>
      </c>
      <c r="W10404" s="42">
        <v>13.32</v>
      </c>
      <c r="X10404" s="42">
        <v>13.32</v>
      </c>
    </row>
    <row r="10405" spans="1:24">
      <c r="A10405" s="27" t="s">
        <v>18783</v>
      </c>
      <c r="B10405" s="28" t="s">
        <v>17556</v>
      </c>
      <c r="C10405" s="27" t="s">
        <v>18784</v>
      </c>
      <c r="D10405" s="27" t="s">
        <v>17558</v>
      </c>
      <c r="E10405" s="29">
        <v>35064</v>
      </c>
      <c r="F10405" s="27">
        <v>7</v>
      </c>
      <c r="G10405" s="18">
        <v>13.32</v>
      </c>
      <c r="H10405" s="27">
        <f t="shared" si="324"/>
        <v>13.32</v>
      </c>
      <c r="I10405" s="18">
        <v>13.32</v>
      </c>
      <c r="J10405" s="27">
        <v>13.32</v>
      </c>
      <c r="K10405" s="18">
        <f t="shared" si="325"/>
        <v>13.32</v>
      </c>
      <c r="L10405" s="27">
        <v>13.32</v>
      </c>
      <c r="M10405" s="36">
        <v>0</v>
      </c>
      <c r="T10405" s="41">
        <v>0</v>
      </c>
      <c r="U10405" s="41">
        <v>0</v>
      </c>
      <c r="V10405" s="42" t="s">
        <v>113</v>
      </c>
      <c r="W10405" s="42">
        <v>13.32</v>
      </c>
      <c r="X10405" s="42">
        <v>13.32</v>
      </c>
    </row>
    <row r="10406" spans="1:24">
      <c r="A10406" s="27" t="s">
        <v>18785</v>
      </c>
      <c r="B10406" s="28" t="s">
        <v>17556</v>
      </c>
      <c r="C10406" s="27" t="s">
        <v>18786</v>
      </c>
      <c r="D10406" s="27" t="s">
        <v>17558</v>
      </c>
      <c r="E10406" s="29">
        <v>35064</v>
      </c>
      <c r="F10406" s="27">
        <v>7</v>
      </c>
      <c r="G10406" s="18">
        <v>13.32</v>
      </c>
      <c r="H10406" s="27">
        <f t="shared" si="324"/>
        <v>13.32</v>
      </c>
      <c r="I10406" s="18">
        <v>13.32</v>
      </c>
      <c r="J10406" s="27">
        <v>13.32</v>
      </c>
      <c r="K10406" s="18">
        <f t="shared" si="325"/>
        <v>13.32</v>
      </c>
      <c r="L10406" s="27">
        <v>13.32</v>
      </c>
      <c r="M10406" s="36">
        <v>0</v>
      </c>
      <c r="T10406" s="41">
        <v>0</v>
      </c>
      <c r="U10406" s="41">
        <v>0</v>
      </c>
      <c r="V10406" s="42" t="s">
        <v>113</v>
      </c>
      <c r="W10406" s="42">
        <v>13.32</v>
      </c>
      <c r="X10406" s="42">
        <v>13.32</v>
      </c>
    </row>
    <row r="10407" spans="1:24">
      <c r="A10407" s="27" t="s">
        <v>18787</v>
      </c>
      <c r="B10407" s="28" t="s">
        <v>17556</v>
      </c>
      <c r="C10407" s="27" t="s">
        <v>18788</v>
      </c>
      <c r="D10407" s="27" t="s">
        <v>17558</v>
      </c>
      <c r="E10407" s="29">
        <v>35064</v>
      </c>
      <c r="F10407" s="27">
        <v>7</v>
      </c>
      <c r="G10407" s="18">
        <v>13.32</v>
      </c>
      <c r="H10407" s="27">
        <f t="shared" si="324"/>
        <v>13.32</v>
      </c>
      <c r="I10407" s="18">
        <v>13.32</v>
      </c>
      <c r="J10407" s="27">
        <v>13.32</v>
      </c>
      <c r="K10407" s="18">
        <f t="shared" si="325"/>
        <v>13.32</v>
      </c>
      <c r="L10407" s="27">
        <v>13.32</v>
      </c>
      <c r="M10407" s="36">
        <v>0</v>
      </c>
      <c r="T10407" s="41">
        <v>0</v>
      </c>
      <c r="U10407" s="41">
        <v>0</v>
      </c>
      <c r="V10407" s="42" t="s">
        <v>113</v>
      </c>
      <c r="W10407" s="42">
        <v>13.32</v>
      </c>
      <c r="X10407" s="42">
        <v>13.32</v>
      </c>
    </row>
    <row r="10408" spans="1:24">
      <c r="A10408" s="27" t="s">
        <v>18789</v>
      </c>
      <c r="B10408" s="28" t="s">
        <v>17556</v>
      </c>
      <c r="C10408" s="27" t="s">
        <v>18790</v>
      </c>
      <c r="D10408" s="27" t="s">
        <v>17558</v>
      </c>
      <c r="E10408" s="29">
        <v>35064</v>
      </c>
      <c r="F10408" s="27">
        <v>7</v>
      </c>
      <c r="G10408" s="18">
        <v>13.32</v>
      </c>
      <c r="H10408" s="27">
        <f t="shared" si="324"/>
        <v>13.32</v>
      </c>
      <c r="I10408" s="18">
        <v>13.32</v>
      </c>
      <c r="J10408" s="27">
        <v>13.32</v>
      </c>
      <c r="K10408" s="18">
        <f t="shared" si="325"/>
        <v>13.32</v>
      </c>
      <c r="L10408" s="27">
        <v>13.32</v>
      </c>
      <c r="M10408" s="36">
        <v>0</v>
      </c>
      <c r="T10408" s="41">
        <v>0</v>
      </c>
      <c r="U10408" s="41">
        <v>0</v>
      </c>
      <c r="V10408" s="42" t="s">
        <v>113</v>
      </c>
      <c r="W10408" s="42">
        <v>13.32</v>
      </c>
      <c r="X10408" s="42">
        <v>13.32</v>
      </c>
    </row>
    <row r="10409" spans="1:24">
      <c r="A10409" s="27" t="s">
        <v>18791</v>
      </c>
      <c r="B10409" s="28" t="s">
        <v>17556</v>
      </c>
      <c r="C10409" s="27" t="s">
        <v>18792</v>
      </c>
      <c r="D10409" s="27" t="s">
        <v>17558</v>
      </c>
      <c r="E10409" s="29">
        <v>35064</v>
      </c>
      <c r="F10409" s="27">
        <v>7</v>
      </c>
      <c r="G10409" s="18">
        <v>13.32</v>
      </c>
      <c r="H10409" s="27">
        <f t="shared" si="324"/>
        <v>13.32</v>
      </c>
      <c r="I10409" s="18">
        <v>13.32</v>
      </c>
      <c r="J10409" s="27">
        <v>13.32</v>
      </c>
      <c r="K10409" s="18">
        <f t="shared" si="325"/>
        <v>13.32</v>
      </c>
      <c r="L10409" s="27">
        <v>13.32</v>
      </c>
      <c r="M10409" s="36">
        <v>0</v>
      </c>
      <c r="T10409" s="41">
        <v>0</v>
      </c>
      <c r="U10409" s="41">
        <v>0</v>
      </c>
      <c r="V10409" s="42" t="s">
        <v>113</v>
      </c>
      <c r="W10409" s="42">
        <v>13.32</v>
      </c>
      <c r="X10409" s="42">
        <v>13.32</v>
      </c>
    </row>
    <row r="10410" spans="1:24">
      <c r="A10410" s="27" t="s">
        <v>18793</v>
      </c>
      <c r="B10410" s="28" t="s">
        <v>17556</v>
      </c>
      <c r="C10410" s="27" t="s">
        <v>18794</v>
      </c>
      <c r="D10410" s="27" t="s">
        <v>17558</v>
      </c>
      <c r="E10410" s="29">
        <v>35064</v>
      </c>
      <c r="F10410" s="27">
        <v>7</v>
      </c>
      <c r="G10410" s="18">
        <v>13.32</v>
      </c>
      <c r="H10410" s="27">
        <f t="shared" si="324"/>
        <v>13.32</v>
      </c>
      <c r="I10410" s="18">
        <v>13.32</v>
      </c>
      <c r="J10410" s="27">
        <v>13.32</v>
      </c>
      <c r="K10410" s="18">
        <f t="shared" si="325"/>
        <v>13.32</v>
      </c>
      <c r="L10410" s="27">
        <v>13.32</v>
      </c>
      <c r="M10410" s="36">
        <v>0</v>
      </c>
      <c r="T10410" s="41">
        <v>0</v>
      </c>
      <c r="U10410" s="41">
        <v>0</v>
      </c>
      <c r="V10410" s="42" t="s">
        <v>113</v>
      </c>
      <c r="W10410" s="42">
        <v>13.32</v>
      </c>
      <c r="X10410" s="42">
        <v>13.32</v>
      </c>
    </row>
    <row r="10411" spans="1:24">
      <c r="A10411" s="27" t="s">
        <v>18795</v>
      </c>
      <c r="B10411" s="28" t="s">
        <v>17556</v>
      </c>
      <c r="C10411" s="27" t="s">
        <v>18796</v>
      </c>
      <c r="D10411" s="27" t="s">
        <v>17558</v>
      </c>
      <c r="E10411" s="29">
        <v>35064</v>
      </c>
      <c r="F10411" s="27">
        <v>7</v>
      </c>
      <c r="G10411" s="18">
        <v>13.32</v>
      </c>
      <c r="H10411" s="27">
        <f t="shared" si="324"/>
        <v>13.32</v>
      </c>
      <c r="I10411" s="18">
        <v>13.32</v>
      </c>
      <c r="J10411" s="27">
        <v>13.32</v>
      </c>
      <c r="K10411" s="18">
        <f t="shared" si="325"/>
        <v>13.32</v>
      </c>
      <c r="L10411" s="27">
        <v>13.32</v>
      </c>
      <c r="M10411" s="36">
        <v>0</v>
      </c>
      <c r="T10411" s="41">
        <v>0</v>
      </c>
      <c r="U10411" s="41">
        <v>0</v>
      </c>
      <c r="V10411" s="42" t="s">
        <v>113</v>
      </c>
      <c r="W10411" s="42">
        <v>13.32</v>
      </c>
      <c r="X10411" s="42">
        <v>13.32</v>
      </c>
    </row>
    <row r="10412" spans="1:24">
      <c r="A10412" s="27" t="s">
        <v>18797</v>
      </c>
      <c r="B10412" s="28" t="s">
        <v>17556</v>
      </c>
      <c r="C10412" s="27" t="s">
        <v>18798</v>
      </c>
      <c r="D10412" s="27" t="s">
        <v>17558</v>
      </c>
      <c r="E10412" s="29">
        <v>35064</v>
      </c>
      <c r="F10412" s="27">
        <v>7</v>
      </c>
      <c r="G10412" s="18">
        <v>13.32</v>
      </c>
      <c r="H10412" s="27">
        <f t="shared" si="324"/>
        <v>13.32</v>
      </c>
      <c r="I10412" s="18">
        <v>13.32</v>
      </c>
      <c r="J10412" s="27">
        <v>13.32</v>
      </c>
      <c r="K10412" s="18">
        <f t="shared" si="325"/>
        <v>13.32</v>
      </c>
      <c r="L10412" s="27">
        <v>13.32</v>
      </c>
      <c r="M10412" s="36">
        <v>0</v>
      </c>
      <c r="T10412" s="41">
        <v>0</v>
      </c>
      <c r="U10412" s="41">
        <v>0</v>
      </c>
      <c r="V10412" s="42" t="s">
        <v>113</v>
      </c>
      <c r="W10412" s="42">
        <v>13.32</v>
      </c>
      <c r="X10412" s="42">
        <v>13.32</v>
      </c>
    </row>
    <row r="10413" spans="1:24">
      <c r="A10413" s="27" t="s">
        <v>18799</v>
      </c>
      <c r="B10413" s="28" t="s">
        <v>17556</v>
      </c>
      <c r="C10413" s="27" t="s">
        <v>18800</v>
      </c>
      <c r="D10413" s="27" t="s">
        <v>17558</v>
      </c>
      <c r="E10413" s="29">
        <v>35064</v>
      </c>
      <c r="F10413" s="27">
        <v>7</v>
      </c>
      <c r="G10413" s="18">
        <v>13.32</v>
      </c>
      <c r="H10413" s="27">
        <f t="shared" si="324"/>
        <v>13.32</v>
      </c>
      <c r="I10413" s="18">
        <v>13.32</v>
      </c>
      <c r="J10413" s="27">
        <v>13.32</v>
      </c>
      <c r="K10413" s="18">
        <f t="shared" si="325"/>
        <v>13.32</v>
      </c>
      <c r="L10413" s="27">
        <v>13.32</v>
      </c>
      <c r="M10413" s="36">
        <v>0</v>
      </c>
      <c r="T10413" s="41">
        <v>0</v>
      </c>
      <c r="U10413" s="41">
        <v>0</v>
      </c>
      <c r="V10413" s="42" t="s">
        <v>113</v>
      </c>
      <c r="W10413" s="42">
        <v>13.32</v>
      </c>
      <c r="X10413" s="42">
        <v>13.32</v>
      </c>
    </row>
    <row r="10414" spans="1:24">
      <c r="A10414" s="27" t="s">
        <v>18801</v>
      </c>
      <c r="B10414" s="28" t="s">
        <v>17556</v>
      </c>
      <c r="C10414" s="27" t="s">
        <v>18802</v>
      </c>
      <c r="D10414" s="27" t="s">
        <v>17558</v>
      </c>
      <c r="E10414" s="29">
        <v>35064</v>
      </c>
      <c r="F10414" s="27">
        <v>7</v>
      </c>
      <c r="G10414" s="18">
        <v>13.32</v>
      </c>
      <c r="H10414" s="27">
        <f t="shared" si="324"/>
        <v>13.32</v>
      </c>
      <c r="I10414" s="18">
        <v>13.32</v>
      </c>
      <c r="J10414" s="27">
        <v>13.32</v>
      </c>
      <c r="K10414" s="18">
        <f t="shared" si="325"/>
        <v>13.32</v>
      </c>
      <c r="L10414" s="27">
        <v>13.32</v>
      </c>
      <c r="M10414" s="36">
        <v>0</v>
      </c>
      <c r="T10414" s="41">
        <v>0</v>
      </c>
      <c r="U10414" s="41">
        <v>0</v>
      </c>
      <c r="V10414" s="42" t="s">
        <v>113</v>
      </c>
      <c r="W10414" s="42">
        <v>13.32</v>
      </c>
      <c r="X10414" s="42">
        <v>13.32</v>
      </c>
    </row>
    <row r="10415" spans="1:24">
      <c r="A10415" s="27" t="s">
        <v>18803</v>
      </c>
      <c r="B10415" s="28" t="s">
        <v>17556</v>
      </c>
      <c r="C10415" s="27" t="s">
        <v>18804</v>
      </c>
      <c r="D10415" s="27" t="s">
        <v>17558</v>
      </c>
      <c r="E10415" s="29">
        <v>35064</v>
      </c>
      <c r="F10415" s="27">
        <v>7</v>
      </c>
      <c r="G10415" s="18">
        <v>13.32</v>
      </c>
      <c r="H10415" s="27">
        <f t="shared" si="324"/>
        <v>13.32</v>
      </c>
      <c r="I10415" s="18">
        <v>13.32</v>
      </c>
      <c r="J10415" s="27">
        <v>13.32</v>
      </c>
      <c r="K10415" s="18">
        <f t="shared" si="325"/>
        <v>13.32</v>
      </c>
      <c r="L10415" s="27">
        <v>13.32</v>
      </c>
      <c r="M10415" s="36">
        <v>0</v>
      </c>
      <c r="T10415" s="41">
        <v>0</v>
      </c>
      <c r="U10415" s="41">
        <v>0</v>
      </c>
      <c r="V10415" s="42" t="s">
        <v>113</v>
      </c>
      <c r="W10415" s="42">
        <v>13.32</v>
      </c>
      <c r="X10415" s="42">
        <v>13.32</v>
      </c>
    </row>
    <row r="10416" spans="1:24">
      <c r="A10416" s="27" t="s">
        <v>18805</v>
      </c>
      <c r="B10416" s="28" t="s">
        <v>17556</v>
      </c>
      <c r="C10416" s="27" t="s">
        <v>18806</v>
      </c>
      <c r="D10416" s="27" t="s">
        <v>17558</v>
      </c>
      <c r="E10416" s="29">
        <v>35064</v>
      </c>
      <c r="F10416" s="27">
        <v>7</v>
      </c>
      <c r="G10416" s="18">
        <v>13.32</v>
      </c>
      <c r="H10416" s="27">
        <f t="shared" si="324"/>
        <v>13.32</v>
      </c>
      <c r="I10416" s="18">
        <v>13.32</v>
      </c>
      <c r="J10416" s="27">
        <v>13.32</v>
      </c>
      <c r="K10416" s="18">
        <f t="shared" si="325"/>
        <v>13.32</v>
      </c>
      <c r="L10416" s="27">
        <v>13.32</v>
      </c>
      <c r="M10416" s="36">
        <v>0</v>
      </c>
      <c r="T10416" s="41">
        <v>0</v>
      </c>
      <c r="U10416" s="41">
        <v>0</v>
      </c>
      <c r="V10416" s="42" t="s">
        <v>113</v>
      </c>
      <c r="W10416" s="42">
        <v>13.32</v>
      </c>
      <c r="X10416" s="42">
        <v>13.32</v>
      </c>
    </row>
    <row r="10417" spans="1:24">
      <c r="A10417" s="27" t="s">
        <v>18807</v>
      </c>
      <c r="B10417" s="28" t="s">
        <v>17556</v>
      </c>
      <c r="C10417" s="27" t="s">
        <v>18808</v>
      </c>
      <c r="D10417" s="27" t="s">
        <v>17558</v>
      </c>
      <c r="E10417" s="29">
        <v>35064</v>
      </c>
      <c r="F10417" s="27">
        <v>7</v>
      </c>
      <c r="G10417" s="18">
        <v>13.32</v>
      </c>
      <c r="H10417" s="27">
        <f t="shared" si="324"/>
        <v>13.32</v>
      </c>
      <c r="I10417" s="18">
        <v>13.32</v>
      </c>
      <c r="J10417" s="27">
        <v>13.32</v>
      </c>
      <c r="K10417" s="18">
        <f t="shared" si="325"/>
        <v>13.32</v>
      </c>
      <c r="L10417" s="27">
        <v>13.32</v>
      </c>
      <c r="M10417" s="36">
        <v>0</v>
      </c>
      <c r="T10417" s="41">
        <v>0</v>
      </c>
      <c r="U10417" s="41">
        <v>0</v>
      </c>
      <c r="V10417" s="42" t="s">
        <v>113</v>
      </c>
      <c r="W10417" s="42">
        <v>13.32</v>
      </c>
      <c r="X10417" s="42">
        <v>13.32</v>
      </c>
    </row>
    <row r="10418" spans="1:24">
      <c r="A10418" s="27" t="s">
        <v>18809</v>
      </c>
      <c r="B10418" s="28" t="s">
        <v>17556</v>
      </c>
      <c r="C10418" s="27" t="s">
        <v>18810</v>
      </c>
      <c r="D10418" s="27" t="s">
        <v>17558</v>
      </c>
      <c r="E10418" s="29">
        <v>35064</v>
      </c>
      <c r="F10418" s="27">
        <v>7</v>
      </c>
      <c r="G10418" s="18">
        <v>13.32</v>
      </c>
      <c r="H10418" s="27">
        <f t="shared" si="324"/>
        <v>13.32</v>
      </c>
      <c r="I10418" s="18">
        <v>13.32</v>
      </c>
      <c r="J10418" s="27">
        <v>13.32</v>
      </c>
      <c r="K10418" s="18">
        <f t="shared" si="325"/>
        <v>13.32</v>
      </c>
      <c r="L10418" s="27">
        <v>13.32</v>
      </c>
      <c r="M10418" s="36">
        <v>0</v>
      </c>
      <c r="T10418" s="41">
        <v>0</v>
      </c>
      <c r="U10418" s="41">
        <v>0</v>
      </c>
      <c r="V10418" s="42" t="s">
        <v>113</v>
      </c>
      <c r="W10418" s="42">
        <v>13.32</v>
      </c>
      <c r="X10418" s="42">
        <v>13.32</v>
      </c>
    </row>
    <row r="10419" spans="1:24">
      <c r="A10419" s="27" t="s">
        <v>18811</v>
      </c>
      <c r="B10419" s="28" t="s">
        <v>17556</v>
      </c>
      <c r="C10419" s="27" t="s">
        <v>18812</v>
      </c>
      <c r="D10419" s="27" t="s">
        <v>17558</v>
      </c>
      <c r="E10419" s="29">
        <v>35064</v>
      </c>
      <c r="F10419" s="27">
        <v>7</v>
      </c>
      <c r="G10419" s="18">
        <v>13.32</v>
      </c>
      <c r="H10419" s="27">
        <f t="shared" si="324"/>
        <v>13.32</v>
      </c>
      <c r="I10419" s="18">
        <v>13.32</v>
      </c>
      <c r="J10419" s="27">
        <v>13.32</v>
      </c>
      <c r="K10419" s="18">
        <f t="shared" si="325"/>
        <v>13.32</v>
      </c>
      <c r="L10419" s="27">
        <v>13.32</v>
      </c>
      <c r="M10419" s="36">
        <v>0</v>
      </c>
      <c r="T10419" s="41">
        <v>0</v>
      </c>
      <c r="U10419" s="41">
        <v>0</v>
      </c>
      <c r="V10419" s="42" t="s">
        <v>113</v>
      </c>
      <c r="W10419" s="42">
        <v>13.32</v>
      </c>
      <c r="X10419" s="42">
        <v>13.32</v>
      </c>
    </row>
    <row r="10420" spans="1:24">
      <c r="A10420" s="27" t="s">
        <v>18813</v>
      </c>
      <c r="B10420" s="28" t="s">
        <v>17556</v>
      </c>
      <c r="C10420" s="27" t="s">
        <v>18814</v>
      </c>
      <c r="D10420" s="27" t="s">
        <v>17558</v>
      </c>
      <c r="E10420" s="29">
        <v>35064</v>
      </c>
      <c r="F10420" s="27">
        <v>7</v>
      </c>
      <c r="G10420" s="18">
        <v>13.32</v>
      </c>
      <c r="H10420" s="27">
        <f t="shared" si="324"/>
        <v>13.32</v>
      </c>
      <c r="I10420" s="18">
        <v>13.32</v>
      </c>
      <c r="J10420" s="27">
        <v>13.32</v>
      </c>
      <c r="K10420" s="18">
        <f t="shared" si="325"/>
        <v>13.32</v>
      </c>
      <c r="L10420" s="27">
        <v>13.32</v>
      </c>
      <c r="M10420" s="36">
        <v>0</v>
      </c>
      <c r="T10420" s="41">
        <v>0</v>
      </c>
      <c r="U10420" s="41">
        <v>0</v>
      </c>
      <c r="V10420" s="42" t="s">
        <v>113</v>
      </c>
      <c r="W10420" s="42">
        <v>13.32</v>
      </c>
      <c r="X10420" s="42">
        <v>13.32</v>
      </c>
    </row>
    <row r="10421" spans="1:24">
      <c r="A10421" s="27" t="s">
        <v>18815</v>
      </c>
      <c r="B10421" s="28" t="s">
        <v>17556</v>
      </c>
      <c r="C10421" s="27" t="s">
        <v>18816</v>
      </c>
      <c r="D10421" s="27" t="s">
        <v>17558</v>
      </c>
      <c r="E10421" s="29">
        <v>35064</v>
      </c>
      <c r="F10421" s="27">
        <v>7</v>
      </c>
      <c r="G10421" s="18">
        <v>13.32</v>
      </c>
      <c r="H10421" s="27">
        <f t="shared" si="324"/>
        <v>13.32</v>
      </c>
      <c r="I10421" s="18">
        <v>13.32</v>
      </c>
      <c r="J10421" s="27">
        <v>13.32</v>
      </c>
      <c r="K10421" s="18">
        <f t="shared" si="325"/>
        <v>13.32</v>
      </c>
      <c r="L10421" s="27">
        <v>13.32</v>
      </c>
      <c r="M10421" s="36">
        <v>0</v>
      </c>
      <c r="T10421" s="41">
        <v>0</v>
      </c>
      <c r="U10421" s="41">
        <v>0</v>
      </c>
      <c r="V10421" s="42" t="s">
        <v>113</v>
      </c>
      <c r="W10421" s="42">
        <v>13.32</v>
      </c>
      <c r="X10421" s="42">
        <v>13.32</v>
      </c>
    </row>
    <row r="10422" spans="1:24">
      <c r="A10422" s="27" t="s">
        <v>18817</v>
      </c>
      <c r="B10422" s="28" t="s">
        <v>17556</v>
      </c>
      <c r="C10422" s="27" t="s">
        <v>18818</v>
      </c>
      <c r="D10422" s="27" t="s">
        <v>17558</v>
      </c>
      <c r="E10422" s="29">
        <v>35064</v>
      </c>
      <c r="F10422" s="27">
        <v>7</v>
      </c>
      <c r="G10422" s="18">
        <v>13.32</v>
      </c>
      <c r="H10422" s="27">
        <f t="shared" si="324"/>
        <v>13.32</v>
      </c>
      <c r="I10422" s="18">
        <v>13.32</v>
      </c>
      <c r="J10422" s="27">
        <v>13.32</v>
      </c>
      <c r="K10422" s="18">
        <f t="shared" si="325"/>
        <v>13.32</v>
      </c>
      <c r="L10422" s="27">
        <v>13.32</v>
      </c>
      <c r="M10422" s="36">
        <v>0</v>
      </c>
      <c r="T10422" s="41">
        <v>0</v>
      </c>
      <c r="U10422" s="41">
        <v>0</v>
      </c>
      <c r="V10422" s="42" t="s">
        <v>113</v>
      </c>
      <c r="W10422" s="42">
        <v>13.32</v>
      </c>
      <c r="X10422" s="42">
        <v>13.32</v>
      </c>
    </row>
    <row r="10423" spans="1:24">
      <c r="A10423" s="27" t="s">
        <v>18819</v>
      </c>
      <c r="B10423" s="28" t="s">
        <v>17556</v>
      </c>
      <c r="C10423" s="27" t="s">
        <v>18820</v>
      </c>
      <c r="D10423" s="27" t="s">
        <v>17558</v>
      </c>
      <c r="E10423" s="29">
        <v>35064</v>
      </c>
      <c r="F10423" s="27">
        <v>7</v>
      </c>
      <c r="G10423" s="18">
        <v>13.32</v>
      </c>
      <c r="H10423" s="27">
        <f t="shared" si="324"/>
        <v>13.32</v>
      </c>
      <c r="I10423" s="18">
        <v>13.32</v>
      </c>
      <c r="J10423" s="27">
        <v>13.32</v>
      </c>
      <c r="K10423" s="18">
        <f t="shared" si="325"/>
        <v>13.32</v>
      </c>
      <c r="L10423" s="27">
        <v>13.32</v>
      </c>
      <c r="M10423" s="36">
        <v>0</v>
      </c>
      <c r="T10423" s="41">
        <v>0</v>
      </c>
      <c r="U10423" s="41">
        <v>0</v>
      </c>
      <c r="V10423" s="42" t="s">
        <v>113</v>
      </c>
      <c r="W10423" s="42">
        <v>13.32</v>
      </c>
      <c r="X10423" s="42">
        <v>13.32</v>
      </c>
    </row>
    <row r="10424" spans="1:24">
      <c r="A10424" s="27" t="s">
        <v>18821</v>
      </c>
      <c r="B10424" s="28" t="s">
        <v>17556</v>
      </c>
      <c r="C10424" s="27" t="s">
        <v>18822</v>
      </c>
      <c r="D10424" s="27" t="s">
        <v>17558</v>
      </c>
      <c r="E10424" s="29">
        <v>35064</v>
      </c>
      <c r="F10424" s="27">
        <v>7</v>
      </c>
      <c r="G10424" s="18">
        <v>13.32</v>
      </c>
      <c r="H10424" s="27">
        <f t="shared" si="324"/>
        <v>13.32</v>
      </c>
      <c r="I10424" s="18">
        <v>13.32</v>
      </c>
      <c r="J10424" s="27">
        <v>13.32</v>
      </c>
      <c r="K10424" s="18">
        <f t="shared" si="325"/>
        <v>13.32</v>
      </c>
      <c r="L10424" s="27">
        <v>13.32</v>
      </c>
      <c r="M10424" s="36">
        <v>0</v>
      </c>
      <c r="T10424" s="41">
        <v>0</v>
      </c>
      <c r="U10424" s="41">
        <v>0</v>
      </c>
      <c r="V10424" s="42" t="s">
        <v>113</v>
      </c>
      <c r="W10424" s="42">
        <v>13.32</v>
      </c>
      <c r="X10424" s="42">
        <v>13.32</v>
      </c>
    </row>
    <row r="10425" spans="1:24">
      <c r="A10425" s="27" t="s">
        <v>18823</v>
      </c>
      <c r="B10425" s="28" t="s">
        <v>17556</v>
      </c>
      <c r="C10425" s="27" t="s">
        <v>18824</v>
      </c>
      <c r="D10425" s="27" t="s">
        <v>17558</v>
      </c>
      <c r="E10425" s="29">
        <v>34699</v>
      </c>
      <c r="F10425" s="27">
        <v>7</v>
      </c>
      <c r="G10425" s="18">
        <v>9715.48</v>
      </c>
      <c r="H10425" s="27">
        <f t="shared" si="324"/>
        <v>9715.48</v>
      </c>
      <c r="I10425" s="18">
        <v>9715.48</v>
      </c>
      <c r="J10425" s="27">
        <v>9715.48</v>
      </c>
      <c r="K10425" s="18">
        <f t="shared" si="325"/>
        <v>9715.48</v>
      </c>
      <c r="L10425" s="27">
        <v>9229.7099999999991</v>
      </c>
      <c r="M10425" s="36">
        <v>-485.77</v>
      </c>
      <c r="T10425" s="41">
        <v>0</v>
      </c>
      <c r="U10425" s="41">
        <v>0</v>
      </c>
      <c r="V10425" s="42" t="s">
        <v>113</v>
      </c>
      <c r="W10425" s="42">
        <v>9715.48</v>
      </c>
      <c r="X10425" s="42">
        <v>9715.48</v>
      </c>
    </row>
    <row r="10426" spans="1:24">
      <c r="A10426" s="27" t="s">
        <v>18825</v>
      </c>
      <c r="B10426" s="28" t="s">
        <v>17556</v>
      </c>
      <c r="C10426" s="27" t="s">
        <v>18826</v>
      </c>
      <c r="D10426" s="27" t="s">
        <v>17558</v>
      </c>
      <c r="E10426" s="29">
        <v>34699</v>
      </c>
      <c r="F10426" s="27">
        <v>7</v>
      </c>
      <c r="G10426" s="18">
        <v>9715.48</v>
      </c>
      <c r="H10426" s="27">
        <f t="shared" si="324"/>
        <v>9715.48</v>
      </c>
      <c r="I10426" s="18">
        <v>9715.48</v>
      </c>
      <c r="J10426" s="27">
        <v>9715.48</v>
      </c>
      <c r="K10426" s="18">
        <f t="shared" si="325"/>
        <v>9715.48</v>
      </c>
      <c r="L10426" s="27">
        <v>9229.7099999999991</v>
      </c>
      <c r="M10426" s="36">
        <v>-485.77</v>
      </c>
      <c r="T10426" s="41">
        <v>0</v>
      </c>
      <c r="U10426" s="41">
        <v>0</v>
      </c>
      <c r="V10426" s="42" t="s">
        <v>113</v>
      </c>
      <c r="W10426" s="42">
        <v>9715.48</v>
      </c>
      <c r="X10426" s="42">
        <v>9715.48</v>
      </c>
    </row>
    <row r="10427" spans="1:24">
      <c r="A10427" s="27" t="s">
        <v>18827</v>
      </c>
      <c r="B10427" s="28" t="s">
        <v>17556</v>
      </c>
      <c r="C10427" s="27" t="s">
        <v>18828</v>
      </c>
      <c r="D10427" s="27" t="s">
        <v>17558</v>
      </c>
      <c r="E10427" s="29">
        <v>34699</v>
      </c>
      <c r="F10427" s="27">
        <v>7</v>
      </c>
      <c r="G10427" s="18">
        <v>9715.48</v>
      </c>
      <c r="H10427" s="27">
        <f t="shared" si="324"/>
        <v>9715.48</v>
      </c>
      <c r="I10427" s="18">
        <v>9715.48</v>
      </c>
      <c r="J10427" s="27">
        <v>9715.48</v>
      </c>
      <c r="K10427" s="18">
        <f t="shared" si="325"/>
        <v>9715.48</v>
      </c>
      <c r="L10427" s="27">
        <v>9229.7099999999991</v>
      </c>
      <c r="M10427" s="36">
        <v>-485.77</v>
      </c>
      <c r="T10427" s="41">
        <v>0</v>
      </c>
      <c r="U10427" s="41">
        <v>0</v>
      </c>
      <c r="V10427" s="42" t="s">
        <v>113</v>
      </c>
      <c r="W10427" s="42">
        <v>9715.48</v>
      </c>
      <c r="X10427" s="42">
        <v>9715.48</v>
      </c>
    </row>
    <row r="10428" spans="1:24">
      <c r="A10428" s="27" t="s">
        <v>18829</v>
      </c>
      <c r="B10428" s="28" t="s">
        <v>17556</v>
      </c>
      <c r="C10428" s="27" t="s">
        <v>18830</v>
      </c>
      <c r="D10428" s="27" t="s">
        <v>17558</v>
      </c>
      <c r="E10428" s="29">
        <v>34699</v>
      </c>
      <c r="F10428" s="27">
        <v>7</v>
      </c>
      <c r="G10428" s="18">
        <v>9715.48</v>
      </c>
      <c r="H10428" s="27">
        <f t="shared" si="324"/>
        <v>9715.48</v>
      </c>
      <c r="I10428" s="18">
        <v>9715.48</v>
      </c>
      <c r="J10428" s="27">
        <v>9715.48</v>
      </c>
      <c r="K10428" s="18">
        <f t="shared" si="325"/>
        <v>9715.48</v>
      </c>
      <c r="L10428" s="27">
        <v>9229.7099999999991</v>
      </c>
      <c r="M10428" s="36">
        <v>-485.77</v>
      </c>
      <c r="T10428" s="41">
        <v>0</v>
      </c>
      <c r="U10428" s="41">
        <v>0</v>
      </c>
      <c r="V10428" s="42" t="s">
        <v>113</v>
      </c>
      <c r="W10428" s="42">
        <v>9715.48</v>
      </c>
      <c r="X10428" s="42">
        <v>9715.48</v>
      </c>
    </row>
    <row r="10429" spans="1:24">
      <c r="A10429" s="27" t="s">
        <v>18831</v>
      </c>
      <c r="B10429" s="28" t="s">
        <v>17556</v>
      </c>
      <c r="C10429" s="27" t="s">
        <v>18832</v>
      </c>
      <c r="D10429" s="27" t="s">
        <v>17558</v>
      </c>
      <c r="E10429" s="29">
        <v>34699</v>
      </c>
      <c r="F10429" s="27">
        <v>7</v>
      </c>
      <c r="G10429" s="18">
        <v>9715.48</v>
      </c>
      <c r="H10429" s="27">
        <f t="shared" si="324"/>
        <v>9715.48</v>
      </c>
      <c r="I10429" s="18">
        <v>9715.48</v>
      </c>
      <c r="J10429" s="27">
        <v>9715.48</v>
      </c>
      <c r="K10429" s="18">
        <f t="shared" si="325"/>
        <v>9715.48</v>
      </c>
      <c r="L10429" s="27">
        <v>9229.7099999999991</v>
      </c>
      <c r="M10429" s="36">
        <v>-485.77</v>
      </c>
      <c r="T10429" s="41">
        <v>0</v>
      </c>
      <c r="U10429" s="41">
        <v>0</v>
      </c>
      <c r="V10429" s="42" t="s">
        <v>113</v>
      </c>
      <c r="W10429" s="42">
        <v>9715.48</v>
      </c>
      <c r="X10429" s="42">
        <v>9715.48</v>
      </c>
    </row>
    <row r="10430" spans="1:24">
      <c r="A10430" s="27" t="s">
        <v>18833</v>
      </c>
      <c r="B10430" s="28" t="s">
        <v>17556</v>
      </c>
      <c r="C10430" s="27" t="s">
        <v>18834</v>
      </c>
      <c r="D10430" s="27" t="s">
        <v>17558</v>
      </c>
      <c r="E10430" s="29">
        <v>34699</v>
      </c>
      <c r="F10430" s="27">
        <v>7</v>
      </c>
      <c r="G10430" s="18">
        <v>4857.74</v>
      </c>
      <c r="H10430" s="27">
        <f t="shared" si="324"/>
        <v>4857.74</v>
      </c>
      <c r="I10430" s="18">
        <v>4857.74</v>
      </c>
      <c r="J10430" s="27">
        <v>4857.74</v>
      </c>
      <c r="K10430" s="18">
        <f t="shared" si="325"/>
        <v>4857.74</v>
      </c>
      <c r="L10430" s="27">
        <v>4857.74</v>
      </c>
      <c r="M10430" s="36">
        <v>0</v>
      </c>
      <c r="T10430" s="41">
        <v>0</v>
      </c>
      <c r="U10430" s="41">
        <v>0</v>
      </c>
      <c r="V10430" s="42" t="s">
        <v>113</v>
      </c>
      <c r="W10430" s="42">
        <v>4857.74</v>
      </c>
      <c r="X10430" s="42">
        <v>4857.74</v>
      </c>
    </row>
    <row r="10431" spans="1:24">
      <c r="A10431" s="27" t="s">
        <v>18835</v>
      </c>
      <c r="B10431" s="28" t="s">
        <v>17556</v>
      </c>
      <c r="C10431" s="27" t="s">
        <v>18836</v>
      </c>
      <c r="D10431" s="27" t="s">
        <v>17558</v>
      </c>
      <c r="E10431" s="29">
        <v>34699</v>
      </c>
      <c r="F10431" s="27">
        <v>7</v>
      </c>
      <c r="G10431" s="18">
        <v>9715.48</v>
      </c>
      <c r="H10431" s="27">
        <f t="shared" si="324"/>
        <v>9715.48</v>
      </c>
      <c r="I10431" s="18">
        <v>9715.48</v>
      </c>
      <c r="J10431" s="27">
        <v>9715.48</v>
      </c>
      <c r="K10431" s="18">
        <f t="shared" si="325"/>
        <v>9715.48</v>
      </c>
      <c r="L10431" s="27">
        <v>9229.7099999999991</v>
      </c>
      <c r="M10431" s="36">
        <v>-485.77</v>
      </c>
      <c r="T10431" s="41">
        <v>0</v>
      </c>
      <c r="U10431" s="41">
        <v>0</v>
      </c>
      <c r="V10431" s="42" t="s">
        <v>113</v>
      </c>
      <c r="W10431" s="42">
        <v>9715.48</v>
      </c>
      <c r="X10431" s="42">
        <v>9715.48</v>
      </c>
    </row>
    <row r="10432" spans="1:24">
      <c r="A10432" s="27" t="s">
        <v>18837</v>
      </c>
      <c r="B10432" s="28" t="s">
        <v>17556</v>
      </c>
      <c r="C10432" s="27" t="s">
        <v>18838</v>
      </c>
      <c r="D10432" s="27" t="s">
        <v>17558</v>
      </c>
      <c r="E10432" s="29">
        <v>34699</v>
      </c>
      <c r="F10432" s="27">
        <v>7</v>
      </c>
      <c r="G10432" s="18">
        <v>9715.48</v>
      </c>
      <c r="H10432" s="27">
        <f t="shared" si="324"/>
        <v>9715.48</v>
      </c>
      <c r="I10432" s="18">
        <v>9715.48</v>
      </c>
      <c r="J10432" s="27">
        <v>9715.48</v>
      </c>
      <c r="K10432" s="18">
        <f t="shared" si="325"/>
        <v>9715.48</v>
      </c>
      <c r="L10432" s="27">
        <v>9229.7099999999991</v>
      </c>
      <c r="M10432" s="36">
        <v>-485.77</v>
      </c>
      <c r="T10432" s="41">
        <v>0</v>
      </c>
      <c r="U10432" s="41">
        <v>0</v>
      </c>
      <c r="V10432" s="42" t="s">
        <v>113</v>
      </c>
      <c r="W10432" s="42">
        <v>9715.48</v>
      </c>
      <c r="X10432" s="42">
        <v>9715.48</v>
      </c>
    </row>
    <row r="10433" spans="1:24">
      <c r="A10433" s="27" t="s">
        <v>18839</v>
      </c>
      <c r="B10433" s="28" t="s">
        <v>17556</v>
      </c>
      <c r="C10433" s="27" t="s">
        <v>18840</v>
      </c>
      <c r="D10433" s="27" t="s">
        <v>17558</v>
      </c>
      <c r="E10433" s="29">
        <v>34699</v>
      </c>
      <c r="F10433" s="27">
        <v>7</v>
      </c>
      <c r="G10433" s="18">
        <v>9715.48</v>
      </c>
      <c r="H10433" s="27">
        <f t="shared" si="324"/>
        <v>9715.48</v>
      </c>
      <c r="I10433" s="18">
        <v>9715.48</v>
      </c>
      <c r="J10433" s="27">
        <v>9715.48</v>
      </c>
      <c r="K10433" s="18">
        <f t="shared" si="325"/>
        <v>9715.48</v>
      </c>
      <c r="L10433" s="27">
        <v>9229.7099999999991</v>
      </c>
      <c r="M10433" s="36">
        <v>-485.77</v>
      </c>
      <c r="T10433" s="41">
        <v>0</v>
      </c>
      <c r="U10433" s="41">
        <v>0</v>
      </c>
      <c r="V10433" s="42" t="s">
        <v>113</v>
      </c>
      <c r="W10433" s="42">
        <v>9715.48</v>
      </c>
      <c r="X10433" s="42">
        <v>9715.48</v>
      </c>
    </row>
    <row r="10434" spans="1:24">
      <c r="A10434" s="27" t="s">
        <v>18841</v>
      </c>
      <c r="B10434" s="28" t="s">
        <v>17556</v>
      </c>
      <c r="C10434" s="27" t="s">
        <v>18842</v>
      </c>
      <c r="D10434" s="27" t="s">
        <v>17558</v>
      </c>
      <c r="E10434" s="29">
        <v>34699</v>
      </c>
      <c r="F10434" s="27">
        <v>7</v>
      </c>
      <c r="G10434" s="18">
        <v>9715.48</v>
      </c>
      <c r="H10434" s="27">
        <f t="shared" si="324"/>
        <v>9715.48</v>
      </c>
      <c r="I10434" s="18">
        <v>9715.48</v>
      </c>
      <c r="J10434" s="27">
        <v>9715.48</v>
      </c>
      <c r="K10434" s="18">
        <f t="shared" si="325"/>
        <v>9715.48</v>
      </c>
      <c r="L10434" s="27">
        <v>9229.7099999999991</v>
      </c>
      <c r="M10434" s="36">
        <v>-485.77</v>
      </c>
      <c r="T10434" s="41">
        <v>0</v>
      </c>
      <c r="U10434" s="41">
        <v>0</v>
      </c>
      <c r="V10434" s="42" t="s">
        <v>113</v>
      </c>
      <c r="W10434" s="42">
        <v>9715.48</v>
      </c>
      <c r="X10434" s="42">
        <v>9715.48</v>
      </c>
    </row>
    <row r="10435" spans="1:24">
      <c r="A10435" s="27" t="s">
        <v>18843</v>
      </c>
      <c r="B10435" s="28" t="s">
        <v>17556</v>
      </c>
      <c r="C10435" s="27" t="s">
        <v>18844</v>
      </c>
      <c r="D10435" s="27" t="s">
        <v>17558</v>
      </c>
      <c r="E10435" s="29">
        <v>34699</v>
      </c>
      <c r="F10435" s="27">
        <v>7</v>
      </c>
      <c r="G10435" s="18">
        <v>9715.48</v>
      </c>
      <c r="H10435" s="27">
        <f t="shared" si="324"/>
        <v>9715.48</v>
      </c>
      <c r="I10435" s="18">
        <v>9715.48</v>
      </c>
      <c r="J10435" s="27">
        <v>9715.48</v>
      </c>
      <c r="K10435" s="18">
        <f t="shared" si="325"/>
        <v>9715.48</v>
      </c>
      <c r="L10435" s="27">
        <v>9229.7099999999991</v>
      </c>
      <c r="M10435" s="36">
        <v>-485.77</v>
      </c>
      <c r="T10435" s="41">
        <v>0</v>
      </c>
      <c r="U10435" s="41">
        <v>0</v>
      </c>
      <c r="V10435" s="42" t="s">
        <v>113</v>
      </c>
      <c r="W10435" s="42">
        <v>9715.48</v>
      </c>
      <c r="X10435" s="42">
        <v>9715.48</v>
      </c>
    </row>
    <row r="10436" spans="1:24">
      <c r="A10436" s="27" t="s">
        <v>18845</v>
      </c>
      <c r="B10436" s="28" t="s">
        <v>17556</v>
      </c>
      <c r="C10436" s="27" t="s">
        <v>18846</v>
      </c>
      <c r="D10436" s="27" t="s">
        <v>17558</v>
      </c>
      <c r="E10436" s="29">
        <v>34699</v>
      </c>
      <c r="F10436" s="27">
        <v>7</v>
      </c>
      <c r="G10436" s="18">
        <v>9715.48</v>
      </c>
      <c r="H10436" s="27">
        <f t="shared" si="324"/>
        <v>9715.48</v>
      </c>
      <c r="I10436" s="18">
        <v>9715.48</v>
      </c>
      <c r="J10436" s="27">
        <v>9715.48</v>
      </c>
      <c r="K10436" s="18">
        <f t="shared" si="325"/>
        <v>9715.48</v>
      </c>
      <c r="L10436" s="27">
        <v>9229.7099999999991</v>
      </c>
      <c r="M10436" s="36">
        <v>-485.77</v>
      </c>
      <c r="T10436" s="41">
        <v>0</v>
      </c>
      <c r="U10436" s="41">
        <v>0</v>
      </c>
      <c r="V10436" s="42" t="s">
        <v>113</v>
      </c>
      <c r="W10436" s="42">
        <v>9715.48</v>
      </c>
      <c r="X10436" s="42">
        <v>9715.48</v>
      </c>
    </row>
    <row r="10437" spans="1:24">
      <c r="A10437" s="27" t="s">
        <v>18847</v>
      </c>
      <c r="B10437" s="28" t="s">
        <v>17556</v>
      </c>
      <c r="C10437" s="27" t="s">
        <v>18848</v>
      </c>
      <c r="D10437" s="27" t="s">
        <v>17558</v>
      </c>
      <c r="E10437" s="29">
        <v>34699</v>
      </c>
      <c r="F10437" s="27">
        <v>7</v>
      </c>
      <c r="G10437" s="18">
        <v>9715.48</v>
      </c>
      <c r="H10437" s="27">
        <f t="shared" si="324"/>
        <v>9715.48</v>
      </c>
      <c r="I10437" s="18">
        <v>9715.48</v>
      </c>
      <c r="J10437" s="27">
        <v>9715.48</v>
      </c>
      <c r="K10437" s="18">
        <f t="shared" si="325"/>
        <v>9715.48</v>
      </c>
      <c r="L10437" s="27">
        <v>9229.7099999999991</v>
      </c>
      <c r="M10437" s="36">
        <v>-485.77</v>
      </c>
      <c r="T10437" s="41">
        <v>0</v>
      </c>
      <c r="U10437" s="41">
        <v>0</v>
      </c>
      <c r="V10437" s="42" t="s">
        <v>113</v>
      </c>
      <c r="W10437" s="42">
        <v>9715.48</v>
      </c>
      <c r="X10437" s="42">
        <v>9715.48</v>
      </c>
    </row>
    <row r="10438" spans="1:24">
      <c r="A10438" s="27" t="s">
        <v>18849</v>
      </c>
      <c r="B10438" s="28" t="s">
        <v>17556</v>
      </c>
      <c r="C10438" s="27" t="s">
        <v>18850</v>
      </c>
      <c r="D10438" s="27" t="s">
        <v>17558</v>
      </c>
      <c r="E10438" s="29">
        <v>34699</v>
      </c>
      <c r="F10438" s="27">
        <v>7</v>
      </c>
      <c r="G10438" s="18">
        <v>9715.48</v>
      </c>
      <c r="H10438" s="27">
        <f t="shared" ref="H10438:H10501" si="326">IFERROR(IF(ROUND((G10438-I10438)/G10438,2)&lt;=0.05,G10438,0),0)</f>
        <v>9715.48</v>
      </c>
      <c r="I10438" s="18">
        <v>9715.48</v>
      </c>
      <c r="J10438" s="27">
        <v>9715.48</v>
      </c>
      <c r="K10438" s="18">
        <f t="shared" ref="K10438:K10501" si="327">IFERROR(IF(ROUND((J10438-L10438)/J10438,2)&lt;=0.05,J10438,0),0)</f>
        <v>9715.48</v>
      </c>
      <c r="L10438" s="27">
        <v>9229.7099999999991</v>
      </c>
      <c r="M10438" s="36">
        <v>-485.77</v>
      </c>
      <c r="T10438" s="41">
        <v>0</v>
      </c>
      <c r="U10438" s="41">
        <v>0</v>
      </c>
      <c r="V10438" s="42" t="s">
        <v>113</v>
      </c>
      <c r="W10438" s="42">
        <v>9715.48</v>
      </c>
      <c r="X10438" s="42">
        <v>9715.48</v>
      </c>
    </row>
    <row r="10439" spans="1:24">
      <c r="A10439" s="27" t="s">
        <v>18851</v>
      </c>
      <c r="B10439" s="28" t="s">
        <v>17556</v>
      </c>
      <c r="C10439" s="27" t="s">
        <v>18852</v>
      </c>
      <c r="D10439" s="27" t="s">
        <v>17558</v>
      </c>
      <c r="E10439" s="29">
        <v>35430</v>
      </c>
      <c r="F10439" s="27">
        <v>7</v>
      </c>
      <c r="G10439" s="18">
        <v>11234.02</v>
      </c>
      <c r="H10439" s="27">
        <f t="shared" si="326"/>
        <v>11234.02</v>
      </c>
      <c r="I10439" s="18">
        <v>11234.02</v>
      </c>
      <c r="J10439" s="27">
        <v>11234.02</v>
      </c>
      <c r="K10439" s="18">
        <f t="shared" si="327"/>
        <v>11234.02</v>
      </c>
      <c r="L10439" s="27">
        <v>10672.32</v>
      </c>
      <c r="M10439" s="36">
        <v>-561.70000000000005</v>
      </c>
      <c r="T10439" s="41">
        <v>0</v>
      </c>
      <c r="U10439" s="41">
        <v>0</v>
      </c>
      <c r="V10439" s="42" t="s">
        <v>113</v>
      </c>
      <c r="W10439" s="42">
        <v>11234.02</v>
      </c>
      <c r="X10439" s="42">
        <v>11234.02</v>
      </c>
    </row>
    <row r="10440" spans="1:24">
      <c r="A10440" s="27" t="s">
        <v>18853</v>
      </c>
      <c r="B10440" s="28" t="s">
        <v>17556</v>
      </c>
      <c r="C10440" s="27" t="s">
        <v>18854</v>
      </c>
      <c r="D10440" s="27" t="s">
        <v>17558</v>
      </c>
      <c r="E10440" s="29">
        <v>35430</v>
      </c>
      <c r="F10440" s="27">
        <v>7</v>
      </c>
      <c r="G10440" s="18">
        <v>11234.02</v>
      </c>
      <c r="H10440" s="27">
        <f t="shared" si="326"/>
        <v>11234.02</v>
      </c>
      <c r="I10440" s="18">
        <v>11234.02</v>
      </c>
      <c r="J10440" s="27">
        <v>11234.02</v>
      </c>
      <c r="K10440" s="18">
        <f t="shared" si="327"/>
        <v>11234.02</v>
      </c>
      <c r="L10440" s="27">
        <v>10672.32</v>
      </c>
      <c r="M10440" s="36">
        <v>-561.70000000000005</v>
      </c>
      <c r="T10440" s="41">
        <v>0</v>
      </c>
      <c r="U10440" s="41">
        <v>0</v>
      </c>
      <c r="V10440" s="42" t="s">
        <v>113</v>
      </c>
      <c r="W10440" s="42">
        <v>11234.02</v>
      </c>
      <c r="X10440" s="42">
        <v>11234.02</v>
      </c>
    </row>
    <row r="10441" spans="1:24">
      <c r="A10441" s="27" t="s">
        <v>18855</v>
      </c>
      <c r="B10441" s="28" t="s">
        <v>17556</v>
      </c>
      <c r="C10441" s="27" t="s">
        <v>18856</v>
      </c>
      <c r="D10441" s="27" t="s">
        <v>17558</v>
      </c>
      <c r="E10441" s="29">
        <v>35430</v>
      </c>
      <c r="F10441" s="27">
        <v>7</v>
      </c>
      <c r="G10441" s="18">
        <v>11234.02</v>
      </c>
      <c r="H10441" s="27">
        <f t="shared" si="326"/>
        <v>11234.02</v>
      </c>
      <c r="I10441" s="18">
        <v>11234.02</v>
      </c>
      <c r="J10441" s="27">
        <v>11234.02</v>
      </c>
      <c r="K10441" s="18">
        <f t="shared" si="327"/>
        <v>11234.02</v>
      </c>
      <c r="L10441" s="27">
        <v>10672.32</v>
      </c>
      <c r="M10441" s="36">
        <v>-561.70000000000005</v>
      </c>
      <c r="T10441" s="41">
        <v>0</v>
      </c>
      <c r="U10441" s="41">
        <v>0</v>
      </c>
      <c r="V10441" s="42" t="s">
        <v>113</v>
      </c>
      <c r="W10441" s="42">
        <v>11234.02</v>
      </c>
      <c r="X10441" s="42">
        <v>11234.02</v>
      </c>
    </row>
    <row r="10442" spans="1:24">
      <c r="A10442" s="27" t="s">
        <v>18857</v>
      </c>
      <c r="B10442" s="28" t="s">
        <v>17556</v>
      </c>
      <c r="C10442" s="27" t="s">
        <v>18858</v>
      </c>
      <c r="D10442" s="27" t="s">
        <v>17558</v>
      </c>
      <c r="E10442" s="29">
        <v>35430</v>
      </c>
      <c r="F10442" s="27">
        <v>7</v>
      </c>
      <c r="G10442" s="18">
        <v>11234.02</v>
      </c>
      <c r="H10442" s="27">
        <f t="shared" si="326"/>
        <v>11234.02</v>
      </c>
      <c r="I10442" s="18">
        <v>11234.02</v>
      </c>
      <c r="J10442" s="27">
        <v>11234.02</v>
      </c>
      <c r="K10442" s="18">
        <f t="shared" si="327"/>
        <v>11234.02</v>
      </c>
      <c r="L10442" s="27">
        <v>10672.32</v>
      </c>
      <c r="M10442" s="36">
        <v>-561.70000000000005</v>
      </c>
      <c r="T10442" s="41">
        <v>0</v>
      </c>
      <c r="U10442" s="41">
        <v>0</v>
      </c>
      <c r="V10442" s="42" t="s">
        <v>113</v>
      </c>
      <c r="W10442" s="42">
        <v>11234.02</v>
      </c>
      <c r="X10442" s="42">
        <v>11234.02</v>
      </c>
    </row>
    <row r="10443" spans="1:24">
      <c r="A10443" s="27" t="s">
        <v>18859</v>
      </c>
      <c r="B10443" s="28" t="s">
        <v>17556</v>
      </c>
      <c r="C10443" s="27" t="s">
        <v>18321</v>
      </c>
      <c r="D10443" s="27" t="s">
        <v>17578</v>
      </c>
      <c r="E10443" s="29">
        <v>39263</v>
      </c>
      <c r="F10443" s="27">
        <v>7</v>
      </c>
      <c r="G10443" s="18">
        <v>20218.599999999999</v>
      </c>
      <c r="H10443" s="27">
        <f t="shared" si="326"/>
        <v>20218.599999999999</v>
      </c>
      <c r="I10443" s="18">
        <v>19207.669999999998</v>
      </c>
      <c r="J10443" s="27">
        <v>20218.599999999999</v>
      </c>
      <c r="K10443" s="18">
        <f t="shared" si="327"/>
        <v>20218.599999999999</v>
      </c>
      <c r="L10443" s="27">
        <v>19207.669999999998</v>
      </c>
      <c r="M10443" s="36">
        <v>0</v>
      </c>
      <c r="T10443" s="41">
        <v>0</v>
      </c>
      <c r="U10443" s="41">
        <v>0</v>
      </c>
      <c r="V10443" s="42" t="s">
        <v>113</v>
      </c>
      <c r="W10443" s="42">
        <v>20218.599999999999</v>
      </c>
      <c r="X10443" s="42">
        <v>20218.599999999999</v>
      </c>
    </row>
    <row r="10444" spans="1:24">
      <c r="A10444" s="27" t="s">
        <v>18860</v>
      </c>
      <c r="B10444" s="28" t="s">
        <v>17556</v>
      </c>
      <c r="C10444" s="27" t="s">
        <v>18321</v>
      </c>
      <c r="D10444" s="27" t="s">
        <v>17578</v>
      </c>
      <c r="E10444" s="29">
        <v>39263</v>
      </c>
      <c r="F10444" s="27">
        <v>7</v>
      </c>
      <c r="G10444" s="18">
        <v>20218.599999999999</v>
      </c>
      <c r="H10444" s="27">
        <f t="shared" si="326"/>
        <v>20218.599999999999</v>
      </c>
      <c r="I10444" s="18">
        <v>19207.669999999998</v>
      </c>
      <c r="J10444" s="27">
        <v>20218.599999999999</v>
      </c>
      <c r="K10444" s="18">
        <f t="shared" si="327"/>
        <v>20218.599999999999</v>
      </c>
      <c r="L10444" s="27">
        <v>19207.669999999998</v>
      </c>
      <c r="M10444" s="36">
        <v>0</v>
      </c>
      <c r="T10444" s="41">
        <v>0</v>
      </c>
      <c r="U10444" s="41">
        <v>0</v>
      </c>
      <c r="V10444" s="42" t="s">
        <v>113</v>
      </c>
      <c r="W10444" s="42">
        <v>20218.599999999999</v>
      </c>
      <c r="X10444" s="42">
        <v>20218.599999999999</v>
      </c>
    </row>
    <row r="10445" spans="1:24">
      <c r="A10445" s="27" t="s">
        <v>18861</v>
      </c>
      <c r="B10445" s="28" t="s">
        <v>17556</v>
      </c>
      <c r="C10445" s="27" t="s">
        <v>18321</v>
      </c>
      <c r="D10445" s="27" t="s">
        <v>17578</v>
      </c>
      <c r="E10445" s="29">
        <v>39263</v>
      </c>
      <c r="F10445" s="27">
        <v>7</v>
      </c>
      <c r="G10445" s="18">
        <v>20218.599999999999</v>
      </c>
      <c r="H10445" s="27">
        <f t="shared" si="326"/>
        <v>20218.599999999999</v>
      </c>
      <c r="I10445" s="18">
        <v>19207.669999999998</v>
      </c>
      <c r="J10445" s="27">
        <v>20218.599999999999</v>
      </c>
      <c r="K10445" s="18">
        <f t="shared" si="327"/>
        <v>20218.599999999999</v>
      </c>
      <c r="L10445" s="27">
        <v>19207.669999999998</v>
      </c>
      <c r="M10445" s="36">
        <v>0</v>
      </c>
      <c r="T10445" s="41">
        <v>0</v>
      </c>
      <c r="U10445" s="41">
        <v>0</v>
      </c>
      <c r="V10445" s="42" t="s">
        <v>113</v>
      </c>
      <c r="W10445" s="42">
        <v>20218.599999999999</v>
      </c>
      <c r="X10445" s="42">
        <v>20218.599999999999</v>
      </c>
    </row>
    <row r="10446" spans="1:24">
      <c r="A10446" s="27" t="s">
        <v>18862</v>
      </c>
      <c r="B10446" s="28" t="s">
        <v>17556</v>
      </c>
      <c r="C10446" s="27" t="s">
        <v>18321</v>
      </c>
      <c r="D10446" s="27" t="s">
        <v>17578</v>
      </c>
      <c r="E10446" s="29">
        <v>39263</v>
      </c>
      <c r="F10446" s="27">
        <v>7</v>
      </c>
      <c r="G10446" s="18">
        <v>20218.599999999999</v>
      </c>
      <c r="H10446" s="27">
        <f t="shared" si="326"/>
        <v>20218.599999999999</v>
      </c>
      <c r="I10446" s="18">
        <v>19207.669999999998</v>
      </c>
      <c r="J10446" s="27">
        <v>20218.599999999999</v>
      </c>
      <c r="K10446" s="18">
        <f t="shared" si="327"/>
        <v>20218.599999999999</v>
      </c>
      <c r="L10446" s="27">
        <v>19207.669999999998</v>
      </c>
      <c r="M10446" s="36">
        <v>0</v>
      </c>
      <c r="T10446" s="41">
        <v>0</v>
      </c>
      <c r="U10446" s="41">
        <v>0</v>
      </c>
      <c r="V10446" s="42" t="s">
        <v>113</v>
      </c>
      <c r="W10446" s="42">
        <v>20218.599999999999</v>
      </c>
      <c r="X10446" s="42">
        <v>20218.599999999999</v>
      </c>
    </row>
    <row r="10447" spans="1:24">
      <c r="A10447" s="27" t="s">
        <v>18863</v>
      </c>
      <c r="B10447" s="28" t="s">
        <v>17556</v>
      </c>
      <c r="C10447" s="27" t="s">
        <v>18321</v>
      </c>
      <c r="D10447" s="27" t="s">
        <v>17578</v>
      </c>
      <c r="E10447" s="29">
        <v>39263</v>
      </c>
      <c r="F10447" s="27">
        <v>7</v>
      </c>
      <c r="G10447" s="18">
        <v>20218.599999999999</v>
      </c>
      <c r="H10447" s="27">
        <f t="shared" si="326"/>
        <v>20218.599999999999</v>
      </c>
      <c r="I10447" s="18">
        <v>19207.669999999998</v>
      </c>
      <c r="J10447" s="27">
        <v>20218.599999999999</v>
      </c>
      <c r="K10447" s="18">
        <f t="shared" si="327"/>
        <v>20218.599999999999</v>
      </c>
      <c r="L10447" s="27">
        <v>19207.669999999998</v>
      </c>
      <c r="M10447" s="36">
        <v>0</v>
      </c>
      <c r="T10447" s="41">
        <v>0</v>
      </c>
      <c r="U10447" s="41">
        <v>0</v>
      </c>
      <c r="V10447" s="42" t="s">
        <v>113</v>
      </c>
      <c r="W10447" s="42">
        <v>20218.599999999999</v>
      </c>
      <c r="X10447" s="42">
        <v>20218.599999999999</v>
      </c>
    </row>
    <row r="10448" spans="1:24">
      <c r="A10448" s="27" t="s">
        <v>18864</v>
      </c>
      <c r="B10448" s="28" t="s">
        <v>17556</v>
      </c>
      <c r="C10448" s="27" t="s">
        <v>18321</v>
      </c>
      <c r="D10448" s="27" t="s">
        <v>17578</v>
      </c>
      <c r="E10448" s="29">
        <v>39263</v>
      </c>
      <c r="F10448" s="27">
        <v>7</v>
      </c>
      <c r="G10448" s="18">
        <v>20218.599999999999</v>
      </c>
      <c r="H10448" s="27">
        <f t="shared" si="326"/>
        <v>20218.599999999999</v>
      </c>
      <c r="I10448" s="18">
        <v>19207.669999999998</v>
      </c>
      <c r="J10448" s="27">
        <v>20218.599999999999</v>
      </c>
      <c r="K10448" s="18">
        <f t="shared" si="327"/>
        <v>20218.599999999999</v>
      </c>
      <c r="L10448" s="27">
        <v>19207.669999999998</v>
      </c>
      <c r="M10448" s="36">
        <v>0</v>
      </c>
      <c r="T10448" s="41">
        <v>0</v>
      </c>
      <c r="U10448" s="41">
        <v>0</v>
      </c>
      <c r="V10448" s="42" t="s">
        <v>113</v>
      </c>
      <c r="W10448" s="42">
        <v>20218.599999999999</v>
      </c>
      <c r="X10448" s="42">
        <v>20218.599999999999</v>
      </c>
    </row>
    <row r="10449" spans="1:24">
      <c r="A10449" s="27" t="s">
        <v>18865</v>
      </c>
      <c r="B10449" s="28" t="s">
        <v>17556</v>
      </c>
      <c r="C10449" s="27" t="s">
        <v>18866</v>
      </c>
      <c r="D10449" s="27" t="s">
        <v>17558</v>
      </c>
      <c r="E10449" s="29">
        <v>35795</v>
      </c>
      <c r="F10449" s="27">
        <v>7</v>
      </c>
      <c r="G10449" s="18">
        <v>661.86</v>
      </c>
      <c r="H10449" s="27">
        <f t="shared" si="326"/>
        <v>661.86</v>
      </c>
      <c r="I10449" s="18">
        <v>661.86</v>
      </c>
      <c r="J10449" s="27">
        <v>661.86</v>
      </c>
      <c r="K10449" s="18">
        <f t="shared" si="327"/>
        <v>661.86</v>
      </c>
      <c r="L10449" s="27">
        <v>661.86</v>
      </c>
      <c r="M10449" s="36">
        <v>0</v>
      </c>
      <c r="T10449" s="41">
        <v>0</v>
      </c>
      <c r="U10449" s="41">
        <v>0</v>
      </c>
      <c r="V10449" s="42" t="s">
        <v>113</v>
      </c>
      <c r="W10449" s="42">
        <v>661.86</v>
      </c>
      <c r="X10449" s="42">
        <v>661.86</v>
      </c>
    </row>
    <row r="10450" spans="1:24">
      <c r="A10450" s="27" t="s">
        <v>18867</v>
      </c>
      <c r="B10450" s="28" t="s">
        <v>17556</v>
      </c>
      <c r="C10450" s="27" t="s">
        <v>18868</v>
      </c>
      <c r="D10450" s="27" t="s">
        <v>17558</v>
      </c>
      <c r="E10450" s="29">
        <v>35795</v>
      </c>
      <c r="F10450" s="27">
        <v>7</v>
      </c>
      <c r="G10450" s="18">
        <v>661.86</v>
      </c>
      <c r="H10450" s="27">
        <f t="shared" si="326"/>
        <v>661.86</v>
      </c>
      <c r="I10450" s="18">
        <v>661.86</v>
      </c>
      <c r="J10450" s="27">
        <v>661.86</v>
      </c>
      <c r="K10450" s="18">
        <f t="shared" si="327"/>
        <v>661.86</v>
      </c>
      <c r="L10450" s="27">
        <v>661.86</v>
      </c>
      <c r="M10450" s="36">
        <v>0</v>
      </c>
      <c r="T10450" s="41">
        <v>0</v>
      </c>
      <c r="U10450" s="41">
        <v>0</v>
      </c>
      <c r="V10450" s="42" t="s">
        <v>113</v>
      </c>
      <c r="W10450" s="42">
        <v>661.86</v>
      </c>
      <c r="X10450" s="42">
        <v>661.86</v>
      </c>
    </row>
    <row r="10451" spans="1:24">
      <c r="A10451" s="27" t="s">
        <v>18869</v>
      </c>
      <c r="B10451" s="28" t="s">
        <v>17556</v>
      </c>
      <c r="C10451" s="27" t="s">
        <v>18870</v>
      </c>
      <c r="D10451" s="27" t="s">
        <v>17558</v>
      </c>
      <c r="E10451" s="29">
        <v>35795</v>
      </c>
      <c r="F10451" s="27">
        <v>7</v>
      </c>
      <c r="G10451" s="18">
        <v>661.86</v>
      </c>
      <c r="H10451" s="27">
        <f t="shared" si="326"/>
        <v>661.86</v>
      </c>
      <c r="I10451" s="18">
        <v>661.86</v>
      </c>
      <c r="J10451" s="27">
        <v>661.86</v>
      </c>
      <c r="K10451" s="18">
        <f t="shared" si="327"/>
        <v>661.86</v>
      </c>
      <c r="L10451" s="27">
        <v>661.86</v>
      </c>
      <c r="M10451" s="36">
        <v>0</v>
      </c>
      <c r="T10451" s="41">
        <v>0</v>
      </c>
      <c r="U10451" s="41">
        <v>0</v>
      </c>
      <c r="V10451" s="42" t="s">
        <v>113</v>
      </c>
      <c r="W10451" s="42">
        <v>661.86</v>
      </c>
      <c r="X10451" s="42">
        <v>661.86</v>
      </c>
    </row>
    <row r="10452" spans="1:24">
      <c r="A10452" s="27" t="s">
        <v>18871</v>
      </c>
      <c r="B10452" s="28" t="s">
        <v>17556</v>
      </c>
      <c r="C10452" s="27" t="s">
        <v>18872</v>
      </c>
      <c r="D10452" s="27" t="s">
        <v>17558</v>
      </c>
      <c r="E10452" s="29">
        <v>35795</v>
      </c>
      <c r="F10452" s="27">
        <v>7</v>
      </c>
      <c r="G10452" s="18">
        <v>661.86</v>
      </c>
      <c r="H10452" s="27">
        <f t="shared" si="326"/>
        <v>661.86</v>
      </c>
      <c r="I10452" s="18">
        <v>661.86</v>
      </c>
      <c r="J10452" s="27">
        <v>661.86</v>
      </c>
      <c r="K10452" s="18">
        <f t="shared" si="327"/>
        <v>661.86</v>
      </c>
      <c r="L10452" s="27">
        <v>661.86</v>
      </c>
      <c r="M10452" s="36">
        <v>0</v>
      </c>
      <c r="T10452" s="41">
        <v>0</v>
      </c>
      <c r="U10452" s="41">
        <v>0</v>
      </c>
      <c r="V10452" s="42" t="s">
        <v>113</v>
      </c>
      <c r="W10452" s="42">
        <v>661.86</v>
      </c>
      <c r="X10452" s="42">
        <v>661.86</v>
      </c>
    </row>
    <row r="10453" spans="1:24">
      <c r="A10453" s="27" t="s">
        <v>18873</v>
      </c>
      <c r="B10453" s="28" t="s">
        <v>17556</v>
      </c>
      <c r="C10453" s="27" t="s">
        <v>18874</v>
      </c>
      <c r="D10453" s="27" t="s">
        <v>17558</v>
      </c>
      <c r="E10453" s="29">
        <v>35795</v>
      </c>
      <c r="F10453" s="27">
        <v>7</v>
      </c>
      <c r="G10453" s="18">
        <v>661.86</v>
      </c>
      <c r="H10453" s="27">
        <f t="shared" si="326"/>
        <v>661.86</v>
      </c>
      <c r="I10453" s="18">
        <v>661.86</v>
      </c>
      <c r="J10453" s="27">
        <v>661.86</v>
      </c>
      <c r="K10453" s="18">
        <f t="shared" si="327"/>
        <v>661.86</v>
      </c>
      <c r="L10453" s="27">
        <v>661.86</v>
      </c>
      <c r="M10453" s="36">
        <v>0</v>
      </c>
      <c r="T10453" s="41">
        <v>0</v>
      </c>
      <c r="U10453" s="41">
        <v>0</v>
      </c>
      <c r="V10453" s="42" t="s">
        <v>113</v>
      </c>
      <c r="W10453" s="42">
        <v>661.86</v>
      </c>
      <c r="X10453" s="42">
        <v>661.86</v>
      </c>
    </row>
    <row r="10454" spans="1:24">
      <c r="A10454" s="27" t="s">
        <v>18875</v>
      </c>
      <c r="B10454" s="28" t="s">
        <v>17556</v>
      </c>
      <c r="C10454" s="27" t="s">
        <v>18876</v>
      </c>
      <c r="D10454" s="27" t="s">
        <v>17558</v>
      </c>
      <c r="E10454" s="29">
        <v>35795</v>
      </c>
      <c r="F10454" s="27">
        <v>7</v>
      </c>
      <c r="G10454" s="18">
        <v>661.86</v>
      </c>
      <c r="H10454" s="27">
        <f t="shared" si="326"/>
        <v>661.86</v>
      </c>
      <c r="I10454" s="18">
        <v>661.86</v>
      </c>
      <c r="J10454" s="27">
        <v>661.86</v>
      </c>
      <c r="K10454" s="18">
        <f t="shared" si="327"/>
        <v>661.86</v>
      </c>
      <c r="L10454" s="27">
        <v>661.86</v>
      </c>
      <c r="M10454" s="36">
        <v>0</v>
      </c>
      <c r="T10454" s="41">
        <v>0</v>
      </c>
      <c r="U10454" s="41">
        <v>0</v>
      </c>
      <c r="V10454" s="42" t="s">
        <v>113</v>
      </c>
      <c r="W10454" s="42">
        <v>661.86</v>
      </c>
      <c r="X10454" s="42">
        <v>661.86</v>
      </c>
    </row>
    <row r="10455" spans="1:24">
      <c r="A10455" s="27" t="s">
        <v>18877</v>
      </c>
      <c r="B10455" s="28" t="s">
        <v>17556</v>
      </c>
      <c r="C10455" s="27" t="s">
        <v>18878</v>
      </c>
      <c r="D10455" s="27" t="s">
        <v>17558</v>
      </c>
      <c r="E10455" s="29">
        <v>35795</v>
      </c>
      <c r="F10455" s="27">
        <v>7</v>
      </c>
      <c r="G10455" s="18">
        <v>661.86</v>
      </c>
      <c r="H10455" s="27">
        <f t="shared" si="326"/>
        <v>661.86</v>
      </c>
      <c r="I10455" s="18">
        <v>661.86</v>
      </c>
      <c r="J10455" s="27">
        <v>661.86</v>
      </c>
      <c r="K10455" s="18">
        <f t="shared" si="327"/>
        <v>661.86</v>
      </c>
      <c r="L10455" s="27">
        <v>661.86</v>
      </c>
      <c r="M10455" s="36">
        <v>0</v>
      </c>
      <c r="T10455" s="41">
        <v>0</v>
      </c>
      <c r="U10455" s="41">
        <v>0</v>
      </c>
      <c r="V10455" s="42" t="s">
        <v>113</v>
      </c>
      <c r="W10455" s="42">
        <v>661.86</v>
      </c>
      <c r="X10455" s="42">
        <v>661.86</v>
      </c>
    </row>
    <row r="10456" spans="1:24">
      <c r="A10456" s="27" t="s">
        <v>18879</v>
      </c>
      <c r="B10456" s="28" t="s">
        <v>17556</v>
      </c>
      <c r="C10456" s="27" t="s">
        <v>18880</v>
      </c>
      <c r="D10456" s="27" t="s">
        <v>17558</v>
      </c>
      <c r="E10456" s="29">
        <v>35795</v>
      </c>
      <c r="F10456" s="27">
        <v>7</v>
      </c>
      <c r="G10456" s="18">
        <v>661.86</v>
      </c>
      <c r="H10456" s="27">
        <f t="shared" si="326"/>
        <v>661.86</v>
      </c>
      <c r="I10456" s="18">
        <v>661.86</v>
      </c>
      <c r="J10456" s="27">
        <v>661.86</v>
      </c>
      <c r="K10456" s="18">
        <f t="shared" si="327"/>
        <v>661.86</v>
      </c>
      <c r="L10456" s="27">
        <v>661.86</v>
      </c>
      <c r="M10456" s="36">
        <v>0</v>
      </c>
      <c r="T10456" s="41">
        <v>0</v>
      </c>
      <c r="U10456" s="41">
        <v>0</v>
      </c>
      <c r="V10456" s="42" t="s">
        <v>113</v>
      </c>
      <c r="W10456" s="42">
        <v>661.86</v>
      </c>
      <c r="X10456" s="42">
        <v>661.86</v>
      </c>
    </row>
    <row r="10457" spans="1:24">
      <c r="A10457" s="27" t="s">
        <v>18881</v>
      </c>
      <c r="B10457" s="28" t="s">
        <v>17556</v>
      </c>
      <c r="C10457" s="27" t="s">
        <v>18882</v>
      </c>
      <c r="D10457" s="27" t="s">
        <v>17558</v>
      </c>
      <c r="E10457" s="29">
        <v>35795</v>
      </c>
      <c r="F10457" s="27">
        <v>7</v>
      </c>
      <c r="G10457" s="18">
        <v>661.86</v>
      </c>
      <c r="H10457" s="27">
        <f t="shared" si="326"/>
        <v>661.86</v>
      </c>
      <c r="I10457" s="18">
        <v>661.86</v>
      </c>
      <c r="J10457" s="27">
        <v>661.86</v>
      </c>
      <c r="K10457" s="18">
        <f t="shared" si="327"/>
        <v>661.86</v>
      </c>
      <c r="L10457" s="27">
        <v>661.86</v>
      </c>
      <c r="M10457" s="36">
        <v>0</v>
      </c>
      <c r="T10457" s="41">
        <v>0</v>
      </c>
      <c r="U10457" s="41">
        <v>0</v>
      </c>
      <c r="V10457" s="42" t="s">
        <v>113</v>
      </c>
      <c r="W10457" s="42">
        <v>661.86</v>
      </c>
      <c r="X10457" s="42">
        <v>661.86</v>
      </c>
    </row>
    <row r="10458" spans="1:24">
      <c r="A10458" s="27" t="s">
        <v>18883</v>
      </c>
      <c r="B10458" s="28" t="s">
        <v>17556</v>
      </c>
      <c r="C10458" s="27" t="s">
        <v>18884</v>
      </c>
      <c r="D10458" s="27" t="s">
        <v>17558</v>
      </c>
      <c r="E10458" s="29">
        <v>35795</v>
      </c>
      <c r="F10458" s="27">
        <v>7</v>
      </c>
      <c r="G10458" s="18">
        <v>661.86</v>
      </c>
      <c r="H10458" s="27">
        <f t="shared" si="326"/>
        <v>661.86</v>
      </c>
      <c r="I10458" s="18">
        <v>661.86</v>
      </c>
      <c r="J10458" s="27">
        <v>661.86</v>
      </c>
      <c r="K10458" s="18">
        <f t="shared" si="327"/>
        <v>661.86</v>
      </c>
      <c r="L10458" s="27">
        <v>661.86</v>
      </c>
      <c r="M10458" s="36">
        <v>0</v>
      </c>
      <c r="T10458" s="41">
        <v>0</v>
      </c>
      <c r="U10458" s="41">
        <v>0</v>
      </c>
      <c r="V10458" s="42" t="s">
        <v>113</v>
      </c>
      <c r="W10458" s="42">
        <v>661.86</v>
      </c>
      <c r="X10458" s="42">
        <v>661.86</v>
      </c>
    </row>
    <row r="10459" spans="1:24">
      <c r="A10459" s="27" t="s">
        <v>18885</v>
      </c>
      <c r="B10459" s="28" t="s">
        <v>17556</v>
      </c>
      <c r="C10459" s="27" t="s">
        <v>18886</v>
      </c>
      <c r="D10459" s="27" t="s">
        <v>17558</v>
      </c>
      <c r="E10459" s="29">
        <v>35795</v>
      </c>
      <c r="F10459" s="27">
        <v>7</v>
      </c>
      <c r="G10459" s="18">
        <v>661.86</v>
      </c>
      <c r="H10459" s="27">
        <f t="shared" si="326"/>
        <v>661.86</v>
      </c>
      <c r="I10459" s="18">
        <v>661.86</v>
      </c>
      <c r="J10459" s="27">
        <v>661.86</v>
      </c>
      <c r="K10459" s="18">
        <f t="shared" si="327"/>
        <v>661.86</v>
      </c>
      <c r="L10459" s="27">
        <v>661.86</v>
      </c>
      <c r="M10459" s="36">
        <v>0</v>
      </c>
      <c r="T10459" s="41">
        <v>0</v>
      </c>
      <c r="U10459" s="41">
        <v>0</v>
      </c>
      <c r="V10459" s="42" t="s">
        <v>113</v>
      </c>
      <c r="W10459" s="42">
        <v>661.86</v>
      </c>
      <c r="X10459" s="42">
        <v>661.86</v>
      </c>
    </row>
    <row r="10460" spans="1:24">
      <c r="A10460" s="27" t="s">
        <v>18887</v>
      </c>
      <c r="B10460" s="28" t="s">
        <v>17556</v>
      </c>
      <c r="C10460" s="27" t="s">
        <v>18888</v>
      </c>
      <c r="D10460" s="27" t="s">
        <v>17558</v>
      </c>
      <c r="E10460" s="29">
        <v>35795</v>
      </c>
      <c r="F10460" s="27">
        <v>7</v>
      </c>
      <c r="G10460" s="18">
        <v>661.86</v>
      </c>
      <c r="H10460" s="27">
        <f t="shared" si="326"/>
        <v>661.86</v>
      </c>
      <c r="I10460" s="18">
        <v>661.86</v>
      </c>
      <c r="J10460" s="27">
        <v>661.86</v>
      </c>
      <c r="K10460" s="18">
        <f t="shared" si="327"/>
        <v>661.86</v>
      </c>
      <c r="L10460" s="27">
        <v>661.86</v>
      </c>
      <c r="M10460" s="36">
        <v>0</v>
      </c>
      <c r="T10460" s="41">
        <v>0</v>
      </c>
      <c r="U10460" s="41">
        <v>0</v>
      </c>
      <c r="V10460" s="42" t="s">
        <v>113</v>
      </c>
      <c r="W10460" s="42">
        <v>661.86</v>
      </c>
      <c r="X10460" s="42">
        <v>661.86</v>
      </c>
    </row>
    <row r="10461" spans="1:24">
      <c r="A10461" s="27" t="s">
        <v>18889</v>
      </c>
      <c r="B10461" s="28" t="s">
        <v>17556</v>
      </c>
      <c r="C10461" s="27" t="s">
        <v>18890</v>
      </c>
      <c r="D10461" s="27" t="s">
        <v>17558</v>
      </c>
      <c r="E10461" s="29">
        <v>35795</v>
      </c>
      <c r="F10461" s="27">
        <v>7</v>
      </c>
      <c r="G10461" s="18">
        <v>661.86</v>
      </c>
      <c r="H10461" s="27">
        <f t="shared" si="326"/>
        <v>661.86</v>
      </c>
      <c r="I10461" s="18">
        <v>661.86</v>
      </c>
      <c r="J10461" s="27">
        <v>661.86</v>
      </c>
      <c r="K10461" s="18">
        <f t="shared" si="327"/>
        <v>661.86</v>
      </c>
      <c r="L10461" s="27">
        <v>661.86</v>
      </c>
      <c r="M10461" s="36">
        <v>0</v>
      </c>
      <c r="T10461" s="41">
        <v>0</v>
      </c>
      <c r="U10461" s="41">
        <v>0</v>
      </c>
      <c r="V10461" s="42" t="s">
        <v>113</v>
      </c>
      <c r="W10461" s="42">
        <v>661.86</v>
      </c>
      <c r="X10461" s="42">
        <v>661.86</v>
      </c>
    </row>
    <row r="10462" spans="1:24">
      <c r="A10462" s="27" t="s">
        <v>18891</v>
      </c>
      <c r="B10462" s="28" t="s">
        <v>17556</v>
      </c>
      <c r="C10462" s="27" t="s">
        <v>18892</v>
      </c>
      <c r="D10462" s="27" t="s">
        <v>17558</v>
      </c>
      <c r="E10462" s="29">
        <v>35795</v>
      </c>
      <c r="F10462" s="27">
        <v>7</v>
      </c>
      <c r="G10462" s="18">
        <v>661.86</v>
      </c>
      <c r="H10462" s="27">
        <f t="shared" si="326"/>
        <v>661.86</v>
      </c>
      <c r="I10462" s="18">
        <v>661.86</v>
      </c>
      <c r="J10462" s="27">
        <v>661.86</v>
      </c>
      <c r="K10462" s="18">
        <f t="shared" si="327"/>
        <v>661.86</v>
      </c>
      <c r="L10462" s="27">
        <v>661.86</v>
      </c>
      <c r="M10462" s="36">
        <v>0</v>
      </c>
      <c r="T10462" s="41">
        <v>0</v>
      </c>
      <c r="U10462" s="41">
        <v>0</v>
      </c>
      <c r="V10462" s="42" t="s">
        <v>113</v>
      </c>
      <c r="W10462" s="42">
        <v>661.86</v>
      </c>
      <c r="X10462" s="42">
        <v>661.86</v>
      </c>
    </row>
    <row r="10463" spans="1:24">
      <c r="A10463" s="27" t="s">
        <v>18893</v>
      </c>
      <c r="B10463" s="28" t="s">
        <v>17556</v>
      </c>
      <c r="C10463" s="27" t="s">
        <v>18894</v>
      </c>
      <c r="D10463" s="27" t="s">
        <v>17558</v>
      </c>
      <c r="E10463" s="29">
        <v>35795</v>
      </c>
      <c r="F10463" s="27">
        <v>7</v>
      </c>
      <c r="G10463" s="18">
        <v>661.86</v>
      </c>
      <c r="H10463" s="27">
        <f t="shared" si="326"/>
        <v>661.86</v>
      </c>
      <c r="I10463" s="18">
        <v>661.86</v>
      </c>
      <c r="J10463" s="27">
        <v>661.86</v>
      </c>
      <c r="K10463" s="18">
        <f t="shared" si="327"/>
        <v>661.86</v>
      </c>
      <c r="L10463" s="27">
        <v>661.86</v>
      </c>
      <c r="M10463" s="36">
        <v>0</v>
      </c>
      <c r="T10463" s="41">
        <v>0</v>
      </c>
      <c r="U10463" s="41">
        <v>0</v>
      </c>
      <c r="V10463" s="42" t="s">
        <v>113</v>
      </c>
      <c r="W10463" s="42">
        <v>661.86</v>
      </c>
      <c r="X10463" s="42">
        <v>661.86</v>
      </c>
    </row>
    <row r="10464" spans="1:24">
      <c r="A10464" s="27" t="s">
        <v>18895</v>
      </c>
      <c r="B10464" s="28" t="s">
        <v>17556</v>
      </c>
      <c r="C10464" s="27" t="s">
        <v>18896</v>
      </c>
      <c r="D10464" s="27" t="s">
        <v>17558</v>
      </c>
      <c r="E10464" s="29">
        <v>35795</v>
      </c>
      <c r="F10464" s="27">
        <v>7</v>
      </c>
      <c r="G10464" s="18">
        <v>661.86</v>
      </c>
      <c r="H10464" s="27">
        <f t="shared" si="326"/>
        <v>661.86</v>
      </c>
      <c r="I10464" s="18">
        <v>661.86</v>
      </c>
      <c r="J10464" s="27">
        <v>661.86</v>
      </c>
      <c r="K10464" s="18">
        <f t="shared" si="327"/>
        <v>661.86</v>
      </c>
      <c r="L10464" s="27">
        <v>661.86</v>
      </c>
      <c r="M10464" s="36">
        <v>0</v>
      </c>
      <c r="T10464" s="41">
        <v>0</v>
      </c>
      <c r="U10464" s="41">
        <v>0</v>
      </c>
      <c r="V10464" s="42" t="s">
        <v>113</v>
      </c>
      <c r="W10464" s="42">
        <v>661.86</v>
      </c>
      <c r="X10464" s="42">
        <v>661.86</v>
      </c>
    </row>
    <row r="10465" spans="1:24">
      <c r="A10465" s="27" t="s">
        <v>18897</v>
      </c>
      <c r="B10465" s="28" t="s">
        <v>17556</v>
      </c>
      <c r="C10465" s="27" t="s">
        <v>18898</v>
      </c>
      <c r="D10465" s="27" t="s">
        <v>17558</v>
      </c>
      <c r="E10465" s="29">
        <v>35795</v>
      </c>
      <c r="F10465" s="27">
        <v>7</v>
      </c>
      <c r="G10465" s="18">
        <v>661.86</v>
      </c>
      <c r="H10465" s="27">
        <f t="shared" si="326"/>
        <v>661.86</v>
      </c>
      <c r="I10465" s="18">
        <v>661.86</v>
      </c>
      <c r="J10465" s="27">
        <v>661.86</v>
      </c>
      <c r="K10465" s="18">
        <f t="shared" si="327"/>
        <v>661.86</v>
      </c>
      <c r="L10465" s="27">
        <v>661.86</v>
      </c>
      <c r="M10465" s="36">
        <v>0</v>
      </c>
      <c r="T10465" s="41">
        <v>0</v>
      </c>
      <c r="U10465" s="41">
        <v>0</v>
      </c>
      <c r="V10465" s="42" t="s">
        <v>113</v>
      </c>
      <c r="W10465" s="42">
        <v>661.86</v>
      </c>
      <c r="X10465" s="42">
        <v>661.86</v>
      </c>
    </row>
    <row r="10466" spans="1:24">
      <c r="A10466" s="27" t="s">
        <v>18899</v>
      </c>
      <c r="B10466" s="28" t="s">
        <v>17556</v>
      </c>
      <c r="C10466" s="27" t="s">
        <v>18900</v>
      </c>
      <c r="D10466" s="27" t="s">
        <v>17558</v>
      </c>
      <c r="E10466" s="29">
        <v>35795</v>
      </c>
      <c r="F10466" s="27">
        <v>7</v>
      </c>
      <c r="G10466" s="18">
        <v>661.86</v>
      </c>
      <c r="H10466" s="27">
        <f t="shared" si="326"/>
        <v>661.86</v>
      </c>
      <c r="I10466" s="18">
        <v>661.86</v>
      </c>
      <c r="J10466" s="27">
        <v>661.86</v>
      </c>
      <c r="K10466" s="18">
        <f t="shared" si="327"/>
        <v>661.86</v>
      </c>
      <c r="L10466" s="27">
        <v>661.86</v>
      </c>
      <c r="M10466" s="36">
        <v>0</v>
      </c>
      <c r="T10466" s="41">
        <v>0</v>
      </c>
      <c r="U10466" s="41">
        <v>0</v>
      </c>
      <c r="V10466" s="42" t="s">
        <v>113</v>
      </c>
      <c r="W10466" s="42">
        <v>661.86</v>
      </c>
      <c r="X10466" s="42">
        <v>661.86</v>
      </c>
    </row>
    <row r="10467" spans="1:24">
      <c r="A10467" s="27" t="s">
        <v>18901</v>
      </c>
      <c r="B10467" s="28" t="s">
        <v>17556</v>
      </c>
      <c r="C10467" s="27" t="s">
        <v>18902</v>
      </c>
      <c r="D10467" s="27" t="s">
        <v>17558</v>
      </c>
      <c r="E10467" s="29">
        <v>35795</v>
      </c>
      <c r="F10467" s="27">
        <v>7</v>
      </c>
      <c r="G10467" s="18">
        <v>661.86</v>
      </c>
      <c r="H10467" s="27">
        <f t="shared" si="326"/>
        <v>661.86</v>
      </c>
      <c r="I10467" s="18">
        <v>661.86</v>
      </c>
      <c r="J10467" s="27">
        <v>661.86</v>
      </c>
      <c r="K10467" s="18">
        <f t="shared" si="327"/>
        <v>661.86</v>
      </c>
      <c r="L10467" s="27">
        <v>661.86</v>
      </c>
      <c r="M10467" s="36">
        <v>0</v>
      </c>
      <c r="T10467" s="41">
        <v>0</v>
      </c>
      <c r="U10467" s="41">
        <v>0</v>
      </c>
      <c r="V10467" s="42" t="s">
        <v>113</v>
      </c>
      <c r="W10467" s="42">
        <v>661.86</v>
      </c>
      <c r="X10467" s="42">
        <v>661.86</v>
      </c>
    </row>
    <row r="10468" spans="1:24">
      <c r="A10468" s="27" t="s">
        <v>18903</v>
      </c>
      <c r="B10468" s="28" t="s">
        <v>17556</v>
      </c>
      <c r="C10468" s="27" t="s">
        <v>18904</v>
      </c>
      <c r="D10468" s="27" t="s">
        <v>17558</v>
      </c>
      <c r="E10468" s="29">
        <v>35795</v>
      </c>
      <c r="F10468" s="27">
        <v>7</v>
      </c>
      <c r="G10468" s="18">
        <v>661.86</v>
      </c>
      <c r="H10468" s="27">
        <f t="shared" si="326"/>
        <v>661.86</v>
      </c>
      <c r="I10468" s="18">
        <v>661.86</v>
      </c>
      <c r="J10468" s="27">
        <v>661.86</v>
      </c>
      <c r="K10468" s="18">
        <f t="shared" si="327"/>
        <v>661.86</v>
      </c>
      <c r="L10468" s="27">
        <v>661.86</v>
      </c>
      <c r="M10468" s="36">
        <v>0</v>
      </c>
      <c r="T10468" s="41">
        <v>0</v>
      </c>
      <c r="U10468" s="41">
        <v>0</v>
      </c>
      <c r="V10468" s="42" t="s">
        <v>113</v>
      </c>
      <c r="W10468" s="42">
        <v>661.86</v>
      </c>
      <c r="X10468" s="42">
        <v>661.86</v>
      </c>
    </row>
    <row r="10469" spans="1:24">
      <c r="A10469" s="27" t="s">
        <v>18905</v>
      </c>
      <c r="B10469" s="28" t="s">
        <v>17556</v>
      </c>
      <c r="C10469" s="27" t="s">
        <v>18906</v>
      </c>
      <c r="D10469" s="27" t="s">
        <v>17558</v>
      </c>
      <c r="E10469" s="29">
        <v>35795</v>
      </c>
      <c r="F10469" s="27">
        <v>7</v>
      </c>
      <c r="G10469" s="18">
        <v>661.86</v>
      </c>
      <c r="H10469" s="27">
        <f t="shared" si="326"/>
        <v>661.86</v>
      </c>
      <c r="I10469" s="18">
        <v>661.86</v>
      </c>
      <c r="J10469" s="27">
        <v>661.86</v>
      </c>
      <c r="K10469" s="18">
        <f t="shared" si="327"/>
        <v>661.86</v>
      </c>
      <c r="L10469" s="27">
        <v>661.86</v>
      </c>
      <c r="M10469" s="36">
        <v>0</v>
      </c>
      <c r="T10469" s="41">
        <v>0</v>
      </c>
      <c r="U10469" s="41">
        <v>0</v>
      </c>
      <c r="V10469" s="42" t="s">
        <v>113</v>
      </c>
      <c r="W10469" s="42">
        <v>661.86</v>
      </c>
      <c r="X10469" s="42">
        <v>661.86</v>
      </c>
    </row>
    <row r="10470" spans="1:24">
      <c r="A10470" s="27" t="s">
        <v>18907</v>
      </c>
      <c r="B10470" s="28" t="s">
        <v>17556</v>
      </c>
      <c r="C10470" s="27" t="s">
        <v>18908</v>
      </c>
      <c r="D10470" s="27" t="s">
        <v>17558</v>
      </c>
      <c r="E10470" s="29">
        <v>35795</v>
      </c>
      <c r="F10470" s="27">
        <v>7</v>
      </c>
      <c r="G10470" s="18">
        <v>661.86</v>
      </c>
      <c r="H10470" s="27">
        <f t="shared" si="326"/>
        <v>661.86</v>
      </c>
      <c r="I10470" s="18">
        <v>661.86</v>
      </c>
      <c r="J10470" s="27">
        <v>661.86</v>
      </c>
      <c r="K10470" s="18">
        <f t="shared" si="327"/>
        <v>661.86</v>
      </c>
      <c r="L10470" s="27">
        <v>661.86</v>
      </c>
      <c r="M10470" s="36">
        <v>0</v>
      </c>
      <c r="T10470" s="41">
        <v>0</v>
      </c>
      <c r="U10470" s="41">
        <v>0</v>
      </c>
      <c r="V10470" s="42" t="s">
        <v>113</v>
      </c>
      <c r="W10470" s="42">
        <v>661.86</v>
      </c>
      <c r="X10470" s="42">
        <v>661.86</v>
      </c>
    </row>
    <row r="10471" spans="1:24">
      <c r="A10471" s="27" t="s">
        <v>18909</v>
      </c>
      <c r="B10471" s="28" t="s">
        <v>17556</v>
      </c>
      <c r="C10471" s="27" t="s">
        <v>18910</v>
      </c>
      <c r="D10471" s="27" t="s">
        <v>17558</v>
      </c>
      <c r="E10471" s="29">
        <v>35795</v>
      </c>
      <c r="F10471" s="27">
        <v>7</v>
      </c>
      <c r="G10471" s="18">
        <v>661.86</v>
      </c>
      <c r="H10471" s="27">
        <f t="shared" si="326"/>
        <v>661.86</v>
      </c>
      <c r="I10471" s="18">
        <v>661.86</v>
      </c>
      <c r="J10471" s="27">
        <v>661.86</v>
      </c>
      <c r="K10471" s="18">
        <f t="shared" si="327"/>
        <v>661.86</v>
      </c>
      <c r="L10471" s="27">
        <v>661.86</v>
      </c>
      <c r="M10471" s="36">
        <v>0</v>
      </c>
      <c r="T10471" s="41">
        <v>0</v>
      </c>
      <c r="U10471" s="41">
        <v>0</v>
      </c>
      <c r="V10471" s="42" t="s">
        <v>113</v>
      </c>
      <c r="W10471" s="42">
        <v>661.86</v>
      </c>
      <c r="X10471" s="42">
        <v>661.86</v>
      </c>
    </row>
    <row r="10472" spans="1:24">
      <c r="A10472" s="27" t="s">
        <v>18911</v>
      </c>
      <c r="B10472" s="28" t="s">
        <v>17556</v>
      </c>
      <c r="C10472" s="27" t="s">
        <v>18912</v>
      </c>
      <c r="D10472" s="27" t="s">
        <v>17558</v>
      </c>
      <c r="E10472" s="29">
        <v>35795</v>
      </c>
      <c r="F10472" s="27">
        <v>7</v>
      </c>
      <c r="G10472" s="18">
        <v>661.86</v>
      </c>
      <c r="H10472" s="27">
        <f t="shared" si="326"/>
        <v>661.86</v>
      </c>
      <c r="I10472" s="18">
        <v>661.86</v>
      </c>
      <c r="J10472" s="27">
        <v>661.86</v>
      </c>
      <c r="K10472" s="18">
        <f t="shared" si="327"/>
        <v>661.86</v>
      </c>
      <c r="L10472" s="27">
        <v>661.86</v>
      </c>
      <c r="M10472" s="36">
        <v>0</v>
      </c>
      <c r="T10472" s="41">
        <v>0</v>
      </c>
      <c r="U10472" s="41">
        <v>0</v>
      </c>
      <c r="V10472" s="42" t="s">
        <v>113</v>
      </c>
      <c r="W10472" s="42">
        <v>661.86</v>
      </c>
      <c r="X10472" s="42">
        <v>661.86</v>
      </c>
    </row>
    <row r="10473" spans="1:24">
      <c r="A10473" s="27" t="s">
        <v>18913</v>
      </c>
      <c r="B10473" s="28" t="s">
        <v>17556</v>
      </c>
      <c r="C10473" s="27" t="s">
        <v>18914</v>
      </c>
      <c r="D10473" s="27" t="s">
        <v>17558</v>
      </c>
      <c r="E10473" s="29">
        <v>35795</v>
      </c>
      <c r="F10473" s="27">
        <v>7</v>
      </c>
      <c r="G10473" s="18">
        <v>661.86</v>
      </c>
      <c r="H10473" s="27">
        <f t="shared" si="326"/>
        <v>661.86</v>
      </c>
      <c r="I10473" s="18">
        <v>661.86</v>
      </c>
      <c r="J10473" s="27">
        <v>661.86</v>
      </c>
      <c r="K10473" s="18">
        <f t="shared" si="327"/>
        <v>661.86</v>
      </c>
      <c r="L10473" s="27">
        <v>661.86</v>
      </c>
      <c r="M10473" s="36">
        <v>0</v>
      </c>
      <c r="T10473" s="41">
        <v>0</v>
      </c>
      <c r="U10473" s="41">
        <v>0</v>
      </c>
      <c r="V10473" s="42" t="s">
        <v>113</v>
      </c>
      <c r="W10473" s="42">
        <v>661.86</v>
      </c>
      <c r="X10473" s="42">
        <v>661.86</v>
      </c>
    </row>
    <row r="10474" spans="1:24">
      <c r="A10474" s="27" t="s">
        <v>18915</v>
      </c>
      <c r="B10474" s="28" t="s">
        <v>17556</v>
      </c>
      <c r="C10474" s="27" t="s">
        <v>18916</v>
      </c>
      <c r="D10474" s="27" t="s">
        <v>17558</v>
      </c>
      <c r="E10474" s="29">
        <v>35795</v>
      </c>
      <c r="F10474" s="27">
        <v>7</v>
      </c>
      <c r="G10474" s="18">
        <v>661.86</v>
      </c>
      <c r="H10474" s="27">
        <f t="shared" si="326"/>
        <v>661.86</v>
      </c>
      <c r="I10474" s="18">
        <v>661.86</v>
      </c>
      <c r="J10474" s="27">
        <v>661.86</v>
      </c>
      <c r="K10474" s="18">
        <f t="shared" si="327"/>
        <v>661.86</v>
      </c>
      <c r="L10474" s="27">
        <v>661.86</v>
      </c>
      <c r="M10474" s="36">
        <v>0</v>
      </c>
      <c r="T10474" s="41">
        <v>0</v>
      </c>
      <c r="U10474" s="41">
        <v>0</v>
      </c>
      <c r="V10474" s="42" t="s">
        <v>113</v>
      </c>
      <c r="W10474" s="42">
        <v>661.86</v>
      </c>
      <c r="X10474" s="42">
        <v>661.86</v>
      </c>
    </row>
    <row r="10475" spans="1:24">
      <c r="A10475" s="27" t="s">
        <v>18917</v>
      </c>
      <c r="B10475" s="28" t="s">
        <v>17556</v>
      </c>
      <c r="C10475" s="27" t="s">
        <v>18918</v>
      </c>
      <c r="D10475" s="27" t="s">
        <v>17558</v>
      </c>
      <c r="E10475" s="29">
        <v>35795</v>
      </c>
      <c r="F10475" s="27">
        <v>7</v>
      </c>
      <c r="G10475" s="18">
        <v>661.86</v>
      </c>
      <c r="H10475" s="27">
        <f t="shared" si="326"/>
        <v>661.86</v>
      </c>
      <c r="I10475" s="18">
        <v>661.86</v>
      </c>
      <c r="J10475" s="27">
        <v>661.86</v>
      </c>
      <c r="K10475" s="18">
        <f t="shared" si="327"/>
        <v>661.86</v>
      </c>
      <c r="L10475" s="27">
        <v>661.86</v>
      </c>
      <c r="M10475" s="36">
        <v>0</v>
      </c>
      <c r="T10475" s="41">
        <v>0</v>
      </c>
      <c r="U10475" s="41">
        <v>0</v>
      </c>
      <c r="V10475" s="42" t="s">
        <v>113</v>
      </c>
      <c r="W10475" s="42">
        <v>661.86</v>
      </c>
      <c r="X10475" s="42">
        <v>661.86</v>
      </c>
    </row>
    <row r="10476" spans="1:24">
      <c r="A10476" s="27" t="s">
        <v>18919</v>
      </c>
      <c r="B10476" s="28" t="s">
        <v>17556</v>
      </c>
      <c r="C10476" s="27" t="s">
        <v>18920</v>
      </c>
      <c r="D10476" s="27" t="s">
        <v>17558</v>
      </c>
      <c r="E10476" s="29">
        <v>35795</v>
      </c>
      <c r="F10476" s="27">
        <v>7</v>
      </c>
      <c r="G10476" s="18">
        <v>661.86</v>
      </c>
      <c r="H10476" s="27">
        <f t="shared" si="326"/>
        <v>661.86</v>
      </c>
      <c r="I10476" s="18">
        <v>661.86</v>
      </c>
      <c r="J10476" s="27">
        <v>661.86</v>
      </c>
      <c r="K10476" s="18">
        <f t="shared" si="327"/>
        <v>661.86</v>
      </c>
      <c r="L10476" s="27">
        <v>661.86</v>
      </c>
      <c r="M10476" s="36">
        <v>0</v>
      </c>
      <c r="T10476" s="41">
        <v>0</v>
      </c>
      <c r="U10476" s="41">
        <v>0</v>
      </c>
      <c r="V10476" s="42" t="s">
        <v>113</v>
      </c>
      <c r="W10476" s="42">
        <v>661.86</v>
      </c>
      <c r="X10476" s="42">
        <v>661.86</v>
      </c>
    </row>
    <row r="10477" spans="1:24">
      <c r="A10477" s="27" t="s">
        <v>18921</v>
      </c>
      <c r="B10477" s="28" t="s">
        <v>17556</v>
      </c>
      <c r="C10477" s="27" t="s">
        <v>18922</v>
      </c>
      <c r="D10477" s="27" t="s">
        <v>17558</v>
      </c>
      <c r="E10477" s="29">
        <v>35795</v>
      </c>
      <c r="F10477" s="27">
        <v>7</v>
      </c>
      <c r="G10477" s="18">
        <v>661.86</v>
      </c>
      <c r="H10477" s="27">
        <f t="shared" si="326"/>
        <v>661.86</v>
      </c>
      <c r="I10477" s="18">
        <v>661.86</v>
      </c>
      <c r="J10477" s="27">
        <v>661.86</v>
      </c>
      <c r="K10477" s="18">
        <f t="shared" si="327"/>
        <v>661.86</v>
      </c>
      <c r="L10477" s="27">
        <v>661.86</v>
      </c>
      <c r="M10477" s="36">
        <v>0</v>
      </c>
      <c r="T10477" s="41">
        <v>0</v>
      </c>
      <c r="U10477" s="41">
        <v>0</v>
      </c>
      <c r="V10477" s="42" t="s">
        <v>113</v>
      </c>
      <c r="W10477" s="42">
        <v>661.86</v>
      </c>
      <c r="X10477" s="42">
        <v>661.86</v>
      </c>
    </row>
    <row r="10478" spans="1:24">
      <c r="A10478" s="27" t="s">
        <v>18923</v>
      </c>
      <c r="B10478" s="28" t="s">
        <v>17556</v>
      </c>
      <c r="C10478" s="27" t="s">
        <v>18924</v>
      </c>
      <c r="D10478" s="27" t="s">
        <v>17558</v>
      </c>
      <c r="E10478" s="29">
        <v>35795</v>
      </c>
      <c r="F10478" s="27">
        <v>7</v>
      </c>
      <c r="G10478" s="18">
        <v>661.86</v>
      </c>
      <c r="H10478" s="27">
        <f t="shared" si="326"/>
        <v>661.86</v>
      </c>
      <c r="I10478" s="18">
        <v>661.86</v>
      </c>
      <c r="J10478" s="27">
        <v>661.86</v>
      </c>
      <c r="K10478" s="18">
        <f t="shared" si="327"/>
        <v>661.86</v>
      </c>
      <c r="L10478" s="27">
        <v>661.86</v>
      </c>
      <c r="M10478" s="36">
        <v>0</v>
      </c>
      <c r="T10478" s="41">
        <v>0</v>
      </c>
      <c r="U10478" s="41">
        <v>0</v>
      </c>
      <c r="V10478" s="42" t="s">
        <v>113</v>
      </c>
      <c r="W10478" s="42">
        <v>661.86</v>
      </c>
      <c r="X10478" s="42">
        <v>661.86</v>
      </c>
    </row>
    <row r="10479" spans="1:24">
      <c r="A10479" s="27" t="s">
        <v>18925</v>
      </c>
      <c r="B10479" s="28" t="s">
        <v>17556</v>
      </c>
      <c r="C10479" s="27" t="s">
        <v>18926</v>
      </c>
      <c r="D10479" s="27" t="s">
        <v>17558</v>
      </c>
      <c r="E10479" s="29">
        <v>35795</v>
      </c>
      <c r="F10479" s="27">
        <v>7</v>
      </c>
      <c r="G10479" s="18">
        <v>661.86</v>
      </c>
      <c r="H10479" s="27">
        <f t="shared" si="326"/>
        <v>661.86</v>
      </c>
      <c r="I10479" s="18">
        <v>661.86</v>
      </c>
      <c r="J10479" s="27">
        <v>661.86</v>
      </c>
      <c r="K10479" s="18">
        <f t="shared" si="327"/>
        <v>661.86</v>
      </c>
      <c r="L10479" s="27">
        <v>661.86</v>
      </c>
      <c r="M10479" s="36">
        <v>0</v>
      </c>
      <c r="T10479" s="41">
        <v>0</v>
      </c>
      <c r="U10479" s="41">
        <v>0</v>
      </c>
      <c r="V10479" s="42" t="s">
        <v>113</v>
      </c>
      <c r="W10479" s="42">
        <v>661.86</v>
      </c>
      <c r="X10479" s="42">
        <v>661.86</v>
      </c>
    </row>
    <row r="10480" spans="1:24">
      <c r="A10480" s="27" t="s">
        <v>18927</v>
      </c>
      <c r="B10480" s="28" t="s">
        <v>17556</v>
      </c>
      <c r="C10480" s="27" t="s">
        <v>18928</v>
      </c>
      <c r="D10480" s="27" t="s">
        <v>17558</v>
      </c>
      <c r="E10480" s="29">
        <v>35795</v>
      </c>
      <c r="F10480" s="27">
        <v>7</v>
      </c>
      <c r="G10480" s="18">
        <v>661.86</v>
      </c>
      <c r="H10480" s="27">
        <f t="shared" si="326"/>
        <v>661.86</v>
      </c>
      <c r="I10480" s="18">
        <v>661.86</v>
      </c>
      <c r="J10480" s="27">
        <v>661.86</v>
      </c>
      <c r="K10480" s="18">
        <f t="shared" si="327"/>
        <v>661.86</v>
      </c>
      <c r="L10480" s="27">
        <v>661.86</v>
      </c>
      <c r="M10480" s="36">
        <v>0</v>
      </c>
      <c r="T10480" s="41">
        <v>0</v>
      </c>
      <c r="U10480" s="41">
        <v>0</v>
      </c>
      <c r="V10480" s="42" t="s">
        <v>113</v>
      </c>
      <c r="W10480" s="42">
        <v>661.86</v>
      </c>
      <c r="X10480" s="42">
        <v>661.86</v>
      </c>
    </row>
    <row r="10481" spans="1:24">
      <c r="A10481" s="27" t="s">
        <v>18929</v>
      </c>
      <c r="B10481" s="28" t="s">
        <v>17556</v>
      </c>
      <c r="C10481" s="27" t="s">
        <v>18930</v>
      </c>
      <c r="D10481" s="27" t="s">
        <v>17558</v>
      </c>
      <c r="E10481" s="29">
        <v>35795</v>
      </c>
      <c r="F10481" s="27">
        <v>7</v>
      </c>
      <c r="G10481" s="18">
        <v>661.86</v>
      </c>
      <c r="H10481" s="27">
        <f t="shared" si="326"/>
        <v>661.86</v>
      </c>
      <c r="I10481" s="18">
        <v>661.86</v>
      </c>
      <c r="J10481" s="27">
        <v>661.86</v>
      </c>
      <c r="K10481" s="18">
        <f t="shared" si="327"/>
        <v>661.86</v>
      </c>
      <c r="L10481" s="27">
        <v>661.86</v>
      </c>
      <c r="M10481" s="36">
        <v>0</v>
      </c>
      <c r="T10481" s="41">
        <v>0</v>
      </c>
      <c r="U10481" s="41">
        <v>0</v>
      </c>
      <c r="V10481" s="42" t="s">
        <v>113</v>
      </c>
      <c r="W10481" s="42">
        <v>661.86</v>
      </c>
      <c r="X10481" s="42">
        <v>661.86</v>
      </c>
    </row>
    <row r="10482" spans="1:24">
      <c r="A10482" s="27" t="s">
        <v>18931</v>
      </c>
      <c r="B10482" s="28" t="s">
        <v>17556</v>
      </c>
      <c r="C10482" s="27" t="s">
        <v>18932</v>
      </c>
      <c r="D10482" s="27" t="s">
        <v>17558</v>
      </c>
      <c r="E10482" s="29">
        <v>35795</v>
      </c>
      <c r="F10482" s="27">
        <v>7</v>
      </c>
      <c r="G10482" s="18">
        <v>661.86</v>
      </c>
      <c r="H10482" s="27">
        <f t="shared" si="326"/>
        <v>661.86</v>
      </c>
      <c r="I10482" s="18">
        <v>661.86</v>
      </c>
      <c r="J10482" s="27">
        <v>661.86</v>
      </c>
      <c r="K10482" s="18">
        <f t="shared" si="327"/>
        <v>661.86</v>
      </c>
      <c r="L10482" s="27">
        <v>661.86</v>
      </c>
      <c r="M10482" s="36">
        <v>0</v>
      </c>
      <c r="T10482" s="41">
        <v>0</v>
      </c>
      <c r="U10482" s="41">
        <v>0</v>
      </c>
      <c r="V10482" s="42" t="s">
        <v>113</v>
      </c>
      <c r="W10482" s="42">
        <v>661.86</v>
      </c>
      <c r="X10482" s="42">
        <v>661.86</v>
      </c>
    </row>
    <row r="10483" spans="1:24">
      <c r="A10483" s="27" t="s">
        <v>18933</v>
      </c>
      <c r="B10483" s="28" t="s">
        <v>17556</v>
      </c>
      <c r="C10483" s="27" t="s">
        <v>18934</v>
      </c>
      <c r="D10483" s="27" t="s">
        <v>17558</v>
      </c>
      <c r="E10483" s="29">
        <v>35795</v>
      </c>
      <c r="F10483" s="27">
        <v>7</v>
      </c>
      <c r="G10483" s="18">
        <v>661.86</v>
      </c>
      <c r="H10483" s="27">
        <f t="shared" si="326"/>
        <v>661.86</v>
      </c>
      <c r="I10483" s="18">
        <v>661.86</v>
      </c>
      <c r="J10483" s="27">
        <v>661.86</v>
      </c>
      <c r="K10483" s="18">
        <f t="shared" si="327"/>
        <v>661.86</v>
      </c>
      <c r="L10483" s="27">
        <v>661.86</v>
      </c>
      <c r="M10483" s="36">
        <v>0</v>
      </c>
      <c r="T10483" s="41">
        <v>0</v>
      </c>
      <c r="U10483" s="41">
        <v>0</v>
      </c>
      <c r="V10483" s="42" t="s">
        <v>113</v>
      </c>
      <c r="W10483" s="42">
        <v>661.86</v>
      </c>
      <c r="X10483" s="42">
        <v>661.86</v>
      </c>
    </row>
    <row r="10484" spans="1:24">
      <c r="A10484" s="27" t="s">
        <v>18935</v>
      </c>
      <c r="B10484" s="28" t="s">
        <v>17556</v>
      </c>
      <c r="C10484" s="27" t="s">
        <v>18936</v>
      </c>
      <c r="D10484" s="27" t="s">
        <v>17558</v>
      </c>
      <c r="E10484" s="29">
        <v>35795</v>
      </c>
      <c r="F10484" s="27">
        <v>7</v>
      </c>
      <c r="G10484" s="18">
        <v>661.86</v>
      </c>
      <c r="H10484" s="27">
        <f t="shared" si="326"/>
        <v>661.86</v>
      </c>
      <c r="I10484" s="18">
        <v>661.86</v>
      </c>
      <c r="J10484" s="27">
        <v>661.86</v>
      </c>
      <c r="K10484" s="18">
        <f t="shared" si="327"/>
        <v>661.86</v>
      </c>
      <c r="L10484" s="27">
        <v>661.86</v>
      </c>
      <c r="M10484" s="36">
        <v>0</v>
      </c>
      <c r="T10484" s="41">
        <v>0</v>
      </c>
      <c r="U10484" s="41">
        <v>0</v>
      </c>
      <c r="V10484" s="42" t="s">
        <v>113</v>
      </c>
      <c r="W10484" s="42">
        <v>661.86</v>
      </c>
      <c r="X10484" s="42">
        <v>661.86</v>
      </c>
    </row>
    <row r="10485" spans="1:24">
      <c r="A10485" s="27" t="s">
        <v>18937</v>
      </c>
      <c r="B10485" s="28" t="s">
        <v>17556</v>
      </c>
      <c r="C10485" s="27" t="s">
        <v>18938</v>
      </c>
      <c r="D10485" s="27" t="s">
        <v>17558</v>
      </c>
      <c r="E10485" s="29">
        <v>35795</v>
      </c>
      <c r="F10485" s="27">
        <v>7</v>
      </c>
      <c r="G10485" s="18">
        <v>661.86</v>
      </c>
      <c r="H10485" s="27">
        <f t="shared" si="326"/>
        <v>661.86</v>
      </c>
      <c r="I10485" s="18">
        <v>661.86</v>
      </c>
      <c r="J10485" s="27">
        <v>661.86</v>
      </c>
      <c r="K10485" s="18">
        <f t="shared" si="327"/>
        <v>661.86</v>
      </c>
      <c r="L10485" s="27">
        <v>661.86</v>
      </c>
      <c r="M10485" s="36">
        <v>0</v>
      </c>
      <c r="T10485" s="41">
        <v>0</v>
      </c>
      <c r="U10485" s="41">
        <v>0</v>
      </c>
      <c r="V10485" s="42" t="s">
        <v>113</v>
      </c>
      <c r="W10485" s="42">
        <v>661.86</v>
      </c>
      <c r="X10485" s="42">
        <v>661.86</v>
      </c>
    </row>
    <row r="10486" spans="1:24">
      <c r="A10486" s="27" t="s">
        <v>18939</v>
      </c>
      <c r="B10486" s="28" t="s">
        <v>17556</v>
      </c>
      <c r="C10486" s="27" t="s">
        <v>18940</v>
      </c>
      <c r="D10486" s="27" t="s">
        <v>17558</v>
      </c>
      <c r="E10486" s="29">
        <v>35795</v>
      </c>
      <c r="F10486" s="27">
        <v>7</v>
      </c>
      <c r="G10486" s="18">
        <v>661.86</v>
      </c>
      <c r="H10486" s="27">
        <f t="shared" si="326"/>
        <v>661.86</v>
      </c>
      <c r="I10486" s="18">
        <v>661.86</v>
      </c>
      <c r="J10486" s="27">
        <v>661.86</v>
      </c>
      <c r="K10486" s="18">
        <f t="shared" si="327"/>
        <v>661.86</v>
      </c>
      <c r="L10486" s="27">
        <v>661.86</v>
      </c>
      <c r="M10486" s="36">
        <v>0</v>
      </c>
      <c r="T10486" s="41">
        <v>0</v>
      </c>
      <c r="U10486" s="41">
        <v>0</v>
      </c>
      <c r="V10486" s="42" t="s">
        <v>113</v>
      </c>
      <c r="W10486" s="42">
        <v>661.86</v>
      </c>
      <c r="X10486" s="42">
        <v>661.86</v>
      </c>
    </row>
    <row r="10487" spans="1:24">
      <c r="A10487" s="27" t="s">
        <v>18941</v>
      </c>
      <c r="B10487" s="28" t="s">
        <v>17556</v>
      </c>
      <c r="C10487" s="27" t="s">
        <v>18942</v>
      </c>
      <c r="D10487" s="27" t="s">
        <v>17558</v>
      </c>
      <c r="E10487" s="29">
        <v>35795</v>
      </c>
      <c r="F10487" s="27">
        <v>7</v>
      </c>
      <c r="G10487" s="18">
        <v>661.86</v>
      </c>
      <c r="H10487" s="27">
        <f t="shared" si="326"/>
        <v>661.86</v>
      </c>
      <c r="I10487" s="18">
        <v>661.86</v>
      </c>
      <c r="J10487" s="27">
        <v>661.86</v>
      </c>
      <c r="K10487" s="18">
        <f t="shared" si="327"/>
        <v>661.86</v>
      </c>
      <c r="L10487" s="27">
        <v>661.86</v>
      </c>
      <c r="M10487" s="36">
        <v>0</v>
      </c>
      <c r="T10487" s="41">
        <v>0</v>
      </c>
      <c r="U10487" s="41">
        <v>0</v>
      </c>
      <c r="V10487" s="42" t="s">
        <v>113</v>
      </c>
      <c r="W10487" s="42">
        <v>661.86</v>
      </c>
      <c r="X10487" s="42">
        <v>661.86</v>
      </c>
    </row>
    <row r="10488" spans="1:24">
      <c r="A10488" s="27" t="s">
        <v>18943</v>
      </c>
      <c r="B10488" s="28" t="s">
        <v>17556</v>
      </c>
      <c r="C10488" s="27" t="s">
        <v>18944</v>
      </c>
      <c r="D10488" s="27" t="s">
        <v>17558</v>
      </c>
      <c r="E10488" s="29">
        <v>35795</v>
      </c>
      <c r="F10488" s="27">
        <v>7</v>
      </c>
      <c r="G10488" s="18">
        <v>661.86</v>
      </c>
      <c r="H10488" s="27">
        <f t="shared" si="326"/>
        <v>661.86</v>
      </c>
      <c r="I10488" s="18">
        <v>661.86</v>
      </c>
      <c r="J10488" s="27">
        <v>661.86</v>
      </c>
      <c r="K10488" s="18">
        <f t="shared" si="327"/>
        <v>661.86</v>
      </c>
      <c r="L10488" s="27">
        <v>661.86</v>
      </c>
      <c r="M10488" s="36">
        <v>0</v>
      </c>
      <c r="T10488" s="41">
        <v>0</v>
      </c>
      <c r="U10488" s="41">
        <v>0</v>
      </c>
      <c r="V10488" s="42" t="s">
        <v>113</v>
      </c>
      <c r="W10488" s="42">
        <v>661.86</v>
      </c>
      <c r="X10488" s="42">
        <v>661.86</v>
      </c>
    </row>
    <row r="10489" spans="1:24">
      <c r="A10489" s="27" t="s">
        <v>18945</v>
      </c>
      <c r="B10489" s="28" t="s">
        <v>17556</v>
      </c>
      <c r="C10489" s="27" t="s">
        <v>18946</v>
      </c>
      <c r="D10489" s="27" t="s">
        <v>17558</v>
      </c>
      <c r="E10489" s="29">
        <v>35795</v>
      </c>
      <c r="F10489" s="27">
        <v>7</v>
      </c>
      <c r="G10489" s="18">
        <v>661.86</v>
      </c>
      <c r="H10489" s="27">
        <f t="shared" si="326"/>
        <v>661.86</v>
      </c>
      <c r="I10489" s="18">
        <v>661.86</v>
      </c>
      <c r="J10489" s="27">
        <v>661.86</v>
      </c>
      <c r="K10489" s="18">
        <f t="shared" si="327"/>
        <v>661.86</v>
      </c>
      <c r="L10489" s="27">
        <v>661.86</v>
      </c>
      <c r="M10489" s="36">
        <v>0</v>
      </c>
      <c r="T10489" s="41">
        <v>0</v>
      </c>
      <c r="U10489" s="41">
        <v>0</v>
      </c>
      <c r="V10489" s="42" t="s">
        <v>113</v>
      </c>
      <c r="W10489" s="42">
        <v>661.86</v>
      </c>
      <c r="X10489" s="42">
        <v>661.86</v>
      </c>
    </row>
    <row r="10490" spans="1:24">
      <c r="A10490" s="27" t="s">
        <v>18947</v>
      </c>
      <c r="B10490" s="28" t="s">
        <v>17556</v>
      </c>
      <c r="C10490" s="27" t="s">
        <v>18948</v>
      </c>
      <c r="D10490" s="27" t="s">
        <v>17558</v>
      </c>
      <c r="E10490" s="29">
        <v>35795</v>
      </c>
      <c r="F10490" s="27">
        <v>7</v>
      </c>
      <c r="G10490" s="18">
        <v>661.86</v>
      </c>
      <c r="H10490" s="27">
        <f t="shared" si="326"/>
        <v>661.86</v>
      </c>
      <c r="I10490" s="18">
        <v>661.86</v>
      </c>
      <c r="J10490" s="27">
        <v>661.86</v>
      </c>
      <c r="K10490" s="18">
        <f t="shared" si="327"/>
        <v>661.86</v>
      </c>
      <c r="L10490" s="27">
        <v>661.86</v>
      </c>
      <c r="M10490" s="36">
        <v>0</v>
      </c>
      <c r="T10490" s="41">
        <v>0</v>
      </c>
      <c r="U10490" s="41">
        <v>0</v>
      </c>
      <c r="V10490" s="42" t="s">
        <v>113</v>
      </c>
      <c r="W10490" s="42">
        <v>661.86</v>
      </c>
      <c r="X10490" s="42">
        <v>661.86</v>
      </c>
    </row>
    <row r="10491" spans="1:24">
      <c r="A10491" s="27" t="s">
        <v>18949</v>
      </c>
      <c r="B10491" s="28" t="s">
        <v>17556</v>
      </c>
      <c r="C10491" s="27" t="s">
        <v>18950</v>
      </c>
      <c r="D10491" s="27" t="s">
        <v>17558</v>
      </c>
      <c r="E10491" s="29">
        <v>35795</v>
      </c>
      <c r="F10491" s="27">
        <v>7</v>
      </c>
      <c r="G10491" s="18">
        <v>661.86</v>
      </c>
      <c r="H10491" s="27">
        <f t="shared" si="326"/>
        <v>661.86</v>
      </c>
      <c r="I10491" s="18">
        <v>661.86</v>
      </c>
      <c r="J10491" s="27">
        <v>661.86</v>
      </c>
      <c r="K10491" s="18">
        <f t="shared" si="327"/>
        <v>661.86</v>
      </c>
      <c r="L10491" s="27">
        <v>661.86</v>
      </c>
      <c r="M10491" s="36">
        <v>0</v>
      </c>
      <c r="T10491" s="41">
        <v>0</v>
      </c>
      <c r="U10491" s="41">
        <v>0</v>
      </c>
      <c r="V10491" s="42" t="s">
        <v>113</v>
      </c>
      <c r="W10491" s="42">
        <v>661.86</v>
      </c>
      <c r="X10491" s="42">
        <v>661.86</v>
      </c>
    </row>
    <row r="10492" spans="1:24">
      <c r="A10492" s="27" t="s">
        <v>18951</v>
      </c>
      <c r="B10492" s="28" t="s">
        <v>17556</v>
      </c>
      <c r="C10492" s="27" t="s">
        <v>18952</v>
      </c>
      <c r="D10492" s="27" t="s">
        <v>17558</v>
      </c>
      <c r="E10492" s="29">
        <v>35795</v>
      </c>
      <c r="F10492" s="27">
        <v>7</v>
      </c>
      <c r="G10492" s="18">
        <v>661.86</v>
      </c>
      <c r="H10492" s="27">
        <f t="shared" si="326"/>
        <v>661.86</v>
      </c>
      <c r="I10492" s="18">
        <v>661.86</v>
      </c>
      <c r="J10492" s="27">
        <v>661.86</v>
      </c>
      <c r="K10492" s="18">
        <f t="shared" si="327"/>
        <v>661.86</v>
      </c>
      <c r="L10492" s="27">
        <v>661.86</v>
      </c>
      <c r="M10492" s="36">
        <v>0</v>
      </c>
      <c r="T10492" s="41">
        <v>0</v>
      </c>
      <c r="U10492" s="41">
        <v>0</v>
      </c>
      <c r="V10492" s="42" t="s">
        <v>113</v>
      </c>
      <c r="W10492" s="42">
        <v>661.86</v>
      </c>
      <c r="X10492" s="42">
        <v>661.86</v>
      </c>
    </row>
    <row r="10493" spans="1:24">
      <c r="A10493" s="27" t="s">
        <v>18953</v>
      </c>
      <c r="B10493" s="28" t="s">
        <v>17556</v>
      </c>
      <c r="C10493" s="27" t="s">
        <v>18954</v>
      </c>
      <c r="D10493" s="27" t="s">
        <v>17558</v>
      </c>
      <c r="E10493" s="29">
        <v>35795</v>
      </c>
      <c r="F10493" s="27">
        <v>7</v>
      </c>
      <c r="G10493" s="18">
        <v>661.86</v>
      </c>
      <c r="H10493" s="27">
        <f t="shared" si="326"/>
        <v>661.86</v>
      </c>
      <c r="I10493" s="18">
        <v>661.86</v>
      </c>
      <c r="J10493" s="27">
        <v>661.86</v>
      </c>
      <c r="K10493" s="18">
        <f t="shared" si="327"/>
        <v>661.86</v>
      </c>
      <c r="L10493" s="27">
        <v>661.86</v>
      </c>
      <c r="M10493" s="36">
        <v>0</v>
      </c>
      <c r="T10493" s="41">
        <v>0</v>
      </c>
      <c r="U10493" s="41">
        <v>0</v>
      </c>
      <c r="V10493" s="42" t="s">
        <v>113</v>
      </c>
      <c r="W10493" s="42">
        <v>661.86</v>
      </c>
      <c r="X10493" s="42">
        <v>661.86</v>
      </c>
    </row>
    <row r="10494" spans="1:24">
      <c r="A10494" s="27" t="s">
        <v>18955</v>
      </c>
      <c r="B10494" s="28" t="s">
        <v>17556</v>
      </c>
      <c r="C10494" s="27" t="s">
        <v>18956</v>
      </c>
      <c r="D10494" s="27" t="s">
        <v>17558</v>
      </c>
      <c r="E10494" s="29">
        <v>35795</v>
      </c>
      <c r="F10494" s="27">
        <v>7</v>
      </c>
      <c r="G10494" s="18">
        <v>661.86</v>
      </c>
      <c r="H10494" s="27">
        <f t="shared" si="326"/>
        <v>661.86</v>
      </c>
      <c r="I10494" s="18">
        <v>661.86</v>
      </c>
      <c r="J10494" s="27">
        <v>661.86</v>
      </c>
      <c r="K10494" s="18">
        <f t="shared" si="327"/>
        <v>661.86</v>
      </c>
      <c r="L10494" s="27">
        <v>661.86</v>
      </c>
      <c r="M10494" s="36">
        <v>0</v>
      </c>
      <c r="T10494" s="41">
        <v>0</v>
      </c>
      <c r="U10494" s="41">
        <v>0</v>
      </c>
      <c r="V10494" s="42" t="s">
        <v>113</v>
      </c>
      <c r="W10494" s="42">
        <v>661.86</v>
      </c>
      <c r="X10494" s="42">
        <v>661.86</v>
      </c>
    </row>
    <row r="10495" spans="1:24">
      <c r="A10495" s="27" t="s">
        <v>18957</v>
      </c>
      <c r="B10495" s="28" t="s">
        <v>17556</v>
      </c>
      <c r="C10495" s="27" t="s">
        <v>18958</v>
      </c>
      <c r="D10495" s="27" t="s">
        <v>17558</v>
      </c>
      <c r="E10495" s="29">
        <v>35795</v>
      </c>
      <c r="F10495" s="27">
        <v>7</v>
      </c>
      <c r="G10495" s="18">
        <v>661.86</v>
      </c>
      <c r="H10495" s="27">
        <f t="shared" si="326"/>
        <v>661.86</v>
      </c>
      <c r="I10495" s="18">
        <v>661.86</v>
      </c>
      <c r="J10495" s="27">
        <v>661.86</v>
      </c>
      <c r="K10495" s="18">
        <f t="shared" si="327"/>
        <v>661.86</v>
      </c>
      <c r="L10495" s="27">
        <v>661.86</v>
      </c>
      <c r="M10495" s="36">
        <v>0</v>
      </c>
      <c r="T10495" s="41">
        <v>0</v>
      </c>
      <c r="U10495" s="41">
        <v>0</v>
      </c>
      <c r="V10495" s="42" t="s">
        <v>113</v>
      </c>
      <c r="W10495" s="42">
        <v>661.86</v>
      </c>
      <c r="X10495" s="42">
        <v>661.86</v>
      </c>
    </row>
    <row r="10496" spans="1:24">
      <c r="A10496" s="27" t="s">
        <v>18959</v>
      </c>
      <c r="B10496" s="28" t="s">
        <v>17556</v>
      </c>
      <c r="C10496" s="27" t="s">
        <v>18960</v>
      </c>
      <c r="D10496" s="27" t="s">
        <v>17558</v>
      </c>
      <c r="E10496" s="29">
        <v>35795</v>
      </c>
      <c r="F10496" s="27">
        <v>7</v>
      </c>
      <c r="G10496" s="18">
        <v>661.86</v>
      </c>
      <c r="H10496" s="27">
        <f t="shared" si="326"/>
        <v>661.86</v>
      </c>
      <c r="I10496" s="18">
        <v>661.86</v>
      </c>
      <c r="J10496" s="27">
        <v>661.86</v>
      </c>
      <c r="K10496" s="18">
        <f t="shared" si="327"/>
        <v>661.86</v>
      </c>
      <c r="L10496" s="27">
        <v>661.86</v>
      </c>
      <c r="M10496" s="36">
        <v>0</v>
      </c>
      <c r="T10496" s="41">
        <v>0</v>
      </c>
      <c r="U10496" s="41">
        <v>0</v>
      </c>
      <c r="V10496" s="42" t="s">
        <v>113</v>
      </c>
      <c r="W10496" s="42">
        <v>661.86</v>
      </c>
      <c r="X10496" s="42">
        <v>661.86</v>
      </c>
    </row>
    <row r="10497" spans="1:24">
      <c r="A10497" s="27" t="s">
        <v>18961</v>
      </c>
      <c r="B10497" s="28" t="s">
        <v>17556</v>
      </c>
      <c r="C10497" s="27" t="s">
        <v>18962</v>
      </c>
      <c r="D10497" s="27" t="s">
        <v>17558</v>
      </c>
      <c r="E10497" s="29">
        <v>35795</v>
      </c>
      <c r="F10497" s="27">
        <v>7</v>
      </c>
      <c r="G10497" s="18">
        <v>661.86</v>
      </c>
      <c r="H10497" s="27">
        <f t="shared" si="326"/>
        <v>661.86</v>
      </c>
      <c r="I10497" s="18">
        <v>661.86</v>
      </c>
      <c r="J10497" s="27">
        <v>661.86</v>
      </c>
      <c r="K10497" s="18">
        <f t="shared" si="327"/>
        <v>661.86</v>
      </c>
      <c r="L10497" s="27">
        <v>661.86</v>
      </c>
      <c r="M10497" s="36">
        <v>0</v>
      </c>
      <c r="T10497" s="41">
        <v>0</v>
      </c>
      <c r="U10497" s="41">
        <v>0</v>
      </c>
      <c r="V10497" s="42" t="s">
        <v>113</v>
      </c>
      <c r="W10497" s="42">
        <v>661.86</v>
      </c>
      <c r="X10497" s="42">
        <v>661.86</v>
      </c>
    </row>
    <row r="10498" spans="1:24">
      <c r="A10498" s="27" t="s">
        <v>18963</v>
      </c>
      <c r="B10498" s="28" t="s">
        <v>17556</v>
      </c>
      <c r="C10498" s="27" t="s">
        <v>18964</v>
      </c>
      <c r="D10498" s="27" t="s">
        <v>17558</v>
      </c>
      <c r="E10498" s="29">
        <v>35795</v>
      </c>
      <c r="F10498" s="27">
        <v>7</v>
      </c>
      <c r="G10498" s="18">
        <v>661.86</v>
      </c>
      <c r="H10498" s="27">
        <f t="shared" si="326"/>
        <v>661.86</v>
      </c>
      <c r="I10498" s="18">
        <v>661.86</v>
      </c>
      <c r="J10498" s="27">
        <v>661.86</v>
      </c>
      <c r="K10498" s="18">
        <f t="shared" si="327"/>
        <v>661.86</v>
      </c>
      <c r="L10498" s="27">
        <v>661.86</v>
      </c>
      <c r="M10498" s="36">
        <v>0</v>
      </c>
      <c r="T10498" s="41">
        <v>0</v>
      </c>
      <c r="U10498" s="41">
        <v>0</v>
      </c>
      <c r="V10498" s="42" t="s">
        <v>113</v>
      </c>
      <c r="W10498" s="42">
        <v>661.86</v>
      </c>
      <c r="X10498" s="42">
        <v>661.86</v>
      </c>
    </row>
    <row r="10499" spans="1:24">
      <c r="A10499" s="27" t="s">
        <v>18965</v>
      </c>
      <c r="B10499" s="28" t="s">
        <v>17556</v>
      </c>
      <c r="C10499" s="27" t="s">
        <v>18966</v>
      </c>
      <c r="D10499" s="27" t="s">
        <v>17558</v>
      </c>
      <c r="E10499" s="29">
        <v>35795</v>
      </c>
      <c r="F10499" s="27">
        <v>7</v>
      </c>
      <c r="G10499" s="18">
        <v>661.86</v>
      </c>
      <c r="H10499" s="27">
        <f t="shared" si="326"/>
        <v>661.86</v>
      </c>
      <c r="I10499" s="18">
        <v>661.86</v>
      </c>
      <c r="J10499" s="27">
        <v>661.86</v>
      </c>
      <c r="K10499" s="18">
        <f t="shared" si="327"/>
        <v>661.86</v>
      </c>
      <c r="L10499" s="27">
        <v>661.86</v>
      </c>
      <c r="M10499" s="36">
        <v>0</v>
      </c>
      <c r="T10499" s="41">
        <v>0</v>
      </c>
      <c r="U10499" s="41">
        <v>0</v>
      </c>
      <c r="V10499" s="42" t="s">
        <v>113</v>
      </c>
      <c r="W10499" s="42">
        <v>661.86</v>
      </c>
      <c r="X10499" s="42">
        <v>661.86</v>
      </c>
    </row>
    <row r="10500" spans="1:24">
      <c r="A10500" s="27" t="s">
        <v>18967</v>
      </c>
      <c r="B10500" s="28" t="s">
        <v>17556</v>
      </c>
      <c r="C10500" s="27" t="s">
        <v>18968</v>
      </c>
      <c r="D10500" s="27" t="s">
        <v>17558</v>
      </c>
      <c r="E10500" s="29">
        <v>35795</v>
      </c>
      <c r="F10500" s="27">
        <v>7</v>
      </c>
      <c r="G10500" s="18">
        <v>661.86</v>
      </c>
      <c r="H10500" s="27">
        <f t="shared" si="326"/>
        <v>661.86</v>
      </c>
      <c r="I10500" s="18">
        <v>661.86</v>
      </c>
      <c r="J10500" s="27">
        <v>661.86</v>
      </c>
      <c r="K10500" s="18">
        <f t="shared" si="327"/>
        <v>661.86</v>
      </c>
      <c r="L10500" s="27">
        <v>661.86</v>
      </c>
      <c r="M10500" s="36">
        <v>0</v>
      </c>
      <c r="T10500" s="41">
        <v>0</v>
      </c>
      <c r="U10500" s="41">
        <v>0</v>
      </c>
      <c r="V10500" s="42" t="s">
        <v>113</v>
      </c>
      <c r="W10500" s="42">
        <v>661.86</v>
      </c>
      <c r="X10500" s="42">
        <v>661.86</v>
      </c>
    </row>
    <row r="10501" spans="1:24">
      <c r="A10501" s="27" t="s">
        <v>18969</v>
      </c>
      <c r="B10501" s="28" t="s">
        <v>17556</v>
      </c>
      <c r="C10501" s="27" t="s">
        <v>18970</v>
      </c>
      <c r="D10501" s="27" t="s">
        <v>17558</v>
      </c>
      <c r="E10501" s="29">
        <v>35795</v>
      </c>
      <c r="F10501" s="27">
        <v>7</v>
      </c>
      <c r="G10501" s="18">
        <v>661.86</v>
      </c>
      <c r="H10501" s="27">
        <f t="shared" si="326"/>
        <v>661.86</v>
      </c>
      <c r="I10501" s="18">
        <v>661.86</v>
      </c>
      <c r="J10501" s="27">
        <v>661.86</v>
      </c>
      <c r="K10501" s="18">
        <f t="shared" si="327"/>
        <v>661.86</v>
      </c>
      <c r="L10501" s="27">
        <v>661.86</v>
      </c>
      <c r="M10501" s="36">
        <v>0</v>
      </c>
      <c r="T10501" s="41">
        <v>0</v>
      </c>
      <c r="U10501" s="41">
        <v>0</v>
      </c>
      <c r="V10501" s="42" t="s">
        <v>113</v>
      </c>
      <c r="W10501" s="42">
        <v>661.86</v>
      </c>
      <c r="X10501" s="42">
        <v>661.86</v>
      </c>
    </row>
    <row r="10502" spans="1:24">
      <c r="A10502" s="27" t="s">
        <v>18971</v>
      </c>
      <c r="B10502" s="28" t="s">
        <v>17556</v>
      </c>
      <c r="C10502" s="27" t="s">
        <v>18972</v>
      </c>
      <c r="D10502" s="27" t="s">
        <v>17558</v>
      </c>
      <c r="E10502" s="29">
        <v>35795</v>
      </c>
      <c r="F10502" s="27">
        <v>7</v>
      </c>
      <c r="G10502" s="18">
        <v>661.86</v>
      </c>
      <c r="H10502" s="27">
        <f t="shared" ref="H10502:H10565" si="328">IFERROR(IF(ROUND((G10502-I10502)/G10502,2)&lt;=0.05,G10502,0),0)</f>
        <v>661.86</v>
      </c>
      <c r="I10502" s="18">
        <v>661.86</v>
      </c>
      <c r="J10502" s="27">
        <v>661.86</v>
      </c>
      <c r="K10502" s="18">
        <f t="shared" ref="K10502:K10565" si="329">IFERROR(IF(ROUND((J10502-L10502)/J10502,2)&lt;=0.05,J10502,0),0)</f>
        <v>661.86</v>
      </c>
      <c r="L10502" s="27">
        <v>661.86</v>
      </c>
      <c r="M10502" s="36">
        <v>0</v>
      </c>
      <c r="T10502" s="41">
        <v>0</v>
      </c>
      <c r="U10502" s="41">
        <v>0</v>
      </c>
      <c r="V10502" s="42" t="s">
        <v>113</v>
      </c>
      <c r="W10502" s="42">
        <v>661.86</v>
      </c>
      <c r="X10502" s="42">
        <v>661.86</v>
      </c>
    </row>
    <row r="10503" spans="1:24">
      <c r="A10503" s="27" t="s">
        <v>18973</v>
      </c>
      <c r="B10503" s="28" t="s">
        <v>17556</v>
      </c>
      <c r="C10503" s="27" t="s">
        <v>18974</v>
      </c>
      <c r="D10503" s="27" t="s">
        <v>17558</v>
      </c>
      <c r="E10503" s="29">
        <v>35795</v>
      </c>
      <c r="F10503" s="27">
        <v>7</v>
      </c>
      <c r="G10503" s="18">
        <v>661.86</v>
      </c>
      <c r="H10503" s="27">
        <f t="shared" si="328"/>
        <v>661.86</v>
      </c>
      <c r="I10503" s="18">
        <v>661.86</v>
      </c>
      <c r="J10503" s="27">
        <v>661.86</v>
      </c>
      <c r="K10503" s="18">
        <f t="shared" si="329"/>
        <v>661.86</v>
      </c>
      <c r="L10503" s="27">
        <v>661.86</v>
      </c>
      <c r="M10503" s="36">
        <v>0</v>
      </c>
      <c r="T10503" s="41">
        <v>0</v>
      </c>
      <c r="U10503" s="41">
        <v>0</v>
      </c>
      <c r="V10503" s="42" t="s">
        <v>113</v>
      </c>
      <c r="W10503" s="42">
        <v>661.86</v>
      </c>
      <c r="X10503" s="42">
        <v>661.86</v>
      </c>
    </row>
    <row r="10504" spans="1:24">
      <c r="A10504" s="27" t="s">
        <v>18975</v>
      </c>
      <c r="B10504" s="28" t="s">
        <v>17556</v>
      </c>
      <c r="C10504" s="27" t="s">
        <v>18976</v>
      </c>
      <c r="D10504" s="27" t="s">
        <v>17558</v>
      </c>
      <c r="E10504" s="29">
        <v>35795</v>
      </c>
      <c r="F10504" s="27">
        <v>7</v>
      </c>
      <c r="G10504" s="18">
        <v>661.86</v>
      </c>
      <c r="H10504" s="27">
        <f t="shared" si="328"/>
        <v>661.86</v>
      </c>
      <c r="I10504" s="18">
        <v>661.86</v>
      </c>
      <c r="J10504" s="27">
        <v>661.86</v>
      </c>
      <c r="K10504" s="18">
        <f t="shared" si="329"/>
        <v>661.86</v>
      </c>
      <c r="L10504" s="27">
        <v>661.86</v>
      </c>
      <c r="M10504" s="36">
        <v>0</v>
      </c>
      <c r="T10504" s="41">
        <v>0</v>
      </c>
      <c r="U10504" s="41">
        <v>0</v>
      </c>
      <c r="V10504" s="42" t="s">
        <v>113</v>
      </c>
      <c r="W10504" s="42">
        <v>661.86</v>
      </c>
      <c r="X10504" s="42">
        <v>661.86</v>
      </c>
    </row>
    <row r="10505" spans="1:24">
      <c r="A10505" s="27" t="s">
        <v>18977</v>
      </c>
      <c r="B10505" s="28" t="s">
        <v>17556</v>
      </c>
      <c r="C10505" s="27" t="s">
        <v>18978</v>
      </c>
      <c r="D10505" s="27" t="s">
        <v>17558</v>
      </c>
      <c r="E10505" s="29">
        <v>35795</v>
      </c>
      <c r="F10505" s="27">
        <v>7</v>
      </c>
      <c r="G10505" s="18">
        <v>661.86</v>
      </c>
      <c r="H10505" s="27">
        <f t="shared" si="328"/>
        <v>661.86</v>
      </c>
      <c r="I10505" s="18">
        <v>661.86</v>
      </c>
      <c r="J10505" s="27">
        <v>661.86</v>
      </c>
      <c r="K10505" s="18">
        <f t="shared" si="329"/>
        <v>661.86</v>
      </c>
      <c r="L10505" s="27">
        <v>661.86</v>
      </c>
      <c r="M10505" s="36">
        <v>0</v>
      </c>
      <c r="T10505" s="41">
        <v>0</v>
      </c>
      <c r="U10505" s="41">
        <v>0</v>
      </c>
      <c r="V10505" s="42" t="s">
        <v>113</v>
      </c>
      <c r="W10505" s="42">
        <v>661.86</v>
      </c>
      <c r="X10505" s="42">
        <v>661.86</v>
      </c>
    </row>
    <row r="10506" spans="1:24">
      <c r="A10506" s="27" t="s">
        <v>18979</v>
      </c>
      <c r="B10506" s="28" t="s">
        <v>17556</v>
      </c>
      <c r="C10506" s="27" t="s">
        <v>18980</v>
      </c>
      <c r="D10506" s="27" t="s">
        <v>17558</v>
      </c>
      <c r="E10506" s="29">
        <v>35795</v>
      </c>
      <c r="F10506" s="27">
        <v>7</v>
      </c>
      <c r="G10506" s="18">
        <v>661.86</v>
      </c>
      <c r="H10506" s="27">
        <f t="shared" si="328"/>
        <v>661.86</v>
      </c>
      <c r="I10506" s="18">
        <v>661.86</v>
      </c>
      <c r="J10506" s="27">
        <v>661.86</v>
      </c>
      <c r="K10506" s="18">
        <f t="shared" si="329"/>
        <v>661.86</v>
      </c>
      <c r="L10506" s="27">
        <v>661.86</v>
      </c>
      <c r="M10506" s="36">
        <v>0</v>
      </c>
      <c r="T10506" s="41">
        <v>0</v>
      </c>
      <c r="U10506" s="41">
        <v>0</v>
      </c>
      <c r="V10506" s="42" t="s">
        <v>113</v>
      </c>
      <c r="W10506" s="42">
        <v>661.86</v>
      </c>
      <c r="X10506" s="42">
        <v>661.86</v>
      </c>
    </row>
    <row r="10507" spans="1:24">
      <c r="A10507" s="27" t="s">
        <v>18981</v>
      </c>
      <c r="B10507" s="28" t="s">
        <v>17556</v>
      </c>
      <c r="C10507" s="27" t="s">
        <v>18982</v>
      </c>
      <c r="D10507" s="27" t="s">
        <v>17558</v>
      </c>
      <c r="E10507" s="29">
        <v>35795</v>
      </c>
      <c r="F10507" s="27">
        <v>7</v>
      </c>
      <c r="G10507" s="18">
        <v>661.86</v>
      </c>
      <c r="H10507" s="27">
        <f t="shared" si="328"/>
        <v>661.86</v>
      </c>
      <c r="I10507" s="18">
        <v>661.86</v>
      </c>
      <c r="J10507" s="27">
        <v>661.86</v>
      </c>
      <c r="K10507" s="18">
        <f t="shared" si="329"/>
        <v>661.86</v>
      </c>
      <c r="L10507" s="27">
        <v>661.86</v>
      </c>
      <c r="M10507" s="36">
        <v>0</v>
      </c>
      <c r="T10507" s="41">
        <v>0</v>
      </c>
      <c r="U10507" s="41">
        <v>0</v>
      </c>
      <c r="V10507" s="42" t="s">
        <v>113</v>
      </c>
      <c r="W10507" s="42">
        <v>661.86</v>
      </c>
      <c r="X10507" s="42">
        <v>661.86</v>
      </c>
    </row>
    <row r="10508" spans="1:24">
      <c r="A10508" s="27" t="s">
        <v>18983</v>
      </c>
      <c r="B10508" s="28" t="s">
        <v>17556</v>
      </c>
      <c r="C10508" s="27" t="s">
        <v>18984</v>
      </c>
      <c r="D10508" s="27" t="s">
        <v>17558</v>
      </c>
      <c r="E10508" s="29">
        <v>35795</v>
      </c>
      <c r="F10508" s="27">
        <v>7</v>
      </c>
      <c r="G10508" s="18">
        <v>661.86</v>
      </c>
      <c r="H10508" s="27">
        <f t="shared" si="328"/>
        <v>661.86</v>
      </c>
      <c r="I10508" s="18">
        <v>661.86</v>
      </c>
      <c r="J10508" s="27">
        <v>661.86</v>
      </c>
      <c r="K10508" s="18">
        <f t="shared" si="329"/>
        <v>661.86</v>
      </c>
      <c r="L10508" s="27">
        <v>661.86</v>
      </c>
      <c r="M10508" s="36">
        <v>0</v>
      </c>
      <c r="T10508" s="41">
        <v>0</v>
      </c>
      <c r="U10508" s="41">
        <v>0</v>
      </c>
      <c r="V10508" s="42" t="s">
        <v>113</v>
      </c>
      <c r="W10508" s="42">
        <v>661.86</v>
      </c>
      <c r="X10508" s="42">
        <v>661.86</v>
      </c>
    </row>
    <row r="10509" spans="1:24">
      <c r="A10509" s="27" t="s">
        <v>18985</v>
      </c>
      <c r="B10509" s="28" t="s">
        <v>17556</v>
      </c>
      <c r="C10509" s="27" t="s">
        <v>18986</v>
      </c>
      <c r="D10509" s="27" t="s">
        <v>17558</v>
      </c>
      <c r="E10509" s="29">
        <v>35795</v>
      </c>
      <c r="F10509" s="27">
        <v>7</v>
      </c>
      <c r="G10509" s="18">
        <v>661.86</v>
      </c>
      <c r="H10509" s="27">
        <f t="shared" si="328"/>
        <v>661.86</v>
      </c>
      <c r="I10509" s="18">
        <v>661.86</v>
      </c>
      <c r="J10509" s="27">
        <v>661.86</v>
      </c>
      <c r="K10509" s="18">
        <f t="shared" si="329"/>
        <v>661.86</v>
      </c>
      <c r="L10509" s="27">
        <v>661.86</v>
      </c>
      <c r="M10509" s="36">
        <v>0</v>
      </c>
      <c r="T10509" s="41">
        <v>0</v>
      </c>
      <c r="U10509" s="41">
        <v>0</v>
      </c>
      <c r="V10509" s="42" t="s">
        <v>113</v>
      </c>
      <c r="W10509" s="42">
        <v>661.86</v>
      </c>
      <c r="X10509" s="42">
        <v>661.86</v>
      </c>
    </row>
    <row r="10510" spans="1:24">
      <c r="A10510" s="27" t="s">
        <v>18987</v>
      </c>
      <c r="B10510" s="28" t="s">
        <v>17556</v>
      </c>
      <c r="C10510" s="27" t="s">
        <v>18988</v>
      </c>
      <c r="D10510" s="27" t="s">
        <v>17558</v>
      </c>
      <c r="E10510" s="29">
        <v>35795</v>
      </c>
      <c r="F10510" s="27">
        <v>7</v>
      </c>
      <c r="G10510" s="18">
        <v>661.86</v>
      </c>
      <c r="H10510" s="27">
        <f t="shared" si="328"/>
        <v>661.86</v>
      </c>
      <c r="I10510" s="18">
        <v>661.86</v>
      </c>
      <c r="J10510" s="27">
        <v>661.86</v>
      </c>
      <c r="K10510" s="18">
        <f t="shared" si="329"/>
        <v>661.86</v>
      </c>
      <c r="L10510" s="27">
        <v>661.86</v>
      </c>
      <c r="M10510" s="36">
        <v>0</v>
      </c>
      <c r="T10510" s="41">
        <v>0</v>
      </c>
      <c r="U10510" s="41">
        <v>0</v>
      </c>
      <c r="V10510" s="42" t="s">
        <v>113</v>
      </c>
      <c r="W10510" s="42">
        <v>661.86</v>
      </c>
      <c r="X10510" s="42">
        <v>661.86</v>
      </c>
    </row>
    <row r="10511" spans="1:24">
      <c r="A10511" s="27" t="s">
        <v>18989</v>
      </c>
      <c r="B10511" s="28" t="s">
        <v>17556</v>
      </c>
      <c r="C10511" s="27" t="s">
        <v>18990</v>
      </c>
      <c r="D10511" s="27" t="s">
        <v>17558</v>
      </c>
      <c r="E10511" s="29">
        <v>35795</v>
      </c>
      <c r="F10511" s="27">
        <v>7</v>
      </c>
      <c r="G10511" s="18">
        <v>661.86</v>
      </c>
      <c r="H10511" s="27">
        <f t="shared" si="328"/>
        <v>661.86</v>
      </c>
      <c r="I10511" s="18">
        <v>661.86</v>
      </c>
      <c r="J10511" s="27">
        <v>661.86</v>
      </c>
      <c r="K10511" s="18">
        <f t="shared" si="329"/>
        <v>661.86</v>
      </c>
      <c r="L10511" s="27">
        <v>661.86</v>
      </c>
      <c r="M10511" s="36">
        <v>0</v>
      </c>
      <c r="T10511" s="41">
        <v>0</v>
      </c>
      <c r="U10511" s="41">
        <v>0</v>
      </c>
      <c r="V10511" s="42" t="s">
        <v>113</v>
      </c>
      <c r="W10511" s="42">
        <v>661.86</v>
      </c>
      <c r="X10511" s="42">
        <v>661.86</v>
      </c>
    </row>
    <row r="10512" spans="1:24">
      <c r="A10512" s="27" t="s">
        <v>18991</v>
      </c>
      <c r="B10512" s="28" t="s">
        <v>17556</v>
      </c>
      <c r="C10512" s="27" t="s">
        <v>18992</v>
      </c>
      <c r="D10512" s="27" t="s">
        <v>17558</v>
      </c>
      <c r="E10512" s="29">
        <v>35795</v>
      </c>
      <c r="F10512" s="27">
        <v>7</v>
      </c>
      <c r="G10512" s="18">
        <v>661.86</v>
      </c>
      <c r="H10512" s="27">
        <f t="shared" si="328"/>
        <v>661.86</v>
      </c>
      <c r="I10512" s="18">
        <v>661.86</v>
      </c>
      <c r="J10512" s="27">
        <v>661.86</v>
      </c>
      <c r="K10512" s="18">
        <f t="shared" si="329"/>
        <v>661.86</v>
      </c>
      <c r="L10512" s="27">
        <v>661.86</v>
      </c>
      <c r="M10512" s="36">
        <v>0</v>
      </c>
      <c r="T10512" s="41">
        <v>0</v>
      </c>
      <c r="U10512" s="41">
        <v>0</v>
      </c>
      <c r="V10512" s="42" t="s">
        <v>113</v>
      </c>
      <c r="W10512" s="42">
        <v>661.86</v>
      </c>
      <c r="X10512" s="42">
        <v>661.86</v>
      </c>
    </row>
    <row r="10513" spans="1:24">
      <c r="A10513" s="27" t="s">
        <v>18993</v>
      </c>
      <c r="B10513" s="28" t="s">
        <v>17556</v>
      </c>
      <c r="C10513" s="27" t="s">
        <v>18994</v>
      </c>
      <c r="D10513" s="27" t="s">
        <v>17558</v>
      </c>
      <c r="E10513" s="29">
        <v>35795</v>
      </c>
      <c r="F10513" s="27">
        <v>7</v>
      </c>
      <c r="G10513" s="18">
        <v>661.86</v>
      </c>
      <c r="H10513" s="27">
        <f t="shared" si="328"/>
        <v>661.86</v>
      </c>
      <c r="I10513" s="18">
        <v>661.86</v>
      </c>
      <c r="J10513" s="27">
        <v>661.86</v>
      </c>
      <c r="K10513" s="18">
        <f t="shared" si="329"/>
        <v>661.86</v>
      </c>
      <c r="L10513" s="27">
        <v>661.86</v>
      </c>
      <c r="M10513" s="36">
        <v>0</v>
      </c>
      <c r="T10513" s="41">
        <v>0</v>
      </c>
      <c r="U10513" s="41">
        <v>0</v>
      </c>
      <c r="V10513" s="42" t="s">
        <v>113</v>
      </c>
      <c r="W10513" s="42">
        <v>661.86</v>
      </c>
      <c r="X10513" s="42">
        <v>661.86</v>
      </c>
    </row>
    <row r="10514" spans="1:24">
      <c r="A10514" s="27" t="s">
        <v>18995</v>
      </c>
      <c r="B10514" s="28" t="s">
        <v>17556</v>
      </c>
      <c r="C10514" s="27" t="s">
        <v>18996</v>
      </c>
      <c r="D10514" s="27" t="s">
        <v>17558</v>
      </c>
      <c r="E10514" s="29">
        <v>35795</v>
      </c>
      <c r="F10514" s="27">
        <v>7</v>
      </c>
      <c r="G10514" s="18">
        <v>661.86</v>
      </c>
      <c r="H10514" s="27">
        <f t="shared" si="328"/>
        <v>661.86</v>
      </c>
      <c r="I10514" s="18">
        <v>661.86</v>
      </c>
      <c r="J10514" s="27">
        <v>661.86</v>
      </c>
      <c r="K10514" s="18">
        <f t="shared" si="329"/>
        <v>661.86</v>
      </c>
      <c r="L10514" s="27">
        <v>661.86</v>
      </c>
      <c r="M10514" s="36">
        <v>0</v>
      </c>
      <c r="T10514" s="41">
        <v>0</v>
      </c>
      <c r="U10514" s="41">
        <v>0</v>
      </c>
      <c r="V10514" s="42" t="s">
        <v>113</v>
      </c>
      <c r="W10514" s="42">
        <v>661.86</v>
      </c>
      <c r="X10514" s="42">
        <v>661.86</v>
      </c>
    </row>
    <row r="10515" spans="1:24">
      <c r="A10515" s="27" t="s">
        <v>18997</v>
      </c>
      <c r="B10515" s="28" t="s">
        <v>17556</v>
      </c>
      <c r="C10515" s="27" t="s">
        <v>18998</v>
      </c>
      <c r="D10515" s="27" t="s">
        <v>17558</v>
      </c>
      <c r="E10515" s="29">
        <v>35795</v>
      </c>
      <c r="F10515" s="27">
        <v>7</v>
      </c>
      <c r="G10515" s="18">
        <v>661.86</v>
      </c>
      <c r="H10515" s="27">
        <f t="shared" si="328"/>
        <v>661.86</v>
      </c>
      <c r="I10515" s="18">
        <v>661.86</v>
      </c>
      <c r="J10515" s="27">
        <v>661.86</v>
      </c>
      <c r="K10515" s="18">
        <f t="shared" si="329"/>
        <v>661.86</v>
      </c>
      <c r="L10515" s="27">
        <v>661.86</v>
      </c>
      <c r="M10515" s="36">
        <v>0</v>
      </c>
      <c r="T10515" s="41">
        <v>0</v>
      </c>
      <c r="U10515" s="41">
        <v>0</v>
      </c>
      <c r="V10515" s="42" t="s">
        <v>113</v>
      </c>
      <c r="W10515" s="42">
        <v>661.86</v>
      </c>
      <c r="X10515" s="42">
        <v>661.86</v>
      </c>
    </row>
    <row r="10516" spans="1:24">
      <c r="A10516" s="27" t="s">
        <v>18999</v>
      </c>
      <c r="B10516" s="28" t="s">
        <v>17556</v>
      </c>
      <c r="C10516" s="27" t="s">
        <v>19000</v>
      </c>
      <c r="D10516" s="27" t="s">
        <v>17558</v>
      </c>
      <c r="E10516" s="29">
        <v>35795</v>
      </c>
      <c r="F10516" s="27">
        <v>7</v>
      </c>
      <c r="G10516" s="18">
        <v>661.86</v>
      </c>
      <c r="H10516" s="27">
        <f t="shared" si="328"/>
        <v>661.86</v>
      </c>
      <c r="I10516" s="18">
        <v>661.86</v>
      </c>
      <c r="J10516" s="27">
        <v>661.86</v>
      </c>
      <c r="K10516" s="18">
        <f t="shared" si="329"/>
        <v>661.86</v>
      </c>
      <c r="L10516" s="27">
        <v>661.86</v>
      </c>
      <c r="M10516" s="36">
        <v>0</v>
      </c>
      <c r="T10516" s="41">
        <v>0</v>
      </c>
      <c r="U10516" s="41">
        <v>0</v>
      </c>
      <c r="V10516" s="42" t="s">
        <v>113</v>
      </c>
      <c r="W10516" s="42">
        <v>661.86</v>
      </c>
      <c r="X10516" s="42">
        <v>661.86</v>
      </c>
    </row>
    <row r="10517" spans="1:24">
      <c r="A10517" s="27" t="s">
        <v>19001</v>
      </c>
      <c r="B10517" s="28" t="s">
        <v>17556</v>
      </c>
      <c r="C10517" s="27" t="s">
        <v>19002</v>
      </c>
      <c r="D10517" s="27" t="s">
        <v>17558</v>
      </c>
      <c r="E10517" s="29">
        <v>35795</v>
      </c>
      <c r="F10517" s="27">
        <v>7</v>
      </c>
      <c r="G10517" s="18">
        <v>661.86</v>
      </c>
      <c r="H10517" s="27">
        <f t="shared" si="328"/>
        <v>661.86</v>
      </c>
      <c r="I10517" s="18">
        <v>661.86</v>
      </c>
      <c r="J10517" s="27">
        <v>661.86</v>
      </c>
      <c r="K10517" s="18">
        <f t="shared" si="329"/>
        <v>661.86</v>
      </c>
      <c r="L10517" s="27">
        <v>661.86</v>
      </c>
      <c r="M10517" s="36">
        <v>0</v>
      </c>
      <c r="T10517" s="41">
        <v>0</v>
      </c>
      <c r="U10517" s="41">
        <v>0</v>
      </c>
      <c r="V10517" s="42" t="s">
        <v>113</v>
      </c>
      <c r="W10517" s="42">
        <v>661.86</v>
      </c>
      <c r="X10517" s="42">
        <v>661.86</v>
      </c>
    </row>
    <row r="10518" spans="1:24">
      <c r="A10518" s="27" t="s">
        <v>19003</v>
      </c>
      <c r="B10518" s="28" t="s">
        <v>17556</v>
      </c>
      <c r="C10518" s="27" t="s">
        <v>19004</v>
      </c>
      <c r="D10518" s="27" t="s">
        <v>17558</v>
      </c>
      <c r="E10518" s="29">
        <v>35795</v>
      </c>
      <c r="F10518" s="27">
        <v>7</v>
      </c>
      <c r="G10518" s="18">
        <v>661.86</v>
      </c>
      <c r="H10518" s="27">
        <f t="shared" si="328"/>
        <v>661.86</v>
      </c>
      <c r="I10518" s="18">
        <v>661.86</v>
      </c>
      <c r="J10518" s="27">
        <v>661.86</v>
      </c>
      <c r="K10518" s="18">
        <f t="shared" si="329"/>
        <v>661.86</v>
      </c>
      <c r="L10518" s="27">
        <v>661.86</v>
      </c>
      <c r="M10518" s="36">
        <v>0</v>
      </c>
      <c r="T10518" s="41">
        <v>0</v>
      </c>
      <c r="U10518" s="41">
        <v>0</v>
      </c>
      <c r="V10518" s="42" t="s">
        <v>113</v>
      </c>
      <c r="W10518" s="42">
        <v>661.86</v>
      </c>
      <c r="X10518" s="42">
        <v>661.86</v>
      </c>
    </row>
    <row r="10519" spans="1:24">
      <c r="A10519" s="27" t="s">
        <v>19005</v>
      </c>
      <c r="B10519" s="28" t="s">
        <v>17556</v>
      </c>
      <c r="C10519" s="27" t="s">
        <v>19006</v>
      </c>
      <c r="D10519" s="27" t="s">
        <v>17558</v>
      </c>
      <c r="E10519" s="29">
        <v>35795</v>
      </c>
      <c r="F10519" s="27">
        <v>7</v>
      </c>
      <c r="G10519" s="18">
        <v>661.86</v>
      </c>
      <c r="H10519" s="27">
        <f t="shared" si="328"/>
        <v>661.86</v>
      </c>
      <c r="I10519" s="18">
        <v>661.86</v>
      </c>
      <c r="J10519" s="27">
        <v>661.86</v>
      </c>
      <c r="K10519" s="18">
        <f t="shared" si="329"/>
        <v>661.86</v>
      </c>
      <c r="L10519" s="27">
        <v>661.86</v>
      </c>
      <c r="M10519" s="36">
        <v>0</v>
      </c>
      <c r="T10519" s="41">
        <v>0</v>
      </c>
      <c r="U10519" s="41">
        <v>0</v>
      </c>
      <c r="V10519" s="42" t="s">
        <v>113</v>
      </c>
      <c r="W10519" s="42">
        <v>661.86</v>
      </c>
      <c r="X10519" s="42">
        <v>661.86</v>
      </c>
    </row>
    <row r="10520" spans="1:24">
      <c r="A10520" s="27" t="s">
        <v>19007</v>
      </c>
      <c r="B10520" s="28" t="s">
        <v>17556</v>
      </c>
      <c r="C10520" s="27" t="s">
        <v>19008</v>
      </c>
      <c r="D10520" s="27" t="s">
        <v>17558</v>
      </c>
      <c r="E10520" s="29">
        <v>35795</v>
      </c>
      <c r="F10520" s="27">
        <v>7</v>
      </c>
      <c r="G10520" s="18">
        <v>661.86</v>
      </c>
      <c r="H10520" s="27">
        <f t="shared" si="328"/>
        <v>661.86</v>
      </c>
      <c r="I10520" s="18">
        <v>661.86</v>
      </c>
      <c r="J10520" s="27">
        <v>661.86</v>
      </c>
      <c r="K10520" s="18">
        <f t="shared" si="329"/>
        <v>661.86</v>
      </c>
      <c r="L10520" s="27">
        <v>661.86</v>
      </c>
      <c r="M10520" s="36">
        <v>0</v>
      </c>
      <c r="T10520" s="41">
        <v>0</v>
      </c>
      <c r="U10520" s="41">
        <v>0</v>
      </c>
      <c r="V10520" s="42" t="s">
        <v>113</v>
      </c>
      <c r="W10520" s="42">
        <v>661.86</v>
      </c>
      <c r="X10520" s="42">
        <v>661.86</v>
      </c>
    </row>
    <row r="10521" spans="1:24">
      <c r="A10521" s="27" t="s">
        <v>19009</v>
      </c>
      <c r="B10521" s="28" t="s">
        <v>17556</v>
      </c>
      <c r="C10521" s="27" t="s">
        <v>19010</v>
      </c>
      <c r="D10521" s="27" t="s">
        <v>17558</v>
      </c>
      <c r="E10521" s="29">
        <v>35795</v>
      </c>
      <c r="F10521" s="27">
        <v>7</v>
      </c>
      <c r="G10521" s="18">
        <v>661.86</v>
      </c>
      <c r="H10521" s="27">
        <f t="shared" si="328"/>
        <v>661.86</v>
      </c>
      <c r="I10521" s="18">
        <v>661.86</v>
      </c>
      <c r="J10521" s="27">
        <v>661.86</v>
      </c>
      <c r="K10521" s="18">
        <f t="shared" si="329"/>
        <v>661.86</v>
      </c>
      <c r="L10521" s="27">
        <v>661.86</v>
      </c>
      <c r="M10521" s="36">
        <v>0</v>
      </c>
      <c r="T10521" s="41">
        <v>0</v>
      </c>
      <c r="U10521" s="41">
        <v>0</v>
      </c>
      <c r="V10521" s="42" t="s">
        <v>113</v>
      </c>
      <c r="W10521" s="42">
        <v>661.86</v>
      </c>
      <c r="X10521" s="42">
        <v>661.86</v>
      </c>
    </row>
    <row r="10522" spans="1:24">
      <c r="A10522" s="27" t="s">
        <v>19011</v>
      </c>
      <c r="B10522" s="28" t="s">
        <v>17556</v>
      </c>
      <c r="C10522" s="27" t="s">
        <v>19012</v>
      </c>
      <c r="D10522" s="27" t="s">
        <v>17558</v>
      </c>
      <c r="E10522" s="29">
        <v>35795</v>
      </c>
      <c r="F10522" s="27">
        <v>7</v>
      </c>
      <c r="G10522" s="18">
        <v>661.86</v>
      </c>
      <c r="H10522" s="27">
        <f t="shared" si="328"/>
        <v>661.86</v>
      </c>
      <c r="I10522" s="18">
        <v>661.86</v>
      </c>
      <c r="J10522" s="27">
        <v>661.86</v>
      </c>
      <c r="K10522" s="18">
        <f t="shared" si="329"/>
        <v>661.86</v>
      </c>
      <c r="L10522" s="27">
        <v>661.86</v>
      </c>
      <c r="M10522" s="36">
        <v>0</v>
      </c>
      <c r="T10522" s="41">
        <v>0</v>
      </c>
      <c r="U10522" s="41">
        <v>0</v>
      </c>
      <c r="V10522" s="42" t="s">
        <v>113</v>
      </c>
      <c r="W10522" s="42">
        <v>661.86</v>
      </c>
      <c r="X10522" s="42">
        <v>661.86</v>
      </c>
    </row>
    <row r="10523" spans="1:24">
      <c r="A10523" s="27" t="s">
        <v>19013</v>
      </c>
      <c r="B10523" s="28" t="s">
        <v>17556</v>
      </c>
      <c r="C10523" s="27" t="s">
        <v>19014</v>
      </c>
      <c r="D10523" s="27" t="s">
        <v>17558</v>
      </c>
      <c r="E10523" s="29">
        <v>35795</v>
      </c>
      <c r="F10523" s="27">
        <v>7</v>
      </c>
      <c r="G10523" s="18">
        <v>661.86</v>
      </c>
      <c r="H10523" s="27">
        <f t="shared" si="328"/>
        <v>661.86</v>
      </c>
      <c r="I10523" s="18">
        <v>661.86</v>
      </c>
      <c r="J10523" s="27">
        <v>661.86</v>
      </c>
      <c r="K10523" s="18">
        <f t="shared" si="329"/>
        <v>661.86</v>
      </c>
      <c r="L10523" s="27">
        <v>661.86</v>
      </c>
      <c r="M10523" s="36">
        <v>0</v>
      </c>
      <c r="T10523" s="41">
        <v>0</v>
      </c>
      <c r="U10523" s="41">
        <v>0</v>
      </c>
      <c r="V10523" s="42" t="s">
        <v>113</v>
      </c>
      <c r="W10523" s="42">
        <v>661.86</v>
      </c>
      <c r="X10523" s="42">
        <v>661.86</v>
      </c>
    </row>
    <row r="10524" spans="1:24">
      <c r="A10524" s="27" t="s">
        <v>19015</v>
      </c>
      <c r="B10524" s="28" t="s">
        <v>17556</v>
      </c>
      <c r="C10524" s="27" t="s">
        <v>19016</v>
      </c>
      <c r="D10524" s="27" t="s">
        <v>17558</v>
      </c>
      <c r="E10524" s="29">
        <v>35795</v>
      </c>
      <c r="F10524" s="27">
        <v>7</v>
      </c>
      <c r="G10524" s="18">
        <v>661.86</v>
      </c>
      <c r="H10524" s="27">
        <f t="shared" si="328"/>
        <v>661.86</v>
      </c>
      <c r="I10524" s="18">
        <v>661.86</v>
      </c>
      <c r="J10524" s="27">
        <v>661.86</v>
      </c>
      <c r="K10524" s="18">
        <f t="shared" si="329"/>
        <v>661.86</v>
      </c>
      <c r="L10524" s="27">
        <v>661.86</v>
      </c>
      <c r="M10524" s="36">
        <v>0</v>
      </c>
      <c r="T10524" s="41">
        <v>0</v>
      </c>
      <c r="U10524" s="41">
        <v>0</v>
      </c>
      <c r="V10524" s="42" t="s">
        <v>113</v>
      </c>
      <c r="W10524" s="42">
        <v>661.86</v>
      </c>
      <c r="X10524" s="42">
        <v>661.86</v>
      </c>
    </row>
    <row r="10525" spans="1:24">
      <c r="A10525" s="27" t="s">
        <v>19017</v>
      </c>
      <c r="B10525" s="28" t="s">
        <v>17556</v>
      </c>
      <c r="C10525" s="27" t="s">
        <v>19018</v>
      </c>
      <c r="D10525" s="27" t="s">
        <v>17558</v>
      </c>
      <c r="E10525" s="29">
        <v>35795</v>
      </c>
      <c r="F10525" s="27">
        <v>7</v>
      </c>
      <c r="G10525" s="18">
        <v>661.86</v>
      </c>
      <c r="H10525" s="27">
        <f t="shared" si="328"/>
        <v>661.86</v>
      </c>
      <c r="I10525" s="18">
        <v>661.86</v>
      </c>
      <c r="J10525" s="27">
        <v>661.86</v>
      </c>
      <c r="K10525" s="18">
        <f t="shared" si="329"/>
        <v>661.86</v>
      </c>
      <c r="L10525" s="27">
        <v>661.86</v>
      </c>
      <c r="M10525" s="36">
        <v>0</v>
      </c>
      <c r="T10525" s="41">
        <v>0</v>
      </c>
      <c r="U10525" s="41">
        <v>0</v>
      </c>
      <c r="V10525" s="42" t="s">
        <v>113</v>
      </c>
      <c r="W10525" s="42">
        <v>661.86</v>
      </c>
      <c r="X10525" s="42">
        <v>661.86</v>
      </c>
    </row>
    <row r="10526" spans="1:24">
      <c r="A10526" s="27" t="s">
        <v>19019</v>
      </c>
      <c r="B10526" s="28" t="s">
        <v>17556</v>
      </c>
      <c r="C10526" s="27" t="s">
        <v>19020</v>
      </c>
      <c r="D10526" s="27" t="s">
        <v>17558</v>
      </c>
      <c r="E10526" s="29">
        <v>35795</v>
      </c>
      <c r="F10526" s="27">
        <v>7</v>
      </c>
      <c r="G10526" s="18">
        <v>661.86</v>
      </c>
      <c r="H10526" s="27">
        <f t="shared" si="328"/>
        <v>661.86</v>
      </c>
      <c r="I10526" s="18">
        <v>661.86</v>
      </c>
      <c r="J10526" s="27">
        <v>661.86</v>
      </c>
      <c r="K10526" s="18">
        <f t="shared" si="329"/>
        <v>661.86</v>
      </c>
      <c r="L10526" s="27">
        <v>661.86</v>
      </c>
      <c r="M10526" s="36">
        <v>0</v>
      </c>
      <c r="T10526" s="41">
        <v>0</v>
      </c>
      <c r="U10526" s="41">
        <v>0</v>
      </c>
      <c r="V10526" s="42" t="s">
        <v>113</v>
      </c>
      <c r="W10526" s="42">
        <v>661.86</v>
      </c>
      <c r="X10526" s="42">
        <v>661.86</v>
      </c>
    </row>
    <row r="10527" spans="1:24">
      <c r="A10527" s="27" t="s">
        <v>19021</v>
      </c>
      <c r="B10527" s="28" t="s">
        <v>17556</v>
      </c>
      <c r="C10527" s="27" t="s">
        <v>19022</v>
      </c>
      <c r="D10527" s="27" t="s">
        <v>17558</v>
      </c>
      <c r="E10527" s="29">
        <v>35795</v>
      </c>
      <c r="F10527" s="27">
        <v>7</v>
      </c>
      <c r="G10527" s="18">
        <v>661.86</v>
      </c>
      <c r="H10527" s="27">
        <f t="shared" si="328"/>
        <v>661.86</v>
      </c>
      <c r="I10527" s="18">
        <v>661.86</v>
      </c>
      <c r="J10527" s="27">
        <v>661.86</v>
      </c>
      <c r="K10527" s="18">
        <f t="shared" si="329"/>
        <v>661.86</v>
      </c>
      <c r="L10527" s="27">
        <v>661.86</v>
      </c>
      <c r="M10527" s="36">
        <v>0</v>
      </c>
      <c r="T10527" s="41">
        <v>0</v>
      </c>
      <c r="U10527" s="41">
        <v>0</v>
      </c>
      <c r="V10527" s="42" t="s">
        <v>113</v>
      </c>
      <c r="W10527" s="42">
        <v>661.86</v>
      </c>
      <c r="X10527" s="42">
        <v>661.86</v>
      </c>
    </row>
    <row r="10528" spans="1:24">
      <c r="A10528" s="27" t="s">
        <v>19023</v>
      </c>
      <c r="B10528" s="28" t="s">
        <v>17556</v>
      </c>
      <c r="C10528" s="27" t="s">
        <v>19024</v>
      </c>
      <c r="D10528" s="27" t="s">
        <v>17558</v>
      </c>
      <c r="E10528" s="29">
        <v>35795</v>
      </c>
      <c r="F10528" s="27">
        <v>7</v>
      </c>
      <c r="G10528" s="18">
        <v>661.86</v>
      </c>
      <c r="H10528" s="27">
        <f t="shared" si="328"/>
        <v>661.86</v>
      </c>
      <c r="I10528" s="18">
        <v>661.86</v>
      </c>
      <c r="J10528" s="27">
        <v>661.86</v>
      </c>
      <c r="K10528" s="18">
        <f t="shared" si="329"/>
        <v>661.86</v>
      </c>
      <c r="L10528" s="27">
        <v>661.86</v>
      </c>
      <c r="M10528" s="36">
        <v>0</v>
      </c>
      <c r="T10528" s="41">
        <v>0</v>
      </c>
      <c r="U10528" s="41">
        <v>0</v>
      </c>
      <c r="V10528" s="42" t="s">
        <v>113</v>
      </c>
      <c r="W10528" s="42">
        <v>661.86</v>
      </c>
      <c r="X10528" s="42">
        <v>661.86</v>
      </c>
    </row>
    <row r="10529" spans="1:24">
      <c r="A10529" s="27" t="s">
        <v>19025</v>
      </c>
      <c r="B10529" s="28" t="s">
        <v>17556</v>
      </c>
      <c r="C10529" s="27" t="s">
        <v>19026</v>
      </c>
      <c r="D10529" s="27" t="s">
        <v>17558</v>
      </c>
      <c r="E10529" s="29">
        <v>35795</v>
      </c>
      <c r="F10529" s="27">
        <v>7</v>
      </c>
      <c r="G10529" s="18">
        <v>661.86</v>
      </c>
      <c r="H10529" s="27">
        <f t="shared" si="328"/>
        <v>661.86</v>
      </c>
      <c r="I10529" s="18">
        <v>661.86</v>
      </c>
      <c r="J10529" s="27">
        <v>661.86</v>
      </c>
      <c r="K10529" s="18">
        <f t="shared" si="329"/>
        <v>661.86</v>
      </c>
      <c r="L10529" s="27">
        <v>661.86</v>
      </c>
      <c r="M10529" s="36">
        <v>0</v>
      </c>
      <c r="T10529" s="41">
        <v>0</v>
      </c>
      <c r="U10529" s="41">
        <v>0</v>
      </c>
      <c r="V10529" s="42" t="s">
        <v>113</v>
      </c>
      <c r="W10529" s="42">
        <v>661.86</v>
      </c>
      <c r="X10529" s="42">
        <v>661.86</v>
      </c>
    </row>
    <row r="10530" spans="1:24">
      <c r="A10530" s="27" t="s">
        <v>19027</v>
      </c>
      <c r="B10530" s="28" t="s">
        <v>17556</v>
      </c>
      <c r="C10530" s="27" t="s">
        <v>19028</v>
      </c>
      <c r="D10530" s="27" t="s">
        <v>17558</v>
      </c>
      <c r="E10530" s="29">
        <v>35795</v>
      </c>
      <c r="F10530" s="27">
        <v>7</v>
      </c>
      <c r="G10530" s="18">
        <v>661.86</v>
      </c>
      <c r="H10530" s="27">
        <f t="shared" si="328"/>
        <v>661.86</v>
      </c>
      <c r="I10530" s="18">
        <v>661.86</v>
      </c>
      <c r="J10530" s="27">
        <v>661.86</v>
      </c>
      <c r="K10530" s="18">
        <f t="shared" si="329"/>
        <v>661.86</v>
      </c>
      <c r="L10530" s="27">
        <v>661.86</v>
      </c>
      <c r="M10530" s="36">
        <v>0</v>
      </c>
      <c r="T10530" s="41">
        <v>0</v>
      </c>
      <c r="U10530" s="41">
        <v>0</v>
      </c>
      <c r="V10530" s="42" t="s">
        <v>113</v>
      </c>
      <c r="W10530" s="42">
        <v>661.86</v>
      </c>
      <c r="X10530" s="42">
        <v>661.86</v>
      </c>
    </row>
    <row r="10531" spans="1:24">
      <c r="A10531" s="27" t="s">
        <v>19029</v>
      </c>
      <c r="B10531" s="28" t="s">
        <v>17556</v>
      </c>
      <c r="C10531" s="27" t="s">
        <v>19030</v>
      </c>
      <c r="D10531" s="27" t="s">
        <v>17558</v>
      </c>
      <c r="E10531" s="29">
        <v>35795</v>
      </c>
      <c r="F10531" s="27">
        <v>7</v>
      </c>
      <c r="G10531" s="18">
        <v>661.86</v>
      </c>
      <c r="H10531" s="27">
        <f t="shared" si="328"/>
        <v>661.86</v>
      </c>
      <c r="I10531" s="18">
        <v>661.86</v>
      </c>
      <c r="J10531" s="27">
        <v>661.86</v>
      </c>
      <c r="K10531" s="18">
        <f t="shared" si="329"/>
        <v>661.86</v>
      </c>
      <c r="L10531" s="27">
        <v>661.86</v>
      </c>
      <c r="M10531" s="36">
        <v>0</v>
      </c>
      <c r="T10531" s="41">
        <v>0</v>
      </c>
      <c r="U10531" s="41">
        <v>0</v>
      </c>
      <c r="V10531" s="42" t="s">
        <v>113</v>
      </c>
      <c r="W10531" s="42">
        <v>661.86</v>
      </c>
      <c r="X10531" s="42">
        <v>661.86</v>
      </c>
    </row>
    <row r="10532" spans="1:24">
      <c r="A10532" s="27" t="s">
        <v>19031</v>
      </c>
      <c r="B10532" s="28" t="s">
        <v>17556</v>
      </c>
      <c r="C10532" s="27" t="s">
        <v>19032</v>
      </c>
      <c r="D10532" s="27" t="s">
        <v>17558</v>
      </c>
      <c r="E10532" s="29">
        <v>35795</v>
      </c>
      <c r="F10532" s="27">
        <v>7</v>
      </c>
      <c r="G10532" s="18">
        <v>661.86</v>
      </c>
      <c r="H10532" s="27">
        <f t="shared" si="328"/>
        <v>661.86</v>
      </c>
      <c r="I10532" s="18">
        <v>661.86</v>
      </c>
      <c r="J10532" s="27">
        <v>661.86</v>
      </c>
      <c r="K10532" s="18">
        <f t="shared" si="329"/>
        <v>661.86</v>
      </c>
      <c r="L10532" s="27">
        <v>661.86</v>
      </c>
      <c r="M10532" s="36">
        <v>0</v>
      </c>
      <c r="T10532" s="41">
        <v>0</v>
      </c>
      <c r="U10532" s="41">
        <v>0</v>
      </c>
      <c r="V10532" s="42" t="s">
        <v>113</v>
      </c>
      <c r="W10532" s="42">
        <v>661.86</v>
      </c>
      <c r="X10532" s="42">
        <v>661.86</v>
      </c>
    </row>
    <row r="10533" spans="1:24">
      <c r="A10533" s="27" t="s">
        <v>19033</v>
      </c>
      <c r="B10533" s="28" t="s">
        <v>17556</v>
      </c>
      <c r="C10533" s="27" t="s">
        <v>19034</v>
      </c>
      <c r="D10533" s="27" t="s">
        <v>17558</v>
      </c>
      <c r="E10533" s="29">
        <v>35795</v>
      </c>
      <c r="F10533" s="27">
        <v>7</v>
      </c>
      <c r="G10533" s="18">
        <v>661.86</v>
      </c>
      <c r="H10533" s="27">
        <f t="shared" si="328"/>
        <v>661.86</v>
      </c>
      <c r="I10533" s="18">
        <v>661.86</v>
      </c>
      <c r="J10533" s="27">
        <v>661.86</v>
      </c>
      <c r="K10533" s="18">
        <f t="shared" si="329"/>
        <v>661.86</v>
      </c>
      <c r="L10533" s="27">
        <v>661.86</v>
      </c>
      <c r="M10533" s="36">
        <v>0</v>
      </c>
      <c r="T10533" s="41">
        <v>0</v>
      </c>
      <c r="U10533" s="41">
        <v>0</v>
      </c>
      <c r="V10533" s="42" t="s">
        <v>113</v>
      </c>
      <c r="W10533" s="42">
        <v>661.86</v>
      </c>
      <c r="X10533" s="42">
        <v>661.86</v>
      </c>
    </row>
    <row r="10534" spans="1:24">
      <c r="A10534" s="27" t="s">
        <v>19035</v>
      </c>
      <c r="B10534" s="28" t="s">
        <v>17556</v>
      </c>
      <c r="C10534" s="27" t="s">
        <v>19036</v>
      </c>
      <c r="D10534" s="27" t="s">
        <v>17558</v>
      </c>
      <c r="E10534" s="29">
        <v>35795</v>
      </c>
      <c r="F10534" s="27">
        <v>7</v>
      </c>
      <c r="G10534" s="18">
        <v>661.86</v>
      </c>
      <c r="H10534" s="27">
        <f t="shared" si="328"/>
        <v>661.86</v>
      </c>
      <c r="I10534" s="18">
        <v>661.86</v>
      </c>
      <c r="J10534" s="27">
        <v>661.86</v>
      </c>
      <c r="K10534" s="18">
        <f t="shared" si="329"/>
        <v>661.86</v>
      </c>
      <c r="L10534" s="27">
        <v>661.86</v>
      </c>
      <c r="M10534" s="36">
        <v>0</v>
      </c>
      <c r="T10534" s="41">
        <v>0</v>
      </c>
      <c r="U10534" s="41">
        <v>0</v>
      </c>
      <c r="V10534" s="42" t="s">
        <v>113</v>
      </c>
      <c r="W10534" s="42">
        <v>661.86</v>
      </c>
      <c r="X10534" s="42">
        <v>661.86</v>
      </c>
    </row>
    <row r="10535" spans="1:24">
      <c r="A10535" s="27" t="s">
        <v>19037</v>
      </c>
      <c r="B10535" s="28" t="s">
        <v>17556</v>
      </c>
      <c r="C10535" s="27" t="s">
        <v>19038</v>
      </c>
      <c r="D10535" s="27" t="s">
        <v>17558</v>
      </c>
      <c r="E10535" s="29">
        <v>35795</v>
      </c>
      <c r="F10535" s="27">
        <v>7</v>
      </c>
      <c r="G10535" s="18">
        <v>661.86</v>
      </c>
      <c r="H10535" s="27">
        <f t="shared" si="328"/>
        <v>661.86</v>
      </c>
      <c r="I10535" s="18">
        <v>661.86</v>
      </c>
      <c r="J10535" s="27">
        <v>661.86</v>
      </c>
      <c r="K10535" s="18">
        <f t="shared" si="329"/>
        <v>661.86</v>
      </c>
      <c r="L10535" s="27">
        <v>661.86</v>
      </c>
      <c r="M10535" s="36">
        <v>0</v>
      </c>
      <c r="T10535" s="41">
        <v>0</v>
      </c>
      <c r="U10535" s="41">
        <v>0</v>
      </c>
      <c r="V10535" s="42" t="s">
        <v>113</v>
      </c>
      <c r="W10535" s="42">
        <v>661.86</v>
      </c>
      <c r="X10535" s="42">
        <v>661.86</v>
      </c>
    </row>
    <row r="10536" spans="1:24">
      <c r="A10536" s="27" t="s">
        <v>19039</v>
      </c>
      <c r="B10536" s="28" t="s">
        <v>17556</v>
      </c>
      <c r="C10536" s="27" t="s">
        <v>19040</v>
      </c>
      <c r="D10536" s="27" t="s">
        <v>17558</v>
      </c>
      <c r="E10536" s="29">
        <v>35795</v>
      </c>
      <c r="F10536" s="27">
        <v>7</v>
      </c>
      <c r="G10536" s="18">
        <v>661.86</v>
      </c>
      <c r="H10536" s="27">
        <f t="shared" si="328"/>
        <v>661.86</v>
      </c>
      <c r="I10536" s="18">
        <v>661.86</v>
      </c>
      <c r="J10536" s="27">
        <v>661.86</v>
      </c>
      <c r="K10536" s="18">
        <f t="shared" si="329"/>
        <v>661.86</v>
      </c>
      <c r="L10536" s="27">
        <v>661.86</v>
      </c>
      <c r="M10536" s="36">
        <v>0</v>
      </c>
      <c r="T10536" s="41">
        <v>0</v>
      </c>
      <c r="U10536" s="41">
        <v>0</v>
      </c>
      <c r="V10536" s="42" t="s">
        <v>113</v>
      </c>
      <c r="W10536" s="42">
        <v>661.86</v>
      </c>
      <c r="X10536" s="42">
        <v>661.86</v>
      </c>
    </row>
    <row r="10537" spans="1:24">
      <c r="A10537" s="27" t="s">
        <v>19041</v>
      </c>
      <c r="B10537" s="28" t="s">
        <v>17556</v>
      </c>
      <c r="C10537" s="27" t="s">
        <v>19042</v>
      </c>
      <c r="D10537" s="27" t="s">
        <v>17558</v>
      </c>
      <c r="E10537" s="29">
        <v>35795</v>
      </c>
      <c r="F10537" s="27">
        <v>7</v>
      </c>
      <c r="G10537" s="18">
        <v>661.86</v>
      </c>
      <c r="H10537" s="27">
        <f t="shared" si="328"/>
        <v>661.86</v>
      </c>
      <c r="I10537" s="18">
        <v>661.86</v>
      </c>
      <c r="J10537" s="27">
        <v>661.86</v>
      </c>
      <c r="K10537" s="18">
        <f t="shared" si="329"/>
        <v>661.86</v>
      </c>
      <c r="L10537" s="27">
        <v>661.86</v>
      </c>
      <c r="M10537" s="36">
        <v>0</v>
      </c>
      <c r="T10537" s="41">
        <v>0</v>
      </c>
      <c r="U10537" s="41">
        <v>0</v>
      </c>
      <c r="V10537" s="42" t="s">
        <v>113</v>
      </c>
      <c r="W10537" s="42">
        <v>661.86</v>
      </c>
      <c r="X10537" s="42">
        <v>661.86</v>
      </c>
    </row>
    <row r="10538" spans="1:24">
      <c r="A10538" s="27" t="s">
        <v>19043</v>
      </c>
      <c r="B10538" s="28" t="s">
        <v>17556</v>
      </c>
      <c r="C10538" s="27" t="s">
        <v>19044</v>
      </c>
      <c r="D10538" s="27" t="s">
        <v>17558</v>
      </c>
      <c r="E10538" s="29">
        <v>35795</v>
      </c>
      <c r="F10538" s="27">
        <v>7</v>
      </c>
      <c r="G10538" s="18">
        <v>661.86</v>
      </c>
      <c r="H10538" s="27">
        <f t="shared" si="328"/>
        <v>661.86</v>
      </c>
      <c r="I10538" s="18">
        <v>661.86</v>
      </c>
      <c r="J10538" s="27">
        <v>661.86</v>
      </c>
      <c r="K10538" s="18">
        <f t="shared" si="329"/>
        <v>661.86</v>
      </c>
      <c r="L10538" s="27">
        <v>661.86</v>
      </c>
      <c r="M10538" s="36">
        <v>0</v>
      </c>
      <c r="T10538" s="41">
        <v>0</v>
      </c>
      <c r="U10538" s="41">
        <v>0</v>
      </c>
      <c r="V10538" s="42" t="s">
        <v>113</v>
      </c>
      <c r="W10538" s="42">
        <v>661.86</v>
      </c>
      <c r="X10538" s="42">
        <v>661.86</v>
      </c>
    </row>
    <row r="10539" spans="1:24">
      <c r="A10539" s="27" t="s">
        <v>19045</v>
      </c>
      <c r="B10539" s="28" t="s">
        <v>17556</v>
      </c>
      <c r="C10539" s="27" t="s">
        <v>19046</v>
      </c>
      <c r="D10539" s="27" t="s">
        <v>17558</v>
      </c>
      <c r="E10539" s="29">
        <v>35795</v>
      </c>
      <c r="F10539" s="27">
        <v>7</v>
      </c>
      <c r="G10539" s="18">
        <v>661.86</v>
      </c>
      <c r="H10539" s="27">
        <f t="shared" si="328"/>
        <v>661.86</v>
      </c>
      <c r="I10539" s="18">
        <v>661.86</v>
      </c>
      <c r="J10539" s="27">
        <v>661.86</v>
      </c>
      <c r="K10539" s="18">
        <f t="shared" si="329"/>
        <v>661.86</v>
      </c>
      <c r="L10539" s="27">
        <v>661.86</v>
      </c>
      <c r="M10539" s="36">
        <v>0</v>
      </c>
      <c r="T10539" s="41">
        <v>0</v>
      </c>
      <c r="U10539" s="41">
        <v>0</v>
      </c>
      <c r="V10539" s="42" t="s">
        <v>113</v>
      </c>
      <c r="W10539" s="42">
        <v>661.86</v>
      </c>
      <c r="X10539" s="42">
        <v>661.86</v>
      </c>
    </row>
    <row r="10540" spans="1:24">
      <c r="A10540" s="27" t="s">
        <v>19047</v>
      </c>
      <c r="B10540" s="28" t="s">
        <v>17556</v>
      </c>
      <c r="C10540" s="27" t="s">
        <v>19048</v>
      </c>
      <c r="D10540" s="27" t="s">
        <v>17558</v>
      </c>
      <c r="E10540" s="29">
        <v>35795</v>
      </c>
      <c r="F10540" s="27">
        <v>7</v>
      </c>
      <c r="G10540" s="18">
        <v>661.86</v>
      </c>
      <c r="H10540" s="27">
        <f t="shared" si="328"/>
        <v>661.86</v>
      </c>
      <c r="I10540" s="18">
        <v>661.86</v>
      </c>
      <c r="J10540" s="27">
        <v>661.86</v>
      </c>
      <c r="K10540" s="18">
        <f t="shared" si="329"/>
        <v>661.86</v>
      </c>
      <c r="L10540" s="27">
        <v>661.86</v>
      </c>
      <c r="M10540" s="36">
        <v>0</v>
      </c>
      <c r="T10540" s="41">
        <v>0</v>
      </c>
      <c r="U10540" s="41">
        <v>0</v>
      </c>
      <c r="V10540" s="42" t="s">
        <v>113</v>
      </c>
      <c r="W10540" s="42">
        <v>661.86</v>
      </c>
      <c r="X10540" s="42">
        <v>661.86</v>
      </c>
    </row>
    <row r="10541" spans="1:24">
      <c r="A10541" s="27" t="s">
        <v>19049</v>
      </c>
      <c r="B10541" s="28" t="s">
        <v>17556</v>
      </c>
      <c r="C10541" s="27" t="s">
        <v>19050</v>
      </c>
      <c r="D10541" s="27" t="s">
        <v>17558</v>
      </c>
      <c r="E10541" s="29">
        <v>35795</v>
      </c>
      <c r="F10541" s="27">
        <v>7</v>
      </c>
      <c r="G10541" s="18">
        <v>661.86</v>
      </c>
      <c r="H10541" s="27">
        <f t="shared" si="328"/>
        <v>661.86</v>
      </c>
      <c r="I10541" s="18">
        <v>661.86</v>
      </c>
      <c r="J10541" s="27">
        <v>661.86</v>
      </c>
      <c r="K10541" s="18">
        <f t="shared" si="329"/>
        <v>661.86</v>
      </c>
      <c r="L10541" s="27">
        <v>661.86</v>
      </c>
      <c r="M10541" s="36">
        <v>0</v>
      </c>
      <c r="T10541" s="41">
        <v>0</v>
      </c>
      <c r="U10541" s="41">
        <v>0</v>
      </c>
      <c r="V10541" s="42" t="s">
        <v>113</v>
      </c>
      <c r="W10541" s="42">
        <v>661.86</v>
      </c>
      <c r="X10541" s="42">
        <v>661.86</v>
      </c>
    </row>
    <row r="10542" spans="1:24">
      <c r="A10542" s="27" t="s">
        <v>19051</v>
      </c>
      <c r="B10542" s="28" t="s">
        <v>17556</v>
      </c>
      <c r="C10542" s="27" t="s">
        <v>19052</v>
      </c>
      <c r="D10542" s="27" t="s">
        <v>17558</v>
      </c>
      <c r="E10542" s="29">
        <v>35795</v>
      </c>
      <c r="F10542" s="27">
        <v>7</v>
      </c>
      <c r="G10542" s="18">
        <v>661.86</v>
      </c>
      <c r="H10542" s="27">
        <f t="shared" si="328"/>
        <v>661.86</v>
      </c>
      <c r="I10542" s="18">
        <v>661.86</v>
      </c>
      <c r="J10542" s="27">
        <v>661.86</v>
      </c>
      <c r="K10542" s="18">
        <f t="shared" si="329"/>
        <v>661.86</v>
      </c>
      <c r="L10542" s="27">
        <v>661.86</v>
      </c>
      <c r="M10542" s="36">
        <v>0</v>
      </c>
      <c r="T10542" s="41">
        <v>0</v>
      </c>
      <c r="U10542" s="41">
        <v>0</v>
      </c>
      <c r="V10542" s="42" t="s">
        <v>113</v>
      </c>
      <c r="W10542" s="42">
        <v>661.86</v>
      </c>
      <c r="X10542" s="42">
        <v>661.86</v>
      </c>
    </row>
    <row r="10543" spans="1:24">
      <c r="A10543" s="27" t="s">
        <v>19053</v>
      </c>
      <c r="B10543" s="28" t="s">
        <v>17556</v>
      </c>
      <c r="C10543" s="27" t="s">
        <v>19054</v>
      </c>
      <c r="D10543" s="27" t="s">
        <v>17558</v>
      </c>
      <c r="E10543" s="29">
        <v>35795</v>
      </c>
      <c r="F10543" s="27">
        <v>7</v>
      </c>
      <c r="G10543" s="18">
        <v>661.86</v>
      </c>
      <c r="H10543" s="27">
        <f t="shared" si="328"/>
        <v>661.86</v>
      </c>
      <c r="I10543" s="18">
        <v>661.86</v>
      </c>
      <c r="J10543" s="27">
        <v>661.86</v>
      </c>
      <c r="K10543" s="18">
        <f t="shared" si="329"/>
        <v>661.86</v>
      </c>
      <c r="L10543" s="27">
        <v>661.86</v>
      </c>
      <c r="M10543" s="36">
        <v>0</v>
      </c>
      <c r="T10543" s="41">
        <v>0</v>
      </c>
      <c r="U10543" s="41">
        <v>0</v>
      </c>
      <c r="V10543" s="42" t="s">
        <v>113</v>
      </c>
      <c r="W10543" s="42">
        <v>661.86</v>
      </c>
      <c r="X10543" s="42">
        <v>661.86</v>
      </c>
    </row>
    <row r="10544" spans="1:24">
      <c r="A10544" s="27" t="s">
        <v>19055</v>
      </c>
      <c r="B10544" s="28" t="s">
        <v>17556</v>
      </c>
      <c r="C10544" s="27" t="s">
        <v>19056</v>
      </c>
      <c r="D10544" s="27" t="s">
        <v>17558</v>
      </c>
      <c r="E10544" s="29">
        <v>35795</v>
      </c>
      <c r="F10544" s="27">
        <v>7</v>
      </c>
      <c r="G10544" s="18">
        <v>661.86</v>
      </c>
      <c r="H10544" s="27">
        <f t="shared" si="328"/>
        <v>661.86</v>
      </c>
      <c r="I10544" s="18">
        <v>661.86</v>
      </c>
      <c r="J10544" s="27">
        <v>661.86</v>
      </c>
      <c r="K10544" s="18">
        <f t="shared" si="329"/>
        <v>661.86</v>
      </c>
      <c r="L10544" s="27">
        <v>661.86</v>
      </c>
      <c r="M10544" s="36">
        <v>0</v>
      </c>
      <c r="T10544" s="41">
        <v>0</v>
      </c>
      <c r="U10544" s="41">
        <v>0</v>
      </c>
      <c r="V10544" s="42" t="s">
        <v>113</v>
      </c>
      <c r="W10544" s="42">
        <v>661.86</v>
      </c>
      <c r="X10544" s="42">
        <v>661.86</v>
      </c>
    </row>
    <row r="10545" spans="1:24">
      <c r="A10545" s="27" t="s">
        <v>19057</v>
      </c>
      <c r="B10545" s="28" t="s">
        <v>17556</v>
      </c>
      <c r="C10545" s="27" t="s">
        <v>19058</v>
      </c>
      <c r="D10545" s="27" t="s">
        <v>17558</v>
      </c>
      <c r="E10545" s="29">
        <v>35795</v>
      </c>
      <c r="F10545" s="27">
        <v>7</v>
      </c>
      <c r="G10545" s="18">
        <v>661.86</v>
      </c>
      <c r="H10545" s="27">
        <f t="shared" si="328"/>
        <v>661.86</v>
      </c>
      <c r="I10545" s="18">
        <v>661.86</v>
      </c>
      <c r="J10545" s="27">
        <v>661.86</v>
      </c>
      <c r="K10545" s="18">
        <f t="shared" si="329"/>
        <v>661.86</v>
      </c>
      <c r="L10545" s="27">
        <v>661.86</v>
      </c>
      <c r="M10545" s="36">
        <v>0</v>
      </c>
      <c r="T10545" s="41">
        <v>0</v>
      </c>
      <c r="U10545" s="41">
        <v>0</v>
      </c>
      <c r="V10545" s="42" t="s">
        <v>113</v>
      </c>
      <c r="W10545" s="42">
        <v>661.86</v>
      </c>
      <c r="X10545" s="42">
        <v>661.86</v>
      </c>
    </row>
    <row r="10546" spans="1:24">
      <c r="A10546" s="27" t="s">
        <v>19059</v>
      </c>
      <c r="B10546" s="28" t="s">
        <v>17556</v>
      </c>
      <c r="C10546" s="27" t="s">
        <v>19060</v>
      </c>
      <c r="D10546" s="27" t="s">
        <v>17558</v>
      </c>
      <c r="E10546" s="29">
        <v>35795</v>
      </c>
      <c r="F10546" s="27">
        <v>7</v>
      </c>
      <c r="G10546" s="18">
        <v>661.86</v>
      </c>
      <c r="H10546" s="27">
        <f t="shared" si="328"/>
        <v>661.86</v>
      </c>
      <c r="I10546" s="18">
        <v>661.86</v>
      </c>
      <c r="J10546" s="27">
        <v>661.86</v>
      </c>
      <c r="K10546" s="18">
        <f t="shared" si="329"/>
        <v>661.86</v>
      </c>
      <c r="L10546" s="27">
        <v>661.86</v>
      </c>
      <c r="M10546" s="36">
        <v>0</v>
      </c>
      <c r="T10546" s="41">
        <v>0</v>
      </c>
      <c r="U10546" s="41">
        <v>0</v>
      </c>
      <c r="V10546" s="42" t="s">
        <v>113</v>
      </c>
      <c r="W10546" s="42">
        <v>661.86</v>
      </c>
      <c r="X10546" s="42">
        <v>661.86</v>
      </c>
    </row>
    <row r="10547" spans="1:24">
      <c r="A10547" s="27" t="s">
        <v>19061</v>
      </c>
      <c r="B10547" s="28" t="s">
        <v>17556</v>
      </c>
      <c r="C10547" s="27" t="s">
        <v>19062</v>
      </c>
      <c r="D10547" s="27" t="s">
        <v>17558</v>
      </c>
      <c r="E10547" s="29">
        <v>35795</v>
      </c>
      <c r="F10547" s="27">
        <v>7</v>
      </c>
      <c r="G10547" s="18">
        <v>661.86</v>
      </c>
      <c r="H10547" s="27">
        <f t="shared" si="328"/>
        <v>661.86</v>
      </c>
      <c r="I10547" s="18">
        <v>661.86</v>
      </c>
      <c r="J10547" s="27">
        <v>661.86</v>
      </c>
      <c r="K10547" s="18">
        <f t="shared" si="329"/>
        <v>661.86</v>
      </c>
      <c r="L10547" s="27">
        <v>661.86</v>
      </c>
      <c r="M10547" s="36">
        <v>0</v>
      </c>
      <c r="T10547" s="41">
        <v>0</v>
      </c>
      <c r="U10547" s="41">
        <v>0</v>
      </c>
      <c r="V10547" s="42" t="s">
        <v>113</v>
      </c>
      <c r="W10547" s="42">
        <v>661.86</v>
      </c>
      <c r="X10547" s="42">
        <v>661.86</v>
      </c>
    </row>
    <row r="10548" spans="1:24">
      <c r="A10548" s="27" t="s">
        <v>19063</v>
      </c>
      <c r="B10548" s="28" t="s">
        <v>17556</v>
      </c>
      <c r="C10548" s="27" t="s">
        <v>19064</v>
      </c>
      <c r="D10548" s="27" t="s">
        <v>17558</v>
      </c>
      <c r="E10548" s="29">
        <v>35795</v>
      </c>
      <c r="F10548" s="27">
        <v>7</v>
      </c>
      <c r="G10548" s="18">
        <v>661.86</v>
      </c>
      <c r="H10548" s="27">
        <f t="shared" si="328"/>
        <v>661.86</v>
      </c>
      <c r="I10548" s="18">
        <v>661.86</v>
      </c>
      <c r="J10548" s="27">
        <v>661.86</v>
      </c>
      <c r="K10548" s="18">
        <f t="shared" si="329"/>
        <v>661.86</v>
      </c>
      <c r="L10548" s="27">
        <v>661.86</v>
      </c>
      <c r="M10548" s="36">
        <v>0</v>
      </c>
      <c r="T10548" s="41">
        <v>0</v>
      </c>
      <c r="U10548" s="41">
        <v>0</v>
      </c>
      <c r="V10548" s="42" t="s">
        <v>113</v>
      </c>
      <c r="W10548" s="42">
        <v>661.86</v>
      </c>
      <c r="X10548" s="42">
        <v>661.86</v>
      </c>
    </row>
    <row r="10549" spans="1:24">
      <c r="A10549" s="27" t="s">
        <v>19065</v>
      </c>
      <c r="B10549" s="28" t="s">
        <v>17556</v>
      </c>
      <c r="C10549" s="27" t="s">
        <v>19066</v>
      </c>
      <c r="D10549" s="27" t="s">
        <v>17558</v>
      </c>
      <c r="E10549" s="29">
        <v>35795</v>
      </c>
      <c r="F10549" s="27">
        <v>7</v>
      </c>
      <c r="G10549" s="18">
        <v>661.86</v>
      </c>
      <c r="H10549" s="27">
        <f t="shared" si="328"/>
        <v>661.86</v>
      </c>
      <c r="I10549" s="18">
        <v>661.86</v>
      </c>
      <c r="J10549" s="27">
        <v>661.86</v>
      </c>
      <c r="K10549" s="18">
        <f t="shared" si="329"/>
        <v>661.86</v>
      </c>
      <c r="L10549" s="27">
        <v>661.86</v>
      </c>
      <c r="M10549" s="36">
        <v>0</v>
      </c>
      <c r="T10549" s="41">
        <v>0</v>
      </c>
      <c r="U10549" s="41">
        <v>0</v>
      </c>
      <c r="V10549" s="42" t="s">
        <v>113</v>
      </c>
      <c r="W10549" s="42">
        <v>661.86</v>
      </c>
      <c r="X10549" s="42">
        <v>661.86</v>
      </c>
    </row>
    <row r="10550" spans="1:24">
      <c r="A10550" s="27" t="s">
        <v>19067</v>
      </c>
      <c r="B10550" s="28" t="s">
        <v>17556</v>
      </c>
      <c r="C10550" s="27" t="s">
        <v>19068</v>
      </c>
      <c r="D10550" s="27" t="s">
        <v>17558</v>
      </c>
      <c r="E10550" s="29">
        <v>35795</v>
      </c>
      <c r="F10550" s="27">
        <v>7</v>
      </c>
      <c r="G10550" s="18">
        <v>661.86</v>
      </c>
      <c r="H10550" s="27">
        <f t="shared" si="328"/>
        <v>661.86</v>
      </c>
      <c r="I10550" s="18">
        <v>661.86</v>
      </c>
      <c r="J10550" s="27">
        <v>661.86</v>
      </c>
      <c r="K10550" s="18">
        <f t="shared" si="329"/>
        <v>661.86</v>
      </c>
      <c r="L10550" s="27">
        <v>661.86</v>
      </c>
      <c r="M10550" s="36">
        <v>0</v>
      </c>
      <c r="T10550" s="41">
        <v>0</v>
      </c>
      <c r="U10550" s="41">
        <v>0</v>
      </c>
      <c r="V10550" s="42" t="s">
        <v>113</v>
      </c>
      <c r="W10550" s="42">
        <v>661.86</v>
      </c>
      <c r="X10550" s="42">
        <v>661.86</v>
      </c>
    </row>
    <row r="10551" spans="1:24">
      <c r="A10551" s="27" t="s">
        <v>19069</v>
      </c>
      <c r="B10551" s="28" t="s">
        <v>17556</v>
      </c>
      <c r="C10551" s="27" t="s">
        <v>19070</v>
      </c>
      <c r="D10551" s="27" t="s">
        <v>17558</v>
      </c>
      <c r="E10551" s="29">
        <v>35795</v>
      </c>
      <c r="F10551" s="27">
        <v>7</v>
      </c>
      <c r="G10551" s="18">
        <v>661.86</v>
      </c>
      <c r="H10551" s="27">
        <f t="shared" si="328"/>
        <v>661.86</v>
      </c>
      <c r="I10551" s="18">
        <v>661.86</v>
      </c>
      <c r="J10551" s="27">
        <v>661.86</v>
      </c>
      <c r="K10551" s="18">
        <f t="shared" si="329"/>
        <v>661.86</v>
      </c>
      <c r="L10551" s="27">
        <v>661.86</v>
      </c>
      <c r="M10551" s="36">
        <v>0</v>
      </c>
      <c r="T10551" s="41">
        <v>0</v>
      </c>
      <c r="U10551" s="41">
        <v>0</v>
      </c>
      <c r="V10551" s="42" t="s">
        <v>113</v>
      </c>
      <c r="W10551" s="42">
        <v>661.86</v>
      </c>
      <c r="X10551" s="42">
        <v>661.86</v>
      </c>
    </row>
    <row r="10552" spans="1:24">
      <c r="A10552" s="27" t="s">
        <v>19071</v>
      </c>
      <c r="B10552" s="28" t="s">
        <v>17556</v>
      </c>
      <c r="C10552" s="27" t="s">
        <v>19072</v>
      </c>
      <c r="D10552" s="27" t="s">
        <v>17558</v>
      </c>
      <c r="E10552" s="29">
        <v>35795</v>
      </c>
      <c r="F10552" s="27">
        <v>7</v>
      </c>
      <c r="G10552" s="18">
        <v>661.86</v>
      </c>
      <c r="H10552" s="27">
        <f t="shared" si="328"/>
        <v>661.86</v>
      </c>
      <c r="I10552" s="18">
        <v>661.86</v>
      </c>
      <c r="J10552" s="27">
        <v>661.86</v>
      </c>
      <c r="K10552" s="18">
        <f t="shared" si="329"/>
        <v>661.86</v>
      </c>
      <c r="L10552" s="27">
        <v>661.86</v>
      </c>
      <c r="M10552" s="36">
        <v>0</v>
      </c>
      <c r="T10552" s="41">
        <v>0</v>
      </c>
      <c r="U10552" s="41">
        <v>0</v>
      </c>
      <c r="V10552" s="42" t="s">
        <v>113</v>
      </c>
      <c r="W10552" s="42">
        <v>661.86</v>
      </c>
      <c r="X10552" s="42">
        <v>661.86</v>
      </c>
    </row>
    <row r="10553" spans="1:24">
      <c r="A10553" s="27" t="s">
        <v>19073</v>
      </c>
      <c r="B10553" s="28" t="s">
        <v>17556</v>
      </c>
      <c r="C10553" s="27" t="s">
        <v>19074</v>
      </c>
      <c r="D10553" s="27" t="s">
        <v>17558</v>
      </c>
      <c r="E10553" s="29">
        <v>35795</v>
      </c>
      <c r="F10553" s="27">
        <v>7</v>
      </c>
      <c r="G10553" s="18">
        <v>661.86</v>
      </c>
      <c r="H10553" s="27">
        <f t="shared" si="328"/>
        <v>661.86</v>
      </c>
      <c r="I10553" s="18">
        <v>661.86</v>
      </c>
      <c r="J10553" s="27">
        <v>661.86</v>
      </c>
      <c r="K10553" s="18">
        <f t="shared" si="329"/>
        <v>661.86</v>
      </c>
      <c r="L10553" s="27">
        <v>661.86</v>
      </c>
      <c r="M10553" s="36">
        <v>0</v>
      </c>
      <c r="T10553" s="41">
        <v>0</v>
      </c>
      <c r="U10553" s="41">
        <v>0</v>
      </c>
      <c r="V10553" s="42" t="s">
        <v>113</v>
      </c>
      <c r="W10553" s="42">
        <v>661.86</v>
      </c>
      <c r="X10553" s="42">
        <v>661.86</v>
      </c>
    </row>
    <row r="10554" spans="1:24">
      <c r="A10554" s="27" t="s">
        <v>19075</v>
      </c>
      <c r="B10554" s="28" t="s">
        <v>17556</v>
      </c>
      <c r="C10554" s="27" t="s">
        <v>19076</v>
      </c>
      <c r="D10554" s="27" t="s">
        <v>17558</v>
      </c>
      <c r="E10554" s="29">
        <v>35795</v>
      </c>
      <c r="F10554" s="27">
        <v>7</v>
      </c>
      <c r="G10554" s="18">
        <v>661.86</v>
      </c>
      <c r="H10554" s="27">
        <f t="shared" si="328"/>
        <v>661.86</v>
      </c>
      <c r="I10554" s="18">
        <v>661.86</v>
      </c>
      <c r="J10554" s="27">
        <v>661.86</v>
      </c>
      <c r="K10554" s="18">
        <f t="shared" si="329"/>
        <v>661.86</v>
      </c>
      <c r="L10554" s="27">
        <v>661.86</v>
      </c>
      <c r="M10554" s="36">
        <v>0</v>
      </c>
      <c r="T10554" s="41">
        <v>0</v>
      </c>
      <c r="U10554" s="41">
        <v>0</v>
      </c>
      <c r="V10554" s="42" t="s">
        <v>113</v>
      </c>
      <c r="W10554" s="42">
        <v>661.86</v>
      </c>
      <c r="X10554" s="42">
        <v>661.86</v>
      </c>
    </row>
    <row r="10555" spans="1:24">
      <c r="A10555" s="27" t="s">
        <v>19077</v>
      </c>
      <c r="B10555" s="28" t="s">
        <v>17556</v>
      </c>
      <c r="C10555" s="27" t="s">
        <v>19078</v>
      </c>
      <c r="D10555" s="27" t="s">
        <v>17558</v>
      </c>
      <c r="E10555" s="29">
        <v>35795</v>
      </c>
      <c r="F10555" s="27">
        <v>7</v>
      </c>
      <c r="G10555" s="18">
        <v>661.86</v>
      </c>
      <c r="H10555" s="27">
        <f t="shared" si="328"/>
        <v>661.86</v>
      </c>
      <c r="I10555" s="18">
        <v>661.86</v>
      </c>
      <c r="J10555" s="27">
        <v>661.86</v>
      </c>
      <c r="K10555" s="18">
        <f t="shared" si="329"/>
        <v>661.86</v>
      </c>
      <c r="L10555" s="27">
        <v>661.86</v>
      </c>
      <c r="M10555" s="36">
        <v>0</v>
      </c>
      <c r="T10555" s="41">
        <v>0</v>
      </c>
      <c r="U10555" s="41">
        <v>0</v>
      </c>
      <c r="V10555" s="42" t="s">
        <v>113</v>
      </c>
      <c r="W10555" s="42">
        <v>661.86</v>
      </c>
      <c r="X10555" s="42">
        <v>661.86</v>
      </c>
    </row>
    <row r="10556" spans="1:24">
      <c r="A10556" s="27" t="s">
        <v>19079</v>
      </c>
      <c r="B10556" s="28" t="s">
        <v>17556</v>
      </c>
      <c r="C10556" s="27" t="s">
        <v>19080</v>
      </c>
      <c r="D10556" s="27" t="s">
        <v>17558</v>
      </c>
      <c r="E10556" s="29">
        <v>35795</v>
      </c>
      <c r="F10556" s="27">
        <v>7</v>
      </c>
      <c r="G10556" s="18">
        <v>661.86</v>
      </c>
      <c r="H10556" s="27">
        <f t="shared" si="328"/>
        <v>661.86</v>
      </c>
      <c r="I10556" s="18">
        <v>661.86</v>
      </c>
      <c r="J10556" s="27">
        <v>661.86</v>
      </c>
      <c r="K10556" s="18">
        <f t="shared" si="329"/>
        <v>661.86</v>
      </c>
      <c r="L10556" s="27">
        <v>661.86</v>
      </c>
      <c r="M10556" s="36">
        <v>0</v>
      </c>
      <c r="T10556" s="41">
        <v>0</v>
      </c>
      <c r="U10556" s="41">
        <v>0</v>
      </c>
      <c r="V10556" s="42" t="s">
        <v>113</v>
      </c>
      <c r="W10556" s="42">
        <v>661.86</v>
      </c>
      <c r="X10556" s="42">
        <v>661.86</v>
      </c>
    </row>
    <row r="10557" spans="1:24">
      <c r="A10557" s="27" t="s">
        <v>19081</v>
      </c>
      <c r="B10557" s="28" t="s">
        <v>17556</v>
      </c>
      <c r="C10557" s="27" t="s">
        <v>19082</v>
      </c>
      <c r="D10557" s="27" t="s">
        <v>17558</v>
      </c>
      <c r="E10557" s="29">
        <v>35795</v>
      </c>
      <c r="F10557" s="27">
        <v>7</v>
      </c>
      <c r="G10557" s="18">
        <v>661.86</v>
      </c>
      <c r="H10557" s="27">
        <f t="shared" si="328"/>
        <v>661.86</v>
      </c>
      <c r="I10557" s="18">
        <v>661.86</v>
      </c>
      <c r="J10557" s="27">
        <v>661.86</v>
      </c>
      <c r="K10557" s="18">
        <f t="shared" si="329"/>
        <v>661.86</v>
      </c>
      <c r="L10557" s="27">
        <v>661.86</v>
      </c>
      <c r="M10557" s="36">
        <v>0</v>
      </c>
      <c r="T10557" s="41">
        <v>0</v>
      </c>
      <c r="U10557" s="41">
        <v>0</v>
      </c>
      <c r="V10557" s="42" t="s">
        <v>113</v>
      </c>
      <c r="W10557" s="42">
        <v>661.86</v>
      </c>
      <c r="X10557" s="42">
        <v>661.86</v>
      </c>
    </row>
    <row r="10558" spans="1:24">
      <c r="A10558" s="27" t="s">
        <v>19083</v>
      </c>
      <c r="B10558" s="28" t="s">
        <v>17556</v>
      </c>
      <c r="C10558" s="27" t="s">
        <v>19084</v>
      </c>
      <c r="D10558" s="27" t="s">
        <v>17558</v>
      </c>
      <c r="E10558" s="29">
        <v>35795</v>
      </c>
      <c r="F10558" s="27">
        <v>7</v>
      </c>
      <c r="G10558" s="18">
        <v>661.86</v>
      </c>
      <c r="H10558" s="27">
        <f t="shared" si="328"/>
        <v>661.86</v>
      </c>
      <c r="I10558" s="18">
        <v>661.86</v>
      </c>
      <c r="J10558" s="27">
        <v>661.86</v>
      </c>
      <c r="K10558" s="18">
        <f t="shared" si="329"/>
        <v>661.86</v>
      </c>
      <c r="L10558" s="27">
        <v>661.86</v>
      </c>
      <c r="M10558" s="36">
        <v>0</v>
      </c>
      <c r="T10558" s="41">
        <v>0</v>
      </c>
      <c r="U10558" s="41">
        <v>0</v>
      </c>
      <c r="V10558" s="42" t="s">
        <v>113</v>
      </c>
      <c r="W10558" s="42">
        <v>661.86</v>
      </c>
      <c r="X10558" s="42">
        <v>661.86</v>
      </c>
    </row>
    <row r="10559" spans="1:24">
      <c r="A10559" s="27" t="s">
        <v>19085</v>
      </c>
      <c r="B10559" s="28" t="s">
        <v>17556</v>
      </c>
      <c r="C10559" s="27" t="s">
        <v>19086</v>
      </c>
      <c r="D10559" s="27" t="s">
        <v>17558</v>
      </c>
      <c r="E10559" s="29">
        <v>35795</v>
      </c>
      <c r="F10559" s="27">
        <v>7</v>
      </c>
      <c r="G10559" s="18">
        <v>661.86</v>
      </c>
      <c r="H10559" s="27">
        <f t="shared" si="328"/>
        <v>661.86</v>
      </c>
      <c r="I10559" s="18">
        <v>661.86</v>
      </c>
      <c r="J10559" s="27">
        <v>661.86</v>
      </c>
      <c r="K10559" s="18">
        <f t="shared" si="329"/>
        <v>661.86</v>
      </c>
      <c r="L10559" s="27">
        <v>661.86</v>
      </c>
      <c r="M10559" s="36">
        <v>0</v>
      </c>
      <c r="T10559" s="41">
        <v>0</v>
      </c>
      <c r="U10559" s="41">
        <v>0</v>
      </c>
      <c r="V10559" s="42" t="s">
        <v>113</v>
      </c>
      <c r="W10559" s="42">
        <v>661.86</v>
      </c>
      <c r="X10559" s="42">
        <v>661.86</v>
      </c>
    </row>
    <row r="10560" spans="1:24">
      <c r="A10560" s="27" t="s">
        <v>19087</v>
      </c>
      <c r="B10560" s="28" t="s">
        <v>17556</v>
      </c>
      <c r="C10560" s="27" t="s">
        <v>19088</v>
      </c>
      <c r="D10560" s="27" t="s">
        <v>17558</v>
      </c>
      <c r="E10560" s="29">
        <v>35795</v>
      </c>
      <c r="F10560" s="27">
        <v>7</v>
      </c>
      <c r="G10560" s="18">
        <v>661.86</v>
      </c>
      <c r="H10560" s="27">
        <f t="shared" si="328"/>
        <v>661.86</v>
      </c>
      <c r="I10560" s="18">
        <v>661.86</v>
      </c>
      <c r="J10560" s="27">
        <v>661.86</v>
      </c>
      <c r="K10560" s="18">
        <f t="shared" si="329"/>
        <v>661.86</v>
      </c>
      <c r="L10560" s="27">
        <v>661.86</v>
      </c>
      <c r="M10560" s="36">
        <v>0</v>
      </c>
      <c r="T10560" s="41">
        <v>0</v>
      </c>
      <c r="U10560" s="41">
        <v>0</v>
      </c>
      <c r="V10560" s="42" t="s">
        <v>113</v>
      </c>
      <c r="W10560" s="42">
        <v>661.86</v>
      </c>
      <c r="X10560" s="42">
        <v>661.86</v>
      </c>
    </row>
    <row r="10561" spans="1:24">
      <c r="A10561" s="27" t="s">
        <v>19089</v>
      </c>
      <c r="B10561" s="28" t="s">
        <v>17556</v>
      </c>
      <c r="C10561" s="27" t="s">
        <v>19090</v>
      </c>
      <c r="D10561" s="27" t="s">
        <v>17558</v>
      </c>
      <c r="E10561" s="29">
        <v>35795</v>
      </c>
      <c r="F10561" s="27">
        <v>7</v>
      </c>
      <c r="G10561" s="18">
        <v>661.86</v>
      </c>
      <c r="H10561" s="27">
        <f t="shared" si="328"/>
        <v>661.86</v>
      </c>
      <c r="I10561" s="18">
        <v>661.86</v>
      </c>
      <c r="J10561" s="27">
        <v>661.86</v>
      </c>
      <c r="K10561" s="18">
        <f t="shared" si="329"/>
        <v>661.86</v>
      </c>
      <c r="L10561" s="27">
        <v>661.86</v>
      </c>
      <c r="M10561" s="36">
        <v>0</v>
      </c>
      <c r="T10561" s="41">
        <v>0</v>
      </c>
      <c r="U10561" s="41">
        <v>0</v>
      </c>
      <c r="V10561" s="42" t="s">
        <v>113</v>
      </c>
      <c r="W10561" s="42">
        <v>661.86</v>
      </c>
      <c r="X10561" s="42">
        <v>661.86</v>
      </c>
    </row>
    <row r="10562" spans="1:24">
      <c r="A10562" s="27" t="s">
        <v>19091</v>
      </c>
      <c r="B10562" s="28" t="s">
        <v>17556</v>
      </c>
      <c r="C10562" s="27" t="s">
        <v>19092</v>
      </c>
      <c r="D10562" s="27" t="s">
        <v>17558</v>
      </c>
      <c r="E10562" s="29">
        <v>35795</v>
      </c>
      <c r="F10562" s="27">
        <v>7</v>
      </c>
      <c r="G10562" s="18">
        <v>661.86</v>
      </c>
      <c r="H10562" s="27">
        <f t="shared" si="328"/>
        <v>661.86</v>
      </c>
      <c r="I10562" s="18">
        <v>661.86</v>
      </c>
      <c r="J10562" s="27">
        <v>661.86</v>
      </c>
      <c r="K10562" s="18">
        <f t="shared" si="329"/>
        <v>661.86</v>
      </c>
      <c r="L10562" s="27">
        <v>661.86</v>
      </c>
      <c r="M10562" s="36">
        <v>0</v>
      </c>
      <c r="T10562" s="41">
        <v>0</v>
      </c>
      <c r="U10562" s="41">
        <v>0</v>
      </c>
      <c r="V10562" s="42" t="s">
        <v>113</v>
      </c>
      <c r="W10562" s="42">
        <v>661.86</v>
      </c>
      <c r="X10562" s="42">
        <v>661.86</v>
      </c>
    </row>
    <row r="10563" spans="1:24">
      <c r="A10563" s="27" t="s">
        <v>19093</v>
      </c>
      <c r="B10563" s="28" t="s">
        <v>17556</v>
      </c>
      <c r="C10563" s="27" t="s">
        <v>19094</v>
      </c>
      <c r="D10563" s="27" t="s">
        <v>17558</v>
      </c>
      <c r="E10563" s="29">
        <v>35795</v>
      </c>
      <c r="F10563" s="27">
        <v>7</v>
      </c>
      <c r="G10563" s="18">
        <v>661.86</v>
      </c>
      <c r="H10563" s="27">
        <f t="shared" si="328"/>
        <v>661.86</v>
      </c>
      <c r="I10563" s="18">
        <v>661.86</v>
      </c>
      <c r="J10563" s="27">
        <v>661.86</v>
      </c>
      <c r="K10563" s="18">
        <f t="shared" si="329"/>
        <v>661.86</v>
      </c>
      <c r="L10563" s="27">
        <v>661.86</v>
      </c>
      <c r="M10563" s="36">
        <v>0</v>
      </c>
      <c r="T10563" s="41">
        <v>0</v>
      </c>
      <c r="U10563" s="41">
        <v>0</v>
      </c>
      <c r="V10563" s="42" t="s">
        <v>113</v>
      </c>
      <c r="W10563" s="42">
        <v>661.86</v>
      </c>
      <c r="X10563" s="42">
        <v>661.86</v>
      </c>
    </row>
    <row r="10564" spans="1:24">
      <c r="A10564" s="27" t="s">
        <v>19095</v>
      </c>
      <c r="B10564" s="28" t="s">
        <v>17556</v>
      </c>
      <c r="C10564" s="27" t="s">
        <v>19096</v>
      </c>
      <c r="D10564" s="27" t="s">
        <v>17558</v>
      </c>
      <c r="E10564" s="29">
        <v>35795</v>
      </c>
      <c r="F10564" s="27">
        <v>7</v>
      </c>
      <c r="G10564" s="18">
        <v>661.86</v>
      </c>
      <c r="H10564" s="27">
        <f t="shared" si="328"/>
        <v>661.86</v>
      </c>
      <c r="I10564" s="18">
        <v>661.86</v>
      </c>
      <c r="J10564" s="27">
        <v>661.86</v>
      </c>
      <c r="K10564" s="18">
        <f t="shared" si="329"/>
        <v>661.86</v>
      </c>
      <c r="L10564" s="27">
        <v>661.86</v>
      </c>
      <c r="M10564" s="36">
        <v>0</v>
      </c>
      <c r="T10564" s="41">
        <v>0</v>
      </c>
      <c r="U10564" s="41">
        <v>0</v>
      </c>
      <c r="V10564" s="42" t="s">
        <v>113</v>
      </c>
      <c r="W10564" s="42">
        <v>661.86</v>
      </c>
      <c r="X10564" s="42">
        <v>661.86</v>
      </c>
    </row>
    <row r="10565" spans="1:24">
      <c r="A10565" s="27" t="s">
        <v>19097</v>
      </c>
      <c r="B10565" s="28" t="s">
        <v>17556</v>
      </c>
      <c r="C10565" s="27" t="s">
        <v>19098</v>
      </c>
      <c r="D10565" s="27" t="s">
        <v>17558</v>
      </c>
      <c r="E10565" s="29">
        <v>35795</v>
      </c>
      <c r="F10565" s="27">
        <v>7</v>
      </c>
      <c r="G10565" s="18">
        <v>661.86</v>
      </c>
      <c r="H10565" s="27">
        <f t="shared" si="328"/>
        <v>661.86</v>
      </c>
      <c r="I10565" s="18">
        <v>661.86</v>
      </c>
      <c r="J10565" s="27">
        <v>661.86</v>
      </c>
      <c r="K10565" s="18">
        <f t="shared" si="329"/>
        <v>661.86</v>
      </c>
      <c r="L10565" s="27">
        <v>661.86</v>
      </c>
      <c r="M10565" s="36">
        <v>0</v>
      </c>
      <c r="T10565" s="41">
        <v>0</v>
      </c>
      <c r="U10565" s="41">
        <v>0</v>
      </c>
      <c r="V10565" s="42" t="s">
        <v>113</v>
      </c>
      <c r="W10565" s="42">
        <v>661.86</v>
      </c>
      <c r="X10565" s="42">
        <v>661.86</v>
      </c>
    </row>
    <row r="10566" spans="1:24">
      <c r="A10566" s="27" t="s">
        <v>19099</v>
      </c>
      <c r="B10566" s="28" t="s">
        <v>17556</v>
      </c>
      <c r="C10566" s="27" t="s">
        <v>19100</v>
      </c>
      <c r="D10566" s="27" t="s">
        <v>17558</v>
      </c>
      <c r="E10566" s="29">
        <v>35795</v>
      </c>
      <c r="F10566" s="27">
        <v>7</v>
      </c>
      <c r="G10566" s="18">
        <v>661.86</v>
      </c>
      <c r="H10566" s="27">
        <f t="shared" ref="H10566:H10629" si="330">IFERROR(IF(ROUND((G10566-I10566)/G10566,2)&lt;=0.05,G10566,0),0)</f>
        <v>661.86</v>
      </c>
      <c r="I10566" s="18">
        <v>661.86</v>
      </c>
      <c r="J10566" s="27">
        <v>661.86</v>
      </c>
      <c r="K10566" s="18">
        <f t="shared" ref="K10566:K10629" si="331">IFERROR(IF(ROUND((J10566-L10566)/J10566,2)&lt;=0.05,J10566,0),0)</f>
        <v>661.86</v>
      </c>
      <c r="L10566" s="27">
        <v>661.86</v>
      </c>
      <c r="M10566" s="36">
        <v>0</v>
      </c>
      <c r="T10566" s="41">
        <v>0</v>
      </c>
      <c r="U10566" s="41">
        <v>0</v>
      </c>
      <c r="V10566" s="42" t="s">
        <v>113</v>
      </c>
      <c r="W10566" s="42">
        <v>661.86</v>
      </c>
      <c r="X10566" s="42">
        <v>661.86</v>
      </c>
    </row>
    <row r="10567" spans="1:24">
      <c r="A10567" s="27" t="s">
        <v>19101</v>
      </c>
      <c r="B10567" s="28" t="s">
        <v>17556</v>
      </c>
      <c r="C10567" s="27" t="s">
        <v>19102</v>
      </c>
      <c r="D10567" s="27" t="s">
        <v>17558</v>
      </c>
      <c r="E10567" s="29">
        <v>35795</v>
      </c>
      <c r="F10567" s="27">
        <v>7</v>
      </c>
      <c r="G10567" s="18">
        <v>661.86</v>
      </c>
      <c r="H10567" s="27">
        <f t="shared" si="330"/>
        <v>661.86</v>
      </c>
      <c r="I10567" s="18">
        <v>661.86</v>
      </c>
      <c r="J10567" s="27">
        <v>661.86</v>
      </c>
      <c r="K10567" s="18">
        <f t="shared" si="331"/>
        <v>661.86</v>
      </c>
      <c r="L10567" s="27">
        <v>661.86</v>
      </c>
      <c r="M10567" s="36">
        <v>0</v>
      </c>
      <c r="T10567" s="41">
        <v>0</v>
      </c>
      <c r="U10567" s="41">
        <v>0</v>
      </c>
      <c r="V10567" s="42" t="s">
        <v>113</v>
      </c>
      <c r="W10567" s="42">
        <v>661.86</v>
      </c>
      <c r="X10567" s="42">
        <v>661.86</v>
      </c>
    </row>
    <row r="10568" spans="1:24">
      <c r="A10568" s="27" t="s">
        <v>19103</v>
      </c>
      <c r="B10568" s="28" t="s">
        <v>17556</v>
      </c>
      <c r="C10568" s="27" t="s">
        <v>19104</v>
      </c>
      <c r="D10568" s="27" t="s">
        <v>17558</v>
      </c>
      <c r="E10568" s="29">
        <v>35795</v>
      </c>
      <c r="F10568" s="27">
        <v>7</v>
      </c>
      <c r="G10568" s="18">
        <v>661.86</v>
      </c>
      <c r="H10568" s="27">
        <f t="shared" si="330"/>
        <v>661.86</v>
      </c>
      <c r="I10568" s="18">
        <v>661.86</v>
      </c>
      <c r="J10568" s="27">
        <v>661.86</v>
      </c>
      <c r="K10568" s="18">
        <f t="shared" si="331"/>
        <v>661.86</v>
      </c>
      <c r="L10568" s="27">
        <v>661.86</v>
      </c>
      <c r="M10568" s="36">
        <v>0</v>
      </c>
      <c r="T10568" s="41">
        <v>0</v>
      </c>
      <c r="U10568" s="41">
        <v>0</v>
      </c>
      <c r="V10568" s="42" t="s">
        <v>113</v>
      </c>
      <c r="W10568" s="42">
        <v>661.86</v>
      </c>
      <c r="X10568" s="42">
        <v>661.86</v>
      </c>
    </row>
    <row r="10569" spans="1:24">
      <c r="A10569" s="27" t="s">
        <v>19105</v>
      </c>
      <c r="B10569" s="28" t="s">
        <v>17556</v>
      </c>
      <c r="C10569" s="27" t="s">
        <v>19106</v>
      </c>
      <c r="D10569" s="27" t="s">
        <v>17558</v>
      </c>
      <c r="E10569" s="29">
        <v>35795</v>
      </c>
      <c r="F10569" s="27">
        <v>7</v>
      </c>
      <c r="G10569" s="18">
        <v>661.86</v>
      </c>
      <c r="H10569" s="27">
        <f t="shared" si="330"/>
        <v>661.86</v>
      </c>
      <c r="I10569" s="18">
        <v>661.86</v>
      </c>
      <c r="J10569" s="27">
        <v>661.86</v>
      </c>
      <c r="K10569" s="18">
        <f t="shared" si="331"/>
        <v>661.86</v>
      </c>
      <c r="L10569" s="27">
        <v>661.86</v>
      </c>
      <c r="M10569" s="36">
        <v>0</v>
      </c>
      <c r="T10569" s="41">
        <v>0</v>
      </c>
      <c r="U10569" s="41">
        <v>0</v>
      </c>
      <c r="V10569" s="42" t="s">
        <v>113</v>
      </c>
      <c r="W10569" s="42">
        <v>661.86</v>
      </c>
      <c r="X10569" s="42">
        <v>661.86</v>
      </c>
    </row>
    <row r="10570" spans="1:24">
      <c r="A10570" s="27" t="s">
        <v>19107</v>
      </c>
      <c r="B10570" s="28" t="s">
        <v>17556</v>
      </c>
      <c r="C10570" s="27" t="s">
        <v>19108</v>
      </c>
      <c r="D10570" s="27" t="s">
        <v>17558</v>
      </c>
      <c r="E10570" s="29">
        <v>35795</v>
      </c>
      <c r="F10570" s="27">
        <v>7</v>
      </c>
      <c r="G10570" s="18">
        <v>661.86</v>
      </c>
      <c r="H10570" s="27">
        <f t="shared" si="330"/>
        <v>661.86</v>
      </c>
      <c r="I10570" s="18">
        <v>661.86</v>
      </c>
      <c r="J10570" s="27">
        <v>661.86</v>
      </c>
      <c r="K10570" s="18">
        <f t="shared" si="331"/>
        <v>661.86</v>
      </c>
      <c r="L10570" s="27">
        <v>661.86</v>
      </c>
      <c r="M10570" s="36">
        <v>0</v>
      </c>
      <c r="T10570" s="41">
        <v>0</v>
      </c>
      <c r="U10570" s="41">
        <v>0</v>
      </c>
      <c r="V10570" s="42" t="s">
        <v>113</v>
      </c>
      <c r="W10570" s="42">
        <v>661.86</v>
      </c>
      <c r="X10570" s="42">
        <v>661.86</v>
      </c>
    </row>
    <row r="10571" spans="1:24">
      <c r="A10571" s="27" t="s">
        <v>19109</v>
      </c>
      <c r="B10571" s="28" t="s">
        <v>17556</v>
      </c>
      <c r="C10571" s="27" t="s">
        <v>19110</v>
      </c>
      <c r="D10571" s="27" t="s">
        <v>17558</v>
      </c>
      <c r="E10571" s="29">
        <v>35795</v>
      </c>
      <c r="F10571" s="27">
        <v>7</v>
      </c>
      <c r="G10571" s="18">
        <v>661.86</v>
      </c>
      <c r="H10571" s="27">
        <f t="shared" si="330"/>
        <v>661.86</v>
      </c>
      <c r="I10571" s="18">
        <v>661.86</v>
      </c>
      <c r="J10571" s="27">
        <v>661.86</v>
      </c>
      <c r="K10571" s="18">
        <f t="shared" si="331"/>
        <v>661.86</v>
      </c>
      <c r="L10571" s="27">
        <v>661.86</v>
      </c>
      <c r="M10571" s="36">
        <v>0</v>
      </c>
      <c r="T10571" s="41">
        <v>0</v>
      </c>
      <c r="U10571" s="41">
        <v>0</v>
      </c>
      <c r="V10571" s="42" t="s">
        <v>113</v>
      </c>
      <c r="W10571" s="42">
        <v>661.86</v>
      </c>
      <c r="X10571" s="42">
        <v>661.86</v>
      </c>
    </row>
    <row r="10572" spans="1:24">
      <c r="A10572" s="27" t="s">
        <v>19111</v>
      </c>
      <c r="B10572" s="28" t="s">
        <v>17556</v>
      </c>
      <c r="C10572" s="27" t="s">
        <v>19112</v>
      </c>
      <c r="D10572" s="27" t="s">
        <v>17558</v>
      </c>
      <c r="E10572" s="29">
        <v>35795</v>
      </c>
      <c r="F10572" s="27">
        <v>7</v>
      </c>
      <c r="G10572" s="18">
        <v>661.86</v>
      </c>
      <c r="H10572" s="27">
        <f t="shared" si="330"/>
        <v>661.86</v>
      </c>
      <c r="I10572" s="18">
        <v>661.86</v>
      </c>
      <c r="J10572" s="27">
        <v>661.86</v>
      </c>
      <c r="K10572" s="18">
        <f t="shared" si="331"/>
        <v>661.86</v>
      </c>
      <c r="L10572" s="27">
        <v>661.86</v>
      </c>
      <c r="M10572" s="36">
        <v>0</v>
      </c>
      <c r="T10572" s="41">
        <v>0</v>
      </c>
      <c r="U10572" s="41">
        <v>0</v>
      </c>
      <c r="V10572" s="42" t="s">
        <v>113</v>
      </c>
      <c r="W10572" s="42">
        <v>661.86</v>
      </c>
      <c r="X10572" s="42">
        <v>661.86</v>
      </c>
    </row>
    <row r="10573" spans="1:24">
      <c r="A10573" s="27" t="s">
        <v>19113</v>
      </c>
      <c r="B10573" s="28" t="s">
        <v>17556</v>
      </c>
      <c r="C10573" s="27" t="s">
        <v>19114</v>
      </c>
      <c r="D10573" s="27" t="s">
        <v>17558</v>
      </c>
      <c r="E10573" s="29">
        <v>35795</v>
      </c>
      <c r="F10573" s="27">
        <v>7</v>
      </c>
      <c r="G10573" s="18">
        <v>661.86</v>
      </c>
      <c r="H10573" s="27">
        <f t="shared" si="330"/>
        <v>661.86</v>
      </c>
      <c r="I10573" s="18">
        <v>661.86</v>
      </c>
      <c r="J10573" s="27">
        <v>661.86</v>
      </c>
      <c r="K10573" s="18">
        <f t="shared" si="331"/>
        <v>661.86</v>
      </c>
      <c r="L10573" s="27">
        <v>661.86</v>
      </c>
      <c r="M10573" s="36">
        <v>0</v>
      </c>
      <c r="T10573" s="41">
        <v>0</v>
      </c>
      <c r="U10573" s="41">
        <v>0</v>
      </c>
      <c r="V10573" s="42" t="s">
        <v>113</v>
      </c>
      <c r="W10573" s="42">
        <v>661.86</v>
      </c>
      <c r="X10573" s="42">
        <v>661.86</v>
      </c>
    </row>
    <row r="10574" spans="1:24">
      <c r="A10574" s="27" t="s">
        <v>19115</v>
      </c>
      <c r="B10574" s="28" t="s">
        <v>17556</v>
      </c>
      <c r="C10574" s="27" t="s">
        <v>19116</v>
      </c>
      <c r="D10574" s="27" t="s">
        <v>17558</v>
      </c>
      <c r="E10574" s="29">
        <v>35795</v>
      </c>
      <c r="F10574" s="27">
        <v>7</v>
      </c>
      <c r="G10574" s="18">
        <v>661.86</v>
      </c>
      <c r="H10574" s="27">
        <f t="shared" si="330"/>
        <v>661.86</v>
      </c>
      <c r="I10574" s="18">
        <v>661.86</v>
      </c>
      <c r="J10574" s="27">
        <v>661.86</v>
      </c>
      <c r="K10574" s="18">
        <f t="shared" si="331"/>
        <v>661.86</v>
      </c>
      <c r="L10574" s="27">
        <v>661.86</v>
      </c>
      <c r="M10574" s="36">
        <v>0</v>
      </c>
      <c r="T10574" s="41">
        <v>0</v>
      </c>
      <c r="U10574" s="41">
        <v>0</v>
      </c>
      <c r="V10574" s="42" t="s">
        <v>113</v>
      </c>
      <c r="W10574" s="42">
        <v>661.86</v>
      </c>
      <c r="X10574" s="42">
        <v>661.86</v>
      </c>
    </row>
    <row r="10575" spans="1:24">
      <c r="A10575" s="27" t="s">
        <v>19117</v>
      </c>
      <c r="B10575" s="28" t="s">
        <v>17556</v>
      </c>
      <c r="C10575" s="27" t="s">
        <v>19118</v>
      </c>
      <c r="D10575" s="27" t="s">
        <v>17558</v>
      </c>
      <c r="E10575" s="29">
        <v>35795</v>
      </c>
      <c r="F10575" s="27">
        <v>7</v>
      </c>
      <c r="G10575" s="18">
        <v>661.86</v>
      </c>
      <c r="H10575" s="27">
        <f t="shared" si="330"/>
        <v>661.86</v>
      </c>
      <c r="I10575" s="18">
        <v>661.86</v>
      </c>
      <c r="J10575" s="27">
        <v>661.86</v>
      </c>
      <c r="K10575" s="18">
        <f t="shared" si="331"/>
        <v>661.86</v>
      </c>
      <c r="L10575" s="27">
        <v>661.86</v>
      </c>
      <c r="M10575" s="36">
        <v>0</v>
      </c>
      <c r="T10575" s="41">
        <v>0</v>
      </c>
      <c r="U10575" s="41">
        <v>0</v>
      </c>
      <c r="V10575" s="42" t="s">
        <v>113</v>
      </c>
      <c r="W10575" s="42">
        <v>661.86</v>
      </c>
      <c r="X10575" s="42">
        <v>661.86</v>
      </c>
    </row>
    <row r="10576" spans="1:24">
      <c r="A10576" s="27" t="s">
        <v>19119</v>
      </c>
      <c r="B10576" s="28" t="s">
        <v>17556</v>
      </c>
      <c r="C10576" s="27" t="s">
        <v>19120</v>
      </c>
      <c r="D10576" s="27" t="s">
        <v>17558</v>
      </c>
      <c r="E10576" s="29">
        <v>35795</v>
      </c>
      <c r="F10576" s="27">
        <v>7</v>
      </c>
      <c r="G10576" s="18">
        <v>661.86</v>
      </c>
      <c r="H10576" s="27">
        <f t="shared" si="330"/>
        <v>661.86</v>
      </c>
      <c r="I10576" s="18">
        <v>661.86</v>
      </c>
      <c r="J10576" s="27">
        <v>661.86</v>
      </c>
      <c r="K10576" s="18">
        <f t="shared" si="331"/>
        <v>661.86</v>
      </c>
      <c r="L10576" s="27">
        <v>661.86</v>
      </c>
      <c r="M10576" s="36">
        <v>0</v>
      </c>
      <c r="T10576" s="41">
        <v>0</v>
      </c>
      <c r="U10576" s="41">
        <v>0</v>
      </c>
      <c r="V10576" s="42" t="s">
        <v>113</v>
      </c>
      <c r="W10576" s="42">
        <v>661.86</v>
      </c>
      <c r="X10576" s="42">
        <v>661.86</v>
      </c>
    </row>
    <row r="10577" spans="1:24">
      <c r="A10577" s="27" t="s">
        <v>19121</v>
      </c>
      <c r="B10577" s="28" t="s">
        <v>17556</v>
      </c>
      <c r="C10577" s="27" t="s">
        <v>19122</v>
      </c>
      <c r="D10577" s="27" t="s">
        <v>17558</v>
      </c>
      <c r="E10577" s="29">
        <v>35795</v>
      </c>
      <c r="F10577" s="27">
        <v>7</v>
      </c>
      <c r="G10577" s="18">
        <v>661.86</v>
      </c>
      <c r="H10577" s="27">
        <f t="shared" si="330"/>
        <v>661.86</v>
      </c>
      <c r="I10577" s="18">
        <v>661.86</v>
      </c>
      <c r="J10577" s="27">
        <v>661.86</v>
      </c>
      <c r="K10577" s="18">
        <f t="shared" si="331"/>
        <v>661.86</v>
      </c>
      <c r="L10577" s="27">
        <v>661.86</v>
      </c>
      <c r="M10577" s="36">
        <v>0</v>
      </c>
      <c r="T10577" s="41">
        <v>0</v>
      </c>
      <c r="U10577" s="41">
        <v>0</v>
      </c>
      <c r="V10577" s="42" t="s">
        <v>113</v>
      </c>
      <c r="W10577" s="42">
        <v>661.86</v>
      </c>
      <c r="X10577" s="42">
        <v>661.86</v>
      </c>
    </row>
    <row r="10578" spans="1:24">
      <c r="A10578" s="27" t="s">
        <v>19123</v>
      </c>
      <c r="B10578" s="28" t="s">
        <v>17556</v>
      </c>
      <c r="C10578" s="27" t="s">
        <v>19124</v>
      </c>
      <c r="D10578" s="27" t="s">
        <v>17558</v>
      </c>
      <c r="E10578" s="29">
        <v>35795</v>
      </c>
      <c r="F10578" s="27">
        <v>7</v>
      </c>
      <c r="G10578" s="18">
        <v>661.86</v>
      </c>
      <c r="H10578" s="27">
        <f t="shared" si="330"/>
        <v>661.86</v>
      </c>
      <c r="I10578" s="18">
        <v>661.86</v>
      </c>
      <c r="J10578" s="27">
        <v>661.86</v>
      </c>
      <c r="K10578" s="18">
        <f t="shared" si="331"/>
        <v>661.86</v>
      </c>
      <c r="L10578" s="27">
        <v>661.86</v>
      </c>
      <c r="M10578" s="36">
        <v>0</v>
      </c>
      <c r="T10578" s="41">
        <v>0</v>
      </c>
      <c r="U10578" s="41">
        <v>0</v>
      </c>
      <c r="V10578" s="42" t="s">
        <v>113</v>
      </c>
      <c r="W10578" s="42">
        <v>661.86</v>
      </c>
      <c r="X10578" s="42">
        <v>661.86</v>
      </c>
    </row>
    <row r="10579" spans="1:24">
      <c r="A10579" s="27" t="s">
        <v>19125</v>
      </c>
      <c r="B10579" s="28" t="s">
        <v>17556</v>
      </c>
      <c r="C10579" s="27" t="s">
        <v>19126</v>
      </c>
      <c r="D10579" s="27" t="s">
        <v>17558</v>
      </c>
      <c r="E10579" s="29">
        <v>35795</v>
      </c>
      <c r="F10579" s="27">
        <v>7</v>
      </c>
      <c r="G10579" s="18">
        <v>661.86</v>
      </c>
      <c r="H10579" s="27">
        <f t="shared" si="330"/>
        <v>661.86</v>
      </c>
      <c r="I10579" s="18">
        <v>661.86</v>
      </c>
      <c r="J10579" s="27">
        <v>661.86</v>
      </c>
      <c r="K10579" s="18">
        <f t="shared" si="331"/>
        <v>661.86</v>
      </c>
      <c r="L10579" s="27">
        <v>661.86</v>
      </c>
      <c r="M10579" s="36">
        <v>0</v>
      </c>
      <c r="T10579" s="41">
        <v>0</v>
      </c>
      <c r="U10579" s="41">
        <v>0</v>
      </c>
      <c r="V10579" s="42" t="s">
        <v>113</v>
      </c>
      <c r="W10579" s="42">
        <v>661.86</v>
      </c>
      <c r="X10579" s="42">
        <v>661.86</v>
      </c>
    </row>
    <row r="10580" spans="1:24">
      <c r="A10580" s="27" t="s">
        <v>19127</v>
      </c>
      <c r="B10580" s="28" t="s">
        <v>17556</v>
      </c>
      <c r="C10580" s="27" t="s">
        <v>19128</v>
      </c>
      <c r="D10580" s="27" t="s">
        <v>17558</v>
      </c>
      <c r="E10580" s="29">
        <v>35795</v>
      </c>
      <c r="F10580" s="27">
        <v>7</v>
      </c>
      <c r="G10580" s="18">
        <v>661.86</v>
      </c>
      <c r="H10580" s="27">
        <f t="shared" si="330"/>
        <v>661.86</v>
      </c>
      <c r="I10580" s="18">
        <v>661.86</v>
      </c>
      <c r="J10580" s="27">
        <v>661.86</v>
      </c>
      <c r="K10580" s="18">
        <f t="shared" si="331"/>
        <v>661.86</v>
      </c>
      <c r="L10580" s="27">
        <v>661.86</v>
      </c>
      <c r="M10580" s="36">
        <v>0</v>
      </c>
      <c r="T10580" s="41">
        <v>0</v>
      </c>
      <c r="U10580" s="41">
        <v>0</v>
      </c>
      <c r="V10580" s="42" t="s">
        <v>113</v>
      </c>
      <c r="W10580" s="42">
        <v>661.86</v>
      </c>
      <c r="X10580" s="42">
        <v>661.86</v>
      </c>
    </row>
    <row r="10581" spans="1:24">
      <c r="A10581" s="27" t="s">
        <v>19129</v>
      </c>
      <c r="B10581" s="28" t="s">
        <v>17556</v>
      </c>
      <c r="C10581" s="27" t="s">
        <v>19130</v>
      </c>
      <c r="D10581" s="27" t="s">
        <v>17558</v>
      </c>
      <c r="E10581" s="29">
        <v>35795</v>
      </c>
      <c r="F10581" s="27">
        <v>7</v>
      </c>
      <c r="G10581" s="18">
        <v>661.86</v>
      </c>
      <c r="H10581" s="27">
        <f t="shared" si="330"/>
        <v>661.86</v>
      </c>
      <c r="I10581" s="18">
        <v>661.86</v>
      </c>
      <c r="J10581" s="27">
        <v>661.86</v>
      </c>
      <c r="K10581" s="18">
        <f t="shared" si="331"/>
        <v>661.86</v>
      </c>
      <c r="L10581" s="27">
        <v>661.86</v>
      </c>
      <c r="M10581" s="36">
        <v>0</v>
      </c>
      <c r="T10581" s="41">
        <v>0</v>
      </c>
      <c r="U10581" s="41">
        <v>0</v>
      </c>
      <c r="V10581" s="42" t="s">
        <v>113</v>
      </c>
      <c r="W10581" s="42">
        <v>661.86</v>
      </c>
      <c r="X10581" s="42">
        <v>661.86</v>
      </c>
    </row>
    <row r="10582" spans="1:24">
      <c r="A10582" s="27" t="s">
        <v>19131</v>
      </c>
      <c r="B10582" s="28" t="s">
        <v>17556</v>
      </c>
      <c r="C10582" s="27" t="s">
        <v>19132</v>
      </c>
      <c r="D10582" s="27" t="s">
        <v>17558</v>
      </c>
      <c r="E10582" s="29">
        <v>35795</v>
      </c>
      <c r="F10582" s="27">
        <v>7</v>
      </c>
      <c r="G10582" s="18">
        <v>661.86</v>
      </c>
      <c r="H10582" s="27">
        <f t="shared" si="330"/>
        <v>661.86</v>
      </c>
      <c r="I10582" s="18">
        <v>661.86</v>
      </c>
      <c r="J10582" s="27">
        <v>661.86</v>
      </c>
      <c r="K10582" s="18">
        <f t="shared" si="331"/>
        <v>661.86</v>
      </c>
      <c r="L10582" s="27">
        <v>661.86</v>
      </c>
      <c r="M10582" s="36">
        <v>0</v>
      </c>
      <c r="T10582" s="41">
        <v>0</v>
      </c>
      <c r="U10582" s="41">
        <v>0</v>
      </c>
      <c r="V10582" s="42" t="s">
        <v>113</v>
      </c>
      <c r="W10582" s="42">
        <v>661.86</v>
      </c>
      <c r="X10582" s="42">
        <v>661.86</v>
      </c>
    </row>
    <row r="10583" spans="1:24">
      <c r="A10583" s="27" t="s">
        <v>19133</v>
      </c>
      <c r="B10583" s="28" t="s">
        <v>17556</v>
      </c>
      <c r="C10583" s="27" t="s">
        <v>19134</v>
      </c>
      <c r="D10583" s="27" t="s">
        <v>17558</v>
      </c>
      <c r="E10583" s="29">
        <v>35795</v>
      </c>
      <c r="F10583" s="27">
        <v>7</v>
      </c>
      <c r="G10583" s="18">
        <v>661.86</v>
      </c>
      <c r="H10583" s="27">
        <f t="shared" si="330"/>
        <v>661.86</v>
      </c>
      <c r="I10583" s="18">
        <v>661.86</v>
      </c>
      <c r="J10583" s="27">
        <v>661.86</v>
      </c>
      <c r="K10583" s="18">
        <f t="shared" si="331"/>
        <v>661.86</v>
      </c>
      <c r="L10583" s="27">
        <v>661.86</v>
      </c>
      <c r="M10583" s="36">
        <v>0</v>
      </c>
      <c r="T10583" s="41">
        <v>0</v>
      </c>
      <c r="U10583" s="41">
        <v>0</v>
      </c>
      <c r="V10583" s="42" t="s">
        <v>113</v>
      </c>
      <c r="W10583" s="42">
        <v>661.86</v>
      </c>
      <c r="X10583" s="42">
        <v>661.86</v>
      </c>
    </row>
    <row r="10584" spans="1:24">
      <c r="A10584" s="27" t="s">
        <v>19135</v>
      </c>
      <c r="B10584" s="28" t="s">
        <v>17556</v>
      </c>
      <c r="C10584" s="27" t="s">
        <v>19136</v>
      </c>
      <c r="D10584" s="27" t="s">
        <v>17558</v>
      </c>
      <c r="E10584" s="29">
        <v>35795</v>
      </c>
      <c r="F10584" s="27">
        <v>7</v>
      </c>
      <c r="G10584" s="18">
        <v>661.86</v>
      </c>
      <c r="H10584" s="27">
        <f t="shared" si="330"/>
        <v>661.86</v>
      </c>
      <c r="I10584" s="18">
        <v>661.86</v>
      </c>
      <c r="J10584" s="27">
        <v>661.86</v>
      </c>
      <c r="K10584" s="18">
        <f t="shared" si="331"/>
        <v>661.86</v>
      </c>
      <c r="L10584" s="27">
        <v>661.86</v>
      </c>
      <c r="M10584" s="36">
        <v>0</v>
      </c>
      <c r="T10584" s="41">
        <v>0</v>
      </c>
      <c r="U10584" s="41">
        <v>0</v>
      </c>
      <c r="V10584" s="42" t="s">
        <v>113</v>
      </c>
      <c r="W10584" s="42">
        <v>661.86</v>
      </c>
      <c r="X10584" s="42">
        <v>661.86</v>
      </c>
    </row>
    <row r="10585" spans="1:24">
      <c r="A10585" s="27" t="s">
        <v>19137</v>
      </c>
      <c r="B10585" s="28" t="s">
        <v>17556</v>
      </c>
      <c r="C10585" s="27" t="s">
        <v>19138</v>
      </c>
      <c r="D10585" s="27" t="s">
        <v>17558</v>
      </c>
      <c r="E10585" s="29">
        <v>35795</v>
      </c>
      <c r="F10585" s="27">
        <v>7</v>
      </c>
      <c r="G10585" s="18">
        <v>661.86</v>
      </c>
      <c r="H10585" s="27">
        <f t="shared" si="330"/>
        <v>661.86</v>
      </c>
      <c r="I10585" s="18">
        <v>661.86</v>
      </c>
      <c r="J10585" s="27">
        <v>661.86</v>
      </c>
      <c r="K10585" s="18">
        <f t="shared" si="331"/>
        <v>661.86</v>
      </c>
      <c r="L10585" s="27">
        <v>661.86</v>
      </c>
      <c r="M10585" s="36">
        <v>0</v>
      </c>
      <c r="T10585" s="41">
        <v>0</v>
      </c>
      <c r="U10585" s="41">
        <v>0</v>
      </c>
      <c r="V10585" s="42" t="s">
        <v>113</v>
      </c>
      <c r="W10585" s="42">
        <v>661.86</v>
      </c>
      <c r="X10585" s="42">
        <v>661.86</v>
      </c>
    </row>
    <row r="10586" spans="1:24">
      <c r="A10586" s="27" t="s">
        <v>19139</v>
      </c>
      <c r="B10586" s="28" t="s">
        <v>17556</v>
      </c>
      <c r="C10586" s="27" t="s">
        <v>19140</v>
      </c>
      <c r="D10586" s="27" t="s">
        <v>17558</v>
      </c>
      <c r="E10586" s="29">
        <v>35795</v>
      </c>
      <c r="F10586" s="27">
        <v>7</v>
      </c>
      <c r="G10586" s="18">
        <v>661.86</v>
      </c>
      <c r="H10586" s="27">
        <f t="shared" si="330"/>
        <v>661.86</v>
      </c>
      <c r="I10586" s="18">
        <v>661.86</v>
      </c>
      <c r="J10586" s="27">
        <v>661.86</v>
      </c>
      <c r="K10586" s="18">
        <f t="shared" si="331"/>
        <v>661.86</v>
      </c>
      <c r="L10586" s="27">
        <v>661.86</v>
      </c>
      <c r="M10586" s="36">
        <v>0</v>
      </c>
      <c r="T10586" s="41">
        <v>0</v>
      </c>
      <c r="U10586" s="41">
        <v>0</v>
      </c>
      <c r="V10586" s="42" t="s">
        <v>113</v>
      </c>
      <c r="W10586" s="42">
        <v>661.86</v>
      </c>
      <c r="X10586" s="42">
        <v>661.86</v>
      </c>
    </row>
    <row r="10587" spans="1:24">
      <c r="A10587" s="27" t="s">
        <v>19141</v>
      </c>
      <c r="B10587" s="28" t="s">
        <v>17556</v>
      </c>
      <c r="C10587" s="27" t="s">
        <v>19142</v>
      </c>
      <c r="D10587" s="27" t="s">
        <v>17558</v>
      </c>
      <c r="E10587" s="29">
        <v>35795</v>
      </c>
      <c r="F10587" s="27">
        <v>7</v>
      </c>
      <c r="G10587" s="18">
        <v>661.86</v>
      </c>
      <c r="H10587" s="27">
        <f t="shared" si="330"/>
        <v>661.86</v>
      </c>
      <c r="I10587" s="18">
        <v>661.86</v>
      </c>
      <c r="J10587" s="27">
        <v>661.86</v>
      </c>
      <c r="K10587" s="18">
        <f t="shared" si="331"/>
        <v>661.86</v>
      </c>
      <c r="L10587" s="27">
        <v>661.86</v>
      </c>
      <c r="M10587" s="36">
        <v>0</v>
      </c>
      <c r="T10587" s="41">
        <v>0</v>
      </c>
      <c r="U10587" s="41">
        <v>0</v>
      </c>
      <c r="V10587" s="42" t="s">
        <v>113</v>
      </c>
      <c r="W10587" s="42">
        <v>661.86</v>
      </c>
      <c r="X10587" s="42">
        <v>661.86</v>
      </c>
    </row>
    <row r="10588" spans="1:24">
      <c r="A10588" s="27" t="s">
        <v>19143</v>
      </c>
      <c r="B10588" s="28" t="s">
        <v>17556</v>
      </c>
      <c r="C10588" s="27" t="s">
        <v>19144</v>
      </c>
      <c r="D10588" s="27" t="s">
        <v>17558</v>
      </c>
      <c r="E10588" s="29">
        <v>35795</v>
      </c>
      <c r="F10588" s="27">
        <v>7</v>
      </c>
      <c r="G10588" s="18">
        <v>661.86</v>
      </c>
      <c r="H10588" s="27">
        <f t="shared" si="330"/>
        <v>661.86</v>
      </c>
      <c r="I10588" s="18">
        <v>661.86</v>
      </c>
      <c r="J10588" s="27">
        <v>661.86</v>
      </c>
      <c r="K10588" s="18">
        <f t="shared" si="331"/>
        <v>661.86</v>
      </c>
      <c r="L10588" s="27">
        <v>661.86</v>
      </c>
      <c r="M10588" s="36">
        <v>0</v>
      </c>
      <c r="T10588" s="41">
        <v>0</v>
      </c>
      <c r="U10588" s="41">
        <v>0</v>
      </c>
      <c r="V10588" s="42" t="s">
        <v>113</v>
      </c>
      <c r="W10588" s="42">
        <v>661.86</v>
      </c>
      <c r="X10588" s="42">
        <v>661.86</v>
      </c>
    </row>
    <row r="10589" spans="1:24">
      <c r="A10589" s="27" t="s">
        <v>19145</v>
      </c>
      <c r="B10589" s="28" t="s">
        <v>17556</v>
      </c>
      <c r="C10589" s="27" t="s">
        <v>19146</v>
      </c>
      <c r="D10589" s="27" t="s">
        <v>17558</v>
      </c>
      <c r="E10589" s="29">
        <v>35795</v>
      </c>
      <c r="F10589" s="27">
        <v>7</v>
      </c>
      <c r="G10589" s="18">
        <v>661.86</v>
      </c>
      <c r="H10589" s="27">
        <f t="shared" si="330"/>
        <v>661.86</v>
      </c>
      <c r="I10589" s="18">
        <v>661.86</v>
      </c>
      <c r="J10589" s="27">
        <v>661.86</v>
      </c>
      <c r="K10589" s="18">
        <f t="shared" si="331"/>
        <v>661.86</v>
      </c>
      <c r="L10589" s="27">
        <v>661.86</v>
      </c>
      <c r="M10589" s="36">
        <v>0</v>
      </c>
      <c r="T10589" s="41">
        <v>0</v>
      </c>
      <c r="U10589" s="41">
        <v>0</v>
      </c>
      <c r="V10589" s="42" t="s">
        <v>113</v>
      </c>
      <c r="W10589" s="42">
        <v>661.86</v>
      </c>
      <c r="X10589" s="42">
        <v>661.86</v>
      </c>
    </row>
    <row r="10590" spans="1:24">
      <c r="A10590" s="27" t="s">
        <v>19147</v>
      </c>
      <c r="B10590" s="28" t="s">
        <v>17556</v>
      </c>
      <c r="C10590" s="27" t="s">
        <v>19148</v>
      </c>
      <c r="D10590" s="27" t="s">
        <v>17558</v>
      </c>
      <c r="E10590" s="29">
        <v>35795</v>
      </c>
      <c r="F10590" s="27">
        <v>7</v>
      </c>
      <c r="G10590" s="18">
        <v>661.86</v>
      </c>
      <c r="H10590" s="27">
        <f t="shared" si="330"/>
        <v>661.86</v>
      </c>
      <c r="I10590" s="18">
        <v>661.86</v>
      </c>
      <c r="J10590" s="27">
        <v>661.86</v>
      </c>
      <c r="K10590" s="18">
        <f t="shared" si="331"/>
        <v>661.86</v>
      </c>
      <c r="L10590" s="27">
        <v>661.86</v>
      </c>
      <c r="M10590" s="36">
        <v>0</v>
      </c>
      <c r="T10590" s="41">
        <v>0</v>
      </c>
      <c r="U10590" s="41">
        <v>0</v>
      </c>
      <c r="V10590" s="42" t="s">
        <v>113</v>
      </c>
      <c r="W10590" s="42">
        <v>661.86</v>
      </c>
      <c r="X10590" s="42">
        <v>661.86</v>
      </c>
    </row>
    <row r="10591" spans="1:24">
      <c r="A10591" s="27" t="s">
        <v>19149</v>
      </c>
      <c r="B10591" s="28" t="s">
        <v>17556</v>
      </c>
      <c r="C10591" s="27" t="s">
        <v>19150</v>
      </c>
      <c r="D10591" s="27" t="s">
        <v>17558</v>
      </c>
      <c r="E10591" s="29">
        <v>35795</v>
      </c>
      <c r="F10591" s="27">
        <v>7</v>
      </c>
      <c r="G10591" s="18">
        <v>661.86</v>
      </c>
      <c r="H10591" s="27">
        <f t="shared" si="330"/>
        <v>661.86</v>
      </c>
      <c r="I10591" s="18">
        <v>661.86</v>
      </c>
      <c r="J10591" s="27">
        <v>661.86</v>
      </c>
      <c r="K10591" s="18">
        <f t="shared" si="331"/>
        <v>661.86</v>
      </c>
      <c r="L10591" s="27">
        <v>661.86</v>
      </c>
      <c r="M10591" s="36">
        <v>0</v>
      </c>
      <c r="T10591" s="41">
        <v>0</v>
      </c>
      <c r="U10591" s="41">
        <v>0</v>
      </c>
      <c r="V10591" s="42" t="s">
        <v>113</v>
      </c>
      <c r="W10591" s="42">
        <v>661.86</v>
      </c>
      <c r="X10591" s="42">
        <v>661.86</v>
      </c>
    </row>
    <row r="10592" spans="1:24">
      <c r="A10592" s="27" t="s">
        <v>19151</v>
      </c>
      <c r="B10592" s="28" t="s">
        <v>17556</v>
      </c>
      <c r="C10592" s="27" t="s">
        <v>19152</v>
      </c>
      <c r="D10592" s="27" t="s">
        <v>17558</v>
      </c>
      <c r="E10592" s="29">
        <v>35795</v>
      </c>
      <c r="F10592" s="27">
        <v>7</v>
      </c>
      <c r="G10592" s="18">
        <v>661.86</v>
      </c>
      <c r="H10592" s="27">
        <f t="shared" si="330"/>
        <v>661.86</v>
      </c>
      <c r="I10592" s="18">
        <v>661.86</v>
      </c>
      <c r="J10592" s="27">
        <v>661.86</v>
      </c>
      <c r="K10592" s="18">
        <f t="shared" si="331"/>
        <v>661.86</v>
      </c>
      <c r="L10592" s="27">
        <v>661.86</v>
      </c>
      <c r="M10592" s="36">
        <v>0</v>
      </c>
      <c r="T10592" s="41">
        <v>0</v>
      </c>
      <c r="U10592" s="41">
        <v>0</v>
      </c>
      <c r="V10592" s="42" t="s">
        <v>113</v>
      </c>
      <c r="W10592" s="42">
        <v>661.86</v>
      </c>
      <c r="X10592" s="42">
        <v>661.86</v>
      </c>
    </row>
    <row r="10593" spans="1:24">
      <c r="A10593" s="27" t="s">
        <v>19153</v>
      </c>
      <c r="B10593" s="28" t="s">
        <v>17556</v>
      </c>
      <c r="C10593" s="27" t="s">
        <v>19154</v>
      </c>
      <c r="D10593" s="27" t="s">
        <v>17558</v>
      </c>
      <c r="E10593" s="29">
        <v>35795</v>
      </c>
      <c r="F10593" s="27">
        <v>7</v>
      </c>
      <c r="G10593" s="18">
        <v>661.86</v>
      </c>
      <c r="H10593" s="27">
        <f t="shared" si="330"/>
        <v>661.86</v>
      </c>
      <c r="I10593" s="18">
        <v>661.86</v>
      </c>
      <c r="J10593" s="27">
        <v>661.86</v>
      </c>
      <c r="K10593" s="18">
        <f t="shared" si="331"/>
        <v>661.86</v>
      </c>
      <c r="L10593" s="27">
        <v>661.86</v>
      </c>
      <c r="M10593" s="36">
        <v>0</v>
      </c>
      <c r="T10593" s="41">
        <v>0</v>
      </c>
      <c r="U10593" s="41">
        <v>0</v>
      </c>
      <c r="V10593" s="42" t="s">
        <v>113</v>
      </c>
      <c r="W10593" s="42">
        <v>661.86</v>
      </c>
      <c r="X10593" s="42">
        <v>661.86</v>
      </c>
    </row>
    <row r="10594" spans="1:24">
      <c r="A10594" s="27" t="s">
        <v>19155</v>
      </c>
      <c r="B10594" s="28" t="s">
        <v>17556</v>
      </c>
      <c r="C10594" s="27" t="s">
        <v>19156</v>
      </c>
      <c r="D10594" s="27" t="s">
        <v>17558</v>
      </c>
      <c r="E10594" s="29">
        <v>35795</v>
      </c>
      <c r="F10594" s="27">
        <v>7</v>
      </c>
      <c r="G10594" s="18">
        <v>661.86</v>
      </c>
      <c r="H10594" s="27">
        <f t="shared" si="330"/>
        <v>661.86</v>
      </c>
      <c r="I10594" s="18">
        <v>661.86</v>
      </c>
      <c r="J10594" s="27">
        <v>661.86</v>
      </c>
      <c r="K10594" s="18">
        <f t="shared" si="331"/>
        <v>661.86</v>
      </c>
      <c r="L10594" s="27">
        <v>661.86</v>
      </c>
      <c r="M10594" s="36">
        <v>0</v>
      </c>
      <c r="T10594" s="41">
        <v>0</v>
      </c>
      <c r="U10594" s="41">
        <v>0</v>
      </c>
      <c r="V10594" s="42" t="s">
        <v>113</v>
      </c>
      <c r="W10594" s="42">
        <v>661.86</v>
      </c>
      <c r="X10594" s="42">
        <v>661.86</v>
      </c>
    </row>
    <row r="10595" spans="1:24">
      <c r="A10595" s="27" t="s">
        <v>19157</v>
      </c>
      <c r="B10595" s="28" t="s">
        <v>17556</v>
      </c>
      <c r="C10595" s="27" t="s">
        <v>19158</v>
      </c>
      <c r="D10595" s="27" t="s">
        <v>17558</v>
      </c>
      <c r="E10595" s="29">
        <v>35795</v>
      </c>
      <c r="F10595" s="27">
        <v>7</v>
      </c>
      <c r="G10595" s="18">
        <v>661.86</v>
      </c>
      <c r="H10595" s="27">
        <f t="shared" si="330"/>
        <v>661.86</v>
      </c>
      <c r="I10595" s="18">
        <v>661.86</v>
      </c>
      <c r="J10595" s="27">
        <v>661.86</v>
      </c>
      <c r="K10595" s="18">
        <f t="shared" si="331"/>
        <v>661.86</v>
      </c>
      <c r="L10595" s="27">
        <v>661.86</v>
      </c>
      <c r="M10595" s="36">
        <v>0</v>
      </c>
      <c r="T10595" s="41">
        <v>0</v>
      </c>
      <c r="U10595" s="41">
        <v>0</v>
      </c>
      <c r="V10595" s="42" t="s">
        <v>113</v>
      </c>
      <c r="W10595" s="42">
        <v>661.86</v>
      </c>
      <c r="X10595" s="42">
        <v>661.86</v>
      </c>
    </row>
    <row r="10596" spans="1:24">
      <c r="A10596" s="27" t="s">
        <v>19159</v>
      </c>
      <c r="B10596" s="28" t="s">
        <v>17556</v>
      </c>
      <c r="C10596" s="27" t="s">
        <v>19160</v>
      </c>
      <c r="D10596" s="27" t="s">
        <v>17558</v>
      </c>
      <c r="E10596" s="29">
        <v>35795</v>
      </c>
      <c r="F10596" s="27">
        <v>7</v>
      </c>
      <c r="G10596" s="18">
        <v>661.86</v>
      </c>
      <c r="H10596" s="27">
        <f t="shared" si="330"/>
        <v>661.86</v>
      </c>
      <c r="I10596" s="18">
        <v>661.86</v>
      </c>
      <c r="J10596" s="27">
        <v>661.86</v>
      </c>
      <c r="K10596" s="18">
        <f t="shared" si="331"/>
        <v>661.86</v>
      </c>
      <c r="L10596" s="27">
        <v>661.86</v>
      </c>
      <c r="M10596" s="36">
        <v>0</v>
      </c>
      <c r="T10596" s="41">
        <v>0</v>
      </c>
      <c r="U10596" s="41">
        <v>0</v>
      </c>
      <c r="V10596" s="42" t="s">
        <v>113</v>
      </c>
      <c r="W10596" s="42">
        <v>661.86</v>
      </c>
      <c r="X10596" s="42">
        <v>661.86</v>
      </c>
    </row>
    <row r="10597" spans="1:24">
      <c r="A10597" s="27" t="s">
        <v>19161</v>
      </c>
      <c r="B10597" s="28" t="s">
        <v>17556</v>
      </c>
      <c r="C10597" s="27" t="s">
        <v>19162</v>
      </c>
      <c r="D10597" s="27" t="s">
        <v>17558</v>
      </c>
      <c r="E10597" s="29">
        <v>35795</v>
      </c>
      <c r="F10597" s="27">
        <v>7</v>
      </c>
      <c r="G10597" s="18">
        <v>661.86</v>
      </c>
      <c r="H10597" s="27">
        <f t="shared" si="330"/>
        <v>661.86</v>
      </c>
      <c r="I10597" s="18">
        <v>661.86</v>
      </c>
      <c r="J10597" s="27">
        <v>661.86</v>
      </c>
      <c r="K10597" s="18">
        <f t="shared" si="331"/>
        <v>661.86</v>
      </c>
      <c r="L10597" s="27">
        <v>661.86</v>
      </c>
      <c r="M10597" s="36">
        <v>0</v>
      </c>
      <c r="T10597" s="41">
        <v>0</v>
      </c>
      <c r="U10597" s="41">
        <v>0</v>
      </c>
      <c r="V10597" s="42" t="s">
        <v>113</v>
      </c>
      <c r="W10597" s="42">
        <v>661.86</v>
      </c>
      <c r="X10597" s="42">
        <v>661.86</v>
      </c>
    </row>
    <row r="10598" spans="1:24">
      <c r="A10598" s="27" t="s">
        <v>19163</v>
      </c>
      <c r="B10598" s="28" t="s">
        <v>17556</v>
      </c>
      <c r="C10598" s="27" t="s">
        <v>19164</v>
      </c>
      <c r="D10598" s="27" t="s">
        <v>17558</v>
      </c>
      <c r="E10598" s="29">
        <v>35795</v>
      </c>
      <c r="F10598" s="27">
        <v>7</v>
      </c>
      <c r="G10598" s="18">
        <v>661.86</v>
      </c>
      <c r="H10598" s="27">
        <f t="shared" si="330"/>
        <v>661.86</v>
      </c>
      <c r="I10598" s="18">
        <v>661.86</v>
      </c>
      <c r="J10598" s="27">
        <v>661.86</v>
      </c>
      <c r="K10598" s="18">
        <f t="shared" si="331"/>
        <v>661.86</v>
      </c>
      <c r="L10598" s="27">
        <v>661.86</v>
      </c>
      <c r="M10598" s="36">
        <v>0</v>
      </c>
      <c r="T10598" s="41">
        <v>0</v>
      </c>
      <c r="U10598" s="41">
        <v>0</v>
      </c>
      <c r="V10598" s="42" t="s">
        <v>113</v>
      </c>
      <c r="W10598" s="42">
        <v>661.86</v>
      </c>
      <c r="X10598" s="42">
        <v>661.86</v>
      </c>
    </row>
    <row r="10599" spans="1:24">
      <c r="A10599" s="27" t="s">
        <v>19165</v>
      </c>
      <c r="B10599" s="28" t="s">
        <v>17556</v>
      </c>
      <c r="C10599" s="27" t="s">
        <v>19166</v>
      </c>
      <c r="D10599" s="27" t="s">
        <v>17558</v>
      </c>
      <c r="E10599" s="29">
        <v>35795</v>
      </c>
      <c r="F10599" s="27">
        <v>7</v>
      </c>
      <c r="G10599" s="18">
        <v>661.86</v>
      </c>
      <c r="H10599" s="27">
        <f t="shared" si="330"/>
        <v>661.86</v>
      </c>
      <c r="I10599" s="18">
        <v>661.86</v>
      </c>
      <c r="J10599" s="27">
        <v>661.86</v>
      </c>
      <c r="K10599" s="18">
        <f t="shared" si="331"/>
        <v>661.86</v>
      </c>
      <c r="L10599" s="27">
        <v>661.86</v>
      </c>
      <c r="M10599" s="36">
        <v>0</v>
      </c>
      <c r="T10599" s="41">
        <v>0</v>
      </c>
      <c r="U10599" s="41">
        <v>0</v>
      </c>
      <c r="V10599" s="42" t="s">
        <v>113</v>
      </c>
      <c r="W10599" s="42">
        <v>661.86</v>
      </c>
      <c r="X10599" s="42">
        <v>661.86</v>
      </c>
    </row>
    <row r="10600" spans="1:24">
      <c r="A10600" s="27" t="s">
        <v>19167</v>
      </c>
      <c r="B10600" s="28" t="s">
        <v>17556</v>
      </c>
      <c r="C10600" s="27" t="s">
        <v>19168</v>
      </c>
      <c r="D10600" s="27" t="s">
        <v>17558</v>
      </c>
      <c r="E10600" s="29">
        <v>35795</v>
      </c>
      <c r="F10600" s="27">
        <v>7</v>
      </c>
      <c r="G10600" s="18">
        <v>661.86</v>
      </c>
      <c r="H10600" s="27">
        <f t="shared" si="330"/>
        <v>661.86</v>
      </c>
      <c r="I10600" s="18">
        <v>661.86</v>
      </c>
      <c r="J10600" s="27">
        <v>661.86</v>
      </c>
      <c r="K10600" s="18">
        <f t="shared" si="331"/>
        <v>661.86</v>
      </c>
      <c r="L10600" s="27">
        <v>661.86</v>
      </c>
      <c r="M10600" s="36">
        <v>0</v>
      </c>
      <c r="T10600" s="41">
        <v>0</v>
      </c>
      <c r="U10600" s="41">
        <v>0</v>
      </c>
      <c r="V10600" s="42" t="s">
        <v>113</v>
      </c>
      <c r="W10600" s="42">
        <v>661.86</v>
      </c>
      <c r="X10600" s="42">
        <v>661.86</v>
      </c>
    </row>
    <row r="10601" spans="1:24">
      <c r="A10601" s="27" t="s">
        <v>19169</v>
      </c>
      <c r="B10601" s="28" t="s">
        <v>17556</v>
      </c>
      <c r="C10601" s="27" t="s">
        <v>19170</v>
      </c>
      <c r="D10601" s="27" t="s">
        <v>17558</v>
      </c>
      <c r="E10601" s="29">
        <v>35795</v>
      </c>
      <c r="F10601" s="27">
        <v>7</v>
      </c>
      <c r="G10601" s="18">
        <v>661.86</v>
      </c>
      <c r="H10601" s="27">
        <f t="shared" si="330"/>
        <v>661.86</v>
      </c>
      <c r="I10601" s="18">
        <v>661.86</v>
      </c>
      <c r="J10601" s="27">
        <v>661.86</v>
      </c>
      <c r="K10601" s="18">
        <f t="shared" si="331"/>
        <v>661.86</v>
      </c>
      <c r="L10601" s="27">
        <v>661.86</v>
      </c>
      <c r="M10601" s="36">
        <v>0</v>
      </c>
      <c r="T10601" s="41">
        <v>0</v>
      </c>
      <c r="U10601" s="41">
        <v>0</v>
      </c>
      <c r="V10601" s="42" t="s">
        <v>113</v>
      </c>
      <c r="W10601" s="42">
        <v>661.86</v>
      </c>
      <c r="X10601" s="42">
        <v>661.86</v>
      </c>
    </row>
    <row r="10602" spans="1:24">
      <c r="A10602" s="27" t="s">
        <v>19171</v>
      </c>
      <c r="B10602" s="28" t="s">
        <v>17556</v>
      </c>
      <c r="C10602" s="27" t="s">
        <v>19172</v>
      </c>
      <c r="D10602" s="27" t="s">
        <v>17558</v>
      </c>
      <c r="E10602" s="29">
        <v>40178</v>
      </c>
      <c r="F10602" s="27">
        <v>7</v>
      </c>
      <c r="G10602" s="18">
        <v>2222.2199999999998</v>
      </c>
      <c r="H10602" s="27">
        <f t="shared" si="330"/>
        <v>2222.2199999999998</v>
      </c>
      <c r="I10602" s="18">
        <v>2222.2199999999998</v>
      </c>
      <c r="J10602" s="27">
        <v>2222.2199999999998</v>
      </c>
      <c r="K10602" s="18">
        <f t="shared" si="331"/>
        <v>2222.2199999999998</v>
      </c>
      <c r="L10602" s="27">
        <v>2222.2199999999998</v>
      </c>
      <c r="M10602" s="36">
        <v>0</v>
      </c>
      <c r="T10602" s="41">
        <v>0</v>
      </c>
      <c r="U10602" s="41">
        <v>0</v>
      </c>
      <c r="V10602" s="42" t="s">
        <v>113</v>
      </c>
      <c r="W10602" s="42">
        <v>2222.2199999999998</v>
      </c>
      <c r="X10602" s="42">
        <v>2222.2199999999998</v>
      </c>
    </row>
    <row r="10603" spans="1:24">
      <c r="A10603" s="27" t="s">
        <v>19173</v>
      </c>
      <c r="B10603" s="28" t="s">
        <v>17556</v>
      </c>
      <c r="C10603" s="27" t="s">
        <v>19174</v>
      </c>
      <c r="D10603" s="27" t="s">
        <v>17558</v>
      </c>
      <c r="E10603" s="29">
        <v>40178</v>
      </c>
      <c r="F10603" s="27">
        <v>7</v>
      </c>
      <c r="G10603" s="18">
        <v>2222.2199999999998</v>
      </c>
      <c r="H10603" s="27">
        <f t="shared" si="330"/>
        <v>2222.2199999999998</v>
      </c>
      <c r="I10603" s="18">
        <v>2222.2199999999998</v>
      </c>
      <c r="J10603" s="27">
        <v>2222.2199999999998</v>
      </c>
      <c r="K10603" s="18">
        <f t="shared" si="331"/>
        <v>2222.2199999999998</v>
      </c>
      <c r="L10603" s="27">
        <v>2222.2199999999998</v>
      </c>
      <c r="M10603" s="36">
        <v>0</v>
      </c>
      <c r="T10603" s="41">
        <v>0</v>
      </c>
      <c r="U10603" s="41">
        <v>0</v>
      </c>
      <c r="V10603" s="42" t="s">
        <v>113</v>
      </c>
      <c r="W10603" s="42">
        <v>2222.2199999999998</v>
      </c>
      <c r="X10603" s="42">
        <v>2222.2199999999998</v>
      </c>
    </row>
    <row r="10604" spans="1:24">
      <c r="A10604" s="27" t="s">
        <v>19175</v>
      </c>
      <c r="B10604" s="28" t="s">
        <v>17556</v>
      </c>
      <c r="C10604" s="27" t="s">
        <v>19176</v>
      </c>
      <c r="D10604" s="27" t="s">
        <v>17558</v>
      </c>
      <c r="E10604" s="29">
        <v>40178</v>
      </c>
      <c r="F10604" s="27">
        <v>7</v>
      </c>
      <c r="G10604" s="18">
        <v>2222.2199999999998</v>
      </c>
      <c r="H10604" s="27">
        <f t="shared" si="330"/>
        <v>2222.2199999999998</v>
      </c>
      <c r="I10604" s="18">
        <v>2222.2199999999998</v>
      </c>
      <c r="J10604" s="27">
        <v>2222.2199999999998</v>
      </c>
      <c r="K10604" s="18">
        <f t="shared" si="331"/>
        <v>2222.2199999999998</v>
      </c>
      <c r="L10604" s="27">
        <v>2222.2199999999998</v>
      </c>
      <c r="M10604" s="36">
        <v>0</v>
      </c>
      <c r="T10604" s="41">
        <v>0</v>
      </c>
      <c r="U10604" s="41">
        <v>0</v>
      </c>
      <c r="V10604" s="42" t="s">
        <v>113</v>
      </c>
      <c r="W10604" s="42">
        <v>2222.2199999999998</v>
      </c>
      <c r="X10604" s="42">
        <v>2222.2199999999998</v>
      </c>
    </row>
    <row r="10605" spans="1:24">
      <c r="A10605" s="27" t="s">
        <v>19177</v>
      </c>
      <c r="B10605" s="28" t="s">
        <v>17556</v>
      </c>
      <c r="C10605" s="27" t="s">
        <v>19178</v>
      </c>
      <c r="D10605" s="27" t="s">
        <v>17558</v>
      </c>
      <c r="E10605" s="29">
        <v>40178</v>
      </c>
      <c r="F10605" s="27">
        <v>7</v>
      </c>
      <c r="G10605" s="18">
        <v>2222.2199999999998</v>
      </c>
      <c r="H10605" s="27">
        <f t="shared" si="330"/>
        <v>2222.2199999999998</v>
      </c>
      <c r="I10605" s="18">
        <v>2222.2199999999998</v>
      </c>
      <c r="J10605" s="27">
        <v>2222.2199999999998</v>
      </c>
      <c r="K10605" s="18">
        <f t="shared" si="331"/>
        <v>2222.2199999999998</v>
      </c>
      <c r="L10605" s="27">
        <v>2222.2199999999998</v>
      </c>
      <c r="M10605" s="36">
        <v>0</v>
      </c>
      <c r="T10605" s="41">
        <v>0</v>
      </c>
      <c r="U10605" s="41">
        <v>0</v>
      </c>
      <c r="V10605" s="42" t="s">
        <v>113</v>
      </c>
      <c r="W10605" s="42">
        <v>2222.2199999999998</v>
      </c>
      <c r="X10605" s="42">
        <v>2222.2199999999998</v>
      </c>
    </row>
    <row r="10606" spans="1:24">
      <c r="A10606" s="27" t="s">
        <v>19179</v>
      </c>
      <c r="B10606" s="28" t="s">
        <v>17556</v>
      </c>
      <c r="C10606" s="27" t="s">
        <v>19180</v>
      </c>
      <c r="D10606" s="27" t="s">
        <v>17558</v>
      </c>
      <c r="E10606" s="29">
        <v>40178</v>
      </c>
      <c r="F10606" s="27">
        <v>7</v>
      </c>
      <c r="G10606" s="18">
        <v>2222.2199999999998</v>
      </c>
      <c r="H10606" s="27">
        <f t="shared" si="330"/>
        <v>2222.2199999999998</v>
      </c>
      <c r="I10606" s="18">
        <v>2222.2199999999998</v>
      </c>
      <c r="J10606" s="27">
        <v>2222.2199999999998</v>
      </c>
      <c r="K10606" s="18">
        <f t="shared" si="331"/>
        <v>2222.2199999999998</v>
      </c>
      <c r="L10606" s="27">
        <v>2222.2199999999998</v>
      </c>
      <c r="M10606" s="36">
        <v>0</v>
      </c>
      <c r="T10606" s="41">
        <v>0</v>
      </c>
      <c r="U10606" s="41">
        <v>0</v>
      </c>
      <c r="V10606" s="42" t="s">
        <v>113</v>
      </c>
      <c r="W10606" s="42">
        <v>2222.2199999999998</v>
      </c>
      <c r="X10606" s="42">
        <v>2222.2199999999998</v>
      </c>
    </row>
    <row r="10607" spans="1:24">
      <c r="A10607" s="27" t="s">
        <v>19181</v>
      </c>
      <c r="B10607" s="28" t="s">
        <v>17556</v>
      </c>
      <c r="C10607" s="27" t="s">
        <v>19182</v>
      </c>
      <c r="D10607" s="27" t="s">
        <v>17558</v>
      </c>
      <c r="E10607" s="29">
        <v>40178</v>
      </c>
      <c r="F10607" s="27">
        <v>7</v>
      </c>
      <c r="G10607" s="18">
        <v>2222.2199999999998</v>
      </c>
      <c r="H10607" s="27">
        <f t="shared" si="330"/>
        <v>2222.2199999999998</v>
      </c>
      <c r="I10607" s="18">
        <v>2222.2199999999998</v>
      </c>
      <c r="J10607" s="27">
        <v>2222.2199999999998</v>
      </c>
      <c r="K10607" s="18">
        <f t="shared" si="331"/>
        <v>2222.2199999999998</v>
      </c>
      <c r="L10607" s="27">
        <v>2222.2199999999998</v>
      </c>
      <c r="M10607" s="36">
        <v>0</v>
      </c>
      <c r="T10607" s="41">
        <v>0</v>
      </c>
      <c r="U10607" s="41">
        <v>0</v>
      </c>
      <c r="V10607" s="42" t="s">
        <v>113</v>
      </c>
      <c r="W10607" s="42">
        <v>2222.2199999999998</v>
      </c>
      <c r="X10607" s="42">
        <v>2222.2199999999998</v>
      </c>
    </row>
    <row r="10608" spans="1:24">
      <c r="A10608" s="27" t="s">
        <v>19183</v>
      </c>
      <c r="B10608" s="28" t="s">
        <v>17556</v>
      </c>
      <c r="C10608" s="27" t="s">
        <v>19184</v>
      </c>
      <c r="D10608" s="27" t="s">
        <v>17558</v>
      </c>
      <c r="E10608" s="29">
        <v>40178</v>
      </c>
      <c r="F10608" s="27">
        <v>7</v>
      </c>
      <c r="G10608" s="18">
        <v>2222.2199999999998</v>
      </c>
      <c r="H10608" s="27">
        <f t="shared" si="330"/>
        <v>2222.2199999999998</v>
      </c>
      <c r="I10608" s="18">
        <v>2222.2199999999998</v>
      </c>
      <c r="J10608" s="27">
        <v>2222.2199999999998</v>
      </c>
      <c r="K10608" s="18">
        <f t="shared" si="331"/>
        <v>2222.2199999999998</v>
      </c>
      <c r="L10608" s="27">
        <v>2222.2199999999998</v>
      </c>
      <c r="M10608" s="36">
        <v>0</v>
      </c>
      <c r="T10608" s="41">
        <v>0</v>
      </c>
      <c r="U10608" s="41">
        <v>0</v>
      </c>
      <c r="V10608" s="42" t="s">
        <v>113</v>
      </c>
      <c r="W10608" s="42">
        <v>2222.2199999999998</v>
      </c>
      <c r="X10608" s="42">
        <v>2222.2199999999998</v>
      </c>
    </row>
    <row r="10609" spans="1:24">
      <c r="A10609" s="27" t="s">
        <v>19185</v>
      </c>
      <c r="B10609" s="28" t="s">
        <v>17556</v>
      </c>
      <c r="C10609" s="27" t="s">
        <v>19186</v>
      </c>
      <c r="D10609" s="27" t="s">
        <v>17558</v>
      </c>
      <c r="E10609" s="29">
        <v>40178</v>
      </c>
      <c r="F10609" s="27">
        <v>7</v>
      </c>
      <c r="G10609" s="18">
        <v>2222.2199999999998</v>
      </c>
      <c r="H10609" s="27">
        <f t="shared" si="330"/>
        <v>2222.2199999999998</v>
      </c>
      <c r="I10609" s="18">
        <v>2222.2199999999998</v>
      </c>
      <c r="J10609" s="27">
        <v>2222.2199999999998</v>
      </c>
      <c r="K10609" s="18">
        <f t="shared" si="331"/>
        <v>2222.2199999999998</v>
      </c>
      <c r="L10609" s="27">
        <v>2222.2199999999998</v>
      </c>
      <c r="M10609" s="36">
        <v>0</v>
      </c>
      <c r="T10609" s="41">
        <v>0</v>
      </c>
      <c r="U10609" s="41">
        <v>0</v>
      </c>
      <c r="V10609" s="42" t="s">
        <v>113</v>
      </c>
      <c r="W10609" s="42">
        <v>2222.2199999999998</v>
      </c>
      <c r="X10609" s="42">
        <v>2222.2199999999998</v>
      </c>
    </row>
    <row r="10610" spans="1:24">
      <c r="A10610" s="27" t="s">
        <v>19187</v>
      </c>
      <c r="B10610" s="28" t="s">
        <v>17556</v>
      </c>
      <c r="C10610" s="27" t="s">
        <v>19188</v>
      </c>
      <c r="D10610" s="27" t="s">
        <v>17558</v>
      </c>
      <c r="E10610" s="29">
        <v>40178</v>
      </c>
      <c r="F10610" s="27">
        <v>7</v>
      </c>
      <c r="G10610" s="18">
        <v>2222.2199999999998</v>
      </c>
      <c r="H10610" s="27">
        <f t="shared" si="330"/>
        <v>2222.2199999999998</v>
      </c>
      <c r="I10610" s="18">
        <v>2222.2199999999998</v>
      </c>
      <c r="J10610" s="27">
        <v>2222.2199999999998</v>
      </c>
      <c r="K10610" s="18">
        <f t="shared" si="331"/>
        <v>2222.2199999999998</v>
      </c>
      <c r="L10610" s="27">
        <v>2222.2199999999998</v>
      </c>
      <c r="M10610" s="36">
        <v>0</v>
      </c>
      <c r="T10610" s="41">
        <v>0</v>
      </c>
      <c r="U10610" s="41">
        <v>0</v>
      </c>
      <c r="V10610" s="42" t="s">
        <v>113</v>
      </c>
      <c r="W10610" s="42">
        <v>2222.2199999999998</v>
      </c>
      <c r="X10610" s="42">
        <v>2222.2199999999998</v>
      </c>
    </row>
    <row r="10611" spans="1:24">
      <c r="A10611" s="27" t="s">
        <v>19189</v>
      </c>
      <c r="B10611" s="28" t="s">
        <v>17556</v>
      </c>
      <c r="C10611" s="27" t="s">
        <v>19190</v>
      </c>
      <c r="D10611" s="27" t="s">
        <v>17558</v>
      </c>
      <c r="E10611" s="29">
        <v>40178</v>
      </c>
      <c r="F10611" s="27">
        <v>7</v>
      </c>
      <c r="G10611" s="18">
        <v>2222.2199999999998</v>
      </c>
      <c r="H10611" s="27">
        <f t="shared" si="330"/>
        <v>2222.2199999999998</v>
      </c>
      <c r="I10611" s="18">
        <v>2222.2199999999998</v>
      </c>
      <c r="J10611" s="27">
        <v>2222.2199999999998</v>
      </c>
      <c r="K10611" s="18">
        <f t="shared" si="331"/>
        <v>2222.2199999999998</v>
      </c>
      <c r="L10611" s="27">
        <v>2222.2199999999998</v>
      </c>
      <c r="M10611" s="36">
        <v>0</v>
      </c>
      <c r="T10611" s="41">
        <v>0</v>
      </c>
      <c r="U10611" s="41">
        <v>0</v>
      </c>
      <c r="V10611" s="42" t="s">
        <v>113</v>
      </c>
      <c r="W10611" s="42">
        <v>2222.2199999999998</v>
      </c>
      <c r="X10611" s="42">
        <v>2222.2199999999998</v>
      </c>
    </row>
    <row r="10612" spans="1:24">
      <c r="A10612" s="27" t="s">
        <v>19191</v>
      </c>
      <c r="B10612" s="28" t="s">
        <v>17556</v>
      </c>
      <c r="C10612" s="27" t="s">
        <v>19192</v>
      </c>
      <c r="D10612" s="27" t="s">
        <v>17558</v>
      </c>
      <c r="E10612" s="29">
        <v>40178</v>
      </c>
      <c r="F10612" s="27">
        <v>7</v>
      </c>
      <c r="G10612" s="18">
        <v>2222.2199999999998</v>
      </c>
      <c r="H10612" s="27">
        <f t="shared" si="330"/>
        <v>2222.2199999999998</v>
      </c>
      <c r="I10612" s="18">
        <v>2222.2199999999998</v>
      </c>
      <c r="J10612" s="27">
        <v>2222.2199999999998</v>
      </c>
      <c r="K10612" s="18">
        <f t="shared" si="331"/>
        <v>2222.2199999999998</v>
      </c>
      <c r="L10612" s="27">
        <v>2222.2199999999998</v>
      </c>
      <c r="M10612" s="36">
        <v>0</v>
      </c>
      <c r="T10612" s="41">
        <v>0</v>
      </c>
      <c r="U10612" s="41">
        <v>0</v>
      </c>
      <c r="V10612" s="42" t="s">
        <v>113</v>
      </c>
      <c r="W10612" s="42">
        <v>2222.2199999999998</v>
      </c>
      <c r="X10612" s="42">
        <v>2222.2199999999998</v>
      </c>
    </row>
    <row r="10613" spans="1:24">
      <c r="A10613" s="27" t="s">
        <v>19193</v>
      </c>
      <c r="B10613" s="28" t="s">
        <v>17556</v>
      </c>
      <c r="C10613" s="27" t="s">
        <v>19194</v>
      </c>
      <c r="D10613" s="27" t="s">
        <v>17558</v>
      </c>
      <c r="E10613" s="29">
        <v>40178</v>
      </c>
      <c r="F10613" s="27">
        <v>7</v>
      </c>
      <c r="G10613" s="18">
        <v>2222.2199999999998</v>
      </c>
      <c r="H10613" s="27">
        <f t="shared" si="330"/>
        <v>2222.2199999999998</v>
      </c>
      <c r="I10613" s="18">
        <v>2222.2199999999998</v>
      </c>
      <c r="J10613" s="27">
        <v>2222.2199999999998</v>
      </c>
      <c r="K10613" s="18">
        <f t="shared" si="331"/>
        <v>2222.2199999999998</v>
      </c>
      <c r="L10613" s="27">
        <v>2222.2199999999998</v>
      </c>
      <c r="M10613" s="36">
        <v>0</v>
      </c>
      <c r="T10613" s="41">
        <v>0</v>
      </c>
      <c r="U10613" s="41">
        <v>0</v>
      </c>
      <c r="V10613" s="42" t="s">
        <v>113</v>
      </c>
      <c r="W10613" s="42">
        <v>2222.2199999999998</v>
      </c>
      <c r="X10613" s="42">
        <v>2222.2199999999998</v>
      </c>
    </row>
    <row r="10614" spans="1:24">
      <c r="A10614" s="27" t="s">
        <v>19195</v>
      </c>
      <c r="B10614" s="28" t="s">
        <v>17556</v>
      </c>
      <c r="C10614" s="27" t="s">
        <v>19196</v>
      </c>
      <c r="D10614" s="27" t="s">
        <v>17558</v>
      </c>
      <c r="E10614" s="29">
        <v>40178</v>
      </c>
      <c r="F10614" s="27">
        <v>7</v>
      </c>
      <c r="G10614" s="18">
        <v>2222.2199999999998</v>
      </c>
      <c r="H10614" s="27">
        <f t="shared" si="330"/>
        <v>2222.2199999999998</v>
      </c>
      <c r="I10614" s="18">
        <v>2222.2199999999998</v>
      </c>
      <c r="J10614" s="27">
        <v>2222.2199999999998</v>
      </c>
      <c r="K10614" s="18">
        <f t="shared" si="331"/>
        <v>2222.2199999999998</v>
      </c>
      <c r="L10614" s="27">
        <v>2222.2199999999998</v>
      </c>
      <c r="M10614" s="36">
        <v>0</v>
      </c>
      <c r="T10614" s="41">
        <v>0</v>
      </c>
      <c r="U10614" s="41">
        <v>0</v>
      </c>
      <c r="V10614" s="42" t="s">
        <v>113</v>
      </c>
      <c r="W10614" s="42">
        <v>2222.2199999999998</v>
      </c>
      <c r="X10614" s="42">
        <v>2222.2199999999998</v>
      </c>
    </row>
    <row r="10615" spans="1:24">
      <c r="A10615" s="27" t="s">
        <v>19197</v>
      </c>
      <c r="B10615" s="28" t="s">
        <v>17556</v>
      </c>
      <c r="C10615" s="27" t="s">
        <v>19198</v>
      </c>
      <c r="D10615" s="27" t="s">
        <v>17558</v>
      </c>
      <c r="E10615" s="29">
        <v>40178</v>
      </c>
      <c r="F10615" s="27">
        <v>7</v>
      </c>
      <c r="G10615" s="18">
        <v>2222.2199999999998</v>
      </c>
      <c r="H10615" s="27">
        <f t="shared" si="330"/>
        <v>2222.2199999999998</v>
      </c>
      <c r="I10615" s="18">
        <v>2222.2199999999998</v>
      </c>
      <c r="J10615" s="27">
        <v>2222.2199999999998</v>
      </c>
      <c r="K10615" s="18">
        <f t="shared" si="331"/>
        <v>2222.2199999999998</v>
      </c>
      <c r="L10615" s="27">
        <v>2222.2199999999998</v>
      </c>
      <c r="M10615" s="36">
        <v>0</v>
      </c>
      <c r="T10615" s="41">
        <v>0</v>
      </c>
      <c r="U10615" s="41">
        <v>0</v>
      </c>
      <c r="V10615" s="42" t="s">
        <v>113</v>
      </c>
      <c r="W10615" s="42">
        <v>2222.2199999999998</v>
      </c>
      <c r="X10615" s="42">
        <v>2222.2199999999998</v>
      </c>
    </row>
    <row r="10616" spans="1:24">
      <c r="A10616" s="27" t="s">
        <v>19199</v>
      </c>
      <c r="B10616" s="28" t="s">
        <v>17556</v>
      </c>
      <c r="C10616" s="27" t="s">
        <v>19200</v>
      </c>
      <c r="D10616" s="27" t="s">
        <v>17558</v>
      </c>
      <c r="E10616" s="29">
        <v>40178</v>
      </c>
      <c r="F10616" s="27">
        <v>7</v>
      </c>
      <c r="G10616" s="18">
        <v>2222.2199999999998</v>
      </c>
      <c r="H10616" s="27">
        <f t="shared" si="330"/>
        <v>2222.2199999999998</v>
      </c>
      <c r="I10616" s="18">
        <v>2222.2199999999998</v>
      </c>
      <c r="J10616" s="27">
        <v>2222.2199999999998</v>
      </c>
      <c r="K10616" s="18">
        <f t="shared" si="331"/>
        <v>2222.2199999999998</v>
      </c>
      <c r="L10616" s="27">
        <v>2222.2199999999998</v>
      </c>
      <c r="M10616" s="36">
        <v>0</v>
      </c>
      <c r="T10616" s="41">
        <v>0</v>
      </c>
      <c r="U10616" s="41">
        <v>0</v>
      </c>
      <c r="V10616" s="42" t="s">
        <v>113</v>
      </c>
      <c r="W10616" s="42">
        <v>2222.2199999999998</v>
      </c>
      <c r="X10616" s="42">
        <v>2222.2199999999998</v>
      </c>
    </row>
    <row r="10617" spans="1:24">
      <c r="A10617" s="27" t="s">
        <v>19201</v>
      </c>
      <c r="B10617" s="28" t="s">
        <v>17556</v>
      </c>
      <c r="C10617" s="27" t="s">
        <v>19202</v>
      </c>
      <c r="D10617" s="27" t="s">
        <v>17558</v>
      </c>
      <c r="E10617" s="29">
        <v>40178</v>
      </c>
      <c r="F10617" s="27">
        <v>7</v>
      </c>
      <c r="G10617" s="18">
        <v>2222.2199999999998</v>
      </c>
      <c r="H10617" s="27">
        <f t="shared" si="330"/>
        <v>2222.2199999999998</v>
      </c>
      <c r="I10617" s="18">
        <v>2222.2199999999998</v>
      </c>
      <c r="J10617" s="27">
        <v>2222.2199999999998</v>
      </c>
      <c r="K10617" s="18">
        <f t="shared" si="331"/>
        <v>2222.2199999999998</v>
      </c>
      <c r="L10617" s="27">
        <v>2222.2199999999998</v>
      </c>
      <c r="M10617" s="36">
        <v>0</v>
      </c>
      <c r="T10617" s="41">
        <v>0</v>
      </c>
      <c r="U10617" s="41">
        <v>0</v>
      </c>
      <c r="V10617" s="42" t="s">
        <v>113</v>
      </c>
      <c r="W10617" s="42">
        <v>2222.2199999999998</v>
      </c>
      <c r="X10617" s="42">
        <v>2222.2199999999998</v>
      </c>
    </row>
    <row r="10618" spans="1:24">
      <c r="A10618" s="27" t="s">
        <v>19203</v>
      </c>
      <c r="B10618" s="28" t="s">
        <v>17556</v>
      </c>
      <c r="C10618" s="27" t="s">
        <v>19204</v>
      </c>
      <c r="D10618" s="27" t="s">
        <v>17558</v>
      </c>
      <c r="E10618" s="29">
        <v>40178</v>
      </c>
      <c r="F10618" s="27">
        <v>7</v>
      </c>
      <c r="G10618" s="18">
        <v>2222.2199999999998</v>
      </c>
      <c r="H10618" s="27">
        <f t="shared" si="330"/>
        <v>2222.2199999999998</v>
      </c>
      <c r="I10618" s="18">
        <v>2222.2199999999998</v>
      </c>
      <c r="J10618" s="27">
        <v>2222.2199999999998</v>
      </c>
      <c r="K10618" s="18">
        <f t="shared" si="331"/>
        <v>2222.2199999999998</v>
      </c>
      <c r="L10618" s="27">
        <v>2222.2199999999998</v>
      </c>
      <c r="M10618" s="36">
        <v>0</v>
      </c>
      <c r="T10618" s="41">
        <v>0</v>
      </c>
      <c r="U10618" s="41">
        <v>0</v>
      </c>
      <c r="V10618" s="42" t="s">
        <v>113</v>
      </c>
      <c r="W10618" s="42">
        <v>2222.2199999999998</v>
      </c>
      <c r="X10618" s="42">
        <v>2222.2199999999998</v>
      </c>
    </row>
    <row r="10619" spans="1:24">
      <c r="A10619" s="27" t="s">
        <v>19205</v>
      </c>
      <c r="B10619" s="28" t="s">
        <v>17556</v>
      </c>
      <c r="C10619" s="27" t="s">
        <v>19206</v>
      </c>
      <c r="D10619" s="27" t="s">
        <v>17558</v>
      </c>
      <c r="E10619" s="29">
        <v>40178</v>
      </c>
      <c r="F10619" s="27">
        <v>7</v>
      </c>
      <c r="G10619" s="18">
        <v>2222.2199999999998</v>
      </c>
      <c r="H10619" s="27">
        <f t="shared" si="330"/>
        <v>2222.2199999999998</v>
      </c>
      <c r="I10619" s="18">
        <v>2222.2199999999998</v>
      </c>
      <c r="J10619" s="27">
        <v>2222.2199999999998</v>
      </c>
      <c r="K10619" s="18">
        <f t="shared" si="331"/>
        <v>2222.2199999999998</v>
      </c>
      <c r="L10619" s="27">
        <v>2222.2199999999998</v>
      </c>
      <c r="M10619" s="36">
        <v>0</v>
      </c>
      <c r="T10619" s="41">
        <v>0</v>
      </c>
      <c r="U10619" s="41">
        <v>0</v>
      </c>
      <c r="V10619" s="42" t="s">
        <v>113</v>
      </c>
      <c r="W10619" s="42">
        <v>2222.2199999999998</v>
      </c>
      <c r="X10619" s="42">
        <v>2222.2199999999998</v>
      </c>
    </row>
    <row r="10620" spans="1:24">
      <c r="A10620" s="27" t="s">
        <v>19207</v>
      </c>
      <c r="B10620" s="28" t="s">
        <v>17556</v>
      </c>
      <c r="C10620" s="27" t="s">
        <v>19208</v>
      </c>
      <c r="D10620" s="27" t="s">
        <v>17558</v>
      </c>
      <c r="E10620" s="29">
        <v>40178</v>
      </c>
      <c r="F10620" s="27">
        <v>7</v>
      </c>
      <c r="G10620" s="18">
        <v>2222.2199999999998</v>
      </c>
      <c r="H10620" s="27">
        <f t="shared" si="330"/>
        <v>2222.2199999999998</v>
      </c>
      <c r="I10620" s="18">
        <v>2222.2199999999998</v>
      </c>
      <c r="J10620" s="27">
        <v>2222.2199999999998</v>
      </c>
      <c r="K10620" s="18">
        <f t="shared" si="331"/>
        <v>2222.2199999999998</v>
      </c>
      <c r="L10620" s="27">
        <v>2222.2199999999998</v>
      </c>
      <c r="M10620" s="36">
        <v>0</v>
      </c>
      <c r="T10620" s="41">
        <v>0</v>
      </c>
      <c r="U10620" s="41">
        <v>0</v>
      </c>
      <c r="V10620" s="42" t="s">
        <v>113</v>
      </c>
      <c r="W10620" s="42">
        <v>2222.2199999999998</v>
      </c>
      <c r="X10620" s="42">
        <v>2222.2199999999998</v>
      </c>
    </row>
    <row r="10621" spans="1:24">
      <c r="A10621" s="27" t="s">
        <v>19209</v>
      </c>
      <c r="B10621" s="28" t="s">
        <v>17556</v>
      </c>
      <c r="C10621" s="27" t="s">
        <v>19210</v>
      </c>
      <c r="D10621" s="27" t="s">
        <v>17558</v>
      </c>
      <c r="E10621" s="29">
        <v>34699</v>
      </c>
      <c r="F10621" s="27">
        <v>7</v>
      </c>
      <c r="G10621" s="18">
        <v>14573.22</v>
      </c>
      <c r="H10621" s="27">
        <f t="shared" si="330"/>
        <v>14573.22</v>
      </c>
      <c r="I10621" s="18">
        <v>14573.22</v>
      </c>
      <c r="J10621" s="27">
        <v>14573.22</v>
      </c>
      <c r="K10621" s="18">
        <f t="shared" si="331"/>
        <v>14573.22</v>
      </c>
      <c r="L10621" s="27">
        <v>13844.56</v>
      </c>
      <c r="M10621" s="36">
        <v>-728.66</v>
      </c>
      <c r="T10621" s="41">
        <v>0</v>
      </c>
      <c r="U10621" s="41">
        <v>0</v>
      </c>
      <c r="V10621" s="42" t="s">
        <v>113</v>
      </c>
      <c r="W10621" s="42">
        <v>14573.22</v>
      </c>
      <c r="X10621" s="42">
        <v>14573.22</v>
      </c>
    </row>
    <row r="10622" spans="1:24">
      <c r="A10622" s="27" t="s">
        <v>19211</v>
      </c>
      <c r="B10622" s="28" t="s">
        <v>17556</v>
      </c>
      <c r="C10622" s="27" t="s">
        <v>19212</v>
      </c>
      <c r="D10622" s="27" t="s">
        <v>17558</v>
      </c>
      <c r="E10622" s="29">
        <v>41876</v>
      </c>
      <c r="F10622" s="27">
        <v>7</v>
      </c>
      <c r="G10622" s="18">
        <v>21059.83</v>
      </c>
      <c r="H10622" s="27">
        <f t="shared" si="330"/>
        <v>0</v>
      </c>
      <c r="I10622" s="18">
        <v>12385.19</v>
      </c>
      <c r="J10622" s="27">
        <v>21059.83</v>
      </c>
      <c r="K10622" s="18">
        <f t="shared" si="331"/>
        <v>0</v>
      </c>
      <c r="L10622" s="27">
        <v>15243.31</v>
      </c>
      <c r="M10622" s="36">
        <v>2858.12</v>
      </c>
      <c r="T10622" s="41">
        <v>0</v>
      </c>
      <c r="U10622" s="41">
        <v>0</v>
      </c>
      <c r="V10622" s="42" t="s">
        <v>113</v>
      </c>
      <c r="W10622" s="42">
        <v>0</v>
      </c>
      <c r="X10622" s="42">
        <v>21059.83</v>
      </c>
    </row>
    <row r="10623" spans="1:24">
      <c r="A10623" s="27" t="s">
        <v>19213</v>
      </c>
      <c r="B10623" s="28" t="s">
        <v>17556</v>
      </c>
      <c r="C10623" s="27" t="s">
        <v>19214</v>
      </c>
      <c r="D10623" s="27" t="s">
        <v>112</v>
      </c>
      <c r="E10623" s="29">
        <v>39447</v>
      </c>
      <c r="F10623" s="27">
        <v>7</v>
      </c>
      <c r="G10623" s="18">
        <v>17900</v>
      </c>
      <c r="H10623" s="27">
        <f t="shared" si="330"/>
        <v>17900</v>
      </c>
      <c r="I10623" s="18">
        <v>17005</v>
      </c>
      <c r="J10623" s="27">
        <v>17900</v>
      </c>
      <c r="K10623" s="18">
        <f t="shared" si="331"/>
        <v>17900</v>
      </c>
      <c r="L10623" s="27">
        <v>17005</v>
      </c>
      <c r="M10623" s="36">
        <v>0</v>
      </c>
      <c r="T10623" s="41">
        <v>0</v>
      </c>
      <c r="U10623" s="41">
        <v>0</v>
      </c>
      <c r="V10623" s="42" t="s">
        <v>113</v>
      </c>
      <c r="W10623" s="42">
        <v>17900</v>
      </c>
      <c r="X10623" s="42">
        <v>17900</v>
      </c>
    </row>
    <row r="10624" spans="1:24">
      <c r="A10624" s="27" t="s">
        <v>19215</v>
      </c>
      <c r="B10624" s="28" t="s">
        <v>17556</v>
      </c>
      <c r="C10624" s="27" t="s">
        <v>19216</v>
      </c>
      <c r="D10624" s="27" t="s">
        <v>17578</v>
      </c>
      <c r="E10624" s="29">
        <v>34334</v>
      </c>
      <c r="F10624" s="27">
        <v>7</v>
      </c>
      <c r="G10624" s="18">
        <v>18000</v>
      </c>
      <c r="H10624" s="27">
        <f t="shared" si="330"/>
        <v>18000</v>
      </c>
      <c r="I10624" s="18">
        <v>17585.099999999999</v>
      </c>
      <c r="J10624" s="27">
        <v>18000</v>
      </c>
      <c r="K10624" s="18">
        <f t="shared" si="331"/>
        <v>18000</v>
      </c>
      <c r="L10624" s="27">
        <v>17100</v>
      </c>
      <c r="M10624" s="36">
        <v>-485.1</v>
      </c>
      <c r="T10624" s="41">
        <v>0</v>
      </c>
      <c r="U10624" s="41">
        <v>0</v>
      </c>
      <c r="V10624" s="42" t="s">
        <v>113</v>
      </c>
      <c r="W10624" s="42">
        <v>18000</v>
      </c>
      <c r="X10624" s="42">
        <v>18000</v>
      </c>
    </row>
    <row r="10625" spans="1:24">
      <c r="A10625" s="27" t="s">
        <v>19217</v>
      </c>
      <c r="B10625" s="28" t="s">
        <v>17556</v>
      </c>
      <c r="C10625" s="27" t="s">
        <v>19216</v>
      </c>
      <c r="D10625" s="27" t="s">
        <v>17578</v>
      </c>
      <c r="E10625" s="29">
        <v>39077</v>
      </c>
      <c r="F10625" s="27">
        <v>7</v>
      </c>
      <c r="G10625" s="18">
        <v>9170</v>
      </c>
      <c r="H10625" s="27">
        <f t="shared" si="330"/>
        <v>9170</v>
      </c>
      <c r="I10625" s="18">
        <v>8711.5</v>
      </c>
      <c r="J10625" s="27">
        <v>9170</v>
      </c>
      <c r="K10625" s="18">
        <f t="shared" si="331"/>
        <v>9170</v>
      </c>
      <c r="L10625" s="27">
        <v>8711.5</v>
      </c>
      <c r="M10625" s="36">
        <v>0</v>
      </c>
      <c r="T10625" s="41">
        <v>0</v>
      </c>
      <c r="U10625" s="41">
        <v>0</v>
      </c>
      <c r="V10625" s="42" t="s">
        <v>113</v>
      </c>
      <c r="W10625" s="42">
        <v>9170</v>
      </c>
      <c r="X10625" s="42">
        <v>9170</v>
      </c>
    </row>
    <row r="10626" spans="1:24">
      <c r="A10626" s="27" t="s">
        <v>19218</v>
      </c>
      <c r="B10626" s="28" t="s">
        <v>17556</v>
      </c>
      <c r="C10626" s="27" t="s">
        <v>19219</v>
      </c>
      <c r="D10626" s="27" t="s">
        <v>17578</v>
      </c>
      <c r="E10626" s="29">
        <v>39475</v>
      </c>
      <c r="F10626" s="27">
        <v>7</v>
      </c>
      <c r="G10626" s="18">
        <v>8800</v>
      </c>
      <c r="H10626" s="27">
        <f t="shared" si="330"/>
        <v>8800</v>
      </c>
      <c r="I10626" s="18">
        <v>8360</v>
      </c>
      <c r="J10626" s="27">
        <v>8800</v>
      </c>
      <c r="K10626" s="18">
        <f t="shared" si="331"/>
        <v>8800</v>
      </c>
      <c r="L10626" s="27">
        <v>8360</v>
      </c>
      <c r="M10626" s="36">
        <v>0</v>
      </c>
      <c r="T10626" s="41">
        <v>0</v>
      </c>
      <c r="U10626" s="41">
        <v>0</v>
      </c>
      <c r="V10626" s="42" t="s">
        <v>113</v>
      </c>
      <c r="W10626" s="42">
        <v>8800</v>
      </c>
      <c r="X10626" s="42">
        <v>8800</v>
      </c>
    </row>
    <row r="10627" spans="1:24">
      <c r="A10627" s="27" t="s">
        <v>19220</v>
      </c>
      <c r="B10627" s="28" t="s">
        <v>17556</v>
      </c>
      <c r="C10627" s="27" t="s">
        <v>19221</v>
      </c>
      <c r="D10627" s="27" t="s">
        <v>17578</v>
      </c>
      <c r="E10627" s="29">
        <v>39475</v>
      </c>
      <c r="F10627" s="27">
        <v>7</v>
      </c>
      <c r="G10627" s="18">
        <v>8800</v>
      </c>
      <c r="H10627" s="27">
        <f t="shared" si="330"/>
        <v>8800</v>
      </c>
      <c r="I10627" s="18">
        <v>8360</v>
      </c>
      <c r="J10627" s="27">
        <v>8800</v>
      </c>
      <c r="K10627" s="18">
        <f t="shared" si="331"/>
        <v>8800</v>
      </c>
      <c r="L10627" s="27">
        <v>8360</v>
      </c>
      <c r="M10627" s="36">
        <v>0</v>
      </c>
      <c r="T10627" s="41">
        <v>0</v>
      </c>
      <c r="U10627" s="41">
        <v>0</v>
      </c>
      <c r="V10627" s="42" t="s">
        <v>113</v>
      </c>
      <c r="W10627" s="42">
        <v>8800</v>
      </c>
      <c r="X10627" s="42">
        <v>8800</v>
      </c>
    </row>
    <row r="10628" spans="1:24">
      <c r="A10628" s="27" t="s">
        <v>19222</v>
      </c>
      <c r="B10628" s="28" t="s">
        <v>17556</v>
      </c>
      <c r="C10628" s="27" t="s">
        <v>19216</v>
      </c>
      <c r="D10628" s="27" t="s">
        <v>17578</v>
      </c>
      <c r="E10628" s="29">
        <v>39077</v>
      </c>
      <c r="F10628" s="27">
        <v>7</v>
      </c>
      <c r="G10628" s="18">
        <v>36800</v>
      </c>
      <c r="H10628" s="27">
        <f t="shared" si="330"/>
        <v>36800</v>
      </c>
      <c r="I10628" s="18">
        <v>34960</v>
      </c>
      <c r="J10628" s="27">
        <v>36800</v>
      </c>
      <c r="K10628" s="18">
        <f t="shared" si="331"/>
        <v>36800</v>
      </c>
      <c r="L10628" s="27">
        <v>34960</v>
      </c>
      <c r="M10628" s="36">
        <v>0</v>
      </c>
      <c r="T10628" s="41">
        <v>0</v>
      </c>
      <c r="U10628" s="41">
        <v>0</v>
      </c>
      <c r="V10628" s="42" t="s">
        <v>113</v>
      </c>
      <c r="W10628" s="42">
        <v>36800</v>
      </c>
      <c r="X10628" s="42">
        <v>36800</v>
      </c>
    </row>
    <row r="10629" spans="1:24">
      <c r="A10629" s="27" t="s">
        <v>19223</v>
      </c>
      <c r="B10629" s="28" t="s">
        <v>17556</v>
      </c>
      <c r="C10629" s="27" t="s">
        <v>19214</v>
      </c>
      <c r="D10629" s="27" t="s">
        <v>112</v>
      </c>
      <c r="E10629" s="29">
        <v>39447</v>
      </c>
      <c r="F10629" s="27">
        <v>7</v>
      </c>
      <c r="G10629" s="18">
        <v>17900</v>
      </c>
      <c r="H10629" s="27">
        <f t="shared" si="330"/>
        <v>17900</v>
      </c>
      <c r="I10629" s="18">
        <v>17005</v>
      </c>
      <c r="J10629" s="27">
        <v>17900</v>
      </c>
      <c r="K10629" s="18">
        <f t="shared" si="331"/>
        <v>17900</v>
      </c>
      <c r="L10629" s="27">
        <v>17005</v>
      </c>
      <c r="M10629" s="36">
        <v>0</v>
      </c>
      <c r="T10629" s="41">
        <v>0</v>
      </c>
      <c r="U10629" s="41">
        <v>0</v>
      </c>
      <c r="V10629" s="42" t="s">
        <v>113</v>
      </c>
      <c r="W10629" s="42">
        <v>17900</v>
      </c>
      <c r="X10629" s="42">
        <v>17900</v>
      </c>
    </row>
    <row r="10630" spans="1:24">
      <c r="A10630" s="27" t="s">
        <v>19224</v>
      </c>
      <c r="B10630" s="28" t="s">
        <v>17556</v>
      </c>
      <c r="C10630" s="27" t="s">
        <v>19225</v>
      </c>
      <c r="D10630" s="27" t="s">
        <v>112</v>
      </c>
      <c r="E10630" s="29">
        <v>38625</v>
      </c>
      <c r="F10630" s="27">
        <v>7</v>
      </c>
      <c r="G10630" s="18">
        <v>13800</v>
      </c>
      <c r="H10630" s="27">
        <f t="shared" ref="H10630:H10693" si="332">IFERROR(IF(ROUND((G10630-I10630)/G10630,2)&lt;=0.05,G10630,0),0)</f>
        <v>13800</v>
      </c>
      <c r="I10630" s="18">
        <v>13110</v>
      </c>
      <c r="J10630" s="27">
        <v>13800</v>
      </c>
      <c r="K10630" s="18">
        <f t="shared" ref="K10630:K10693" si="333">IFERROR(IF(ROUND((J10630-L10630)/J10630,2)&lt;=0.05,J10630,0),0)</f>
        <v>13800</v>
      </c>
      <c r="L10630" s="27">
        <v>13110</v>
      </c>
      <c r="M10630" s="36">
        <v>0</v>
      </c>
      <c r="T10630" s="41">
        <v>0</v>
      </c>
      <c r="U10630" s="41">
        <v>0</v>
      </c>
      <c r="V10630" s="42" t="s">
        <v>113</v>
      </c>
      <c r="W10630" s="42">
        <v>13800</v>
      </c>
      <c r="X10630" s="42">
        <v>13800</v>
      </c>
    </row>
    <row r="10631" spans="1:24">
      <c r="A10631" s="27" t="s">
        <v>19226</v>
      </c>
      <c r="B10631" s="28" t="s">
        <v>17556</v>
      </c>
      <c r="C10631" s="27" t="s">
        <v>19227</v>
      </c>
      <c r="D10631" s="27" t="s">
        <v>112</v>
      </c>
      <c r="E10631" s="29">
        <v>39355</v>
      </c>
      <c r="F10631" s="27">
        <v>7</v>
      </c>
      <c r="G10631" s="18">
        <v>8800</v>
      </c>
      <c r="H10631" s="27">
        <f t="shared" si="332"/>
        <v>8800</v>
      </c>
      <c r="I10631" s="18">
        <v>8360</v>
      </c>
      <c r="J10631" s="27">
        <v>8800</v>
      </c>
      <c r="K10631" s="18">
        <f t="shared" si="333"/>
        <v>8800</v>
      </c>
      <c r="L10631" s="27">
        <v>8360</v>
      </c>
      <c r="M10631" s="36">
        <v>0</v>
      </c>
      <c r="T10631" s="41">
        <v>0</v>
      </c>
      <c r="U10631" s="41">
        <v>0</v>
      </c>
      <c r="V10631" s="42" t="s">
        <v>113</v>
      </c>
      <c r="W10631" s="42">
        <v>8800</v>
      </c>
      <c r="X10631" s="42">
        <v>8800</v>
      </c>
    </row>
    <row r="10632" spans="1:24">
      <c r="A10632" s="27" t="s">
        <v>19228</v>
      </c>
      <c r="B10632" s="28" t="s">
        <v>17556</v>
      </c>
      <c r="C10632" s="27" t="s">
        <v>19229</v>
      </c>
      <c r="D10632" s="27" t="s">
        <v>112</v>
      </c>
      <c r="E10632" s="29">
        <v>38382</v>
      </c>
      <c r="F10632" s="27">
        <v>7</v>
      </c>
      <c r="G10632" s="18">
        <v>36800</v>
      </c>
      <c r="H10632" s="27">
        <f t="shared" si="332"/>
        <v>36800</v>
      </c>
      <c r="I10632" s="18">
        <v>34960</v>
      </c>
      <c r="J10632" s="27">
        <v>36800</v>
      </c>
      <c r="K10632" s="18">
        <f t="shared" si="333"/>
        <v>36800</v>
      </c>
      <c r="L10632" s="27">
        <v>34960</v>
      </c>
      <c r="M10632" s="36">
        <v>0</v>
      </c>
      <c r="T10632" s="41">
        <v>0</v>
      </c>
      <c r="U10632" s="41">
        <v>0</v>
      </c>
      <c r="V10632" s="42" t="s">
        <v>113</v>
      </c>
      <c r="W10632" s="42">
        <v>36800</v>
      </c>
      <c r="X10632" s="42">
        <v>36800</v>
      </c>
    </row>
    <row r="10633" spans="1:24">
      <c r="A10633" s="27" t="s">
        <v>19230</v>
      </c>
      <c r="B10633" s="28" t="s">
        <v>17556</v>
      </c>
      <c r="C10633" s="27" t="s">
        <v>12332</v>
      </c>
      <c r="D10633" s="27" t="s">
        <v>112</v>
      </c>
      <c r="E10633" s="29">
        <v>40116</v>
      </c>
      <c r="F10633" s="27">
        <v>7</v>
      </c>
      <c r="G10633" s="18">
        <v>39078</v>
      </c>
      <c r="H10633" s="27">
        <f t="shared" si="332"/>
        <v>39078</v>
      </c>
      <c r="I10633" s="18">
        <v>37124.1</v>
      </c>
      <c r="J10633" s="27">
        <v>39078</v>
      </c>
      <c r="K10633" s="18">
        <f t="shared" si="333"/>
        <v>39078</v>
      </c>
      <c r="L10633" s="27">
        <v>37124.1</v>
      </c>
      <c r="M10633" s="36">
        <v>0</v>
      </c>
      <c r="T10633" s="41">
        <v>0</v>
      </c>
      <c r="U10633" s="41">
        <v>0</v>
      </c>
      <c r="V10633" s="42" t="s">
        <v>113</v>
      </c>
      <c r="W10633" s="42">
        <v>39078</v>
      </c>
      <c r="X10633" s="42">
        <v>39078</v>
      </c>
    </row>
    <row r="10634" spans="1:24">
      <c r="A10634" s="27" t="s">
        <v>19231</v>
      </c>
      <c r="B10634" s="28" t="s">
        <v>17556</v>
      </c>
      <c r="C10634" s="27" t="s">
        <v>19232</v>
      </c>
      <c r="D10634" s="27" t="s">
        <v>230</v>
      </c>
      <c r="E10634" s="29">
        <v>39447</v>
      </c>
      <c r="F10634" s="27">
        <v>7</v>
      </c>
      <c r="G10634" s="18">
        <v>8800</v>
      </c>
      <c r="H10634" s="27">
        <f t="shared" si="332"/>
        <v>8800</v>
      </c>
      <c r="I10634" s="18">
        <v>8360</v>
      </c>
      <c r="J10634" s="27">
        <v>8800</v>
      </c>
      <c r="K10634" s="18">
        <f t="shared" si="333"/>
        <v>8800</v>
      </c>
      <c r="L10634" s="27">
        <v>8360</v>
      </c>
      <c r="M10634" s="36">
        <v>0</v>
      </c>
      <c r="T10634" s="41">
        <v>0</v>
      </c>
      <c r="U10634" s="41">
        <v>0</v>
      </c>
      <c r="V10634" s="42" t="s">
        <v>113</v>
      </c>
      <c r="W10634" s="42">
        <v>8800</v>
      </c>
      <c r="X10634" s="42">
        <v>8800</v>
      </c>
    </row>
    <row r="10635" spans="1:24">
      <c r="A10635" s="27" t="s">
        <v>19233</v>
      </c>
      <c r="B10635" s="28" t="s">
        <v>17556</v>
      </c>
      <c r="C10635" s="27" t="s">
        <v>19234</v>
      </c>
      <c r="D10635" s="27" t="s">
        <v>112</v>
      </c>
      <c r="E10635" s="29">
        <v>38686</v>
      </c>
      <c r="F10635" s="27">
        <v>7</v>
      </c>
      <c r="G10635" s="18">
        <v>0</v>
      </c>
      <c r="H10635" s="27">
        <f t="shared" si="332"/>
        <v>0</v>
      </c>
      <c r="I10635" s="18">
        <v>0</v>
      </c>
      <c r="J10635" s="27">
        <v>0</v>
      </c>
      <c r="K10635" s="18">
        <f t="shared" si="333"/>
        <v>0</v>
      </c>
      <c r="L10635" s="27">
        <v>0</v>
      </c>
      <c r="M10635" s="36">
        <v>0</v>
      </c>
      <c r="T10635" s="41">
        <v>0</v>
      </c>
      <c r="U10635" s="41">
        <v>0</v>
      </c>
      <c r="V10635" s="42" t="s">
        <v>113</v>
      </c>
      <c r="W10635" s="42">
        <v>0</v>
      </c>
      <c r="X10635" s="42">
        <v>0</v>
      </c>
    </row>
    <row r="10636" spans="1:24">
      <c r="A10636" s="27" t="s">
        <v>19235</v>
      </c>
      <c r="B10636" s="28" t="s">
        <v>17556</v>
      </c>
      <c r="C10636" s="27" t="s">
        <v>19236</v>
      </c>
      <c r="D10636" s="27" t="s">
        <v>112</v>
      </c>
      <c r="E10636" s="29">
        <v>38625</v>
      </c>
      <c r="F10636" s="27">
        <v>7</v>
      </c>
      <c r="G10636" s="18">
        <v>21600</v>
      </c>
      <c r="H10636" s="27">
        <f t="shared" si="332"/>
        <v>21600</v>
      </c>
      <c r="I10636" s="18">
        <v>20520</v>
      </c>
      <c r="J10636" s="27">
        <v>21600</v>
      </c>
      <c r="K10636" s="18">
        <f t="shared" si="333"/>
        <v>21600</v>
      </c>
      <c r="L10636" s="27">
        <v>20520</v>
      </c>
      <c r="M10636" s="36">
        <v>0</v>
      </c>
      <c r="T10636" s="41">
        <v>0</v>
      </c>
      <c r="U10636" s="41">
        <v>0</v>
      </c>
      <c r="V10636" s="42" t="s">
        <v>113</v>
      </c>
      <c r="W10636" s="42">
        <v>21600</v>
      </c>
      <c r="X10636" s="42">
        <v>21600</v>
      </c>
    </row>
    <row r="10637" spans="1:24">
      <c r="A10637" s="27" t="s">
        <v>19237</v>
      </c>
      <c r="B10637" s="28" t="s">
        <v>17556</v>
      </c>
      <c r="C10637" s="27" t="s">
        <v>19238</v>
      </c>
      <c r="D10637" s="27" t="s">
        <v>230</v>
      </c>
      <c r="E10637" s="29">
        <v>38382</v>
      </c>
      <c r="F10637" s="27">
        <v>7</v>
      </c>
      <c r="G10637" s="18">
        <v>9170</v>
      </c>
      <c r="H10637" s="27">
        <f t="shared" si="332"/>
        <v>9170</v>
      </c>
      <c r="I10637" s="18">
        <v>8711.5</v>
      </c>
      <c r="J10637" s="27">
        <v>9170</v>
      </c>
      <c r="K10637" s="18">
        <f t="shared" si="333"/>
        <v>9170</v>
      </c>
      <c r="L10637" s="27">
        <v>8711.5</v>
      </c>
      <c r="M10637" s="36">
        <v>0</v>
      </c>
      <c r="T10637" s="41">
        <v>0</v>
      </c>
      <c r="U10637" s="41">
        <v>0</v>
      </c>
      <c r="V10637" s="42" t="s">
        <v>113</v>
      </c>
      <c r="W10637" s="42">
        <v>9170</v>
      </c>
      <c r="X10637" s="42">
        <v>9170</v>
      </c>
    </row>
    <row r="10638" spans="1:24">
      <c r="A10638" s="27" t="s">
        <v>19239</v>
      </c>
      <c r="B10638" s="28" t="s">
        <v>17556</v>
      </c>
      <c r="C10638" s="27" t="s">
        <v>19240</v>
      </c>
      <c r="D10638" s="27" t="s">
        <v>17578</v>
      </c>
      <c r="E10638" s="29">
        <v>39324</v>
      </c>
      <c r="F10638" s="27">
        <v>7</v>
      </c>
      <c r="G10638" s="18">
        <v>8800</v>
      </c>
      <c r="H10638" s="27">
        <f t="shared" si="332"/>
        <v>8800</v>
      </c>
      <c r="I10638" s="18">
        <v>8360</v>
      </c>
      <c r="J10638" s="27">
        <v>8800</v>
      </c>
      <c r="K10638" s="18">
        <f t="shared" si="333"/>
        <v>8800</v>
      </c>
      <c r="L10638" s="27">
        <v>8360</v>
      </c>
      <c r="M10638" s="36">
        <v>0</v>
      </c>
      <c r="T10638" s="41">
        <v>0</v>
      </c>
      <c r="U10638" s="41">
        <v>0</v>
      </c>
      <c r="V10638" s="42" t="s">
        <v>113</v>
      </c>
      <c r="W10638" s="42">
        <v>8800</v>
      </c>
      <c r="X10638" s="42">
        <v>8800</v>
      </c>
    </row>
    <row r="10639" spans="1:24">
      <c r="A10639" s="27" t="s">
        <v>19241</v>
      </c>
      <c r="B10639" s="28" t="s">
        <v>17556</v>
      </c>
      <c r="C10639" s="27" t="s">
        <v>19242</v>
      </c>
      <c r="D10639" s="27" t="s">
        <v>230</v>
      </c>
      <c r="E10639" s="29">
        <v>38533</v>
      </c>
      <c r="F10639" s="27">
        <v>7</v>
      </c>
      <c r="G10639" s="18">
        <v>27510</v>
      </c>
      <c r="H10639" s="27">
        <f t="shared" si="332"/>
        <v>27510</v>
      </c>
      <c r="I10639" s="18">
        <v>26134.5</v>
      </c>
      <c r="J10639" s="27">
        <v>27510</v>
      </c>
      <c r="K10639" s="18">
        <f t="shared" si="333"/>
        <v>27510</v>
      </c>
      <c r="L10639" s="27">
        <v>26134.5</v>
      </c>
      <c r="M10639" s="36">
        <v>0</v>
      </c>
      <c r="T10639" s="41">
        <v>0</v>
      </c>
      <c r="U10639" s="41">
        <v>0</v>
      </c>
      <c r="V10639" s="42" t="s">
        <v>113</v>
      </c>
      <c r="W10639" s="42">
        <v>27510</v>
      </c>
      <c r="X10639" s="42">
        <v>27510</v>
      </c>
    </row>
    <row r="10640" spans="1:24">
      <c r="A10640" s="27" t="s">
        <v>19243</v>
      </c>
      <c r="B10640" s="28" t="s">
        <v>17556</v>
      </c>
      <c r="C10640" s="27" t="s">
        <v>19244</v>
      </c>
      <c r="D10640" s="27" t="s">
        <v>17578</v>
      </c>
      <c r="E10640" s="29">
        <v>42353</v>
      </c>
      <c r="F10640" s="27">
        <v>7</v>
      </c>
      <c r="G10640" s="18">
        <v>493461.31</v>
      </c>
      <c r="H10640" s="27">
        <f t="shared" si="332"/>
        <v>0</v>
      </c>
      <c r="I10640" s="18">
        <v>200909.25</v>
      </c>
      <c r="J10640" s="27">
        <v>493461.31</v>
      </c>
      <c r="K10640" s="18">
        <f t="shared" si="333"/>
        <v>0</v>
      </c>
      <c r="L10640" s="27">
        <v>267879</v>
      </c>
      <c r="M10640" s="36">
        <v>66969.75</v>
      </c>
      <c r="T10640" s="41">
        <v>0</v>
      </c>
      <c r="U10640" s="41">
        <v>0</v>
      </c>
      <c r="V10640" s="42" t="s">
        <v>113</v>
      </c>
      <c r="W10640" s="42">
        <v>0</v>
      </c>
      <c r="X10640" s="42">
        <v>0</v>
      </c>
    </row>
    <row r="10641" spans="1:24">
      <c r="A10641" s="27" t="s">
        <v>19245</v>
      </c>
      <c r="B10641" s="28" t="s">
        <v>17556</v>
      </c>
      <c r="C10641" s="27" t="s">
        <v>19246</v>
      </c>
      <c r="D10641" s="27" t="s">
        <v>17578</v>
      </c>
      <c r="E10641" s="29">
        <v>42353</v>
      </c>
      <c r="F10641" s="27">
        <v>7</v>
      </c>
      <c r="G10641" s="18">
        <v>14208.6</v>
      </c>
      <c r="H10641" s="27">
        <f t="shared" si="332"/>
        <v>0</v>
      </c>
      <c r="I10641" s="18">
        <v>5784.93</v>
      </c>
      <c r="J10641" s="27">
        <v>14208.6</v>
      </c>
      <c r="K10641" s="18">
        <f t="shared" si="333"/>
        <v>0</v>
      </c>
      <c r="L10641" s="27">
        <v>7713.24</v>
      </c>
      <c r="M10641" s="36">
        <v>1928.31</v>
      </c>
      <c r="T10641" s="41">
        <v>0</v>
      </c>
      <c r="U10641" s="41">
        <v>0</v>
      </c>
      <c r="V10641" s="42" t="s">
        <v>113</v>
      </c>
      <c r="W10641" s="42">
        <v>0</v>
      </c>
      <c r="X10641" s="42">
        <v>0</v>
      </c>
    </row>
    <row r="10642" spans="1:24">
      <c r="A10642" s="27" t="s">
        <v>19247</v>
      </c>
      <c r="B10642" s="28" t="s">
        <v>17556</v>
      </c>
      <c r="C10642" s="27" t="s">
        <v>19248</v>
      </c>
      <c r="D10642" s="27" t="s">
        <v>17578</v>
      </c>
      <c r="E10642" s="29">
        <v>42353</v>
      </c>
      <c r="F10642" s="27">
        <v>7</v>
      </c>
      <c r="G10642" s="18">
        <v>80861.45</v>
      </c>
      <c r="H10642" s="27">
        <f t="shared" si="332"/>
        <v>0</v>
      </c>
      <c r="I10642" s="18">
        <v>32922.160000000003</v>
      </c>
      <c r="J10642" s="27">
        <v>80861.45</v>
      </c>
      <c r="K10642" s="18">
        <f t="shared" si="333"/>
        <v>0</v>
      </c>
      <c r="L10642" s="27">
        <v>43896.22</v>
      </c>
      <c r="M10642" s="36">
        <v>10974.06</v>
      </c>
      <c r="T10642" s="41">
        <v>0</v>
      </c>
      <c r="U10642" s="41">
        <v>0</v>
      </c>
      <c r="V10642" s="42" t="s">
        <v>113</v>
      </c>
      <c r="W10642" s="42">
        <v>0</v>
      </c>
      <c r="X10642" s="42">
        <v>0</v>
      </c>
    </row>
    <row r="10643" spans="1:24">
      <c r="A10643" s="27" t="s">
        <v>19249</v>
      </c>
      <c r="B10643" s="28" t="s">
        <v>17556</v>
      </c>
      <c r="C10643" s="27" t="s">
        <v>19250</v>
      </c>
      <c r="D10643" s="27" t="s">
        <v>17578</v>
      </c>
      <c r="E10643" s="29">
        <v>42353</v>
      </c>
      <c r="F10643" s="27">
        <v>7</v>
      </c>
      <c r="G10643" s="18">
        <v>20996.400000000001</v>
      </c>
      <c r="H10643" s="27">
        <f t="shared" si="332"/>
        <v>0</v>
      </c>
      <c r="I10643" s="18">
        <v>8548.5300000000007</v>
      </c>
      <c r="J10643" s="27">
        <v>20996.400000000001</v>
      </c>
      <c r="K10643" s="18">
        <f t="shared" si="333"/>
        <v>0</v>
      </c>
      <c r="L10643" s="27">
        <v>11398.04</v>
      </c>
      <c r="M10643" s="36">
        <v>2849.51</v>
      </c>
      <c r="T10643" s="41">
        <v>0</v>
      </c>
      <c r="U10643" s="41">
        <v>0</v>
      </c>
      <c r="V10643" s="42" t="s">
        <v>113</v>
      </c>
      <c r="W10643" s="42">
        <v>0</v>
      </c>
      <c r="X10643" s="42">
        <v>0</v>
      </c>
    </row>
    <row r="10644" spans="1:24">
      <c r="A10644" s="27" t="s">
        <v>19251</v>
      </c>
      <c r="B10644" s="28" t="s">
        <v>17556</v>
      </c>
      <c r="C10644" s="27" t="s">
        <v>19252</v>
      </c>
      <c r="D10644" s="27" t="s">
        <v>17578</v>
      </c>
      <c r="E10644" s="29">
        <v>42353</v>
      </c>
      <c r="F10644" s="27">
        <v>7</v>
      </c>
      <c r="G10644" s="18">
        <v>68586.87</v>
      </c>
      <c r="H10644" s="27">
        <f t="shared" si="332"/>
        <v>0</v>
      </c>
      <c r="I10644" s="18">
        <v>27924.66</v>
      </c>
      <c r="J10644" s="27">
        <v>68586.87</v>
      </c>
      <c r="K10644" s="18">
        <f t="shared" si="333"/>
        <v>0</v>
      </c>
      <c r="L10644" s="27">
        <v>37232.879999999997</v>
      </c>
      <c r="M10644" s="36">
        <v>9308.2199999999993</v>
      </c>
      <c r="T10644" s="41">
        <v>0</v>
      </c>
      <c r="U10644" s="41">
        <v>0</v>
      </c>
      <c r="V10644" s="42" t="s">
        <v>113</v>
      </c>
      <c r="W10644" s="42">
        <v>0</v>
      </c>
      <c r="X10644" s="42">
        <v>0</v>
      </c>
    </row>
    <row r="10645" spans="1:24">
      <c r="A10645" s="27" t="s">
        <v>19253</v>
      </c>
      <c r="B10645" s="28" t="s">
        <v>17556</v>
      </c>
      <c r="C10645" s="27" t="s">
        <v>19254</v>
      </c>
      <c r="D10645" s="27" t="s">
        <v>17578</v>
      </c>
      <c r="E10645" s="29">
        <v>42353</v>
      </c>
      <c r="F10645" s="27">
        <v>7</v>
      </c>
      <c r="G10645" s="18">
        <v>888535.01</v>
      </c>
      <c r="H10645" s="27">
        <f t="shared" si="332"/>
        <v>0</v>
      </c>
      <c r="I10645" s="18">
        <v>361662.62</v>
      </c>
      <c r="J10645" s="27">
        <v>888535.01</v>
      </c>
      <c r="K10645" s="18">
        <f t="shared" si="333"/>
        <v>0</v>
      </c>
      <c r="L10645" s="27">
        <v>482274.03</v>
      </c>
      <c r="M10645" s="36">
        <v>120611.41</v>
      </c>
      <c r="T10645" s="41">
        <v>0</v>
      </c>
      <c r="U10645" s="41">
        <v>0</v>
      </c>
      <c r="V10645" s="42" t="s">
        <v>113</v>
      </c>
      <c r="W10645" s="42">
        <v>0</v>
      </c>
      <c r="X10645" s="42">
        <v>0</v>
      </c>
    </row>
    <row r="10646" spans="1:24">
      <c r="A10646" s="27" t="s">
        <v>19255</v>
      </c>
      <c r="B10646" s="28" t="s">
        <v>17556</v>
      </c>
      <c r="C10646" s="27" t="s">
        <v>19256</v>
      </c>
      <c r="D10646" s="27" t="s">
        <v>17578</v>
      </c>
      <c r="E10646" s="29">
        <v>42353</v>
      </c>
      <c r="F10646" s="27">
        <v>7</v>
      </c>
      <c r="G10646" s="18">
        <v>99545.34</v>
      </c>
      <c r="H10646" s="27">
        <f t="shared" si="332"/>
        <v>0</v>
      </c>
      <c r="I10646" s="18">
        <v>40529.17</v>
      </c>
      <c r="J10646" s="27">
        <v>99545.34</v>
      </c>
      <c r="K10646" s="18">
        <f t="shared" si="333"/>
        <v>0</v>
      </c>
      <c r="L10646" s="27">
        <v>54038.9</v>
      </c>
      <c r="M10646" s="36">
        <v>13509.73</v>
      </c>
      <c r="T10646" s="41">
        <v>0</v>
      </c>
      <c r="U10646" s="41">
        <v>0</v>
      </c>
      <c r="V10646" s="42" t="s">
        <v>113</v>
      </c>
      <c r="W10646" s="42">
        <v>0</v>
      </c>
      <c r="X10646" s="42">
        <v>0</v>
      </c>
    </row>
    <row r="10647" spans="1:24">
      <c r="A10647" s="27" t="s">
        <v>19257</v>
      </c>
      <c r="B10647" s="28" t="s">
        <v>17556</v>
      </c>
      <c r="C10647" s="27" t="s">
        <v>19258</v>
      </c>
      <c r="D10647" s="27" t="s">
        <v>17578</v>
      </c>
      <c r="E10647" s="29">
        <v>40843</v>
      </c>
      <c r="F10647" s="27">
        <v>7</v>
      </c>
      <c r="G10647" s="18">
        <v>2258.81</v>
      </c>
      <c r="H10647" s="27">
        <f t="shared" si="332"/>
        <v>2258.81</v>
      </c>
      <c r="I10647" s="18">
        <v>2145.87</v>
      </c>
      <c r="J10647" s="27">
        <v>2258.81</v>
      </c>
      <c r="K10647" s="18">
        <f t="shared" si="333"/>
        <v>2258.81</v>
      </c>
      <c r="L10647" s="27">
        <v>2145.87</v>
      </c>
      <c r="M10647" s="36">
        <v>0</v>
      </c>
      <c r="T10647" s="41">
        <v>0</v>
      </c>
      <c r="U10647" s="41">
        <v>0</v>
      </c>
      <c r="V10647" s="42" t="s">
        <v>113</v>
      </c>
      <c r="W10647" s="42">
        <v>2258.81</v>
      </c>
      <c r="X10647" s="42">
        <v>2258.81</v>
      </c>
    </row>
    <row r="10648" spans="1:24">
      <c r="A10648" s="27" t="s">
        <v>19259</v>
      </c>
      <c r="B10648" s="28" t="s">
        <v>17556</v>
      </c>
      <c r="C10648" s="27" t="s">
        <v>19260</v>
      </c>
      <c r="D10648" s="27" t="s">
        <v>17578</v>
      </c>
      <c r="E10648" s="29">
        <v>40843</v>
      </c>
      <c r="F10648" s="27">
        <v>7</v>
      </c>
      <c r="G10648" s="18">
        <v>2258.8200000000002</v>
      </c>
      <c r="H10648" s="27">
        <f t="shared" si="332"/>
        <v>2258.8200000000002</v>
      </c>
      <c r="I10648" s="18">
        <v>2145.88</v>
      </c>
      <c r="J10648" s="27">
        <v>2258.8200000000002</v>
      </c>
      <c r="K10648" s="18">
        <f t="shared" si="333"/>
        <v>2258.8200000000002</v>
      </c>
      <c r="L10648" s="27">
        <v>2145.88</v>
      </c>
      <c r="M10648" s="36">
        <v>0</v>
      </c>
      <c r="T10648" s="41">
        <v>0</v>
      </c>
      <c r="U10648" s="41">
        <v>0</v>
      </c>
      <c r="V10648" s="42" t="s">
        <v>113</v>
      </c>
      <c r="W10648" s="42">
        <v>2258.8200000000002</v>
      </c>
      <c r="X10648" s="42">
        <v>2258.8200000000002</v>
      </c>
    </row>
    <row r="10649" spans="1:24">
      <c r="A10649" s="27" t="s">
        <v>19261</v>
      </c>
      <c r="B10649" s="28" t="s">
        <v>17556</v>
      </c>
      <c r="C10649" s="27" t="s">
        <v>19262</v>
      </c>
      <c r="D10649" s="27" t="s">
        <v>17578</v>
      </c>
      <c r="E10649" s="29">
        <v>40843</v>
      </c>
      <c r="F10649" s="27">
        <v>7</v>
      </c>
      <c r="G10649" s="18">
        <v>2258.81</v>
      </c>
      <c r="H10649" s="27">
        <f t="shared" si="332"/>
        <v>2258.81</v>
      </c>
      <c r="I10649" s="18">
        <v>2145.87</v>
      </c>
      <c r="J10649" s="27">
        <v>2258.81</v>
      </c>
      <c r="K10649" s="18">
        <f t="shared" si="333"/>
        <v>2258.81</v>
      </c>
      <c r="L10649" s="27">
        <v>2145.87</v>
      </c>
      <c r="M10649" s="36">
        <v>0</v>
      </c>
      <c r="T10649" s="41">
        <v>0</v>
      </c>
      <c r="U10649" s="41">
        <v>0</v>
      </c>
      <c r="V10649" s="42" t="s">
        <v>113</v>
      </c>
      <c r="W10649" s="42">
        <v>2258.81</v>
      </c>
      <c r="X10649" s="42">
        <v>2258.81</v>
      </c>
    </row>
    <row r="10650" spans="1:24">
      <c r="A10650" s="27" t="s">
        <v>19263</v>
      </c>
      <c r="B10650" s="28" t="s">
        <v>17556</v>
      </c>
      <c r="C10650" s="27" t="s">
        <v>19264</v>
      </c>
      <c r="D10650" s="27" t="s">
        <v>17578</v>
      </c>
      <c r="E10650" s="29">
        <v>40843</v>
      </c>
      <c r="F10650" s="27">
        <v>7</v>
      </c>
      <c r="G10650" s="18">
        <v>2258.81</v>
      </c>
      <c r="H10650" s="27">
        <f t="shared" si="332"/>
        <v>2258.81</v>
      </c>
      <c r="I10650" s="18">
        <v>2145.87</v>
      </c>
      <c r="J10650" s="27">
        <v>2258.81</v>
      </c>
      <c r="K10650" s="18">
        <f t="shared" si="333"/>
        <v>2258.81</v>
      </c>
      <c r="L10650" s="27">
        <v>2145.87</v>
      </c>
      <c r="M10650" s="36">
        <v>0</v>
      </c>
      <c r="T10650" s="41">
        <v>0</v>
      </c>
      <c r="U10650" s="41">
        <v>0</v>
      </c>
      <c r="V10650" s="42" t="s">
        <v>113</v>
      </c>
      <c r="W10650" s="42">
        <v>2258.81</v>
      </c>
      <c r="X10650" s="42">
        <v>2258.81</v>
      </c>
    </row>
    <row r="10651" spans="1:24">
      <c r="A10651" s="27" t="s">
        <v>19265</v>
      </c>
      <c r="B10651" s="28" t="s">
        <v>17556</v>
      </c>
      <c r="C10651" s="27" t="s">
        <v>19266</v>
      </c>
      <c r="D10651" s="27" t="s">
        <v>17578</v>
      </c>
      <c r="E10651" s="29">
        <v>40843</v>
      </c>
      <c r="F10651" s="27">
        <v>7</v>
      </c>
      <c r="G10651" s="18">
        <v>2258.81</v>
      </c>
      <c r="H10651" s="27">
        <f t="shared" si="332"/>
        <v>2258.81</v>
      </c>
      <c r="I10651" s="18">
        <v>2145.87</v>
      </c>
      <c r="J10651" s="27">
        <v>2258.81</v>
      </c>
      <c r="K10651" s="18">
        <f t="shared" si="333"/>
        <v>2258.81</v>
      </c>
      <c r="L10651" s="27">
        <v>2145.87</v>
      </c>
      <c r="M10651" s="36">
        <v>0</v>
      </c>
      <c r="T10651" s="41">
        <v>0</v>
      </c>
      <c r="U10651" s="41">
        <v>0</v>
      </c>
      <c r="V10651" s="42" t="s">
        <v>113</v>
      </c>
      <c r="W10651" s="42">
        <v>2258.81</v>
      </c>
      <c r="X10651" s="42">
        <v>2258.81</v>
      </c>
    </row>
    <row r="10652" spans="1:24">
      <c r="A10652" s="27" t="s">
        <v>19267</v>
      </c>
      <c r="B10652" s="28" t="s">
        <v>17556</v>
      </c>
      <c r="C10652" s="27" t="s">
        <v>19268</v>
      </c>
      <c r="D10652" s="27" t="s">
        <v>17578</v>
      </c>
      <c r="E10652" s="29">
        <v>40843</v>
      </c>
      <c r="F10652" s="27">
        <v>7</v>
      </c>
      <c r="G10652" s="18">
        <v>2258.81</v>
      </c>
      <c r="H10652" s="27">
        <f t="shared" si="332"/>
        <v>2258.81</v>
      </c>
      <c r="I10652" s="18">
        <v>2145.87</v>
      </c>
      <c r="J10652" s="27">
        <v>2258.81</v>
      </c>
      <c r="K10652" s="18">
        <f t="shared" si="333"/>
        <v>2258.81</v>
      </c>
      <c r="L10652" s="27">
        <v>2145.87</v>
      </c>
      <c r="M10652" s="36">
        <v>0</v>
      </c>
      <c r="T10652" s="41">
        <v>0</v>
      </c>
      <c r="U10652" s="41">
        <v>0</v>
      </c>
      <c r="V10652" s="42" t="s">
        <v>113</v>
      </c>
      <c r="W10652" s="42">
        <v>2258.81</v>
      </c>
      <c r="X10652" s="42">
        <v>2258.81</v>
      </c>
    </row>
    <row r="10653" spans="1:24">
      <c r="A10653" s="27" t="s">
        <v>19269</v>
      </c>
      <c r="B10653" s="28" t="s">
        <v>17556</v>
      </c>
      <c r="C10653" s="27" t="s">
        <v>19270</v>
      </c>
      <c r="D10653" s="27" t="s">
        <v>17578</v>
      </c>
      <c r="E10653" s="29">
        <v>40843</v>
      </c>
      <c r="F10653" s="27">
        <v>7</v>
      </c>
      <c r="G10653" s="18">
        <v>2258.81</v>
      </c>
      <c r="H10653" s="27">
        <f t="shared" si="332"/>
        <v>2258.81</v>
      </c>
      <c r="I10653" s="18">
        <v>2145.87</v>
      </c>
      <c r="J10653" s="27">
        <v>2258.81</v>
      </c>
      <c r="K10653" s="18">
        <f t="shared" si="333"/>
        <v>2258.81</v>
      </c>
      <c r="L10653" s="27">
        <v>2145.87</v>
      </c>
      <c r="M10653" s="36">
        <v>0</v>
      </c>
      <c r="T10653" s="41">
        <v>0</v>
      </c>
      <c r="U10653" s="41">
        <v>0</v>
      </c>
      <c r="V10653" s="42" t="s">
        <v>113</v>
      </c>
      <c r="W10653" s="42">
        <v>2258.81</v>
      </c>
      <c r="X10653" s="42">
        <v>2258.81</v>
      </c>
    </row>
    <row r="10654" spans="1:24">
      <c r="A10654" s="27" t="s">
        <v>19271</v>
      </c>
      <c r="B10654" s="28" t="s">
        <v>17556</v>
      </c>
      <c r="C10654" s="27" t="s">
        <v>19272</v>
      </c>
      <c r="D10654" s="27" t="s">
        <v>17578</v>
      </c>
      <c r="E10654" s="29">
        <v>40843</v>
      </c>
      <c r="F10654" s="27">
        <v>7</v>
      </c>
      <c r="G10654" s="18">
        <v>2258.8200000000002</v>
      </c>
      <c r="H10654" s="27">
        <f t="shared" si="332"/>
        <v>2258.8200000000002</v>
      </c>
      <c r="I10654" s="18">
        <v>2145.88</v>
      </c>
      <c r="J10654" s="27">
        <v>2258.8200000000002</v>
      </c>
      <c r="K10654" s="18">
        <f t="shared" si="333"/>
        <v>2258.8200000000002</v>
      </c>
      <c r="L10654" s="27">
        <v>2145.88</v>
      </c>
      <c r="M10654" s="36">
        <v>0</v>
      </c>
      <c r="T10654" s="41">
        <v>0</v>
      </c>
      <c r="U10654" s="41">
        <v>0</v>
      </c>
      <c r="V10654" s="42" t="s">
        <v>113</v>
      </c>
      <c r="W10654" s="42">
        <v>2258.8200000000002</v>
      </c>
      <c r="X10654" s="42">
        <v>2258.8200000000002</v>
      </c>
    </row>
    <row r="10655" spans="1:24">
      <c r="A10655" s="27" t="s">
        <v>19273</v>
      </c>
      <c r="B10655" s="28" t="s">
        <v>17556</v>
      </c>
      <c r="C10655" s="27" t="s">
        <v>19274</v>
      </c>
      <c r="D10655" s="27" t="s">
        <v>17578</v>
      </c>
      <c r="E10655" s="29">
        <v>40843</v>
      </c>
      <c r="F10655" s="27">
        <v>7</v>
      </c>
      <c r="G10655" s="18">
        <v>2258.8200000000002</v>
      </c>
      <c r="H10655" s="27">
        <f t="shared" si="332"/>
        <v>2258.8200000000002</v>
      </c>
      <c r="I10655" s="18">
        <v>2145.88</v>
      </c>
      <c r="J10655" s="27">
        <v>2258.8200000000002</v>
      </c>
      <c r="K10655" s="18">
        <f t="shared" si="333"/>
        <v>2258.8200000000002</v>
      </c>
      <c r="L10655" s="27">
        <v>2145.88</v>
      </c>
      <c r="M10655" s="36">
        <v>0</v>
      </c>
      <c r="T10655" s="41">
        <v>0</v>
      </c>
      <c r="U10655" s="41">
        <v>0</v>
      </c>
      <c r="V10655" s="42" t="s">
        <v>113</v>
      </c>
      <c r="W10655" s="42">
        <v>2258.8200000000002</v>
      </c>
      <c r="X10655" s="42">
        <v>2258.8200000000002</v>
      </c>
    </row>
    <row r="10656" spans="1:24">
      <c r="A10656" s="27" t="s">
        <v>19275</v>
      </c>
      <c r="B10656" s="28" t="s">
        <v>17556</v>
      </c>
      <c r="C10656" s="27" t="s">
        <v>19276</v>
      </c>
      <c r="D10656" s="27" t="s">
        <v>17578</v>
      </c>
      <c r="E10656" s="29">
        <v>39813</v>
      </c>
      <c r="F10656" s="27">
        <v>7</v>
      </c>
      <c r="G10656" s="18">
        <v>20400</v>
      </c>
      <c r="H10656" s="27">
        <f t="shared" si="332"/>
        <v>20400</v>
      </c>
      <c r="I10656" s="18">
        <v>19380</v>
      </c>
      <c r="J10656" s="27">
        <v>20400</v>
      </c>
      <c r="K10656" s="18">
        <f t="shared" si="333"/>
        <v>20400</v>
      </c>
      <c r="L10656" s="27">
        <v>19380</v>
      </c>
      <c r="M10656" s="36">
        <v>0</v>
      </c>
      <c r="T10656" s="41">
        <v>0</v>
      </c>
      <c r="U10656" s="41">
        <v>0</v>
      </c>
      <c r="V10656" s="42" t="s">
        <v>113</v>
      </c>
      <c r="W10656" s="42">
        <v>20400</v>
      </c>
      <c r="X10656" s="42">
        <v>20400</v>
      </c>
    </row>
    <row r="10657" spans="1:24">
      <c r="A10657" s="27" t="s">
        <v>19277</v>
      </c>
      <c r="B10657" s="28" t="s">
        <v>17556</v>
      </c>
      <c r="C10657" s="27" t="s">
        <v>17575</v>
      </c>
      <c r="D10657" s="27" t="s">
        <v>17578</v>
      </c>
      <c r="E10657" s="29">
        <v>39813</v>
      </c>
      <c r="F10657" s="27">
        <v>7</v>
      </c>
      <c r="G10657" s="18">
        <v>72260</v>
      </c>
      <c r="H10657" s="27">
        <f t="shared" si="332"/>
        <v>0</v>
      </c>
      <c r="I10657" s="18">
        <v>56865</v>
      </c>
      <c r="J10657" s="27">
        <v>72260</v>
      </c>
      <c r="K10657" s="18">
        <f t="shared" si="333"/>
        <v>72260</v>
      </c>
      <c r="L10657" s="27">
        <v>68647</v>
      </c>
      <c r="M10657" s="36">
        <v>11782</v>
      </c>
      <c r="T10657" s="41">
        <v>0</v>
      </c>
      <c r="U10657" s="41">
        <v>0</v>
      </c>
      <c r="V10657" s="42" t="s">
        <v>113</v>
      </c>
      <c r="W10657" s="42">
        <v>72260</v>
      </c>
      <c r="X10657" s="42">
        <v>72260</v>
      </c>
    </row>
    <row r="10658" spans="1:24">
      <c r="A10658" s="27" t="s">
        <v>19278</v>
      </c>
      <c r="B10658" s="28" t="s">
        <v>17556</v>
      </c>
      <c r="C10658" s="27" t="s">
        <v>19279</v>
      </c>
      <c r="D10658" s="27" t="s">
        <v>17578</v>
      </c>
      <c r="E10658" s="29">
        <v>38534</v>
      </c>
      <c r="F10658" s="27">
        <v>7</v>
      </c>
      <c r="G10658" s="18">
        <v>32073.47</v>
      </c>
      <c r="H10658" s="27">
        <f t="shared" si="332"/>
        <v>32073.47</v>
      </c>
      <c r="I10658" s="18">
        <v>30469.79</v>
      </c>
      <c r="J10658" s="27">
        <v>32073.47</v>
      </c>
      <c r="K10658" s="18">
        <f t="shared" si="333"/>
        <v>32073.47</v>
      </c>
      <c r="L10658" s="27">
        <v>30469.79</v>
      </c>
      <c r="M10658" s="36">
        <v>0</v>
      </c>
      <c r="T10658" s="41">
        <v>0</v>
      </c>
      <c r="U10658" s="41">
        <v>0</v>
      </c>
      <c r="V10658" s="42" t="s">
        <v>113</v>
      </c>
      <c r="W10658" s="42">
        <v>32073.47</v>
      </c>
      <c r="X10658" s="42">
        <v>32073.47</v>
      </c>
    </row>
    <row r="10659" spans="1:24">
      <c r="A10659" s="27" t="s">
        <v>19280</v>
      </c>
      <c r="B10659" s="28" t="s">
        <v>17556</v>
      </c>
      <c r="C10659" s="27" t="s">
        <v>19281</v>
      </c>
      <c r="D10659" s="27" t="s">
        <v>17578</v>
      </c>
      <c r="E10659" s="29">
        <v>38534</v>
      </c>
      <c r="F10659" s="27">
        <v>7</v>
      </c>
      <c r="G10659" s="18">
        <v>32073.46</v>
      </c>
      <c r="H10659" s="27">
        <f t="shared" si="332"/>
        <v>32073.46</v>
      </c>
      <c r="I10659" s="18">
        <v>30469.8</v>
      </c>
      <c r="J10659" s="27">
        <v>32073.46</v>
      </c>
      <c r="K10659" s="18">
        <f t="shared" si="333"/>
        <v>32073.46</v>
      </c>
      <c r="L10659" s="27">
        <v>30469.8</v>
      </c>
      <c r="M10659" s="36">
        <v>0</v>
      </c>
      <c r="T10659" s="41">
        <v>0</v>
      </c>
      <c r="U10659" s="41">
        <v>0</v>
      </c>
      <c r="V10659" s="42" t="s">
        <v>113</v>
      </c>
      <c r="W10659" s="42">
        <v>32073.46</v>
      </c>
      <c r="X10659" s="42">
        <v>32073.46</v>
      </c>
    </row>
    <row r="10660" spans="1:24">
      <c r="A10660" s="27" t="s">
        <v>19282</v>
      </c>
      <c r="B10660" s="28" t="s">
        <v>17556</v>
      </c>
      <c r="C10660" s="27" t="s">
        <v>19283</v>
      </c>
      <c r="D10660" s="27" t="s">
        <v>17578</v>
      </c>
      <c r="E10660" s="29">
        <v>42914</v>
      </c>
      <c r="F10660" s="27">
        <v>7</v>
      </c>
      <c r="G10660" s="18">
        <v>203093.97</v>
      </c>
      <c r="H10660" s="27">
        <f t="shared" si="332"/>
        <v>0</v>
      </c>
      <c r="I10660" s="18">
        <v>41344.129999999997</v>
      </c>
      <c r="J10660" s="27">
        <v>203093.97</v>
      </c>
      <c r="K10660" s="18">
        <f t="shared" si="333"/>
        <v>0</v>
      </c>
      <c r="L10660" s="27">
        <v>68906.880000000005</v>
      </c>
      <c r="M10660" s="36">
        <v>27562.75</v>
      </c>
      <c r="T10660" s="41">
        <v>0</v>
      </c>
      <c r="U10660" s="41">
        <v>0</v>
      </c>
      <c r="V10660" s="42" t="s">
        <v>113</v>
      </c>
      <c r="W10660" s="42">
        <v>0</v>
      </c>
      <c r="X10660" s="42">
        <v>0</v>
      </c>
    </row>
    <row r="10661" spans="1:24">
      <c r="A10661" s="27" t="s">
        <v>19284</v>
      </c>
      <c r="B10661" s="28" t="s">
        <v>17556</v>
      </c>
      <c r="C10661" s="27" t="s">
        <v>19285</v>
      </c>
      <c r="D10661" s="27" t="s">
        <v>17578</v>
      </c>
      <c r="E10661" s="29">
        <v>42914</v>
      </c>
      <c r="F10661" s="27">
        <v>7</v>
      </c>
      <c r="G10661" s="18">
        <v>786393.3</v>
      </c>
      <c r="H10661" s="27">
        <f t="shared" si="332"/>
        <v>0</v>
      </c>
      <c r="I10661" s="18">
        <v>160087.20000000001</v>
      </c>
      <c r="J10661" s="27">
        <v>786393.3</v>
      </c>
      <c r="K10661" s="18">
        <f t="shared" si="333"/>
        <v>0</v>
      </c>
      <c r="L10661" s="27">
        <v>266812.01</v>
      </c>
      <c r="M10661" s="36">
        <v>106724.81</v>
      </c>
      <c r="T10661" s="41">
        <v>0</v>
      </c>
      <c r="U10661" s="41">
        <v>0</v>
      </c>
      <c r="V10661" s="42" t="s">
        <v>113</v>
      </c>
      <c r="W10661" s="42">
        <v>0</v>
      </c>
      <c r="X10661" s="42">
        <v>0</v>
      </c>
    </row>
    <row r="10662" spans="1:24">
      <c r="A10662" s="27" t="s">
        <v>19286</v>
      </c>
      <c r="B10662" s="28" t="s">
        <v>17556</v>
      </c>
      <c r="C10662" s="27" t="s">
        <v>19287</v>
      </c>
      <c r="D10662" s="27" t="s">
        <v>17578</v>
      </c>
      <c r="E10662" s="29">
        <v>42914</v>
      </c>
      <c r="F10662" s="27">
        <v>7</v>
      </c>
      <c r="G10662" s="18">
        <v>109220.91</v>
      </c>
      <c r="H10662" s="27">
        <f t="shared" si="332"/>
        <v>0</v>
      </c>
      <c r="I10662" s="18">
        <v>22234.26</v>
      </c>
      <c r="J10662" s="27">
        <v>109220.91</v>
      </c>
      <c r="K10662" s="18">
        <f t="shared" si="333"/>
        <v>0</v>
      </c>
      <c r="L10662" s="27">
        <v>37057.1</v>
      </c>
      <c r="M10662" s="36">
        <v>14822.84</v>
      </c>
      <c r="T10662" s="41">
        <v>0</v>
      </c>
      <c r="U10662" s="41">
        <v>0</v>
      </c>
      <c r="V10662" s="42" t="s">
        <v>113</v>
      </c>
      <c r="W10662" s="42">
        <v>0</v>
      </c>
      <c r="X10662" s="42">
        <v>0</v>
      </c>
    </row>
    <row r="10663" spans="1:24">
      <c r="A10663" s="27" t="s">
        <v>19288</v>
      </c>
      <c r="B10663" s="28" t="s">
        <v>17556</v>
      </c>
      <c r="C10663" s="27" t="s">
        <v>19289</v>
      </c>
      <c r="D10663" s="27" t="s">
        <v>17578</v>
      </c>
      <c r="E10663" s="29">
        <v>43403</v>
      </c>
      <c r="F10663" s="27">
        <v>7</v>
      </c>
      <c r="G10663" s="18">
        <v>11036.85</v>
      </c>
      <c r="H10663" s="27">
        <f t="shared" si="332"/>
        <v>0</v>
      </c>
      <c r="I10663" s="18">
        <v>249.64</v>
      </c>
      <c r="J10663" s="27">
        <v>11036.85</v>
      </c>
      <c r="K10663" s="18">
        <f t="shared" si="333"/>
        <v>0</v>
      </c>
      <c r="L10663" s="27">
        <v>1747.5</v>
      </c>
      <c r="M10663" s="36">
        <v>1497.86</v>
      </c>
      <c r="T10663" s="41">
        <v>0</v>
      </c>
      <c r="U10663" s="41">
        <v>0</v>
      </c>
      <c r="V10663" s="42" t="s">
        <v>113</v>
      </c>
      <c r="W10663" s="42">
        <v>0</v>
      </c>
      <c r="X10663" s="42">
        <v>0</v>
      </c>
    </row>
    <row r="10664" spans="1:24">
      <c r="A10664" s="27" t="s">
        <v>19290</v>
      </c>
      <c r="B10664" s="28" t="s">
        <v>17556</v>
      </c>
      <c r="C10664" s="27" t="s">
        <v>19291</v>
      </c>
      <c r="D10664" s="27" t="s">
        <v>17578</v>
      </c>
      <c r="E10664" s="29">
        <v>43403</v>
      </c>
      <c r="F10664" s="27">
        <v>7</v>
      </c>
      <c r="G10664" s="18">
        <v>1434.87</v>
      </c>
      <c r="H10664" s="27">
        <f t="shared" si="332"/>
        <v>0</v>
      </c>
      <c r="I10664" s="18">
        <v>32.46</v>
      </c>
      <c r="J10664" s="27">
        <v>1434.87</v>
      </c>
      <c r="K10664" s="18">
        <f t="shared" si="333"/>
        <v>0</v>
      </c>
      <c r="L10664" s="27">
        <v>227.19</v>
      </c>
      <c r="M10664" s="36">
        <v>194.73</v>
      </c>
      <c r="T10664" s="41">
        <v>0</v>
      </c>
      <c r="U10664" s="41">
        <v>0</v>
      </c>
      <c r="V10664" s="42" t="s">
        <v>113</v>
      </c>
      <c r="W10664" s="42">
        <v>0</v>
      </c>
      <c r="X10664" s="42">
        <v>0</v>
      </c>
    </row>
    <row r="10665" spans="1:24">
      <c r="A10665" s="27" t="s">
        <v>19292</v>
      </c>
      <c r="B10665" s="28" t="s">
        <v>17556</v>
      </c>
      <c r="C10665" s="27" t="s">
        <v>19293</v>
      </c>
      <c r="D10665" s="27" t="s">
        <v>17578</v>
      </c>
      <c r="E10665" s="29">
        <v>43403</v>
      </c>
      <c r="F10665" s="27">
        <v>7</v>
      </c>
      <c r="G10665" s="18">
        <v>270.45</v>
      </c>
      <c r="H10665" s="27">
        <f t="shared" si="332"/>
        <v>0</v>
      </c>
      <c r="I10665" s="18">
        <v>6.12</v>
      </c>
      <c r="J10665" s="27">
        <v>270.45</v>
      </c>
      <c r="K10665" s="18">
        <f t="shared" si="333"/>
        <v>0</v>
      </c>
      <c r="L10665" s="27">
        <v>42.82</v>
      </c>
      <c r="M10665" s="36">
        <v>36.700000000000003</v>
      </c>
      <c r="T10665" s="41">
        <v>0</v>
      </c>
      <c r="U10665" s="41">
        <v>0</v>
      </c>
      <c r="V10665" s="42" t="s">
        <v>113</v>
      </c>
      <c r="W10665" s="42">
        <v>0</v>
      </c>
      <c r="X10665" s="42">
        <v>0</v>
      </c>
    </row>
    <row r="10666" spans="1:24">
      <c r="A10666" s="27" t="s">
        <v>19294</v>
      </c>
      <c r="B10666" s="28" t="s">
        <v>17556</v>
      </c>
      <c r="C10666" s="27" t="s">
        <v>19289</v>
      </c>
      <c r="D10666" s="27" t="s">
        <v>17578</v>
      </c>
      <c r="E10666" s="29">
        <v>43403</v>
      </c>
      <c r="F10666" s="27">
        <v>7</v>
      </c>
      <c r="G10666" s="18">
        <v>11036.85</v>
      </c>
      <c r="H10666" s="27">
        <f t="shared" si="332"/>
        <v>0</v>
      </c>
      <c r="I10666" s="18">
        <v>249.64</v>
      </c>
      <c r="J10666" s="27">
        <v>11036.85</v>
      </c>
      <c r="K10666" s="18">
        <f t="shared" si="333"/>
        <v>0</v>
      </c>
      <c r="L10666" s="27">
        <v>1747.5</v>
      </c>
      <c r="M10666" s="36">
        <v>1497.86</v>
      </c>
      <c r="T10666" s="41">
        <v>0</v>
      </c>
      <c r="U10666" s="41">
        <v>0</v>
      </c>
      <c r="V10666" s="42" t="s">
        <v>113</v>
      </c>
      <c r="W10666" s="42">
        <v>0</v>
      </c>
      <c r="X10666" s="42">
        <v>0</v>
      </c>
    </row>
    <row r="10667" spans="1:24">
      <c r="A10667" s="27" t="s">
        <v>19295</v>
      </c>
      <c r="B10667" s="28" t="s">
        <v>17556</v>
      </c>
      <c r="C10667" s="27" t="s">
        <v>19289</v>
      </c>
      <c r="D10667" s="27" t="s">
        <v>17578</v>
      </c>
      <c r="E10667" s="29">
        <v>43403</v>
      </c>
      <c r="F10667" s="27">
        <v>7</v>
      </c>
      <c r="G10667" s="18">
        <v>11036.85</v>
      </c>
      <c r="H10667" s="27">
        <f t="shared" si="332"/>
        <v>0</v>
      </c>
      <c r="I10667" s="18">
        <v>249.64</v>
      </c>
      <c r="J10667" s="27">
        <v>11036.85</v>
      </c>
      <c r="K10667" s="18">
        <f t="shared" si="333"/>
        <v>0</v>
      </c>
      <c r="L10667" s="27">
        <v>1747.5</v>
      </c>
      <c r="M10667" s="36">
        <v>1497.86</v>
      </c>
      <c r="T10667" s="41">
        <v>0</v>
      </c>
      <c r="U10667" s="41">
        <v>0</v>
      </c>
      <c r="V10667" s="42" t="s">
        <v>113</v>
      </c>
      <c r="W10667" s="42">
        <v>0</v>
      </c>
      <c r="X10667" s="42">
        <v>0</v>
      </c>
    </row>
    <row r="10668" spans="1:24">
      <c r="A10668" s="27" t="s">
        <v>19296</v>
      </c>
      <c r="B10668" s="28" t="s">
        <v>17556</v>
      </c>
      <c r="C10668" s="27" t="s">
        <v>19297</v>
      </c>
      <c r="D10668" s="27" t="s">
        <v>17558</v>
      </c>
      <c r="E10668" s="29">
        <v>43340</v>
      </c>
      <c r="F10668" s="27">
        <v>7</v>
      </c>
      <c r="G10668" s="18">
        <v>45604.17</v>
      </c>
      <c r="H10668" s="27">
        <f t="shared" si="332"/>
        <v>0</v>
      </c>
      <c r="I10668" s="18">
        <v>2063.0500000000002</v>
      </c>
      <c r="J10668" s="27">
        <v>45604.17</v>
      </c>
      <c r="K10668" s="18">
        <f t="shared" si="333"/>
        <v>0</v>
      </c>
      <c r="L10668" s="27">
        <v>8252.19</v>
      </c>
      <c r="M10668" s="36">
        <v>6189.14</v>
      </c>
      <c r="T10668" s="41">
        <v>0</v>
      </c>
      <c r="U10668" s="41">
        <v>0</v>
      </c>
      <c r="V10668" s="42" t="s">
        <v>113</v>
      </c>
      <c r="W10668" s="42">
        <v>0</v>
      </c>
      <c r="X10668" s="42">
        <v>0</v>
      </c>
    </row>
    <row r="10669" spans="1:24">
      <c r="A10669" s="27" t="s">
        <v>19298</v>
      </c>
      <c r="B10669" s="28" t="s">
        <v>17556</v>
      </c>
      <c r="C10669" s="27" t="s">
        <v>19299</v>
      </c>
      <c r="D10669" s="27" t="s">
        <v>17578</v>
      </c>
      <c r="E10669" s="29">
        <v>43340</v>
      </c>
      <c r="F10669" s="27">
        <v>7</v>
      </c>
      <c r="G10669" s="18">
        <v>38932.300000000003</v>
      </c>
      <c r="H10669" s="27">
        <f t="shared" si="332"/>
        <v>0</v>
      </c>
      <c r="I10669" s="18">
        <v>1761.22</v>
      </c>
      <c r="J10669" s="27">
        <v>38932.300000000003</v>
      </c>
      <c r="K10669" s="18">
        <f t="shared" si="333"/>
        <v>0</v>
      </c>
      <c r="L10669" s="27">
        <v>7044.89</v>
      </c>
      <c r="M10669" s="36">
        <v>5283.67</v>
      </c>
      <c r="T10669" s="41">
        <v>0</v>
      </c>
      <c r="U10669" s="41">
        <v>0</v>
      </c>
      <c r="V10669" s="42" t="s">
        <v>113</v>
      </c>
      <c r="W10669" s="42">
        <v>0</v>
      </c>
      <c r="X10669" s="42">
        <v>0</v>
      </c>
    </row>
    <row r="10670" spans="1:24">
      <c r="A10670" s="27" t="s">
        <v>19300</v>
      </c>
      <c r="B10670" s="28" t="s">
        <v>17556</v>
      </c>
      <c r="C10670" s="27" t="s">
        <v>19301</v>
      </c>
      <c r="D10670" s="27" t="s">
        <v>230</v>
      </c>
      <c r="E10670" s="29">
        <v>43340</v>
      </c>
      <c r="F10670" s="27">
        <v>7</v>
      </c>
      <c r="G10670" s="18">
        <v>95522.04</v>
      </c>
      <c r="H10670" s="27">
        <f t="shared" si="332"/>
        <v>0</v>
      </c>
      <c r="I10670" s="18">
        <v>4321.24</v>
      </c>
      <c r="J10670" s="27">
        <v>95522.04</v>
      </c>
      <c r="K10670" s="18">
        <f t="shared" si="333"/>
        <v>0</v>
      </c>
      <c r="L10670" s="27">
        <v>17284.95</v>
      </c>
      <c r="M10670" s="36">
        <v>12963.71</v>
      </c>
      <c r="T10670" s="41">
        <v>0</v>
      </c>
      <c r="U10670" s="41">
        <v>0</v>
      </c>
      <c r="V10670" s="42" t="s">
        <v>113</v>
      </c>
      <c r="W10670" s="42">
        <v>0</v>
      </c>
      <c r="X10670" s="42">
        <v>0</v>
      </c>
    </row>
    <row r="10671" spans="1:24">
      <c r="A10671" s="27" t="s">
        <v>19302</v>
      </c>
      <c r="B10671" s="28" t="s">
        <v>17556</v>
      </c>
      <c r="C10671" s="27" t="s">
        <v>19303</v>
      </c>
      <c r="D10671" s="27" t="s">
        <v>230</v>
      </c>
      <c r="E10671" s="29">
        <v>43340</v>
      </c>
      <c r="F10671" s="27">
        <v>7</v>
      </c>
      <c r="G10671" s="18">
        <v>486147.29</v>
      </c>
      <c r="H10671" s="27">
        <f t="shared" si="332"/>
        <v>0</v>
      </c>
      <c r="I10671" s="18">
        <v>21992.38</v>
      </c>
      <c r="J10671" s="27">
        <v>486147.29</v>
      </c>
      <c r="K10671" s="18">
        <f t="shared" si="333"/>
        <v>0</v>
      </c>
      <c r="L10671" s="27">
        <v>87969.51</v>
      </c>
      <c r="M10671" s="36">
        <v>65977.13</v>
      </c>
      <c r="T10671" s="41">
        <v>0</v>
      </c>
      <c r="U10671" s="41">
        <v>0</v>
      </c>
      <c r="V10671" s="42" t="s">
        <v>113</v>
      </c>
      <c r="W10671" s="42">
        <v>0</v>
      </c>
      <c r="X10671" s="42">
        <v>0</v>
      </c>
    </row>
    <row r="10672" spans="1:24">
      <c r="A10672" s="27" t="s">
        <v>19304</v>
      </c>
      <c r="B10672" s="28" t="s">
        <v>17556</v>
      </c>
      <c r="C10672" s="27" t="s">
        <v>19305</v>
      </c>
      <c r="D10672" s="27" t="s">
        <v>17558</v>
      </c>
      <c r="E10672" s="29">
        <v>43434</v>
      </c>
      <c r="F10672" s="27">
        <v>7</v>
      </c>
      <c r="G10672" s="18">
        <v>16361.39</v>
      </c>
      <c r="H10672" s="27">
        <f t="shared" si="332"/>
        <v>0</v>
      </c>
      <c r="I10672" s="18">
        <v>185.04</v>
      </c>
      <c r="J10672" s="27">
        <v>16361.39</v>
      </c>
      <c r="K10672" s="18">
        <f t="shared" si="333"/>
        <v>0</v>
      </c>
      <c r="L10672" s="27">
        <v>2405.5100000000002</v>
      </c>
      <c r="M10672" s="36">
        <v>2220.4699999999998</v>
      </c>
      <c r="T10672" s="41">
        <v>0</v>
      </c>
      <c r="U10672" s="41">
        <v>0</v>
      </c>
      <c r="V10672" s="42" t="s">
        <v>113</v>
      </c>
      <c r="W10672" s="42">
        <v>0</v>
      </c>
      <c r="X10672" s="42">
        <v>0</v>
      </c>
    </row>
    <row r="10673" spans="1:24">
      <c r="A10673" s="27" t="s">
        <v>19306</v>
      </c>
      <c r="B10673" s="28" t="s">
        <v>17556</v>
      </c>
      <c r="C10673" s="27" t="s">
        <v>19307</v>
      </c>
      <c r="D10673" s="27" t="s">
        <v>17578</v>
      </c>
      <c r="E10673" s="29">
        <v>43434</v>
      </c>
      <c r="F10673" s="27">
        <v>7</v>
      </c>
      <c r="G10673" s="18">
        <v>55384.93</v>
      </c>
      <c r="H10673" s="27">
        <f t="shared" si="332"/>
        <v>0</v>
      </c>
      <c r="I10673" s="18">
        <v>626.38</v>
      </c>
      <c r="J10673" s="27">
        <v>55384.93</v>
      </c>
      <c r="K10673" s="18">
        <f t="shared" si="333"/>
        <v>0</v>
      </c>
      <c r="L10673" s="27">
        <v>8142.91</v>
      </c>
      <c r="M10673" s="36">
        <v>7516.53</v>
      </c>
      <c r="T10673" s="41">
        <v>0</v>
      </c>
      <c r="U10673" s="41">
        <v>0</v>
      </c>
      <c r="V10673" s="42" t="s">
        <v>113</v>
      </c>
      <c r="W10673" s="42">
        <v>0</v>
      </c>
      <c r="X10673" s="42">
        <v>0</v>
      </c>
    </row>
    <row r="10674" spans="1:24">
      <c r="A10674" s="27" t="s">
        <v>19308</v>
      </c>
      <c r="B10674" s="28" t="s">
        <v>17556</v>
      </c>
      <c r="C10674" s="27" t="s">
        <v>19309</v>
      </c>
      <c r="D10674" s="27" t="s">
        <v>17578</v>
      </c>
      <c r="E10674" s="29">
        <v>43434</v>
      </c>
      <c r="F10674" s="27">
        <v>7</v>
      </c>
      <c r="G10674" s="18">
        <v>4033.28</v>
      </c>
      <c r="H10674" s="27">
        <f t="shared" si="332"/>
        <v>0</v>
      </c>
      <c r="I10674" s="18">
        <v>45.61</v>
      </c>
      <c r="J10674" s="27">
        <v>4033.28</v>
      </c>
      <c r="K10674" s="18">
        <f t="shared" si="333"/>
        <v>0</v>
      </c>
      <c r="L10674" s="27">
        <v>592.98</v>
      </c>
      <c r="M10674" s="36">
        <v>547.37</v>
      </c>
      <c r="T10674" s="41">
        <v>0</v>
      </c>
      <c r="U10674" s="41">
        <v>0</v>
      </c>
      <c r="V10674" s="42" t="s">
        <v>113</v>
      </c>
      <c r="W10674" s="42">
        <v>0</v>
      </c>
      <c r="X10674" s="42">
        <v>0</v>
      </c>
    </row>
    <row r="10675" spans="1:24">
      <c r="A10675" s="27" t="s">
        <v>19310</v>
      </c>
      <c r="B10675" s="28" t="s">
        <v>17556</v>
      </c>
      <c r="C10675" s="27" t="s">
        <v>19311</v>
      </c>
      <c r="D10675" s="27" t="s">
        <v>17578</v>
      </c>
      <c r="E10675" s="29">
        <v>43434</v>
      </c>
      <c r="F10675" s="27">
        <v>7</v>
      </c>
      <c r="G10675" s="18">
        <v>2719.76</v>
      </c>
      <c r="H10675" s="27">
        <f t="shared" si="332"/>
        <v>0</v>
      </c>
      <c r="I10675" s="18">
        <v>30.76</v>
      </c>
      <c r="J10675" s="27">
        <v>2719.76</v>
      </c>
      <c r="K10675" s="18">
        <f t="shared" si="333"/>
        <v>0</v>
      </c>
      <c r="L10675" s="27">
        <v>399.87</v>
      </c>
      <c r="M10675" s="36">
        <v>369.11</v>
      </c>
      <c r="T10675" s="41">
        <v>0</v>
      </c>
      <c r="U10675" s="41">
        <v>0</v>
      </c>
      <c r="V10675" s="42" t="s">
        <v>113</v>
      </c>
      <c r="W10675" s="42">
        <v>0</v>
      </c>
      <c r="X10675" s="42">
        <v>0</v>
      </c>
    </row>
    <row r="10676" spans="1:24">
      <c r="A10676" s="27" t="s">
        <v>19312</v>
      </c>
      <c r="B10676" s="28" t="s">
        <v>17556</v>
      </c>
      <c r="C10676" s="27" t="s">
        <v>19313</v>
      </c>
      <c r="D10676" s="27" t="s">
        <v>17578</v>
      </c>
      <c r="E10676" s="29">
        <v>43434</v>
      </c>
      <c r="F10676" s="27">
        <v>7</v>
      </c>
      <c r="G10676" s="18">
        <v>1607.13</v>
      </c>
      <c r="H10676" s="27">
        <f t="shared" si="332"/>
        <v>0</v>
      </c>
      <c r="I10676" s="18">
        <v>18.18</v>
      </c>
      <c r="J10676" s="27">
        <v>1607.13</v>
      </c>
      <c r="K10676" s="18">
        <f t="shared" si="333"/>
        <v>0</v>
      </c>
      <c r="L10676" s="27">
        <v>236.29</v>
      </c>
      <c r="M10676" s="36">
        <v>218.11</v>
      </c>
      <c r="T10676" s="41">
        <v>0</v>
      </c>
      <c r="U10676" s="41">
        <v>0</v>
      </c>
      <c r="V10676" s="42" t="s">
        <v>113</v>
      </c>
      <c r="W10676" s="42">
        <v>0</v>
      </c>
      <c r="X10676" s="42">
        <v>0</v>
      </c>
    </row>
    <row r="10677" spans="1:24">
      <c r="A10677" s="27" t="s">
        <v>19314</v>
      </c>
      <c r="B10677" s="28" t="s">
        <v>17556</v>
      </c>
      <c r="C10677" s="27" t="s">
        <v>19315</v>
      </c>
      <c r="D10677" s="27" t="s">
        <v>17578</v>
      </c>
      <c r="E10677" s="29">
        <v>43434</v>
      </c>
      <c r="F10677" s="27">
        <v>7</v>
      </c>
      <c r="G10677" s="18">
        <v>1035.3599999999999</v>
      </c>
      <c r="H10677" s="27">
        <f t="shared" si="332"/>
        <v>0</v>
      </c>
      <c r="I10677" s="18">
        <v>11.71</v>
      </c>
      <c r="J10677" s="27">
        <v>1035.3599999999999</v>
      </c>
      <c r="K10677" s="18">
        <f t="shared" si="333"/>
        <v>0</v>
      </c>
      <c r="L10677" s="27">
        <v>152.22</v>
      </c>
      <c r="M10677" s="36">
        <v>140.51</v>
      </c>
      <c r="T10677" s="41">
        <v>0</v>
      </c>
      <c r="U10677" s="41">
        <v>0</v>
      </c>
      <c r="V10677" s="42" t="s">
        <v>113</v>
      </c>
      <c r="W10677" s="42">
        <v>0</v>
      </c>
      <c r="X10677" s="42">
        <v>0</v>
      </c>
    </row>
    <row r="10678" spans="1:24">
      <c r="A10678" s="27" t="s">
        <v>19316</v>
      </c>
      <c r="B10678" s="28" t="s">
        <v>17556</v>
      </c>
      <c r="C10678" s="27" t="s">
        <v>19315</v>
      </c>
      <c r="D10678" s="27" t="s">
        <v>17578</v>
      </c>
      <c r="E10678" s="29">
        <v>43434</v>
      </c>
      <c r="F10678" s="27">
        <v>7</v>
      </c>
      <c r="G10678" s="18">
        <v>1035.3599999999999</v>
      </c>
      <c r="H10678" s="27">
        <f t="shared" si="332"/>
        <v>0</v>
      </c>
      <c r="I10678" s="18">
        <v>11.71</v>
      </c>
      <c r="J10678" s="27">
        <v>1035.3599999999999</v>
      </c>
      <c r="K10678" s="18">
        <f t="shared" si="333"/>
        <v>0</v>
      </c>
      <c r="L10678" s="27">
        <v>152.22</v>
      </c>
      <c r="M10678" s="36">
        <v>140.51</v>
      </c>
      <c r="T10678" s="41">
        <v>0</v>
      </c>
      <c r="U10678" s="41">
        <v>0</v>
      </c>
      <c r="V10678" s="42" t="s">
        <v>113</v>
      </c>
      <c r="W10678" s="42">
        <v>0</v>
      </c>
      <c r="X10678" s="42">
        <v>0</v>
      </c>
    </row>
    <row r="10679" spans="1:24">
      <c r="A10679" s="27" t="s">
        <v>19317</v>
      </c>
      <c r="B10679" s="28" t="s">
        <v>17556</v>
      </c>
      <c r="C10679" s="27" t="s">
        <v>19318</v>
      </c>
      <c r="D10679" s="27" t="s">
        <v>17578</v>
      </c>
      <c r="E10679" s="29">
        <v>43434</v>
      </c>
      <c r="F10679" s="27">
        <v>7</v>
      </c>
      <c r="G10679" s="18">
        <v>4929.57</v>
      </c>
      <c r="H10679" s="27">
        <f t="shared" si="332"/>
        <v>0</v>
      </c>
      <c r="I10679" s="18">
        <v>55.75</v>
      </c>
      <c r="J10679" s="27">
        <v>4929.57</v>
      </c>
      <c r="K10679" s="18">
        <f t="shared" si="333"/>
        <v>0</v>
      </c>
      <c r="L10679" s="27">
        <v>724.76</v>
      </c>
      <c r="M10679" s="36">
        <v>669.01</v>
      </c>
      <c r="T10679" s="41">
        <v>0</v>
      </c>
      <c r="U10679" s="41">
        <v>0</v>
      </c>
      <c r="V10679" s="42" t="s">
        <v>113</v>
      </c>
      <c r="W10679" s="42">
        <v>0</v>
      </c>
      <c r="X10679" s="42">
        <v>0</v>
      </c>
    </row>
    <row r="10680" spans="1:24">
      <c r="A10680" s="27" t="s">
        <v>19319</v>
      </c>
      <c r="B10680" s="28" t="s">
        <v>17556</v>
      </c>
      <c r="C10680" s="27" t="s">
        <v>19320</v>
      </c>
      <c r="D10680" s="27" t="s">
        <v>17578</v>
      </c>
      <c r="E10680" s="29">
        <v>43434</v>
      </c>
      <c r="F10680" s="27">
        <v>7</v>
      </c>
      <c r="G10680" s="18">
        <v>12918.87</v>
      </c>
      <c r="H10680" s="27">
        <f t="shared" si="332"/>
        <v>0</v>
      </c>
      <c r="I10680" s="18">
        <v>146.11000000000001</v>
      </c>
      <c r="J10680" s="27">
        <v>12918.87</v>
      </c>
      <c r="K10680" s="18">
        <f t="shared" si="333"/>
        <v>0</v>
      </c>
      <c r="L10680" s="27">
        <v>1899.39</v>
      </c>
      <c r="M10680" s="36">
        <v>1753.28</v>
      </c>
      <c r="T10680" s="41">
        <v>0</v>
      </c>
      <c r="U10680" s="41">
        <v>0</v>
      </c>
      <c r="V10680" s="42" t="s">
        <v>113</v>
      </c>
      <c r="W10680" s="42">
        <v>0</v>
      </c>
      <c r="X10680" s="42">
        <v>0</v>
      </c>
    </row>
    <row r="10681" spans="1:24">
      <c r="A10681" s="27" t="s">
        <v>19321</v>
      </c>
      <c r="B10681" s="28" t="s">
        <v>17556</v>
      </c>
      <c r="C10681" s="27" t="s">
        <v>19322</v>
      </c>
      <c r="D10681" s="27" t="s">
        <v>17578</v>
      </c>
      <c r="E10681" s="29">
        <v>41272</v>
      </c>
      <c r="F10681" s="27">
        <v>7</v>
      </c>
      <c r="G10681" s="18">
        <v>6624814.6399999997</v>
      </c>
      <c r="H10681" s="27">
        <f t="shared" si="332"/>
        <v>6624814.6399999997</v>
      </c>
      <c r="I10681" s="18">
        <v>6624814.6399999997</v>
      </c>
      <c r="J10681" s="27">
        <v>6624814.6399999997</v>
      </c>
      <c r="K10681" s="18">
        <f t="shared" si="333"/>
        <v>6624814.6399999997</v>
      </c>
      <c r="L10681" s="27">
        <v>6293573.9100000001</v>
      </c>
      <c r="M10681" s="36">
        <v>-331240.73</v>
      </c>
      <c r="T10681" s="41">
        <v>0</v>
      </c>
      <c r="U10681" s="41">
        <v>0</v>
      </c>
      <c r="V10681" s="42" t="s">
        <v>113</v>
      </c>
      <c r="W10681" s="42">
        <v>6624814.6399999997</v>
      </c>
      <c r="X10681" s="42">
        <v>6624814.6399999997</v>
      </c>
    </row>
    <row r="10682" spans="1:24">
      <c r="A10682" s="27" t="s">
        <v>19323</v>
      </c>
      <c r="B10682" s="28" t="s">
        <v>17556</v>
      </c>
      <c r="C10682" s="27" t="s">
        <v>19324</v>
      </c>
      <c r="D10682" s="27" t="s">
        <v>17578</v>
      </c>
      <c r="E10682" s="29">
        <v>41698</v>
      </c>
      <c r="F10682" s="27">
        <v>7</v>
      </c>
      <c r="G10682" s="18">
        <v>245509.98</v>
      </c>
      <c r="H10682" s="27">
        <f t="shared" si="332"/>
        <v>0</v>
      </c>
      <c r="I10682" s="18">
        <v>136053.45000000001</v>
      </c>
      <c r="J10682" s="27">
        <v>245509.98</v>
      </c>
      <c r="K10682" s="18">
        <f t="shared" si="333"/>
        <v>0</v>
      </c>
      <c r="L10682" s="27">
        <v>182700.34</v>
      </c>
      <c r="M10682" s="36">
        <v>46646.89</v>
      </c>
      <c r="T10682" s="41">
        <v>0</v>
      </c>
      <c r="U10682" s="41">
        <v>0</v>
      </c>
      <c r="V10682" s="42" t="s">
        <v>113</v>
      </c>
      <c r="W10682" s="42">
        <v>0</v>
      </c>
      <c r="X10682" s="42">
        <v>245509.98</v>
      </c>
    </row>
    <row r="10683" spans="1:24">
      <c r="A10683" s="27" t="s">
        <v>19325</v>
      </c>
      <c r="B10683" s="28" t="s">
        <v>17556</v>
      </c>
      <c r="C10683" s="27" t="s">
        <v>19324</v>
      </c>
      <c r="D10683" s="27" t="s">
        <v>17578</v>
      </c>
      <c r="E10683" s="29">
        <v>41698</v>
      </c>
      <c r="F10683" s="27">
        <v>7</v>
      </c>
      <c r="G10683" s="18">
        <v>48338.48</v>
      </c>
      <c r="H10683" s="27">
        <f t="shared" si="332"/>
        <v>0</v>
      </c>
      <c r="I10683" s="18">
        <v>26787.57</v>
      </c>
      <c r="J10683" s="27">
        <v>48338.48</v>
      </c>
      <c r="K10683" s="18">
        <f t="shared" si="333"/>
        <v>0</v>
      </c>
      <c r="L10683" s="27">
        <v>35971.89</v>
      </c>
      <c r="M10683" s="36">
        <v>9184.32</v>
      </c>
      <c r="T10683" s="41">
        <v>0</v>
      </c>
      <c r="U10683" s="41">
        <v>0</v>
      </c>
      <c r="V10683" s="42" t="s">
        <v>113</v>
      </c>
      <c r="W10683" s="42">
        <v>0</v>
      </c>
      <c r="X10683" s="42">
        <v>48338.48</v>
      </c>
    </row>
    <row r="10684" spans="1:24">
      <c r="A10684" s="27" t="s">
        <v>19326</v>
      </c>
      <c r="B10684" s="28" t="s">
        <v>17556</v>
      </c>
      <c r="C10684" s="27" t="s">
        <v>19327</v>
      </c>
      <c r="D10684" s="27" t="s">
        <v>17578</v>
      </c>
      <c r="E10684" s="29">
        <v>41698</v>
      </c>
      <c r="F10684" s="27">
        <v>7</v>
      </c>
      <c r="G10684" s="18">
        <v>35872.42</v>
      </c>
      <c r="H10684" s="27">
        <f t="shared" si="332"/>
        <v>0</v>
      </c>
      <c r="I10684" s="18">
        <v>19879.3</v>
      </c>
      <c r="J10684" s="27">
        <v>35872.42</v>
      </c>
      <c r="K10684" s="18">
        <f t="shared" si="333"/>
        <v>0</v>
      </c>
      <c r="L10684" s="27">
        <v>26695.06</v>
      </c>
      <c r="M10684" s="36">
        <v>6815.76</v>
      </c>
      <c r="T10684" s="41">
        <v>0</v>
      </c>
      <c r="U10684" s="41">
        <v>0</v>
      </c>
      <c r="V10684" s="42" t="s">
        <v>113</v>
      </c>
      <c r="W10684" s="42">
        <v>0</v>
      </c>
      <c r="X10684" s="42">
        <v>35872.42</v>
      </c>
    </row>
    <row r="10685" spans="1:24">
      <c r="A10685" s="27" t="s">
        <v>19328</v>
      </c>
      <c r="B10685" s="28" t="s">
        <v>17556</v>
      </c>
      <c r="C10685" s="27" t="s">
        <v>19329</v>
      </c>
      <c r="D10685" s="27" t="s">
        <v>17578</v>
      </c>
      <c r="E10685" s="29">
        <v>41698</v>
      </c>
      <c r="F10685" s="27">
        <v>7</v>
      </c>
      <c r="G10685" s="18">
        <v>106705.59</v>
      </c>
      <c r="H10685" s="27">
        <f t="shared" si="332"/>
        <v>0</v>
      </c>
      <c r="I10685" s="18">
        <v>59132.68</v>
      </c>
      <c r="J10685" s="27">
        <v>106705.59</v>
      </c>
      <c r="K10685" s="18">
        <f t="shared" si="333"/>
        <v>0</v>
      </c>
      <c r="L10685" s="27">
        <v>79406.740000000005</v>
      </c>
      <c r="M10685" s="36">
        <v>20274.060000000001</v>
      </c>
      <c r="T10685" s="41">
        <v>0</v>
      </c>
      <c r="U10685" s="41">
        <v>0</v>
      </c>
      <c r="V10685" s="42" t="s">
        <v>113</v>
      </c>
      <c r="W10685" s="42">
        <v>0</v>
      </c>
      <c r="X10685" s="42">
        <v>106705.59</v>
      </c>
    </row>
    <row r="10686" spans="1:24">
      <c r="A10686" s="27" t="s">
        <v>19330</v>
      </c>
      <c r="B10686" s="28" t="s">
        <v>17556</v>
      </c>
      <c r="C10686" s="27" t="s">
        <v>19331</v>
      </c>
      <c r="D10686" s="27" t="s">
        <v>17578</v>
      </c>
      <c r="E10686" s="29">
        <v>41698</v>
      </c>
      <c r="F10686" s="27">
        <v>7</v>
      </c>
      <c r="G10686" s="18">
        <v>112410.63</v>
      </c>
      <c r="H10686" s="27">
        <f t="shared" si="332"/>
        <v>0</v>
      </c>
      <c r="I10686" s="18">
        <v>62294.23</v>
      </c>
      <c r="J10686" s="27">
        <v>112410.63</v>
      </c>
      <c r="K10686" s="18">
        <f t="shared" si="333"/>
        <v>0</v>
      </c>
      <c r="L10686" s="27">
        <v>83652.25</v>
      </c>
      <c r="M10686" s="36">
        <v>21358.02</v>
      </c>
      <c r="T10686" s="41">
        <v>0</v>
      </c>
      <c r="U10686" s="41">
        <v>0</v>
      </c>
      <c r="V10686" s="42" t="s">
        <v>113</v>
      </c>
      <c r="W10686" s="42">
        <v>0</v>
      </c>
      <c r="X10686" s="42">
        <v>112410.63</v>
      </c>
    </row>
    <row r="10687" spans="1:24">
      <c r="A10687" s="27" t="s">
        <v>19332</v>
      </c>
      <c r="B10687" s="28" t="s">
        <v>17556</v>
      </c>
      <c r="C10687" s="27" t="s">
        <v>19333</v>
      </c>
      <c r="D10687" s="27" t="s">
        <v>17578</v>
      </c>
      <c r="E10687" s="29">
        <v>41698</v>
      </c>
      <c r="F10687" s="27">
        <v>7</v>
      </c>
      <c r="G10687" s="18">
        <v>74955.789999999994</v>
      </c>
      <c r="H10687" s="27">
        <f t="shared" si="332"/>
        <v>0</v>
      </c>
      <c r="I10687" s="18">
        <v>41538</v>
      </c>
      <c r="J10687" s="27">
        <v>74955.789999999994</v>
      </c>
      <c r="K10687" s="18">
        <f t="shared" si="333"/>
        <v>0</v>
      </c>
      <c r="L10687" s="27">
        <v>55779.6</v>
      </c>
      <c r="M10687" s="36">
        <v>14241.6</v>
      </c>
      <c r="T10687" s="41">
        <v>0</v>
      </c>
      <c r="U10687" s="41">
        <v>0</v>
      </c>
      <c r="V10687" s="42" t="s">
        <v>113</v>
      </c>
      <c r="W10687" s="42">
        <v>0</v>
      </c>
      <c r="X10687" s="42">
        <v>74955.789999999994</v>
      </c>
    </row>
    <row r="10688" spans="1:24">
      <c r="A10688" s="27" t="s">
        <v>19334</v>
      </c>
      <c r="B10688" s="28" t="s">
        <v>17556</v>
      </c>
      <c r="C10688" s="27" t="s">
        <v>19335</v>
      </c>
      <c r="D10688" s="27" t="s">
        <v>17578</v>
      </c>
      <c r="E10688" s="29">
        <v>41729</v>
      </c>
      <c r="F10688" s="27">
        <v>7</v>
      </c>
      <c r="G10688" s="18">
        <v>186645.86</v>
      </c>
      <c r="H10688" s="27">
        <f t="shared" si="332"/>
        <v>0</v>
      </c>
      <c r="I10688" s="18">
        <v>102630.18</v>
      </c>
      <c r="J10688" s="27">
        <v>186645.86</v>
      </c>
      <c r="K10688" s="18">
        <f t="shared" si="333"/>
        <v>0</v>
      </c>
      <c r="L10688" s="27">
        <v>137099.44</v>
      </c>
      <c r="M10688" s="36">
        <v>34469.26</v>
      </c>
      <c r="T10688" s="41">
        <v>0</v>
      </c>
      <c r="U10688" s="41">
        <v>0</v>
      </c>
      <c r="V10688" s="42" t="s">
        <v>113</v>
      </c>
      <c r="W10688" s="42">
        <v>0</v>
      </c>
      <c r="X10688" s="42">
        <v>186645.86</v>
      </c>
    </row>
    <row r="10689" spans="1:24">
      <c r="A10689" s="27" t="s">
        <v>19336</v>
      </c>
      <c r="B10689" s="28" t="s">
        <v>17556</v>
      </c>
      <c r="C10689" s="27" t="s">
        <v>19337</v>
      </c>
      <c r="D10689" s="27" t="s">
        <v>17578</v>
      </c>
      <c r="E10689" s="29">
        <v>41729</v>
      </c>
      <c r="F10689" s="27">
        <v>7</v>
      </c>
      <c r="G10689" s="18">
        <v>82514.31</v>
      </c>
      <c r="H10689" s="27">
        <f t="shared" si="332"/>
        <v>0</v>
      </c>
      <c r="I10689" s="18">
        <v>45371.8</v>
      </c>
      <c r="J10689" s="27">
        <v>82514.31</v>
      </c>
      <c r="K10689" s="18">
        <f t="shared" si="333"/>
        <v>0</v>
      </c>
      <c r="L10689" s="27">
        <v>60610.32</v>
      </c>
      <c r="M10689" s="36">
        <v>15238.52</v>
      </c>
      <c r="T10689" s="41">
        <v>0</v>
      </c>
      <c r="U10689" s="41">
        <v>0</v>
      </c>
      <c r="V10689" s="42" t="s">
        <v>113</v>
      </c>
      <c r="W10689" s="42">
        <v>0</v>
      </c>
      <c r="X10689" s="42">
        <v>82514.31</v>
      </c>
    </row>
    <row r="10690" spans="1:24">
      <c r="A10690" s="27" t="s">
        <v>19338</v>
      </c>
      <c r="B10690" s="28" t="s">
        <v>17556</v>
      </c>
      <c r="C10690" s="27" t="s">
        <v>19339</v>
      </c>
      <c r="D10690" s="27" t="s">
        <v>17578</v>
      </c>
      <c r="E10690" s="29">
        <v>41729</v>
      </c>
      <c r="F10690" s="27">
        <v>7</v>
      </c>
      <c r="G10690" s="18">
        <v>176326.28</v>
      </c>
      <c r="H10690" s="27">
        <f t="shared" si="332"/>
        <v>0</v>
      </c>
      <c r="I10690" s="18">
        <v>96955.81</v>
      </c>
      <c r="J10690" s="27">
        <v>176326.28</v>
      </c>
      <c r="K10690" s="18">
        <f t="shared" si="333"/>
        <v>0</v>
      </c>
      <c r="L10690" s="27">
        <v>129519.27</v>
      </c>
      <c r="M10690" s="36">
        <v>32563.46</v>
      </c>
      <c r="T10690" s="41">
        <v>0</v>
      </c>
      <c r="U10690" s="41">
        <v>0</v>
      </c>
      <c r="V10690" s="42" t="s">
        <v>113</v>
      </c>
      <c r="W10690" s="42">
        <v>0</v>
      </c>
      <c r="X10690" s="42">
        <v>176326.28</v>
      </c>
    </row>
    <row r="10691" spans="1:24">
      <c r="A10691" s="27" t="s">
        <v>19340</v>
      </c>
      <c r="B10691" s="28" t="s">
        <v>17556</v>
      </c>
      <c r="C10691" s="27" t="s">
        <v>19341</v>
      </c>
      <c r="D10691" s="27" t="s">
        <v>17578</v>
      </c>
      <c r="E10691" s="29">
        <v>41698</v>
      </c>
      <c r="F10691" s="27">
        <v>7</v>
      </c>
      <c r="G10691" s="18">
        <v>96252.41</v>
      </c>
      <c r="H10691" s="27">
        <f t="shared" si="332"/>
        <v>0</v>
      </c>
      <c r="I10691" s="18">
        <v>53339.88</v>
      </c>
      <c r="J10691" s="27">
        <v>96252.41</v>
      </c>
      <c r="K10691" s="18">
        <f t="shared" si="333"/>
        <v>0</v>
      </c>
      <c r="L10691" s="27">
        <v>71627.839999999997</v>
      </c>
      <c r="M10691" s="36">
        <v>18287.96</v>
      </c>
      <c r="T10691" s="41">
        <v>0</v>
      </c>
      <c r="U10691" s="41">
        <v>0</v>
      </c>
      <c r="V10691" s="42" t="s">
        <v>113</v>
      </c>
      <c r="W10691" s="42">
        <v>0</v>
      </c>
      <c r="X10691" s="42">
        <v>96252.41</v>
      </c>
    </row>
    <row r="10692" spans="1:24">
      <c r="A10692" s="27" t="s">
        <v>19342</v>
      </c>
      <c r="B10692" s="28" t="s">
        <v>17556</v>
      </c>
      <c r="C10692" s="27" t="s">
        <v>19343</v>
      </c>
      <c r="D10692" s="27" t="s">
        <v>17578</v>
      </c>
      <c r="E10692" s="29">
        <v>41698</v>
      </c>
      <c r="F10692" s="27">
        <v>7</v>
      </c>
      <c r="G10692" s="18">
        <v>64605.69</v>
      </c>
      <c r="H10692" s="27">
        <f t="shared" si="332"/>
        <v>0</v>
      </c>
      <c r="I10692" s="18">
        <v>35802.32</v>
      </c>
      <c r="J10692" s="27">
        <v>64605.69</v>
      </c>
      <c r="K10692" s="18">
        <f t="shared" si="333"/>
        <v>0</v>
      </c>
      <c r="L10692" s="27">
        <v>48077.4</v>
      </c>
      <c r="M10692" s="36">
        <v>12275.08</v>
      </c>
      <c r="T10692" s="41">
        <v>0</v>
      </c>
      <c r="U10692" s="41">
        <v>0</v>
      </c>
      <c r="V10692" s="42" t="s">
        <v>113</v>
      </c>
      <c r="W10692" s="42">
        <v>0</v>
      </c>
      <c r="X10692" s="42">
        <v>64605.69</v>
      </c>
    </row>
    <row r="10693" spans="1:24">
      <c r="A10693" s="27" t="s">
        <v>19344</v>
      </c>
      <c r="B10693" s="28" t="s">
        <v>17556</v>
      </c>
      <c r="C10693" s="27" t="s">
        <v>19345</v>
      </c>
      <c r="D10693" s="27" t="s">
        <v>17578</v>
      </c>
      <c r="E10693" s="29">
        <v>42551</v>
      </c>
      <c r="F10693" s="27">
        <v>7</v>
      </c>
      <c r="G10693" s="18">
        <v>5501.7</v>
      </c>
      <c r="H10693" s="27">
        <f t="shared" si="332"/>
        <v>0</v>
      </c>
      <c r="I10693" s="18">
        <v>1866.65</v>
      </c>
      <c r="J10693" s="27">
        <v>5501.7</v>
      </c>
      <c r="K10693" s="18">
        <f t="shared" si="333"/>
        <v>0</v>
      </c>
      <c r="L10693" s="27">
        <v>2613.31</v>
      </c>
      <c r="M10693" s="36">
        <v>746.66</v>
      </c>
      <c r="T10693" s="41">
        <v>0</v>
      </c>
      <c r="U10693" s="41">
        <v>0</v>
      </c>
      <c r="V10693" s="42" t="s">
        <v>113</v>
      </c>
      <c r="W10693" s="42">
        <v>0</v>
      </c>
      <c r="X10693" s="42">
        <v>0</v>
      </c>
    </row>
    <row r="10694" spans="1:24">
      <c r="A10694" s="27" t="s">
        <v>19346</v>
      </c>
      <c r="B10694" s="28" t="s">
        <v>17556</v>
      </c>
      <c r="C10694" s="27" t="s">
        <v>19347</v>
      </c>
      <c r="D10694" s="27" t="s">
        <v>17578</v>
      </c>
      <c r="E10694" s="29">
        <v>42551</v>
      </c>
      <c r="F10694" s="27">
        <v>7</v>
      </c>
      <c r="G10694" s="18">
        <v>75795.47</v>
      </c>
      <c r="H10694" s="27">
        <f t="shared" ref="H10694:H10757" si="334">IFERROR(IF(ROUND((G10694-I10694)/G10694,2)&lt;=0.05,G10694,0),0)</f>
        <v>0</v>
      </c>
      <c r="I10694" s="18">
        <v>25716.32</v>
      </c>
      <c r="J10694" s="27">
        <v>75795.47</v>
      </c>
      <c r="K10694" s="18">
        <f t="shared" ref="K10694:K10757" si="335">IFERROR(IF(ROUND((J10694-L10694)/J10694,2)&lt;=0.05,J10694,0),0)</f>
        <v>0</v>
      </c>
      <c r="L10694" s="27">
        <v>36002.85</v>
      </c>
      <c r="M10694" s="36">
        <v>10286.530000000001</v>
      </c>
      <c r="T10694" s="41">
        <v>0</v>
      </c>
      <c r="U10694" s="41">
        <v>0</v>
      </c>
      <c r="V10694" s="42" t="s">
        <v>113</v>
      </c>
      <c r="W10694" s="42">
        <v>0</v>
      </c>
      <c r="X10694" s="42">
        <v>0</v>
      </c>
    </row>
    <row r="10695" spans="1:24">
      <c r="A10695" s="27" t="s">
        <v>19348</v>
      </c>
      <c r="B10695" s="28" t="s">
        <v>17556</v>
      </c>
      <c r="C10695" s="27" t="s">
        <v>19349</v>
      </c>
      <c r="D10695" s="27" t="s">
        <v>17578</v>
      </c>
      <c r="E10695" s="29">
        <v>42551</v>
      </c>
      <c r="F10695" s="27">
        <v>7</v>
      </c>
      <c r="G10695" s="18">
        <v>156037.48000000001</v>
      </c>
      <c r="H10695" s="27">
        <f t="shared" si="334"/>
        <v>0</v>
      </c>
      <c r="I10695" s="18">
        <v>52941.29</v>
      </c>
      <c r="J10695" s="27">
        <v>156037.48000000001</v>
      </c>
      <c r="K10695" s="18">
        <f t="shared" si="335"/>
        <v>0</v>
      </c>
      <c r="L10695" s="27">
        <v>74117.81</v>
      </c>
      <c r="M10695" s="36">
        <v>21176.52</v>
      </c>
      <c r="T10695" s="41">
        <v>0</v>
      </c>
      <c r="U10695" s="41">
        <v>0</v>
      </c>
      <c r="V10695" s="42" t="s">
        <v>113</v>
      </c>
      <c r="W10695" s="42">
        <v>0</v>
      </c>
      <c r="X10695" s="42">
        <v>0</v>
      </c>
    </row>
    <row r="10696" spans="1:24">
      <c r="A10696" s="27" t="s">
        <v>19350</v>
      </c>
      <c r="B10696" s="28" t="s">
        <v>17556</v>
      </c>
      <c r="C10696" s="27" t="s">
        <v>19351</v>
      </c>
      <c r="D10696" s="27" t="s">
        <v>17578</v>
      </c>
      <c r="E10696" s="29">
        <v>42551</v>
      </c>
      <c r="F10696" s="27">
        <v>7</v>
      </c>
      <c r="G10696" s="18">
        <v>146935.29</v>
      </c>
      <c r="H10696" s="27">
        <f t="shared" si="334"/>
        <v>0</v>
      </c>
      <c r="I10696" s="18">
        <v>49853.05</v>
      </c>
      <c r="J10696" s="27">
        <v>146935.29</v>
      </c>
      <c r="K10696" s="18">
        <f t="shared" si="335"/>
        <v>0</v>
      </c>
      <c r="L10696" s="27">
        <v>69794.27</v>
      </c>
      <c r="M10696" s="36">
        <v>19941.22</v>
      </c>
      <c r="T10696" s="41">
        <v>0</v>
      </c>
      <c r="U10696" s="41">
        <v>0</v>
      </c>
      <c r="V10696" s="42" t="s">
        <v>113</v>
      </c>
      <c r="W10696" s="42">
        <v>0</v>
      </c>
      <c r="X10696" s="42">
        <v>0</v>
      </c>
    </row>
    <row r="10697" spans="1:24">
      <c r="A10697" s="27" t="s">
        <v>19352</v>
      </c>
      <c r="B10697" s="28" t="s">
        <v>17556</v>
      </c>
      <c r="C10697" s="27" t="s">
        <v>19353</v>
      </c>
      <c r="D10697" s="27" t="s">
        <v>17578</v>
      </c>
      <c r="E10697" s="29">
        <v>38534</v>
      </c>
      <c r="F10697" s="27">
        <v>7</v>
      </c>
      <c r="G10697" s="18">
        <v>102735.27</v>
      </c>
      <c r="H10697" s="27">
        <f t="shared" si="334"/>
        <v>102735.27</v>
      </c>
      <c r="I10697" s="18">
        <v>97598.51</v>
      </c>
      <c r="J10697" s="27">
        <v>102735.27</v>
      </c>
      <c r="K10697" s="18">
        <f t="shared" si="335"/>
        <v>102735.27</v>
      </c>
      <c r="L10697" s="27">
        <v>97598.51</v>
      </c>
      <c r="M10697" s="36">
        <v>0</v>
      </c>
      <c r="T10697" s="41">
        <v>0</v>
      </c>
      <c r="U10697" s="41">
        <v>0</v>
      </c>
      <c r="V10697" s="42" t="s">
        <v>113</v>
      </c>
      <c r="W10697" s="42">
        <v>102735.27</v>
      </c>
      <c r="X10697" s="42">
        <v>102735.27</v>
      </c>
    </row>
    <row r="10698" spans="1:24">
      <c r="A10698" s="27" t="s">
        <v>19354</v>
      </c>
      <c r="B10698" s="28" t="s">
        <v>17556</v>
      </c>
      <c r="C10698" s="27" t="s">
        <v>19355</v>
      </c>
      <c r="D10698" s="27" t="s">
        <v>17578</v>
      </c>
      <c r="E10698" s="29">
        <v>35826</v>
      </c>
      <c r="F10698" s="27">
        <v>7</v>
      </c>
      <c r="G10698" s="18">
        <v>280193.59999999998</v>
      </c>
      <c r="H10698" s="27">
        <f t="shared" si="334"/>
        <v>280193.59999999998</v>
      </c>
      <c r="I10698" s="18">
        <v>279382.21000000002</v>
      </c>
      <c r="J10698" s="27">
        <v>280193.59999999998</v>
      </c>
      <c r="K10698" s="18">
        <f t="shared" si="335"/>
        <v>280193.59999999998</v>
      </c>
      <c r="L10698" s="27">
        <v>266183.92</v>
      </c>
      <c r="M10698" s="36">
        <v>-13198.29</v>
      </c>
      <c r="T10698" s="41">
        <v>0</v>
      </c>
      <c r="U10698" s="41">
        <v>0</v>
      </c>
      <c r="V10698" s="42" t="s">
        <v>113</v>
      </c>
      <c r="W10698" s="42">
        <v>280193.59999999998</v>
      </c>
      <c r="X10698" s="42">
        <v>280193.59999999998</v>
      </c>
    </row>
    <row r="10699" spans="1:24">
      <c r="A10699" s="27" t="s">
        <v>19356</v>
      </c>
      <c r="B10699" s="28" t="s">
        <v>17556</v>
      </c>
      <c r="C10699" s="27" t="s">
        <v>19357</v>
      </c>
      <c r="D10699" s="27" t="s">
        <v>17578</v>
      </c>
      <c r="E10699" s="29">
        <v>40268</v>
      </c>
      <c r="F10699" s="27">
        <v>7</v>
      </c>
      <c r="G10699" s="18">
        <v>30810.57</v>
      </c>
      <c r="H10699" s="27">
        <f t="shared" si="334"/>
        <v>30810.57</v>
      </c>
      <c r="I10699" s="18">
        <v>29270.04</v>
      </c>
      <c r="J10699" s="27">
        <v>30810.57</v>
      </c>
      <c r="K10699" s="18">
        <f t="shared" si="335"/>
        <v>30810.57</v>
      </c>
      <c r="L10699" s="27">
        <v>29270.04</v>
      </c>
      <c r="M10699" s="36">
        <v>0</v>
      </c>
      <c r="T10699" s="41">
        <v>0</v>
      </c>
      <c r="U10699" s="41">
        <v>0</v>
      </c>
      <c r="V10699" s="42" t="s">
        <v>113</v>
      </c>
      <c r="W10699" s="42">
        <v>30810.57</v>
      </c>
      <c r="X10699" s="42">
        <v>30810.57</v>
      </c>
    </row>
    <row r="10700" spans="1:24">
      <c r="A10700" s="27" t="s">
        <v>19358</v>
      </c>
      <c r="B10700" s="28" t="s">
        <v>17556</v>
      </c>
      <c r="C10700" s="27" t="s">
        <v>19359</v>
      </c>
      <c r="D10700" s="27" t="s">
        <v>17578</v>
      </c>
      <c r="E10700" s="29">
        <v>40543</v>
      </c>
      <c r="F10700" s="27">
        <v>7</v>
      </c>
      <c r="G10700" s="18">
        <v>18903.03</v>
      </c>
      <c r="H10700" s="27">
        <f t="shared" si="334"/>
        <v>18903.03</v>
      </c>
      <c r="I10700" s="18">
        <v>17957.88</v>
      </c>
      <c r="J10700" s="27">
        <v>18903.03</v>
      </c>
      <c r="K10700" s="18">
        <f t="shared" si="335"/>
        <v>18903.03</v>
      </c>
      <c r="L10700" s="27">
        <v>17957.88</v>
      </c>
      <c r="M10700" s="36">
        <v>0</v>
      </c>
      <c r="T10700" s="41">
        <v>0</v>
      </c>
      <c r="U10700" s="41">
        <v>0</v>
      </c>
      <c r="V10700" s="42" t="s">
        <v>113</v>
      </c>
      <c r="W10700" s="42">
        <v>18903.03</v>
      </c>
      <c r="X10700" s="42">
        <v>18903.03</v>
      </c>
    </row>
    <row r="10701" spans="1:24">
      <c r="A10701" s="27" t="s">
        <v>19360</v>
      </c>
      <c r="B10701" s="28" t="s">
        <v>17556</v>
      </c>
      <c r="C10701" s="27" t="s">
        <v>19361</v>
      </c>
      <c r="D10701" s="27" t="s">
        <v>17558</v>
      </c>
      <c r="E10701" s="29">
        <v>41268</v>
      </c>
      <c r="F10701" s="27">
        <v>7</v>
      </c>
      <c r="G10701" s="18">
        <v>3580231.58</v>
      </c>
      <c r="H10701" s="27">
        <f t="shared" si="334"/>
        <v>0</v>
      </c>
      <c r="I10701" s="18">
        <v>2915198.3</v>
      </c>
      <c r="J10701" s="27">
        <v>3580231.58</v>
      </c>
      <c r="K10701" s="18">
        <f t="shared" si="335"/>
        <v>3580231.58</v>
      </c>
      <c r="L10701" s="27">
        <v>3401220</v>
      </c>
      <c r="M10701" s="36">
        <v>486021.7</v>
      </c>
      <c r="T10701" s="41">
        <v>0</v>
      </c>
      <c r="U10701" s="41">
        <v>0</v>
      </c>
      <c r="V10701" s="42" t="s">
        <v>113</v>
      </c>
      <c r="W10701" s="42">
        <v>3580231.58</v>
      </c>
      <c r="X10701" s="42">
        <v>3580231.58</v>
      </c>
    </row>
    <row r="10702" spans="1:24">
      <c r="A10702" s="27" t="s">
        <v>19362</v>
      </c>
      <c r="B10702" s="28" t="s">
        <v>17556</v>
      </c>
      <c r="C10702" s="27" t="s">
        <v>19363</v>
      </c>
      <c r="D10702" s="27" t="s">
        <v>17558</v>
      </c>
      <c r="E10702" s="29">
        <v>41973</v>
      </c>
      <c r="F10702" s="27">
        <v>7</v>
      </c>
      <c r="G10702" s="18">
        <v>42694.84</v>
      </c>
      <c r="H10702" s="27">
        <f t="shared" si="334"/>
        <v>0</v>
      </c>
      <c r="I10702" s="18">
        <v>23660.06</v>
      </c>
      <c r="J10702" s="27">
        <v>42694.84</v>
      </c>
      <c r="K10702" s="18">
        <f t="shared" si="335"/>
        <v>0</v>
      </c>
      <c r="L10702" s="27">
        <v>29454.36</v>
      </c>
      <c r="M10702" s="36">
        <v>5794.3</v>
      </c>
      <c r="T10702" s="41">
        <v>0</v>
      </c>
      <c r="U10702" s="41">
        <v>0</v>
      </c>
      <c r="V10702" s="42" t="s">
        <v>113</v>
      </c>
      <c r="W10702" s="42">
        <v>0</v>
      </c>
      <c r="X10702" s="42">
        <v>42694.84</v>
      </c>
    </row>
    <row r="10703" spans="1:24">
      <c r="A10703" s="27" t="s">
        <v>19364</v>
      </c>
      <c r="B10703" s="28" t="s">
        <v>17556</v>
      </c>
      <c r="C10703" s="27" t="s">
        <v>19365</v>
      </c>
      <c r="D10703" s="27" t="s">
        <v>17578</v>
      </c>
      <c r="E10703" s="29">
        <v>42914</v>
      </c>
      <c r="F10703" s="27">
        <v>7</v>
      </c>
      <c r="G10703" s="18">
        <v>2919302.47</v>
      </c>
      <c r="H10703" s="27">
        <f t="shared" si="334"/>
        <v>0</v>
      </c>
      <c r="I10703" s="18">
        <v>594286.57999999996</v>
      </c>
      <c r="J10703" s="27">
        <v>2919302.47</v>
      </c>
      <c r="K10703" s="18">
        <f t="shared" si="335"/>
        <v>0</v>
      </c>
      <c r="L10703" s="27">
        <v>990477.63</v>
      </c>
      <c r="M10703" s="36">
        <v>396191.05</v>
      </c>
      <c r="T10703" s="41">
        <v>0</v>
      </c>
      <c r="U10703" s="41">
        <v>0</v>
      </c>
      <c r="V10703" s="42" t="s">
        <v>113</v>
      </c>
      <c r="W10703" s="42">
        <v>0</v>
      </c>
      <c r="X10703" s="42">
        <v>0</v>
      </c>
    </row>
    <row r="10704" spans="1:24">
      <c r="A10704" s="27" t="s">
        <v>19366</v>
      </c>
      <c r="B10704" s="28" t="s">
        <v>17556</v>
      </c>
      <c r="C10704" s="27" t="s">
        <v>19367</v>
      </c>
      <c r="D10704" s="27" t="s">
        <v>17578</v>
      </c>
      <c r="E10704" s="29">
        <v>43466</v>
      </c>
      <c r="F10704" s="27">
        <v>7</v>
      </c>
      <c r="G10704" s="18">
        <v>0</v>
      </c>
      <c r="H10704" s="27">
        <f t="shared" si="334"/>
        <v>0</v>
      </c>
      <c r="I10704" s="18">
        <v>0</v>
      </c>
      <c r="J10704" s="27">
        <v>495118.79</v>
      </c>
      <c r="K10704" s="18">
        <f t="shared" si="335"/>
        <v>0</v>
      </c>
      <c r="L10704" s="27">
        <v>61595.14</v>
      </c>
      <c r="M10704" s="36">
        <v>61595.14</v>
      </c>
      <c r="N10704" s="18" t="s">
        <v>123</v>
      </c>
      <c r="O10704" s="19">
        <v>495118.79</v>
      </c>
      <c r="T10704" s="41">
        <v>0</v>
      </c>
      <c r="U10704" s="41">
        <v>0</v>
      </c>
      <c r="V10704" s="42" t="s">
        <v>113</v>
      </c>
      <c r="W10704" s="42">
        <v>0</v>
      </c>
      <c r="X10704" s="42">
        <v>0</v>
      </c>
    </row>
    <row r="10705" spans="1:24">
      <c r="A10705" s="27" t="s">
        <v>19368</v>
      </c>
      <c r="B10705" s="28" t="s">
        <v>17556</v>
      </c>
      <c r="C10705" s="27" t="s">
        <v>19369</v>
      </c>
      <c r="D10705" s="27" t="s">
        <v>17578</v>
      </c>
      <c r="E10705" s="29">
        <v>42551</v>
      </c>
      <c r="F10705" s="27">
        <v>7</v>
      </c>
      <c r="G10705" s="18">
        <v>27238.09</v>
      </c>
      <c r="H10705" s="27">
        <f t="shared" si="334"/>
        <v>0</v>
      </c>
      <c r="I10705" s="18">
        <v>11761.9</v>
      </c>
      <c r="J10705" s="27">
        <v>27238.09</v>
      </c>
      <c r="K10705" s="18">
        <f t="shared" si="335"/>
        <v>0</v>
      </c>
      <c r="L10705" s="27">
        <v>16466.66</v>
      </c>
      <c r="M10705" s="36">
        <v>4704.76</v>
      </c>
      <c r="T10705" s="41">
        <v>0</v>
      </c>
      <c r="U10705" s="41">
        <v>0</v>
      </c>
      <c r="V10705" s="42" t="s">
        <v>113</v>
      </c>
      <c r="W10705" s="42">
        <v>0</v>
      </c>
      <c r="X10705" s="42">
        <v>0</v>
      </c>
    </row>
    <row r="10706" spans="1:24">
      <c r="A10706" s="27" t="s">
        <v>19370</v>
      </c>
      <c r="B10706" s="28" t="s">
        <v>17556</v>
      </c>
      <c r="C10706" s="27" t="s">
        <v>19369</v>
      </c>
      <c r="D10706" s="27" t="s">
        <v>17578</v>
      </c>
      <c r="E10706" s="29">
        <v>42551</v>
      </c>
      <c r="F10706" s="27">
        <v>7</v>
      </c>
      <c r="G10706" s="18">
        <v>37968.9</v>
      </c>
      <c r="H10706" s="27">
        <f t="shared" si="334"/>
        <v>0</v>
      </c>
      <c r="I10706" s="18">
        <v>16395.66</v>
      </c>
      <c r="J10706" s="27">
        <v>37968.9</v>
      </c>
      <c r="K10706" s="18">
        <f t="shared" si="335"/>
        <v>0</v>
      </c>
      <c r="L10706" s="27">
        <v>22953.919999999998</v>
      </c>
      <c r="M10706" s="36">
        <v>6558.26</v>
      </c>
      <c r="T10706" s="41">
        <v>0</v>
      </c>
      <c r="U10706" s="41">
        <v>0</v>
      </c>
      <c r="V10706" s="42" t="s">
        <v>113</v>
      </c>
      <c r="W10706" s="42">
        <v>0</v>
      </c>
      <c r="X10706" s="42">
        <v>0</v>
      </c>
    </row>
    <row r="10707" spans="1:24">
      <c r="A10707" s="27" t="s">
        <v>19371</v>
      </c>
      <c r="B10707" s="28" t="s">
        <v>17556</v>
      </c>
      <c r="C10707" s="27" t="s">
        <v>19369</v>
      </c>
      <c r="D10707" s="27" t="s">
        <v>17578</v>
      </c>
      <c r="E10707" s="29">
        <v>42551</v>
      </c>
      <c r="F10707" s="27">
        <v>7</v>
      </c>
      <c r="G10707" s="18">
        <v>37968.9</v>
      </c>
      <c r="H10707" s="27">
        <f t="shared" si="334"/>
        <v>0</v>
      </c>
      <c r="I10707" s="18">
        <v>16395.66</v>
      </c>
      <c r="J10707" s="27">
        <v>37968.9</v>
      </c>
      <c r="K10707" s="18">
        <f t="shared" si="335"/>
        <v>0</v>
      </c>
      <c r="L10707" s="27">
        <v>22953.919999999998</v>
      </c>
      <c r="M10707" s="36">
        <v>6558.26</v>
      </c>
      <c r="T10707" s="41">
        <v>0</v>
      </c>
      <c r="U10707" s="41">
        <v>0</v>
      </c>
      <c r="V10707" s="42" t="s">
        <v>113</v>
      </c>
      <c r="W10707" s="42">
        <v>0</v>
      </c>
      <c r="X10707" s="42">
        <v>0</v>
      </c>
    </row>
    <row r="10708" spans="1:24">
      <c r="A10708" s="27" t="s">
        <v>19372</v>
      </c>
      <c r="B10708" s="28" t="s">
        <v>17556</v>
      </c>
      <c r="C10708" s="27" t="s">
        <v>19369</v>
      </c>
      <c r="D10708" s="27" t="s">
        <v>17578</v>
      </c>
      <c r="E10708" s="29">
        <v>42551</v>
      </c>
      <c r="F10708" s="27">
        <v>7</v>
      </c>
      <c r="G10708" s="18">
        <v>27238.09</v>
      </c>
      <c r="H10708" s="27">
        <f t="shared" si="334"/>
        <v>0</v>
      </c>
      <c r="I10708" s="18">
        <v>11761.9</v>
      </c>
      <c r="J10708" s="27">
        <v>27238.09</v>
      </c>
      <c r="K10708" s="18">
        <f t="shared" si="335"/>
        <v>0</v>
      </c>
      <c r="L10708" s="27">
        <v>16466.66</v>
      </c>
      <c r="M10708" s="36">
        <v>4704.76</v>
      </c>
      <c r="T10708" s="41">
        <v>0</v>
      </c>
      <c r="U10708" s="41">
        <v>0</v>
      </c>
      <c r="V10708" s="42" t="s">
        <v>113</v>
      </c>
      <c r="W10708" s="42">
        <v>0</v>
      </c>
      <c r="X10708" s="42">
        <v>0</v>
      </c>
    </row>
    <row r="10709" spans="1:24">
      <c r="A10709" s="27" t="s">
        <v>19373</v>
      </c>
      <c r="B10709" s="28" t="s">
        <v>17556</v>
      </c>
      <c r="C10709" s="27" t="s">
        <v>19369</v>
      </c>
      <c r="D10709" s="27" t="s">
        <v>17578</v>
      </c>
      <c r="E10709" s="29">
        <v>42551</v>
      </c>
      <c r="F10709" s="27">
        <v>7</v>
      </c>
      <c r="G10709" s="18">
        <v>27238.09</v>
      </c>
      <c r="H10709" s="27">
        <f t="shared" si="334"/>
        <v>0</v>
      </c>
      <c r="I10709" s="18">
        <v>11761.9</v>
      </c>
      <c r="J10709" s="27">
        <v>27238.09</v>
      </c>
      <c r="K10709" s="18">
        <f t="shared" si="335"/>
        <v>0</v>
      </c>
      <c r="L10709" s="27">
        <v>16466.66</v>
      </c>
      <c r="M10709" s="36">
        <v>4704.76</v>
      </c>
      <c r="T10709" s="41">
        <v>0</v>
      </c>
      <c r="U10709" s="41">
        <v>0</v>
      </c>
      <c r="V10709" s="42" t="s">
        <v>113</v>
      </c>
      <c r="W10709" s="42">
        <v>0</v>
      </c>
      <c r="X10709" s="42">
        <v>0</v>
      </c>
    </row>
    <row r="10710" spans="1:24">
      <c r="A10710" s="27" t="s">
        <v>19374</v>
      </c>
      <c r="B10710" s="28" t="s">
        <v>17556</v>
      </c>
      <c r="C10710" s="27" t="s">
        <v>19369</v>
      </c>
      <c r="D10710" s="27" t="s">
        <v>17578</v>
      </c>
      <c r="E10710" s="29">
        <v>42551</v>
      </c>
      <c r="F10710" s="27">
        <v>7</v>
      </c>
      <c r="G10710" s="18">
        <v>27238.09</v>
      </c>
      <c r="H10710" s="27">
        <f t="shared" si="334"/>
        <v>0</v>
      </c>
      <c r="I10710" s="18">
        <v>11761.9</v>
      </c>
      <c r="J10710" s="27">
        <v>27238.09</v>
      </c>
      <c r="K10710" s="18">
        <f t="shared" si="335"/>
        <v>0</v>
      </c>
      <c r="L10710" s="27">
        <v>16466.66</v>
      </c>
      <c r="M10710" s="36">
        <v>4704.76</v>
      </c>
      <c r="T10710" s="41">
        <v>0</v>
      </c>
      <c r="U10710" s="41">
        <v>0</v>
      </c>
      <c r="V10710" s="42" t="s">
        <v>113</v>
      </c>
      <c r="W10710" s="42">
        <v>0</v>
      </c>
      <c r="X10710" s="42">
        <v>0</v>
      </c>
    </row>
    <row r="10711" spans="1:24">
      <c r="A10711" s="27" t="s">
        <v>19375</v>
      </c>
      <c r="B10711" s="28" t="s">
        <v>17556</v>
      </c>
      <c r="C10711" s="27" t="s">
        <v>19369</v>
      </c>
      <c r="D10711" s="27" t="s">
        <v>17578</v>
      </c>
      <c r="E10711" s="29">
        <v>42551</v>
      </c>
      <c r="F10711" s="27">
        <v>7</v>
      </c>
      <c r="G10711" s="18">
        <v>27238.09</v>
      </c>
      <c r="H10711" s="27">
        <f t="shared" si="334"/>
        <v>0</v>
      </c>
      <c r="I10711" s="18">
        <v>11761.9</v>
      </c>
      <c r="J10711" s="27">
        <v>27238.09</v>
      </c>
      <c r="K10711" s="18">
        <f t="shared" si="335"/>
        <v>0</v>
      </c>
      <c r="L10711" s="27">
        <v>16466.66</v>
      </c>
      <c r="M10711" s="36">
        <v>4704.76</v>
      </c>
      <c r="T10711" s="41">
        <v>0</v>
      </c>
      <c r="U10711" s="41">
        <v>0</v>
      </c>
      <c r="V10711" s="42" t="s">
        <v>113</v>
      </c>
      <c r="W10711" s="42">
        <v>0</v>
      </c>
      <c r="X10711" s="42">
        <v>0</v>
      </c>
    </row>
    <row r="10712" spans="1:24">
      <c r="A10712" s="27" t="s">
        <v>19376</v>
      </c>
      <c r="B10712" s="28" t="s">
        <v>17556</v>
      </c>
      <c r="C10712" s="27" t="s">
        <v>19369</v>
      </c>
      <c r="D10712" s="27" t="s">
        <v>17578</v>
      </c>
      <c r="E10712" s="29">
        <v>42551</v>
      </c>
      <c r="F10712" s="27">
        <v>7</v>
      </c>
      <c r="G10712" s="18">
        <v>27238.09</v>
      </c>
      <c r="H10712" s="27">
        <f t="shared" si="334"/>
        <v>0</v>
      </c>
      <c r="I10712" s="18">
        <v>11761.9</v>
      </c>
      <c r="J10712" s="27">
        <v>27238.09</v>
      </c>
      <c r="K10712" s="18">
        <f t="shared" si="335"/>
        <v>0</v>
      </c>
      <c r="L10712" s="27">
        <v>16466.66</v>
      </c>
      <c r="M10712" s="36">
        <v>4704.76</v>
      </c>
      <c r="T10712" s="41">
        <v>0</v>
      </c>
      <c r="U10712" s="41">
        <v>0</v>
      </c>
      <c r="V10712" s="42" t="s">
        <v>113</v>
      </c>
      <c r="W10712" s="42">
        <v>0</v>
      </c>
      <c r="X10712" s="42">
        <v>0</v>
      </c>
    </row>
    <row r="10713" spans="1:24">
      <c r="A10713" s="27" t="s">
        <v>19377</v>
      </c>
      <c r="B10713" s="28" t="s">
        <v>17556</v>
      </c>
      <c r="C10713" s="27" t="s">
        <v>19369</v>
      </c>
      <c r="D10713" s="27" t="s">
        <v>17578</v>
      </c>
      <c r="E10713" s="29">
        <v>42551</v>
      </c>
      <c r="F10713" s="27">
        <v>7</v>
      </c>
      <c r="G10713" s="18">
        <v>27238.09</v>
      </c>
      <c r="H10713" s="27">
        <f t="shared" si="334"/>
        <v>0</v>
      </c>
      <c r="I10713" s="18">
        <v>11761.9</v>
      </c>
      <c r="J10713" s="27">
        <v>27238.09</v>
      </c>
      <c r="K10713" s="18">
        <f t="shared" si="335"/>
        <v>0</v>
      </c>
      <c r="L10713" s="27">
        <v>16466.66</v>
      </c>
      <c r="M10713" s="36">
        <v>4704.76</v>
      </c>
      <c r="T10713" s="41">
        <v>0</v>
      </c>
      <c r="U10713" s="41">
        <v>0</v>
      </c>
      <c r="V10713" s="42" t="s">
        <v>113</v>
      </c>
      <c r="W10713" s="42">
        <v>0</v>
      </c>
      <c r="X10713" s="42">
        <v>0</v>
      </c>
    </row>
    <row r="10714" spans="1:24">
      <c r="A10714" s="27" t="s">
        <v>19378</v>
      </c>
      <c r="B10714" s="28" t="s">
        <v>17556</v>
      </c>
      <c r="C10714" s="27" t="s">
        <v>19369</v>
      </c>
      <c r="D10714" s="27" t="s">
        <v>17578</v>
      </c>
      <c r="E10714" s="29">
        <v>42551</v>
      </c>
      <c r="F10714" s="27">
        <v>7</v>
      </c>
      <c r="G10714" s="18">
        <v>27238.09</v>
      </c>
      <c r="H10714" s="27">
        <f t="shared" si="334"/>
        <v>0</v>
      </c>
      <c r="I10714" s="18">
        <v>11761.9</v>
      </c>
      <c r="J10714" s="27">
        <v>27238.09</v>
      </c>
      <c r="K10714" s="18">
        <f t="shared" si="335"/>
        <v>0</v>
      </c>
      <c r="L10714" s="27">
        <v>16466.66</v>
      </c>
      <c r="M10714" s="36">
        <v>4704.76</v>
      </c>
      <c r="T10714" s="41">
        <v>0</v>
      </c>
      <c r="U10714" s="41">
        <v>0</v>
      </c>
      <c r="V10714" s="42" t="s">
        <v>113</v>
      </c>
      <c r="W10714" s="42">
        <v>0</v>
      </c>
      <c r="X10714" s="42">
        <v>0</v>
      </c>
    </row>
    <row r="10715" spans="1:24">
      <c r="A10715" s="27" t="s">
        <v>19379</v>
      </c>
      <c r="B10715" s="28" t="s">
        <v>17556</v>
      </c>
      <c r="C10715" s="27" t="s">
        <v>19369</v>
      </c>
      <c r="D10715" s="27" t="s">
        <v>17578</v>
      </c>
      <c r="E10715" s="29">
        <v>42551</v>
      </c>
      <c r="F10715" s="27">
        <v>7</v>
      </c>
      <c r="G10715" s="18">
        <v>27238.09</v>
      </c>
      <c r="H10715" s="27">
        <f t="shared" si="334"/>
        <v>0</v>
      </c>
      <c r="I10715" s="18">
        <v>11761.9</v>
      </c>
      <c r="J10715" s="27">
        <v>27238.09</v>
      </c>
      <c r="K10715" s="18">
        <f t="shared" si="335"/>
        <v>0</v>
      </c>
      <c r="L10715" s="27">
        <v>16466.66</v>
      </c>
      <c r="M10715" s="36">
        <v>4704.76</v>
      </c>
      <c r="T10715" s="41">
        <v>0</v>
      </c>
      <c r="U10715" s="41">
        <v>0</v>
      </c>
      <c r="V10715" s="42" t="s">
        <v>113</v>
      </c>
      <c r="W10715" s="42">
        <v>0</v>
      </c>
      <c r="X10715" s="42">
        <v>0</v>
      </c>
    </row>
    <row r="10716" spans="1:24">
      <c r="A10716" s="27" t="s">
        <v>19380</v>
      </c>
      <c r="B10716" s="28" t="s">
        <v>17556</v>
      </c>
      <c r="C10716" s="27" t="s">
        <v>19369</v>
      </c>
      <c r="D10716" s="27" t="s">
        <v>17578</v>
      </c>
      <c r="E10716" s="29">
        <v>42551</v>
      </c>
      <c r="F10716" s="27">
        <v>7</v>
      </c>
      <c r="G10716" s="18">
        <v>27238.09</v>
      </c>
      <c r="H10716" s="27">
        <f t="shared" si="334"/>
        <v>0</v>
      </c>
      <c r="I10716" s="18">
        <v>11761.9</v>
      </c>
      <c r="J10716" s="27">
        <v>27238.09</v>
      </c>
      <c r="K10716" s="18">
        <f t="shared" si="335"/>
        <v>0</v>
      </c>
      <c r="L10716" s="27">
        <v>16466.66</v>
      </c>
      <c r="M10716" s="36">
        <v>4704.76</v>
      </c>
      <c r="T10716" s="41">
        <v>0</v>
      </c>
      <c r="U10716" s="41">
        <v>0</v>
      </c>
      <c r="V10716" s="42" t="s">
        <v>113</v>
      </c>
      <c r="W10716" s="42">
        <v>0</v>
      </c>
      <c r="X10716" s="42">
        <v>0</v>
      </c>
    </row>
    <row r="10717" spans="1:24">
      <c r="A10717" s="27" t="s">
        <v>19381</v>
      </c>
      <c r="B10717" s="28" t="s">
        <v>17556</v>
      </c>
      <c r="C10717" s="27" t="s">
        <v>19369</v>
      </c>
      <c r="D10717" s="27" t="s">
        <v>17578</v>
      </c>
      <c r="E10717" s="29">
        <v>42551</v>
      </c>
      <c r="F10717" s="27">
        <v>7</v>
      </c>
      <c r="G10717" s="18">
        <v>27238.09</v>
      </c>
      <c r="H10717" s="27">
        <f t="shared" si="334"/>
        <v>0</v>
      </c>
      <c r="I10717" s="18">
        <v>11761.9</v>
      </c>
      <c r="J10717" s="27">
        <v>27238.09</v>
      </c>
      <c r="K10717" s="18">
        <f t="shared" si="335"/>
        <v>0</v>
      </c>
      <c r="L10717" s="27">
        <v>16466.66</v>
      </c>
      <c r="M10717" s="36">
        <v>4704.76</v>
      </c>
      <c r="T10717" s="41">
        <v>0</v>
      </c>
      <c r="U10717" s="41">
        <v>0</v>
      </c>
      <c r="V10717" s="42" t="s">
        <v>113</v>
      </c>
      <c r="W10717" s="42">
        <v>0</v>
      </c>
      <c r="X10717" s="42">
        <v>0</v>
      </c>
    </row>
    <row r="10718" spans="1:24">
      <c r="A10718" s="27" t="s">
        <v>19382</v>
      </c>
      <c r="B10718" s="28" t="s">
        <v>17556</v>
      </c>
      <c r="C10718" s="27" t="s">
        <v>19369</v>
      </c>
      <c r="D10718" s="27" t="s">
        <v>17578</v>
      </c>
      <c r="E10718" s="29">
        <v>42551</v>
      </c>
      <c r="F10718" s="27">
        <v>7</v>
      </c>
      <c r="G10718" s="18">
        <v>27238.09</v>
      </c>
      <c r="H10718" s="27">
        <f t="shared" si="334"/>
        <v>0</v>
      </c>
      <c r="I10718" s="18">
        <v>11761.9</v>
      </c>
      <c r="J10718" s="27">
        <v>27238.09</v>
      </c>
      <c r="K10718" s="18">
        <f t="shared" si="335"/>
        <v>0</v>
      </c>
      <c r="L10718" s="27">
        <v>16466.66</v>
      </c>
      <c r="M10718" s="36">
        <v>4704.76</v>
      </c>
      <c r="T10718" s="41">
        <v>0</v>
      </c>
      <c r="U10718" s="41">
        <v>0</v>
      </c>
      <c r="V10718" s="42" t="s">
        <v>113</v>
      </c>
      <c r="W10718" s="42">
        <v>0</v>
      </c>
      <c r="X10718" s="42">
        <v>0</v>
      </c>
    </row>
    <row r="10719" spans="1:24">
      <c r="A10719" s="27" t="s">
        <v>19383</v>
      </c>
      <c r="B10719" s="28" t="s">
        <v>17556</v>
      </c>
      <c r="C10719" s="27" t="s">
        <v>19369</v>
      </c>
      <c r="D10719" s="27" t="s">
        <v>17578</v>
      </c>
      <c r="E10719" s="29">
        <v>42551</v>
      </c>
      <c r="F10719" s="27">
        <v>7</v>
      </c>
      <c r="G10719" s="18">
        <v>27238.09</v>
      </c>
      <c r="H10719" s="27">
        <f t="shared" si="334"/>
        <v>0</v>
      </c>
      <c r="I10719" s="18">
        <v>11761.9</v>
      </c>
      <c r="J10719" s="27">
        <v>27238.09</v>
      </c>
      <c r="K10719" s="18">
        <f t="shared" si="335"/>
        <v>0</v>
      </c>
      <c r="L10719" s="27">
        <v>16466.66</v>
      </c>
      <c r="M10719" s="36">
        <v>4704.76</v>
      </c>
      <c r="T10719" s="41">
        <v>0</v>
      </c>
      <c r="U10719" s="41">
        <v>0</v>
      </c>
      <c r="V10719" s="42" t="s">
        <v>113</v>
      </c>
      <c r="W10719" s="42">
        <v>0</v>
      </c>
      <c r="X10719" s="42">
        <v>0</v>
      </c>
    </row>
    <row r="10720" spans="1:24">
      <c r="A10720" s="27" t="s">
        <v>19384</v>
      </c>
      <c r="B10720" s="28" t="s">
        <v>17556</v>
      </c>
      <c r="C10720" s="27" t="s">
        <v>19369</v>
      </c>
      <c r="D10720" s="27" t="s">
        <v>17578</v>
      </c>
      <c r="E10720" s="29">
        <v>42551</v>
      </c>
      <c r="F10720" s="27">
        <v>7</v>
      </c>
      <c r="G10720" s="18">
        <v>37968.9</v>
      </c>
      <c r="H10720" s="27">
        <f t="shared" si="334"/>
        <v>0</v>
      </c>
      <c r="I10720" s="18">
        <v>16395.66</v>
      </c>
      <c r="J10720" s="27">
        <v>37968.9</v>
      </c>
      <c r="K10720" s="18">
        <f t="shared" si="335"/>
        <v>0</v>
      </c>
      <c r="L10720" s="27">
        <v>22953.919999999998</v>
      </c>
      <c r="M10720" s="36">
        <v>6558.26</v>
      </c>
      <c r="T10720" s="41">
        <v>0</v>
      </c>
      <c r="U10720" s="41">
        <v>0</v>
      </c>
      <c r="V10720" s="42" t="s">
        <v>113</v>
      </c>
      <c r="W10720" s="42">
        <v>0</v>
      </c>
      <c r="X10720" s="42">
        <v>0</v>
      </c>
    </row>
    <row r="10721" spans="1:24">
      <c r="A10721" s="27" t="s">
        <v>19385</v>
      </c>
      <c r="B10721" s="28" t="s">
        <v>17556</v>
      </c>
      <c r="C10721" s="27" t="s">
        <v>19369</v>
      </c>
      <c r="D10721" s="27" t="s">
        <v>17578</v>
      </c>
      <c r="E10721" s="29">
        <v>42551</v>
      </c>
      <c r="F10721" s="27">
        <v>7</v>
      </c>
      <c r="G10721" s="18">
        <v>37968.9</v>
      </c>
      <c r="H10721" s="27">
        <f t="shared" si="334"/>
        <v>0</v>
      </c>
      <c r="I10721" s="18">
        <v>16395.66</v>
      </c>
      <c r="J10721" s="27">
        <v>37968.9</v>
      </c>
      <c r="K10721" s="18">
        <f t="shared" si="335"/>
        <v>0</v>
      </c>
      <c r="L10721" s="27">
        <v>22953.919999999998</v>
      </c>
      <c r="M10721" s="36">
        <v>6558.26</v>
      </c>
      <c r="T10721" s="41">
        <v>0</v>
      </c>
      <c r="U10721" s="41">
        <v>0</v>
      </c>
      <c r="V10721" s="42" t="s">
        <v>113</v>
      </c>
      <c r="W10721" s="42">
        <v>0</v>
      </c>
      <c r="X10721" s="42">
        <v>0</v>
      </c>
    </row>
    <row r="10722" spans="1:24">
      <c r="A10722" s="27" t="s">
        <v>19386</v>
      </c>
      <c r="B10722" s="28" t="s">
        <v>17556</v>
      </c>
      <c r="C10722" s="27" t="s">
        <v>19369</v>
      </c>
      <c r="D10722" s="27" t="s">
        <v>17578</v>
      </c>
      <c r="E10722" s="29">
        <v>42551</v>
      </c>
      <c r="F10722" s="27">
        <v>7</v>
      </c>
      <c r="G10722" s="18">
        <v>27238.09</v>
      </c>
      <c r="H10722" s="27">
        <f t="shared" si="334"/>
        <v>0</v>
      </c>
      <c r="I10722" s="18">
        <v>11761.9</v>
      </c>
      <c r="J10722" s="27">
        <v>27238.09</v>
      </c>
      <c r="K10722" s="18">
        <f t="shared" si="335"/>
        <v>0</v>
      </c>
      <c r="L10722" s="27">
        <v>16466.66</v>
      </c>
      <c r="M10722" s="36">
        <v>4704.76</v>
      </c>
      <c r="T10722" s="41">
        <v>0</v>
      </c>
      <c r="U10722" s="41">
        <v>0</v>
      </c>
      <c r="V10722" s="42" t="s">
        <v>113</v>
      </c>
      <c r="W10722" s="42">
        <v>0</v>
      </c>
      <c r="X10722" s="42">
        <v>0</v>
      </c>
    </row>
    <row r="10723" spans="1:24">
      <c r="A10723" s="27" t="s">
        <v>19387</v>
      </c>
      <c r="B10723" s="28" t="s">
        <v>17556</v>
      </c>
      <c r="C10723" s="27" t="s">
        <v>19369</v>
      </c>
      <c r="D10723" s="27" t="s">
        <v>17578</v>
      </c>
      <c r="E10723" s="29">
        <v>42551</v>
      </c>
      <c r="F10723" s="27">
        <v>7</v>
      </c>
      <c r="G10723" s="18">
        <v>27238.09</v>
      </c>
      <c r="H10723" s="27">
        <f t="shared" si="334"/>
        <v>0</v>
      </c>
      <c r="I10723" s="18">
        <v>11761.9</v>
      </c>
      <c r="J10723" s="27">
        <v>27238.09</v>
      </c>
      <c r="K10723" s="18">
        <f t="shared" si="335"/>
        <v>0</v>
      </c>
      <c r="L10723" s="27">
        <v>16466.66</v>
      </c>
      <c r="M10723" s="36">
        <v>4704.76</v>
      </c>
      <c r="T10723" s="41">
        <v>0</v>
      </c>
      <c r="U10723" s="41">
        <v>0</v>
      </c>
      <c r="V10723" s="42" t="s">
        <v>113</v>
      </c>
      <c r="W10723" s="42">
        <v>0</v>
      </c>
      <c r="X10723" s="42">
        <v>0</v>
      </c>
    </row>
    <row r="10724" spans="1:24">
      <c r="A10724" s="27" t="s">
        <v>19388</v>
      </c>
      <c r="B10724" s="28" t="s">
        <v>17556</v>
      </c>
      <c r="C10724" s="27" t="s">
        <v>19369</v>
      </c>
      <c r="D10724" s="27" t="s">
        <v>17578</v>
      </c>
      <c r="E10724" s="29">
        <v>42551</v>
      </c>
      <c r="F10724" s="27">
        <v>7</v>
      </c>
      <c r="G10724" s="18">
        <v>37968.9</v>
      </c>
      <c r="H10724" s="27">
        <f t="shared" si="334"/>
        <v>0</v>
      </c>
      <c r="I10724" s="18">
        <v>16395.66</v>
      </c>
      <c r="J10724" s="27">
        <v>37968.9</v>
      </c>
      <c r="K10724" s="18">
        <f t="shared" si="335"/>
        <v>0</v>
      </c>
      <c r="L10724" s="27">
        <v>22953.919999999998</v>
      </c>
      <c r="M10724" s="36">
        <v>6558.26</v>
      </c>
      <c r="T10724" s="41">
        <v>0</v>
      </c>
      <c r="U10724" s="41">
        <v>0</v>
      </c>
      <c r="V10724" s="42" t="s">
        <v>113</v>
      </c>
      <c r="W10724" s="42">
        <v>0</v>
      </c>
      <c r="X10724" s="42">
        <v>0</v>
      </c>
    </row>
    <row r="10725" spans="1:24">
      <c r="A10725" s="27" t="s">
        <v>19389</v>
      </c>
      <c r="B10725" s="28" t="s">
        <v>17556</v>
      </c>
      <c r="C10725" s="27" t="s">
        <v>19369</v>
      </c>
      <c r="D10725" s="27" t="s">
        <v>17578</v>
      </c>
      <c r="E10725" s="29">
        <v>42551</v>
      </c>
      <c r="F10725" s="27">
        <v>7</v>
      </c>
      <c r="G10725" s="18">
        <v>27238.09</v>
      </c>
      <c r="H10725" s="27">
        <f t="shared" si="334"/>
        <v>0</v>
      </c>
      <c r="I10725" s="18">
        <v>11761.9</v>
      </c>
      <c r="J10725" s="27">
        <v>27238.09</v>
      </c>
      <c r="K10725" s="18">
        <f t="shared" si="335"/>
        <v>0</v>
      </c>
      <c r="L10725" s="27">
        <v>16466.66</v>
      </c>
      <c r="M10725" s="36">
        <v>4704.76</v>
      </c>
      <c r="T10725" s="41">
        <v>0</v>
      </c>
      <c r="U10725" s="41">
        <v>0</v>
      </c>
      <c r="V10725" s="42" t="s">
        <v>113</v>
      </c>
      <c r="W10725" s="42">
        <v>0</v>
      </c>
      <c r="X10725" s="42">
        <v>0</v>
      </c>
    </row>
    <row r="10726" spans="1:24">
      <c r="A10726" s="27" t="s">
        <v>19390</v>
      </c>
      <c r="B10726" s="28" t="s">
        <v>17556</v>
      </c>
      <c r="C10726" s="27" t="s">
        <v>19369</v>
      </c>
      <c r="D10726" s="27" t="s">
        <v>17578</v>
      </c>
      <c r="E10726" s="29">
        <v>42551</v>
      </c>
      <c r="F10726" s="27">
        <v>7</v>
      </c>
      <c r="G10726" s="18">
        <v>37968.9</v>
      </c>
      <c r="H10726" s="27">
        <f t="shared" si="334"/>
        <v>0</v>
      </c>
      <c r="I10726" s="18">
        <v>16395.66</v>
      </c>
      <c r="J10726" s="27">
        <v>37968.9</v>
      </c>
      <c r="K10726" s="18">
        <f t="shared" si="335"/>
        <v>0</v>
      </c>
      <c r="L10726" s="27">
        <v>22953.919999999998</v>
      </c>
      <c r="M10726" s="36">
        <v>6558.26</v>
      </c>
      <c r="T10726" s="41">
        <v>0</v>
      </c>
      <c r="U10726" s="41">
        <v>0</v>
      </c>
      <c r="V10726" s="42" t="s">
        <v>113</v>
      </c>
      <c r="W10726" s="42">
        <v>0</v>
      </c>
      <c r="X10726" s="42">
        <v>0</v>
      </c>
    </row>
    <row r="10727" spans="1:24">
      <c r="A10727" s="27" t="s">
        <v>19391</v>
      </c>
      <c r="B10727" s="28" t="s">
        <v>17556</v>
      </c>
      <c r="C10727" s="27" t="s">
        <v>19369</v>
      </c>
      <c r="D10727" s="27" t="s">
        <v>17578</v>
      </c>
      <c r="E10727" s="29">
        <v>42551</v>
      </c>
      <c r="F10727" s="27">
        <v>7</v>
      </c>
      <c r="G10727" s="18">
        <v>37968.9</v>
      </c>
      <c r="H10727" s="27">
        <f t="shared" si="334"/>
        <v>0</v>
      </c>
      <c r="I10727" s="18">
        <v>16395.66</v>
      </c>
      <c r="J10727" s="27">
        <v>37968.9</v>
      </c>
      <c r="K10727" s="18">
        <f t="shared" si="335"/>
        <v>0</v>
      </c>
      <c r="L10727" s="27">
        <v>22953.919999999998</v>
      </c>
      <c r="M10727" s="36">
        <v>6558.26</v>
      </c>
      <c r="T10727" s="41">
        <v>0</v>
      </c>
      <c r="U10727" s="41">
        <v>0</v>
      </c>
      <c r="V10727" s="42" t="s">
        <v>113</v>
      </c>
      <c r="W10727" s="42">
        <v>0</v>
      </c>
      <c r="X10727" s="42">
        <v>0</v>
      </c>
    </row>
    <row r="10728" spans="1:24">
      <c r="A10728" s="27" t="s">
        <v>19392</v>
      </c>
      <c r="B10728" s="28" t="s">
        <v>17556</v>
      </c>
      <c r="C10728" s="27" t="s">
        <v>19369</v>
      </c>
      <c r="D10728" s="27" t="s">
        <v>17578</v>
      </c>
      <c r="E10728" s="29">
        <v>42551</v>
      </c>
      <c r="F10728" s="27">
        <v>7</v>
      </c>
      <c r="G10728" s="18">
        <v>27238.09</v>
      </c>
      <c r="H10728" s="27">
        <f t="shared" si="334"/>
        <v>0</v>
      </c>
      <c r="I10728" s="18">
        <v>11761.9</v>
      </c>
      <c r="J10728" s="27">
        <v>27238.09</v>
      </c>
      <c r="K10728" s="18">
        <f t="shared" si="335"/>
        <v>0</v>
      </c>
      <c r="L10728" s="27">
        <v>16466.66</v>
      </c>
      <c r="M10728" s="36">
        <v>4704.76</v>
      </c>
      <c r="T10728" s="41">
        <v>0</v>
      </c>
      <c r="U10728" s="41">
        <v>0</v>
      </c>
      <c r="V10728" s="42" t="s">
        <v>113</v>
      </c>
      <c r="W10728" s="42">
        <v>0</v>
      </c>
      <c r="X10728" s="42">
        <v>0</v>
      </c>
    </row>
    <row r="10729" spans="1:24">
      <c r="A10729" s="27" t="s">
        <v>19393</v>
      </c>
      <c r="B10729" s="28" t="s">
        <v>17556</v>
      </c>
      <c r="C10729" s="27" t="s">
        <v>19369</v>
      </c>
      <c r="D10729" s="27" t="s">
        <v>17578</v>
      </c>
      <c r="E10729" s="29">
        <v>42551</v>
      </c>
      <c r="F10729" s="27">
        <v>7</v>
      </c>
      <c r="G10729" s="18">
        <v>27238.09</v>
      </c>
      <c r="H10729" s="27">
        <f t="shared" si="334"/>
        <v>0</v>
      </c>
      <c r="I10729" s="18">
        <v>11761.9</v>
      </c>
      <c r="J10729" s="27">
        <v>27238.09</v>
      </c>
      <c r="K10729" s="18">
        <f t="shared" si="335"/>
        <v>0</v>
      </c>
      <c r="L10729" s="27">
        <v>16466.66</v>
      </c>
      <c r="M10729" s="36">
        <v>4704.76</v>
      </c>
      <c r="T10729" s="41">
        <v>0</v>
      </c>
      <c r="U10729" s="41">
        <v>0</v>
      </c>
      <c r="V10729" s="42" t="s">
        <v>113</v>
      </c>
      <c r="W10729" s="42">
        <v>0</v>
      </c>
      <c r="X10729" s="42">
        <v>0</v>
      </c>
    </row>
    <row r="10730" spans="1:24">
      <c r="A10730" s="27" t="s">
        <v>19394</v>
      </c>
      <c r="B10730" s="28" t="s">
        <v>17556</v>
      </c>
      <c r="C10730" s="27" t="s">
        <v>19369</v>
      </c>
      <c r="D10730" s="27" t="s">
        <v>17578</v>
      </c>
      <c r="E10730" s="29">
        <v>42551</v>
      </c>
      <c r="F10730" s="27">
        <v>7</v>
      </c>
      <c r="G10730" s="18">
        <v>37968.9</v>
      </c>
      <c r="H10730" s="27">
        <f t="shared" si="334"/>
        <v>0</v>
      </c>
      <c r="I10730" s="18">
        <v>16395.66</v>
      </c>
      <c r="J10730" s="27">
        <v>37968.9</v>
      </c>
      <c r="K10730" s="18">
        <f t="shared" si="335"/>
        <v>0</v>
      </c>
      <c r="L10730" s="27">
        <v>22953.919999999998</v>
      </c>
      <c r="M10730" s="36">
        <v>6558.26</v>
      </c>
      <c r="T10730" s="41">
        <v>0</v>
      </c>
      <c r="U10730" s="41">
        <v>0</v>
      </c>
      <c r="V10730" s="42" t="s">
        <v>113</v>
      </c>
      <c r="W10730" s="42">
        <v>0</v>
      </c>
      <c r="X10730" s="42">
        <v>0</v>
      </c>
    </row>
    <row r="10731" spans="1:24">
      <c r="A10731" s="27" t="s">
        <v>19395</v>
      </c>
      <c r="B10731" s="28" t="s">
        <v>17556</v>
      </c>
      <c r="C10731" s="27" t="s">
        <v>19396</v>
      </c>
      <c r="D10731" s="27" t="s">
        <v>17578</v>
      </c>
      <c r="E10731" s="29">
        <v>42551</v>
      </c>
      <c r="F10731" s="27">
        <v>7</v>
      </c>
      <c r="G10731" s="18">
        <v>36171.300000000003</v>
      </c>
      <c r="H10731" s="27">
        <f t="shared" si="334"/>
        <v>0</v>
      </c>
      <c r="I10731" s="18">
        <v>15619.42</v>
      </c>
      <c r="J10731" s="27">
        <v>36171.300000000003</v>
      </c>
      <c r="K10731" s="18">
        <f t="shared" si="335"/>
        <v>0</v>
      </c>
      <c r="L10731" s="27">
        <v>21867.19</v>
      </c>
      <c r="M10731" s="36">
        <v>6247.77</v>
      </c>
      <c r="T10731" s="41">
        <v>0</v>
      </c>
      <c r="U10731" s="41">
        <v>0</v>
      </c>
      <c r="V10731" s="42" t="s">
        <v>113</v>
      </c>
      <c r="W10731" s="42">
        <v>0</v>
      </c>
      <c r="X10731" s="42">
        <v>0</v>
      </c>
    </row>
    <row r="10732" spans="1:24">
      <c r="A10732" s="27" t="s">
        <v>19397</v>
      </c>
      <c r="B10732" s="28" t="s">
        <v>17556</v>
      </c>
      <c r="C10732" s="27" t="s">
        <v>19398</v>
      </c>
      <c r="D10732" s="27" t="s">
        <v>17578</v>
      </c>
      <c r="E10732" s="29">
        <v>42551</v>
      </c>
      <c r="F10732" s="27">
        <v>7</v>
      </c>
      <c r="G10732" s="18">
        <v>37479.81</v>
      </c>
      <c r="H10732" s="27">
        <f t="shared" si="334"/>
        <v>0</v>
      </c>
      <c r="I10732" s="18">
        <v>16184.47</v>
      </c>
      <c r="J10732" s="27">
        <v>37479.81</v>
      </c>
      <c r="K10732" s="18">
        <f t="shared" si="335"/>
        <v>0</v>
      </c>
      <c r="L10732" s="27">
        <v>22658.25</v>
      </c>
      <c r="M10732" s="36">
        <v>6473.78</v>
      </c>
      <c r="T10732" s="41">
        <v>0</v>
      </c>
      <c r="U10732" s="41">
        <v>0</v>
      </c>
      <c r="V10732" s="42" t="s">
        <v>113</v>
      </c>
      <c r="W10732" s="42">
        <v>0</v>
      </c>
      <c r="X10732" s="42">
        <v>0</v>
      </c>
    </row>
    <row r="10733" spans="1:24">
      <c r="A10733" s="27" t="s">
        <v>19399</v>
      </c>
      <c r="B10733" s="28" t="s">
        <v>17556</v>
      </c>
      <c r="C10733" s="27" t="s">
        <v>19400</v>
      </c>
      <c r="D10733" s="27" t="s">
        <v>17578</v>
      </c>
      <c r="E10733" s="29">
        <v>42551</v>
      </c>
      <c r="F10733" s="27">
        <v>7</v>
      </c>
      <c r="G10733" s="18">
        <v>242018.88</v>
      </c>
      <c r="H10733" s="27">
        <f t="shared" si="334"/>
        <v>0</v>
      </c>
      <c r="I10733" s="18">
        <v>82113.55</v>
      </c>
      <c r="J10733" s="27">
        <v>242018.88</v>
      </c>
      <c r="K10733" s="18">
        <f t="shared" si="335"/>
        <v>0</v>
      </c>
      <c r="L10733" s="27">
        <v>114958.97</v>
      </c>
      <c r="M10733" s="36">
        <v>32845.42</v>
      </c>
      <c r="T10733" s="41">
        <v>0</v>
      </c>
      <c r="U10733" s="41">
        <v>0</v>
      </c>
      <c r="V10733" s="42" t="s">
        <v>113</v>
      </c>
      <c r="W10733" s="42">
        <v>0</v>
      </c>
      <c r="X10733" s="42">
        <v>0</v>
      </c>
    </row>
    <row r="10734" spans="1:24">
      <c r="A10734" s="27" t="s">
        <v>19401</v>
      </c>
      <c r="B10734" s="28" t="s">
        <v>17556</v>
      </c>
      <c r="C10734" s="27" t="s">
        <v>19402</v>
      </c>
      <c r="D10734" s="27" t="s">
        <v>17578</v>
      </c>
      <c r="E10734" s="29">
        <v>42551</v>
      </c>
      <c r="F10734" s="27">
        <v>7</v>
      </c>
      <c r="G10734" s="18">
        <v>106817.48</v>
      </c>
      <c r="H10734" s="27">
        <f t="shared" si="334"/>
        <v>0</v>
      </c>
      <c r="I10734" s="18">
        <v>36241.65</v>
      </c>
      <c r="J10734" s="27">
        <v>106817.48</v>
      </c>
      <c r="K10734" s="18">
        <f t="shared" si="335"/>
        <v>0</v>
      </c>
      <c r="L10734" s="27">
        <v>50738.31</v>
      </c>
      <c r="M10734" s="36">
        <v>14496.66</v>
      </c>
      <c r="T10734" s="41">
        <v>0</v>
      </c>
      <c r="U10734" s="41">
        <v>0</v>
      </c>
      <c r="V10734" s="42" t="s">
        <v>113</v>
      </c>
      <c r="W10734" s="42">
        <v>0</v>
      </c>
      <c r="X10734" s="42">
        <v>0</v>
      </c>
    </row>
    <row r="10735" spans="1:24">
      <c r="A10735" s="27" t="s">
        <v>19403</v>
      </c>
      <c r="B10735" s="28" t="s">
        <v>17556</v>
      </c>
      <c r="C10735" s="27" t="s">
        <v>19404</v>
      </c>
      <c r="D10735" s="27" t="s">
        <v>17578</v>
      </c>
      <c r="E10735" s="29">
        <v>42551</v>
      </c>
      <c r="F10735" s="27">
        <v>7</v>
      </c>
      <c r="G10735" s="18">
        <v>58312.52</v>
      </c>
      <c r="H10735" s="27">
        <f t="shared" si="334"/>
        <v>0</v>
      </c>
      <c r="I10735" s="18">
        <v>19784.599999999999</v>
      </c>
      <c r="J10735" s="27">
        <v>58312.52</v>
      </c>
      <c r="K10735" s="18">
        <f t="shared" si="335"/>
        <v>0</v>
      </c>
      <c r="L10735" s="27">
        <v>27698.44</v>
      </c>
      <c r="M10735" s="36">
        <v>7913.84</v>
      </c>
      <c r="T10735" s="41">
        <v>0</v>
      </c>
      <c r="U10735" s="41">
        <v>0</v>
      </c>
      <c r="V10735" s="42" t="s">
        <v>113</v>
      </c>
      <c r="W10735" s="42">
        <v>0</v>
      </c>
      <c r="X10735" s="42">
        <v>0</v>
      </c>
    </row>
    <row r="10736" spans="1:24">
      <c r="A10736" s="27" t="s">
        <v>19405</v>
      </c>
      <c r="B10736" s="28" t="s">
        <v>17556</v>
      </c>
      <c r="C10736" s="27" t="s">
        <v>19369</v>
      </c>
      <c r="D10736" s="27" t="s">
        <v>17578</v>
      </c>
      <c r="E10736" s="29">
        <v>42551</v>
      </c>
      <c r="F10736" s="27">
        <v>7</v>
      </c>
      <c r="G10736" s="18">
        <v>30836.9</v>
      </c>
      <c r="H10736" s="27">
        <f t="shared" si="334"/>
        <v>0</v>
      </c>
      <c r="I10736" s="18">
        <v>13520.8</v>
      </c>
      <c r="J10736" s="27">
        <v>30836.9</v>
      </c>
      <c r="K10736" s="18">
        <f t="shared" si="335"/>
        <v>0</v>
      </c>
      <c r="L10736" s="27">
        <v>18929.11</v>
      </c>
      <c r="M10736" s="36">
        <v>5408.31</v>
      </c>
      <c r="T10736" s="41">
        <v>0</v>
      </c>
      <c r="U10736" s="41">
        <v>0</v>
      </c>
      <c r="V10736" s="42" t="s">
        <v>113</v>
      </c>
      <c r="W10736" s="42">
        <v>0</v>
      </c>
      <c r="X10736" s="42">
        <v>0</v>
      </c>
    </row>
    <row r="10737" spans="1:24">
      <c r="A10737" s="27" t="s">
        <v>19406</v>
      </c>
      <c r="B10737" s="28" t="s">
        <v>17556</v>
      </c>
      <c r="C10737" s="27" t="s">
        <v>19369</v>
      </c>
      <c r="D10737" s="27" t="s">
        <v>17578</v>
      </c>
      <c r="E10737" s="29">
        <v>42551</v>
      </c>
      <c r="F10737" s="27">
        <v>7</v>
      </c>
      <c r="G10737" s="18">
        <v>30836.9</v>
      </c>
      <c r="H10737" s="27">
        <f t="shared" si="334"/>
        <v>0</v>
      </c>
      <c r="I10737" s="18">
        <v>13520.8</v>
      </c>
      <c r="J10737" s="27">
        <v>30836.9</v>
      </c>
      <c r="K10737" s="18">
        <f t="shared" si="335"/>
        <v>0</v>
      </c>
      <c r="L10737" s="27">
        <v>18929.11</v>
      </c>
      <c r="M10737" s="36">
        <v>5408.31</v>
      </c>
      <c r="T10737" s="41">
        <v>0</v>
      </c>
      <c r="U10737" s="41">
        <v>0</v>
      </c>
      <c r="V10737" s="42" t="s">
        <v>113</v>
      </c>
      <c r="W10737" s="42">
        <v>0</v>
      </c>
      <c r="X10737" s="42">
        <v>0</v>
      </c>
    </row>
    <row r="10738" spans="1:24">
      <c r="A10738" s="27" t="s">
        <v>19407</v>
      </c>
      <c r="B10738" s="28" t="s">
        <v>17556</v>
      </c>
      <c r="C10738" s="27" t="s">
        <v>19369</v>
      </c>
      <c r="D10738" s="27" t="s">
        <v>17578</v>
      </c>
      <c r="E10738" s="29">
        <v>42551</v>
      </c>
      <c r="F10738" s="27">
        <v>7</v>
      </c>
      <c r="G10738" s="18">
        <v>38638.85</v>
      </c>
      <c r="H10738" s="27">
        <f t="shared" si="334"/>
        <v>0</v>
      </c>
      <c r="I10738" s="18">
        <v>16941.650000000001</v>
      </c>
      <c r="J10738" s="27">
        <v>38638.85</v>
      </c>
      <c r="K10738" s="18">
        <f t="shared" si="335"/>
        <v>0</v>
      </c>
      <c r="L10738" s="27">
        <v>23718.31</v>
      </c>
      <c r="M10738" s="36">
        <v>6776.66</v>
      </c>
      <c r="T10738" s="41">
        <v>0</v>
      </c>
      <c r="U10738" s="41">
        <v>0</v>
      </c>
      <c r="V10738" s="42" t="s">
        <v>113</v>
      </c>
      <c r="W10738" s="42">
        <v>0</v>
      </c>
      <c r="X10738" s="42">
        <v>0</v>
      </c>
    </row>
    <row r="10739" spans="1:24">
      <c r="A10739" s="27" t="s">
        <v>19408</v>
      </c>
      <c r="B10739" s="28" t="s">
        <v>17556</v>
      </c>
      <c r="C10739" s="27" t="s">
        <v>19369</v>
      </c>
      <c r="D10739" s="27" t="s">
        <v>17578</v>
      </c>
      <c r="E10739" s="29">
        <v>42551</v>
      </c>
      <c r="F10739" s="27">
        <v>7</v>
      </c>
      <c r="G10739" s="18">
        <v>38638.85</v>
      </c>
      <c r="H10739" s="27">
        <f t="shared" si="334"/>
        <v>0</v>
      </c>
      <c r="I10739" s="18">
        <v>16941.650000000001</v>
      </c>
      <c r="J10739" s="27">
        <v>38638.85</v>
      </c>
      <c r="K10739" s="18">
        <f t="shared" si="335"/>
        <v>0</v>
      </c>
      <c r="L10739" s="27">
        <v>23718.31</v>
      </c>
      <c r="M10739" s="36">
        <v>6776.66</v>
      </c>
      <c r="T10739" s="41">
        <v>0</v>
      </c>
      <c r="U10739" s="41">
        <v>0</v>
      </c>
      <c r="V10739" s="42" t="s">
        <v>113</v>
      </c>
      <c r="W10739" s="42">
        <v>0</v>
      </c>
      <c r="X10739" s="42">
        <v>0</v>
      </c>
    </row>
    <row r="10740" spans="1:24">
      <c r="A10740" s="27" t="s">
        <v>19409</v>
      </c>
      <c r="B10740" s="28" t="s">
        <v>17556</v>
      </c>
      <c r="C10740" s="27" t="s">
        <v>19404</v>
      </c>
      <c r="D10740" s="27" t="s">
        <v>17578</v>
      </c>
      <c r="E10740" s="29">
        <v>42551</v>
      </c>
      <c r="F10740" s="27">
        <v>7</v>
      </c>
      <c r="G10740" s="18">
        <v>56135.69</v>
      </c>
      <c r="H10740" s="27">
        <f t="shared" si="334"/>
        <v>0</v>
      </c>
      <c r="I10740" s="18">
        <v>24613.35</v>
      </c>
      <c r="J10740" s="27">
        <v>56135.69</v>
      </c>
      <c r="K10740" s="18">
        <f t="shared" si="335"/>
        <v>0</v>
      </c>
      <c r="L10740" s="27">
        <v>34458.68</v>
      </c>
      <c r="M10740" s="36">
        <v>9845.33</v>
      </c>
      <c r="T10740" s="41">
        <v>0</v>
      </c>
      <c r="U10740" s="41">
        <v>0</v>
      </c>
      <c r="V10740" s="42" t="s">
        <v>113</v>
      </c>
      <c r="W10740" s="42">
        <v>0</v>
      </c>
      <c r="X10740" s="42">
        <v>0</v>
      </c>
    </row>
    <row r="10741" spans="1:24">
      <c r="A10741" s="27" t="s">
        <v>19410</v>
      </c>
      <c r="B10741" s="28" t="s">
        <v>17556</v>
      </c>
      <c r="C10741" s="27" t="s">
        <v>19411</v>
      </c>
      <c r="D10741" s="27" t="s">
        <v>17578</v>
      </c>
      <c r="E10741" s="29">
        <v>42551</v>
      </c>
      <c r="F10741" s="27">
        <v>7</v>
      </c>
      <c r="G10741" s="18">
        <v>87747.520000000004</v>
      </c>
      <c r="H10741" s="27">
        <f t="shared" si="334"/>
        <v>0</v>
      </c>
      <c r="I10741" s="18">
        <v>33794.65</v>
      </c>
      <c r="J10741" s="27">
        <v>87747.520000000004</v>
      </c>
      <c r="K10741" s="18">
        <f t="shared" si="335"/>
        <v>0</v>
      </c>
      <c r="L10741" s="27">
        <v>47312.51</v>
      </c>
      <c r="M10741" s="36">
        <v>13517.86</v>
      </c>
      <c r="T10741" s="41">
        <v>0</v>
      </c>
      <c r="U10741" s="41">
        <v>0</v>
      </c>
      <c r="V10741" s="42" t="s">
        <v>113</v>
      </c>
      <c r="W10741" s="42">
        <v>0</v>
      </c>
      <c r="X10741" s="42">
        <v>0</v>
      </c>
    </row>
    <row r="10742" spans="1:24">
      <c r="A10742" s="27" t="s">
        <v>19412</v>
      </c>
      <c r="B10742" s="28" t="s">
        <v>17556</v>
      </c>
      <c r="C10742" s="27" t="s">
        <v>19413</v>
      </c>
      <c r="D10742" s="27" t="s">
        <v>17578</v>
      </c>
      <c r="E10742" s="29">
        <v>42461</v>
      </c>
      <c r="F10742" s="27">
        <v>7</v>
      </c>
      <c r="G10742" s="18">
        <v>47406.33</v>
      </c>
      <c r="H10742" s="27">
        <f t="shared" si="334"/>
        <v>0</v>
      </c>
      <c r="I10742" s="18">
        <v>17156.580000000002</v>
      </c>
      <c r="J10742" s="27">
        <v>47406.33</v>
      </c>
      <c r="K10742" s="18">
        <f t="shared" si="335"/>
        <v>0</v>
      </c>
      <c r="L10742" s="27">
        <v>23590.29</v>
      </c>
      <c r="M10742" s="36">
        <v>6433.71</v>
      </c>
      <c r="T10742" s="41">
        <v>0</v>
      </c>
      <c r="U10742" s="41">
        <v>0</v>
      </c>
      <c r="V10742" s="42" t="s">
        <v>113</v>
      </c>
      <c r="W10742" s="42">
        <v>0</v>
      </c>
      <c r="X10742" s="42">
        <v>0</v>
      </c>
    </row>
    <row r="10743" spans="1:24">
      <c r="A10743" s="27" t="s">
        <v>19414</v>
      </c>
      <c r="B10743" s="28" t="s">
        <v>17556</v>
      </c>
      <c r="C10743" s="27" t="s">
        <v>19413</v>
      </c>
      <c r="D10743" s="27" t="s">
        <v>17578</v>
      </c>
      <c r="E10743" s="29">
        <v>42461</v>
      </c>
      <c r="F10743" s="27">
        <v>7</v>
      </c>
      <c r="G10743" s="18">
        <v>47406.33</v>
      </c>
      <c r="H10743" s="27">
        <f t="shared" si="334"/>
        <v>0</v>
      </c>
      <c r="I10743" s="18">
        <v>17156.580000000002</v>
      </c>
      <c r="J10743" s="27">
        <v>47406.33</v>
      </c>
      <c r="K10743" s="18">
        <f t="shared" si="335"/>
        <v>0</v>
      </c>
      <c r="L10743" s="27">
        <v>23590.29</v>
      </c>
      <c r="M10743" s="36">
        <v>6433.71</v>
      </c>
      <c r="T10743" s="41">
        <v>0</v>
      </c>
      <c r="U10743" s="41">
        <v>0</v>
      </c>
      <c r="V10743" s="42" t="s">
        <v>113</v>
      </c>
      <c r="W10743" s="42">
        <v>0</v>
      </c>
      <c r="X10743" s="42">
        <v>0</v>
      </c>
    </row>
    <row r="10744" spans="1:24">
      <c r="A10744" s="27" t="s">
        <v>19415</v>
      </c>
      <c r="B10744" s="28" t="s">
        <v>19416</v>
      </c>
      <c r="C10744" s="27" t="s">
        <v>19417</v>
      </c>
      <c r="D10744" s="27" t="s">
        <v>17578</v>
      </c>
      <c r="E10744" s="29">
        <v>37316</v>
      </c>
      <c r="F10744" s="27">
        <v>10</v>
      </c>
      <c r="G10744" s="18">
        <v>140000</v>
      </c>
      <c r="H10744" s="27">
        <f t="shared" si="334"/>
        <v>140000</v>
      </c>
      <c r="I10744" s="18">
        <v>133000</v>
      </c>
      <c r="J10744" s="27">
        <v>140000</v>
      </c>
      <c r="K10744" s="18">
        <f t="shared" si="335"/>
        <v>140000</v>
      </c>
      <c r="L10744" s="27">
        <v>133000</v>
      </c>
      <c r="M10744" s="36">
        <v>0</v>
      </c>
      <c r="T10744" s="41">
        <v>0</v>
      </c>
      <c r="U10744" s="41">
        <v>0</v>
      </c>
      <c r="V10744" s="42" t="s">
        <v>113</v>
      </c>
      <c r="W10744" s="42">
        <v>140000</v>
      </c>
      <c r="X10744" s="42">
        <v>140000</v>
      </c>
    </row>
    <row r="10745" spans="1:24">
      <c r="A10745" s="27" t="s">
        <v>19418</v>
      </c>
      <c r="B10745" s="28" t="s">
        <v>19416</v>
      </c>
      <c r="C10745" s="27" t="s">
        <v>19419</v>
      </c>
      <c r="D10745" s="27" t="s">
        <v>17578</v>
      </c>
      <c r="E10745" s="29">
        <v>37226</v>
      </c>
      <c r="F10745" s="27">
        <v>10</v>
      </c>
      <c r="G10745" s="18">
        <v>188382.48</v>
      </c>
      <c r="H10745" s="27">
        <f t="shared" si="334"/>
        <v>188382.48</v>
      </c>
      <c r="I10745" s="18">
        <v>178963.36</v>
      </c>
      <c r="J10745" s="27">
        <v>188382.48</v>
      </c>
      <c r="K10745" s="18">
        <f t="shared" si="335"/>
        <v>188382.48</v>
      </c>
      <c r="L10745" s="27">
        <v>178963.36</v>
      </c>
      <c r="M10745" s="36">
        <v>0</v>
      </c>
      <c r="T10745" s="41">
        <v>0</v>
      </c>
      <c r="U10745" s="41">
        <v>0</v>
      </c>
      <c r="V10745" s="42" t="s">
        <v>113</v>
      </c>
      <c r="W10745" s="42">
        <v>188382.48</v>
      </c>
      <c r="X10745" s="42">
        <v>188382.48</v>
      </c>
    </row>
    <row r="10746" spans="1:24">
      <c r="A10746" s="27" t="s">
        <v>19420</v>
      </c>
      <c r="B10746" s="28" t="s">
        <v>19416</v>
      </c>
      <c r="C10746" s="27" t="s">
        <v>19421</v>
      </c>
      <c r="D10746" s="27" t="s">
        <v>17578</v>
      </c>
      <c r="E10746" s="29">
        <v>40178</v>
      </c>
      <c r="F10746" s="27">
        <v>10</v>
      </c>
      <c r="G10746" s="18">
        <v>128397.07</v>
      </c>
      <c r="H10746" s="27">
        <f t="shared" si="334"/>
        <v>128397.07</v>
      </c>
      <c r="I10746" s="18">
        <v>121977.22</v>
      </c>
      <c r="J10746" s="27">
        <v>128397.07</v>
      </c>
      <c r="K10746" s="18">
        <f t="shared" si="335"/>
        <v>128397.07</v>
      </c>
      <c r="L10746" s="27">
        <v>121977.22</v>
      </c>
      <c r="M10746" s="36">
        <v>0</v>
      </c>
      <c r="T10746" s="41">
        <v>0</v>
      </c>
      <c r="U10746" s="41">
        <v>0</v>
      </c>
      <c r="V10746" s="42" t="s">
        <v>113</v>
      </c>
      <c r="W10746" s="42">
        <v>128397.07</v>
      </c>
      <c r="X10746" s="42">
        <v>128397.07</v>
      </c>
    </row>
    <row r="10747" spans="1:24">
      <c r="A10747" s="27" t="s">
        <v>19422</v>
      </c>
      <c r="B10747" s="28" t="s">
        <v>19416</v>
      </c>
      <c r="C10747" s="27" t="s">
        <v>19423</v>
      </c>
      <c r="D10747" s="27" t="s">
        <v>17578</v>
      </c>
      <c r="E10747" s="29">
        <v>41635</v>
      </c>
      <c r="F10747" s="27">
        <v>10</v>
      </c>
      <c r="G10747" s="18">
        <v>266678.44</v>
      </c>
      <c r="H10747" s="27">
        <f t="shared" si="334"/>
        <v>0</v>
      </c>
      <c r="I10747" s="18">
        <v>126672.25</v>
      </c>
      <c r="J10747" s="27">
        <v>266678.44</v>
      </c>
      <c r="K10747" s="18">
        <f t="shared" si="335"/>
        <v>0</v>
      </c>
      <c r="L10747" s="27">
        <v>152006.70000000001</v>
      </c>
      <c r="M10747" s="36">
        <v>25334.45</v>
      </c>
      <c r="T10747" s="41">
        <v>0</v>
      </c>
      <c r="U10747" s="41">
        <v>0</v>
      </c>
      <c r="V10747" s="42" t="s">
        <v>113</v>
      </c>
      <c r="W10747" s="42">
        <v>0</v>
      </c>
      <c r="X10747" s="42">
        <v>0</v>
      </c>
    </row>
    <row r="10748" spans="1:24">
      <c r="A10748" s="27" t="s">
        <v>19424</v>
      </c>
      <c r="B10748" s="28" t="s">
        <v>19416</v>
      </c>
      <c r="C10748" s="27" t="s">
        <v>19425</v>
      </c>
      <c r="D10748" s="27" t="s">
        <v>17558</v>
      </c>
      <c r="E10748" s="29">
        <v>42488</v>
      </c>
      <c r="F10748" s="27">
        <v>10</v>
      </c>
      <c r="G10748" s="18">
        <v>31030.43</v>
      </c>
      <c r="H10748" s="27">
        <f t="shared" si="334"/>
        <v>0</v>
      </c>
      <c r="I10748" s="18">
        <v>7861.04</v>
      </c>
      <c r="J10748" s="27">
        <v>31030.43</v>
      </c>
      <c r="K10748" s="18">
        <f t="shared" si="335"/>
        <v>0</v>
      </c>
      <c r="L10748" s="27">
        <v>10808.93</v>
      </c>
      <c r="M10748" s="36">
        <v>2947.89</v>
      </c>
      <c r="T10748" s="41">
        <v>0</v>
      </c>
      <c r="U10748" s="41">
        <v>0</v>
      </c>
      <c r="V10748" s="42" t="s">
        <v>113</v>
      </c>
      <c r="W10748" s="42">
        <v>0</v>
      </c>
      <c r="X10748" s="42">
        <v>0</v>
      </c>
    </row>
    <row r="10749" spans="1:24">
      <c r="A10749" s="27" t="s">
        <v>19426</v>
      </c>
      <c r="B10749" s="28" t="s">
        <v>19416</v>
      </c>
      <c r="C10749" s="27" t="s">
        <v>19427</v>
      </c>
      <c r="D10749" s="27" t="s">
        <v>17558</v>
      </c>
      <c r="E10749" s="29">
        <v>42488</v>
      </c>
      <c r="F10749" s="27">
        <v>10</v>
      </c>
      <c r="G10749" s="18">
        <v>9309.14</v>
      </c>
      <c r="H10749" s="27">
        <f t="shared" si="334"/>
        <v>0</v>
      </c>
      <c r="I10749" s="18">
        <v>2358.3200000000002</v>
      </c>
      <c r="J10749" s="27">
        <v>9309.14</v>
      </c>
      <c r="K10749" s="18">
        <f t="shared" si="335"/>
        <v>0</v>
      </c>
      <c r="L10749" s="27">
        <v>3242.69</v>
      </c>
      <c r="M10749" s="36">
        <v>884.37</v>
      </c>
      <c r="T10749" s="41">
        <v>0</v>
      </c>
      <c r="U10749" s="41">
        <v>0</v>
      </c>
      <c r="V10749" s="42" t="s">
        <v>113</v>
      </c>
      <c r="W10749" s="42">
        <v>0</v>
      </c>
      <c r="X10749" s="42">
        <v>0</v>
      </c>
    </row>
    <row r="10750" spans="1:24">
      <c r="A10750" s="27" t="s">
        <v>19428</v>
      </c>
      <c r="B10750" s="28" t="s">
        <v>19416</v>
      </c>
      <c r="C10750" s="27" t="s">
        <v>19429</v>
      </c>
      <c r="D10750" s="27" t="s">
        <v>17558</v>
      </c>
      <c r="E10750" s="29">
        <v>42488</v>
      </c>
      <c r="F10750" s="27">
        <v>10</v>
      </c>
      <c r="G10750" s="18">
        <v>71290.42</v>
      </c>
      <c r="H10750" s="27">
        <f t="shared" si="334"/>
        <v>0</v>
      </c>
      <c r="I10750" s="18">
        <v>18060.240000000002</v>
      </c>
      <c r="J10750" s="27">
        <v>71290.42</v>
      </c>
      <c r="K10750" s="18">
        <f t="shared" si="335"/>
        <v>0</v>
      </c>
      <c r="L10750" s="27">
        <v>24832.83</v>
      </c>
      <c r="M10750" s="36">
        <v>6772.59</v>
      </c>
      <c r="T10750" s="41">
        <v>0</v>
      </c>
      <c r="U10750" s="41">
        <v>0</v>
      </c>
      <c r="V10750" s="42" t="s">
        <v>113</v>
      </c>
      <c r="W10750" s="42">
        <v>0</v>
      </c>
      <c r="X10750" s="42">
        <v>0</v>
      </c>
    </row>
    <row r="10751" spans="1:24">
      <c r="A10751" s="27" t="s">
        <v>19430</v>
      </c>
      <c r="B10751" s="28" t="s">
        <v>19416</v>
      </c>
      <c r="C10751" s="27" t="s">
        <v>19431</v>
      </c>
      <c r="D10751" s="27" t="s">
        <v>17558</v>
      </c>
      <c r="E10751" s="29">
        <v>42488</v>
      </c>
      <c r="F10751" s="27">
        <v>10</v>
      </c>
      <c r="G10751" s="18">
        <v>126508.66</v>
      </c>
      <c r="H10751" s="27">
        <f t="shared" si="334"/>
        <v>0</v>
      </c>
      <c r="I10751" s="18">
        <v>32048.86</v>
      </c>
      <c r="J10751" s="27">
        <v>126508.66</v>
      </c>
      <c r="K10751" s="18">
        <f t="shared" si="335"/>
        <v>0</v>
      </c>
      <c r="L10751" s="27">
        <v>44067.18</v>
      </c>
      <c r="M10751" s="36">
        <v>12018.32</v>
      </c>
      <c r="T10751" s="41">
        <v>0</v>
      </c>
      <c r="U10751" s="41">
        <v>0</v>
      </c>
      <c r="V10751" s="42" t="s">
        <v>113</v>
      </c>
      <c r="W10751" s="42">
        <v>0</v>
      </c>
      <c r="X10751" s="42">
        <v>0</v>
      </c>
    </row>
    <row r="10752" spans="1:24">
      <c r="A10752" s="27" t="s">
        <v>19432</v>
      </c>
      <c r="B10752" s="28" t="s">
        <v>19416</v>
      </c>
      <c r="C10752" s="27" t="s">
        <v>19433</v>
      </c>
      <c r="D10752" s="27" t="s">
        <v>17558</v>
      </c>
      <c r="E10752" s="29">
        <v>42488</v>
      </c>
      <c r="F10752" s="27">
        <v>10</v>
      </c>
      <c r="G10752" s="18">
        <v>21100.7</v>
      </c>
      <c r="H10752" s="27">
        <f t="shared" si="334"/>
        <v>0</v>
      </c>
      <c r="I10752" s="18">
        <v>5345.52</v>
      </c>
      <c r="J10752" s="27">
        <v>21100.7</v>
      </c>
      <c r="K10752" s="18">
        <f t="shared" si="335"/>
        <v>0</v>
      </c>
      <c r="L10752" s="27">
        <v>7350.08</v>
      </c>
      <c r="M10752" s="36">
        <v>2004.56</v>
      </c>
      <c r="T10752" s="41">
        <v>0</v>
      </c>
      <c r="U10752" s="41">
        <v>0</v>
      </c>
      <c r="V10752" s="42" t="s">
        <v>113</v>
      </c>
      <c r="W10752" s="42">
        <v>0</v>
      </c>
      <c r="X10752" s="42">
        <v>0</v>
      </c>
    </row>
    <row r="10753" spans="1:24">
      <c r="A10753" s="27" t="s">
        <v>19434</v>
      </c>
      <c r="B10753" s="28" t="s">
        <v>19416</v>
      </c>
      <c r="C10753" s="27" t="s">
        <v>19435</v>
      </c>
      <c r="D10753" s="27" t="s">
        <v>17558</v>
      </c>
      <c r="E10753" s="29">
        <v>30316</v>
      </c>
      <c r="F10753" s="27">
        <v>10</v>
      </c>
      <c r="G10753" s="18">
        <v>120000</v>
      </c>
      <c r="H10753" s="27">
        <f t="shared" si="334"/>
        <v>120000</v>
      </c>
      <c r="I10753" s="18">
        <v>114000</v>
      </c>
      <c r="J10753" s="27">
        <v>120000</v>
      </c>
      <c r="K10753" s="18">
        <f t="shared" si="335"/>
        <v>120000</v>
      </c>
      <c r="L10753" s="27">
        <v>114000</v>
      </c>
      <c r="M10753" s="36">
        <v>0</v>
      </c>
      <c r="T10753" s="41">
        <v>0</v>
      </c>
      <c r="U10753" s="41">
        <v>0</v>
      </c>
      <c r="V10753" s="42" t="s">
        <v>113</v>
      </c>
      <c r="W10753" s="42">
        <v>120000</v>
      </c>
      <c r="X10753" s="42">
        <v>120000</v>
      </c>
    </row>
    <row r="10754" spans="1:24">
      <c r="A10754" s="27" t="s">
        <v>19436</v>
      </c>
      <c r="B10754" s="28" t="s">
        <v>19416</v>
      </c>
      <c r="C10754" s="27" t="s">
        <v>19437</v>
      </c>
      <c r="D10754" s="27" t="s">
        <v>17558</v>
      </c>
      <c r="E10754" s="29">
        <v>34334</v>
      </c>
      <c r="F10754" s="27">
        <v>10</v>
      </c>
      <c r="G10754" s="18">
        <v>1809.5</v>
      </c>
      <c r="H10754" s="27">
        <f t="shared" si="334"/>
        <v>1809.5</v>
      </c>
      <c r="I10754" s="18">
        <v>1809.5</v>
      </c>
      <c r="J10754" s="27">
        <v>1809.5</v>
      </c>
      <c r="K10754" s="18">
        <f t="shared" si="335"/>
        <v>1809.5</v>
      </c>
      <c r="L10754" s="27">
        <v>1809.5</v>
      </c>
      <c r="M10754" s="36">
        <v>0</v>
      </c>
      <c r="T10754" s="41">
        <v>0</v>
      </c>
      <c r="U10754" s="41">
        <v>0</v>
      </c>
      <c r="V10754" s="42" t="s">
        <v>113</v>
      </c>
      <c r="W10754" s="42">
        <v>1809.5</v>
      </c>
      <c r="X10754" s="42">
        <v>1809.5</v>
      </c>
    </row>
    <row r="10755" spans="1:24">
      <c r="A10755" s="27" t="s">
        <v>19438</v>
      </c>
      <c r="B10755" s="28" t="s">
        <v>19416</v>
      </c>
      <c r="C10755" s="27" t="s">
        <v>19439</v>
      </c>
      <c r="D10755" s="27" t="s">
        <v>17558</v>
      </c>
      <c r="E10755" s="29">
        <v>32903</v>
      </c>
      <c r="F10755" s="27">
        <v>10</v>
      </c>
      <c r="G10755" s="18">
        <v>142000</v>
      </c>
      <c r="H10755" s="27">
        <f t="shared" si="334"/>
        <v>142000</v>
      </c>
      <c r="I10755" s="18">
        <v>134900</v>
      </c>
      <c r="J10755" s="27">
        <v>142000</v>
      </c>
      <c r="K10755" s="18">
        <f t="shared" si="335"/>
        <v>142000</v>
      </c>
      <c r="L10755" s="27">
        <v>134900</v>
      </c>
      <c r="M10755" s="36">
        <v>0</v>
      </c>
      <c r="T10755" s="41">
        <v>0</v>
      </c>
      <c r="U10755" s="41">
        <v>0</v>
      </c>
      <c r="V10755" s="42" t="s">
        <v>113</v>
      </c>
      <c r="W10755" s="42">
        <v>142000</v>
      </c>
      <c r="X10755" s="42">
        <v>142000</v>
      </c>
    </row>
    <row r="10756" spans="1:24">
      <c r="A10756" s="27" t="s">
        <v>19440</v>
      </c>
      <c r="B10756" s="28" t="s">
        <v>19416</v>
      </c>
      <c r="C10756" s="27" t="s">
        <v>19441</v>
      </c>
      <c r="D10756" s="27" t="s">
        <v>17558</v>
      </c>
      <c r="E10756" s="29">
        <v>37256</v>
      </c>
      <c r="F10756" s="27">
        <v>10</v>
      </c>
      <c r="G10756" s="18">
        <v>50663.59</v>
      </c>
      <c r="H10756" s="27">
        <f t="shared" si="334"/>
        <v>50663.59</v>
      </c>
      <c r="I10756" s="18">
        <v>48130.41</v>
      </c>
      <c r="J10756" s="27">
        <v>50663.59</v>
      </c>
      <c r="K10756" s="18">
        <f t="shared" si="335"/>
        <v>50663.59</v>
      </c>
      <c r="L10756" s="27">
        <v>48130.41</v>
      </c>
      <c r="M10756" s="36">
        <v>0</v>
      </c>
      <c r="T10756" s="41">
        <v>0</v>
      </c>
      <c r="U10756" s="41">
        <v>0</v>
      </c>
      <c r="V10756" s="42" t="s">
        <v>113</v>
      </c>
      <c r="W10756" s="42">
        <v>50663.59</v>
      </c>
      <c r="X10756" s="42">
        <v>50663.59</v>
      </c>
    </row>
    <row r="10757" spans="1:24">
      <c r="A10757" s="27" t="s">
        <v>19442</v>
      </c>
      <c r="B10757" s="28" t="s">
        <v>19416</v>
      </c>
      <c r="C10757" s="27" t="s">
        <v>19443</v>
      </c>
      <c r="D10757" s="27" t="s">
        <v>17558</v>
      </c>
      <c r="E10757" s="29">
        <v>34334</v>
      </c>
      <c r="F10757" s="27">
        <v>10</v>
      </c>
      <c r="G10757" s="18">
        <v>6575</v>
      </c>
      <c r="H10757" s="27">
        <f t="shared" si="334"/>
        <v>6575</v>
      </c>
      <c r="I10757" s="18">
        <v>6246.25</v>
      </c>
      <c r="J10757" s="27">
        <v>6575</v>
      </c>
      <c r="K10757" s="18">
        <f t="shared" si="335"/>
        <v>6575</v>
      </c>
      <c r="L10757" s="27">
        <v>6246.25</v>
      </c>
      <c r="M10757" s="36">
        <v>0</v>
      </c>
      <c r="T10757" s="41">
        <v>0</v>
      </c>
      <c r="U10757" s="41">
        <v>0</v>
      </c>
      <c r="V10757" s="42" t="s">
        <v>113</v>
      </c>
      <c r="W10757" s="42">
        <v>6575</v>
      </c>
      <c r="X10757" s="42">
        <v>6575</v>
      </c>
    </row>
    <row r="10758" spans="1:24">
      <c r="A10758" s="27" t="s">
        <v>19444</v>
      </c>
      <c r="B10758" s="28" t="s">
        <v>19416</v>
      </c>
      <c r="C10758" s="27" t="s">
        <v>19445</v>
      </c>
      <c r="D10758" s="27" t="s">
        <v>17558</v>
      </c>
      <c r="E10758" s="29">
        <v>30466</v>
      </c>
      <c r="F10758" s="27">
        <v>10</v>
      </c>
      <c r="G10758" s="18">
        <v>160000</v>
      </c>
      <c r="H10758" s="27">
        <f t="shared" ref="H10758:H10821" si="336">IFERROR(IF(ROUND((G10758-I10758)/G10758,2)&lt;=0.05,G10758,0),0)</f>
        <v>160000</v>
      </c>
      <c r="I10758" s="18">
        <v>152000</v>
      </c>
      <c r="J10758" s="27">
        <v>160000</v>
      </c>
      <c r="K10758" s="18">
        <f t="shared" ref="K10758:K10821" si="337">IFERROR(IF(ROUND((J10758-L10758)/J10758,2)&lt;=0.05,J10758,0),0)</f>
        <v>160000</v>
      </c>
      <c r="L10758" s="27">
        <v>152000</v>
      </c>
      <c r="M10758" s="36">
        <v>0</v>
      </c>
      <c r="T10758" s="41">
        <v>0</v>
      </c>
      <c r="U10758" s="41">
        <v>0</v>
      </c>
      <c r="V10758" s="42" t="s">
        <v>113</v>
      </c>
      <c r="W10758" s="42">
        <v>160000</v>
      </c>
      <c r="X10758" s="42">
        <v>160000</v>
      </c>
    </row>
    <row r="10759" spans="1:24">
      <c r="A10759" s="27" t="s">
        <v>19446</v>
      </c>
      <c r="B10759" s="28" t="s">
        <v>19416</v>
      </c>
      <c r="C10759" s="27" t="s">
        <v>19447</v>
      </c>
      <c r="D10759" s="27" t="s">
        <v>17558</v>
      </c>
      <c r="E10759" s="29">
        <v>32932</v>
      </c>
      <c r="F10759" s="27">
        <v>10</v>
      </c>
      <c r="G10759" s="18">
        <v>12000</v>
      </c>
      <c r="H10759" s="27">
        <f t="shared" si="336"/>
        <v>12000</v>
      </c>
      <c r="I10759" s="18">
        <v>11400</v>
      </c>
      <c r="J10759" s="27">
        <v>12000</v>
      </c>
      <c r="K10759" s="18">
        <f t="shared" si="337"/>
        <v>12000</v>
      </c>
      <c r="L10759" s="27">
        <v>11400</v>
      </c>
      <c r="M10759" s="36">
        <v>0</v>
      </c>
      <c r="T10759" s="41">
        <v>0</v>
      </c>
      <c r="U10759" s="41">
        <v>0</v>
      </c>
      <c r="V10759" s="42" t="s">
        <v>113</v>
      </c>
      <c r="W10759" s="42">
        <v>12000</v>
      </c>
      <c r="X10759" s="42">
        <v>12000</v>
      </c>
    </row>
    <row r="10760" spans="1:24">
      <c r="A10760" s="27" t="s">
        <v>19448</v>
      </c>
      <c r="B10760" s="28" t="s">
        <v>19416</v>
      </c>
      <c r="C10760" s="27" t="s">
        <v>19449</v>
      </c>
      <c r="D10760" s="27" t="s">
        <v>17558</v>
      </c>
      <c r="E10760" s="29">
        <v>31106</v>
      </c>
      <c r="F10760" s="27">
        <v>10</v>
      </c>
      <c r="G10760" s="18">
        <v>16000</v>
      </c>
      <c r="H10760" s="27">
        <f t="shared" si="336"/>
        <v>16000</v>
      </c>
      <c r="I10760" s="18">
        <v>15200</v>
      </c>
      <c r="J10760" s="27">
        <v>16000</v>
      </c>
      <c r="K10760" s="18">
        <f t="shared" si="337"/>
        <v>16000</v>
      </c>
      <c r="L10760" s="27">
        <v>15200</v>
      </c>
      <c r="M10760" s="36">
        <v>0</v>
      </c>
      <c r="T10760" s="41">
        <v>0</v>
      </c>
      <c r="U10760" s="41">
        <v>0</v>
      </c>
      <c r="V10760" s="42" t="s">
        <v>113</v>
      </c>
      <c r="W10760" s="42">
        <v>16000</v>
      </c>
      <c r="X10760" s="42">
        <v>16000</v>
      </c>
    </row>
    <row r="10761" spans="1:24">
      <c r="A10761" s="27" t="s">
        <v>19450</v>
      </c>
      <c r="B10761" s="28" t="s">
        <v>19416</v>
      </c>
      <c r="C10761" s="27" t="s">
        <v>19451</v>
      </c>
      <c r="D10761" s="27" t="s">
        <v>17558</v>
      </c>
      <c r="E10761" s="29">
        <v>31106</v>
      </c>
      <c r="F10761" s="27">
        <v>10</v>
      </c>
      <c r="G10761" s="18">
        <v>102000</v>
      </c>
      <c r="H10761" s="27">
        <f t="shared" si="336"/>
        <v>102000</v>
      </c>
      <c r="I10761" s="18">
        <v>96900</v>
      </c>
      <c r="J10761" s="27">
        <v>102000</v>
      </c>
      <c r="K10761" s="18">
        <f t="shared" si="337"/>
        <v>102000</v>
      </c>
      <c r="L10761" s="27">
        <v>96900</v>
      </c>
      <c r="M10761" s="36">
        <v>0</v>
      </c>
      <c r="T10761" s="41">
        <v>0</v>
      </c>
      <c r="U10761" s="41">
        <v>0</v>
      </c>
      <c r="V10761" s="42" t="s">
        <v>113</v>
      </c>
      <c r="W10761" s="42">
        <v>102000</v>
      </c>
      <c r="X10761" s="42">
        <v>102000</v>
      </c>
    </row>
    <row r="10762" spans="1:24">
      <c r="A10762" s="27" t="s">
        <v>19452</v>
      </c>
      <c r="B10762" s="28" t="s">
        <v>19416</v>
      </c>
      <c r="C10762" s="27" t="s">
        <v>19453</v>
      </c>
      <c r="D10762" s="27" t="s">
        <v>17558</v>
      </c>
      <c r="E10762" s="29">
        <v>33907</v>
      </c>
      <c r="F10762" s="27">
        <v>10</v>
      </c>
      <c r="G10762" s="18">
        <v>10000</v>
      </c>
      <c r="H10762" s="27">
        <f t="shared" si="336"/>
        <v>10000</v>
      </c>
      <c r="I10762" s="18">
        <v>9500</v>
      </c>
      <c r="J10762" s="27">
        <v>10000</v>
      </c>
      <c r="K10762" s="18">
        <f t="shared" si="337"/>
        <v>10000</v>
      </c>
      <c r="L10762" s="27">
        <v>9500</v>
      </c>
      <c r="M10762" s="36">
        <v>0</v>
      </c>
      <c r="T10762" s="41">
        <v>0</v>
      </c>
      <c r="U10762" s="41">
        <v>0</v>
      </c>
      <c r="V10762" s="42" t="s">
        <v>113</v>
      </c>
      <c r="W10762" s="42">
        <v>10000</v>
      </c>
      <c r="X10762" s="42">
        <v>10000</v>
      </c>
    </row>
    <row r="10763" spans="1:24">
      <c r="A10763" s="27" t="s">
        <v>19454</v>
      </c>
      <c r="B10763" s="28" t="s">
        <v>19416</v>
      </c>
      <c r="C10763" s="27" t="s">
        <v>19455</v>
      </c>
      <c r="D10763" s="27" t="s">
        <v>17558</v>
      </c>
      <c r="E10763" s="29">
        <v>34699</v>
      </c>
      <c r="F10763" s="27">
        <v>10</v>
      </c>
      <c r="G10763" s="18">
        <v>155419.9</v>
      </c>
      <c r="H10763" s="27">
        <f t="shared" si="336"/>
        <v>155419.9</v>
      </c>
      <c r="I10763" s="18">
        <v>147648.9</v>
      </c>
      <c r="J10763" s="27">
        <v>155419.9</v>
      </c>
      <c r="K10763" s="18">
        <f t="shared" si="337"/>
        <v>155419.9</v>
      </c>
      <c r="L10763" s="27">
        <v>147648.9</v>
      </c>
      <c r="M10763" s="36">
        <v>0</v>
      </c>
      <c r="T10763" s="41">
        <v>0</v>
      </c>
      <c r="U10763" s="41">
        <v>0</v>
      </c>
      <c r="V10763" s="42" t="s">
        <v>113</v>
      </c>
      <c r="W10763" s="42">
        <v>155419.9</v>
      </c>
      <c r="X10763" s="42">
        <v>155419.9</v>
      </c>
    </row>
    <row r="10764" spans="1:24">
      <c r="A10764" s="27" t="s">
        <v>19456</v>
      </c>
      <c r="B10764" s="28" t="s">
        <v>19416</v>
      </c>
      <c r="C10764" s="27" t="s">
        <v>19457</v>
      </c>
      <c r="D10764" s="27" t="s">
        <v>17558</v>
      </c>
      <c r="E10764" s="29">
        <v>35795</v>
      </c>
      <c r="F10764" s="27">
        <v>10</v>
      </c>
      <c r="G10764" s="18">
        <v>55900.75</v>
      </c>
      <c r="H10764" s="27">
        <f t="shared" si="336"/>
        <v>55900.75</v>
      </c>
      <c r="I10764" s="18">
        <v>53105.71</v>
      </c>
      <c r="J10764" s="27">
        <v>55900.75</v>
      </c>
      <c r="K10764" s="18">
        <f t="shared" si="337"/>
        <v>55900.75</v>
      </c>
      <c r="L10764" s="27">
        <v>53105.71</v>
      </c>
      <c r="M10764" s="36">
        <v>0</v>
      </c>
      <c r="T10764" s="41">
        <v>0</v>
      </c>
      <c r="U10764" s="41">
        <v>0</v>
      </c>
      <c r="V10764" s="42" t="s">
        <v>113</v>
      </c>
      <c r="W10764" s="42">
        <v>55900.75</v>
      </c>
      <c r="X10764" s="42">
        <v>55900.75</v>
      </c>
    </row>
    <row r="10765" spans="1:24">
      <c r="A10765" s="27" t="s">
        <v>19458</v>
      </c>
      <c r="B10765" s="28" t="s">
        <v>19416</v>
      </c>
      <c r="C10765" s="27" t="s">
        <v>19439</v>
      </c>
      <c r="D10765" s="27" t="s">
        <v>17558</v>
      </c>
      <c r="E10765" s="29">
        <v>34699</v>
      </c>
      <c r="F10765" s="27">
        <v>10</v>
      </c>
      <c r="G10765" s="18">
        <v>120000</v>
      </c>
      <c r="H10765" s="27">
        <f t="shared" si="336"/>
        <v>120000</v>
      </c>
      <c r="I10765" s="18">
        <v>114000</v>
      </c>
      <c r="J10765" s="27">
        <v>120000</v>
      </c>
      <c r="K10765" s="18">
        <f t="shared" si="337"/>
        <v>120000</v>
      </c>
      <c r="L10765" s="27">
        <v>114000</v>
      </c>
      <c r="M10765" s="36">
        <v>0</v>
      </c>
      <c r="T10765" s="41">
        <v>0</v>
      </c>
      <c r="U10765" s="41">
        <v>0</v>
      </c>
      <c r="V10765" s="42" t="s">
        <v>113</v>
      </c>
      <c r="W10765" s="42">
        <v>120000</v>
      </c>
      <c r="X10765" s="42">
        <v>120000</v>
      </c>
    </row>
    <row r="10766" spans="1:24">
      <c r="A10766" s="27" t="s">
        <v>19459</v>
      </c>
      <c r="B10766" s="28" t="s">
        <v>19416</v>
      </c>
      <c r="C10766" s="27" t="s">
        <v>19460</v>
      </c>
      <c r="D10766" s="27" t="s">
        <v>17558</v>
      </c>
      <c r="E10766" s="29">
        <v>34334</v>
      </c>
      <c r="F10766" s="27">
        <v>10</v>
      </c>
      <c r="G10766" s="18">
        <v>27000</v>
      </c>
      <c r="H10766" s="27">
        <f t="shared" si="336"/>
        <v>27000</v>
      </c>
      <c r="I10766" s="18">
        <v>25650</v>
      </c>
      <c r="J10766" s="27">
        <v>27000</v>
      </c>
      <c r="K10766" s="18">
        <f t="shared" si="337"/>
        <v>27000</v>
      </c>
      <c r="L10766" s="27">
        <v>25650</v>
      </c>
      <c r="M10766" s="36">
        <v>0</v>
      </c>
      <c r="T10766" s="41">
        <v>0</v>
      </c>
      <c r="U10766" s="41">
        <v>0</v>
      </c>
      <c r="V10766" s="42" t="s">
        <v>113</v>
      </c>
      <c r="W10766" s="42">
        <v>27000</v>
      </c>
      <c r="X10766" s="42">
        <v>27000</v>
      </c>
    </row>
    <row r="10767" spans="1:24">
      <c r="A10767" s="27" t="s">
        <v>19461</v>
      </c>
      <c r="B10767" s="28" t="s">
        <v>19416</v>
      </c>
      <c r="C10767" s="27" t="s">
        <v>19462</v>
      </c>
      <c r="D10767" s="27" t="s">
        <v>17558</v>
      </c>
      <c r="E10767" s="29">
        <v>40178</v>
      </c>
      <c r="F10767" s="27">
        <v>10</v>
      </c>
      <c r="G10767" s="18">
        <v>59384</v>
      </c>
      <c r="H10767" s="27">
        <f t="shared" si="336"/>
        <v>0</v>
      </c>
      <c r="I10767" s="18">
        <v>50512.15</v>
      </c>
      <c r="J10767" s="27">
        <v>59384</v>
      </c>
      <c r="K10767" s="18">
        <f t="shared" si="337"/>
        <v>59384</v>
      </c>
      <c r="L10767" s="27">
        <v>56414.8</v>
      </c>
      <c r="M10767" s="36">
        <v>5902.65</v>
      </c>
      <c r="T10767" s="41">
        <v>0</v>
      </c>
      <c r="U10767" s="41">
        <v>0</v>
      </c>
      <c r="V10767" s="42" t="s">
        <v>113</v>
      </c>
      <c r="W10767" s="42">
        <v>59384</v>
      </c>
      <c r="X10767" s="42">
        <v>59384</v>
      </c>
    </row>
    <row r="10768" spans="1:24">
      <c r="A10768" s="27" t="s">
        <v>19463</v>
      </c>
      <c r="B10768" s="28" t="s">
        <v>19416</v>
      </c>
      <c r="C10768" s="27" t="s">
        <v>19464</v>
      </c>
      <c r="D10768" s="27" t="s">
        <v>17558</v>
      </c>
      <c r="E10768" s="29">
        <v>31442</v>
      </c>
      <c r="F10768" s="27">
        <v>10</v>
      </c>
      <c r="G10768" s="18">
        <v>100000</v>
      </c>
      <c r="H10768" s="27">
        <f t="shared" si="336"/>
        <v>100000</v>
      </c>
      <c r="I10768" s="18">
        <v>95000</v>
      </c>
      <c r="J10768" s="27">
        <v>100000</v>
      </c>
      <c r="K10768" s="18">
        <f t="shared" si="337"/>
        <v>100000</v>
      </c>
      <c r="L10768" s="27">
        <v>95000</v>
      </c>
      <c r="M10768" s="36">
        <v>0</v>
      </c>
      <c r="T10768" s="41">
        <v>0</v>
      </c>
      <c r="U10768" s="41">
        <v>0</v>
      </c>
      <c r="V10768" s="42" t="s">
        <v>113</v>
      </c>
      <c r="W10768" s="42">
        <v>100000</v>
      </c>
      <c r="X10768" s="42">
        <v>100000</v>
      </c>
    </row>
    <row r="10769" spans="1:24">
      <c r="A10769" s="27" t="s">
        <v>19465</v>
      </c>
      <c r="B10769" s="28" t="s">
        <v>19416</v>
      </c>
      <c r="C10769" s="27" t="s">
        <v>19466</v>
      </c>
      <c r="D10769" s="27" t="s">
        <v>17558</v>
      </c>
      <c r="E10769" s="29">
        <v>31106</v>
      </c>
      <c r="F10769" s="27">
        <v>10</v>
      </c>
      <c r="G10769" s="18">
        <v>30000</v>
      </c>
      <c r="H10769" s="27">
        <f t="shared" si="336"/>
        <v>30000</v>
      </c>
      <c r="I10769" s="18">
        <v>28500</v>
      </c>
      <c r="J10769" s="27">
        <v>30000</v>
      </c>
      <c r="K10769" s="18">
        <f t="shared" si="337"/>
        <v>30000</v>
      </c>
      <c r="L10769" s="27">
        <v>28500</v>
      </c>
      <c r="M10769" s="36">
        <v>0</v>
      </c>
      <c r="T10769" s="41">
        <v>0</v>
      </c>
      <c r="U10769" s="41">
        <v>0</v>
      </c>
      <c r="V10769" s="42" t="s">
        <v>113</v>
      </c>
      <c r="W10769" s="42">
        <v>30000</v>
      </c>
      <c r="X10769" s="42">
        <v>30000</v>
      </c>
    </row>
    <row r="10770" spans="1:24">
      <c r="A10770" s="27" t="s">
        <v>19467</v>
      </c>
      <c r="B10770" s="28" t="s">
        <v>19416</v>
      </c>
      <c r="C10770" s="27" t="s">
        <v>19468</v>
      </c>
      <c r="D10770" s="27" t="s">
        <v>17558</v>
      </c>
      <c r="E10770" s="29">
        <v>36525</v>
      </c>
      <c r="F10770" s="27">
        <v>10</v>
      </c>
      <c r="G10770" s="18">
        <v>103000</v>
      </c>
      <c r="H10770" s="27">
        <f t="shared" si="336"/>
        <v>103000</v>
      </c>
      <c r="I10770" s="18">
        <v>97850</v>
      </c>
      <c r="J10770" s="27">
        <v>103000</v>
      </c>
      <c r="K10770" s="18">
        <f t="shared" si="337"/>
        <v>103000</v>
      </c>
      <c r="L10770" s="27">
        <v>97850</v>
      </c>
      <c r="M10770" s="36">
        <v>0</v>
      </c>
      <c r="T10770" s="41">
        <v>0</v>
      </c>
      <c r="U10770" s="41">
        <v>0</v>
      </c>
      <c r="V10770" s="42" t="s">
        <v>113</v>
      </c>
      <c r="W10770" s="42">
        <v>103000</v>
      </c>
      <c r="X10770" s="42">
        <v>103000</v>
      </c>
    </row>
    <row r="10771" spans="1:24">
      <c r="A10771" s="27" t="s">
        <v>19469</v>
      </c>
      <c r="B10771" s="28" t="s">
        <v>19416</v>
      </c>
      <c r="C10771" s="27" t="s">
        <v>19470</v>
      </c>
      <c r="D10771" s="27" t="s">
        <v>17558</v>
      </c>
      <c r="E10771" s="29">
        <v>34334</v>
      </c>
      <c r="F10771" s="27">
        <v>10</v>
      </c>
      <c r="G10771" s="18">
        <v>102000</v>
      </c>
      <c r="H10771" s="27">
        <f t="shared" si="336"/>
        <v>102000</v>
      </c>
      <c r="I10771" s="18">
        <v>96900</v>
      </c>
      <c r="J10771" s="27">
        <v>102000</v>
      </c>
      <c r="K10771" s="18">
        <f t="shared" si="337"/>
        <v>102000</v>
      </c>
      <c r="L10771" s="27">
        <v>96900</v>
      </c>
      <c r="M10771" s="36">
        <v>0</v>
      </c>
      <c r="T10771" s="41">
        <v>0</v>
      </c>
      <c r="U10771" s="41">
        <v>0</v>
      </c>
      <c r="V10771" s="42" t="s">
        <v>113</v>
      </c>
      <c r="W10771" s="42">
        <v>102000</v>
      </c>
      <c r="X10771" s="42">
        <v>102000</v>
      </c>
    </row>
    <row r="10772" spans="1:24">
      <c r="A10772" s="27" t="s">
        <v>19471</v>
      </c>
      <c r="B10772" s="28" t="s">
        <v>19416</v>
      </c>
      <c r="C10772" s="27" t="s">
        <v>19441</v>
      </c>
      <c r="D10772" s="27" t="s">
        <v>17558</v>
      </c>
      <c r="E10772" s="29">
        <v>36891</v>
      </c>
      <c r="F10772" s="27">
        <v>10</v>
      </c>
      <c r="G10772" s="18">
        <v>125240.75</v>
      </c>
      <c r="H10772" s="27">
        <f t="shared" si="336"/>
        <v>125240.75</v>
      </c>
      <c r="I10772" s="18">
        <v>118978.71</v>
      </c>
      <c r="J10772" s="27">
        <v>125240.75</v>
      </c>
      <c r="K10772" s="18">
        <f t="shared" si="337"/>
        <v>125240.75</v>
      </c>
      <c r="L10772" s="27">
        <v>118978.71</v>
      </c>
      <c r="M10772" s="36">
        <v>0</v>
      </c>
      <c r="T10772" s="41">
        <v>0</v>
      </c>
      <c r="U10772" s="41">
        <v>0</v>
      </c>
      <c r="V10772" s="42" t="s">
        <v>113</v>
      </c>
      <c r="W10772" s="42">
        <v>125240.75</v>
      </c>
      <c r="X10772" s="42">
        <v>125240.75</v>
      </c>
    </row>
    <row r="10773" spans="1:24">
      <c r="A10773" s="27" t="s">
        <v>19472</v>
      </c>
      <c r="B10773" s="28" t="s">
        <v>19416</v>
      </c>
      <c r="C10773" s="27" t="s">
        <v>19473</v>
      </c>
      <c r="D10773" s="27" t="s">
        <v>17558</v>
      </c>
      <c r="E10773" s="29">
        <v>31106</v>
      </c>
      <c r="F10773" s="27">
        <v>10</v>
      </c>
      <c r="G10773" s="18">
        <v>85188</v>
      </c>
      <c r="H10773" s="27">
        <f t="shared" si="336"/>
        <v>85188</v>
      </c>
      <c r="I10773" s="18">
        <v>80928.600000000006</v>
      </c>
      <c r="J10773" s="27">
        <v>85188</v>
      </c>
      <c r="K10773" s="18">
        <f t="shared" si="337"/>
        <v>85188</v>
      </c>
      <c r="L10773" s="27">
        <v>80928.600000000006</v>
      </c>
      <c r="M10773" s="36">
        <v>0</v>
      </c>
      <c r="T10773" s="41">
        <v>0</v>
      </c>
      <c r="U10773" s="41">
        <v>0</v>
      </c>
      <c r="V10773" s="42" t="s">
        <v>113</v>
      </c>
      <c r="W10773" s="42">
        <v>85188</v>
      </c>
      <c r="X10773" s="42">
        <v>85188</v>
      </c>
    </row>
    <row r="10774" spans="1:24">
      <c r="A10774" s="27" t="s">
        <v>19474</v>
      </c>
      <c r="B10774" s="28" t="s">
        <v>19416</v>
      </c>
      <c r="C10774" s="27" t="s">
        <v>19475</v>
      </c>
      <c r="D10774" s="27" t="s">
        <v>17558</v>
      </c>
      <c r="E10774" s="29">
        <v>31106</v>
      </c>
      <c r="F10774" s="27">
        <v>10</v>
      </c>
      <c r="G10774" s="18">
        <v>48480</v>
      </c>
      <c r="H10774" s="27">
        <f t="shared" si="336"/>
        <v>48480</v>
      </c>
      <c r="I10774" s="18">
        <v>46056</v>
      </c>
      <c r="J10774" s="27">
        <v>48480</v>
      </c>
      <c r="K10774" s="18">
        <f t="shared" si="337"/>
        <v>48480</v>
      </c>
      <c r="L10774" s="27">
        <v>46056</v>
      </c>
      <c r="M10774" s="36">
        <v>0</v>
      </c>
      <c r="T10774" s="41">
        <v>0</v>
      </c>
      <c r="U10774" s="41">
        <v>0</v>
      </c>
      <c r="V10774" s="42" t="s">
        <v>113</v>
      </c>
      <c r="W10774" s="42">
        <v>48480</v>
      </c>
      <c r="X10774" s="42">
        <v>48480</v>
      </c>
    </row>
    <row r="10775" spans="1:24">
      <c r="A10775" s="27" t="s">
        <v>19476</v>
      </c>
      <c r="B10775" s="28" t="s">
        <v>19416</v>
      </c>
      <c r="C10775" s="27" t="s">
        <v>19477</v>
      </c>
      <c r="D10775" s="27" t="s">
        <v>17558</v>
      </c>
      <c r="E10775" s="29">
        <v>30315</v>
      </c>
      <c r="F10775" s="27">
        <v>10</v>
      </c>
      <c r="G10775" s="18">
        <v>40000</v>
      </c>
      <c r="H10775" s="27">
        <f t="shared" si="336"/>
        <v>40000</v>
      </c>
      <c r="I10775" s="18">
        <v>38000</v>
      </c>
      <c r="J10775" s="27">
        <v>40000</v>
      </c>
      <c r="K10775" s="18">
        <f t="shared" si="337"/>
        <v>40000</v>
      </c>
      <c r="L10775" s="27">
        <v>38000</v>
      </c>
      <c r="M10775" s="36">
        <v>0</v>
      </c>
      <c r="T10775" s="41">
        <v>0</v>
      </c>
      <c r="U10775" s="41">
        <v>0</v>
      </c>
      <c r="V10775" s="42" t="s">
        <v>113</v>
      </c>
      <c r="W10775" s="42">
        <v>40000</v>
      </c>
      <c r="X10775" s="42">
        <v>40000</v>
      </c>
    </row>
    <row r="10776" spans="1:24">
      <c r="A10776" s="27" t="s">
        <v>19478</v>
      </c>
      <c r="B10776" s="28" t="s">
        <v>19416</v>
      </c>
      <c r="C10776" s="27" t="s">
        <v>19479</v>
      </c>
      <c r="D10776" s="27" t="s">
        <v>17558</v>
      </c>
      <c r="E10776" s="29">
        <v>34334</v>
      </c>
      <c r="F10776" s="27">
        <v>10</v>
      </c>
      <c r="G10776" s="18">
        <v>6720</v>
      </c>
      <c r="H10776" s="27">
        <f t="shared" si="336"/>
        <v>6720</v>
      </c>
      <c r="I10776" s="18">
        <v>6384</v>
      </c>
      <c r="J10776" s="27">
        <v>6720</v>
      </c>
      <c r="K10776" s="18">
        <f t="shared" si="337"/>
        <v>6720</v>
      </c>
      <c r="L10776" s="27">
        <v>6384</v>
      </c>
      <c r="M10776" s="36">
        <v>0</v>
      </c>
      <c r="T10776" s="41">
        <v>0</v>
      </c>
      <c r="U10776" s="41">
        <v>0</v>
      </c>
      <c r="V10776" s="42" t="s">
        <v>113</v>
      </c>
      <c r="W10776" s="42">
        <v>6720</v>
      </c>
      <c r="X10776" s="42">
        <v>6720</v>
      </c>
    </row>
    <row r="10777" spans="1:24">
      <c r="A10777" s="27" t="s">
        <v>19480</v>
      </c>
      <c r="B10777" s="28" t="s">
        <v>19416</v>
      </c>
      <c r="C10777" s="27" t="s">
        <v>19439</v>
      </c>
      <c r="D10777" s="27" t="s">
        <v>17558</v>
      </c>
      <c r="E10777" s="29">
        <v>31927</v>
      </c>
      <c r="F10777" s="27">
        <v>10</v>
      </c>
      <c r="G10777" s="18">
        <v>122000</v>
      </c>
      <c r="H10777" s="27">
        <f t="shared" si="336"/>
        <v>122000</v>
      </c>
      <c r="I10777" s="18">
        <v>115900</v>
      </c>
      <c r="J10777" s="27">
        <v>122000</v>
      </c>
      <c r="K10777" s="18">
        <f t="shared" si="337"/>
        <v>122000</v>
      </c>
      <c r="L10777" s="27">
        <v>115900</v>
      </c>
      <c r="M10777" s="36">
        <v>0</v>
      </c>
      <c r="T10777" s="41">
        <v>0</v>
      </c>
      <c r="U10777" s="41">
        <v>0</v>
      </c>
      <c r="V10777" s="42" t="s">
        <v>113</v>
      </c>
      <c r="W10777" s="42">
        <v>122000</v>
      </c>
      <c r="X10777" s="42">
        <v>122000</v>
      </c>
    </row>
    <row r="10778" spans="1:24">
      <c r="A10778" s="27" t="s">
        <v>19481</v>
      </c>
      <c r="B10778" s="28" t="s">
        <v>19416</v>
      </c>
      <c r="C10778" s="27" t="s">
        <v>19482</v>
      </c>
      <c r="D10778" s="27" t="s">
        <v>17558</v>
      </c>
      <c r="E10778" s="29">
        <v>36891</v>
      </c>
      <c r="F10778" s="27">
        <v>10</v>
      </c>
      <c r="G10778" s="18">
        <v>16825.099999999999</v>
      </c>
      <c r="H10778" s="27">
        <f t="shared" si="336"/>
        <v>16825.099999999999</v>
      </c>
      <c r="I10778" s="18">
        <v>15983.84</v>
      </c>
      <c r="J10778" s="27">
        <v>16825.099999999999</v>
      </c>
      <c r="K10778" s="18">
        <f t="shared" si="337"/>
        <v>16825.099999999999</v>
      </c>
      <c r="L10778" s="27">
        <v>15983.84</v>
      </c>
      <c r="M10778" s="36">
        <v>0</v>
      </c>
      <c r="T10778" s="41">
        <v>0</v>
      </c>
      <c r="U10778" s="41">
        <v>0</v>
      </c>
      <c r="V10778" s="42" t="s">
        <v>113</v>
      </c>
      <c r="W10778" s="42">
        <v>16825.099999999999</v>
      </c>
      <c r="X10778" s="42">
        <v>16825.099999999999</v>
      </c>
    </row>
    <row r="10779" spans="1:24">
      <c r="A10779" s="27" t="s">
        <v>19483</v>
      </c>
      <c r="B10779" s="28" t="s">
        <v>19416</v>
      </c>
      <c r="C10779" s="27" t="s">
        <v>19484</v>
      </c>
      <c r="D10779" s="27" t="s">
        <v>17558</v>
      </c>
      <c r="E10779" s="29">
        <v>34699</v>
      </c>
      <c r="F10779" s="27">
        <v>10</v>
      </c>
      <c r="G10779" s="18">
        <v>19960</v>
      </c>
      <c r="H10779" s="27">
        <f t="shared" si="336"/>
        <v>19960</v>
      </c>
      <c r="I10779" s="18">
        <v>18962</v>
      </c>
      <c r="J10779" s="27">
        <v>19960</v>
      </c>
      <c r="K10779" s="18">
        <f t="shared" si="337"/>
        <v>19960</v>
      </c>
      <c r="L10779" s="27">
        <v>18962</v>
      </c>
      <c r="M10779" s="36">
        <v>0</v>
      </c>
      <c r="T10779" s="41">
        <v>0</v>
      </c>
      <c r="U10779" s="41">
        <v>0</v>
      </c>
      <c r="V10779" s="42" t="s">
        <v>113</v>
      </c>
      <c r="W10779" s="42">
        <v>19960</v>
      </c>
      <c r="X10779" s="42">
        <v>19960</v>
      </c>
    </row>
    <row r="10780" spans="1:24">
      <c r="A10780" s="27" t="s">
        <v>19485</v>
      </c>
      <c r="B10780" s="28" t="s">
        <v>19416</v>
      </c>
      <c r="C10780" s="27" t="s">
        <v>19466</v>
      </c>
      <c r="D10780" s="27" t="s">
        <v>17558</v>
      </c>
      <c r="E10780" s="29">
        <v>31106</v>
      </c>
      <c r="F10780" s="27">
        <v>10</v>
      </c>
      <c r="G10780" s="18">
        <v>44060</v>
      </c>
      <c r="H10780" s="27">
        <f t="shared" si="336"/>
        <v>44060</v>
      </c>
      <c r="I10780" s="18">
        <v>41857</v>
      </c>
      <c r="J10780" s="27">
        <v>44060</v>
      </c>
      <c r="K10780" s="18">
        <f t="shared" si="337"/>
        <v>44060</v>
      </c>
      <c r="L10780" s="27">
        <v>41857</v>
      </c>
      <c r="M10780" s="36">
        <v>0</v>
      </c>
      <c r="T10780" s="41">
        <v>0</v>
      </c>
      <c r="U10780" s="41">
        <v>0</v>
      </c>
      <c r="V10780" s="42" t="s">
        <v>113</v>
      </c>
      <c r="W10780" s="42">
        <v>44060</v>
      </c>
      <c r="X10780" s="42">
        <v>44060</v>
      </c>
    </row>
    <row r="10781" spans="1:24">
      <c r="A10781" s="27" t="s">
        <v>19486</v>
      </c>
      <c r="B10781" s="28" t="s">
        <v>19416</v>
      </c>
      <c r="C10781" s="27" t="s">
        <v>19487</v>
      </c>
      <c r="D10781" s="27" t="s">
        <v>17558</v>
      </c>
      <c r="E10781" s="29">
        <v>40178</v>
      </c>
      <c r="F10781" s="27">
        <v>10</v>
      </c>
      <c r="G10781" s="18">
        <v>84497</v>
      </c>
      <c r="H10781" s="27">
        <f t="shared" si="336"/>
        <v>0</v>
      </c>
      <c r="I10781" s="18">
        <v>71873.31</v>
      </c>
      <c r="J10781" s="27">
        <v>84497</v>
      </c>
      <c r="K10781" s="18">
        <f t="shared" si="337"/>
        <v>84497</v>
      </c>
      <c r="L10781" s="27">
        <v>80272.149999999994</v>
      </c>
      <c r="M10781" s="36">
        <v>8398.84</v>
      </c>
      <c r="T10781" s="41">
        <v>0</v>
      </c>
      <c r="U10781" s="41">
        <v>0</v>
      </c>
      <c r="V10781" s="42" t="s">
        <v>113</v>
      </c>
      <c r="W10781" s="42">
        <v>84497</v>
      </c>
      <c r="X10781" s="42">
        <v>84497</v>
      </c>
    </row>
    <row r="10782" spans="1:24">
      <c r="A10782" s="27" t="s">
        <v>19488</v>
      </c>
      <c r="B10782" s="28" t="s">
        <v>19416</v>
      </c>
      <c r="C10782" s="27" t="s">
        <v>19489</v>
      </c>
      <c r="D10782" s="27" t="s">
        <v>17558</v>
      </c>
      <c r="E10782" s="29">
        <v>35430</v>
      </c>
      <c r="F10782" s="27">
        <v>10</v>
      </c>
      <c r="G10782" s="18">
        <v>10000</v>
      </c>
      <c r="H10782" s="27">
        <f t="shared" si="336"/>
        <v>10000</v>
      </c>
      <c r="I10782" s="18">
        <v>9500</v>
      </c>
      <c r="J10782" s="27">
        <v>10000</v>
      </c>
      <c r="K10782" s="18">
        <f t="shared" si="337"/>
        <v>10000</v>
      </c>
      <c r="L10782" s="27">
        <v>9500</v>
      </c>
      <c r="M10782" s="36">
        <v>0</v>
      </c>
      <c r="T10782" s="41">
        <v>0</v>
      </c>
      <c r="U10782" s="41">
        <v>0</v>
      </c>
      <c r="V10782" s="42" t="s">
        <v>113</v>
      </c>
      <c r="W10782" s="42">
        <v>10000</v>
      </c>
      <c r="X10782" s="42">
        <v>10000</v>
      </c>
    </row>
    <row r="10783" spans="1:24">
      <c r="A10783" s="27" t="s">
        <v>19490</v>
      </c>
      <c r="B10783" s="28" t="s">
        <v>19416</v>
      </c>
      <c r="C10783" s="27" t="s">
        <v>19457</v>
      </c>
      <c r="D10783" s="27" t="s">
        <v>17558</v>
      </c>
      <c r="E10783" s="29">
        <v>35795</v>
      </c>
      <c r="F10783" s="27">
        <v>10</v>
      </c>
      <c r="G10783" s="18">
        <v>77886</v>
      </c>
      <c r="H10783" s="27">
        <f t="shared" si="336"/>
        <v>77886</v>
      </c>
      <c r="I10783" s="18">
        <v>73991.7</v>
      </c>
      <c r="J10783" s="27">
        <v>77886</v>
      </c>
      <c r="K10783" s="18">
        <f t="shared" si="337"/>
        <v>77886</v>
      </c>
      <c r="L10783" s="27">
        <v>73991.7</v>
      </c>
      <c r="M10783" s="36">
        <v>0</v>
      </c>
      <c r="T10783" s="41">
        <v>0</v>
      </c>
      <c r="U10783" s="41">
        <v>0</v>
      </c>
      <c r="V10783" s="42" t="s">
        <v>113</v>
      </c>
      <c r="W10783" s="42">
        <v>77886</v>
      </c>
      <c r="X10783" s="42">
        <v>77886</v>
      </c>
    </row>
    <row r="10784" spans="1:24">
      <c r="A10784" s="27" t="s">
        <v>19491</v>
      </c>
      <c r="B10784" s="28" t="s">
        <v>19416</v>
      </c>
      <c r="C10784" s="27" t="s">
        <v>19492</v>
      </c>
      <c r="D10784" s="27" t="s">
        <v>17558</v>
      </c>
      <c r="E10784" s="29">
        <v>33327</v>
      </c>
      <c r="F10784" s="27">
        <v>10</v>
      </c>
      <c r="G10784" s="18">
        <v>54200</v>
      </c>
      <c r="H10784" s="27">
        <f t="shared" si="336"/>
        <v>54200</v>
      </c>
      <c r="I10784" s="18">
        <v>51490</v>
      </c>
      <c r="J10784" s="27">
        <v>54200</v>
      </c>
      <c r="K10784" s="18">
        <f t="shared" si="337"/>
        <v>54200</v>
      </c>
      <c r="L10784" s="27">
        <v>51490</v>
      </c>
      <c r="M10784" s="36">
        <v>0</v>
      </c>
      <c r="T10784" s="41">
        <v>0</v>
      </c>
      <c r="U10784" s="41">
        <v>0</v>
      </c>
      <c r="V10784" s="42" t="s">
        <v>113</v>
      </c>
      <c r="W10784" s="42">
        <v>54200</v>
      </c>
      <c r="X10784" s="42">
        <v>54200</v>
      </c>
    </row>
    <row r="10785" spans="1:24">
      <c r="A10785" s="27" t="s">
        <v>19493</v>
      </c>
      <c r="B10785" s="28" t="s">
        <v>19416</v>
      </c>
      <c r="C10785" s="27" t="s">
        <v>19494</v>
      </c>
      <c r="D10785" s="27" t="s">
        <v>17558</v>
      </c>
      <c r="E10785" s="29">
        <v>32201</v>
      </c>
      <c r="F10785" s="27">
        <v>10</v>
      </c>
      <c r="G10785" s="18">
        <v>80000</v>
      </c>
      <c r="H10785" s="27">
        <f t="shared" si="336"/>
        <v>80000</v>
      </c>
      <c r="I10785" s="18">
        <v>76000</v>
      </c>
      <c r="J10785" s="27">
        <v>80000</v>
      </c>
      <c r="K10785" s="18">
        <f t="shared" si="337"/>
        <v>80000</v>
      </c>
      <c r="L10785" s="27">
        <v>76000</v>
      </c>
      <c r="M10785" s="36">
        <v>0</v>
      </c>
      <c r="T10785" s="41">
        <v>0</v>
      </c>
      <c r="U10785" s="41">
        <v>0</v>
      </c>
      <c r="V10785" s="42" t="s">
        <v>113</v>
      </c>
      <c r="W10785" s="42">
        <v>80000</v>
      </c>
      <c r="X10785" s="42">
        <v>80000</v>
      </c>
    </row>
    <row r="10786" spans="1:24">
      <c r="A10786" s="27" t="s">
        <v>19495</v>
      </c>
      <c r="B10786" s="28" t="s">
        <v>19416</v>
      </c>
      <c r="C10786" s="27" t="s">
        <v>19496</v>
      </c>
      <c r="D10786" s="27" t="s">
        <v>17558</v>
      </c>
      <c r="E10786" s="29">
        <v>32538</v>
      </c>
      <c r="F10786" s="27">
        <v>10</v>
      </c>
      <c r="G10786" s="18">
        <v>19960</v>
      </c>
      <c r="H10786" s="27">
        <f t="shared" si="336"/>
        <v>19960</v>
      </c>
      <c r="I10786" s="18">
        <v>18962</v>
      </c>
      <c r="J10786" s="27">
        <v>19960</v>
      </c>
      <c r="K10786" s="18">
        <f t="shared" si="337"/>
        <v>19960</v>
      </c>
      <c r="L10786" s="27">
        <v>18962</v>
      </c>
      <c r="M10786" s="36">
        <v>0</v>
      </c>
      <c r="T10786" s="41">
        <v>0</v>
      </c>
      <c r="U10786" s="41">
        <v>0</v>
      </c>
      <c r="V10786" s="42" t="s">
        <v>113</v>
      </c>
      <c r="W10786" s="42">
        <v>19960</v>
      </c>
      <c r="X10786" s="42">
        <v>19960</v>
      </c>
    </row>
    <row r="10787" spans="1:24">
      <c r="A10787" s="27" t="s">
        <v>19497</v>
      </c>
      <c r="B10787" s="28" t="s">
        <v>19416</v>
      </c>
      <c r="C10787" s="27" t="s">
        <v>19498</v>
      </c>
      <c r="D10787" s="27" t="s">
        <v>17558</v>
      </c>
      <c r="E10787" s="29">
        <v>34699</v>
      </c>
      <c r="F10787" s="27">
        <v>10</v>
      </c>
      <c r="G10787" s="18">
        <v>40000</v>
      </c>
      <c r="H10787" s="27">
        <f t="shared" si="336"/>
        <v>40000</v>
      </c>
      <c r="I10787" s="18">
        <v>38000</v>
      </c>
      <c r="J10787" s="27">
        <v>40000</v>
      </c>
      <c r="K10787" s="18">
        <f t="shared" si="337"/>
        <v>40000</v>
      </c>
      <c r="L10787" s="27">
        <v>38000</v>
      </c>
      <c r="M10787" s="36">
        <v>0</v>
      </c>
      <c r="T10787" s="41">
        <v>0</v>
      </c>
      <c r="U10787" s="41">
        <v>0</v>
      </c>
      <c r="V10787" s="42" t="s">
        <v>113</v>
      </c>
      <c r="W10787" s="42">
        <v>40000</v>
      </c>
      <c r="X10787" s="42">
        <v>40000</v>
      </c>
    </row>
    <row r="10788" spans="1:24">
      <c r="A10788" s="27" t="s">
        <v>19499</v>
      </c>
      <c r="B10788" s="28" t="s">
        <v>19416</v>
      </c>
      <c r="C10788" s="27" t="s">
        <v>19500</v>
      </c>
      <c r="D10788" s="27" t="s">
        <v>17558</v>
      </c>
      <c r="E10788" s="29">
        <v>35795</v>
      </c>
      <c r="F10788" s="27">
        <v>10</v>
      </c>
      <c r="G10788" s="18">
        <v>135757.21</v>
      </c>
      <c r="H10788" s="27">
        <f t="shared" si="336"/>
        <v>135757.21</v>
      </c>
      <c r="I10788" s="18">
        <v>128969.35</v>
      </c>
      <c r="J10788" s="27">
        <v>135757.21</v>
      </c>
      <c r="K10788" s="18">
        <f t="shared" si="337"/>
        <v>135757.21</v>
      </c>
      <c r="L10788" s="27">
        <v>128969.35</v>
      </c>
      <c r="M10788" s="36">
        <v>0</v>
      </c>
      <c r="T10788" s="41">
        <v>0</v>
      </c>
      <c r="U10788" s="41">
        <v>0</v>
      </c>
      <c r="V10788" s="42" t="s">
        <v>113</v>
      </c>
      <c r="W10788" s="42">
        <v>135757.21</v>
      </c>
      <c r="X10788" s="42">
        <v>135757.21</v>
      </c>
    </row>
    <row r="10789" spans="1:24">
      <c r="A10789" s="27" t="s">
        <v>19501</v>
      </c>
      <c r="B10789" s="28" t="s">
        <v>19416</v>
      </c>
      <c r="C10789" s="27" t="s">
        <v>19502</v>
      </c>
      <c r="D10789" s="27" t="s">
        <v>17558</v>
      </c>
      <c r="E10789" s="29">
        <v>34393</v>
      </c>
      <c r="F10789" s="27">
        <v>10</v>
      </c>
      <c r="G10789" s="18">
        <v>450</v>
      </c>
      <c r="H10789" s="27">
        <f t="shared" si="336"/>
        <v>450</v>
      </c>
      <c r="I10789" s="18">
        <v>450</v>
      </c>
      <c r="J10789" s="27">
        <v>450</v>
      </c>
      <c r="K10789" s="18">
        <f t="shared" si="337"/>
        <v>450</v>
      </c>
      <c r="L10789" s="27">
        <v>450</v>
      </c>
      <c r="M10789" s="36">
        <v>0</v>
      </c>
      <c r="T10789" s="41">
        <v>0</v>
      </c>
      <c r="U10789" s="41">
        <v>0</v>
      </c>
      <c r="V10789" s="42" t="s">
        <v>113</v>
      </c>
      <c r="W10789" s="42">
        <v>450</v>
      </c>
      <c r="X10789" s="42">
        <v>450</v>
      </c>
    </row>
    <row r="10790" spans="1:24">
      <c r="A10790" s="27" t="s">
        <v>19503</v>
      </c>
      <c r="B10790" s="28" t="s">
        <v>19416</v>
      </c>
      <c r="C10790" s="27" t="s">
        <v>19504</v>
      </c>
      <c r="D10790" s="27" t="s">
        <v>17558</v>
      </c>
      <c r="E10790" s="29">
        <v>30316</v>
      </c>
      <c r="F10790" s="27">
        <v>10</v>
      </c>
      <c r="G10790" s="18">
        <v>120000</v>
      </c>
      <c r="H10790" s="27">
        <f t="shared" si="336"/>
        <v>120000</v>
      </c>
      <c r="I10790" s="18">
        <v>114000</v>
      </c>
      <c r="J10790" s="27">
        <v>120000</v>
      </c>
      <c r="K10790" s="18">
        <f t="shared" si="337"/>
        <v>120000</v>
      </c>
      <c r="L10790" s="27">
        <v>114000</v>
      </c>
      <c r="M10790" s="36">
        <v>0</v>
      </c>
      <c r="T10790" s="41">
        <v>0</v>
      </c>
      <c r="U10790" s="41">
        <v>0</v>
      </c>
      <c r="V10790" s="42" t="s">
        <v>113</v>
      </c>
      <c r="W10790" s="42">
        <v>120000</v>
      </c>
      <c r="X10790" s="42">
        <v>120000</v>
      </c>
    </row>
    <row r="10791" spans="1:24">
      <c r="A10791" s="27" t="s">
        <v>19505</v>
      </c>
      <c r="B10791" s="28" t="s">
        <v>19416</v>
      </c>
      <c r="C10791" s="27" t="s">
        <v>19506</v>
      </c>
      <c r="D10791" s="27" t="s">
        <v>17578</v>
      </c>
      <c r="E10791" s="29">
        <v>40995</v>
      </c>
      <c r="F10791" s="27">
        <v>10</v>
      </c>
      <c r="G10791" s="18">
        <v>1180214.79</v>
      </c>
      <c r="H10791" s="27">
        <f t="shared" si="336"/>
        <v>0</v>
      </c>
      <c r="I10791" s="18">
        <v>756946.85</v>
      </c>
      <c r="J10791" s="27">
        <v>1180214.79</v>
      </c>
      <c r="K10791" s="18">
        <f t="shared" si="337"/>
        <v>0</v>
      </c>
      <c r="L10791" s="27">
        <v>869025.99</v>
      </c>
      <c r="M10791" s="36">
        <v>112079.14</v>
      </c>
      <c r="T10791" s="41">
        <v>0</v>
      </c>
      <c r="U10791" s="41">
        <v>0</v>
      </c>
      <c r="V10791" s="42" t="s">
        <v>113</v>
      </c>
      <c r="W10791" s="42">
        <v>0</v>
      </c>
      <c r="X10791" s="42">
        <v>0</v>
      </c>
    </row>
    <row r="10792" spans="1:24">
      <c r="A10792" s="27" t="s">
        <v>19507</v>
      </c>
      <c r="B10792" s="28" t="s">
        <v>19416</v>
      </c>
      <c r="C10792" s="27" t="s">
        <v>19508</v>
      </c>
      <c r="D10792" s="27" t="s">
        <v>17558</v>
      </c>
      <c r="E10792" s="29">
        <v>35795</v>
      </c>
      <c r="F10792" s="27">
        <v>10</v>
      </c>
      <c r="G10792" s="18">
        <v>1324.17</v>
      </c>
      <c r="H10792" s="27">
        <f t="shared" si="336"/>
        <v>1324.17</v>
      </c>
      <c r="I10792" s="18">
        <v>1324.17</v>
      </c>
      <c r="J10792" s="27">
        <v>1324.17</v>
      </c>
      <c r="K10792" s="18">
        <f t="shared" si="337"/>
        <v>1324.17</v>
      </c>
      <c r="L10792" s="27">
        <v>1324.17</v>
      </c>
      <c r="M10792" s="36">
        <v>0</v>
      </c>
      <c r="T10792" s="41">
        <v>0</v>
      </c>
      <c r="U10792" s="41">
        <v>0</v>
      </c>
      <c r="V10792" s="42" t="s">
        <v>113</v>
      </c>
      <c r="W10792" s="42">
        <v>1324.17</v>
      </c>
      <c r="X10792" s="42">
        <v>1324.17</v>
      </c>
    </row>
    <row r="10793" spans="1:24">
      <c r="A10793" s="27" t="s">
        <v>19509</v>
      </c>
      <c r="B10793" s="28" t="s">
        <v>19416</v>
      </c>
      <c r="C10793" s="27" t="s">
        <v>19437</v>
      </c>
      <c r="D10793" s="27" t="s">
        <v>17558</v>
      </c>
      <c r="E10793" s="29">
        <v>34334</v>
      </c>
      <c r="F10793" s="27">
        <v>10</v>
      </c>
      <c r="G10793" s="18">
        <v>1809.5</v>
      </c>
      <c r="H10793" s="27">
        <f t="shared" si="336"/>
        <v>1809.5</v>
      </c>
      <c r="I10793" s="18">
        <v>1809.5</v>
      </c>
      <c r="J10793" s="27">
        <v>1809.5</v>
      </c>
      <c r="K10793" s="18">
        <f t="shared" si="337"/>
        <v>1809.5</v>
      </c>
      <c r="L10793" s="27">
        <v>1809.5</v>
      </c>
      <c r="M10793" s="36">
        <v>0</v>
      </c>
      <c r="T10793" s="41">
        <v>0</v>
      </c>
      <c r="U10793" s="41">
        <v>0</v>
      </c>
      <c r="V10793" s="42" t="s">
        <v>113</v>
      </c>
      <c r="W10793" s="42">
        <v>1809.5</v>
      </c>
      <c r="X10793" s="42">
        <v>1809.5</v>
      </c>
    </row>
    <row r="10794" spans="1:24">
      <c r="A10794" s="27" t="s">
        <v>19510</v>
      </c>
      <c r="B10794" s="28" t="s">
        <v>19416</v>
      </c>
      <c r="C10794" s="27" t="s">
        <v>19511</v>
      </c>
      <c r="D10794" s="27" t="s">
        <v>17558</v>
      </c>
      <c r="E10794" s="29">
        <v>32752</v>
      </c>
      <c r="F10794" s="27">
        <v>10</v>
      </c>
      <c r="G10794" s="18">
        <v>74563</v>
      </c>
      <c r="H10794" s="27">
        <f t="shared" si="336"/>
        <v>74563</v>
      </c>
      <c r="I10794" s="18">
        <v>70834.850000000006</v>
      </c>
      <c r="J10794" s="27">
        <v>74563</v>
      </c>
      <c r="K10794" s="18">
        <f t="shared" si="337"/>
        <v>74563</v>
      </c>
      <c r="L10794" s="27">
        <v>70834.850000000006</v>
      </c>
      <c r="M10794" s="36">
        <v>0</v>
      </c>
      <c r="T10794" s="41">
        <v>0</v>
      </c>
      <c r="U10794" s="41">
        <v>0</v>
      </c>
      <c r="V10794" s="42" t="s">
        <v>113</v>
      </c>
      <c r="W10794" s="42">
        <v>74563</v>
      </c>
      <c r="X10794" s="42">
        <v>74563</v>
      </c>
    </row>
    <row r="10795" spans="1:24">
      <c r="A10795" s="27" t="s">
        <v>19512</v>
      </c>
      <c r="B10795" s="28" t="s">
        <v>19416</v>
      </c>
      <c r="C10795" s="27" t="s">
        <v>19513</v>
      </c>
      <c r="D10795" s="27" t="s">
        <v>17558</v>
      </c>
      <c r="E10795" s="29">
        <v>32753</v>
      </c>
      <c r="F10795" s="27">
        <v>10</v>
      </c>
      <c r="G10795" s="18">
        <v>177534.66</v>
      </c>
      <c r="H10795" s="27">
        <f t="shared" si="336"/>
        <v>177534.66</v>
      </c>
      <c r="I10795" s="18">
        <v>168657.93</v>
      </c>
      <c r="J10795" s="27">
        <v>177534.66</v>
      </c>
      <c r="K10795" s="18">
        <f t="shared" si="337"/>
        <v>177534.66</v>
      </c>
      <c r="L10795" s="27">
        <v>168657.93</v>
      </c>
      <c r="M10795" s="36">
        <v>0</v>
      </c>
      <c r="T10795" s="41">
        <v>0</v>
      </c>
      <c r="U10795" s="41">
        <v>0</v>
      </c>
      <c r="V10795" s="42" t="s">
        <v>113</v>
      </c>
      <c r="W10795" s="42">
        <v>177534.66</v>
      </c>
      <c r="X10795" s="42">
        <v>177534.66</v>
      </c>
    </row>
    <row r="10796" spans="1:24">
      <c r="A10796" s="27" t="s">
        <v>19514</v>
      </c>
      <c r="B10796" s="28" t="s">
        <v>19416</v>
      </c>
      <c r="C10796" s="27" t="s">
        <v>19515</v>
      </c>
      <c r="D10796" s="27" t="s">
        <v>17558</v>
      </c>
      <c r="E10796" s="29">
        <v>32754</v>
      </c>
      <c r="F10796" s="27">
        <v>10</v>
      </c>
      <c r="G10796" s="18">
        <v>20503.09</v>
      </c>
      <c r="H10796" s="27">
        <f t="shared" si="336"/>
        <v>20503.09</v>
      </c>
      <c r="I10796" s="18">
        <v>19477.93</v>
      </c>
      <c r="J10796" s="27">
        <v>20503.09</v>
      </c>
      <c r="K10796" s="18">
        <f t="shared" si="337"/>
        <v>20503.09</v>
      </c>
      <c r="L10796" s="27">
        <v>19477.93</v>
      </c>
      <c r="M10796" s="36">
        <v>0</v>
      </c>
      <c r="T10796" s="41">
        <v>0</v>
      </c>
      <c r="U10796" s="41">
        <v>0</v>
      </c>
      <c r="V10796" s="42" t="s">
        <v>113</v>
      </c>
      <c r="W10796" s="42">
        <v>20503.09</v>
      </c>
      <c r="X10796" s="42">
        <v>20503.09</v>
      </c>
    </row>
    <row r="10797" spans="1:24">
      <c r="A10797" s="27" t="s">
        <v>19516</v>
      </c>
      <c r="B10797" s="28" t="s">
        <v>19416</v>
      </c>
      <c r="C10797" s="27" t="s">
        <v>19517</v>
      </c>
      <c r="D10797" s="27" t="s">
        <v>17558</v>
      </c>
      <c r="E10797" s="29">
        <v>32755</v>
      </c>
      <c r="F10797" s="27">
        <v>10</v>
      </c>
      <c r="G10797" s="18">
        <v>70000</v>
      </c>
      <c r="H10797" s="27">
        <f t="shared" si="336"/>
        <v>70000</v>
      </c>
      <c r="I10797" s="18">
        <v>66500</v>
      </c>
      <c r="J10797" s="27">
        <v>70000</v>
      </c>
      <c r="K10797" s="18">
        <f t="shared" si="337"/>
        <v>70000</v>
      </c>
      <c r="L10797" s="27">
        <v>66500</v>
      </c>
      <c r="M10797" s="36">
        <v>0</v>
      </c>
      <c r="T10797" s="41">
        <v>0</v>
      </c>
      <c r="U10797" s="41">
        <v>0</v>
      </c>
      <c r="V10797" s="42" t="s">
        <v>113</v>
      </c>
      <c r="W10797" s="42">
        <v>70000</v>
      </c>
      <c r="X10797" s="42">
        <v>70000</v>
      </c>
    </row>
    <row r="10798" spans="1:24">
      <c r="A10798" s="27" t="s">
        <v>19518</v>
      </c>
      <c r="B10798" s="28" t="s">
        <v>19416</v>
      </c>
      <c r="C10798" s="27" t="s">
        <v>19519</v>
      </c>
      <c r="D10798" s="27" t="s">
        <v>17558</v>
      </c>
      <c r="E10798" s="29">
        <v>32756</v>
      </c>
      <c r="F10798" s="27">
        <v>10</v>
      </c>
      <c r="G10798" s="18">
        <v>17082.3</v>
      </c>
      <c r="H10798" s="27">
        <f t="shared" si="336"/>
        <v>17082.3</v>
      </c>
      <c r="I10798" s="18">
        <v>16228.18</v>
      </c>
      <c r="J10798" s="27">
        <v>17082.3</v>
      </c>
      <c r="K10798" s="18">
        <f t="shared" si="337"/>
        <v>17082.3</v>
      </c>
      <c r="L10798" s="27">
        <v>16228.18</v>
      </c>
      <c r="M10798" s="36">
        <v>0</v>
      </c>
      <c r="T10798" s="41">
        <v>0</v>
      </c>
      <c r="U10798" s="41">
        <v>0</v>
      </c>
      <c r="V10798" s="42" t="s">
        <v>113</v>
      </c>
      <c r="W10798" s="42">
        <v>17082.3</v>
      </c>
      <c r="X10798" s="42">
        <v>17082.3</v>
      </c>
    </row>
    <row r="10799" spans="1:24">
      <c r="A10799" s="27" t="s">
        <v>19520</v>
      </c>
      <c r="B10799" s="28" t="s">
        <v>19416</v>
      </c>
      <c r="C10799" s="27" t="s">
        <v>19521</v>
      </c>
      <c r="D10799" s="27" t="s">
        <v>17558</v>
      </c>
      <c r="E10799" s="29">
        <v>36044</v>
      </c>
      <c r="F10799" s="27">
        <v>10</v>
      </c>
      <c r="G10799" s="18">
        <v>2796.1</v>
      </c>
      <c r="H10799" s="27">
        <f t="shared" si="336"/>
        <v>2796.1</v>
      </c>
      <c r="I10799" s="18">
        <v>2796.1</v>
      </c>
      <c r="J10799" s="27">
        <v>0</v>
      </c>
      <c r="K10799" s="18">
        <f t="shared" si="337"/>
        <v>0</v>
      </c>
      <c r="L10799" s="27">
        <v>0</v>
      </c>
      <c r="M10799" s="36">
        <v>0</v>
      </c>
      <c r="Q10799" s="16" t="s">
        <v>19522</v>
      </c>
      <c r="R10799" s="16">
        <v>2796.1</v>
      </c>
      <c r="S10799" s="16">
        <v>2796.1</v>
      </c>
      <c r="T10799" s="41">
        <v>0</v>
      </c>
      <c r="U10799" s="41">
        <v>0</v>
      </c>
      <c r="V10799" s="42" t="s">
        <v>113</v>
      </c>
      <c r="W10799" s="42">
        <v>0</v>
      </c>
      <c r="X10799" s="42">
        <v>0</v>
      </c>
    </row>
    <row r="10800" spans="1:24">
      <c r="A10800" s="27" t="s">
        <v>19523</v>
      </c>
      <c r="B10800" s="28" t="s">
        <v>19416</v>
      </c>
      <c r="C10800" s="27" t="s">
        <v>19524</v>
      </c>
      <c r="D10800" s="27" t="s">
        <v>17558</v>
      </c>
      <c r="E10800" s="29">
        <v>35156</v>
      </c>
      <c r="F10800" s="27">
        <v>10</v>
      </c>
      <c r="G10800" s="18">
        <v>13762</v>
      </c>
      <c r="H10800" s="27">
        <f t="shared" si="336"/>
        <v>13762</v>
      </c>
      <c r="I10800" s="18">
        <v>13073.9</v>
      </c>
      <c r="J10800" s="27">
        <v>13762</v>
      </c>
      <c r="K10800" s="18">
        <f t="shared" si="337"/>
        <v>13762</v>
      </c>
      <c r="L10800" s="27">
        <v>13073.9</v>
      </c>
      <c r="M10800" s="36">
        <v>0</v>
      </c>
      <c r="T10800" s="41">
        <v>0</v>
      </c>
      <c r="U10800" s="41">
        <v>0</v>
      </c>
      <c r="V10800" s="42" t="s">
        <v>113</v>
      </c>
      <c r="W10800" s="42">
        <v>13762</v>
      </c>
      <c r="X10800" s="42">
        <v>13762</v>
      </c>
    </row>
    <row r="10801" spans="1:24">
      <c r="A10801" s="27" t="s">
        <v>19525</v>
      </c>
      <c r="B10801" s="28" t="s">
        <v>19416</v>
      </c>
      <c r="C10801" s="27" t="s">
        <v>19526</v>
      </c>
      <c r="D10801" s="27" t="s">
        <v>17558</v>
      </c>
      <c r="E10801" s="29">
        <v>37288</v>
      </c>
      <c r="F10801" s="27">
        <v>10</v>
      </c>
      <c r="G10801" s="18">
        <v>8121.84</v>
      </c>
      <c r="H10801" s="27">
        <f t="shared" si="336"/>
        <v>8121.84</v>
      </c>
      <c r="I10801" s="18">
        <v>7715.75</v>
      </c>
      <c r="J10801" s="27">
        <v>8121.84</v>
      </c>
      <c r="K10801" s="18">
        <f t="shared" si="337"/>
        <v>8121.84</v>
      </c>
      <c r="L10801" s="27">
        <v>7715.75</v>
      </c>
      <c r="M10801" s="36">
        <v>0</v>
      </c>
      <c r="T10801" s="41">
        <v>0</v>
      </c>
      <c r="U10801" s="41">
        <v>0</v>
      </c>
      <c r="V10801" s="42" t="s">
        <v>113</v>
      </c>
      <c r="W10801" s="42">
        <v>8121.84</v>
      </c>
      <c r="X10801" s="42">
        <v>8121.84</v>
      </c>
    </row>
    <row r="10802" spans="1:24">
      <c r="A10802" s="27" t="s">
        <v>19527</v>
      </c>
      <c r="B10802" s="28" t="s">
        <v>19416</v>
      </c>
      <c r="C10802" s="27" t="s">
        <v>19528</v>
      </c>
      <c r="D10802" s="27" t="s">
        <v>17558</v>
      </c>
      <c r="E10802" s="29">
        <v>39173</v>
      </c>
      <c r="F10802" s="27">
        <v>10</v>
      </c>
      <c r="G10802" s="18">
        <v>8900</v>
      </c>
      <c r="H10802" s="27">
        <f t="shared" si="336"/>
        <v>8900</v>
      </c>
      <c r="I10802" s="18">
        <v>8455</v>
      </c>
      <c r="J10802" s="27">
        <v>8900</v>
      </c>
      <c r="K10802" s="18">
        <f t="shared" si="337"/>
        <v>8900</v>
      </c>
      <c r="L10802" s="27">
        <v>8455</v>
      </c>
      <c r="M10802" s="36">
        <v>0</v>
      </c>
      <c r="T10802" s="41">
        <v>0</v>
      </c>
      <c r="U10802" s="41">
        <v>0</v>
      </c>
      <c r="V10802" s="42" t="s">
        <v>113</v>
      </c>
      <c r="W10802" s="42">
        <v>8900</v>
      </c>
      <c r="X10802" s="42">
        <v>8900</v>
      </c>
    </row>
    <row r="10803" spans="1:24">
      <c r="A10803" s="27" t="s">
        <v>19529</v>
      </c>
      <c r="B10803" s="28" t="s">
        <v>19416</v>
      </c>
      <c r="C10803" s="27" t="s">
        <v>19526</v>
      </c>
      <c r="D10803" s="27" t="s">
        <v>17558</v>
      </c>
      <c r="E10803" s="29">
        <v>38565</v>
      </c>
      <c r="F10803" s="27">
        <v>10</v>
      </c>
      <c r="G10803" s="18">
        <v>6999</v>
      </c>
      <c r="H10803" s="27">
        <f t="shared" si="336"/>
        <v>6999</v>
      </c>
      <c r="I10803" s="18">
        <v>6649.05</v>
      </c>
      <c r="J10803" s="27">
        <v>6999</v>
      </c>
      <c r="K10803" s="18">
        <f t="shared" si="337"/>
        <v>6999</v>
      </c>
      <c r="L10803" s="27">
        <v>6649.05</v>
      </c>
      <c r="M10803" s="36">
        <v>0</v>
      </c>
      <c r="T10803" s="41">
        <v>0</v>
      </c>
      <c r="U10803" s="41">
        <v>0</v>
      </c>
      <c r="V10803" s="42" t="s">
        <v>113</v>
      </c>
      <c r="W10803" s="42">
        <v>6999</v>
      </c>
      <c r="X10803" s="42">
        <v>6999</v>
      </c>
    </row>
    <row r="10804" spans="1:24">
      <c r="A10804" s="27" t="s">
        <v>19530</v>
      </c>
      <c r="B10804" s="28" t="s">
        <v>19416</v>
      </c>
      <c r="C10804" s="27" t="s">
        <v>19531</v>
      </c>
      <c r="D10804" s="27" t="s">
        <v>17558</v>
      </c>
      <c r="E10804" s="29">
        <v>39234</v>
      </c>
      <c r="F10804" s="27">
        <v>10</v>
      </c>
      <c r="G10804" s="18">
        <v>7200</v>
      </c>
      <c r="H10804" s="27">
        <f t="shared" si="336"/>
        <v>7200</v>
      </c>
      <c r="I10804" s="18">
        <v>6840</v>
      </c>
      <c r="J10804" s="27">
        <v>7200</v>
      </c>
      <c r="K10804" s="18">
        <f t="shared" si="337"/>
        <v>7200</v>
      </c>
      <c r="L10804" s="27">
        <v>6840</v>
      </c>
      <c r="M10804" s="36">
        <v>0</v>
      </c>
      <c r="T10804" s="41">
        <v>0</v>
      </c>
      <c r="U10804" s="41">
        <v>0</v>
      </c>
      <c r="V10804" s="42" t="s">
        <v>113</v>
      </c>
      <c r="W10804" s="42">
        <v>7200</v>
      </c>
      <c r="X10804" s="42">
        <v>7200</v>
      </c>
    </row>
    <row r="10805" spans="1:24">
      <c r="A10805" s="27" t="s">
        <v>19532</v>
      </c>
      <c r="B10805" s="28" t="s">
        <v>19416</v>
      </c>
      <c r="C10805" s="27" t="s">
        <v>19526</v>
      </c>
      <c r="D10805" s="27" t="s">
        <v>17558</v>
      </c>
      <c r="E10805" s="29">
        <v>39905</v>
      </c>
      <c r="F10805" s="27">
        <v>10</v>
      </c>
      <c r="G10805" s="18">
        <v>4900</v>
      </c>
      <c r="H10805" s="27">
        <f t="shared" si="336"/>
        <v>4900</v>
      </c>
      <c r="I10805" s="18">
        <v>4900</v>
      </c>
      <c r="J10805" s="27">
        <v>4900</v>
      </c>
      <c r="K10805" s="18">
        <f t="shared" si="337"/>
        <v>4900</v>
      </c>
      <c r="L10805" s="27">
        <v>4900</v>
      </c>
      <c r="M10805" s="36">
        <v>0</v>
      </c>
      <c r="T10805" s="41">
        <v>0</v>
      </c>
      <c r="U10805" s="41">
        <v>0</v>
      </c>
      <c r="V10805" s="42" t="s">
        <v>113</v>
      </c>
      <c r="W10805" s="42">
        <v>4900</v>
      </c>
      <c r="X10805" s="42">
        <v>4900</v>
      </c>
    </row>
    <row r="10806" spans="1:24">
      <c r="A10806" s="27" t="s">
        <v>19533</v>
      </c>
      <c r="B10806" s="28" t="s">
        <v>19416</v>
      </c>
      <c r="C10806" s="27" t="s">
        <v>19534</v>
      </c>
      <c r="D10806" s="27" t="s">
        <v>17578</v>
      </c>
      <c r="E10806" s="29">
        <v>41913</v>
      </c>
      <c r="F10806" s="27">
        <v>10</v>
      </c>
      <c r="G10806" s="18">
        <v>195000</v>
      </c>
      <c r="H10806" s="27">
        <f t="shared" si="336"/>
        <v>0</v>
      </c>
      <c r="I10806" s="18">
        <v>78103.289999999994</v>
      </c>
      <c r="J10806" s="27">
        <v>195000</v>
      </c>
      <c r="K10806" s="18">
        <f t="shared" si="337"/>
        <v>0</v>
      </c>
      <c r="L10806" s="27">
        <v>96471.3</v>
      </c>
      <c r="M10806" s="36">
        <v>18368.009999999998</v>
      </c>
      <c r="T10806" s="41">
        <v>0</v>
      </c>
      <c r="U10806" s="41">
        <v>0</v>
      </c>
      <c r="V10806" s="42" t="s">
        <v>113</v>
      </c>
      <c r="W10806" s="42">
        <v>0</v>
      </c>
      <c r="X10806" s="42">
        <v>0</v>
      </c>
    </row>
    <row r="10807" spans="1:24">
      <c r="A10807" s="27" t="s">
        <v>19535</v>
      </c>
      <c r="B10807" s="28" t="s">
        <v>19416</v>
      </c>
      <c r="C10807" s="27" t="s">
        <v>19536</v>
      </c>
      <c r="D10807" s="27" t="s">
        <v>112</v>
      </c>
      <c r="E10807" s="29">
        <v>35643</v>
      </c>
      <c r="F10807" s="27">
        <v>10</v>
      </c>
      <c r="G10807" s="18">
        <v>2587.5</v>
      </c>
      <c r="H10807" s="27">
        <f t="shared" si="336"/>
        <v>2587.5</v>
      </c>
      <c r="I10807" s="18">
        <v>2587.5</v>
      </c>
      <c r="J10807" s="27">
        <v>2587.5</v>
      </c>
      <c r="K10807" s="18">
        <f t="shared" si="337"/>
        <v>2587.5</v>
      </c>
      <c r="L10807" s="27">
        <v>2587.5</v>
      </c>
      <c r="M10807" s="36">
        <v>0</v>
      </c>
      <c r="T10807" s="41">
        <v>0</v>
      </c>
      <c r="U10807" s="41">
        <v>0</v>
      </c>
      <c r="V10807" s="42" t="s">
        <v>113</v>
      </c>
      <c r="W10807" s="42">
        <v>2587.5</v>
      </c>
      <c r="X10807" s="42">
        <v>2587.5</v>
      </c>
    </row>
    <row r="10808" spans="1:24">
      <c r="A10808" s="27" t="s">
        <v>19537</v>
      </c>
      <c r="B10808" s="28" t="s">
        <v>19416</v>
      </c>
      <c r="C10808" s="27" t="s">
        <v>19538</v>
      </c>
      <c r="D10808" s="27" t="s">
        <v>112</v>
      </c>
      <c r="E10808" s="29">
        <v>35643</v>
      </c>
      <c r="F10808" s="27">
        <v>10</v>
      </c>
      <c r="G10808" s="18">
        <v>5175.01</v>
      </c>
      <c r="H10808" s="27">
        <f t="shared" si="336"/>
        <v>5175.01</v>
      </c>
      <c r="I10808" s="18">
        <v>4916.26</v>
      </c>
      <c r="J10808" s="27">
        <v>5175.01</v>
      </c>
      <c r="K10808" s="18">
        <f t="shared" si="337"/>
        <v>5175.01</v>
      </c>
      <c r="L10808" s="27">
        <v>4916.26</v>
      </c>
      <c r="M10808" s="36">
        <v>0</v>
      </c>
      <c r="T10808" s="41">
        <v>0</v>
      </c>
      <c r="U10808" s="41">
        <v>0</v>
      </c>
      <c r="V10808" s="42" t="s">
        <v>113</v>
      </c>
      <c r="W10808" s="42">
        <v>5175.01</v>
      </c>
      <c r="X10808" s="42">
        <v>5175.01</v>
      </c>
    </row>
    <row r="10809" spans="1:24">
      <c r="A10809" s="27" t="s">
        <v>19539</v>
      </c>
      <c r="B10809" s="28" t="s">
        <v>19416</v>
      </c>
      <c r="C10809" s="27" t="s">
        <v>19540</v>
      </c>
      <c r="D10809" s="27" t="s">
        <v>112</v>
      </c>
      <c r="E10809" s="29">
        <v>40268</v>
      </c>
      <c r="F10809" s="27">
        <v>10</v>
      </c>
      <c r="G10809" s="18">
        <v>5244.3</v>
      </c>
      <c r="H10809" s="27">
        <f t="shared" si="336"/>
        <v>0</v>
      </c>
      <c r="I10809" s="18">
        <v>4380.07</v>
      </c>
      <c r="J10809" s="27">
        <v>5244.3</v>
      </c>
      <c r="K10809" s="18">
        <f t="shared" si="337"/>
        <v>0</v>
      </c>
      <c r="L10809" s="27">
        <v>4861.68</v>
      </c>
      <c r="M10809" s="36">
        <v>481.61</v>
      </c>
      <c r="T10809" s="41">
        <v>0</v>
      </c>
      <c r="U10809" s="41">
        <v>0</v>
      </c>
      <c r="V10809" s="42" t="s">
        <v>113</v>
      </c>
      <c r="W10809" s="42">
        <v>5244.3</v>
      </c>
      <c r="X10809" s="42">
        <v>5244.3</v>
      </c>
    </row>
    <row r="10810" spans="1:24">
      <c r="A10810" s="27" t="s">
        <v>19541</v>
      </c>
      <c r="B10810" s="28" t="s">
        <v>19416</v>
      </c>
      <c r="C10810" s="27" t="s">
        <v>19542</v>
      </c>
      <c r="D10810" s="27" t="s">
        <v>17578</v>
      </c>
      <c r="E10810" s="29">
        <v>40268</v>
      </c>
      <c r="F10810" s="27">
        <v>10</v>
      </c>
      <c r="G10810" s="18">
        <v>80433.119999999995</v>
      </c>
      <c r="H10810" s="27">
        <f t="shared" si="336"/>
        <v>0</v>
      </c>
      <c r="I10810" s="18">
        <v>67178.399999999994</v>
      </c>
      <c r="J10810" s="27">
        <v>80433.119999999995</v>
      </c>
      <c r="K10810" s="18">
        <f t="shared" si="337"/>
        <v>0</v>
      </c>
      <c r="L10810" s="27">
        <v>74564.850000000006</v>
      </c>
      <c r="M10810" s="36">
        <v>7386.45</v>
      </c>
      <c r="T10810" s="41">
        <v>0</v>
      </c>
      <c r="U10810" s="41">
        <v>0</v>
      </c>
      <c r="V10810" s="42" t="s">
        <v>113</v>
      </c>
      <c r="W10810" s="42">
        <v>80433.119999999995</v>
      </c>
      <c r="X10810" s="42">
        <v>80433.119999999995</v>
      </c>
    </row>
    <row r="10811" spans="1:24">
      <c r="A10811" s="27" t="s">
        <v>19543</v>
      </c>
      <c r="B10811" s="28" t="s">
        <v>19416</v>
      </c>
      <c r="C10811" s="27" t="s">
        <v>19540</v>
      </c>
      <c r="D10811" s="27" t="s">
        <v>17578</v>
      </c>
      <c r="E10811" s="29">
        <v>40268</v>
      </c>
      <c r="F10811" s="27">
        <v>10</v>
      </c>
      <c r="G10811" s="18">
        <v>5284.78</v>
      </c>
      <c r="H10811" s="27">
        <f t="shared" si="336"/>
        <v>0</v>
      </c>
      <c r="I10811" s="18">
        <v>4413.8999999999996</v>
      </c>
      <c r="J10811" s="27">
        <v>5284.78</v>
      </c>
      <c r="K10811" s="18">
        <f t="shared" si="337"/>
        <v>0</v>
      </c>
      <c r="L10811" s="27">
        <v>4899.21</v>
      </c>
      <c r="M10811" s="36">
        <v>485.31</v>
      </c>
      <c r="T10811" s="41">
        <v>0</v>
      </c>
      <c r="U10811" s="41">
        <v>0</v>
      </c>
      <c r="V10811" s="42" t="s">
        <v>113</v>
      </c>
      <c r="W10811" s="42">
        <v>5284.78</v>
      </c>
      <c r="X10811" s="42">
        <v>5284.78</v>
      </c>
    </row>
    <row r="10812" spans="1:24">
      <c r="A10812" s="27" t="s">
        <v>19544</v>
      </c>
      <c r="B10812" s="28" t="s">
        <v>19416</v>
      </c>
      <c r="C10812" s="27" t="s">
        <v>19545</v>
      </c>
      <c r="D10812" s="27" t="s">
        <v>112</v>
      </c>
      <c r="E10812" s="29">
        <v>35643</v>
      </c>
      <c r="F10812" s="27">
        <v>10</v>
      </c>
      <c r="G10812" s="18">
        <v>2587.5</v>
      </c>
      <c r="H10812" s="27">
        <f t="shared" si="336"/>
        <v>2587.5</v>
      </c>
      <c r="I10812" s="18">
        <v>2587.5</v>
      </c>
      <c r="J10812" s="27">
        <v>2587.5</v>
      </c>
      <c r="K10812" s="18">
        <f t="shared" si="337"/>
        <v>2587.5</v>
      </c>
      <c r="L10812" s="27">
        <v>2587.5</v>
      </c>
      <c r="M10812" s="36">
        <v>0</v>
      </c>
      <c r="T10812" s="41">
        <v>0</v>
      </c>
      <c r="U10812" s="41">
        <v>0</v>
      </c>
      <c r="V10812" s="42" t="s">
        <v>113</v>
      </c>
      <c r="W10812" s="42">
        <v>2587.5</v>
      </c>
      <c r="X10812" s="42">
        <v>2587.5</v>
      </c>
    </row>
    <row r="10813" spans="1:24">
      <c r="A10813" s="27" t="s">
        <v>19546</v>
      </c>
      <c r="B10813" s="28" t="s">
        <v>19416</v>
      </c>
      <c r="C10813" s="27" t="s">
        <v>19547</v>
      </c>
      <c r="D10813" s="27" t="s">
        <v>112</v>
      </c>
      <c r="E10813" s="29">
        <v>35643</v>
      </c>
      <c r="F10813" s="27">
        <v>10</v>
      </c>
      <c r="G10813" s="18">
        <v>2587.5</v>
      </c>
      <c r="H10813" s="27">
        <f t="shared" si="336"/>
        <v>2587.5</v>
      </c>
      <c r="I10813" s="18">
        <v>2587.5</v>
      </c>
      <c r="J10813" s="27">
        <v>2587.5</v>
      </c>
      <c r="K10813" s="18">
        <f t="shared" si="337"/>
        <v>2587.5</v>
      </c>
      <c r="L10813" s="27">
        <v>2587.5</v>
      </c>
      <c r="M10813" s="36">
        <v>0</v>
      </c>
      <c r="T10813" s="41">
        <v>0</v>
      </c>
      <c r="U10813" s="41">
        <v>0</v>
      </c>
      <c r="V10813" s="42" t="s">
        <v>113</v>
      </c>
      <c r="W10813" s="42">
        <v>2587.5</v>
      </c>
      <c r="X10813" s="42">
        <v>2587.5</v>
      </c>
    </row>
    <row r="10814" spans="1:24">
      <c r="A10814" s="27" t="s">
        <v>19548</v>
      </c>
      <c r="B10814" s="28" t="s">
        <v>19416</v>
      </c>
      <c r="C10814" s="27" t="s">
        <v>19549</v>
      </c>
      <c r="D10814" s="27" t="s">
        <v>118</v>
      </c>
      <c r="E10814" s="29">
        <v>40080</v>
      </c>
      <c r="F10814" s="27">
        <v>10</v>
      </c>
      <c r="G10814" s="18">
        <v>13681.5</v>
      </c>
      <c r="H10814" s="27">
        <f t="shared" si="336"/>
        <v>13681.5</v>
      </c>
      <c r="I10814" s="18">
        <v>12997.42</v>
      </c>
      <c r="J10814" s="27">
        <v>13681.5</v>
      </c>
      <c r="K10814" s="18">
        <f t="shared" si="337"/>
        <v>13681.5</v>
      </c>
      <c r="L10814" s="27">
        <v>12997.42</v>
      </c>
      <c r="M10814" s="36">
        <v>0</v>
      </c>
      <c r="T10814" s="41">
        <v>0</v>
      </c>
      <c r="U10814" s="41">
        <v>0</v>
      </c>
      <c r="V10814" s="42" t="s">
        <v>113</v>
      </c>
      <c r="W10814" s="42">
        <v>13681.5</v>
      </c>
      <c r="X10814" s="42">
        <v>13681.5</v>
      </c>
    </row>
    <row r="10815" spans="1:24">
      <c r="A10815" s="27" t="s">
        <v>19550</v>
      </c>
      <c r="B10815" s="28" t="s">
        <v>19416</v>
      </c>
      <c r="C10815" s="27" t="s">
        <v>19551</v>
      </c>
      <c r="D10815" s="27" t="s">
        <v>118</v>
      </c>
      <c r="E10815" s="29">
        <v>40080</v>
      </c>
      <c r="F10815" s="27">
        <v>10</v>
      </c>
      <c r="G10815" s="18">
        <v>13681.5</v>
      </c>
      <c r="H10815" s="27">
        <f t="shared" si="336"/>
        <v>13681.5</v>
      </c>
      <c r="I10815" s="18">
        <v>12997.42</v>
      </c>
      <c r="J10815" s="27">
        <v>13681.5</v>
      </c>
      <c r="K10815" s="18">
        <f t="shared" si="337"/>
        <v>13681.5</v>
      </c>
      <c r="L10815" s="27">
        <v>12997.42</v>
      </c>
      <c r="M10815" s="36">
        <v>0</v>
      </c>
      <c r="T10815" s="41">
        <v>0</v>
      </c>
      <c r="U10815" s="41">
        <v>0</v>
      </c>
      <c r="V10815" s="42" t="s">
        <v>113</v>
      </c>
      <c r="W10815" s="42">
        <v>13681.5</v>
      </c>
      <c r="X10815" s="42">
        <v>13681.5</v>
      </c>
    </row>
    <row r="10816" spans="1:24">
      <c r="A10816" s="27" t="s">
        <v>19552</v>
      </c>
      <c r="B10816" s="28" t="s">
        <v>19416</v>
      </c>
      <c r="C10816" s="27" t="s">
        <v>19553</v>
      </c>
      <c r="D10816" s="27" t="s">
        <v>118</v>
      </c>
      <c r="E10816" s="29">
        <v>40083</v>
      </c>
      <c r="F10816" s="27">
        <v>10</v>
      </c>
      <c r="G10816" s="18">
        <v>33426.660000000003</v>
      </c>
      <c r="H10816" s="27">
        <f t="shared" si="336"/>
        <v>33426.660000000003</v>
      </c>
      <c r="I10816" s="18">
        <v>31755.33</v>
      </c>
      <c r="J10816" s="27">
        <v>33426.660000000003</v>
      </c>
      <c r="K10816" s="18">
        <f t="shared" si="337"/>
        <v>33426.660000000003</v>
      </c>
      <c r="L10816" s="27">
        <v>31755.33</v>
      </c>
      <c r="M10816" s="36">
        <v>0</v>
      </c>
      <c r="T10816" s="41">
        <v>0</v>
      </c>
      <c r="U10816" s="41">
        <v>0</v>
      </c>
      <c r="V10816" s="42" t="s">
        <v>113</v>
      </c>
      <c r="W10816" s="42">
        <v>33426.660000000003</v>
      </c>
      <c r="X10816" s="42">
        <v>33426.660000000003</v>
      </c>
    </row>
    <row r="10817" spans="1:24">
      <c r="A10817" s="27" t="s">
        <v>19554</v>
      </c>
      <c r="B10817" s="28" t="s">
        <v>19416</v>
      </c>
      <c r="C10817" s="27" t="s">
        <v>19555</v>
      </c>
      <c r="D10817" s="27" t="s">
        <v>118</v>
      </c>
      <c r="E10817" s="29">
        <v>40083</v>
      </c>
      <c r="F10817" s="27">
        <v>10</v>
      </c>
      <c r="G10817" s="18">
        <v>33426.65</v>
      </c>
      <c r="H10817" s="27">
        <f t="shared" si="336"/>
        <v>33426.65</v>
      </c>
      <c r="I10817" s="18">
        <v>31755.32</v>
      </c>
      <c r="J10817" s="27">
        <v>33426.65</v>
      </c>
      <c r="K10817" s="18">
        <f t="shared" si="337"/>
        <v>33426.65</v>
      </c>
      <c r="L10817" s="27">
        <v>31755.32</v>
      </c>
      <c r="M10817" s="36">
        <v>0</v>
      </c>
      <c r="T10817" s="41">
        <v>0</v>
      </c>
      <c r="U10817" s="41">
        <v>0</v>
      </c>
      <c r="V10817" s="42" t="s">
        <v>113</v>
      </c>
      <c r="W10817" s="42">
        <v>33426.65</v>
      </c>
      <c r="X10817" s="42">
        <v>33426.65</v>
      </c>
    </row>
    <row r="10818" spans="1:24">
      <c r="A10818" s="27" t="s">
        <v>19556</v>
      </c>
      <c r="B10818" s="28" t="s">
        <v>19416</v>
      </c>
      <c r="C10818" s="27" t="s">
        <v>19557</v>
      </c>
      <c r="D10818" s="27" t="s">
        <v>220</v>
      </c>
      <c r="E10818" s="29">
        <v>40083</v>
      </c>
      <c r="F10818" s="27">
        <v>10</v>
      </c>
      <c r="G10818" s="18">
        <v>17772.71</v>
      </c>
      <c r="H10818" s="27">
        <f t="shared" si="336"/>
        <v>17772.71</v>
      </c>
      <c r="I10818" s="18">
        <v>16884.07</v>
      </c>
      <c r="J10818" s="27">
        <v>17772.71</v>
      </c>
      <c r="K10818" s="18">
        <f t="shared" si="337"/>
        <v>17772.71</v>
      </c>
      <c r="L10818" s="27">
        <v>16884.07</v>
      </c>
      <c r="M10818" s="36">
        <v>0</v>
      </c>
      <c r="T10818" s="41">
        <v>0</v>
      </c>
      <c r="U10818" s="41">
        <v>0</v>
      </c>
      <c r="V10818" s="42" t="s">
        <v>113</v>
      </c>
      <c r="W10818" s="42">
        <v>17772.71</v>
      </c>
      <c r="X10818" s="42">
        <v>17772.71</v>
      </c>
    </row>
    <row r="10819" spans="1:24">
      <c r="A10819" s="27" t="s">
        <v>19558</v>
      </c>
      <c r="B10819" s="28" t="s">
        <v>19416</v>
      </c>
      <c r="C10819" s="27" t="s">
        <v>19559</v>
      </c>
      <c r="D10819" s="27" t="s">
        <v>118</v>
      </c>
      <c r="E10819" s="29">
        <v>40083</v>
      </c>
      <c r="F10819" s="27">
        <v>10</v>
      </c>
      <c r="G10819" s="18">
        <v>14218.17</v>
      </c>
      <c r="H10819" s="27">
        <f t="shared" si="336"/>
        <v>14218.17</v>
      </c>
      <c r="I10819" s="18">
        <v>13507.26</v>
      </c>
      <c r="J10819" s="27">
        <v>14218.17</v>
      </c>
      <c r="K10819" s="18">
        <f t="shared" si="337"/>
        <v>14218.17</v>
      </c>
      <c r="L10819" s="27">
        <v>13507.26</v>
      </c>
      <c r="M10819" s="36">
        <v>0</v>
      </c>
      <c r="T10819" s="41">
        <v>0</v>
      </c>
      <c r="U10819" s="41">
        <v>0</v>
      </c>
      <c r="V10819" s="42" t="s">
        <v>113</v>
      </c>
      <c r="W10819" s="42">
        <v>14218.17</v>
      </c>
      <c r="X10819" s="42">
        <v>14218.17</v>
      </c>
    </row>
    <row r="10820" spans="1:24">
      <c r="A10820" s="27" t="s">
        <v>19560</v>
      </c>
      <c r="B10820" s="28" t="s">
        <v>19416</v>
      </c>
      <c r="C10820" s="27" t="s">
        <v>19561</v>
      </c>
      <c r="D10820" s="27" t="s">
        <v>220</v>
      </c>
      <c r="E10820" s="29">
        <v>40083</v>
      </c>
      <c r="F10820" s="27">
        <v>10</v>
      </c>
      <c r="G10820" s="18">
        <v>17772.71</v>
      </c>
      <c r="H10820" s="27">
        <f t="shared" si="336"/>
        <v>17772.71</v>
      </c>
      <c r="I10820" s="18">
        <v>16884.07</v>
      </c>
      <c r="J10820" s="27">
        <v>17772.71</v>
      </c>
      <c r="K10820" s="18">
        <f t="shared" si="337"/>
        <v>17772.71</v>
      </c>
      <c r="L10820" s="27">
        <v>16884.07</v>
      </c>
      <c r="M10820" s="36">
        <v>0</v>
      </c>
      <c r="T10820" s="41">
        <v>0</v>
      </c>
      <c r="U10820" s="41">
        <v>0</v>
      </c>
      <c r="V10820" s="42" t="s">
        <v>113</v>
      </c>
      <c r="W10820" s="42">
        <v>17772.71</v>
      </c>
      <c r="X10820" s="42">
        <v>17772.71</v>
      </c>
    </row>
    <row r="10821" spans="1:24">
      <c r="A10821" s="27" t="s">
        <v>19562</v>
      </c>
      <c r="B10821" s="28" t="s">
        <v>19416</v>
      </c>
      <c r="C10821" s="27" t="s">
        <v>19563</v>
      </c>
      <c r="D10821" s="27" t="s">
        <v>112</v>
      </c>
      <c r="E10821" s="29">
        <v>40171</v>
      </c>
      <c r="F10821" s="27">
        <v>10</v>
      </c>
      <c r="G10821" s="18">
        <v>22016.98</v>
      </c>
      <c r="H10821" s="27">
        <f t="shared" si="336"/>
        <v>22016.98</v>
      </c>
      <c r="I10821" s="18">
        <v>20916.13</v>
      </c>
      <c r="J10821" s="27">
        <v>22016.98</v>
      </c>
      <c r="K10821" s="18">
        <f t="shared" si="337"/>
        <v>22016.98</v>
      </c>
      <c r="L10821" s="27">
        <v>20916.13</v>
      </c>
      <c r="M10821" s="36">
        <v>0</v>
      </c>
      <c r="T10821" s="41">
        <v>0</v>
      </c>
      <c r="U10821" s="41">
        <v>0</v>
      </c>
      <c r="V10821" s="42" t="s">
        <v>113</v>
      </c>
      <c r="W10821" s="42">
        <v>22016.98</v>
      </c>
      <c r="X10821" s="42">
        <v>22016.98</v>
      </c>
    </row>
    <row r="10822" spans="1:24">
      <c r="A10822" s="27" t="s">
        <v>19564</v>
      </c>
      <c r="B10822" s="28" t="s">
        <v>19416</v>
      </c>
      <c r="C10822" s="27" t="s">
        <v>19565</v>
      </c>
      <c r="D10822" s="27" t="s">
        <v>118</v>
      </c>
      <c r="E10822" s="29">
        <v>40171</v>
      </c>
      <c r="F10822" s="27">
        <v>10</v>
      </c>
      <c r="G10822" s="18">
        <v>22016.98</v>
      </c>
      <c r="H10822" s="27">
        <f t="shared" ref="H10822:H10885" si="338">IFERROR(IF(ROUND((G10822-I10822)/G10822,2)&lt;=0.05,G10822,0),0)</f>
        <v>22016.98</v>
      </c>
      <c r="I10822" s="18">
        <v>20916.13</v>
      </c>
      <c r="J10822" s="27">
        <v>22016.98</v>
      </c>
      <c r="K10822" s="18">
        <f t="shared" ref="K10822:K10885" si="339">IFERROR(IF(ROUND((J10822-L10822)/J10822,2)&lt;=0.05,J10822,0),0)</f>
        <v>22016.98</v>
      </c>
      <c r="L10822" s="27">
        <v>20916.13</v>
      </c>
      <c r="M10822" s="36">
        <v>0</v>
      </c>
      <c r="T10822" s="41">
        <v>0</v>
      </c>
      <c r="U10822" s="41">
        <v>0</v>
      </c>
      <c r="V10822" s="42" t="s">
        <v>113</v>
      </c>
      <c r="W10822" s="42">
        <v>22016.98</v>
      </c>
      <c r="X10822" s="42">
        <v>22016.98</v>
      </c>
    </row>
    <row r="10823" spans="1:24">
      <c r="A10823" s="27" t="s">
        <v>19566</v>
      </c>
      <c r="B10823" s="28" t="s">
        <v>19416</v>
      </c>
      <c r="C10823" s="27" t="s">
        <v>19567</v>
      </c>
      <c r="D10823" s="27" t="s">
        <v>112</v>
      </c>
      <c r="E10823" s="29">
        <v>35643</v>
      </c>
      <c r="F10823" s="27">
        <v>10</v>
      </c>
      <c r="G10823" s="18">
        <v>3780</v>
      </c>
      <c r="H10823" s="27">
        <f t="shared" si="338"/>
        <v>3780</v>
      </c>
      <c r="I10823" s="18">
        <v>3780</v>
      </c>
      <c r="J10823" s="27">
        <v>3780</v>
      </c>
      <c r="K10823" s="18">
        <f t="shared" si="339"/>
        <v>3780</v>
      </c>
      <c r="L10823" s="27">
        <v>3780</v>
      </c>
      <c r="M10823" s="36">
        <v>0</v>
      </c>
      <c r="T10823" s="41">
        <v>0</v>
      </c>
      <c r="U10823" s="41">
        <v>0</v>
      </c>
      <c r="V10823" s="42" t="s">
        <v>113</v>
      </c>
      <c r="W10823" s="42">
        <v>3780</v>
      </c>
      <c r="X10823" s="42">
        <v>3780</v>
      </c>
    </row>
    <row r="10824" spans="1:24">
      <c r="A10824" s="27" t="s">
        <v>19568</v>
      </c>
      <c r="B10824" s="28" t="s">
        <v>19416</v>
      </c>
      <c r="C10824" s="27" t="s">
        <v>19569</v>
      </c>
      <c r="D10824" s="27" t="s">
        <v>220</v>
      </c>
      <c r="E10824" s="29">
        <v>40083</v>
      </c>
      <c r="F10824" s="27">
        <v>10</v>
      </c>
      <c r="G10824" s="18">
        <v>17772.73</v>
      </c>
      <c r="H10824" s="27">
        <f t="shared" si="338"/>
        <v>17772.73</v>
      </c>
      <c r="I10824" s="18">
        <v>16884.09</v>
      </c>
      <c r="J10824" s="27">
        <v>17772.73</v>
      </c>
      <c r="K10824" s="18">
        <f t="shared" si="339"/>
        <v>17772.73</v>
      </c>
      <c r="L10824" s="27">
        <v>16884.09</v>
      </c>
      <c r="M10824" s="36">
        <v>0</v>
      </c>
      <c r="T10824" s="41">
        <v>0</v>
      </c>
      <c r="U10824" s="41">
        <v>0</v>
      </c>
      <c r="V10824" s="42" t="s">
        <v>113</v>
      </c>
      <c r="W10824" s="42">
        <v>17772.73</v>
      </c>
      <c r="X10824" s="42">
        <v>17772.73</v>
      </c>
    </row>
    <row r="10825" spans="1:24">
      <c r="A10825" s="27" t="s">
        <v>19570</v>
      </c>
      <c r="B10825" s="28" t="s">
        <v>19416</v>
      </c>
      <c r="C10825" s="27" t="s">
        <v>19571</v>
      </c>
      <c r="D10825" s="27" t="s">
        <v>118</v>
      </c>
      <c r="E10825" s="29">
        <v>40083</v>
      </c>
      <c r="F10825" s="27">
        <v>10</v>
      </c>
      <c r="G10825" s="18">
        <v>14218.17</v>
      </c>
      <c r="H10825" s="27">
        <f t="shared" si="338"/>
        <v>14218.17</v>
      </c>
      <c r="I10825" s="18">
        <v>13507.26</v>
      </c>
      <c r="J10825" s="27">
        <v>14218.17</v>
      </c>
      <c r="K10825" s="18">
        <f t="shared" si="339"/>
        <v>14218.17</v>
      </c>
      <c r="L10825" s="27">
        <v>13507.26</v>
      </c>
      <c r="M10825" s="36">
        <v>0</v>
      </c>
      <c r="T10825" s="41">
        <v>0</v>
      </c>
      <c r="U10825" s="41">
        <v>0</v>
      </c>
      <c r="V10825" s="42" t="s">
        <v>113</v>
      </c>
      <c r="W10825" s="42">
        <v>14218.17</v>
      </c>
      <c r="X10825" s="42">
        <v>14218.17</v>
      </c>
    </row>
    <row r="10826" spans="1:24">
      <c r="A10826" s="27" t="s">
        <v>19572</v>
      </c>
      <c r="B10826" s="28" t="s">
        <v>19416</v>
      </c>
      <c r="C10826" s="27" t="s">
        <v>19573</v>
      </c>
      <c r="D10826" s="27" t="s">
        <v>220</v>
      </c>
      <c r="E10826" s="29">
        <v>40083</v>
      </c>
      <c r="F10826" s="27">
        <v>10</v>
      </c>
      <c r="G10826" s="18">
        <v>17772.71</v>
      </c>
      <c r="H10826" s="27">
        <f t="shared" si="338"/>
        <v>17772.71</v>
      </c>
      <c r="I10826" s="18">
        <v>16884.07</v>
      </c>
      <c r="J10826" s="27">
        <v>17772.71</v>
      </c>
      <c r="K10826" s="18">
        <f t="shared" si="339"/>
        <v>17772.71</v>
      </c>
      <c r="L10826" s="27">
        <v>16884.07</v>
      </c>
      <c r="M10826" s="36">
        <v>0</v>
      </c>
      <c r="T10826" s="41">
        <v>0</v>
      </c>
      <c r="U10826" s="41">
        <v>0</v>
      </c>
      <c r="V10826" s="42" t="s">
        <v>113</v>
      </c>
      <c r="W10826" s="42">
        <v>17772.71</v>
      </c>
      <c r="X10826" s="42">
        <v>17772.71</v>
      </c>
    </row>
    <row r="10827" spans="1:24">
      <c r="A10827" s="27" t="s">
        <v>19574</v>
      </c>
      <c r="B10827" s="28" t="s">
        <v>19416</v>
      </c>
      <c r="C10827" s="27" t="s">
        <v>19575</v>
      </c>
      <c r="D10827" s="27" t="s">
        <v>112</v>
      </c>
      <c r="E10827" s="29">
        <v>40169</v>
      </c>
      <c r="F10827" s="27">
        <v>10</v>
      </c>
      <c r="G10827" s="18">
        <v>1713.04</v>
      </c>
      <c r="H10827" s="27">
        <f t="shared" si="338"/>
        <v>1713.04</v>
      </c>
      <c r="I10827" s="18">
        <v>1713.04</v>
      </c>
      <c r="J10827" s="27">
        <v>1713.04</v>
      </c>
      <c r="K10827" s="18">
        <f t="shared" si="339"/>
        <v>1713.04</v>
      </c>
      <c r="L10827" s="27">
        <v>1713.04</v>
      </c>
      <c r="M10827" s="36">
        <v>0</v>
      </c>
      <c r="T10827" s="41">
        <v>0</v>
      </c>
      <c r="U10827" s="41">
        <v>0</v>
      </c>
      <c r="V10827" s="42" t="s">
        <v>113</v>
      </c>
      <c r="W10827" s="42">
        <v>1713.04</v>
      </c>
      <c r="X10827" s="42">
        <v>1713.04</v>
      </c>
    </row>
    <row r="10828" spans="1:24">
      <c r="A10828" s="27" t="s">
        <v>19576</v>
      </c>
      <c r="B10828" s="28" t="s">
        <v>19416</v>
      </c>
      <c r="C10828" s="27" t="s">
        <v>19577</v>
      </c>
      <c r="D10828" s="27" t="s">
        <v>118</v>
      </c>
      <c r="E10828" s="29">
        <v>40083</v>
      </c>
      <c r="F10828" s="27">
        <v>10</v>
      </c>
      <c r="G10828" s="18">
        <v>14218.17</v>
      </c>
      <c r="H10828" s="27">
        <f t="shared" si="338"/>
        <v>14218.17</v>
      </c>
      <c r="I10828" s="18">
        <v>13507.26</v>
      </c>
      <c r="J10828" s="27">
        <v>14218.17</v>
      </c>
      <c r="K10828" s="18">
        <f t="shared" si="339"/>
        <v>14218.17</v>
      </c>
      <c r="L10828" s="27">
        <v>13507.26</v>
      </c>
      <c r="M10828" s="36">
        <v>0</v>
      </c>
      <c r="T10828" s="41">
        <v>0</v>
      </c>
      <c r="U10828" s="41">
        <v>0</v>
      </c>
      <c r="V10828" s="42" t="s">
        <v>113</v>
      </c>
      <c r="W10828" s="42">
        <v>14218.17</v>
      </c>
      <c r="X10828" s="42">
        <v>14218.17</v>
      </c>
    </row>
    <row r="10829" spans="1:24">
      <c r="A10829" s="27" t="s">
        <v>19578</v>
      </c>
      <c r="B10829" s="28" t="s">
        <v>19416</v>
      </c>
      <c r="C10829" s="27" t="s">
        <v>19579</v>
      </c>
      <c r="D10829" s="27" t="s">
        <v>220</v>
      </c>
      <c r="E10829" s="29">
        <v>40083</v>
      </c>
      <c r="F10829" s="27">
        <v>10</v>
      </c>
      <c r="G10829" s="18">
        <v>17772.71</v>
      </c>
      <c r="H10829" s="27">
        <f t="shared" si="338"/>
        <v>17772.71</v>
      </c>
      <c r="I10829" s="18">
        <v>16884.07</v>
      </c>
      <c r="J10829" s="27">
        <v>17772.71</v>
      </c>
      <c r="K10829" s="18">
        <f t="shared" si="339"/>
        <v>17772.71</v>
      </c>
      <c r="L10829" s="27">
        <v>16884.07</v>
      </c>
      <c r="M10829" s="36">
        <v>0</v>
      </c>
      <c r="T10829" s="41">
        <v>0</v>
      </c>
      <c r="U10829" s="41">
        <v>0</v>
      </c>
      <c r="V10829" s="42" t="s">
        <v>113</v>
      </c>
      <c r="W10829" s="42">
        <v>17772.71</v>
      </c>
      <c r="X10829" s="42">
        <v>17772.71</v>
      </c>
    </row>
    <row r="10830" spans="1:24">
      <c r="A10830" s="27" t="s">
        <v>19580</v>
      </c>
      <c r="B10830" s="28" t="s">
        <v>19416</v>
      </c>
      <c r="C10830" s="27" t="s">
        <v>19581</v>
      </c>
      <c r="D10830" s="27" t="s">
        <v>112</v>
      </c>
      <c r="E10830" s="29">
        <v>40171</v>
      </c>
      <c r="F10830" s="27">
        <v>10</v>
      </c>
      <c r="G10830" s="18">
        <v>42756.87</v>
      </c>
      <c r="H10830" s="27">
        <f t="shared" si="338"/>
        <v>42756.87</v>
      </c>
      <c r="I10830" s="18">
        <v>40619.03</v>
      </c>
      <c r="J10830" s="27">
        <v>42756.87</v>
      </c>
      <c r="K10830" s="18">
        <f t="shared" si="339"/>
        <v>42756.87</v>
      </c>
      <c r="L10830" s="27">
        <v>40619.03</v>
      </c>
      <c r="M10830" s="36">
        <v>0</v>
      </c>
      <c r="T10830" s="41">
        <v>0</v>
      </c>
      <c r="U10830" s="41">
        <v>0</v>
      </c>
      <c r="V10830" s="42" t="s">
        <v>113</v>
      </c>
      <c r="W10830" s="42">
        <v>42756.87</v>
      </c>
      <c r="X10830" s="42">
        <v>42756.87</v>
      </c>
    </row>
    <row r="10831" spans="1:24">
      <c r="A10831" s="27" t="s">
        <v>19582</v>
      </c>
      <c r="B10831" s="28" t="s">
        <v>19416</v>
      </c>
      <c r="C10831" s="27" t="s">
        <v>19583</v>
      </c>
      <c r="D10831" s="27" t="s">
        <v>220</v>
      </c>
      <c r="E10831" s="29">
        <v>40083</v>
      </c>
      <c r="F10831" s="27">
        <v>10</v>
      </c>
      <c r="G10831" s="18">
        <v>17772.71</v>
      </c>
      <c r="H10831" s="27">
        <f t="shared" si="338"/>
        <v>17772.71</v>
      </c>
      <c r="I10831" s="18">
        <v>16884.07</v>
      </c>
      <c r="J10831" s="27">
        <v>17772.71</v>
      </c>
      <c r="K10831" s="18">
        <f t="shared" si="339"/>
        <v>17772.71</v>
      </c>
      <c r="L10831" s="27">
        <v>16884.07</v>
      </c>
      <c r="M10831" s="36">
        <v>0</v>
      </c>
      <c r="T10831" s="41">
        <v>0</v>
      </c>
      <c r="U10831" s="41">
        <v>0</v>
      </c>
      <c r="V10831" s="42" t="s">
        <v>113</v>
      </c>
      <c r="W10831" s="42">
        <v>17772.71</v>
      </c>
      <c r="X10831" s="42">
        <v>17772.71</v>
      </c>
    </row>
    <row r="10832" spans="1:24">
      <c r="A10832" s="27" t="s">
        <v>19584</v>
      </c>
      <c r="B10832" s="28" t="s">
        <v>19416</v>
      </c>
      <c r="C10832" s="27" t="s">
        <v>19585</v>
      </c>
      <c r="D10832" s="27" t="s">
        <v>118</v>
      </c>
      <c r="E10832" s="29">
        <v>40083</v>
      </c>
      <c r="F10832" s="27">
        <v>10</v>
      </c>
      <c r="G10832" s="18">
        <v>14218.17</v>
      </c>
      <c r="H10832" s="27">
        <f t="shared" si="338"/>
        <v>14218.17</v>
      </c>
      <c r="I10832" s="18">
        <v>13507.26</v>
      </c>
      <c r="J10832" s="27">
        <v>14218.17</v>
      </c>
      <c r="K10832" s="18">
        <f t="shared" si="339"/>
        <v>14218.17</v>
      </c>
      <c r="L10832" s="27">
        <v>13507.26</v>
      </c>
      <c r="M10832" s="36">
        <v>0</v>
      </c>
      <c r="T10832" s="41">
        <v>0</v>
      </c>
      <c r="U10832" s="41">
        <v>0</v>
      </c>
      <c r="V10832" s="42" t="s">
        <v>113</v>
      </c>
      <c r="W10832" s="42">
        <v>14218.17</v>
      </c>
      <c r="X10832" s="42">
        <v>14218.17</v>
      </c>
    </row>
    <row r="10833" spans="1:24">
      <c r="A10833" s="27" t="s">
        <v>19586</v>
      </c>
      <c r="B10833" s="28" t="s">
        <v>19416</v>
      </c>
      <c r="C10833" s="27" t="s">
        <v>19587</v>
      </c>
      <c r="D10833" s="27" t="s">
        <v>118</v>
      </c>
      <c r="E10833" s="29">
        <v>40083</v>
      </c>
      <c r="F10833" s="27">
        <v>10</v>
      </c>
      <c r="G10833" s="18">
        <v>14218.17</v>
      </c>
      <c r="H10833" s="27">
        <f t="shared" si="338"/>
        <v>14218.17</v>
      </c>
      <c r="I10833" s="18">
        <v>13507.26</v>
      </c>
      <c r="J10833" s="27">
        <v>14218.17</v>
      </c>
      <c r="K10833" s="18">
        <f t="shared" si="339"/>
        <v>14218.17</v>
      </c>
      <c r="L10833" s="27">
        <v>13507.26</v>
      </c>
      <c r="M10833" s="36">
        <v>0</v>
      </c>
      <c r="T10833" s="41">
        <v>0</v>
      </c>
      <c r="U10833" s="41">
        <v>0</v>
      </c>
      <c r="V10833" s="42" t="s">
        <v>113</v>
      </c>
      <c r="W10833" s="42">
        <v>14218.17</v>
      </c>
      <c r="X10833" s="42">
        <v>14218.17</v>
      </c>
    </row>
    <row r="10834" spans="1:24">
      <c r="A10834" s="27" t="s">
        <v>19588</v>
      </c>
      <c r="B10834" s="28" t="s">
        <v>19416</v>
      </c>
      <c r="C10834" s="27" t="s">
        <v>19589</v>
      </c>
      <c r="D10834" s="27" t="s">
        <v>118</v>
      </c>
      <c r="E10834" s="29">
        <v>40083</v>
      </c>
      <c r="F10834" s="27">
        <v>10</v>
      </c>
      <c r="G10834" s="18">
        <v>14218.17</v>
      </c>
      <c r="H10834" s="27">
        <f t="shared" si="338"/>
        <v>14218.17</v>
      </c>
      <c r="I10834" s="18">
        <v>13507.26</v>
      </c>
      <c r="J10834" s="27">
        <v>14218.17</v>
      </c>
      <c r="K10834" s="18">
        <f t="shared" si="339"/>
        <v>14218.17</v>
      </c>
      <c r="L10834" s="27">
        <v>13507.26</v>
      </c>
      <c r="M10834" s="36">
        <v>0</v>
      </c>
      <c r="T10834" s="41">
        <v>0</v>
      </c>
      <c r="U10834" s="41">
        <v>0</v>
      </c>
      <c r="V10834" s="42" t="s">
        <v>113</v>
      </c>
      <c r="W10834" s="42">
        <v>14218.17</v>
      </c>
      <c r="X10834" s="42">
        <v>14218.17</v>
      </c>
    </row>
    <row r="10835" spans="1:24">
      <c r="A10835" s="27" t="s">
        <v>19590</v>
      </c>
      <c r="B10835" s="28" t="s">
        <v>19416</v>
      </c>
      <c r="C10835" s="27" t="s">
        <v>19591</v>
      </c>
      <c r="D10835" s="27" t="s">
        <v>220</v>
      </c>
      <c r="E10835" s="29">
        <v>40080</v>
      </c>
      <c r="F10835" s="27">
        <v>10</v>
      </c>
      <c r="G10835" s="18">
        <v>31990.87</v>
      </c>
      <c r="H10835" s="27">
        <f t="shared" si="338"/>
        <v>31990.87</v>
      </c>
      <c r="I10835" s="18">
        <v>30391.33</v>
      </c>
      <c r="J10835" s="27">
        <v>31990.87</v>
      </c>
      <c r="K10835" s="18">
        <f t="shared" si="339"/>
        <v>31990.87</v>
      </c>
      <c r="L10835" s="27">
        <v>30391.33</v>
      </c>
      <c r="M10835" s="36">
        <v>0</v>
      </c>
      <c r="T10835" s="41">
        <v>0</v>
      </c>
      <c r="U10835" s="41">
        <v>0</v>
      </c>
      <c r="V10835" s="42" t="s">
        <v>113</v>
      </c>
      <c r="W10835" s="42">
        <v>31990.87</v>
      </c>
      <c r="X10835" s="42">
        <v>31990.87</v>
      </c>
    </row>
    <row r="10836" spans="1:24">
      <c r="A10836" s="27" t="s">
        <v>19592</v>
      </c>
      <c r="B10836" s="28" t="s">
        <v>19416</v>
      </c>
      <c r="C10836" s="27" t="s">
        <v>19593</v>
      </c>
      <c r="D10836" s="27" t="s">
        <v>118</v>
      </c>
      <c r="E10836" s="29">
        <v>40083</v>
      </c>
      <c r="F10836" s="27">
        <v>10</v>
      </c>
      <c r="G10836" s="18">
        <v>28436.34</v>
      </c>
      <c r="H10836" s="27">
        <f t="shared" si="338"/>
        <v>28436.34</v>
      </c>
      <c r="I10836" s="18">
        <v>27014.52</v>
      </c>
      <c r="J10836" s="27">
        <v>28436.34</v>
      </c>
      <c r="K10836" s="18">
        <f t="shared" si="339"/>
        <v>28436.34</v>
      </c>
      <c r="L10836" s="27">
        <v>27014.52</v>
      </c>
      <c r="M10836" s="36">
        <v>0</v>
      </c>
      <c r="T10836" s="41">
        <v>0</v>
      </c>
      <c r="U10836" s="41">
        <v>0</v>
      </c>
      <c r="V10836" s="42" t="s">
        <v>113</v>
      </c>
      <c r="W10836" s="42">
        <v>28436.34</v>
      </c>
      <c r="X10836" s="42">
        <v>28436.34</v>
      </c>
    </row>
    <row r="10837" spans="1:24">
      <c r="A10837" s="27" t="s">
        <v>19594</v>
      </c>
      <c r="B10837" s="28" t="s">
        <v>19416</v>
      </c>
      <c r="C10837" s="27" t="s">
        <v>19595</v>
      </c>
      <c r="D10837" s="27" t="s">
        <v>118</v>
      </c>
      <c r="E10837" s="29">
        <v>40083</v>
      </c>
      <c r="F10837" s="27">
        <v>10</v>
      </c>
      <c r="G10837" s="18">
        <v>28436.34</v>
      </c>
      <c r="H10837" s="27">
        <f t="shared" si="338"/>
        <v>28436.34</v>
      </c>
      <c r="I10837" s="18">
        <v>27014.52</v>
      </c>
      <c r="J10837" s="27">
        <v>28436.34</v>
      </c>
      <c r="K10837" s="18">
        <f t="shared" si="339"/>
        <v>28436.34</v>
      </c>
      <c r="L10837" s="27">
        <v>27014.52</v>
      </c>
      <c r="M10837" s="36">
        <v>0</v>
      </c>
      <c r="T10837" s="41">
        <v>0</v>
      </c>
      <c r="U10837" s="41">
        <v>0</v>
      </c>
      <c r="V10837" s="42" t="s">
        <v>113</v>
      </c>
      <c r="W10837" s="42">
        <v>28436.34</v>
      </c>
      <c r="X10837" s="42">
        <v>28436.34</v>
      </c>
    </row>
    <row r="10838" spans="1:24">
      <c r="A10838" s="27" t="s">
        <v>19596</v>
      </c>
      <c r="B10838" s="28" t="s">
        <v>19416</v>
      </c>
      <c r="C10838" s="27" t="s">
        <v>19597</v>
      </c>
      <c r="D10838" s="27" t="s">
        <v>112</v>
      </c>
      <c r="E10838" s="29">
        <v>40169</v>
      </c>
      <c r="F10838" s="27">
        <v>10</v>
      </c>
      <c r="G10838" s="18">
        <v>1713.04</v>
      </c>
      <c r="H10838" s="27">
        <f t="shared" si="338"/>
        <v>1713.04</v>
      </c>
      <c r="I10838" s="18">
        <v>1713.04</v>
      </c>
      <c r="J10838" s="27">
        <v>1713.04</v>
      </c>
      <c r="K10838" s="18">
        <f t="shared" si="339"/>
        <v>1713.04</v>
      </c>
      <c r="L10838" s="27">
        <v>1713.04</v>
      </c>
      <c r="M10838" s="36">
        <v>0</v>
      </c>
      <c r="T10838" s="41">
        <v>0</v>
      </c>
      <c r="U10838" s="41">
        <v>0</v>
      </c>
      <c r="V10838" s="42" t="s">
        <v>113</v>
      </c>
      <c r="W10838" s="42">
        <v>1713.04</v>
      </c>
      <c r="X10838" s="42">
        <v>1713.04</v>
      </c>
    </row>
    <row r="10839" spans="1:24">
      <c r="A10839" s="27" t="s">
        <v>19598</v>
      </c>
      <c r="B10839" s="28" t="s">
        <v>19416</v>
      </c>
      <c r="C10839" s="27" t="s">
        <v>19599</v>
      </c>
      <c r="D10839" s="27" t="s">
        <v>118</v>
      </c>
      <c r="E10839" s="29">
        <v>40171</v>
      </c>
      <c r="F10839" s="27">
        <v>10</v>
      </c>
      <c r="G10839" s="18">
        <v>2134.64</v>
      </c>
      <c r="H10839" s="27">
        <f t="shared" si="338"/>
        <v>2134.64</v>
      </c>
      <c r="I10839" s="18">
        <v>2134.64</v>
      </c>
      <c r="J10839" s="27">
        <v>2134.64</v>
      </c>
      <c r="K10839" s="18">
        <f t="shared" si="339"/>
        <v>2134.64</v>
      </c>
      <c r="L10839" s="27">
        <v>2134.64</v>
      </c>
      <c r="M10839" s="36">
        <v>0</v>
      </c>
      <c r="T10839" s="41">
        <v>0</v>
      </c>
      <c r="U10839" s="41">
        <v>0</v>
      </c>
      <c r="V10839" s="42" t="s">
        <v>113</v>
      </c>
      <c r="W10839" s="42">
        <v>2134.64</v>
      </c>
      <c r="X10839" s="42">
        <v>2134.64</v>
      </c>
    </row>
    <row r="10840" spans="1:24">
      <c r="A10840" s="27" t="s">
        <v>19600</v>
      </c>
      <c r="B10840" s="28" t="s">
        <v>19416</v>
      </c>
      <c r="C10840" s="27" t="s">
        <v>19601</v>
      </c>
      <c r="D10840" s="27" t="s">
        <v>112</v>
      </c>
      <c r="E10840" s="29">
        <v>40171</v>
      </c>
      <c r="F10840" s="27">
        <v>10</v>
      </c>
      <c r="G10840" s="18">
        <v>5307.63</v>
      </c>
      <c r="H10840" s="27">
        <f t="shared" si="338"/>
        <v>5307.63</v>
      </c>
      <c r="I10840" s="18">
        <v>5042.25</v>
      </c>
      <c r="J10840" s="27">
        <v>5307.63</v>
      </c>
      <c r="K10840" s="18">
        <f t="shared" si="339"/>
        <v>5307.63</v>
      </c>
      <c r="L10840" s="27">
        <v>5042.25</v>
      </c>
      <c r="M10840" s="36">
        <v>0</v>
      </c>
      <c r="T10840" s="41">
        <v>0</v>
      </c>
      <c r="U10840" s="41">
        <v>0</v>
      </c>
      <c r="V10840" s="42" t="s">
        <v>113</v>
      </c>
      <c r="W10840" s="42">
        <v>5307.63</v>
      </c>
      <c r="X10840" s="42">
        <v>5307.63</v>
      </c>
    </row>
    <row r="10841" spans="1:24">
      <c r="A10841" s="27" t="s">
        <v>19602</v>
      </c>
      <c r="B10841" s="28" t="s">
        <v>19416</v>
      </c>
      <c r="C10841" s="27" t="s">
        <v>19603</v>
      </c>
      <c r="D10841" s="27" t="s">
        <v>118</v>
      </c>
      <c r="E10841" s="29">
        <v>40083</v>
      </c>
      <c r="F10841" s="27">
        <v>10</v>
      </c>
      <c r="G10841" s="18">
        <v>28436.34</v>
      </c>
      <c r="H10841" s="27">
        <f t="shared" si="338"/>
        <v>28436.34</v>
      </c>
      <c r="I10841" s="18">
        <v>27014.52</v>
      </c>
      <c r="J10841" s="27">
        <v>28436.34</v>
      </c>
      <c r="K10841" s="18">
        <f t="shared" si="339"/>
        <v>28436.34</v>
      </c>
      <c r="L10841" s="27">
        <v>27014.52</v>
      </c>
      <c r="M10841" s="36">
        <v>0</v>
      </c>
      <c r="T10841" s="41">
        <v>0</v>
      </c>
      <c r="U10841" s="41">
        <v>0</v>
      </c>
      <c r="V10841" s="42" t="s">
        <v>113</v>
      </c>
      <c r="W10841" s="42">
        <v>28436.34</v>
      </c>
      <c r="X10841" s="42">
        <v>28436.34</v>
      </c>
    </row>
    <row r="10842" spans="1:24">
      <c r="A10842" s="27" t="s">
        <v>19604</v>
      </c>
      <c r="B10842" s="28" t="s">
        <v>19416</v>
      </c>
      <c r="C10842" s="27" t="s">
        <v>19605</v>
      </c>
      <c r="D10842" s="27" t="s">
        <v>220</v>
      </c>
      <c r="E10842" s="29">
        <v>40080</v>
      </c>
      <c r="F10842" s="27">
        <v>10</v>
      </c>
      <c r="G10842" s="18">
        <v>53318.12</v>
      </c>
      <c r="H10842" s="27">
        <f t="shared" si="338"/>
        <v>53318.12</v>
      </c>
      <c r="I10842" s="18">
        <v>50652.21</v>
      </c>
      <c r="J10842" s="27">
        <v>53318.12</v>
      </c>
      <c r="K10842" s="18">
        <f t="shared" si="339"/>
        <v>53318.12</v>
      </c>
      <c r="L10842" s="27">
        <v>50652.21</v>
      </c>
      <c r="M10842" s="36">
        <v>0</v>
      </c>
      <c r="T10842" s="41">
        <v>0</v>
      </c>
      <c r="U10842" s="41">
        <v>0</v>
      </c>
      <c r="V10842" s="42" t="s">
        <v>113</v>
      </c>
      <c r="W10842" s="42">
        <v>53318.12</v>
      </c>
      <c r="X10842" s="42">
        <v>53318.12</v>
      </c>
    </row>
    <row r="10843" spans="1:24">
      <c r="A10843" s="27" t="s">
        <v>19606</v>
      </c>
      <c r="B10843" s="28" t="s">
        <v>19416</v>
      </c>
      <c r="C10843" s="27" t="s">
        <v>19607</v>
      </c>
      <c r="D10843" s="27" t="s">
        <v>220</v>
      </c>
      <c r="E10843" s="29">
        <v>40080</v>
      </c>
      <c r="F10843" s="27">
        <v>10</v>
      </c>
      <c r="G10843" s="18">
        <v>31990.880000000001</v>
      </c>
      <c r="H10843" s="27">
        <f t="shared" si="338"/>
        <v>31990.880000000001</v>
      </c>
      <c r="I10843" s="18">
        <v>30391.34</v>
      </c>
      <c r="J10843" s="27">
        <v>31990.880000000001</v>
      </c>
      <c r="K10843" s="18">
        <f t="shared" si="339"/>
        <v>31990.880000000001</v>
      </c>
      <c r="L10843" s="27">
        <v>30391.34</v>
      </c>
      <c r="M10843" s="36">
        <v>0</v>
      </c>
      <c r="T10843" s="41">
        <v>0</v>
      </c>
      <c r="U10843" s="41">
        <v>0</v>
      </c>
      <c r="V10843" s="42" t="s">
        <v>113</v>
      </c>
      <c r="W10843" s="42">
        <v>31990.880000000001</v>
      </c>
      <c r="X10843" s="42">
        <v>31990.880000000001</v>
      </c>
    </row>
    <row r="10844" spans="1:24">
      <c r="A10844" s="27" t="s">
        <v>19608</v>
      </c>
      <c r="B10844" s="28" t="s">
        <v>19416</v>
      </c>
      <c r="C10844" s="27" t="s">
        <v>19609</v>
      </c>
      <c r="D10844" s="27" t="s">
        <v>118</v>
      </c>
      <c r="E10844" s="29">
        <v>40083</v>
      </c>
      <c r="F10844" s="27">
        <v>10</v>
      </c>
      <c r="G10844" s="18">
        <v>28436.34</v>
      </c>
      <c r="H10844" s="27">
        <f t="shared" si="338"/>
        <v>28436.34</v>
      </c>
      <c r="I10844" s="18">
        <v>27014.52</v>
      </c>
      <c r="J10844" s="27">
        <v>28436.34</v>
      </c>
      <c r="K10844" s="18">
        <f t="shared" si="339"/>
        <v>28436.34</v>
      </c>
      <c r="L10844" s="27">
        <v>27014.52</v>
      </c>
      <c r="M10844" s="36">
        <v>0</v>
      </c>
      <c r="T10844" s="41">
        <v>0</v>
      </c>
      <c r="U10844" s="41">
        <v>0</v>
      </c>
      <c r="V10844" s="42" t="s">
        <v>113</v>
      </c>
      <c r="W10844" s="42">
        <v>28436.34</v>
      </c>
      <c r="X10844" s="42">
        <v>28436.34</v>
      </c>
    </row>
    <row r="10845" spans="1:24">
      <c r="A10845" s="27" t="s">
        <v>19610</v>
      </c>
      <c r="B10845" s="28" t="s">
        <v>19416</v>
      </c>
      <c r="C10845" s="27" t="s">
        <v>19611</v>
      </c>
      <c r="D10845" s="27" t="s">
        <v>112</v>
      </c>
      <c r="E10845" s="29">
        <v>40171</v>
      </c>
      <c r="F10845" s="27">
        <v>10</v>
      </c>
      <c r="G10845" s="18">
        <v>3184.63</v>
      </c>
      <c r="H10845" s="27">
        <f t="shared" si="338"/>
        <v>3184.63</v>
      </c>
      <c r="I10845" s="18">
        <v>3184.63</v>
      </c>
      <c r="J10845" s="27">
        <v>3184.63</v>
      </c>
      <c r="K10845" s="18">
        <f t="shared" si="339"/>
        <v>3184.63</v>
      </c>
      <c r="L10845" s="27">
        <v>3184.63</v>
      </c>
      <c r="M10845" s="36">
        <v>0</v>
      </c>
      <c r="T10845" s="41">
        <v>0</v>
      </c>
      <c r="U10845" s="41">
        <v>0</v>
      </c>
      <c r="V10845" s="42" t="s">
        <v>113</v>
      </c>
      <c r="W10845" s="42">
        <v>3184.63</v>
      </c>
      <c r="X10845" s="42">
        <v>3184.63</v>
      </c>
    </row>
    <row r="10846" spans="1:24">
      <c r="A10846" s="27" t="s">
        <v>19612</v>
      </c>
      <c r="B10846" s="28" t="s">
        <v>19416</v>
      </c>
      <c r="C10846" s="27" t="s">
        <v>19613</v>
      </c>
      <c r="D10846" s="27" t="s">
        <v>118</v>
      </c>
      <c r="E10846" s="29">
        <v>40171</v>
      </c>
      <c r="F10846" s="27">
        <v>10</v>
      </c>
      <c r="G10846" s="18">
        <v>5307.63</v>
      </c>
      <c r="H10846" s="27">
        <f t="shared" si="338"/>
        <v>5307.63</v>
      </c>
      <c r="I10846" s="18">
        <v>5042.25</v>
      </c>
      <c r="J10846" s="27">
        <v>5307.63</v>
      </c>
      <c r="K10846" s="18">
        <f t="shared" si="339"/>
        <v>5307.63</v>
      </c>
      <c r="L10846" s="27">
        <v>5042.25</v>
      </c>
      <c r="M10846" s="36">
        <v>0</v>
      </c>
      <c r="T10846" s="41">
        <v>0</v>
      </c>
      <c r="U10846" s="41">
        <v>0</v>
      </c>
      <c r="V10846" s="42" t="s">
        <v>113</v>
      </c>
      <c r="W10846" s="42">
        <v>5307.63</v>
      </c>
      <c r="X10846" s="42">
        <v>5307.63</v>
      </c>
    </row>
    <row r="10847" spans="1:24">
      <c r="A10847" s="27" t="s">
        <v>19614</v>
      </c>
      <c r="B10847" s="28" t="s">
        <v>19416</v>
      </c>
      <c r="C10847" s="27" t="s">
        <v>19615</v>
      </c>
      <c r="D10847" s="27" t="s">
        <v>112</v>
      </c>
      <c r="E10847" s="29">
        <v>40171</v>
      </c>
      <c r="F10847" s="27">
        <v>10</v>
      </c>
      <c r="G10847" s="18">
        <v>3184.63</v>
      </c>
      <c r="H10847" s="27">
        <f t="shared" si="338"/>
        <v>3184.63</v>
      </c>
      <c r="I10847" s="18">
        <v>3184.63</v>
      </c>
      <c r="J10847" s="27">
        <v>3184.63</v>
      </c>
      <c r="K10847" s="18">
        <f t="shared" si="339"/>
        <v>3184.63</v>
      </c>
      <c r="L10847" s="27">
        <v>3184.63</v>
      </c>
      <c r="M10847" s="36">
        <v>0</v>
      </c>
      <c r="T10847" s="41">
        <v>0</v>
      </c>
      <c r="U10847" s="41">
        <v>0</v>
      </c>
      <c r="V10847" s="42" t="s">
        <v>113</v>
      </c>
      <c r="W10847" s="42">
        <v>3184.63</v>
      </c>
      <c r="X10847" s="42">
        <v>3184.63</v>
      </c>
    </row>
    <row r="10848" spans="1:24">
      <c r="A10848" s="27" t="s">
        <v>19616</v>
      </c>
      <c r="B10848" s="28" t="s">
        <v>19416</v>
      </c>
      <c r="C10848" s="27" t="s">
        <v>19617</v>
      </c>
      <c r="D10848" s="27" t="s">
        <v>220</v>
      </c>
      <c r="E10848" s="29">
        <v>40080</v>
      </c>
      <c r="F10848" s="27">
        <v>10</v>
      </c>
      <c r="G10848" s="18">
        <v>53318.16</v>
      </c>
      <c r="H10848" s="27">
        <f t="shared" si="338"/>
        <v>53318.16</v>
      </c>
      <c r="I10848" s="18">
        <v>50652.25</v>
      </c>
      <c r="J10848" s="27">
        <v>53318.16</v>
      </c>
      <c r="K10848" s="18">
        <f t="shared" si="339"/>
        <v>53318.16</v>
      </c>
      <c r="L10848" s="27">
        <v>50652.25</v>
      </c>
      <c r="M10848" s="36">
        <v>0</v>
      </c>
      <c r="T10848" s="41">
        <v>0</v>
      </c>
      <c r="U10848" s="41">
        <v>0</v>
      </c>
      <c r="V10848" s="42" t="s">
        <v>113</v>
      </c>
      <c r="W10848" s="42">
        <v>53318.16</v>
      </c>
      <c r="X10848" s="42">
        <v>53318.16</v>
      </c>
    </row>
    <row r="10849" spans="1:24">
      <c r="A10849" s="27" t="s">
        <v>19618</v>
      </c>
      <c r="B10849" s="28" t="s">
        <v>19416</v>
      </c>
      <c r="C10849" s="27" t="s">
        <v>19619</v>
      </c>
      <c r="D10849" s="27" t="s">
        <v>118</v>
      </c>
      <c r="E10849" s="29">
        <v>40083</v>
      </c>
      <c r="F10849" s="27">
        <v>10</v>
      </c>
      <c r="G10849" s="18">
        <v>28436.34</v>
      </c>
      <c r="H10849" s="27">
        <f t="shared" si="338"/>
        <v>28436.34</v>
      </c>
      <c r="I10849" s="18">
        <v>27014.52</v>
      </c>
      <c r="J10849" s="27">
        <v>28436.34</v>
      </c>
      <c r="K10849" s="18">
        <f t="shared" si="339"/>
        <v>28436.34</v>
      </c>
      <c r="L10849" s="27">
        <v>27014.52</v>
      </c>
      <c r="M10849" s="36">
        <v>0</v>
      </c>
      <c r="T10849" s="41">
        <v>0</v>
      </c>
      <c r="U10849" s="41">
        <v>0</v>
      </c>
      <c r="V10849" s="42" t="s">
        <v>113</v>
      </c>
      <c r="W10849" s="42">
        <v>28436.34</v>
      </c>
      <c r="X10849" s="42">
        <v>28436.34</v>
      </c>
    </row>
    <row r="10850" spans="1:24">
      <c r="A10850" s="27" t="s">
        <v>19620</v>
      </c>
      <c r="B10850" s="28" t="s">
        <v>19416</v>
      </c>
      <c r="C10850" s="27" t="s">
        <v>19621</v>
      </c>
      <c r="D10850" s="27" t="s">
        <v>118</v>
      </c>
      <c r="E10850" s="29">
        <v>40083</v>
      </c>
      <c r="F10850" s="27">
        <v>10</v>
      </c>
      <c r="G10850" s="18">
        <v>28436.34</v>
      </c>
      <c r="H10850" s="27">
        <f t="shared" si="338"/>
        <v>28436.34</v>
      </c>
      <c r="I10850" s="18">
        <v>27014.52</v>
      </c>
      <c r="J10850" s="27">
        <v>28436.34</v>
      </c>
      <c r="K10850" s="18">
        <f t="shared" si="339"/>
        <v>28436.34</v>
      </c>
      <c r="L10850" s="27">
        <v>27014.52</v>
      </c>
      <c r="M10850" s="36">
        <v>0</v>
      </c>
      <c r="T10850" s="41">
        <v>0</v>
      </c>
      <c r="U10850" s="41">
        <v>0</v>
      </c>
      <c r="V10850" s="42" t="s">
        <v>113</v>
      </c>
      <c r="W10850" s="42">
        <v>28436.34</v>
      </c>
      <c r="X10850" s="42">
        <v>28436.34</v>
      </c>
    </row>
    <row r="10851" spans="1:24">
      <c r="A10851" s="27" t="s">
        <v>19622</v>
      </c>
      <c r="B10851" s="28" t="s">
        <v>19416</v>
      </c>
      <c r="C10851" s="27" t="s">
        <v>19623</v>
      </c>
      <c r="D10851" s="27" t="s">
        <v>112</v>
      </c>
      <c r="E10851" s="29">
        <v>40268</v>
      </c>
      <c r="F10851" s="27">
        <v>10</v>
      </c>
      <c r="G10851" s="18">
        <v>21096.35</v>
      </c>
      <c r="H10851" s="27">
        <f t="shared" si="338"/>
        <v>0</v>
      </c>
      <c r="I10851" s="18">
        <v>17619.849999999999</v>
      </c>
      <c r="J10851" s="27">
        <v>21096.35</v>
      </c>
      <c r="K10851" s="18">
        <f t="shared" si="339"/>
        <v>0</v>
      </c>
      <c r="L10851" s="27">
        <v>19557.189999999999</v>
      </c>
      <c r="M10851" s="36">
        <v>1937.34</v>
      </c>
      <c r="T10851" s="41">
        <v>0</v>
      </c>
      <c r="U10851" s="41">
        <v>0</v>
      </c>
      <c r="V10851" s="42" t="s">
        <v>113</v>
      </c>
      <c r="W10851" s="42">
        <v>21096.35</v>
      </c>
      <c r="X10851" s="42">
        <v>21096.35</v>
      </c>
    </row>
    <row r="10852" spans="1:24">
      <c r="A10852" s="27" t="s">
        <v>19624</v>
      </c>
      <c r="B10852" s="28" t="s">
        <v>19416</v>
      </c>
      <c r="C10852" s="27" t="s">
        <v>19625</v>
      </c>
      <c r="D10852" s="27" t="s">
        <v>118</v>
      </c>
      <c r="E10852" s="29">
        <v>40171</v>
      </c>
      <c r="F10852" s="27">
        <v>10</v>
      </c>
      <c r="G10852" s="18">
        <v>39975.85</v>
      </c>
      <c r="H10852" s="27">
        <f t="shared" si="338"/>
        <v>39975.85</v>
      </c>
      <c r="I10852" s="18">
        <v>37977.06</v>
      </c>
      <c r="J10852" s="27">
        <v>39975.85</v>
      </c>
      <c r="K10852" s="18">
        <f t="shared" si="339"/>
        <v>39975.85</v>
      </c>
      <c r="L10852" s="27">
        <v>37977.06</v>
      </c>
      <c r="M10852" s="36">
        <v>0</v>
      </c>
      <c r="T10852" s="41">
        <v>0</v>
      </c>
      <c r="U10852" s="41">
        <v>0</v>
      </c>
      <c r="V10852" s="42" t="s">
        <v>113</v>
      </c>
      <c r="W10852" s="42">
        <v>39975.85</v>
      </c>
      <c r="X10852" s="42">
        <v>39975.85</v>
      </c>
    </row>
    <row r="10853" spans="1:24">
      <c r="A10853" s="27" t="s">
        <v>19626</v>
      </c>
      <c r="B10853" s="28" t="s">
        <v>19416</v>
      </c>
      <c r="C10853" s="27" t="s">
        <v>19627</v>
      </c>
      <c r="D10853" s="27" t="s">
        <v>112</v>
      </c>
      <c r="E10853" s="29">
        <v>40268</v>
      </c>
      <c r="F10853" s="27">
        <v>10</v>
      </c>
      <c r="G10853" s="18">
        <v>9614.52</v>
      </c>
      <c r="H10853" s="27">
        <f t="shared" si="338"/>
        <v>0</v>
      </c>
      <c r="I10853" s="18">
        <v>8030.12</v>
      </c>
      <c r="J10853" s="27">
        <v>9614.52</v>
      </c>
      <c r="K10853" s="18">
        <f t="shared" si="339"/>
        <v>0</v>
      </c>
      <c r="L10853" s="27">
        <v>8913.06</v>
      </c>
      <c r="M10853" s="36">
        <v>882.94</v>
      </c>
      <c r="T10853" s="41">
        <v>0</v>
      </c>
      <c r="U10853" s="41">
        <v>0</v>
      </c>
      <c r="V10853" s="42" t="s">
        <v>113</v>
      </c>
      <c r="W10853" s="42">
        <v>9614.52</v>
      </c>
      <c r="X10853" s="42">
        <v>9614.52</v>
      </c>
    </row>
    <row r="10854" spans="1:24">
      <c r="A10854" s="27" t="s">
        <v>19628</v>
      </c>
      <c r="B10854" s="28" t="s">
        <v>19416</v>
      </c>
      <c r="C10854" s="27" t="s">
        <v>19629</v>
      </c>
      <c r="D10854" s="27" t="s">
        <v>112</v>
      </c>
      <c r="E10854" s="29">
        <v>40268</v>
      </c>
      <c r="F10854" s="27">
        <v>10</v>
      </c>
      <c r="G10854" s="18">
        <v>13394.51</v>
      </c>
      <c r="H10854" s="27">
        <f t="shared" si="338"/>
        <v>0</v>
      </c>
      <c r="I10854" s="18">
        <v>11187.2</v>
      </c>
      <c r="J10854" s="27">
        <v>13394.51</v>
      </c>
      <c r="K10854" s="18">
        <f t="shared" si="339"/>
        <v>0</v>
      </c>
      <c r="L10854" s="27">
        <v>12417.26</v>
      </c>
      <c r="M10854" s="36">
        <v>1230.06</v>
      </c>
      <c r="T10854" s="41">
        <v>0</v>
      </c>
      <c r="U10854" s="41">
        <v>0</v>
      </c>
      <c r="V10854" s="42" t="s">
        <v>113</v>
      </c>
      <c r="W10854" s="42">
        <v>13394.51</v>
      </c>
      <c r="X10854" s="42">
        <v>13394.51</v>
      </c>
    </row>
    <row r="10855" spans="1:24">
      <c r="A10855" s="27" t="s">
        <v>19630</v>
      </c>
      <c r="B10855" s="28" t="s">
        <v>19416</v>
      </c>
      <c r="C10855" s="27" t="s">
        <v>19631</v>
      </c>
      <c r="D10855" s="27" t="s">
        <v>118</v>
      </c>
      <c r="E10855" s="29">
        <v>40171</v>
      </c>
      <c r="F10855" s="27">
        <v>10</v>
      </c>
      <c r="G10855" s="18">
        <v>2111.5</v>
      </c>
      <c r="H10855" s="27">
        <f t="shared" si="338"/>
        <v>2111.5</v>
      </c>
      <c r="I10855" s="18">
        <v>2111.5</v>
      </c>
      <c r="J10855" s="27">
        <v>2111.5</v>
      </c>
      <c r="K10855" s="18">
        <f t="shared" si="339"/>
        <v>2111.5</v>
      </c>
      <c r="L10855" s="27">
        <v>2111.5</v>
      </c>
      <c r="M10855" s="36">
        <v>0</v>
      </c>
      <c r="T10855" s="41">
        <v>0</v>
      </c>
      <c r="U10855" s="41">
        <v>0</v>
      </c>
      <c r="V10855" s="42" t="s">
        <v>113</v>
      </c>
      <c r="W10855" s="42">
        <v>2111.5</v>
      </c>
      <c r="X10855" s="42">
        <v>2111.5</v>
      </c>
    </row>
    <row r="10856" spans="1:24">
      <c r="A10856" s="27" t="s">
        <v>19632</v>
      </c>
      <c r="B10856" s="28" t="s">
        <v>19416</v>
      </c>
      <c r="C10856" s="27" t="s">
        <v>19633</v>
      </c>
      <c r="D10856" s="27" t="s">
        <v>112</v>
      </c>
      <c r="E10856" s="29">
        <v>40268</v>
      </c>
      <c r="F10856" s="27">
        <v>10</v>
      </c>
      <c r="G10856" s="18">
        <v>3781</v>
      </c>
      <c r="H10856" s="27">
        <f t="shared" si="338"/>
        <v>3781</v>
      </c>
      <c r="I10856" s="18">
        <v>3781</v>
      </c>
      <c r="J10856" s="27">
        <v>3781</v>
      </c>
      <c r="K10856" s="18">
        <f t="shared" si="339"/>
        <v>3781</v>
      </c>
      <c r="L10856" s="27">
        <v>3781</v>
      </c>
      <c r="M10856" s="36">
        <v>0</v>
      </c>
      <c r="T10856" s="41">
        <v>0</v>
      </c>
      <c r="U10856" s="41">
        <v>0</v>
      </c>
      <c r="V10856" s="42" t="s">
        <v>113</v>
      </c>
      <c r="W10856" s="42">
        <v>3781</v>
      </c>
      <c r="X10856" s="42">
        <v>3781</v>
      </c>
    </row>
    <row r="10857" spans="1:24">
      <c r="A10857" s="27" t="s">
        <v>19634</v>
      </c>
      <c r="B10857" s="28" t="s">
        <v>19416</v>
      </c>
      <c r="C10857" s="27" t="s">
        <v>19635</v>
      </c>
      <c r="D10857" s="27" t="s">
        <v>112</v>
      </c>
      <c r="E10857" s="29">
        <v>40268</v>
      </c>
      <c r="F10857" s="27">
        <v>10</v>
      </c>
      <c r="G10857" s="18">
        <v>3780</v>
      </c>
      <c r="H10857" s="27">
        <f t="shared" si="338"/>
        <v>3780</v>
      </c>
      <c r="I10857" s="18">
        <v>3780</v>
      </c>
      <c r="J10857" s="27">
        <v>3780</v>
      </c>
      <c r="K10857" s="18">
        <f t="shared" si="339"/>
        <v>3780</v>
      </c>
      <c r="L10857" s="27">
        <v>3780</v>
      </c>
      <c r="M10857" s="36">
        <v>0</v>
      </c>
      <c r="T10857" s="41">
        <v>0</v>
      </c>
      <c r="U10857" s="41">
        <v>0</v>
      </c>
      <c r="V10857" s="42" t="s">
        <v>113</v>
      </c>
      <c r="W10857" s="42">
        <v>3780</v>
      </c>
      <c r="X10857" s="42">
        <v>3780</v>
      </c>
    </row>
    <row r="10858" spans="1:24">
      <c r="A10858" s="27" t="s">
        <v>19636</v>
      </c>
      <c r="B10858" s="28" t="s">
        <v>19416</v>
      </c>
      <c r="C10858" s="27" t="s">
        <v>19637</v>
      </c>
      <c r="D10858" s="27" t="s">
        <v>112</v>
      </c>
      <c r="E10858" s="29">
        <v>40268</v>
      </c>
      <c r="F10858" s="27">
        <v>10</v>
      </c>
      <c r="G10858" s="18">
        <v>3781</v>
      </c>
      <c r="H10858" s="27">
        <f t="shared" si="338"/>
        <v>3781</v>
      </c>
      <c r="I10858" s="18">
        <v>3781</v>
      </c>
      <c r="J10858" s="27">
        <v>3781</v>
      </c>
      <c r="K10858" s="18">
        <f t="shared" si="339"/>
        <v>3781</v>
      </c>
      <c r="L10858" s="27">
        <v>3781</v>
      </c>
      <c r="M10858" s="36">
        <v>0</v>
      </c>
      <c r="T10858" s="41">
        <v>0</v>
      </c>
      <c r="U10858" s="41">
        <v>0</v>
      </c>
      <c r="V10858" s="42" t="s">
        <v>113</v>
      </c>
      <c r="W10858" s="42">
        <v>3781</v>
      </c>
      <c r="X10858" s="42">
        <v>3781</v>
      </c>
    </row>
    <row r="10859" spans="1:24">
      <c r="A10859" s="27" t="s">
        <v>19638</v>
      </c>
      <c r="B10859" s="28" t="s">
        <v>19416</v>
      </c>
      <c r="C10859" s="27" t="s">
        <v>19639</v>
      </c>
      <c r="D10859" s="27" t="s">
        <v>17578</v>
      </c>
      <c r="E10859" s="29">
        <v>41270</v>
      </c>
      <c r="F10859" s="27">
        <v>10</v>
      </c>
      <c r="G10859" s="18">
        <v>586934.79</v>
      </c>
      <c r="H10859" s="27">
        <f t="shared" si="338"/>
        <v>0</v>
      </c>
      <c r="I10859" s="18">
        <v>349251.53</v>
      </c>
      <c r="J10859" s="27">
        <v>586934.79</v>
      </c>
      <c r="K10859" s="18">
        <f t="shared" si="339"/>
        <v>0</v>
      </c>
      <c r="L10859" s="27">
        <v>401335.66</v>
      </c>
      <c r="M10859" s="36">
        <v>52084.13</v>
      </c>
      <c r="T10859" s="41">
        <v>0</v>
      </c>
      <c r="U10859" s="41">
        <v>0</v>
      </c>
      <c r="V10859" s="42" t="s">
        <v>113</v>
      </c>
      <c r="W10859" s="42">
        <v>0</v>
      </c>
      <c r="X10859" s="42">
        <v>0</v>
      </c>
    </row>
    <row r="10860" spans="1:24">
      <c r="A10860" s="27" t="s">
        <v>19640</v>
      </c>
      <c r="B10860" s="28" t="s">
        <v>19416</v>
      </c>
      <c r="C10860" s="27" t="s">
        <v>19641</v>
      </c>
      <c r="D10860" s="27" t="s">
        <v>17578</v>
      </c>
      <c r="E10860" s="29">
        <v>43646</v>
      </c>
      <c r="F10860" s="27">
        <v>10</v>
      </c>
      <c r="G10860" s="18">
        <v>0</v>
      </c>
      <c r="H10860" s="27">
        <f t="shared" si="338"/>
        <v>0</v>
      </c>
      <c r="I10860" s="18">
        <v>0</v>
      </c>
      <c r="J10860" s="27">
        <v>1798548.72</v>
      </c>
      <c r="K10860" s="18">
        <f t="shared" si="339"/>
        <v>0</v>
      </c>
      <c r="L10860" s="27">
        <v>85431.06</v>
      </c>
      <c r="M10860" s="36">
        <v>85431.06</v>
      </c>
      <c r="N10860" s="18" t="s">
        <v>123</v>
      </c>
      <c r="O10860" s="19">
        <v>1798548.72</v>
      </c>
      <c r="T10860" s="41">
        <v>0</v>
      </c>
      <c r="U10860" s="41">
        <v>0</v>
      </c>
      <c r="V10860" s="42" t="s">
        <v>113</v>
      </c>
      <c r="W10860" s="42">
        <v>0</v>
      </c>
      <c r="X10860" s="42">
        <v>0</v>
      </c>
    </row>
    <row r="10861" spans="1:24">
      <c r="A10861" s="27" t="s">
        <v>19642</v>
      </c>
      <c r="B10861" s="28" t="s">
        <v>19416</v>
      </c>
      <c r="C10861" s="27" t="s">
        <v>19643</v>
      </c>
      <c r="D10861" s="27" t="s">
        <v>17578</v>
      </c>
      <c r="E10861" s="29">
        <v>43646</v>
      </c>
      <c r="F10861" s="27">
        <v>10</v>
      </c>
      <c r="G10861" s="18">
        <v>0</v>
      </c>
      <c r="H10861" s="27">
        <f t="shared" si="338"/>
        <v>0</v>
      </c>
      <c r="I10861" s="18">
        <v>0</v>
      </c>
      <c r="J10861" s="27">
        <v>752575.95</v>
      </c>
      <c r="K10861" s="18">
        <f t="shared" si="339"/>
        <v>0</v>
      </c>
      <c r="L10861" s="27">
        <v>35747.360000000001</v>
      </c>
      <c r="M10861" s="36">
        <v>35747.360000000001</v>
      </c>
      <c r="N10861" s="18" t="s">
        <v>123</v>
      </c>
      <c r="O10861" s="19">
        <v>752575.95</v>
      </c>
      <c r="T10861" s="41">
        <v>0</v>
      </c>
      <c r="U10861" s="41">
        <v>0</v>
      </c>
      <c r="V10861" s="42" t="s">
        <v>113</v>
      </c>
      <c r="W10861" s="42">
        <v>0</v>
      </c>
      <c r="X10861" s="42">
        <v>0</v>
      </c>
    </row>
    <row r="10862" spans="1:24">
      <c r="A10862" s="27" t="s">
        <v>19644</v>
      </c>
      <c r="B10862" s="28" t="s">
        <v>19416</v>
      </c>
      <c r="C10862" s="27" t="s">
        <v>19645</v>
      </c>
      <c r="D10862" s="27" t="s">
        <v>17578</v>
      </c>
      <c r="E10862" s="29">
        <v>43646</v>
      </c>
      <c r="F10862" s="27">
        <v>10</v>
      </c>
      <c r="G10862" s="18">
        <v>0</v>
      </c>
      <c r="H10862" s="27">
        <f t="shared" si="338"/>
        <v>0</v>
      </c>
      <c r="I10862" s="18">
        <v>0</v>
      </c>
      <c r="J10862" s="27">
        <v>33512.69</v>
      </c>
      <c r="K10862" s="18">
        <f t="shared" si="339"/>
        <v>0</v>
      </c>
      <c r="L10862" s="27">
        <v>1591.85</v>
      </c>
      <c r="M10862" s="36">
        <v>1591.85</v>
      </c>
      <c r="N10862" s="18" t="s">
        <v>123</v>
      </c>
      <c r="O10862" s="19">
        <v>33512.69</v>
      </c>
      <c r="T10862" s="41">
        <v>0</v>
      </c>
      <c r="U10862" s="41">
        <v>0</v>
      </c>
      <c r="V10862" s="42" t="s">
        <v>113</v>
      </c>
      <c r="W10862" s="42">
        <v>0</v>
      </c>
      <c r="X10862" s="42">
        <v>0</v>
      </c>
    </row>
    <row r="10863" spans="1:24">
      <c r="A10863" s="27" t="s">
        <v>19646</v>
      </c>
      <c r="B10863" s="28" t="s">
        <v>19416</v>
      </c>
      <c r="C10863" s="27" t="s">
        <v>19647</v>
      </c>
      <c r="D10863" s="27" t="s">
        <v>17578</v>
      </c>
      <c r="E10863" s="29">
        <v>43646</v>
      </c>
      <c r="F10863" s="27">
        <v>10</v>
      </c>
      <c r="G10863" s="18">
        <v>0</v>
      </c>
      <c r="H10863" s="27">
        <f t="shared" si="338"/>
        <v>0</v>
      </c>
      <c r="I10863" s="18">
        <v>0</v>
      </c>
      <c r="J10863" s="27">
        <v>14450.16</v>
      </c>
      <c r="K10863" s="18">
        <f t="shared" si="339"/>
        <v>0</v>
      </c>
      <c r="L10863" s="27">
        <v>686.38</v>
      </c>
      <c r="M10863" s="36">
        <v>686.38</v>
      </c>
      <c r="N10863" s="18" t="s">
        <v>123</v>
      </c>
      <c r="O10863" s="19">
        <v>14450.16</v>
      </c>
      <c r="T10863" s="41">
        <v>0</v>
      </c>
      <c r="U10863" s="41">
        <v>0</v>
      </c>
      <c r="V10863" s="42" t="s">
        <v>113</v>
      </c>
      <c r="W10863" s="42">
        <v>0</v>
      </c>
      <c r="X10863" s="42">
        <v>0</v>
      </c>
    </row>
    <row r="10864" spans="1:24">
      <c r="A10864" s="27" t="s">
        <v>19648</v>
      </c>
      <c r="B10864" s="28" t="s">
        <v>19416</v>
      </c>
      <c r="C10864" s="27" t="s">
        <v>19649</v>
      </c>
      <c r="D10864" s="27" t="s">
        <v>17578</v>
      </c>
      <c r="E10864" s="29">
        <v>37681</v>
      </c>
      <c r="F10864" s="27">
        <v>10</v>
      </c>
      <c r="G10864" s="18">
        <v>822762.87</v>
      </c>
      <c r="H10864" s="27">
        <f t="shared" si="338"/>
        <v>822762.87</v>
      </c>
      <c r="I10864" s="18">
        <v>781624.73</v>
      </c>
      <c r="J10864" s="27">
        <v>822762.87</v>
      </c>
      <c r="K10864" s="18">
        <f t="shared" si="339"/>
        <v>822762.87</v>
      </c>
      <c r="L10864" s="27">
        <v>781624.73</v>
      </c>
      <c r="M10864" s="36">
        <v>0</v>
      </c>
      <c r="T10864" s="41">
        <v>0</v>
      </c>
      <c r="U10864" s="41">
        <v>0</v>
      </c>
      <c r="V10864" s="42" t="s">
        <v>113</v>
      </c>
      <c r="W10864" s="42">
        <v>822762.87</v>
      </c>
      <c r="X10864" s="42">
        <v>822762.87</v>
      </c>
    </row>
    <row r="10865" spans="1:24">
      <c r="A10865" s="27" t="s">
        <v>19650</v>
      </c>
      <c r="B10865" s="28" t="s">
        <v>19416</v>
      </c>
      <c r="C10865" s="27" t="s">
        <v>19651</v>
      </c>
      <c r="D10865" s="27" t="s">
        <v>17578</v>
      </c>
      <c r="E10865" s="29">
        <v>37742</v>
      </c>
      <c r="F10865" s="27">
        <v>10</v>
      </c>
      <c r="G10865" s="18">
        <v>542561.30000000005</v>
      </c>
      <c r="H10865" s="27">
        <f t="shared" si="338"/>
        <v>542561.30000000005</v>
      </c>
      <c r="I10865" s="18">
        <v>515433.23</v>
      </c>
      <c r="J10865" s="27">
        <v>542561.30000000005</v>
      </c>
      <c r="K10865" s="18">
        <f t="shared" si="339"/>
        <v>542561.30000000005</v>
      </c>
      <c r="L10865" s="27">
        <v>515433.23</v>
      </c>
      <c r="M10865" s="36">
        <v>0</v>
      </c>
      <c r="T10865" s="41">
        <v>0</v>
      </c>
      <c r="U10865" s="41">
        <v>0</v>
      </c>
      <c r="V10865" s="42" t="s">
        <v>113</v>
      </c>
      <c r="W10865" s="42">
        <v>542561.30000000005</v>
      </c>
      <c r="X10865" s="42">
        <v>542561.30000000005</v>
      </c>
    </row>
    <row r="10866" spans="1:24">
      <c r="A10866" s="27" t="s">
        <v>19652</v>
      </c>
      <c r="B10866" s="28" t="s">
        <v>19416</v>
      </c>
      <c r="C10866" s="27" t="s">
        <v>19653</v>
      </c>
      <c r="D10866" s="27" t="s">
        <v>112</v>
      </c>
      <c r="E10866" s="29">
        <v>37742</v>
      </c>
      <c r="F10866" s="27">
        <v>10</v>
      </c>
      <c r="G10866" s="18">
        <v>25319.53</v>
      </c>
      <c r="H10866" s="27">
        <f t="shared" si="338"/>
        <v>25319.53</v>
      </c>
      <c r="I10866" s="18">
        <v>24053.55</v>
      </c>
      <c r="J10866" s="27">
        <v>25319.53</v>
      </c>
      <c r="K10866" s="18">
        <f t="shared" si="339"/>
        <v>25319.53</v>
      </c>
      <c r="L10866" s="27">
        <v>24053.55</v>
      </c>
      <c r="M10866" s="36">
        <v>0</v>
      </c>
      <c r="T10866" s="41">
        <v>0</v>
      </c>
      <c r="U10866" s="41">
        <v>0</v>
      </c>
      <c r="V10866" s="42" t="s">
        <v>113</v>
      </c>
      <c r="W10866" s="42">
        <v>25319.53</v>
      </c>
      <c r="X10866" s="42">
        <v>25319.53</v>
      </c>
    </row>
    <row r="10867" spans="1:24">
      <c r="A10867" s="27" t="s">
        <v>19654</v>
      </c>
      <c r="B10867" s="28" t="s">
        <v>19416</v>
      </c>
      <c r="C10867" s="27" t="s">
        <v>19655</v>
      </c>
      <c r="D10867" s="27" t="s">
        <v>17578</v>
      </c>
      <c r="E10867" s="29">
        <v>37742</v>
      </c>
      <c r="F10867" s="27">
        <v>10</v>
      </c>
      <c r="G10867" s="18">
        <v>10536.7</v>
      </c>
      <c r="H10867" s="27">
        <f t="shared" si="338"/>
        <v>10536.7</v>
      </c>
      <c r="I10867" s="18">
        <v>10009.86</v>
      </c>
      <c r="J10867" s="27">
        <v>10536.7</v>
      </c>
      <c r="K10867" s="18">
        <f t="shared" si="339"/>
        <v>10536.7</v>
      </c>
      <c r="L10867" s="27">
        <v>10009.86</v>
      </c>
      <c r="M10867" s="36">
        <v>0</v>
      </c>
      <c r="T10867" s="41">
        <v>0</v>
      </c>
      <c r="U10867" s="41">
        <v>0</v>
      </c>
      <c r="V10867" s="42" t="s">
        <v>113</v>
      </c>
      <c r="W10867" s="42">
        <v>10536.7</v>
      </c>
      <c r="X10867" s="42">
        <v>10536.7</v>
      </c>
    </row>
    <row r="10868" spans="1:24">
      <c r="A10868" s="27" t="s">
        <v>19656</v>
      </c>
      <c r="B10868" s="28" t="s">
        <v>19416</v>
      </c>
      <c r="C10868" s="27" t="s">
        <v>19657</v>
      </c>
      <c r="D10868" s="27" t="s">
        <v>17578</v>
      </c>
      <c r="E10868" s="29">
        <v>39539</v>
      </c>
      <c r="F10868" s="27">
        <v>10</v>
      </c>
      <c r="G10868" s="18">
        <v>884435.25</v>
      </c>
      <c r="H10868" s="27">
        <f t="shared" si="338"/>
        <v>884435.25</v>
      </c>
      <c r="I10868" s="18">
        <v>840213.49</v>
      </c>
      <c r="J10868" s="27">
        <v>884435.25</v>
      </c>
      <c r="K10868" s="18">
        <f t="shared" si="339"/>
        <v>884435.25</v>
      </c>
      <c r="L10868" s="27">
        <v>840213.49</v>
      </c>
      <c r="M10868" s="36">
        <v>0</v>
      </c>
      <c r="T10868" s="41">
        <v>0</v>
      </c>
      <c r="U10868" s="41">
        <v>0</v>
      </c>
      <c r="V10868" s="42" t="s">
        <v>113</v>
      </c>
      <c r="W10868" s="42">
        <v>884435.25</v>
      </c>
      <c r="X10868" s="42">
        <v>884435.25</v>
      </c>
    </row>
    <row r="10869" spans="1:24">
      <c r="A10869" s="27" t="s">
        <v>19658</v>
      </c>
      <c r="B10869" s="28" t="s">
        <v>19416</v>
      </c>
      <c r="C10869" s="27" t="s">
        <v>19659</v>
      </c>
      <c r="D10869" s="27" t="s">
        <v>220</v>
      </c>
      <c r="E10869" s="29">
        <v>39539</v>
      </c>
      <c r="F10869" s="27">
        <v>10</v>
      </c>
      <c r="G10869" s="18">
        <v>36973.699999999997</v>
      </c>
      <c r="H10869" s="27">
        <f t="shared" si="338"/>
        <v>36973.699999999997</v>
      </c>
      <c r="I10869" s="18">
        <v>35125.01</v>
      </c>
      <c r="J10869" s="27">
        <v>36973.699999999997</v>
      </c>
      <c r="K10869" s="18">
        <f t="shared" si="339"/>
        <v>36973.699999999997</v>
      </c>
      <c r="L10869" s="27">
        <v>35125.01</v>
      </c>
      <c r="M10869" s="36">
        <v>0</v>
      </c>
      <c r="T10869" s="41">
        <v>0</v>
      </c>
      <c r="U10869" s="41">
        <v>0</v>
      </c>
      <c r="V10869" s="42" t="s">
        <v>113</v>
      </c>
      <c r="W10869" s="42">
        <v>36973.699999999997</v>
      </c>
      <c r="X10869" s="42">
        <v>36973.699999999997</v>
      </c>
    </row>
    <row r="10870" spans="1:24">
      <c r="A10870" s="27" t="s">
        <v>19660</v>
      </c>
      <c r="B10870" s="28" t="s">
        <v>19416</v>
      </c>
      <c r="C10870" s="27" t="s">
        <v>19661</v>
      </c>
      <c r="D10870" s="27" t="s">
        <v>220</v>
      </c>
      <c r="E10870" s="29">
        <v>39539</v>
      </c>
      <c r="F10870" s="27">
        <v>10</v>
      </c>
      <c r="G10870" s="18">
        <v>16434.27</v>
      </c>
      <c r="H10870" s="27">
        <f t="shared" si="338"/>
        <v>16434.27</v>
      </c>
      <c r="I10870" s="18">
        <v>15612.56</v>
      </c>
      <c r="J10870" s="27">
        <v>16434.27</v>
      </c>
      <c r="K10870" s="18">
        <f t="shared" si="339"/>
        <v>16434.27</v>
      </c>
      <c r="L10870" s="27">
        <v>15612.56</v>
      </c>
      <c r="M10870" s="36">
        <v>0</v>
      </c>
      <c r="T10870" s="41">
        <v>0</v>
      </c>
      <c r="U10870" s="41">
        <v>0</v>
      </c>
      <c r="V10870" s="42" t="s">
        <v>113</v>
      </c>
      <c r="W10870" s="42">
        <v>16434.27</v>
      </c>
      <c r="X10870" s="42">
        <v>16434.27</v>
      </c>
    </row>
    <row r="10871" spans="1:24">
      <c r="A10871" s="27" t="s">
        <v>19662</v>
      </c>
      <c r="B10871" s="28" t="s">
        <v>19416</v>
      </c>
      <c r="C10871" s="27" t="s">
        <v>19663</v>
      </c>
      <c r="D10871" s="27" t="s">
        <v>220</v>
      </c>
      <c r="E10871" s="29">
        <v>39539</v>
      </c>
      <c r="F10871" s="27">
        <v>10</v>
      </c>
      <c r="G10871" s="18">
        <v>4621.71</v>
      </c>
      <c r="H10871" s="27">
        <f t="shared" si="338"/>
        <v>4621.71</v>
      </c>
      <c r="I10871" s="18">
        <v>4621.71</v>
      </c>
      <c r="J10871" s="27">
        <v>4621.71</v>
      </c>
      <c r="K10871" s="18">
        <f t="shared" si="339"/>
        <v>4621.71</v>
      </c>
      <c r="L10871" s="27">
        <v>4621.71</v>
      </c>
      <c r="M10871" s="36">
        <v>0</v>
      </c>
      <c r="T10871" s="41">
        <v>0</v>
      </c>
      <c r="U10871" s="41">
        <v>0</v>
      </c>
      <c r="V10871" s="42" t="s">
        <v>113</v>
      </c>
      <c r="W10871" s="42">
        <v>4621.71</v>
      </c>
      <c r="X10871" s="42">
        <v>4621.71</v>
      </c>
    </row>
    <row r="10872" spans="1:24">
      <c r="A10872" s="27" t="s">
        <v>19664</v>
      </c>
      <c r="B10872" s="28" t="s">
        <v>19416</v>
      </c>
      <c r="C10872" s="27" t="s">
        <v>19665</v>
      </c>
      <c r="D10872" s="27" t="s">
        <v>220</v>
      </c>
      <c r="E10872" s="29">
        <v>39539</v>
      </c>
      <c r="F10872" s="27">
        <v>10</v>
      </c>
      <c r="G10872" s="18">
        <v>12571.06</v>
      </c>
      <c r="H10872" s="27">
        <f t="shared" si="338"/>
        <v>12571.06</v>
      </c>
      <c r="I10872" s="18">
        <v>11942.51</v>
      </c>
      <c r="J10872" s="27">
        <v>12571.06</v>
      </c>
      <c r="K10872" s="18">
        <f t="shared" si="339"/>
        <v>12571.06</v>
      </c>
      <c r="L10872" s="27">
        <v>11942.51</v>
      </c>
      <c r="M10872" s="36">
        <v>0</v>
      </c>
      <c r="T10872" s="41">
        <v>0</v>
      </c>
      <c r="U10872" s="41">
        <v>0</v>
      </c>
      <c r="V10872" s="42" t="s">
        <v>113</v>
      </c>
      <c r="W10872" s="42">
        <v>12571.06</v>
      </c>
      <c r="X10872" s="42">
        <v>12571.06</v>
      </c>
    </row>
    <row r="10873" spans="1:24">
      <c r="A10873" s="27" t="s">
        <v>19666</v>
      </c>
      <c r="B10873" s="28" t="s">
        <v>19416</v>
      </c>
      <c r="C10873" s="27" t="s">
        <v>19667</v>
      </c>
      <c r="D10873" s="27" t="s">
        <v>118</v>
      </c>
      <c r="E10873" s="29">
        <v>38534</v>
      </c>
      <c r="F10873" s="27">
        <v>10</v>
      </c>
      <c r="G10873" s="18">
        <v>90996.29</v>
      </c>
      <c r="H10873" s="27">
        <f t="shared" si="338"/>
        <v>90996.29</v>
      </c>
      <c r="I10873" s="18">
        <v>86446.48</v>
      </c>
      <c r="J10873" s="27">
        <v>90996.29</v>
      </c>
      <c r="K10873" s="18">
        <f t="shared" si="339"/>
        <v>90996.29</v>
      </c>
      <c r="L10873" s="27">
        <v>86446.48</v>
      </c>
      <c r="M10873" s="36">
        <v>0</v>
      </c>
      <c r="T10873" s="41">
        <v>0</v>
      </c>
      <c r="U10873" s="41">
        <v>0</v>
      </c>
      <c r="V10873" s="42" t="s">
        <v>113</v>
      </c>
      <c r="W10873" s="42">
        <v>90996.29</v>
      </c>
      <c r="X10873" s="42">
        <v>90996.29</v>
      </c>
    </row>
    <row r="10874" spans="1:24">
      <c r="A10874" s="27" t="s">
        <v>19668</v>
      </c>
      <c r="B10874" s="28" t="s">
        <v>19416</v>
      </c>
      <c r="C10874" s="27" t="s">
        <v>19669</v>
      </c>
      <c r="D10874" s="27" t="s">
        <v>220</v>
      </c>
      <c r="E10874" s="29">
        <v>38534</v>
      </c>
      <c r="F10874" s="27">
        <v>10</v>
      </c>
      <c r="G10874" s="18">
        <v>31393.71</v>
      </c>
      <c r="H10874" s="27">
        <f t="shared" si="338"/>
        <v>31393.71</v>
      </c>
      <c r="I10874" s="18">
        <v>29824.02</v>
      </c>
      <c r="J10874" s="27">
        <v>31393.71</v>
      </c>
      <c r="K10874" s="18">
        <f t="shared" si="339"/>
        <v>31393.71</v>
      </c>
      <c r="L10874" s="27">
        <v>29824.02</v>
      </c>
      <c r="M10874" s="36">
        <v>0</v>
      </c>
      <c r="T10874" s="41">
        <v>0</v>
      </c>
      <c r="U10874" s="41">
        <v>0</v>
      </c>
      <c r="V10874" s="42" t="s">
        <v>113</v>
      </c>
      <c r="W10874" s="42">
        <v>31393.71</v>
      </c>
      <c r="X10874" s="42">
        <v>31393.71</v>
      </c>
    </row>
    <row r="10875" spans="1:24">
      <c r="A10875" s="27" t="s">
        <v>19670</v>
      </c>
      <c r="B10875" s="28" t="s">
        <v>19416</v>
      </c>
      <c r="C10875" s="27" t="s">
        <v>19671</v>
      </c>
      <c r="D10875" s="27" t="s">
        <v>17578</v>
      </c>
      <c r="E10875" s="29">
        <v>38534</v>
      </c>
      <c r="F10875" s="27">
        <v>10</v>
      </c>
      <c r="G10875" s="18">
        <v>122276.26</v>
      </c>
      <c r="H10875" s="27">
        <f t="shared" si="338"/>
        <v>122276.26</v>
      </c>
      <c r="I10875" s="18">
        <v>116162.45</v>
      </c>
      <c r="J10875" s="27">
        <v>122276.26</v>
      </c>
      <c r="K10875" s="18">
        <f t="shared" si="339"/>
        <v>122276.26</v>
      </c>
      <c r="L10875" s="27">
        <v>116162.45</v>
      </c>
      <c r="M10875" s="36">
        <v>0</v>
      </c>
      <c r="T10875" s="41">
        <v>0</v>
      </c>
      <c r="U10875" s="41">
        <v>0</v>
      </c>
      <c r="V10875" s="42" t="s">
        <v>113</v>
      </c>
      <c r="W10875" s="42">
        <v>122276.26</v>
      </c>
      <c r="X10875" s="42">
        <v>122276.26</v>
      </c>
    </row>
    <row r="10876" spans="1:24">
      <c r="A10876" s="27" t="s">
        <v>19672</v>
      </c>
      <c r="B10876" s="28" t="s">
        <v>19416</v>
      </c>
      <c r="C10876" s="27" t="s">
        <v>19540</v>
      </c>
      <c r="D10876" s="27" t="s">
        <v>112</v>
      </c>
      <c r="E10876" s="29">
        <v>38534</v>
      </c>
      <c r="F10876" s="27">
        <v>10</v>
      </c>
      <c r="G10876" s="18">
        <v>5687.28</v>
      </c>
      <c r="H10876" s="27">
        <f t="shared" si="338"/>
        <v>5687.28</v>
      </c>
      <c r="I10876" s="18">
        <v>5402.92</v>
      </c>
      <c r="J10876" s="27">
        <v>5687.28</v>
      </c>
      <c r="K10876" s="18">
        <f t="shared" si="339"/>
        <v>5687.28</v>
      </c>
      <c r="L10876" s="27">
        <v>5402.92</v>
      </c>
      <c r="M10876" s="36">
        <v>0</v>
      </c>
      <c r="T10876" s="41">
        <v>0</v>
      </c>
      <c r="U10876" s="41">
        <v>0</v>
      </c>
      <c r="V10876" s="42" t="s">
        <v>113</v>
      </c>
      <c r="W10876" s="42">
        <v>5687.28</v>
      </c>
      <c r="X10876" s="42">
        <v>5687.28</v>
      </c>
    </row>
    <row r="10877" spans="1:24">
      <c r="A10877" s="27" t="s">
        <v>19673</v>
      </c>
      <c r="B10877" s="28" t="s">
        <v>19416</v>
      </c>
      <c r="C10877" s="27" t="s">
        <v>19540</v>
      </c>
      <c r="D10877" s="27" t="s">
        <v>112</v>
      </c>
      <c r="E10877" s="29">
        <v>38534</v>
      </c>
      <c r="F10877" s="27">
        <v>10</v>
      </c>
      <c r="G10877" s="18">
        <v>5687.28</v>
      </c>
      <c r="H10877" s="27">
        <f t="shared" si="338"/>
        <v>5687.28</v>
      </c>
      <c r="I10877" s="18">
        <v>5402.92</v>
      </c>
      <c r="J10877" s="27">
        <v>5687.28</v>
      </c>
      <c r="K10877" s="18">
        <f t="shared" si="339"/>
        <v>5687.28</v>
      </c>
      <c r="L10877" s="27">
        <v>5402.92</v>
      </c>
      <c r="M10877" s="36">
        <v>0</v>
      </c>
      <c r="T10877" s="41">
        <v>0</v>
      </c>
      <c r="U10877" s="41">
        <v>0</v>
      </c>
      <c r="V10877" s="42" t="s">
        <v>113</v>
      </c>
      <c r="W10877" s="42">
        <v>5687.28</v>
      </c>
      <c r="X10877" s="42">
        <v>5687.28</v>
      </c>
    </row>
    <row r="10878" spans="1:24">
      <c r="A10878" s="27" t="s">
        <v>19674</v>
      </c>
      <c r="B10878" s="28" t="s">
        <v>19416</v>
      </c>
      <c r="C10878" s="27" t="s">
        <v>19540</v>
      </c>
      <c r="D10878" s="27" t="s">
        <v>112</v>
      </c>
      <c r="E10878" s="29">
        <v>38534</v>
      </c>
      <c r="F10878" s="27">
        <v>10</v>
      </c>
      <c r="G10878" s="18">
        <v>22749.07</v>
      </c>
      <c r="H10878" s="27">
        <f t="shared" si="338"/>
        <v>22749.07</v>
      </c>
      <c r="I10878" s="18">
        <v>21611.62</v>
      </c>
      <c r="J10878" s="27">
        <v>22749.07</v>
      </c>
      <c r="K10878" s="18">
        <f t="shared" si="339"/>
        <v>22749.07</v>
      </c>
      <c r="L10878" s="27">
        <v>21611.62</v>
      </c>
      <c r="M10878" s="36">
        <v>0</v>
      </c>
      <c r="T10878" s="41">
        <v>0</v>
      </c>
      <c r="U10878" s="41">
        <v>0</v>
      </c>
      <c r="V10878" s="42" t="s">
        <v>113</v>
      </c>
      <c r="W10878" s="42">
        <v>22749.07</v>
      </c>
      <c r="X10878" s="42">
        <v>22749.07</v>
      </c>
    </row>
    <row r="10879" spans="1:24">
      <c r="A10879" s="27" t="s">
        <v>19675</v>
      </c>
      <c r="B10879" s="28" t="s">
        <v>19416</v>
      </c>
      <c r="C10879" s="27" t="s">
        <v>19676</v>
      </c>
      <c r="D10879" s="27" t="s">
        <v>17578</v>
      </c>
      <c r="E10879" s="29">
        <v>38534</v>
      </c>
      <c r="F10879" s="27">
        <v>10</v>
      </c>
      <c r="G10879" s="18">
        <v>195784.19</v>
      </c>
      <c r="H10879" s="27">
        <f t="shared" si="338"/>
        <v>195784.19</v>
      </c>
      <c r="I10879" s="18">
        <v>185994.98</v>
      </c>
      <c r="J10879" s="27">
        <v>195784.19</v>
      </c>
      <c r="K10879" s="18">
        <f t="shared" si="339"/>
        <v>195784.19</v>
      </c>
      <c r="L10879" s="27">
        <v>185994.98</v>
      </c>
      <c r="M10879" s="36">
        <v>0</v>
      </c>
      <c r="T10879" s="41">
        <v>0</v>
      </c>
      <c r="U10879" s="41">
        <v>0</v>
      </c>
      <c r="V10879" s="42" t="s">
        <v>113</v>
      </c>
      <c r="W10879" s="42">
        <v>195784.19</v>
      </c>
      <c r="X10879" s="42">
        <v>195784.19</v>
      </c>
    </row>
    <row r="10880" spans="1:24">
      <c r="A10880" s="27" t="s">
        <v>19677</v>
      </c>
      <c r="B10880" s="28" t="s">
        <v>19416</v>
      </c>
      <c r="C10880" s="27" t="s">
        <v>19678</v>
      </c>
      <c r="D10880" s="27" t="s">
        <v>17578</v>
      </c>
      <c r="E10880" s="29">
        <v>38534</v>
      </c>
      <c r="F10880" s="27">
        <v>10</v>
      </c>
      <c r="G10880" s="18">
        <v>4620.8999999999996</v>
      </c>
      <c r="H10880" s="27">
        <f t="shared" si="338"/>
        <v>4620.8999999999996</v>
      </c>
      <c r="I10880" s="18">
        <v>4620.8999999999996</v>
      </c>
      <c r="J10880" s="27">
        <v>4620.8999999999996</v>
      </c>
      <c r="K10880" s="18">
        <f t="shared" si="339"/>
        <v>4620.8999999999996</v>
      </c>
      <c r="L10880" s="27">
        <v>4620.8999999999996</v>
      </c>
      <c r="M10880" s="36">
        <v>0</v>
      </c>
      <c r="T10880" s="41">
        <v>0</v>
      </c>
      <c r="U10880" s="41">
        <v>0</v>
      </c>
      <c r="V10880" s="42" t="s">
        <v>113</v>
      </c>
      <c r="W10880" s="42">
        <v>4620.8999999999996</v>
      </c>
      <c r="X10880" s="42">
        <v>4620.8999999999996</v>
      </c>
    </row>
    <row r="10881" spans="1:24">
      <c r="A10881" s="27" t="s">
        <v>19679</v>
      </c>
      <c r="B10881" s="28" t="s">
        <v>19416</v>
      </c>
      <c r="C10881" s="27" t="s">
        <v>19680</v>
      </c>
      <c r="D10881" s="27" t="s">
        <v>17578</v>
      </c>
      <c r="E10881" s="29">
        <v>38534</v>
      </c>
      <c r="F10881" s="27">
        <v>10</v>
      </c>
      <c r="G10881" s="18">
        <v>639.80999999999995</v>
      </c>
      <c r="H10881" s="27">
        <f t="shared" si="338"/>
        <v>639.80999999999995</v>
      </c>
      <c r="I10881" s="18">
        <v>639.80999999999995</v>
      </c>
      <c r="J10881" s="27">
        <v>639.80999999999995</v>
      </c>
      <c r="K10881" s="18">
        <f t="shared" si="339"/>
        <v>639.80999999999995</v>
      </c>
      <c r="L10881" s="27">
        <v>639.80999999999995</v>
      </c>
      <c r="M10881" s="36">
        <v>0</v>
      </c>
      <c r="T10881" s="41">
        <v>0</v>
      </c>
      <c r="U10881" s="41">
        <v>0</v>
      </c>
      <c r="V10881" s="42" t="s">
        <v>113</v>
      </c>
      <c r="W10881" s="42">
        <v>639.80999999999995</v>
      </c>
      <c r="X10881" s="42">
        <v>639.80999999999995</v>
      </c>
    </row>
    <row r="10882" spans="1:24">
      <c r="A10882" s="27" t="s">
        <v>19681</v>
      </c>
      <c r="B10882" s="28" t="s">
        <v>19416</v>
      </c>
      <c r="C10882" s="27" t="s">
        <v>19682</v>
      </c>
      <c r="D10882" s="27" t="s">
        <v>17578</v>
      </c>
      <c r="E10882" s="29">
        <v>38534</v>
      </c>
      <c r="F10882" s="27">
        <v>10</v>
      </c>
      <c r="G10882" s="18">
        <v>6824.72</v>
      </c>
      <c r="H10882" s="27">
        <f t="shared" si="338"/>
        <v>6824.72</v>
      </c>
      <c r="I10882" s="18">
        <v>6483.48</v>
      </c>
      <c r="J10882" s="27">
        <v>6824.72</v>
      </c>
      <c r="K10882" s="18">
        <f t="shared" si="339"/>
        <v>6824.72</v>
      </c>
      <c r="L10882" s="27">
        <v>6483.48</v>
      </c>
      <c r="M10882" s="36">
        <v>0</v>
      </c>
      <c r="T10882" s="41">
        <v>0</v>
      </c>
      <c r="U10882" s="41">
        <v>0</v>
      </c>
      <c r="V10882" s="42" t="s">
        <v>113</v>
      </c>
      <c r="W10882" s="42">
        <v>6824.72</v>
      </c>
      <c r="X10882" s="42">
        <v>6824.72</v>
      </c>
    </row>
    <row r="10883" spans="1:24">
      <c r="A10883" s="27" t="s">
        <v>19683</v>
      </c>
      <c r="B10883" s="28" t="s">
        <v>19416</v>
      </c>
      <c r="C10883" s="27" t="s">
        <v>19655</v>
      </c>
      <c r="D10883" s="27" t="s">
        <v>17578</v>
      </c>
      <c r="E10883" s="29">
        <v>38534</v>
      </c>
      <c r="F10883" s="27">
        <v>10</v>
      </c>
      <c r="G10883" s="18">
        <v>11090.17</v>
      </c>
      <c r="H10883" s="27">
        <f t="shared" si="338"/>
        <v>11090.17</v>
      </c>
      <c r="I10883" s="18">
        <v>10535.66</v>
      </c>
      <c r="J10883" s="27">
        <v>11090.17</v>
      </c>
      <c r="K10883" s="18">
        <f t="shared" si="339"/>
        <v>11090.17</v>
      </c>
      <c r="L10883" s="27">
        <v>10535.66</v>
      </c>
      <c r="M10883" s="36">
        <v>0</v>
      </c>
      <c r="T10883" s="41">
        <v>0</v>
      </c>
      <c r="U10883" s="41">
        <v>0</v>
      </c>
      <c r="V10883" s="42" t="s">
        <v>113</v>
      </c>
      <c r="W10883" s="42">
        <v>11090.17</v>
      </c>
      <c r="X10883" s="42">
        <v>11090.17</v>
      </c>
    </row>
    <row r="10884" spans="1:24">
      <c r="A10884" s="27" t="s">
        <v>19684</v>
      </c>
      <c r="B10884" s="28" t="s">
        <v>19416</v>
      </c>
      <c r="C10884" s="27" t="s">
        <v>19685</v>
      </c>
      <c r="D10884" s="27" t="s">
        <v>17578</v>
      </c>
      <c r="E10884" s="29">
        <v>38534</v>
      </c>
      <c r="F10884" s="27">
        <v>10</v>
      </c>
      <c r="G10884" s="18">
        <v>739.35</v>
      </c>
      <c r="H10884" s="27">
        <f t="shared" si="338"/>
        <v>739.35</v>
      </c>
      <c r="I10884" s="18">
        <v>739.35</v>
      </c>
      <c r="J10884" s="27">
        <v>739.35</v>
      </c>
      <c r="K10884" s="18">
        <f t="shared" si="339"/>
        <v>739.35</v>
      </c>
      <c r="L10884" s="27">
        <v>739.35</v>
      </c>
      <c r="M10884" s="36">
        <v>0</v>
      </c>
      <c r="T10884" s="41">
        <v>0</v>
      </c>
      <c r="U10884" s="41">
        <v>0</v>
      </c>
      <c r="V10884" s="42" t="s">
        <v>113</v>
      </c>
      <c r="W10884" s="42">
        <v>739.35</v>
      </c>
      <c r="X10884" s="42">
        <v>739.35</v>
      </c>
    </row>
    <row r="10885" spans="1:24">
      <c r="A10885" s="27" t="s">
        <v>19686</v>
      </c>
      <c r="B10885" s="28" t="s">
        <v>19416</v>
      </c>
      <c r="C10885" s="27" t="s">
        <v>19685</v>
      </c>
      <c r="D10885" s="27" t="s">
        <v>17578</v>
      </c>
      <c r="E10885" s="29">
        <v>38534</v>
      </c>
      <c r="F10885" s="27">
        <v>10</v>
      </c>
      <c r="G10885" s="18">
        <v>483.42</v>
      </c>
      <c r="H10885" s="27">
        <f t="shared" si="338"/>
        <v>483.42</v>
      </c>
      <c r="I10885" s="18">
        <v>483.42</v>
      </c>
      <c r="J10885" s="27">
        <v>483.42</v>
      </c>
      <c r="K10885" s="18">
        <f t="shared" si="339"/>
        <v>483.42</v>
      </c>
      <c r="L10885" s="27">
        <v>483.42</v>
      </c>
      <c r="M10885" s="36">
        <v>0</v>
      </c>
      <c r="T10885" s="41">
        <v>0</v>
      </c>
      <c r="U10885" s="41">
        <v>0</v>
      </c>
      <c r="V10885" s="42" t="s">
        <v>113</v>
      </c>
      <c r="W10885" s="42">
        <v>483.42</v>
      </c>
      <c r="X10885" s="42">
        <v>483.42</v>
      </c>
    </row>
    <row r="10886" spans="1:24">
      <c r="A10886" s="27" t="s">
        <v>19687</v>
      </c>
      <c r="B10886" s="28" t="s">
        <v>19416</v>
      </c>
      <c r="C10886" s="27" t="s">
        <v>19685</v>
      </c>
      <c r="D10886" s="27" t="s">
        <v>17578</v>
      </c>
      <c r="E10886" s="29">
        <v>38534</v>
      </c>
      <c r="F10886" s="27">
        <v>10</v>
      </c>
      <c r="G10886" s="18">
        <v>511.85</v>
      </c>
      <c r="H10886" s="27">
        <f t="shared" ref="H10886:H10949" si="340">IFERROR(IF(ROUND((G10886-I10886)/G10886,2)&lt;=0.05,G10886,0),0)</f>
        <v>511.85</v>
      </c>
      <c r="I10886" s="18">
        <v>511.85</v>
      </c>
      <c r="J10886" s="27">
        <v>511.85</v>
      </c>
      <c r="K10886" s="18">
        <f t="shared" ref="K10886:K10949" si="341">IFERROR(IF(ROUND((J10886-L10886)/J10886,2)&lt;=0.05,J10886,0),0)</f>
        <v>511.85</v>
      </c>
      <c r="L10886" s="27">
        <v>511.85</v>
      </c>
      <c r="M10886" s="36">
        <v>0</v>
      </c>
      <c r="T10886" s="41">
        <v>0</v>
      </c>
      <c r="U10886" s="41">
        <v>0</v>
      </c>
      <c r="V10886" s="42" t="s">
        <v>113</v>
      </c>
      <c r="W10886" s="42">
        <v>511.85</v>
      </c>
      <c r="X10886" s="42">
        <v>511.85</v>
      </c>
    </row>
    <row r="10887" spans="1:24">
      <c r="A10887" s="27" t="s">
        <v>19688</v>
      </c>
      <c r="B10887" s="28" t="s">
        <v>19416</v>
      </c>
      <c r="C10887" s="27" t="s">
        <v>19685</v>
      </c>
      <c r="D10887" s="27" t="s">
        <v>17578</v>
      </c>
      <c r="E10887" s="29">
        <v>38534</v>
      </c>
      <c r="F10887" s="27">
        <v>10</v>
      </c>
      <c r="G10887" s="18">
        <v>369.69</v>
      </c>
      <c r="H10887" s="27">
        <f t="shared" si="340"/>
        <v>369.69</v>
      </c>
      <c r="I10887" s="18">
        <v>369.69</v>
      </c>
      <c r="J10887" s="27">
        <v>369.69</v>
      </c>
      <c r="K10887" s="18">
        <f t="shared" si="341"/>
        <v>369.69</v>
      </c>
      <c r="L10887" s="27">
        <v>369.69</v>
      </c>
      <c r="M10887" s="36">
        <v>0</v>
      </c>
      <c r="T10887" s="41">
        <v>0</v>
      </c>
      <c r="U10887" s="41">
        <v>0</v>
      </c>
      <c r="V10887" s="42" t="s">
        <v>113</v>
      </c>
      <c r="W10887" s="42">
        <v>369.69</v>
      </c>
      <c r="X10887" s="42">
        <v>369.69</v>
      </c>
    </row>
    <row r="10888" spans="1:24">
      <c r="A10888" s="27" t="s">
        <v>19689</v>
      </c>
      <c r="B10888" s="28" t="s">
        <v>19416</v>
      </c>
      <c r="C10888" s="27" t="s">
        <v>19690</v>
      </c>
      <c r="D10888" s="27" t="s">
        <v>220</v>
      </c>
      <c r="E10888" s="29">
        <v>38534</v>
      </c>
      <c r="F10888" s="27">
        <v>10</v>
      </c>
      <c r="G10888" s="18">
        <v>3696.73</v>
      </c>
      <c r="H10888" s="27">
        <f t="shared" si="340"/>
        <v>3696.73</v>
      </c>
      <c r="I10888" s="18">
        <v>3696.73</v>
      </c>
      <c r="J10888" s="27">
        <v>3696.73</v>
      </c>
      <c r="K10888" s="18">
        <f t="shared" si="341"/>
        <v>3696.73</v>
      </c>
      <c r="L10888" s="27">
        <v>3696.73</v>
      </c>
      <c r="M10888" s="36">
        <v>0</v>
      </c>
      <c r="T10888" s="41">
        <v>0</v>
      </c>
      <c r="U10888" s="41">
        <v>0</v>
      </c>
      <c r="V10888" s="42" t="s">
        <v>113</v>
      </c>
      <c r="W10888" s="42">
        <v>3696.73</v>
      </c>
      <c r="X10888" s="42">
        <v>3696.73</v>
      </c>
    </row>
    <row r="10889" spans="1:24">
      <c r="A10889" s="27" t="s">
        <v>19691</v>
      </c>
      <c r="B10889" s="28" t="s">
        <v>19416</v>
      </c>
      <c r="C10889" s="27" t="s">
        <v>19692</v>
      </c>
      <c r="D10889" s="27" t="s">
        <v>17578</v>
      </c>
      <c r="E10889" s="29">
        <v>38687</v>
      </c>
      <c r="F10889" s="27">
        <v>10</v>
      </c>
      <c r="G10889" s="18">
        <v>1250</v>
      </c>
      <c r="H10889" s="27">
        <f t="shared" si="340"/>
        <v>1250</v>
      </c>
      <c r="I10889" s="18">
        <v>1250</v>
      </c>
      <c r="J10889" s="27">
        <v>1250</v>
      </c>
      <c r="K10889" s="18">
        <f t="shared" si="341"/>
        <v>1250</v>
      </c>
      <c r="L10889" s="27">
        <v>1250</v>
      </c>
      <c r="M10889" s="36">
        <v>0</v>
      </c>
      <c r="T10889" s="41">
        <v>0</v>
      </c>
      <c r="U10889" s="41">
        <v>0</v>
      </c>
      <c r="V10889" s="42" t="s">
        <v>113</v>
      </c>
      <c r="W10889" s="42">
        <v>1250</v>
      </c>
      <c r="X10889" s="42">
        <v>1250</v>
      </c>
    </row>
    <row r="10890" spans="1:24">
      <c r="A10890" s="27" t="s">
        <v>19693</v>
      </c>
      <c r="B10890" s="28" t="s">
        <v>19416</v>
      </c>
      <c r="C10890" s="27" t="s">
        <v>19694</v>
      </c>
      <c r="D10890" s="27" t="s">
        <v>17578</v>
      </c>
      <c r="E10890" s="29">
        <v>39600</v>
      </c>
      <c r="F10890" s="27">
        <v>10</v>
      </c>
      <c r="G10890" s="18">
        <v>869882.9</v>
      </c>
      <c r="H10890" s="27">
        <f t="shared" si="340"/>
        <v>869882.9</v>
      </c>
      <c r="I10890" s="18">
        <v>826388.75</v>
      </c>
      <c r="J10890" s="27">
        <v>869882.9</v>
      </c>
      <c r="K10890" s="18">
        <f t="shared" si="341"/>
        <v>869882.9</v>
      </c>
      <c r="L10890" s="27">
        <v>826388.75</v>
      </c>
      <c r="M10890" s="36">
        <v>0</v>
      </c>
      <c r="T10890" s="41">
        <v>0</v>
      </c>
      <c r="U10890" s="41">
        <v>0</v>
      </c>
      <c r="V10890" s="42" t="s">
        <v>113</v>
      </c>
      <c r="W10890" s="42">
        <v>869882.9</v>
      </c>
      <c r="X10890" s="42">
        <v>869882.9</v>
      </c>
    </row>
    <row r="10891" spans="1:24">
      <c r="A10891" s="27" t="s">
        <v>19695</v>
      </c>
      <c r="B10891" s="28" t="s">
        <v>19416</v>
      </c>
      <c r="C10891" s="27" t="s">
        <v>19696</v>
      </c>
      <c r="D10891" s="27" t="s">
        <v>118</v>
      </c>
      <c r="E10891" s="29">
        <v>39387</v>
      </c>
      <c r="F10891" s="27">
        <v>10</v>
      </c>
      <c r="G10891" s="18">
        <v>49345.01</v>
      </c>
      <c r="H10891" s="27">
        <f t="shared" si="340"/>
        <v>49345.01</v>
      </c>
      <c r="I10891" s="18">
        <v>46897.29</v>
      </c>
      <c r="J10891" s="27">
        <v>49345.01</v>
      </c>
      <c r="K10891" s="18">
        <f t="shared" si="341"/>
        <v>49345.01</v>
      </c>
      <c r="L10891" s="27">
        <v>46877.760000000002</v>
      </c>
      <c r="M10891" s="36">
        <v>-19.53</v>
      </c>
      <c r="T10891" s="41">
        <v>0</v>
      </c>
      <c r="U10891" s="41">
        <v>0</v>
      </c>
      <c r="V10891" s="42" t="s">
        <v>113</v>
      </c>
      <c r="W10891" s="42">
        <v>49345.01</v>
      </c>
      <c r="X10891" s="42">
        <v>49345.01</v>
      </c>
    </row>
    <row r="10892" spans="1:24">
      <c r="A10892" s="27" t="s">
        <v>19697</v>
      </c>
      <c r="B10892" s="28" t="s">
        <v>19416</v>
      </c>
      <c r="C10892" s="27" t="s">
        <v>19698</v>
      </c>
      <c r="D10892" s="27" t="s">
        <v>118</v>
      </c>
      <c r="E10892" s="29">
        <v>35765</v>
      </c>
      <c r="F10892" s="27">
        <v>10</v>
      </c>
      <c r="G10892" s="18">
        <v>50838</v>
      </c>
      <c r="H10892" s="27">
        <f t="shared" si="340"/>
        <v>50838</v>
      </c>
      <c r="I10892" s="18">
        <v>48296.1</v>
      </c>
      <c r="J10892" s="27">
        <v>50838</v>
      </c>
      <c r="K10892" s="18">
        <f t="shared" si="341"/>
        <v>50838</v>
      </c>
      <c r="L10892" s="27">
        <v>48296.1</v>
      </c>
      <c r="M10892" s="36">
        <v>0</v>
      </c>
      <c r="T10892" s="41">
        <v>0</v>
      </c>
      <c r="U10892" s="41">
        <v>0</v>
      </c>
      <c r="V10892" s="42" t="s">
        <v>113</v>
      </c>
      <c r="W10892" s="42">
        <v>50838</v>
      </c>
      <c r="X10892" s="42">
        <v>50838</v>
      </c>
    </row>
    <row r="10893" spans="1:24">
      <c r="A10893" s="27" t="s">
        <v>19699</v>
      </c>
      <c r="B10893" s="28" t="s">
        <v>19416</v>
      </c>
      <c r="C10893" s="27" t="s">
        <v>19667</v>
      </c>
      <c r="D10893" s="27" t="s">
        <v>118</v>
      </c>
      <c r="E10893" s="29">
        <v>37408</v>
      </c>
      <c r="F10893" s="27">
        <v>10</v>
      </c>
      <c r="G10893" s="18">
        <v>18804.650000000001</v>
      </c>
      <c r="H10893" s="27">
        <f t="shared" si="340"/>
        <v>18804.650000000001</v>
      </c>
      <c r="I10893" s="18">
        <v>17864.419999999998</v>
      </c>
      <c r="J10893" s="27">
        <v>18804.650000000001</v>
      </c>
      <c r="K10893" s="18">
        <f t="shared" si="341"/>
        <v>18804.650000000001</v>
      </c>
      <c r="L10893" s="27">
        <v>17864.419999999998</v>
      </c>
      <c r="M10893" s="36">
        <v>0</v>
      </c>
      <c r="T10893" s="41">
        <v>0</v>
      </c>
      <c r="U10893" s="41">
        <v>0</v>
      </c>
      <c r="V10893" s="42" t="s">
        <v>113</v>
      </c>
      <c r="W10893" s="42">
        <v>18804.650000000001</v>
      </c>
      <c r="X10893" s="42">
        <v>18804.650000000001</v>
      </c>
    </row>
    <row r="10894" spans="1:24">
      <c r="A10894" s="27" t="s">
        <v>19700</v>
      </c>
      <c r="B10894" s="28" t="s">
        <v>19416</v>
      </c>
      <c r="C10894" s="27" t="s">
        <v>19701</v>
      </c>
      <c r="D10894" s="27" t="s">
        <v>118</v>
      </c>
      <c r="E10894" s="29">
        <v>37408</v>
      </c>
      <c r="F10894" s="27">
        <v>10</v>
      </c>
      <c r="G10894" s="18">
        <v>8618.7999999999993</v>
      </c>
      <c r="H10894" s="27">
        <f t="shared" si="340"/>
        <v>8618.7999999999993</v>
      </c>
      <c r="I10894" s="18">
        <v>8187.86</v>
      </c>
      <c r="J10894" s="27">
        <v>8618.7999999999993</v>
      </c>
      <c r="K10894" s="18">
        <f t="shared" si="341"/>
        <v>8618.7999999999993</v>
      </c>
      <c r="L10894" s="27">
        <v>8187.86</v>
      </c>
      <c r="M10894" s="36">
        <v>0</v>
      </c>
      <c r="T10894" s="41">
        <v>0</v>
      </c>
      <c r="U10894" s="41">
        <v>0</v>
      </c>
      <c r="V10894" s="42" t="s">
        <v>113</v>
      </c>
      <c r="W10894" s="42">
        <v>8618.7999999999993</v>
      </c>
      <c r="X10894" s="42">
        <v>8618.7999999999993</v>
      </c>
    </row>
    <row r="10895" spans="1:24">
      <c r="A10895" s="27" t="s">
        <v>19702</v>
      </c>
      <c r="B10895" s="28" t="s">
        <v>19416</v>
      </c>
      <c r="C10895" s="27" t="s">
        <v>19703</v>
      </c>
      <c r="D10895" s="27" t="s">
        <v>220</v>
      </c>
      <c r="E10895" s="29">
        <v>37408</v>
      </c>
      <c r="F10895" s="27">
        <v>10</v>
      </c>
      <c r="G10895" s="18">
        <v>9402.32</v>
      </c>
      <c r="H10895" s="27">
        <f t="shared" si="340"/>
        <v>9402.32</v>
      </c>
      <c r="I10895" s="18">
        <v>8932.2000000000007</v>
      </c>
      <c r="J10895" s="27">
        <v>9402.32</v>
      </c>
      <c r="K10895" s="18">
        <f t="shared" si="341"/>
        <v>9402.32</v>
      </c>
      <c r="L10895" s="27">
        <v>8932.2000000000007</v>
      </c>
      <c r="M10895" s="36">
        <v>0</v>
      </c>
      <c r="T10895" s="41">
        <v>0</v>
      </c>
      <c r="U10895" s="41">
        <v>0</v>
      </c>
      <c r="V10895" s="42" t="s">
        <v>113</v>
      </c>
      <c r="W10895" s="42">
        <v>9402.32</v>
      </c>
      <c r="X10895" s="42">
        <v>9402.32</v>
      </c>
    </row>
    <row r="10896" spans="1:24">
      <c r="A10896" s="27" t="s">
        <v>19704</v>
      </c>
      <c r="B10896" s="28" t="s">
        <v>19416</v>
      </c>
      <c r="C10896" s="27" t="s">
        <v>19705</v>
      </c>
      <c r="D10896" s="27" t="s">
        <v>220</v>
      </c>
      <c r="E10896" s="29">
        <v>37408</v>
      </c>
      <c r="F10896" s="27">
        <v>10</v>
      </c>
      <c r="G10896" s="18">
        <v>5954.81</v>
      </c>
      <c r="H10896" s="27">
        <f t="shared" si="340"/>
        <v>5954.81</v>
      </c>
      <c r="I10896" s="18">
        <v>5657.07</v>
      </c>
      <c r="J10896" s="27">
        <v>5954.81</v>
      </c>
      <c r="K10896" s="18">
        <f t="shared" si="341"/>
        <v>5954.81</v>
      </c>
      <c r="L10896" s="27">
        <v>5657.07</v>
      </c>
      <c r="M10896" s="36">
        <v>0</v>
      </c>
      <c r="T10896" s="41">
        <v>0</v>
      </c>
      <c r="U10896" s="41">
        <v>0</v>
      </c>
      <c r="V10896" s="42" t="s">
        <v>113</v>
      </c>
      <c r="W10896" s="42">
        <v>5954.81</v>
      </c>
      <c r="X10896" s="42">
        <v>5954.81</v>
      </c>
    </row>
    <row r="10897" spans="1:24">
      <c r="A10897" s="27" t="s">
        <v>19706</v>
      </c>
      <c r="B10897" s="28" t="s">
        <v>19416</v>
      </c>
      <c r="C10897" s="27" t="s">
        <v>19657</v>
      </c>
      <c r="D10897" s="27" t="s">
        <v>17578</v>
      </c>
      <c r="E10897" s="29">
        <v>37316</v>
      </c>
      <c r="F10897" s="27">
        <v>10</v>
      </c>
      <c r="G10897" s="18">
        <v>250000</v>
      </c>
      <c r="H10897" s="27">
        <f t="shared" si="340"/>
        <v>250000</v>
      </c>
      <c r="I10897" s="18">
        <v>237500</v>
      </c>
      <c r="J10897" s="27">
        <v>250000</v>
      </c>
      <c r="K10897" s="18">
        <f t="shared" si="341"/>
        <v>250000</v>
      </c>
      <c r="L10897" s="27">
        <v>237500</v>
      </c>
      <c r="M10897" s="36">
        <v>0</v>
      </c>
      <c r="T10897" s="41">
        <v>0</v>
      </c>
      <c r="U10897" s="41">
        <v>0</v>
      </c>
      <c r="V10897" s="42" t="s">
        <v>113</v>
      </c>
      <c r="W10897" s="42">
        <v>250000</v>
      </c>
      <c r="X10897" s="42">
        <v>250000</v>
      </c>
    </row>
    <row r="10898" spans="1:24">
      <c r="A10898" s="27" t="s">
        <v>19707</v>
      </c>
      <c r="B10898" s="28" t="s">
        <v>19416</v>
      </c>
      <c r="C10898" s="27" t="s">
        <v>19667</v>
      </c>
      <c r="D10898" s="27" t="s">
        <v>17578</v>
      </c>
      <c r="E10898" s="29">
        <v>37316</v>
      </c>
      <c r="F10898" s="27">
        <v>10</v>
      </c>
      <c r="G10898" s="18">
        <v>40000</v>
      </c>
      <c r="H10898" s="27">
        <f t="shared" si="340"/>
        <v>40000</v>
      </c>
      <c r="I10898" s="18">
        <v>38000</v>
      </c>
      <c r="J10898" s="27">
        <v>40000</v>
      </c>
      <c r="K10898" s="18">
        <f t="shared" si="341"/>
        <v>40000</v>
      </c>
      <c r="L10898" s="27">
        <v>38000</v>
      </c>
      <c r="M10898" s="36">
        <v>0</v>
      </c>
      <c r="T10898" s="41">
        <v>0</v>
      </c>
      <c r="U10898" s="41">
        <v>0</v>
      </c>
      <c r="V10898" s="42" t="s">
        <v>113</v>
      </c>
      <c r="W10898" s="42">
        <v>40000</v>
      </c>
      <c r="X10898" s="42">
        <v>40000</v>
      </c>
    </row>
    <row r="10899" spans="1:24">
      <c r="A10899" s="27" t="s">
        <v>19708</v>
      </c>
      <c r="B10899" s="28" t="s">
        <v>19416</v>
      </c>
      <c r="C10899" s="27" t="s">
        <v>19709</v>
      </c>
      <c r="D10899" s="27" t="s">
        <v>118</v>
      </c>
      <c r="E10899" s="29">
        <v>40080</v>
      </c>
      <c r="F10899" s="27">
        <v>10</v>
      </c>
      <c r="G10899" s="18">
        <v>1137.45</v>
      </c>
      <c r="H10899" s="27">
        <f t="shared" si="340"/>
        <v>1137.45</v>
      </c>
      <c r="I10899" s="18">
        <v>1137.45</v>
      </c>
      <c r="J10899" s="27">
        <v>1137.45</v>
      </c>
      <c r="K10899" s="18">
        <f t="shared" si="341"/>
        <v>1137.45</v>
      </c>
      <c r="L10899" s="27">
        <v>1137.45</v>
      </c>
      <c r="M10899" s="36">
        <v>0</v>
      </c>
      <c r="T10899" s="41">
        <v>0</v>
      </c>
      <c r="U10899" s="41">
        <v>0</v>
      </c>
      <c r="V10899" s="42" t="s">
        <v>113</v>
      </c>
      <c r="W10899" s="42">
        <v>1137.45</v>
      </c>
      <c r="X10899" s="42">
        <v>1137.45</v>
      </c>
    </row>
    <row r="10900" spans="1:24">
      <c r="A10900" s="27" t="s">
        <v>19710</v>
      </c>
      <c r="B10900" s="28" t="s">
        <v>19416</v>
      </c>
      <c r="C10900" s="27" t="s">
        <v>19711</v>
      </c>
      <c r="D10900" s="27" t="s">
        <v>118</v>
      </c>
      <c r="E10900" s="29">
        <v>40081</v>
      </c>
      <c r="F10900" s="27">
        <v>10</v>
      </c>
      <c r="G10900" s="18">
        <v>1137.45</v>
      </c>
      <c r="H10900" s="27">
        <f t="shared" si="340"/>
        <v>1137.45</v>
      </c>
      <c r="I10900" s="18">
        <v>1137.45</v>
      </c>
      <c r="J10900" s="27">
        <v>1137.45</v>
      </c>
      <c r="K10900" s="18">
        <f t="shared" si="341"/>
        <v>1137.45</v>
      </c>
      <c r="L10900" s="27">
        <v>1137.45</v>
      </c>
      <c r="M10900" s="36">
        <v>0</v>
      </c>
      <c r="T10900" s="41">
        <v>0</v>
      </c>
      <c r="U10900" s="41">
        <v>0</v>
      </c>
      <c r="V10900" s="42" t="s">
        <v>113</v>
      </c>
      <c r="W10900" s="42">
        <v>1137.45</v>
      </c>
      <c r="X10900" s="42">
        <v>1137.45</v>
      </c>
    </row>
    <row r="10901" spans="1:24">
      <c r="A10901" s="27" t="s">
        <v>19712</v>
      </c>
      <c r="B10901" s="28" t="s">
        <v>19416</v>
      </c>
      <c r="C10901" s="27" t="s">
        <v>19713</v>
      </c>
      <c r="D10901" s="27" t="s">
        <v>118</v>
      </c>
      <c r="E10901" s="29">
        <v>40081</v>
      </c>
      <c r="F10901" s="27">
        <v>10</v>
      </c>
      <c r="G10901" s="18">
        <v>1137.45</v>
      </c>
      <c r="H10901" s="27">
        <f t="shared" si="340"/>
        <v>1137.45</v>
      </c>
      <c r="I10901" s="18">
        <v>1137.45</v>
      </c>
      <c r="J10901" s="27">
        <v>1137.45</v>
      </c>
      <c r="K10901" s="18">
        <f t="shared" si="341"/>
        <v>1137.45</v>
      </c>
      <c r="L10901" s="27">
        <v>1137.45</v>
      </c>
      <c r="M10901" s="36">
        <v>0</v>
      </c>
      <c r="T10901" s="41">
        <v>0</v>
      </c>
      <c r="U10901" s="41">
        <v>0</v>
      </c>
      <c r="V10901" s="42" t="s">
        <v>113</v>
      </c>
      <c r="W10901" s="42">
        <v>1137.45</v>
      </c>
      <c r="X10901" s="42">
        <v>1137.45</v>
      </c>
    </row>
    <row r="10902" spans="1:24">
      <c r="A10902" s="27" t="s">
        <v>19714</v>
      </c>
      <c r="B10902" s="28" t="s">
        <v>19416</v>
      </c>
      <c r="C10902" s="27" t="s">
        <v>19715</v>
      </c>
      <c r="D10902" s="27" t="s">
        <v>118</v>
      </c>
      <c r="E10902" s="29">
        <v>40081</v>
      </c>
      <c r="F10902" s="27">
        <v>10</v>
      </c>
      <c r="G10902" s="18">
        <v>1137.45</v>
      </c>
      <c r="H10902" s="27">
        <f t="shared" si="340"/>
        <v>1137.45</v>
      </c>
      <c r="I10902" s="18">
        <v>1137.45</v>
      </c>
      <c r="J10902" s="27">
        <v>1137.45</v>
      </c>
      <c r="K10902" s="18">
        <f t="shared" si="341"/>
        <v>1137.45</v>
      </c>
      <c r="L10902" s="27">
        <v>1137.45</v>
      </c>
      <c r="M10902" s="36">
        <v>0</v>
      </c>
      <c r="T10902" s="41">
        <v>0</v>
      </c>
      <c r="U10902" s="41">
        <v>0</v>
      </c>
      <c r="V10902" s="42" t="s">
        <v>113</v>
      </c>
      <c r="W10902" s="42">
        <v>1137.45</v>
      </c>
      <c r="X10902" s="42">
        <v>1137.45</v>
      </c>
    </row>
    <row r="10903" spans="1:24">
      <c r="A10903" s="27" t="s">
        <v>19716</v>
      </c>
      <c r="B10903" s="28" t="s">
        <v>19416</v>
      </c>
      <c r="C10903" s="27" t="s">
        <v>19717</v>
      </c>
      <c r="D10903" s="27" t="s">
        <v>118</v>
      </c>
      <c r="E10903" s="29">
        <v>40081</v>
      </c>
      <c r="F10903" s="27">
        <v>10</v>
      </c>
      <c r="G10903" s="18">
        <v>1137.45</v>
      </c>
      <c r="H10903" s="27">
        <f t="shared" si="340"/>
        <v>1137.45</v>
      </c>
      <c r="I10903" s="18">
        <v>1137.45</v>
      </c>
      <c r="J10903" s="27">
        <v>1137.45</v>
      </c>
      <c r="K10903" s="18">
        <f t="shared" si="341"/>
        <v>1137.45</v>
      </c>
      <c r="L10903" s="27">
        <v>1137.45</v>
      </c>
      <c r="M10903" s="36">
        <v>0</v>
      </c>
      <c r="T10903" s="41">
        <v>0</v>
      </c>
      <c r="U10903" s="41">
        <v>0</v>
      </c>
      <c r="V10903" s="42" t="s">
        <v>113</v>
      </c>
      <c r="W10903" s="42">
        <v>1137.45</v>
      </c>
      <c r="X10903" s="42">
        <v>1137.45</v>
      </c>
    </row>
    <row r="10904" spans="1:24">
      <c r="A10904" s="27" t="s">
        <v>19718</v>
      </c>
      <c r="B10904" s="28" t="s">
        <v>19416</v>
      </c>
      <c r="C10904" s="27" t="s">
        <v>19719</v>
      </c>
      <c r="D10904" s="27" t="s">
        <v>118</v>
      </c>
      <c r="E10904" s="29">
        <v>40081</v>
      </c>
      <c r="F10904" s="27">
        <v>10</v>
      </c>
      <c r="G10904" s="18">
        <v>1137.45</v>
      </c>
      <c r="H10904" s="27">
        <f t="shared" si="340"/>
        <v>1137.45</v>
      </c>
      <c r="I10904" s="18">
        <v>1137.45</v>
      </c>
      <c r="J10904" s="27">
        <v>1137.45</v>
      </c>
      <c r="K10904" s="18">
        <f t="shared" si="341"/>
        <v>1137.45</v>
      </c>
      <c r="L10904" s="27">
        <v>1137.45</v>
      </c>
      <c r="M10904" s="36">
        <v>0</v>
      </c>
      <c r="T10904" s="41">
        <v>0</v>
      </c>
      <c r="U10904" s="41">
        <v>0</v>
      </c>
      <c r="V10904" s="42" t="s">
        <v>113</v>
      </c>
      <c r="W10904" s="42">
        <v>1137.45</v>
      </c>
      <c r="X10904" s="42">
        <v>1137.45</v>
      </c>
    </row>
    <row r="10905" spans="1:24">
      <c r="A10905" s="27" t="s">
        <v>19720</v>
      </c>
      <c r="B10905" s="28" t="s">
        <v>19416</v>
      </c>
      <c r="C10905" s="27" t="s">
        <v>19721</v>
      </c>
      <c r="D10905" s="27" t="s">
        <v>220</v>
      </c>
      <c r="E10905" s="29">
        <v>40081</v>
      </c>
      <c r="F10905" s="27">
        <v>10</v>
      </c>
      <c r="G10905" s="18">
        <v>1137.45</v>
      </c>
      <c r="H10905" s="27">
        <f t="shared" si="340"/>
        <v>1137.45</v>
      </c>
      <c r="I10905" s="18">
        <v>1137.45</v>
      </c>
      <c r="J10905" s="27">
        <v>1137.45</v>
      </c>
      <c r="K10905" s="18">
        <f t="shared" si="341"/>
        <v>1137.45</v>
      </c>
      <c r="L10905" s="27">
        <v>1137.45</v>
      </c>
      <c r="M10905" s="36">
        <v>0</v>
      </c>
      <c r="T10905" s="41">
        <v>0</v>
      </c>
      <c r="U10905" s="41">
        <v>0</v>
      </c>
      <c r="V10905" s="42" t="s">
        <v>113</v>
      </c>
      <c r="W10905" s="42">
        <v>1137.45</v>
      </c>
      <c r="X10905" s="42">
        <v>1137.45</v>
      </c>
    </row>
    <row r="10906" spans="1:24">
      <c r="A10906" s="27" t="s">
        <v>19722</v>
      </c>
      <c r="B10906" s="28" t="s">
        <v>19416</v>
      </c>
      <c r="C10906" s="27" t="s">
        <v>19723</v>
      </c>
      <c r="D10906" s="27" t="s">
        <v>220</v>
      </c>
      <c r="E10906" s="29">
        <v>40081</v>
      </c>
      <c r="F10906" s="27">
        <v>10</v>
      </c>
      <c r="G10906" s="18">
        <v>1137.45</v>
      </c>
      <c r="H10906" s="27">
        <f t="shared" si="340"/>
        <v>1137.45</v>
      </c>
      <c r="I10906" s="18">
        <v>1137.45</v>
      </c>
      <c r="J10906" s="27">
        <v>1137.45</v>
      </c>
      <c r="K10906" s="18">
        <f t="shared" si="341"/>
        <v>1137.45</v>
      </c>
      <c r="L10906" s="27">
        <v>1137.45</v>
      </c>
      <c r="M10906" s="36">
        <v>0</v>
      </c>
      <c r="T10906" s="41">
        <v>0</v>
      </c>
      <c r="U10906" s="41">
        <v>0</v>
      </c>
      <c r="V10906" s="42" t="s">
        <v>113</v>
      </c>
      <c r="W10906" s="42">
        <v>1137.45</v>
      </c>
      <c r="X10906" s="42">
        <v>1137.45</v>
      </c>
    </row>
    <row r="10907" spans="1:24">
      <c r="A10907" s="27" t="s">
        <v>19724</v>
      </c>
      <c r="B10907" s="28" t="s">
        <v>19416</v>
      </c>
      <c r="C10907" s="27" t="s">
        <v>19725</v>
      </c>
      <c r="D10907" s="27" t="s">
        <v>220</v>
      </c>
      <c r="E10907" s="29">
        <v>40081</v>
      </c>
      <c r="F10907" s="27">
        <v>10</v>
      </c>
      <c r="G10907" s="18">
        <v>1137.45</v>
      </c>
      <c r="H10907" s="27">
        <f t="shared" si="340"/>
        <v>1137.45</v>
      </c>
      <c r="I10907" s="18">
        <v>1137.45</v>
      </c>
      <c r="J10907" s="27">
        <v>1137.45</v>
      </c>
      <c r="K10907" s="18">
        <f t="shared" si="341"/>
        <v>1137.45</v>
      </c>
      <c r="L10907" s="27">
        <v>1137.45</v>
      </c>
      <c r="M10907" s="36">
        <v>0</v>
      </c>
      <c r="T10907" s="41">
        <v>0</v>
      </c>
      <c r="U10907" s="41">
        <v>0</v>
      </c>
      <c r="V10907" s="42" t="s">
        <v>113</v>
      </c>
      <c r="W10907" s="42">
        <v>1137.45</v>
      </c>
      <c r="X10907" s="42">
        <v>1137.45</v>
      </c>
    </row>
    <row r="10908" spans="1:24">
      <c r="A10908" s="27" t="s">
        <v>19726</v>
      </c>
      <c r="B10908" s="28" t="s">
        <v>19416</v>
      </c>
      <c r="C10908" s="27" t="s">
        <v>19727</v>
      </c>
      <c r="D10908" s="27" t="s">
        <v>17558</v>
      </c>
      <c r="E10908" s="29">
        <v>40081</v>
      </c>
      <c r="F10908" s="27">
        <v>10</v>
      </c>
      <c r="G10908" s="18">
        <v>1137.48</v>
      </c>
      <c r="H10908" s="27">
        <f t="shared" si="340"/>
        <v>1137.48</v>
      </c>
      <c r="I10908" s="18">
        <v>1137.48</v>
      </c>
      <c r="J10908" s="27">
        <v>1137.48</v>
      </c>
      <c r="K10908" s="18">
        <f t="shared" si="341"/>
        <v>1137.48</v>
      </c>
      <c r="L10908" s="27">
        <v>1137.48</v>
      </c>
      <c r="M10908" s="36">
        <v>0</v>
      </c>
      <c r="T10908" s="41">
        <v>0</v>
      </c>
      <c r="U10908" s="41">
        <v>0</v>
      </c>
      <c r="V10908" s="42" t="s">
        <v>113</v>
      </c>
      <c r="W10908" s="42">
        <v>1137.48</v>
      </c>
      <c r="X10908" s="42">
        <v>1137.48</v>
      </c>
    </row>
    <row r="10909" spans="1:24">
      <c r="A10909" s="27" t="s">
        <v>19728</v>
      </c>
      <c r="B10909" s="28" t="s">
        <v>19416</v>
      </c>
      <c r="C10909" s="27" t="s">
        <v>19729</v>
      </c>
      <c r="D10909" s="27" t="s">
        <v>220</v>
      </c>
      <c r="E10909" s="29">
        <v>40083</v>
      </c>
      <c r="F10909" s="27">
        <v>10</v>
      </c>
      <c r="G10909" s="18">
        <v>2843.63</v>
      </c>
      <c r="H10909" s="27">
        <f t="shared" si="340"/>
        <v>2843.63</v>
      </c>
      <c r="I10909" s="18">
        <v>2843.63</v>
      </c>
      <c r="J10909" s="27">
        <v>2843.63</v>
      </c>
      <c r="K10909" s="18">
        <f t="shared" si="341"/>
        <v>2843.63</v>
      </c>
      <c r="L10909" s="27">
        <v>2843.63</v>
      </c>
      <c r="M10909" s="36">
        <v>0</v>
      </c>
      <c r="T10909" s="41">
        <v>0</v>
      </c>
      <c r="U10909" s="41">
        <v>0</v>
      </c>
      <c r="V10909" s="42" t="s">
        <v>113</v>
      </c>
      <c r="W10909" s="42">
        <v>2843.63</v>
      </c>
      <c r="X10909" s="42">
        <v>2843.63</v>
      </c>
    </row>
    <row r="10910" spans="1:24">
      <c r="A10910" s="27" t="s">
        <v>19730</v>
      </c>
      <c r="B10910" s="28" t="s">
        <v>19416</v>
      </c>
      <c r="C10910" s="27" t="s">
        <v>19731</v>
      </c>
      <c r="D10910" s="27" t="s">
        <v>220</v>
      </c>
      <c r="E10910" s="29">
        <v>40083</v>
      </c>
      <c r="F10910" s="27">
        <v>10</v>
      </c>
      <c r="G10910" s="18">
        <v>2843.63</v>
      </c>
      <c r="H10910" s="27">
        <f t="shared" si="340"/>
        <v>2843.63</v>
      </c>
      <c r="I10910" s="18">
        <v>2843.63</v>
      </c>
      <c r="J10910" s="27">
        <v>2843.63</v>
      </c>
      <c r="K10910" s="18">
        <f t="shared" si="341"/>
        <v>2843.63</v>
      </c>
      <c r="L10910" s="27">
        <v>2843.63</v>
      </c>
      <c r="M10910" s="36">
        <v>0</v>
      </c>
      <c r="T10910" s="41">
        <v>0</v>
      </c>
      <c r="U10910" s="41">
        <v>0</v>
      </c>
      <c r="V10910" s="42" t="s">
        <v>113</v>
      </c>
      <c r="W10910" s="42">
        <v>2843.63</v>
      </c>
      <c r="X10910" s="42">
        <v>2843.63</v>
      </c>
    </row>
    <row r="10911" spans="1:24">
      <c r="A10911" s="27" t="s">
        <v>19732</v>
      </c>
      <c r="B10911" s="28" t="s">
        <v>19416</v>
      </c>
      <c r="C10911" s="27" t="s">
        <v>19733</v>
      </c>
      <c r="D10911" s="27" t="s">
        <v>220</v>
      </c>
      <c r="E10911" s="29">
        <v>40083</v>
      </c>
      <c r="F10911" s="27">
        <v>10</v>
      </c>
      <c r="G10911" s="18">
        <v>2843.63</v>
      </c>
      <c r="H10911" s="27">
        <f t="shared" si="340"/>
        <v>2843.63</v>
      </c>
      <c r="I10911" s="18">
        <v>2843.63</v>
      </c>
      <c r="J10911" s="27">
        <v>2843.63</v>
      </c>
      <c r="K10911" s="18">
        <f t="shared" si="341"/>
        <v>2843.63</v>
      </c>
      <c r="L10911" s="27">
        <v>2843.63</v>
      </c>
      <c r="M10911" s="36">
        <v>0</v>
      </c>
      <c r="T10911" s="41">
        <v>0</v>
      </c>
      <c r="U10911" s="41">
        <v>0</v>
      </c>
      <c r="V10911" s="42" t="s">
        <v>113</v>
      </c>
      <c r="W10911" s="42">
        <v>2843.63</v>
      </c>
      <c r="X10911" s="42">
        <v>2843.63</v>
      </c>
    </row>
    <row r="10912" spans="1:24">
      <c r="A10912" s="27" t="s">
        <v>19734</v>
      </c>
      <c r="B10912" s="28" t="s">
        <v>19416</v>
      </c>
      <c r="C10912" s="27" t="s">
        <v>19735</v>
      </c>
      <c r="D10912" s="27" t="s">
        <v>220</v>
      </c>
      <c r="E10912" s="29">
        <v>40083</v>
      </c>
      <c r="F10912" s="27">
        <v>10</v>
      </c>
      <c r="G10912" s="18">
        <v>2843.64</v>
      </c>
      <c r="H10912" s="27">
        <f t="shared" si="340"/>
        <v>2843.64</v>
      </c>
      <c r="I10912" s="18">
        <v>2843.64</v>
      </c>
      <c r="J10912" s="27">
        <v>2843.64</v>
      </c>
      <c r="K10912" s="18">
        <f t="shared" si="341"/>
        <v>2843.64</v>
      </c>
      <c r="L10912" s="27">
        <v>2843.64</v>
      </c>
      <c r="M10912" s="36">
        <v>0</v>
      </c>
      <c r="T10912" s="41">
        <v>0</v>
      </c>
      <c r="U10912" s="41">
        <v>0</v>
      </c>
      <c r="V10912" s="42" t="s">
        <v>113</v>
      </c>
      <c r="W10912" s="42">
        <v>2843.64</v>
      </c>
      <c r="X10912" s="42">
        <v>2843.64</v>
      </c>
    </row>
    <row r="10913" spans="1:24">
      <c r="A10913" s="27" t="s">
        <v>19736</v>
      </c>
      <c r="B10913" s="28" t="s">
        <v>19416</v>
      </c>
      <c r="C10913" s="27" t="s">
        <v>19737</v>
      </c>
      <c r="D10913" s="27" t="s">
        <v>220</v>
      </c>
      <c r="E10913" s="29">
        <v>40083</v>
      </c>
      <c r="F10913" s="27">
        <v>10</v>
      </c>
      <c r="G10913" s="18">
        <v>2843.63</v>
      </c>
      <c r="H10913" s="27">
        <f t="shared" si="340"/>
        <v>2843.63</v>
      </c>
      <c r="I10913" s="18">
        <v>2843.63</v>
      </c>
      <c r="J10913" s="27">
        <v>2843.63</v>
      </c>
      <c r="K10913" s="18">
        <f t="shared" si="341"/>
        <v>2843.63</v>
      </c>
      <c r="L10913" s="27">
        <v>2843.63</v>
      </c>
      <c r="M10913" s="36">
        <v>0</v>
      </c>
      <c r="T10913" s="41">
        <v>0</v>
      </c>
      <c r="U10913" s="41">
        <v>0</v>
      </c>
      <c r="V10913" s="42" t="s">
        <v>113</v>
      </c>
      <c r="W10913" s="42">
        <v>2843.63</v>
      </c>
      <c r="X10913" s="42">
        <v>2843.63</v>
      </c>
    </row>
    <row r="10914" spans="1:24">
      <c r="A10914" s="27" t="s">
        <v>19738</v>
      </c>
      <c r="B10914" s="28" t="s">
        <v>19416</v>
      </c>
      <c r="C10914" s="27" t="s">
        <v>19739</v>
      </c>
      <c r="D10914" s="27" t="s">
        <v>17558</v>
      </c>
      <c r="E10914" s="29">
        <v>40083</v>
      </c>
      <c r="F10914" s="27">
        <v>10</v>
      </c>
      <c r="G10914" s="18">
        <v>2843.63</v>
      </c>
      <c r="H10914" s="27">
        <f t="shared" si="340"/>
        <v>2843.63</v>
      </c>
      <c r="I10914" s="18">
        <v>2843.63</v>
      </c>
      <c r="J10914" s="27">
        <v>2843.63</v>
      </c>
      <c r="K10914" s="18">
        <f t="shared" si="341"/>
        <v>2843.63</v>
      </c>
      <c r="L10914" s="27">
        <v>2843.63</v>
      </c>
      <c r="M10914" s="36">
        <v>0</v>
      </c>
      <c r="T10914" s="41">
        <v>0</v>
      </c>
      <c r="U10914" s="41">
        <v>0</v>
      </c>
      <c r="V10914" s="42" t="s">
        <v>113</v>
      </c>
      <c r="W10914" s="42">
        <v>2843.63</v>
      </c>
      <c r="X10914" s="42">
        <v>2843.63</v>
      </c>
    </row>
    <row r="10915" spans="1:24">
      <c r="A10915" s="27" t="s">
        <v>19740</v>
      </c>
      <c r="B10915" s="28" t="s">
        <v>19416</v>
      </c>
      <c r="C10915" s="27" t="s">
        <v>19741</v>
      </c>
      <c r="D10915" s="27" t="s">
        <v>220</v>
      </c>
      <c r="E10915" s="29">
        <v>40083</v>
      </c>
      <c r="F10915" s="27">
        <v>10</v>
      </c>
      <c r="G10915" s="18">
        <v>2843.63</v>
      </c>
      <c r="H10915" s="27">
        <f t="shared" si="340"/>
        <v>2843.63</v>
      </c>
      <c r="I10915" s="18">
        <v>2843.63</v>
      </c>
      <c r="J10915" s="27">
        <v>2843.63</v>
      </c>
      <c r="K10915" s="18">
        <f t="shared" si="341"/>
        <v>2843.63</v>
      </c>
      <c r="L10915" s="27">
        <v>2843.63</v>
      </c>
      <c r="M10915" s="36">
        <v>0</v>
      </c>
      <c r="T10915" s="41">
        <v>0</v>
      </c>
      <c r="U10915" s="41">
        <v>0</v>
      </c>
      <c r="V10915" s="42" t="s">
        <v>113</v>
      </c>
      <c r="W10915" s="42">
        <v>2843.63</v>
      </c>
      <c r="X10915" s="42">
        <v>2843.63</v>
      </c>
    </row>
    <row r="10916" spans="1:24">
      <c r="A10916" s="27" t="s">
        <v>19742</v>
      </c>
      <c r="B10916" s="28" t="s">
        <v>19416</v>
      </c>
      <c r="C10916" s="27" t="s">
        <v>19743</v>
      </c>
      <c r="D10916" s="27" t="s">
        <v>17558</v>
      </c>
      <c r="E10916" s="29">
        <v>40083</v>
      </c>
      <c r="F10916" s="27">
        <v>10</v>
      </c>
      <c r="G10916" s="18">
        <v>2843.64</v>
      </c>
      <c r="H10916" s="27">
        <f t="shared" si="340"/>
        <v>2843.64</v>
      </c>
      <c r="I10916" s="18">
        <v>2843.64</v>
      </c>
      <c r="J10916" s="27">
        <v>2843.64</v>
      </c>
      <c r="K10916" s="18">
        <f t="shared" si="341"/>
        <v>2843.64</v>
      </c>
      <c r="L10916" s="27">
        <v>2843.64</v>
      </c>
      <c r="M10916" s="36">
        <v>0</v>
      </c>
      <c r="T10916" s="41">
        <v>0</v>
      </c>
      <c r="U10916" s="41">
        <v>0</v>
      </c>
      <c r="V10916" s="42" t="s">
        <v>113</v>
      </c>
      <c r="W10916" s="42">
        <v>2843.64</v>
      </c>
      <c r="X10916" s="42">
        <v>2843.64</v>
      </c>
    </row>
    <row r="10917" spans="1:24">
      <c r="A10917" s="27" t="s">
        <v>19744</v>
      </c>
      <c r="B10917" s="28" t="s">
        <v>19416</v>
      </c>
      <c r="C10917" s="27" t="s">
        <v>19745</v>
      </c>
      <c r="D10917" s="27" t="s">
        <v>17578</v>
      </c>
      <c r="E10917" s="29">
        <v>40165</v>
      </c>
      <c r="F10917" s="27">
        <v>10</v>
      </c>
      <c r="G10917" s="18">
        <v>189597.78</v>
      </c>
      <c r="H10917" s="27">
        <f t="shared" si="340"/>
        <v>189597.78</v>
      </c>
      <c r="I10917" s="18">
        <v>180117.89</v>
      </c>
      <c r="J10917" s="27">
        <v>189597.78</v>
      </c>
      <c r="K10917" s="18">
        <f t="shared" si="341"/>
        <v>189597.78</v>
      </c>
      <c r="L10917" s="27">
        <v>180117.89</v>
      </c>
      <c r="M10917" s="36">
        <v>0</v>
      </c>
      <c r="T10917" s="41">
        <v>0</v>
      </c>
      <c r="U10917" s="41">
        <v>0</v>
      </c>
      <c r="V10917" s="42" t="s">
        <v>113</v>
      </c>
      <c r="W10917" s="42">
        <v>189597.78</v>
      </c>
      <c r="X10917" s="42">
        <v>189597.78</v>
      </c>
    </row>
    <row r="10918" spans="1:24">
      <c r="A10918" s="27" t="s">
        <v>19746</v>
      </c>
      <c r="B10918" s="28" t="s">
        <v>19416</v>
      </c>
      <c r="C10918" s="27" t="s">
        <v>19661</v>
      </c>
      <c r="D10918" s="27" t="s">
        <v>17578</v>
      </c>
      <c r="E10918" s="29">
        <v>39539</v>
      </c>
      <c r="F10918" s="27">
        <v>10</v>
      </c>
      <c r="G10918" s="18">
        <v>16432</v>
      </c>
      <c r="H10918" s="27">
        <f t="shared" si="340"/>
        <v>16432</v>
      </c>
      <c r="I10918" s="18">
        <v>15610.4</v>
      </c>
      <c r="J10918" s="27">
        <v>16432</v>
      </c>
      <c r="K10918" s="18">
        <f t="shared" si="341"/>
        <v>16432</v>
      </c>
      <c r="L10918" s="27">
        <v>15610.4</v>
      </c>
      <c r="M10918" s="36">
        <v>0</v>
      </c>
      <c r="T10918" s="41">
        <v>0</v>
      </c>
      <c r="U10918" s="41">
        <v>0</v>
      </c>
      <c r="V10918" s="42" t="s">
        <v>113</v>
      </c>
      <c r="W10918" s="42">
        <v>16432</v>
      </c>
      <c r="X10918" s="42">
        <v>16432</v>
      </c>
    </row>
    <row r="10919" spans="1:24">
      <c r="A10919" s="27" t="s">
        <v>19747</v>
      </c>
      <c r="B10919" s="28" t="s">
        <v>19416</v>
      </c>
      <c r="C10919" s="27" t="s">
        <v>19748</v>
      </c>
      <c r="D10919" s="27" t="s">
        <v>17578</v>
      </c>
      <c r="E10919" s="29">
        <v>39539</v>
      </c>
      <c r="F10919" s="27">
        <v>10</v>
      </c>
      <c r="G10919" s="18">
        <v>16432</v>
      </c>
      <c r="H10919" s="27">
        <f t="shared" si="340"/>
        <v>16432</v>
      </c>
      <c r="I10919" s="18">
        <v>15610.4</v>
      </c>
      <c r="J10919" s="27">
        <v>16432</v>
      </c>
      <c r="K10919" s="18">
        <f t="shared" si="341"/>
        <v>16432</v>
      </c>
      <c r="L10919" s="27">
        <v>15610.4</v>
      </c>
      <c r="M10919" s="36">
        <v>0</v>
      </c>
      <c r="T10919" s="41">
        <v>0</v>
      </c>
      <c r="U10919" s="41">
        <v>0</v>
      </c>
      <c r="V10919" s="42" t="s">
        <v>113</v>
      </c>
      <c r="W10919" s="42">
        <v>16432</v>
      </c>
      <c r="X10919" s="42">
        <v>16432</v>
      </c>
    </row>
    <row r="10920" spans="1:24">
      <c r="A10920" s="27" t="s">
        <v>19749</v>
      </c>
      <c r="B10920" s="28" t="s">
        <v>19416</v>
      </c>
      <c r="C10920" s="27" t="s">
        <v>2488</v>
      </c>
      <c r="D10920" s="27" t="s">
        <v>17578</v>
      </c>
      <c r="E10920" s="29">
        <v>39539</v>
      </c>
      <c r="F10920" s="27">
        <v>10</v>
      </c>
      <c r="G10920" s="18">
        <v>7136.78</v>
      </c>
      <c r="H10920" s="27">
        <f t="shared" si="340"/>
        <v>7136.78</v>
      </c>
      <c r="I10920" s="18">
        <v>6779.94</v>
      </c>
      <c r="J10920" s="27">
        <v>7136.78</v>
      </c>
      <c r="K10920" s="18">
        <f t="shared" si="341"/>
        <v>7136.78</v>
      </c>
      <c r="L10920" s="27">
        <v>6779.94</v>
      </c>
      <c r="M10920" s="36">
        <v>0</v>
      </c>
      <c r="T10920" s="41">
        <v>0</v>
      </c>
      <c r="U10920" s="41">
        <v>0</v>
      </c>
      <c r="V10920" s="42" t="s">
        <v>113</v>
      </c>
      <c r="W10920" s="42">
        <v>7136.78</v>
      </c>
      <c r="X10920" s="42">
        <v>7136.78</v>
      </c>
    </row>
    <row r="10921" spans="1:24">
      <c r="A10921" s="27" t="s">
        <v>19750</v>
      </c>
      <c r="B10921" s="28" t="s">
        <v>19416</v>
      </c>
      <c r="C10921" s="27" t="s">
        <v>19751</v>
      </c>
      <c r="D10921" s="27" t="s">
        <v>17578</v>
      </c>
      <c r="E10921" s="29">
        <v>39539</v>
      </c>
      <c r="F10921" s="27">
        <v>10</v>
      </c>
      <c r="G10921" s="18">
        <v>2514</v>
      </c>
      <c r="H10921" s="27">
        <f t="shared" si="340"/>
        <v>2514</v>
      </c>
      <c r="I10921" s="18">
        <v>2514</v>
      </c>
      <c r="J10921" s="27">
        <v>2514</v>
      </c>
      <c r="K10921" s="18">
        <f t="shared" si="341"/>
        <v>2514</v>
      </c>
      <c r="L10921" s="27">
        <v>2514</v>
      </c>
      <c r="M10921" s="36">
        <v>0</v>
      </c>
      <c r="T10921" s="41">
        <v>0</v>
      </c>
      <c r="U10921" s="41">
        <v>0</v>
      </c>
      <c r="V10921" s="42" t="s">
        <v>113</v>
      </c>
      <c r="W10921" s="42">
        <v>2514</v>
      </c>
      <c r="X10921" s="42">
        <v>2514</v>
      </c>
    </row>
    <row r="10922" spans="1:24">
      <c r="A10922" s="27" t="s">
        <v>19752</v>
      </c>
      <c r="B10922" s="28" t="s">
        <v>19416</v>
      </c>
      <c r="C10922" s="27" t="s">
        <v>19753</v>
      </c>
      <c r="D10922" s="27" t="s">
        <v>17578</v>
      </c>
      <c r="E10922" s="29">
        <v>39539</v>
      </c>
      <c r="F10922" s="27">
        <v>10</v>
      </c>
      <c r="G10922" s="18">
        <v>2514</v>
      </c>
      <c r="H10922" s="27">
        <f t="shared" si="340"/>
        <v>2514</v>
      </c>
      <c r="I10922" s="18">
        <v>2514</v>
      </c>
      <c r="J10922" s="27">
        <v>2514</v>
      </c>
      <c r="K10922" s="18">
        <f t="shared" si="341"/>
        <v>2514</v>
      </c>
      <c r="L10922" s="27">
        <v>2514</v>
      </c>
      <c r="M10922" s="36">
        <v>0</v>
      </c>
      <c r="T10922" s="41">
        <v>0</v>
      </c>
      <c r="U10922" s="41">
        <v>0</v>
      </c>
      <c r="V10922" s="42" t="s">
        <v>113</v>
      </c>
      <c r="W10922" s="42">
        <v>2514</v>
      </c>
      <c r="X10922" s="42">
        <v>2514</v>
      </c>
    </row>
    <row r="10923" spans="1:24">
      <c r="A10923" s="27" t="s">
        <v>19754</v>
      </c>
      <c r="B10923" s="28" t="s">
        <v>19416</v>
      </c>
      <c r="C10923" s="27" t="s">
        <v>19755</v>
      </c>
      <c r="D10923" s="27" t="s">
        <v>17578</v>
      </c>
      <c r="E10923" s="29">
        <v>39539</v>
      </c>
      <c r="F10923" s="27">
        <v>10</v>
      </c>
      <c r="G10923" s="18">
        <v>2514</v>
      </c>
      <c r="H10923" s="27">
        <f t="shared" si="340"/>
        <v>2514</v>
      </c>
      <c r="I10923" s="18">
        <v>2514</v>
      </c>
      <c r="J10923" s="27">
        <v>2514</v>
      </c>
      <c r="K10923" s="18">
        <f t="shared" si="341"/>
        <v>2514</v>
      </c>
      <c r="L10923" s="27">
        <v>2514</v>
      </c>
      <c r="M10923" s="36">
        <v>0</v>
      </c>
      <c r="T10923" s="41">
        <v>0</v>
      </c>
      <c r="U10923" s="41">
        <v>0</v>
      </c>
      <c r="V10923" s="42" t="s">
        <v>113</v>
      </c>
      <c r="W10923" s="42">
        <v>2514</v>
      </c>
      <c r="X10923" s="42">
        <v>2514</v>
      </c>
    </row>
    <row r="10924" spans="1:24">
      <c r="A10924" s="27" t="s">
        <v>19756</v>
      </c>
      <c r="B10924" s="28" t="s">
        <v>19416</v>
      </c>
      <c r="C10924" s="27" t="s">
        <v>19757</v>
      </c>
      <c r="D10924" s="27" t="s">
        <v>17578</v>
      </c>
      <c r="E10924" s="29">
        <v>39539</v>
      </c>
      <c r="F10924" s="27">
        <v>10</v>
      </c>
      <c r="G10924" s="18">
        <v>2514</v>
      </c>
      <c r="H10924" s="27">
        <f t="shared" si="340"/>
        <v>2514</v>
      </c>
      <c r="I10924" s="18">
        <v>2514</v>
      </c>
      <c r="J10924" s="27">
        <v>2514</v>
      </c>
      <c r="K10924" s="18">
        <f t="shared" si="341"/>
        <v>2514</v>
      </c>
      <c r="L10924" s="27">
        <v>2514</v>
      </c>
      <c r="M10924" s="36">
        <v>0</v>
      </c>
      <c r="T10924" s="41">
        <v>0</v>
      </c>
      <c r="U10924" s="41">
        <v>0</v>
      </c>
      <c r="V10924" s="42" t="s">
        <v>113</v>
      </c>
      <c r="W10924" s="42">
        <v>2514</v>
      </c>
      <c r="X10924" s="42">
        <v>2514</v>
      </c>
    </row>
    <row r="10925" spans="1:24">
      <c r="A10925" s="27" t="s">
        <v>19758</v>
      </c>
      <c r="B10925" s="28" t="s">
        <v>19416</v>
      </c>
      <c r="C10925" s="27" t="s">
        <v>19759</v>
      </c>
      <c r="D10925" s="27" t="s">
        <v>17578</v>
      </c>
      <c r="E10925" s="29">
        <v>37742</v>
      </c>
      <c r="F10925" s="27">
        <v>10</v>
      </c>
      <c r="G10925" s="18">
        <v>20000</v>
      </c>
      <c r="H10925" s="27">
        <f t="shared" si="340"/>
        <v>20000</v>
      </c>
      <c r="I10925" s="18">
        <v>19000</v>
      </c>
      <c r="J10925" s="27">
        <v>20000</v>
      </c>
      <c r="K10925" s="18">
        <f t="shared" si="341"/>
        <v>20000</v>
      </c>
      <c r="L10925" s="27">
        <v>19000</v>
      </c>
      <c r="M10925" s="36">
        <v>0</v>
      </c>
      <c r="T10925" s="41">
        <v>0</v>
      </c>
      <c r="U10925" s="41">
        <v>0</v>
      </c>
      <c r="V10925" s="42" t="s">
        <v>113</v>
      </c>
      <c r="W10925" s="42">
        <v>20000</v>
      </c>
      <c r="X10925" s="42">
        <v>20000</v>
      </c>
    </row>
    <row r="10926" spans="1:24">
      <c r="A10926" s="27" t="s">
        <v>19760</v>
      </c>
      <c r="B10926" s="28" t="s">
        <v>19416</v>
      </c>
      <c r="C10926" s="27" t="s">
        <v>19761</v>
      </c>
      <c r="D10926" s="27" t="s">
        <v>17578</v>
      </c>
      <c r="E10926" s="29">
        <v>42551</v>
      </c>
      <c r="F10926" s="27">
        <v>10</v>
      </c>
      <c r="G10926" s="18">
        <v>12659.95</v>
      </c>
      <c r="H10926" s="27">
        <f t="shared" si="340"/>
        <v>0</v>
      </c>
      <c r="I10926" s="18">
        <v>3006.74</v>
      </c>
      <c r="J10926" s="27">
        <v>12659.95</v>
      </c>
      <c r="K10926" s="18">
        <f t="shared" si="341"/>
        <v>0</v>
      </c>
      <c r="L10926" s="27">
        <v>4209.43</v>
      </c>
      <c r="M10926" s="36">
        <v>1202.69</v>
      </c>
      <c r="T10926" s="41">
        <v>0</v>
      </c>
      <c r="U10926" s="41">
        <v>0</v>
      </c>
      <c r="V10926" s="42" t="s">
        <v>113</v>
      </c>
      <c r="W10926" s="42">
        <v>0</v>
      </c>
      <c r="X10926" s="42">
        <v>0</v>
      </c>
    </row>
    <row r="10927" spans="1:24">
      <c r="A10927" s="27" t="s">
        <v>19762</v>
      </c>
      <c r="B10927" s="28" t="s">
        <v>19416</v>
      </c>
      <c r="C10927" s="27" t="s">
        <v>19763</v>
      </c>
      <c r="D10927" s="27" t="s">
        <v>17558</v>
      </c>
      <c r="E10927" s="29">
        <v>35795</v>
      </c>
      <c r="F10927" s="27">
        <v>10</v>
      </c>
      <c r="G10927" s="18">
        <v>9626.11</v>
      </c>
      <c r="H10927" s="27">
        <f t="shared" si="340"/>
        <v>9626.11</v>
      </c>
      <c r="I10927" s="18">
        <v>9144.7999999999993</v>
      </c>
      <c r="J10927" s="27">
        <v>9626.11</v>
      </c>
      <c r="K10927" s="18">
        <f t="shared" si="341"/>
        <v>9626.11</v>
      </c>
      <c r="L10927" s="27">
        <v>9144.7999999999993</v>
      </c>
      <c r="M10927" s="36">
        <v>0</v>
      </c>
      <c r="T10927" s="41">
        <v>0</v>
      </c>
      <c r="U10927" s="41">
        <v>0</v>
      </c>
      <c r="V10927" s="42" t="s">
        <v>113</v>
      </c>
      <c r="W10927" s="42">
        <v>9626.11</v>
      </c>
      <c r="X10927" s="42">
        <v>9626.11</v>
      </c>
    </row>
    <row r="10928" spans="1:24">
      <c r="A10928" s="27" t="s">
        <v>19764</v>
      </c>
      <c r="B10928" s="28" t="s">
        <v>19416</v>
      </c>
      <c r="C10928" s="27" t="s">
        <v>19765</v>
      </c>
      <c r="D10928" s="27" t="s">
        <v>17578</v>
      </c>
      <c r="E10928" s="29">
        <v>39539</v>
      </c>
      <c r="F10928" s="27">
        <v>10</v>
      </c>
      <c r="G10928" s="18">
        <v>300000</v>
      </c>
      <c r="H10928" s="27">
        <f t="shared" si="340"/>
        <v>300000</v>
      </c>
      <c r="I10928" s="18">
        <v>285000</v>
      </c>
      <c r="J10928" s="27">
        <v>300000</v>
      </c>
      <c r="K10928" s="18">
        <f t="shared" si="341"/>
        <v>300000</v>
      </c>
      <c r="L10928" s="27">
        <v>285000</v>
      </c>
      <c r="M10928" s="36">
        <v>0</v>
      </c>
      <c r="T10928" s="41">
        <v>0</v>
      </c>
      <c r="U10928" s="41">
        <v>0</v>
      </c>
      <c r="V10928" s="42" t="s">
        <v>113</v>
      </c>
      <c r="W10928" s="42">
        <v>300000</v>
      </c>
      <c r="X10928" s="42">
        <v>300000</v>
      </c>
    </row>
    <row r="10929" spans="1:24">
      <c r="A10929" s="27" t="s">
        <v>19766</v>
      </c>
      <c r="B10929" s="28" t="s">
        <v>19416</v>
      </c>
      <c r="C10929" s="27" t="s">
        <v>19657</v>
      </c>
      <c r="D10929" s="27" t="s">
        <v>17578</v>
      </c>
      <c r="E10929" s="29">
        <v>40544</v>
      </c>
      <c r="F10929" s="27">
        <v>10</v>
      </c>
      <c r="G10929" s="18">
        <v>616661.06999999995</v>
      </c>
      <c r="H10929" s="27">
        <f t="shared" si="340"/>
        <v>0</v>
      </c>
      <c r="I10929" s="18">
        <v>463780.51</v>
      </c>
      <c r="J10929" s="27">
        <v>616661.06999999995</v>
      </c>
      <c r="K10929" s="18">
        <f t="shared" si="341"/>
        <v>0</v>
      </c>
      <c r="L10929" s="27">
        <v>522363.31</v>
      </c>
      <c r="M10929" s="36">
        <v>58582.8</v>
      </c>
      <c r="T10929" s="41">
        <v>0</v>
      </c>
      <c r="U10929" s="41">
        <v>0</v>
      </c>
      <c r="V10929" s="42" t="s">
        <v>113</v>
      </c>
      <c r="W10929" s="42">
        <v>0</v>
      </c>
      <c r="X10929" s="42">
        <v>616661.06999999995</v>
      </c>
    </row>
    <row r="10930" spans="1:24">
      <c r="A10930" s="27" t="s">
        <v>19767</v>
      </c>
      <c r="B10930" s="28" t="s">
        <v>19416</v>
      </c>
      <c r="C10930" s="27" t="s">
        <v>19768</v>
      </c>
      <c r="D10930" s="27" t="s">
        <v>17578</v>
      </c>
      <c r="E10930" s="29">
        <v>40544</v>
      </c>
      <c r="F10930" s="27">
        <v>10</v>
      </c>
      <c r="G10930" s="18">
        <v>34109.65</v>
      </c>
      <c r="H10930" s="27">
        <f t="shared" si="340"/>
        <v>0</v>
      </c>
      <c r="I10930" s="18">
        <v>25653.31</v>
      </c>
      <c r="J10930" s="27">
        <v>34109.65</v>
      </c>
      <c r="K10930" s="18">
        <f t="shared" si="341"/>
        <v>0</v>
      </c>
      <c r="L10930" s="27">
        <v>28893.72</v>
      </c>
      <c r="M10930" s="36">
        <v>3240.41</v>
      </c>
      <c r="T10930" s="41">
        <v>0</v>
      </c>
      <c r="U10930" s="41">
        <v>0</v>
      </c>
      <c r="V10930" s="42" t="s">
        <v>113</v>
      </c>
      <c r="W10930" s="42">
        <v>0</v>
      </c>
      <c r="X10930" s="42">
        <v>34109.65</v>
      </c>
    </row>
    <row r="10931" spans="1:24">
      <c r="A10931" s="27" t="s">
        <v>19769</v>
      </c>
      <c r="B10931" s="28" t="s">
        <v>19416</v>
      </c>
      <c r="C10931" s="27" t="s">
        <v>19770</v>
      </c>
      <c r="D10931" s="27" t="s">
        <v>17578</v>
      </c>
      <c r="E10931" s="29">
        <v>40544</v>
      </c>
      <c r="F10931" s="27">
        <v>10</v>
      </c>
      <c r="G10931" s="18">
        <v>49097.23</v>
      </c>
      <c r="H10931" s="27">
        <f t="shared" si="340"/>
        <v>0</v>
      </c>
      <c r="I10931" s="18">
        <v>36925.21</v>
      </c>
      <c r="J10931" s="27">
        <v>49097.23</v>
      </c>
      <c r="K10931" s="18">
        <f t="shared" si="341"/>
        <v>0</v>
      </c>
      <c r="L10931" s="27">
        <v>41589.449999999997</v>
      </c>
      <c r="M10931" s="36">
        <v>4664.24</v>
      </c>
      <c r="T10931" s="41">
        <v>0</v>
      </c>
      <c r="U10931" s="41">
        <v>0</v>
      </c>
      <c r="V10931" s="42" t="s">
        <v>113</v>
      </c>
      <c r="W10931" s="42">
        <v>0</v>
      </c>
      <c r="X10931" s="42">
        <v>49097.23</v>
      </c>
    </row>
    <row r="10932" spans="1:24">
      <c r="A10932" s="27" t="s">
        <v>19771</v>
      </c>
      <c r="B10932" s="28" t="s">
        <v>19416</v>
      </c>
      <c r="C10932" s="27" t="s">
        <v>19772</v>
      </c>
      <c r="D10932" s="27" t="s">
        <v>17558</v>
      </c>
      <c r="E10932" s="29">
        <v>40543</v>
      </c>
      <c r="F10932" s="27">
        <v>10</v>
      </c>
      <c r="G10932" s="18">
        <v>1593292.78</v>
      </c>
      <c r="H10932" s="27">
        <f t="shared" si="340"/>
        <v>0</v>
      </c>
      <c r="I10932" s="18">
        <v>1210902.51</v>
      </c>
      <c r="J10932" s="27">
        <v>1593292.78</v>
      </c>
      <c r="K10932" s="18">
        <f t="shared" si="341"/>
        <v>0</v>
      </c>
      <c r="L10932" s="27">
        <v>1362265.33</v>
      </c>
      <c r="M10932" s="36">
        <v>151362.82</v>
      </c>
      <c r="T10932" s="41">
        <v>0</v>
      </c>
      <c r="U10932" s="41">
        <v>0</v>
      </c>
      <c r="V10932" s="42" t="s">
        <v>113</v>
      </c>
      <c r="W10932" s="42">
        <v>1593292.78</v>
      </c>
      <c r="X10932" s="42">
        <v>1593292.78</v>
      </c>
    </row>
    <row r="10933" spans="1:24">
      <c r="A10933" s="27" t="s">
        <v>19773</v>
      </c>
      <c r="B10933" s="28" t="s">
        <v>19416</v>
      </c>
      <c r="C10933" s="27" t="s">
        <v>19774</v>
      </c>
      <c r="D10933" s="27" t="s">
        <v>17578</v>
      </c>
      <c r="E10933" s="29">
        <v>41272</v>
      </c>
      <c r="F10933" s="27">
        <v>10</v>
      </c>
      <c r="G10933" s="18">
        <v>3187734.6</v>
      </c>
      <c r="H10933" s="27">
        <f t="shared" si="340"/>
        <v>0</v>
      </c>
      <c r="I10933" s="18">
        <v>1817008.73</v>
      </c>
      <c r="J10933" s="27">
        <v>3187734.6</v>
      </c>
      <c r="K10933" s="18">
        <f t="shared" si="341"/>
        <v>0</v>
      </c>
      <c r="L10933" s="27">
        <v>2119843.52</v>
      </c>
      <c r="M10933" s="36">
        <v>302834.78999999998</v>
      </c>
      <c r="T10933" s="41">
        <v>0</v>
      </c>
      <c r="U10933" s="41">
        <v>0</v>
      </c>
      <c r="V10933" s="42" t="s">
        <v>113</v>
      </c>
      <c r="W10933" s="42">
        <v>0</v>
      </c>
      <c r="X10933" s="42">
        <v>0</v>
      </c>
    </row>
    <row r="10934" spans="1:24">
      <c r="A10934" s="27" t="s">
        <v>19775</v>
      </c>
      <c r="B10934" s="28" t="s">
        <v>19416</v>
      </c>
      <c r="C10934" s="27" t="s">
        <v>19776</v>
      </c>
      <c r="D10934" s="27" t="s">
        <v>17558</v>
      </c>
      <c r="E10934" s="29">
        <v>40543</v>
      </c>
      <c r="F10934" s="27">
        <v>10</v>
      </c>
      <c r="G10934" s="18">
        <v>1228129.3700000001</v>
      </c>
      <c r="H10934" s="27">
        <f t="shared" si="340"/>
        <v>0</v>
      </c>
      <c r="I10934" s="18">
        <v>910434.31</v>
      </c>
      <c r="J10934" s="27">
        <v>1228129.3700000001</v>
      </c>
      <c r="K10934" s="18">
        <f t="shared" si="341"/>
        <v>0</v>
      </c>
      <c r="L10934" s="27">
        <v>1038578.61</v>
      </c>
      <c r="M10934" s="36">
        <v>128144.3</v>
      </c>
      <c r="T10934" s="41">
        <v>0</v>
      </c>
      <c r="U10934" s="41">
        <v>0</v>
      </c>
      <c r="V10934" s="42" t="s">
        <v>113</v>
      </c>
      <c r="W10934" s="42">
        <v>1228129.3700000001</v>
      </c>
      <c r="X10934" s="42">
        <v>1228129.3700000001</v>
      </c>
    </row>
    <row r="10935" spans="1:24">
      <c r="A10935" s="27" t="s">
        <v>19777</v>
      </c>
      <c r="B10935" s="28" t="s">
        <v>19416</v>
      </c>
      <c r="C10935" s="27" t="s">
        <v>19778</v>
      </c>
      <c r="D10935" s="27" t="s">
        <v>17578</v>
      </c>
      <c r="E10935" s="29">
        <v>40872</v>
      </c>
      <c r="F10935" s="27">
        <v>10</v>
      </c>
      <c r="G10935" s="18">
        <v>394400</v>
      </c>
      <c r="H10935" s="27">
        <f t="shared" si="340"/>
        <v>0</v>
      </c>
      <c r="I10935" s="18">
        <v>265398.33</v>
      </c>
      <c r="J10935" s="27">
        <v>394400</v>
      </c>
      <c r="K10935" s="18">
        <f t="shared" si="341"/>
        <v>0</v>
      </c>
      <c r="L10935" s="27">
        <v>302866.33</v>
      </c>
      <c r="M10935" s="36">
        <v>37468</v>
      </c>
      <c r="T10935" s="41">
        <v>0</v>
      </c>
      <c r="U10935" s="41">
        <v>0</v>
      </c>
      <c r="V10935" s="42" t="s">
        <v>113</v>
      </c>
      <c r="W10935" s="42">
        <v>0</v>
      </c>
      <c r="X10935" s="42">
        <v>394400</v>
      </c>
    </row>
    <row r="10936" spans="1:24">
      <c r="A10936" s="27" t="s">
        <v>19779</v>
      </c>
      <c r="B10936" s="28" t="s">
        <v>19416</v>
      </c>
      <c r="C10936" s="27" t="s">
        <v>19780</v>
      </c>
      <c r="D10936" s="27" t="s">
        <v>17578</v>
      </c>
      <c r="E10936" s="29">
        <v>40891</v>
      </c>
      <c r="F10936" s="27">
        <v>10</v>
      </c>
      <c r="G10936" s="18">
        <v>343704.25</v>
      </c>
      <c r="H10936" s="27">
        <f t="shared" si="340"/>
        <v>0</v>
      </c>
      <c r="I10936" s="18">
        <v>228563.33</v>
      </c>
      <c r="J10936" s="27">
        <v>343704.25</v>
      </c>
      <c r="K10936" s="18">
        <f t="shared" si="341"/>
        <v>0</v>
      </c>
      <c r="L10936" s="27">
        <v>261215.23</v>
      </c>
      <c r="M10936" s="36">
        <v>32651.9</v>
      </c>
      <c r="T10936" s="41">
        <v>0</v>
      </c>
      <c r="U10936" s="41">
        <v>0</v>
      </c>
      <c r="V10936" s="42" t="s">
        <v>113</v>
      </c>
      <c r="W10936" s="42">
        <v>0</v>
      </c>
      <c r="X10936" s="42">
        <v>343704.25</v>
      </c>
    </row>
    <row r="10937" spans="1:24">
      <c r="A10937" s="27" t="s">
        <v>19781</v>
      </c>
      <c r="B10937" s="28" t="s">
        <v>19416</v>
      </c>
      <c r="C10937" s="27" t="s">
        <v>19782</v>
      </c>
      <c r="D10937" s="27" t="s">
        <v>17578</v>
      </c>
      <c r="E10937" s="29">
        <v>40897</v>
      </c>
      <c r="F10937" s="27">
        <v>10</v>
      </c>
      <c r="G10937" s="18">
        <v>161936.73000000001</v>
      </c>
      <c r="H10937" s="27">
        <f t="shared" si="340"/>
        <v>0</v>
      </c>
      <c r="I10937" s="18">
        <v>107687.93</v>
      </c>
      <c r="J10937" s="27">
        <v>161936.73000000001</v>
      </c>
      <c r="K10937" s="18">
        <f t="shared" si="341"/>
        <v>0</v>
      </c>
      <c r="L10937" s="27">
        <v>123071.92</v>
      </c>
      <c r="M10937" s="36">
        <v>15383.99</v>
      </c>
      <c r="T10937" s="41">
        <v>0</v>
      </c>
      <c r="U10937" s="41">
        <v>0</v>
      </c>
      <c r="V10937" s="42" t="s">
        <v>113</v>
      </c>
      <c r="W10937" s="42">
        <v>0</v>
      </c>
      <c r="X10937" s="42">
        <v>161936.73000000001</v>
      </c>
    </row>
    <row r="10938" spans="1:24">
      <c r="A10938" s="27" t="s">
        <v>19783</v>
      </c>
      <c r="B10938" s="28" t="s">
        <v>19416</v>
      </c>
      <c r="C10938" s="27" t="s">
        <v>19784</v>
      </c>
      <c r="D10938" s="27" t="s">
        <v>17558</v>
      </c>
      <c r="E10938" s="29">
        <v>35430</v>
      </c>
      <c r="F10938" s="27">
        <v>10</v>
      </c>
      <c r="G10938" s="18">
        <v>108654</v>
      </c>
      <c r="H10938" s="27">
        <f t="shared" si="340"/>
        <v>108654</v>
      </c>
      <c r="I10938" s="18">
        <v>103221.3</v>
      </c>
      <c r="J10938" s="27">
        <v>108654</v>
      </c>
      <c r="K10938" s="18">
        <f t="shared" si="341"/>
        <v>108654</v>
      </c>
      <c r="L10938" s="27">
        <v>103221.3</v>
      </c>
      <c r="M10938" s="36">
        <v>0</v>
      </c>
      <c r="T10938" s="41">
        <v>0</v>
      </c>
      <c r="U10938" s="41">
        <v>0</v>
      </c>
      <c r="V10938" s="42" t="s">
        <v>113</v>
      </c>
      <c r="W10938" s="42">
        <v>108654</v>
      </c>
      <c r="X10938" s="42">
        <v>108654</v>
      </c>
    </row>
    <row r="10939" spans="1:24">
      <c r="A10939" s="27" t="s">
        <v>19785</v>
      </c>
      <c r="B10939" s="28" t="s">
        <v>19416</v>
      </c>
      <c r="C10939" s="27" t="s">
        <v>19786</v>
      </c>
      <c r="D10939" s="27" t="s">
        <v>17558</v>
      </c>
      <c r="E10939" s="29">
        <v>35795</v>
      </c>
      <c r="F10939" s="27">
        <v>10</v>
      </c>
      <c r="G10939" s="18">
        <v>100303</v>
      </c>
      <c r="H10939" s="27">
        <f t="shared" si="340"/>
        <v>100303</v>
      </c>
      <c r="I10939" s="18">
        <v>95287.85</v>
      </c>
      <c r="J10939" s="27">
        <v>100303</v>
      </c>
      <c r="K10939" s="18">
        <f t="shared" si="341"/>
        <v>100303</v>
      </c>
      <c r="L10939" s="27">
        <v>95287.85</v>
      </c>
      <c r="M10939" s="36">
        <v>0</v>
      </c>
      <c r="T10939" s="41">
        <v>0</v>
      </c>
      <c r="U10939" s="41">
        <v>0</v>
      </c>
      <c r="V10939" s="42" t="s">
        <v>113</v>
      </c>
      <c r="W10939" s="42">
        <v>100303</v>
      </c>
      <c r="X10939" s="42">
        <v>100303</v>
      </c>
    </row>
    <row r="10940" spans="1:24">
      <c r="A10940" s="27" t="s">
        <v>19787</v>
      </c>
      <c r="B10940" s="28" t="s">
        <v>19416</v>
      </c>
      <c r="C10940" s="27" t="s">
        <v>19788</v>
      </c>
      <c r="D10940" s="27" t="s">
        <v>17558</v>
      </c>
      <c r="E10940" s="29">
        <v>35795</v>
      </c>
      <c r="F10940" s="27">
        <v>10</v>
      </c>
      <c r="G10940" s="18">
        <v>138</v>
      </c>
      <c r="H10940" s="27">
        <f t="shared" si="340"/>
        <v>138</v>
      </c>
      <c r="I10940" s="18">
        <v>138</v>
      </c>
      <c r="J10940" s="27">
        <v>138</v>
      </c>
      <c r="K10940" s="18">
        <f t="shared" si="341"/>
        <v>138</v>
      </c>
      <c r="L10940" s="27">
        <v>138</v>
      </c>
      <c r="M10940" s="36">
        <v>0</v>
      </c>
      <c r="T10940" s="41">
        <v>0</v>
      </c>
      <c r="U10940" s="41">
        <v>0</v>
      </c>
      <c r="V10940" s="42" t="s">
        <v>113</v>
      </c>
      <c r="W10940" s="42">
        <v>138</v>
      </c>
      <c r="X10940" s="42">
        <v>138</v>
      </c>
    </row>
    <row r="10941" spans="1:24">
      <c r="A10941" s="27" t="s">
        <v>19789</v>
      </c>
      <c r="B10941" s="28" t="s">
        <v>19416</v>
      </c>
      <c r="C10941" s="27" t="s">
        <v>19790</v>
      </c>
      <c r="D10941" s="27" t="s">
        <v>17558</v>
      </c>
      <c r="E10941" s="29">
        <v>35795</v>
      </c>
      <c r="F10941" s="27">
        <v>10</v>
      </c>
      <c r="G10941" s="18">
        <v>42213</v>
      </c>
      <c r="H10941" s="27">
        <f t="shared" si="340"/>
        <v>42213</v>
      </c>
      <c r="I10941" s="18">
        <v>40102.35</v>
      </c>
      <c r="J10941" s="27">
        <v>42213</v>
      </c>
      <c r="K10941" s="18">
        <f t="shared" si="341"/>
        <v>42213</v>
      </c>
      <c r="L10941" s="27">
        <v>40102.35</v>
      </c>
      <c r="M10941" s="36">
        <v>0</v>
      </c>
      <c r="T10941" s="41">
        <v>0</v>
      </c>
      <c r="U10941" s="41">
        <v>0</v>
      </c>
      <c r="V10941" s="42" t="s">
        <v>113</v>
      </c>
      <c r="W10941" s="42">
        <v>42213</v>
      </c>
      <c r="X10941" s="42">
        <v>42213</v>
      </c>
    </row>
    <row r="10942" spans="1:24">
      <c r="A10942" s="27" t="s">
        <v>19791</v>
      </c>
      <c r="B10942" s="28" t="s">
        <v>19416</v>
      </c>
      <c r="C10942" s="27" t="s">
        <v>19792</v>
      </c>
      <c r="D10942" s="27" t="s">
        <v>17558</v>
      </c>
      <c r="E10942" s="29">
        <v>35795</v>
      </c>
      <c r="F10942" s="27">
        <v>10</v>
      </c>
      <c r="G10942" s="18">
        <v>150</v>
      </c>
      <c r="H10942" s="27">
        <f t="shared" si="340"/>
        <v>150</v>
      </c>
      <c r="I10942" s="18">
        <v>150</v>
      </c>
      <c r="J10942" s="27">
        <v>150</v>
      </c>
      <c r="K10942" s="18">
        <f t="shared" si="341"/>
        <v>150</v>
      </c>
      <c r="L10942" s="27">
        <v>150</v>
      </c>
      <c r="M10942" s="36">
        <v>0</v>
      </c>
      <c r="T10942" s="41">
        <v>0</v>
      </c>
      <c r="U10942" s="41">
        <v>0</v>
      </c>
      <c r="V10942" s="42" t="s">
        <v>113</v>
      </c>
      <c r="W10942" s="42">
        <v>150</v>
      </c>
      <c r="X10942" s="42">
        <v>150</v>
      </c>
    </row>
    <row r="10943" spans="1:24">
      <c r="A10943" s="27" t="s">
        <v>19793</v>
      </c>
      <c r="B10943" s="28" t="s">
        <v>19416</v>
      </c>
      <c r="C10943" s="27" t="s">
        <v>19455</v>
      </c>
      <c r="D10943" s="27" t="s">
        <v>17558</v>
      </c>
      <c r="E10943" s="29">
        <v>36525</v>
      </c>
      <c r="F10943" s="27">
        <v>10</v>
      </c>
      <c r="G10943" s="18">
        <v>4480</v>
      </c>
      <c r="H10943" s="27">
        <f t="shared" si="340"/>
        <v>4480</v>
      </c>
      <c r="I10943" s="18">
        <v>4480</v>
      </c>
      <c r="J10943" s="27">
        <v>4480</v>
      </c>
      <c r="K10943" s="18">
        <f t="shared" si="341"/>
        <v>4480</v>
      </c>
      <c r="L10943" s="27">
        <v>4480</v>
      </c>
      <c r="M10943" s="36">
        <v>0</v>
      </c>
      <c r="T10943" s="41">
        <v>0</v>
      </c>
      <c r="U10943" s="41">
        <v>0</v>
      </c>
      <c r="V10943" s="42" t="s">
        <v>113</v>
      </c>
      <c r="W10943" s="42">
        <v>4480</v>
      </c>
      <c r="X10943" s="42">
        <v>4480</v>
      </c>
    </row>
    <row r="10944" spans="1:24">
      <c r="A10944" s="27" t="s">
        <v>19794</v>
      </c>
      <c r="B10944" s="28" t="s">
        <v>19416</v>
      </c>
      <c r="C10944" s="27" t="s">
        <v>19455</v>
      </c>
      <c r="D10944" s="27" t="s">
        <v>17558</v>
      </c>
      <c r="E10944" s="29">
        <v>36219</v>
      </c>
      <c r="F10944" s="27">
        <v>10</v>
      </c>
      <c r="G10944" s="18">
        <v>16640</v>
      </c>
      <c r="H10944" s="27">
        <f t="shared" si="340"/>
        <v>16640</v>
      </c>
      <c r="I10944" s="18">
        <v>15808</v>
      </c>
      <c r="J10944" s="27">
        <v>16640</v>
      </c>
      <c r="K10944" s="18">
        <f t="shared" si="341"/>
        <v>16640</v>
      </c>
      <c r="L10944" s="27">
        <v>15808</v>
      </c>
      <c r="M10944" s="36">
        <v>0</v>
      </c>
      <c r="T10944" s="41">
        <v>0</v>
      </c>
      <c r="U10944" s="41">
        <v>0</v>
      </c>
      <c r="V10944" s="42" t="s">
        <v>113</v>
      </c>
      <c r="W10944" s="42">
        <v>16640</v>
      </c>
      <c r="X10944" s="42">
        <v>16640</v>
      </c>
    </row>
    <row r="10945" spans="1:24">
      <c r="A10945" s="27" t="s">
        <v>19795</v>
      </c>
      <c r="B10945" s="28" t="s">
        <v>19416</v>
      </c>
      <c r="C10945" s="27" t="s">
        <v>19796</v>
      </c>
      <c r="D10945" s="27" t="s">
        <v>17558</v>
      </c>
      <c r="E10945" s="29">
        <v>36799</v>
      </c>
      <c r="F10945" s="27">
        <v>10</v>
      </c>
      <c r="G10945" s="18">
        <v>33090.01</v>
      </c>
      <c r="H10945" s="27">
        <f t="shared" si="340"/>
        <v>33090.01</v>
      </c>
      <c r="I10945" s="18">
        <v>31435.51</v>
      </c>
      <c r="J10945" s="27">
        <v>33090.01</v>
      </c>
      <c r="K10945" s="18">
        <f t="shared" si="341"/>
        <v>33090.01</v>
      </c>
      <c r="L10945" s="27">
        <v>31435.51</v>
      </c>
      <c r="M10945" s="36">
        <v>0</v>
      </c>
      <c r="T10945" s="41">
        <v>0</v>
      </c>
      <c r="U10945" s="41">
        <v>0</v>
      </c>
      <c r="V10945" s="42" t="s">
        <v>113</v>
      </c>
      <c r="W10945" s="42">
        <v>33090.01</v>
      </c>
      <c r="X10945" s="42">
        <v>33090.01</v>
      </c>
    </row>
    <row r="10946" spans="1:24">
      <c r="A10946" s="27" t="s">
        <v>19797</v>
      </c>
      <c r="B10946" s="28" t="s">
        <v>19416</v>
      </c>
      <c r="C10946" s="27" t="s">
        <v>19798</v>
      </c>
      <c r="D10946" s="27" t="s">
        <v>17558</v>
      </c>
      <c r="E10946" s="29">
        <v>35795</v>
      </c>
      <c r="F10946" s="27">
        <v>10</v>
      </c>
      <c r="G10946" s="18">
        <v>4300</v>
      </c>
      <c r="H10946" s="27">
        <f t="shared" si="340"/>
        <v>4300</v>
      </c>
      <c r="I10946" s="18">
        <v>4300</v>
      </c>
      <c r="J10946" s="27">
        <v>4300</v>
      </c>
      <c r="K10946" s="18">
        <f t="shared" si="341"/>
        <v>4300</v>
      </c>
      <c r="L10946" s="27">
        <v>4300</v>
      </c>
      <c r="M10946" s="36">
        <v>0</v>
      </c>
      <c r="T10946" s="41">
        <v>0</v>
      </c>
      <c r="U10946" s="41">
        <v>0</v>
      </c>
      <c r="V10946" s="42" t="s">
        <v>113</v>
      </c>
      <c r="W10946" s="42">
        <v>4300</v>
      </c>
      <c r="X10946" s="42">
        <v>4300</v>
      </c>
    </row>
    <row r="10947" spans="1:24">
      <c r="A10947" s="27" t="s">
        <v>19799</v>
      </c>
      <c r="B10947" s="28" t="s">
        <v>19416</v>
      </c>
      <c r="C10947" s="27" t="s">
        <v>19800</v>
      </c>
      <c r="D10947" s="27" t="s">
        <v>17578</v>
      </c>
      <c r="E10947" s="29">
        <v>41212</v>
      </c>
      <c r="F10947" s="27">
        <v>10</v>
      </c>
      <c r="G10947" s="18">
        <v>147664.21</v>
      </c>
      <c r="H10947" s="27">
        <f t="shared" si="340"/>
        <v>0</v>
      </c>
      <c r="I10947" s="18">
        <v>86506.62</v>
      </c>
      <c r="J10947" s="27">
        <v>147664.21</v>
      </c>
      <c r="K10947" s="18">
        <f t="shared" si="341"/>
        <v>0</v>
      </c>
      <c r="L10947" s="27">
        <v>100534.72</v>
      </c>
      <c r="M10947" s="36">
        <v>14028.1</v>
      </c>
      <c r="T10947" s="41">
        <v>0</v>
      </c>
      <c r="U10947" s="41">
        <v>0</v>
      </c>
      <c r="V10947" s="42" t="s">
        <v>113</v>
      </c>
      <c r="W10947" s="42">
        <v>0</v>
      </c>
      <c r="X10947" s="42">
        <v>0</v>
      </c>
    </row>
    <row r="10948" spans="1:24">
      <c r="A10948" s="27" t="s">
        <v>19801</v>
      </c>
      <c r="B10948" s="28" t="s">
        <v>19416</v>
      </c>
      <c r="C10948" s="27" t="s">
        <v>19802</v>
      </c>
      <c r="D10948" s="27" t="s">
        <v>17578</v>
      </c>
      <c r="E10948" s="29">
        <v>39539</v>
      </c>
      <c r="F10948" s="27">
        <v>10</v>
      </c>
      <c r="G10948" s="18">
        <v>20000</v>
      </c>
      <c r="H10948" s="27">
        <f t="shared" si="340"/>
        <v>20000</v>
      </c>
      <c r="I10948" s="18">
        <v>19000</v>
      </c>
      <c r="J10948" s="27">
        <v>20000</v>
      </c>
      <c r="K10948" s="18">
        <f t="shared" si="341"/>
        <v>20000</v>
      </c>
      <c r="L10948" s="27">
        <v>19000</v>
      </c>
      <c r="M10948" s="36">
        <v>0</v>
      </c>
      <c r="T10948" s="41">
        <v>0</v>
      </c>
      <c r="U10948" s="41">
        <v>0</v>
      </c>
      <c r="V10948" s="42" t="s">
        <v>113</v>
      </c>
      <c r="W10948" s="42">
        <v>20000</v>
      </c>
      <c r="X10948" s="42">
        <v>20000</v>
      </c>
    </row>
    <row r="10949" spans="1:24">
      <c r="A10949" s="27" t="s">
        <v>19803</v>
      </c>
      <c r="B10949" s="28" t="s">
        <v>19416</v>
      </c>
      <c r="C10949" s="27" t="s">
        <v>19804</v>
      </c>
      <c r="D10949" s="27" t="s">
        <v>17578</v>
      </c>
      <c r="E10949" s="29">
        <v>40268</v>
      </c>
      <c r="F10949" s="27">
        <v>10</v>
      </c>
      <c r="G10949" s="18">
        <v>115691.45</v>
      </c>
      <c r="H10949" s="27">
        <f t="shared" si="340"/>
        <v>0</v>
      </c>
      <c r="I10949" s="18">
        <v>108978.37</v>
      </c>
      <c r="J10949" s="27">
        <v>115691.45</v>
      </c>
      <c r="K10949" s="18">
        <f t="shared" si="341"/>
        <v>115691.45</v>
      </c>
      <c r="L10949" s="27">
        <v>109721.18</v>
      </c>
      <c r="M10949" s="36">
        <v>742.81</v>
      </c>
      <c r="T10949" s="41">
        <v>0</v>
      </c>
      <c r="U10949" s="41">
        <v>0</v>
      </c>
      <c r="V10949" s="42" t="s">
        <v>113</v>
      </c>
      <c r="W10949" s="42">
        <v>115691.45</v>
      </c>
      <c r="X10949" s="42">
        <v>115691.45</v>
      </c>
    </row>
    <row r="10950" spans="1:24">
      <c r="A10950" s="27" t="s">
        <v>19805</v>
      </c>
      <c r="B10950" s="28" t="s">
        <v>19416</v>
      </c>
      <c r="C10950" s="27" t="s">
        <v>19806</v>
      </c>
      <c r="D10950" s="27" t="s">
        <v>17558</v>
      </c>
      <c r="E10950" s="29">
        <v>35795</v>
      </c>
      <c r="F10950" s="27">
        <v>10</v>
      </c>
      <c r="G10950" s="18">
        <v>7200</v>
      </c>
      <c r="H10950" s="27">
        <f t="shared" ref="H10950:H11013" si="342">IFERROR(IF(ROUND((G10950-I10950)/G10950,2)&lt;=0.05,G10950,0),0)</f>
        <v>7200</v>
      </c>
      <c r="I10950" s="18">
        <v>6840</v>
      </c>
      <c r="J10950" s="27">
        <v>7200</v>
      </c>
      <c r="K10950" s="18">
        <f t="shared" ref="K10950:K11013" si="343">IFERROR(IF(ROUND((J10950-L10950)/J10950,2)&lt;=0.05,J10950,0),0)</f>
        <v>7200</v>
      </c>
      <c r="L10950" s="27">
        <v>6840</v>
      </c>
      <c r="M10950" s="36">
        <v>0</v>
      </c>
      <c r="T10950" s="41">
        <v>0</v>
      </c>
      <c r="U10950" s="41">
        <v>0</v>
      </c>
      <c r="V10950" s="42" t="s">
        <v>113</v>
      </c>
      <c r="W10950" s="42">
        <v>7200</v>
      </c>
      <c r="X10950" s="42">
        <v>7200</v>
      </c>
    </row>
    <row r="10951" spans="1:24">
      <c r="A10951" s="27" t="s">
        <v>19807</v>
      </c>
      <c r="B10951" s="28" t="s">
        <v>19416</v>
      </c>
      <c r="C10951" s="27" t="s">
        <v>19808</v>
      </c>
      <c r="D10951" s="27" t="s">
        <v>17558</v>
      </c>
      <c r="E10951" s="29">
        <v>35795</v>
      </c>
      <c r="F10951" s="27">
        <v>10</v>
      </c>
      <c r="G10951" s="18">
        <v>7200</v>
      </c>
      <c r="H10951" s="27">
        <f t="shared" si="342"/>
        <v>7200</v>
      </c>
      <c r="I10951" s="18">
        <v>6840</v>
      </c>
      <c r="J10951" s="27">
        <v>7200</v>
      </c>
      <c r="K10951" s="18">
        <f t="shared" si="343"/>
        <v>7200</v>
      </c>
      <c r="L10951" s="27">
        <v>6840</v>
      </c>
      <c r="M10951" s="36">
        <v>0</v>
      </c>
      <c r="T10951" s="41">
        <v>0</v>
      </c>
      <c r="U10951" s="41">
        <v>0</v>
      </c>
      <c r="V10951" s="42" t="s">
        <v>113</v>
      </c>
      <c r="W10951" s="42">
        <v>7200</v>
      </c>
      <c r="X10951" s="42">
        <v>7200</v>
      </c>
    </row>
    <row r="10952" spans="1:24">
      <c r="A10952" s="27" t="s">
        <v>19809</v>
      </c>
      <c r="B10952" s="28" t="s">
        <v>19416</v>
      </c>
      <c r="C10952" s="27" t="s">
        <v>19810</v>
      </c>
      <c r="D10952" s="27" t="s">
        <v>17558</v>
      </c>
      <c r="E10952" s="29">
        <v>35795</v>
      </c>
      <c r="F10952" s="27">
        <v>10</v>
      </c>
      <c r="G10952" s="18">
        <v>7200</v>
      </c>
      <c r="H10952" s="27">
        <f t="shared" si="342"/>
        <v>7200</v>
      </c>
      <c r="I10952" s="18">
        <v>6840</v>
      </c>
      <c r="J10952" s="27">
        <v>7200</v>
      </c>
      <c r="K10952" s="18">
        <f t="shared" si="343"/>
        <v>7200</v>
      </c>
      <c r="L10952" s="27">
        <v>6840</v>
      </c>
      <c r="M10952" s="36">
        <v>0</v>
      </c>
      <c r="T10952" s="41">
        <v>0</v>
      </c>
      <c r="U10952" s="41">
        <v>0</v>
      </c>
      <c r="V10952" s="42" t="s">
        <v>113</v>
      </c>
      <c r="W10952" s="42">
        <v>7200</v>
      </c>
      <c r="X10952" s="42">
        <v>7200</v>
      </c>
    </row>
    <row r="10953" spans="1:24">
      <c r="A10953" s="27" t="s">
        <v>19811</v>
      </c>
      <c r="B10953" s="28" t="s">
        <v>19416</v>
      </c>
      <c r="C10953" s="27" t="s">
        <v>19812</v>
      </c>
      <c r="D10953" s="27" t="s">
        <v>17558</v>
      </c>
      <c r="E10953" s="29">
        <v>35795</v>
      </c>
      <c r="F10953" s="27">
        <v>10</v>
      </c>
      <c r="G10953" s="18">
        <v>7200</v>
      </c>
      <c r="H10953" s="27">
        <f t="shared" si="342"/>
        <v>7200</v>
      </c>
      <c r="I10953" s="18">
        <v>6840</v>
      </c>
      <c r="J10953" s="27">
        <v>7200</v>
      </c>
      <c r="K10953" s="18">
        <f t="shared" si="343"/>
        <v>7200</v>
      </c>
      <c r="L10953" s="27">
        <v>6840</v>
      </c>
      <c r="M10953" s="36">
        <v>0</v>
      </c>
      <c r="T10953" s="41">
        <v>0</v>
      </c>
      <c r="U10953" s="41">
        <v>0</v>
      </c>
      <c r="V10953" s="42" t="s">
        <v>113</v>
      </c>
      <c r="W10953" s="42">
        <v>7200</v>
      </c>
      <c r="X10953" s="42">
        <v>7200</v>
      </c>
    </row>
    <row r="10954" spans="1:24">
      <c r="A10954" s="27" t="s">
        <v>19813</v>
      </c>
      <c r="B10954" s="28" t="s">
        <v>19416</v>
      </c>
      <c r="C10954" s="27" t="s">
        <v>19814</v>
      </c>
      <c r="D10954" s="27" t="s">
        <v>17558</v>
      </c>
      <c r="E10954" s="29">
        <v>35795</v>
      </c>
      <c r="F10954" s="27">
        <v>10</v>
      </c>
      <c r="G10954" s="18">
        <v>7200</v>
      </c>
      <c r="H10954" s="27">
        <f t="shared" si="342"/>
        <v>7200</v>
      </c>
      <c r="I10954" s="18">
        <v>6840</v>
      </c>
      <c r="J10954" s="27">
        <v>7200</v>
      </c>
      <c r="K10954" s="18">
        <f t="shared" si="343"/>
        <v>7200</v>
      </c>
      <c r="L10954" s="27">
        <v>6840</v>
      </c>
      <c r="M10954" s="36">
        <v>0</v>
      </c>
      <c r="T10954" s="41">
        <v>0</v>
      </c>
      <c r="U10954" s="41">
        <v>0</v>
      </c>
      <c r="V10954" s="42" t="s">
        <v>113</v>
      </c>
      <c r="W10954" s="42">
        <v>7200</v>
      </c>
      <c r="X10954" s="42">
        <v>7200</v>
      </c>
    </row>
    <row r="10955" spans="1:24">
      <c r="A10955" s="27" t="s">
        <v>19815</v>
      </c>
      <c r="B10955" s="28" t="s">
        <v>19416</v>
      </c>
      <c r="C10955" s="27" t="s">
        <v>19816</v>
      </c>
      <c r="D10955" s="27" t="s">
        <v>17558</v>
      </c>
      <c r="E10955" s="29">
        <v>35795</v>
      </c>
      <c r="F10955" s="27">
        <v>10</v>
      </c>
      <c r="G10955" s="18">
        <v>7200</v>
      </c>
      <c r="H10955" s="27">
        <f t="shared" si="342"/>
        <v>7200</v>
      </c>
      <c r="I10955" s="18">
        <v>6840</v>
      </c>
      <c r="J10955" s="27">
        <v>7200</v>
      </c>
      <c r="K10955" s="18">
        <f t="shared" si="343"/>
        <v>7200</v>
      </c>
      <c r="L10955" s="27">
        <v>6840</v>
      </c>
      <c r="M10955" s="36">
        <v>0</v>
      </c>
      <c r="T10955" s="41">
        <v>0</v>
      </c>
      <c r="U10955" s="41">
        <v>0</v>
      </c>
      <c r="V10955" s="42" t="s">
        <v>113</v>
      </c>
      <c r="W10955" s="42">
        <v>7200</v>
      </c>
      <c r="X10955" s="42">
        <v>7200</v>
      </c>
    </row>
    <row r="10956" spans="1:24">
      <c r="A10956" s="27" t="s">
        <v>19817</v>
      </c>
      <c r="B10956" s="28" t="s">
        <v>19416</v>
      </c>
      <c r="C10956" s="27" t="s">
        <v>19818</v>
      </c>
      <c r="D10956" s="27" t="s">
        <v>17558</v>
      </c>
      <c r="E10956" s="29">
        <v>35795</v>
      </c>
      <c r="F10956" s="27">
        <v>10</v>
      </c>
      <c r="G10956" s="18">
        <v>7200</v>
      </c>
      <c r="H10956" s="27">
        <f t="shared" si="342"/>
        <v>7200</v>
      </c>
      <c r="I10956" s="18">
        <v>6840</v>
      </c>
      <c r="J10956" s="27">
        <v>7200</v>
      </c>
      <c r="K10956" s="18">
        <f t="shared" si="343"/>
        <v>7200</v>
      </c>
      <c r="L10956" s="27">
        <v>6840</v>
      </c>
      <c r="M10956" s="36">
        <v>0</v>
      </c>
      <c r="T10956" s="41">
        <v>0</v>
      </c>
      <c r="U10956" s="41">
        <v>0</v>
      </c>
      <c r="V10956" s="42" t="s">
        <v>113</v>
      </c>
      <c r="W10956" s="42">
        <v>7200</v>
      </c>
      <c r="X10956" s="42">
        <v>7200</v>
      </c>
    </row>
    <row r="10957" spans="1:24">
      <c r="A10957" s="27" t="s">
        <v>19819</v>
      </c>
      <c r="B10957" s="28" t="s">
        <v>19416</v>
      </c>
      <c r="C10957" s="27" t="s">
        <v>19820</v>
      </c>
      <c r="D10957" s="27" t="s">
        <v>17558</v>
      </c>
      <c r="E10957" s="29">
        <v>35795</v>
      </c>
      <c r="F10957" s="27">
        <v>10</v>
      </c>
      <c r="G10957" s="18">
        <v>7200</v>
      </c>
      <c r="H10957" s="27">
        <f t="shared" si="342"/>
        <v>7200</v>
      </c>
      <c r="I10957" s="18">
        <v>6840</v>
      </c>
      <c r="J10957" s="27">
        <v>7200</v>
      </c>
      <c r="K10957" s="18">
        <f t="shared" si="343"/>
        <v>7200</v>
      </c>
      <c r="L10957" s="27">
        <v>6840</v>
      </c>
      <c r="M10957" s="36">
        <v>0</v>
      </c>
      <c r="T10957" s="41">
        <v>0</v>
      </c>
      <c r="U10957" s="41">
        <v>0</v>
      </c>
      <c r="V10957" s="42" t="s">
        <v>113</v>
      </c>
      <c r="W10957" s="42">
        <v>7200</v>
      </c>
      <c r="X10957" s="42">
        <v>7200</v>
      </c>
    </row>
    <row r="10958" spans="1:24">
      <c r="A10958" s="27" t="s">
        <v>19821</v>
      </c>
      <c r="B10958" s="28" t="s">
        <v>19416</v>
      </c>
      <c r="C10958" s="27" t="s">
        <v>19822</v>
      </c>
      <c r="D10958" s="27" t="s">
        <v>17558</v>
      </c>
      <c r="E10958" s="29">
        <v>35795</v>
      </c>
      <c r="F10958" s="27">
        <v>10</v>
      </c>
      <c r="G10958" s="18">
        <v>7200</v>
      </c>
      <c r="H10958" s="27">
        <f t="shared" si="342"/>
        <v>7200</v>
      </c>
      <c r="I10958" s="18">
        <v>6840</v>
      </c>
      <c r="J10958" s="27">
        <v>7200</v>
      </c>
      <c r="K10958" s="18">
        <f t="shared" si="343"/>
        <v>7200</v>
      </c>
      <c r="L10958" s="27">
        <v>6840</v>
      </c>
      <c r="M10958" s="36">
        <v>0</v>
      </c>
      <c r="T10958" s="41">
        <v>0</v>
      </c>
      <c r="U10958" s="41">
        <v>0</v>
      </c>
      <c r="V10958" s="42" t="s">
        <v>113</v>
      </c>
      <c r="W10958" s="42">
        <v>7200</v>
      </c>
      <c r="X10958" s="42">
        <v>7200</v>
      </c>
    </row>
    <row r="10959" spans="1:24">
      <c r="A10959" s="27" t="s">
        <v>19823</v>
      </c>
      <c r="B10959" s="28" t="s">
        <v>19416</v>
      </c>
      <c r="C10959" s="27" t="s">
        <v>19824</v>
      </c>
      <c r="D10959" s="27" t="s">
        <v>17558</v>
      </c>
      <c r="E10959" s="29">
        <v>35795</v>
      </c>
      <c r="F10959" s="27">
        <v>10</v>
      </c>
      <c r="G10959" s="18">
        <v>17402.11</v>
      </c>
      <c r="H10959" s="27">
        <f t="shared" si="342"/>
        <v>17402.11</v>
      </c>
      <c r="I10959" s="18">
        <v>16532</v>
      </c>
      <c r="J10959" s="27">
        <v>17402.11</v>
      </c>
      <c r="K10959" s="18">
        <f t="shared" si="343"/>
        <v>17402.11</v>
      </c>
      <c r="L10959" s="27">
        <v>16532</v>
      </c>
      <c r="M10959" s="36">
        <v>0</v>
      </c>
      <c r="T10959" s="41">
        <v>0</v>
      </c>
      <c r="U10959" s="41">
        <v>0</v>
      </c>
      <c r="V10959" s="42" t="s">
        <v>113</v>
      </c>
      <c r="W10959" s="42">
        <v>17402.11</v>
      </c>
      <c r="X10959" s="42">
        <v>17402.11</v>
      </c>
    </row>
    <row r="10960" spans="1:24">
      <c r="A10960" s="27" t="s">
        <v>19825</v>
      </c>
      <c r="B10960" s="28" t="s">
        <v>19416</v>
      </c>
      <c r="C10960" s="27" t="s">
        <v>19826</v>
      </c>
      <c r="D10960" s="27" t="s">
        <v>17558</v>
      </c>
      <c r="E10960" s="29">
        <v>35795</v>
      </c>
      <c r="F10960" s="27">
        <v>10</v>
      </c>
      <c r="G10960" s="18">
        <v>17402.11</v>
      </c>
      <c r="H10960" s="27">
        <f t="shared" si="342"/>
        <v>17402.11</v>
      </c>
      <c r="I10960" s="18">
        <v>16532</v>
      </c>
      <c r="J10960" s="27">
        <v>17402.11</v>
      </c>
      <c r="K10960" s="18">
        <f t="shared" si="343"/>
        <v>17402.11</v>
      </c>
      <c r="L10960" s="27">
        <v>16532</v>
      </c>
      <c r="M10960" s="36">
        <v>0</v>
      </c>
      <c r="T10960" s="41">
        <v>0</v>
      </c>
      <c r="U10960" s="41">
        <v>0</v>
      </c>
      <c r="V10960" s="42" t="s">
        <v>113</v>
      </c>
      <c r="W10960" s="42">
        <v>17402.11</v>
      </c>
      <c r="X10960" s="42">
        <v>17402.11</v>
      </c>
    </row>
    <row r="10961" spans="1:24">
      <c r="A10961" s="27" t="s">
        <v>19827</v>
      </c>
      <c r="B10961" s="28" t="s">
        <v>19416</v>
      </c>
      <c r="C10961" s="27" t="s">
        <v>19828</v>
      </c>
      <c r="D10961" s="27" t="s">
        <v>17558</v>
      </c>
      <c r="E10961" s="29">
        <v>35795</v>
      </c>
      <c r="F10961" s="27">
        <v>10</v>
      </c>
      <c r="G10961" s="18">
        <v>9626.11</v>
      </c>
      <c r="H10961" s="27">
        <f t="shared" si="342"/>
        <v>9626.11</v>
      </c>
      <c r="I10961" s="18">
        <v>9144.7999999999993</v>
      </c>
      <c r="J10961" s="27">
        <v>9626.11</v>
      </c>
      <c r="K10961" s="18">
        <f t="shared" si="343"/>
        <v>9626.11</v>
      </c>
      <c r="L10961" s="27">
        <v>9144.7999999999993</v>
      </c>
      <c r="M10961" s="36">
        <v>0</v>
      </c>
      <c r="T10961" s="41">
        <v>0</v>
      </c>
      <c r="U10961" s="41">
        <v>0</v>
      </c>
      <c r="V10961" s="42" t="s">
        <v>113</v>
      </c>
      <c r="W10961" s="42">
        <v>9626.11</v>
      </c>
      <c r="X10961" s="42">
        <v>9626.11</v>
      </c>
    </row>
    <row r="10962" spans="1:24">
      <c r="A10962" s="27" t="s">
        <v>19829</v>
      </c>
      <c r="B10962" s="28" t="s">
        <v>19416</v>
      </c>
      <c r="C10962" s="27" t="s">
        <v>19830</v>
      </c>
      <c r="D10962" s="27" t="s">
        <v>17558</v>
      </c>
      <c r="E10962" s="29">
        <v>35795</v>
      </c>
      <c r="F10962" s="27">
        <v>10</v>
      </c>
      <c r="G10962" s="18">
        <v>9626.11</v>
      </c>
      <c r="H10962" s="27">
        <f t="shared" si="342"/>
        <v>9626.11</v>
      </c>
      <c r="I10962" s="18">
        <v>9144.7999999999993</v>
      </c>
      <c r="J10962" s="27">
        <v>9626.11</v>
      </c>
      <c r="K10962" s="18">
        <f t="shared" si="343"/>
        <v>9626.11</v>
      </c>
      <c r="L10962" s="27">
        <v>9144.7999999999993</v>
      </c>
      <c r="M10962" s="36">
        <v>0</v>
      </c>
      <c r="T10962" s="41">
        <v>0</v>
      </c>
      <c r="U10962" s="41">
        <v>0</v>
      </c>
      <c r="V10962" s="42" t="s">
        <v>113</v>
      </c>
      <c r="W10962" s="42">
        <v>9626.11</v>
      </c>
      <c r="X10962" s="42">
        <v>9626.11</v>
      </c>
    </row>
    <row r="10963" spans="1:24">
      <c r="A10963" s="27" t="s">
        <v>19831</v>
      </c>
      <c r="B10963" s="28" t="s">
        <v>19416</v>
      </c>
      <c r="C10963" s="27" t="s">
        <v>19832</v>
      </c>
      <c r="D10963" s="27" t="s">
        <v>17558</v>
      </c>
      <c r="E10963" s="29">
        <v>35795</v>
      </c>
      <c r="F10963" s="27">
        <v>10</v>
      </c>
      <c r="G10963" s="18">
        <v>9626.11</v>
      </c>
      <c r="H10963" s="27">
        <f t="shared" si="342"/>
        <v>9626.11</v>
      </c>
      <c r="I10963" s="18">
        <v>9144.7999999999993</v>
      </c>
      <c r="J10963" s="27">
        <v>9626.11</v>
      </c>
      <c r="K10963" s="18">
        <f t="shared" si="343"/>
        <v>9626.11</v>
      </c>
      <c r="L10963" s="27">
        <v>9144.7999999999993</v>
      </c>
      <c r="M10963" s="36">
        <v>0</v>
      </c>
      <c r="T10963" s="41">
        <v>0</v>
      </c>
      <c r="U10963" s="41">
        <v>0</v>
      </c>
      <c r="V10963" s="42" t="s">
        <v>113</v>
      </c>
      <c r="W10963" s="42">
        <v>9626.11</v>
      </c>
      <c r="X10963" s="42">
        <v>9626.11</v>
      </c>
    </row>
    <row r="10964" spans="1:24">
      <c r="A10964" s="27" t="s">
        <v>19833</v>
      </c>
      <c r="B10964" s="28" t="s">
        <v>19416</v>
      </c>
      <c r="C10964" s="27" t="s">
        <v>19834</v>
      </c>
      <c r="D10964" s="27" t="s">
        <v>17558</v>
      </c>
      <c r="E10964" s="29">
        <v>35795</v>
      </c>
      <c r="F10964" s="27">
        <v>10</v>
      </c>
      <c r="G10964" s="18">
        <v>9626.11</v>
      </c>
      <c r="H10964" s="27">
        <f t="shared" si="342"/>
        <v>9626.11</v>
      </c>
      <c r="I10964" s="18">
        <v>9144.7999999999993</v>
      </c>
      <c r="J10964" s="27">
        <v>9626.11</v>
      </c>
      <c r="K10964" s="18">
        <f t="shared" si="343"/>
        <v>9626.11</v>
      </c>
      <c r="L10964" s="27">
        <v>9144.7999999999993</v>
      </c>
      <c r="M10964" s="36">
        <v>0</v>
      </c>
      <c r="T10964" s="41">
        <v>0</v>
      </c>
      <c r="U10964" s="41">
        <v>0</v>
      </c>
      <c r="V10964" s="42" t="s">
        <v>113</v>
      </c>
      <c r="W10964" s="42">
        <v>9626.11</v>
      </c>
      <c r="X10964" s="42">
        <v>9626.11</v>
      </c>
    </row>
    <row r="10965" spans="1:24">
      <c r="A10965" s="27" t="s">
        <v>19835</v>
      </c>
      <c r="B10965" s="28" t="s">
        <v>19416</v>
      </c>
      <c r="C10965" s="27" t="s">
        <v>19836</v>
      </c>
      <c r="D10965" s="27" t="s">
        <v>17558</v>
      </c>
      <c r="E10965" s="29">
        <v>35795</v>
      </c>
      <c r="F10965" s="27">
        <v>10</v>
      </c>
      <c r="G10965" s="18">
        <v>9626.11</v>
      </c>
      <c r="H10965" s="27">
        <f t="shared" si="342"/>
        <v>9626.11</v>
      </c>
      <c r="I10965" s="18">
        <v>9144.7999999999993</v>
      </c>
      <c r="J10965" s="27">
        <v>9626.11</v>
      </c>
      <c r="K10965" s="18">
        <f t="shared" si="343"/>
        <v>9626.11</v>
      </c>
      <c r="L10965" s="27">
        <v>9144.7999999999993</v>
      </c>
      <c r="M10965" s="36">
        <v>0</v>
      </c>
      <c r="T10965" s="41">
        <v>0</v>
      </c>
      <c r="U10965" s="41">
        <v>0</v>
      </c>
      <c r="V10965" s="42" t="s">
        <v>113</v>
      </c>
      <c r="W10965" s="42">
        <v>9626.11</v>
      </c>
      <c r="X10965" s="42">
        <v>9626.11</v>
      </c>
    </row>
    <row r="10966" spans="1:24">
      <c r="A10966" s="27" t="s">
        <v>19837</v>
      </c>
      <c r="B10966" s="28" t="s">
        <v>19416</v>
      </c>
      <c r="C10966" s="27" t="s">
        <v>19838</v>
      </c>
      <c r="D10966" s="27" t="s">
        <v>17558</v>
      </c>
      <c r="E10966" s="29">
        <v>35795</v>
      </c>
      <c r="F10966" s="27">
        <v>10</v>
      </c>
      <c r="G10966" s="18">
        <v>9626.11</v>
      </c>
      <c r="H10966" s="27">
        <f t="shared" si="342"/>
        <v>9626.11</v>
      </c>
      <c r="I10966" s="18">
        <v>9144.7999999999993</v>
      </c>
      <c r="J10966" s="27">
        <v>9626.11</v>
      </c>
      <c r="K10966" s="18">
        <f t="shared" si="343"/>
        <v>9626.11</v>
      </c>
      <c r="L10966" s="27">
        <v>9144.7999999999993</v>
      </c>
      <c r="M10966" s="36">
        <v>0</v>
      </c>
      <c r="T10966" s="41">
        <v>0</v>
      </c>
      <c r="U10966" s="41">
        <v>0</v>
      </c>
      <c r="V10966" s="42" t="s">
        <v>113</v>
      </c>
      <c r="W10966" s="42">
        <v>9626.11</v>
      </c>
      <c r="X10966" s="42">
        <v>9626.11</v>
      </c>
    </row>
    <row r="10967" spans="1:24">
      <c r="A10967" s="27" t="s">
        <v>19839</v>
      </c>
      <c r="B10967" s="28" t="s">
        <v>19416</v>
      </c>
      <c r="C10967" s="27" t="s">
        <v>19840</v>
      </c>
      <c r="D10967" s="27" t="s">
        <v>17558</v>
      </c>
      <c r="E10967" s="29">
        <v>35795</v>
      </c>
      <c r="F10967" s="27">
        <v>10</v>
      </c>
      <c r="G10967" s="18">
        <v>9626.11</v>
      </c>
      <c r="H10967" s="27">
        <f t="shared" si="342"/>
        <v>9626.11</v>
      </c>
      <c r="I10967" s="18">
        <v>9144.7999999999993</v>
      </c>
      <c r="J10967" s="27">
        <v>9626.11</v>
      </c>
      <c r="K10967" s="18">
        <f t="shared" si="343"/>
        <v>9626.11</v>
      </c>
      <c r="L10967" s="27">
        <v>9144.7999999999993</v>
      </c>
      <c r="M10967" s="36">
        <v>0</v>
      </c>
      <c r="T10967" s="41">
        <v>0</v>
      </c>
      <c r="U10967" s="41">
        <v>0</v>
      </c>
      <c r="V10967" s="42" t="s">
        <v>113</v>
      </c>
      <c r="W10967" s="42">
        <v>9626.11</v>
      </c>
      <c r="X10967" s="42">
        <v>9626.11</v>
      </c>
    </row>
    <row r="10968" spans="1:24">
      <c r="A10968" s="27" t="s">
        <v>19841</v>
      </c>
      <c r="B10968" s="28" t="s">
        <v>19416</v>
      </c>
      <c r="C10968" s="27" t="s">
        <v>19842</v>
      </c>
      <c r="D10968" s="27" t="s">
        <v>17558</v>
      </c>
      <c r="E10968" s="29">
        <v>35795</v>
      </c>
      <c r="F10968" s="27">
        <v>10</v>
      </c>
      <c r="G10968" s="18">
        <v>9626.11</v>
      </c>
      <c r="H10968" s="27">
        <f t="shared" si="342"/>
        <v>9626.11</v>
      </c>
      <c r="I10968" s="18">
        <v>9144.7999999999993</v>
      </c>
      <c r="J10968" s="27">
        <v>9626.11</v>
      </c>
      <c r="K10968" s="18">
        <f t="shared" si="343"/>
        <v>9626.11</v>
      </c>
      <c r="L10968" s="27">
        <v>9144.7999999999993</v>
      </c>
      <c r="M10968" s="36">
        <v>0</v>
      </c>
      <c r="T10968" s="41">
        <v>0</v>
      </c>
      <c r="U10968" s="41">
        <v>0</v>
      </c>
      <c r="V10968" s="42" t="s">
        <v>113</v>
      </c>
      <c r="W10968" s="42">
        <v>9626.11</v>
      </c>
      <c r="X10968" s="42">
        <v>9626.11</v>
      </c>
    </row>
    <row r="10969" spans="1:24">
      <c r="A10969" s="27" t="s">
        <v>19843</v>
      </c>
      <c r="B10969" s="28" t="s">
        <v>19416</v>
      </c>
      <c r="C10969" s="27" t="s">
        <v>19844</v>
      </c>
      <c r="D10969" s="27" t="s">
        <v>17558</v>
      </c>
      <c r="E10969" s="29">
        <v>35795</v>
      </c>
      <c r="F10969" s="27">
        <v>10</v>
      </c>
      <c r="G10969" s="18">
        <v>9626.11</v>
      </c>
      <c r="H10969" s="27">
        <f t="shared" si="342"/>
        <v>9626.11</v>
      </c>
      <c r="I10969" s="18">
        <v>9144.7999999999993</v>
      </c>
      <c r="J10969" s="27">
        <v>9626.11</v>
      </c>
      <c r="K10969" s="18">
        <f t="shared" si="343"/>
        <v>9626.11</v>
      </c>
      <c r="L10969" s="27">
        <v>9144.7999999999993</v>
      </c>
      <c r="M10969" s="36">
        <v>0</v>
      </c>
      <c r="T10969" s="41">
        <v>0</v>
      </c>
      <c r="U10969" s="41">
        <v>0</v>
      </c>
      <c r="V10969" s="42" t="s">
        <v>113</v>
      </c>
      <c r="W10969" s="42">
        <v>9626.11</v>
      </c>
      <c r="X10969" s="42">
        <v>9626.11</v>
      </c>
    </row>
    <row r="10970" spans="1:24">
      <c r="A10970" s="27" t="s">
        <v>19845</v>
      </c>
      <c r="B10970" s="28" t="s">
        <v>19416</v>
      </c>
      <c r="C10970" s="27" t="s">
        <v>19846</v>
      </c>
      <c r="D10970" s="27" t="s">
        <v>17558</v>
      </c>
      <c r="E10970" s="29">
        <v>35795</v>
      </c>
      <c r="F10970" s="27">
        <v>10</v>
      </c>
      <c r="G10970" s="18">
        <v>15627.02</v>
      </c>
      <c r="H10970" s="27">
        <f t="shared" si="342"/>
        <v>15627.02</v>
      </c>
      <c r="I10970" s="18">
        <v>14845.67</v>
      </c>
      <c r="J10970" s="27">
        <v>15627.02</v>
      </c>
      <c r="K10970" s="18">
        <f t="shared" si="343"/>
        <v>15627.02</v>
      </c>
      <c r="L10970" s="27">
        <v>14845.67</v>
      </c>
      <c r="M10970" s="36">
        <v>0</v>
      </c>
      <c r="T10970" s="41">
        <v>0</v>
      </c>
      <c r="U10970" s="41">
        <v>0</v>
      </c>
      <c r="V10970" s="42" t="s">
        <v>113</v>
      </c>
      <c r="W10970" s="42">
        <v>15627.02</v>
      </c>
      <c r="X10970" s="42">
        <v>15627.02</v>
      </c>
    </row>
    <row r="10971" spans="1:24">
      <c r="A10971" s="27" t="s">
        <v>19847</v>
      </c>
      <c r="B10971" s="28" t="s">
        <v>19416</v>
      </c>
      <c r="C10971" s="27" t="s">
        <v>19848</v>
      </c>
      <c r="D10971" s="27" t="s">
        <v>17558</v>
      </c>
      <c r="E10971" s="29">
        <v>35795</v>
      </c>
      <c r="F10971" s="27">
        <v>10</v>
      </c>
      <c r="G10971" s="18">
        <v>15627.02</v>
      </c>
      <c r="H10971" s="27">
        <f t="shared" si="342"/>
        <v>15627.02</v>
      </c>
      <c r="I10971" s="18">
        <v>14845.67</v>
      </c>
      <c r="J10971" s="27">
        <v>15627.02</v>
      </c>
      <c r="K10971" s="18">
        <f t="shared" si="343"/>
        <v>15627.02</v>
      </c>
      <c r="L10971" s="27">
        <v>14845.67</v>
      </c>
      <c r="M10971" s="36">
        <v>0</v>
      </c>
      <c r="T10971" s="41">
        <v>0</v>
      </c>
      <c r="U10971" s="41">
        <v>0</v>
      </c>
      <c r="V10971" s="42" t="s">
        <v>113</v>
      </c>
      <c r="W10971" s="42">
        <v>15627.02</v>
      </c>
      <c r="X10971" s="42">
        <v>15627.02</v>
      </c>
    </row>
    <row r="10972" spans="1:24">
      <c r="A10972" s="27" t="s">
        <v>19849</v>
      </c>
      <c r="B10972" s="28" t="s">
        <v>19416</v>
      </c>
      <c r="C10972" s="27" t="s">
        <v>19850</v>
      </c>
      <c r="D10972" s="27" t="s">
        <v>17558</v>
      </c>
      <c r="E10972" s="29">
        <v>35795</v>
      </c>
      <c r="F10972" s="27">
        <v>10</v>
      </c>
      <c r="G10972" s="18">
        <v>15627.02</v>
      </c>
      <c r="H10972" s="27">
        <f t="shared" si="342"/>
        <v>15627.02</v>
      </c>
      <c r="I10972" s="18">
        <v>14845.67</v>
      </c>
      <c r="J10972" s="27">
        <v>15627.02</v>
      </c>
      <c r="K10972" s="18">
        <f t="shared" si="343"/>
        <v>15627.02</v>
      </c>
      <c r="L10972" s="27">
        <v>14845.67</v>
      </c>
      <c r="M10972" s="36">
        <v>0</v>
      </c>
      <c r="T10972" s="41">
        <v>0</v>
      </c>
      <c r="U10972" s="41">
        <v>0</v>
      </c>
      <c r="V10972" s="42" t="s">
        <v>113</v>
      </c>
      <c r="W10972" s="42">
        <v>15627.02</v>
      </c>
      <c r="X10972" s="42">
        <v>15627.02</v>
      </c>
    </row>
    <row r="10973" spans="1:24">
      <c r="A10973" s="27" t="s">
        <v>19851</v>
      </c>
      <c r="B10973" s="28" t="s">
        <v>19416</v>
      </c>
      <c r="C10973" s="27" t="s">
        <v>19852</v>
      </c>
      <c r="D10973" s="27" t="s">
        <v>17558</v>
      </c>
      <c r="E10973" s="29">
        <v>35795</v>
      </c>
      <c r="F10973" s="27">
        <v>10</v>
      </c>
      <c r="G10973" s="18">
        <v>15627.02</v>
      </c>
      <c r="H10973" s="27">
        <f t="shared" si="342"/>
        <v>15627.02</v>
      </c>
      <c r="I10973" s="18">
        <v>14845.67</v>
      </c>
      <c r="J10973" s="27">
        <v>15627.02</v>
      </c>
      <c r="K10973" s="18">
        <f t="shared" si="343"/>
        <v>15627.02</v>
      </c>
      <c r="L10973" s="27">
        <v>14845.67</v>
      </c>
      <c r="M10973" s="36">
        <v>0</v>
      </c>
      <c r="T10973" s="41">
        <v>0</v>
      </c>
      <c r="U10973" s="41">
        <v>0</v>
      </c>
      <c r="V10973" s="42" t="s">
        <v>113</v>
      </c>
      <c r="W10973" s="42">
        <v>15627.02</v>
      </c>
      <c r="X10973" s="42">
        <v>15627.02</v>
      </c>
    </row>
    <row r="10974" spans="1:24">
      <c r="A10974" s="27" t="s">
        <v>19853</v>
      </c>
      <c r="B10974" s="28" t="s">
        <v>19416</v>
      </c>
      <c r="C10974" s="27" t="s">
        <v>19854</v>
      </c>
      <c r="D10974" s="27" t="s">
        <v>17558</v>
      </c>
      <c r="E10974" s="29">
        <v>35795</v>
      </c>
      <c r="F10974" s="27">
        <v>10</v>
      </c>
      <c r="G10974" s="18">
        <v>15627.02</v>
      </c>
      <c r="H10974" s="27">
        <f t="shared" si="342"/>
        <v>15627.02</v>
      </c>
      <c r="I10974" s="18">
        <v>14845.67</v>
      </c>
      <c r="J10974" s="27">
        <v>15627.02</v>
      </c>
      <c r="K10974" s="18">
        <f t="shared" si="343"/>
        <v>15627.02</v>
      </c>
      <c r="L10974" s="27">
        <v>14845.67</v>
      </c>
      <c r="M10974" s="36">
        <v>0</v>
      </c>
      <c r="T10974" s="41">
        <v>0</v>
      </c>
      <c r="U10974" s="41">
        <v>0</v>
      </c>
      <c r="V10974" s="42" t="s">
        <v>113</v>
      </c>
      <c r="W10974" s="42">
        <v>15627.02</v>
      </c>
      <c r="X10974" s="42">
        <v>15627.02</v>
      </c>
    </row>
    <row r="10975" spans="1:24">
      <c r="A10975" s="27" t="s">
        <v>19855</v>
      </c>
      <c r="B10975" s="28" t="s">
        <v>19416</v>
      </c>
      <c r="C10975" s="27" t="s">
        <v>19856</v>
      </c>
      <c r="D10975" s="27" t="s">
        <v>17558</v>
      </c>
      <c r="E10975" s="29">
        <v>35795</v>
      </c>
      <c r="F10975" s="27">
        <v>10</v>
      </c>
      <c r="G10975" s="18">
        <v>15627.02</v>
      </c>
      <c r="H10975" s="27">
        <f t="shared" si="342"/>
        <v>15627.02</v>
      </c>
      <c r="I10975" s="18">
        <v>14845.67</v>
      </c>
      <c r="J10975" s="27">
        <v>15627.02</v>
      </c>
      <c r="K10975" s="18">
        <f t="shared" si="343"/>
        <v>15627.02</v>
      </c>
      <c r="L10975" s="27">
        <v>14845.67</v>
      </c>
      <c r="M10975" s="36">
        <v>0</v>
      </c>
      <c r="T10975" s="41">
        <v>0</v>
      </c>
      <c r="U10975" s="41">
        <v>0</v>
      </c>
      <c r="V10975" s="42" t="s">
        <v>113</v>
      </c>
      <c r="W10975" s="42">
        <v>15627.02</v>
      </c>
      <c r="X10975" s="42">
        <v>15627.02</v>
      </c>
    </row>
    <row r="10976" spans="1:24">
      <c r="A10976" s="27" t="s">
        <v>19857</v>
      </c>
      <c r="B10976" s="28" t="s">
        <v>19416</v>
      </c>
      <c r="C10976" s="27" t="s">
        <v>19858</v>
      </c>
      <c r="D10976" s="27" t="s">
        <v>17558</v>
      </c>
      <c r="E10976" s="29">
        <v>35795</v>
      </c>
      <c r="F10976" s="27">
        <v>10</v>
      </c>
      <c r="G10976" s="18">
        <v>15627.02</v>
      </c>
      <c r="H10976" s="27">
        <f t="shared" si="342"/>
        <v>15627.02</v>
      </c>
      <c r="I10976" s="18">
        <v>14845.67</v>
      </c>
      <c r="J10976" s="27">
        <v>15627.02</v>
      </c>
      <c r="K10976" s="18">
        <f t="shared" si="343"/>
        <v>15627.02</v>
      </c>
      <c r="L10976" s="27">
        <v>14845.67</v>
      </c>
      <c r="M10976" s="36">
        <v>0</v>
      </c>
      <c r="T10976" s="41">
        <v>0</v>
      </c>
      <c r="U10976" s="41">
        <v>0</v>
      </c>
      <c r="V10976" s="42" t="s">
        <v>113</v>
      </c>
      <c r="W10976" s="42">
        <v>15627.02</v>
      </c>
      <c r="X10976" s="42">
        <v>15627.02</v>
      </c>
    </row>
    <row r="10977" spans="1:24">
      <c r="A10977" s="27" t="s">
        <v>19859</v>
      </c>
      <c r="B10977" s="28" t="s">
        <v>19416</v>
      </c>
      <c r="C10977" s="27" t="s">
        <v>19860</v>
      </c>
      <c r="D10977" s="27" t="s">
        <v>17558</v>
      </c>
      <c r="E10977" s="29">
        <v>35795</v>
      </c>
      <c r="F10977" s="27">
        <v>10</v>
      </c>
      <c r="G10977" s="18">
        <v>15627.02</v>
      </c>
      <c r="H10977" s="27">
        <f t="shared" si="342"/>
        <v>15627.02</v>
      </c>
      <c r="I10977" s="18">
        <v>14845.67</v>
      </c>
      <c r="J10977" s="27">
        <v>15627.02</v>
      </c>
      <c r="K10977" s="18">
        <f t="shared" si="343"/>
        <v>15627.02</v>
      </c>
      <c r="L10977" s="27">
        <v>14845.67</v>
      </c>
      <c r="M10977" s="36">
        <v>0</v>
      </c>
      <c r="T10977" s="41">
        <v>0</v>
      </c>
      <c r="U10977" s="41">
        <v>0</v>
      </c>
      <c r="V10977" s="42" t="s">
        <v>113</v>
      </c>
      <c r="W10977" s="42">
        <v>15627.02</v>
      </c>
      <c r="X10977" s="42">
        <v>15627.02</v>
      </c>
    </row>
    <row r="10978" spans="1:24">
      <c r="A10978" s="27" t="s">
        <v>19861</v>
      </c>
      <c r="B10978" s="28" t="s">
        <v>19416</v>
      </c>
      <c r="C10978" s="27" t="s">
        <v>19862</v>
      </c>
      <c r="D10978" s="27" t="s">
        <v>17558</v>
      </c>
      <c r="E10978" s="29">
        <v>35795</v>
      </c>
      <c r="F10978" s="27">
        <v>10</v>
      </c>
      <c r="G10978" s="18">
        <v>15627.02</v>
      </c>
      <c r="H10978" s="27">
        <f t="shared" si="342"/>
        <v>15627.02</v>
      </c>
      <c r="I10978" s="18">
        <v>14845.67</v>
      </c>
      <c r="J10978" s="27">
        <v>15627.02</v>
      </c>
      <c r="K10978" s="18">
        <f t="shared" si="343"/>
        <v>15627.02</v>
      </c>
      <c r="L10978" s="27">
        <v>14845.67</v>
      </c>
      <c r="M10978" s="36">
        <v>0</v>
      </c>
      <c r="T10978" s="41">
        <v>0</v>
      </c>
      <c r="U10978" s="41">
        <v>0</v>
      </c>
      <c r="V10978" s="42" t="s">
        <v>113</v>
      </c>
      <c r="W10978" s="42">
        <v>15627.02</v>
      </c>
      <c r="X10978" s="42">
        <v>15627.02</v>
      </c>
    </row>
    <row r="10979" spans="1:24">
      <c r="A10979" s="27" t="s">
        <v>19863</v>
      </c>
      <c r="B10979" s="28" t="s">
        <v>19416</v>
      </c>
      <c r="C10979" s="27" t="s">
        <v>19864</v>
      </c>
      <c r="D10979" s="27" t="s">
        <v>17558</v>
      </c>
      <c r="E10979" s="29">
        <v>35795</v>
      </c>
      <c r="F10979" s="27">
        <v>10</v>
      </c>
      <c r="G10979" s="18">
        <v>15627.02</v>
      </c>
      <c r="H10979" s="27">
        <f t="shared" si="342"/>
        <v>15627.02</v>
      </c>
      <c r="I10979" s="18">
        <v>14845.67</v>
      </c>
      <c r="J10979" s="27">
        <v>15627.02</v>
      </c>
      <c r="K10979" s="18">
        <f t="shared" si="343"/>
        <v>15627.02</v>
      </c>
      <c r="L10979" s="27">
        <v>14845.67</v>
      </c>
      <c r="M10979" s="36">
        <v>0</v>
      </c>
      <c r="T10979" s="41">
        <v>0</v>
      </c>
      <c r="U10979" s="41">
        <v>0</v>
      </c>
      <c r="V10979" s="42" t="s">
        <v>113</v>
      </c>
      <c r="W10979" s="42">
        <v>15627.02</v>
      </c>
      <c r="X10979" s="42">
        <v>15627.02</v>
      </c>
    </row>
    <row r="10980" spans="1:24">
      <c r="A10980" s="27" t="s">
        <v>19865</v>
      </c>
      <c r="B10980" s="28" t="s">
        <v>19416</v>
      </c>
      <c r="C10980" s="27" t="s">
        <v>19866</v>
      </c>
      <c r="D10980" s="27" t="s">
        <v>17558</v>
      </c>
      <c r="E10980" s="29">
        <v>35795</v>
      </c>
      <c r="F10980" s="27">
        <v>10</v>
      </c>
      <c r="G10980" s="18">
        <v>15627.02</v>
      </c>
      <c r="H10980" s="27">
        <f t="shared" si="342"/>
        <v>15627.02</v>
      </c>
      <c r="I10980" s="18">
        <v>14845.67</v>
      </c>
      <c r="J10980" s="27">
        <v>15627.02</v>
      </c>
      <c r="K10980" s="18">
        <f t="shared" si="343"/>
        <v>15627.02</v>
      </c>
      <c r="L10980" s="27">
        <v>14845.67</v>
      </c>
      <c r="M10980" s="36">
        <v>0</v>
      </c>
      <c r="T10980" s="41">
        <v>0</v>
      </c>
      <c r="U10980" s="41">
        <v>0</v>
      </c>
      <c r="V10980" s="42" t="s">
        <v>113</v>
      </c>
      <c r="W10980" s="42">
        <v>15627.02</v>
      </c>
      <c r="X10980" s="42">
        <v>15627.02</v>
      </c>
    </row>
    <row r="10981" spans="1:24">
      <c r="A10981" s="27" t="s">
        <v>19867</v>
      </c>
      <c r="B10981" s="28" t="s">
        <v>19416</v>
      </c>
      <c r="C10981" s="27" t="s">
        <v>19868</v>
      </c>
      <c r="D10981" s="27" t="s">
        <v>17558</v>
      </c>
      <c r="E10981" s="29">
        <v>35795</v>
      </c>
      <c r="F10981" s="27">
        <v>10</v>
      </c>
      <c r="G10981" s="18">
        <v>15627.02</v>
      </c>
      <c r="H10981" s="27">
        <f t="shared" si="342"/>
        <v>15627.02</v>
      </c>
      <c r="I10981" s="18">
        <v>14845.67</v>
      </c>
      <c r="J10981" s="27">
        <v>15627.02</v>
      </c>
      <c r="K10981" s="18">
        <f t="shared" si="343"/>
        <v>15627.02</v>
      </c>
      <c r="L10981" s="27">
        <v>14845.67</v>
      </c>
      <c r="M10981" s="36">
        <v>0</v>
      </c>
      <c r="T10981" s="41">
        <v>0</v>
      </c>
      <c r="U10981" s="41">
        <v>0</v>
      </c>
      <c r="V10981" s="42" t="s">
        <v>113</v>
      </c>
      <c r="W10981" s="42">
        <v>15627.02</v>
      </c>
      <c r="X10981" s="42">
        <v>15627.02</v>
      </c>
    </row>
    <row r="10982" spans="1:24">
      <c r="A10982" s="27" t="s">
        <v>19869</v>
      </c>
      <c r="B10982" s="28" t="s">
        <v>19416</v>
      </c>
      <c r="C10982" s="27" t="s">
        <v>19870</v>
      </c>
      <c r="D10982" s="27" t="s">
        <v>17558</v>
      </c>
      <c r="E10982" s="29">
        <v>35795</v>
      </c>
      <c r="F10982" s="27">
        <v>10</v>
      </c>
      <c r="G10982" s="18">
        <v>15627.02</v>
      </c>
      <c r="H10982" s="27">
        <f t="shared" si="342"/>
        <v>15627.02</v>
      </c>
      <c r="I10982" s="18">
        <v>14845.67</v>
      </c>
      <c r="J10982" s="27">
        <v>15627.02</v>
      </c>
      <c r="K10982" s="18">
        <f t="shared" si="343"/>
        <v>15627.02</v>
      </c>
      <c r="L10982" s="27">
        <v>14845.67</v>
      </c>
      <c r="M10982" s="36">
        <v>0</v>
      </c>
      <c r="T10982" s="41">
        <v>0</v>
      </c>
      <c r="U10982" s="41">
        <v>0</v>
      </c>
      <c r="V10982" s="42" t="s">
        <v>113</v>
      </c>
      <c r="W10982" s="42">
        <v>15627.02</v>
      </c>
      <c r="X10982" s="42">
        <v>15627.02</v>
      </c>
    </row>
    <row r="10983" spans="1:24">
      <c r="A10983" s="27" t="s">
        <v>19871</v>
      </c>
      <c r="B10983" s="28" t="s">
        <v>19416</v>
      </c>
      <c r="C10983" s="27" t="s">
        <v>19872</v>
      </c>
      <c r="D10983" s="27" t="s">
        <v>17578</v>
      </c>
      <c r="E10983" s="29">
        <v>42613</v>
      </c>
      <c r="F10983" s="27">
        <v>10</v>
      </c>
      <c r="G10983" s="18">
        <v>10307.1</v>
      </c>
      <c r="H10983" s="27">
        <f t="shared" si="342"/>
        <v>0</v>
      </c>
      <c r="I10983" s="18">
        <v>2774.32</v>
      </c>
      <c r="J10983" s="27">
        <v>10307.1</v>
      </c>
      <c r="K10983" s="18">
        <f t="shared" si="343"/>
        <v>0</v>
      </c>
      <c r="L10983" s="27">
        <v>3753.49</v>
      </c>
      <c r="M10983" s="36">
        <v>979.17</v>
      </c>
      <c r="T10983" s="41">
        <v>0</v>
      </c>
      <c r="U10983" s="41">
        <v>0</v>
      </c>
      <c r="V10983" s="42" t="s">
        <v>113</v>
      </c>
      <c r="W10983" s="42">
        <v>0</v>
      </c>
      <c r="X10983" s="42">
        <v>0</v>
      </c>
    </row>
    <row r="10984" spans="1:24">
      <c r="A10984" s="27" t="s">
        <v>19873</v>
      </c>
      <c r="B10984" s="28" t="s">
        <v>19416</v>
      </c>
      <c r="C10984" s="27" t="s">
        <v>19874</v>
      </c>
      <c r="D10984" s="27" t="s">
        <v>17578</v>
      </c>
      <c r="E10984" s="29">
        <v>42613</v>
      </c>
      <c r="F10984" s="27">
        <v>10</v>
      </c>
      <c r="G10984" s="18">
        <v>10307.1</v>
      </c>
      <c r="H10984" s="27">
        <f t="shared" si="342"/>
        <v>0</v>
      </c>
      <c r="I10984" s="18">
        <v>2774.32</v>
      </c>
      <c r="J10984" s="27">
        <v>10307.1</v>
      </c>
      <c r="K10984" s="18">
        <f t="shared" si="343"/>
        <v>0</v>
      </c>
      <c r="L10984" s="27">
        <v>3753.49</v>
      </c>
      <c r="M10984" s="36">
        <v>979.17</v>
      </c>
      <c r="T10984" s="41">
        <v>0</v>
      </c>
      <c r="U10984" s="41">
        <v>0</v>
      </c>
      <c r="V10984" s="42" t="s">
        <v>113</v>
      </c>
      <c r="W10984" s="42">
        <v>0</v>
      </c>
      <c r="X10984" s="42">
        <v>0</v>
      </c>
    </row>
    <row r="10985" spans="1:24">
      <c r="A10985" s="27" t="s">
        <v>19875</v>
      </c>
      <c r="B10985" s="28" t="s">
        <v>19416</v>
      </c>
      <c r="C10985" s="27" t="s">
        <v>19876</v>
      </c>
      <c r="D10985" s="27" t="s">
        <v>17578</v>
      </c>
      <c r="E10985" s="29">
        <v>42488</v>
      </c>
      <c r="F10985" s="27">
        <v>10</v>
      </c>
      <c r="G10985" s="18">
        <v>94872.46</v>
      </c>
      <c r="H10985" s="27">
        <f t="shared" si="342"/>
        <v>0</v>
      </c>
      <c r="I10985" s="18">
        <v>24034.35</v>
      </c>
      <c r="J10985" s="27">
        <v>94872.46</v>
      </c>
      <c r="K10985" s="18">
        <f t="shared" si="343"/>
        <v>0</v>
      </c>
      <c r="L10985" s="27">
        <v>33047.24</v>
      </c>
      <c r="M10985" s="36">
        <v>9012.89</v>
      </c>
      <c r="T10985" s="41">
        <v>0</v>
      </c>
      <c r="U10985" s="41">
        <v>0</v>
      </c>
      <c r="V10985" s="42" t="s">
        <v>113</v>
      </c>
      <c r="W10985" s="42">
        <v>0</v>
      </c>
      <c r="X10985" s="42">
        <v>0</v>
      </c>
    </row>
    <row r="10986" spans="1:24">
      <c r="A10986" s="27" t="s">
        <v>19877</v>
      </c>
      <c r="B10986" s="28" t="s">
        <v>19416</v>
      </c>
      <c r="C10986" s="27" t="s">
        <v>19878</v>
      </c>
      <c r="D10986" s="27" t="s">
        <v>17578</v>
      </c>
      <c r="E10986" s="29">
        <v>42488</v>
      </c>
      <c r="F10986" s="27">
        <v>10</v>
      </c>
      <c r="G10986" s="18">
        <v>286275.56</v>
      </c>
      <c r="H10986" s="27">
        <f t="shared" si="342"/>
        <v>0</v>
      </c>
      <c r="I10986" s="18">
        <v>72523.149999999994</v>
      </c>
      <c r="J10986" s="27">
        <v>286275.56</v>
      </c>
      <c r="K10986" s="18">
        <f t="shared" si="343"/>
        <v>0</v>
      </c>
      <c r="L10986" s="27">
        <v>99719.33</v>
      </c>
      <c r="M10986" s="36">
        <v>27196.18</v>
      </c>
      <c r="T10986" s="41">
        <v>0</v>
      </c>
      <c r="U10986" s="41">
        <v>0</v>
      </c>
      <c r="V10986" s="42" t="s">
        <v>113</v>
      </c>
      <c r="W10986" s="42">
        <v>0</v>
      </c>
      <c r="X10986" s="42">
        <v>0</v>
      </c>
    </row>
    <row r="10987" spans="1:24">
      <c r="A10987" s="27" t="s">
        <v>19879</v>
      </c>
      <c r="B10987" s="28" t="s">
        <v>19416</v>
      </c>
      <c r="C10987" s="27" t="s">
        <v>19880</v>
      </c>
      <c r="D10987" s="27" t="s">
        <v>17558</v>
      </c>
      <c r="E10987" s="29">
        <v>39447</v>
      </c>
      <c r="F10987" s="27">
        <v>10</v>
      </c>
      <c r="G10987" s="18">
        <v>320000</v>
      </c>
      <c r="H10987" s="27">
        <f t="shared" si="342"/>
        <v>320000</v>
      </c>
      <c r="I10987" s="18">
        <v>304000</v>
      </c>
      <c r="J10987" s="27">
        <v>320000</v>
      </c>
      <c r="K10987" s="18">
        <f t="shared" si="343"/>
        <v>320000</v>
      </c>
      <c r="L10987" s="27">
        <v>304000</v>
      </c>
      <c r="M10987" s="36">
        <v>0</v>
      </c>
      <c r="T10987" s="41">
        <v>0</v>
      </c>
      <c r="U10987" s="41">
        <v>0</v>
      </c>
      <c r="V10987" s="42" t="s">
        <v>113</v>
      </c>
      <c r="W10987" s="42">
        <v>320000</v>
      </c>
      <c r="X10987" s="42">
        <v>320000</v>
      </c>
    </row>
    <row r="10988" spans="1:24">
      <c r="A10988" s="27" t="s">
        <v>19881</v>
      </c>
      <c r="B10988" s="28" t="s">
        <v>19416</v>
      </c>
      <c r="C10988" s="27" t="s">
        <v>19882</v>
      </c>
      <c r="D10988" s="27" t="s">
        <v>17558</v>
      </c>
      <c r="E10988" s="29">
        <v>37256</v>
      </c>
      <c r="F10988" s="27">
        <v>10</v>
      </c>
      <c r="G10988" s="18">
        <v>200000</v>
      </c>
      <c r="H10988" s="27">
        <f t="shared" si="342"/>
        <v>200000</v>
      </c>
      <c r="I10988" s="18">
        <v>190000</v>
      </c>
      <c r="J10988" s="27">
        <v>200000</v>
      </c>
      <c r="K10988" s="18">
        <f t="shared" si="343"/>
        <v>200000</v>
      </c>
      <c r="L10988" s="27">
        <v>190000</v>
      </c>
      <c r="M10988" s="36">
        <v>0</v>
      </c>
      <c r="T10988" s="41">
        <v>0</v>
      </c>
      <c r="U10988" s="41">
        <v>0</v>
      </c>
      <c r="V10988" s="42" t="s">
        <v>113</v>
      </c>
      <c r="W10988" s="42">
        <v>200000</v>
      </c>
      <c r="X10988" s="42">
        <v>200000</v>
      </c>
    </row>
    <row r="10989" spans="1:24">
      <c r="A10989" s="27" t="s">
        <v>19883</v>
      </c>
      <c r="B10989" s="28" t="s">
        <v>19416</v>
      </c>
      <c r="C10989" s="27" t="s">
        <v>19884</v>
      </c>
      <c r="D10989" s="27" t="s">
        <v>17558</v>
      </c>
      <c r="E10989" s="29">
        <v>35795</v>
      </c>
      <c r="F10989" s="27">
        <v>10</v>
      </c>
      <c r="G10989" s="18">
        <v>4200</v>
      </c>
      <c r="H10989" s="27">
        <f t="shared" si="342"/>
        <v>4200</v>
      </c>
      <c r="I10989" s="18">
        <v>4200</v>
      </c>
      <c r="J10989" s="27">
        <v>4200</v>
      </c>
      <c r="K10989" s="18">
        <f t="shared" si="343"/>
        <v>4200</v>
      </c>
      <c r="L10989" s="27">
        <v>4200</v>
      </c>
      <c r="M10989" s="36">
        <v>0</v>
      </c>
      <c r="T10989" s="41">
        <v>0</v>
      </c>
      <c r="U10989" s="41">
        <v>0</v>
      </c>
      <c r="V10989" s="42" t="s">
        <v>113</v>
      </c>
      <c r="W10989" s="42">
        <v>4200</v>
      </c>
      <c r="X10989" s="42">
        <v>4200</v>
      </c>
    </row>
    <row r="10990" spans="1:24">
      <c r="A10990" s="27" t="s">
        <v>19885</v>
      </c>
      <c r="B10990" s="28" t="s">
        <v>19416</v>
      </c>
      <c r="C10990" s="27" t="s">
        <v>19886</v>
      </c>
      <c r="D10990" s="27" t="s">
        <v>17558</v>
      </c>
      <c r="E10990" s="29">
        <v>35795</v>
      </c>
      <c r="F10990" s="27">
        <v>10</v>
      </c>
      <c r="G10990" s="18">
        <v>36013.83</v>
      </c>
      <c r="H10990" s="27">
        <f t="shared" si="342"/>
        <v>36013.83</v>
      </c>
      <c r="I10990" s="18">
        <v>34213.14</v>
      </c>
      <c r="J10990" s="27">
        <v>36013.83</v>
      </c>
      <c r="K10990" s="18">
        <f t="shared" si="343"/>
        <v>36013.83</v>
      </c>
      <c r="L10990" s="27">
        <v>34213.14</v>
      </c>
      <c r="M10990" s="36">
        <v>0</v>
      </c>
      <c r="T10990" s="41">
        <v>0</v>
      </c>
      <c r="U10990" s="41">
        <v>0</v>
      </c>
      <c r="V10990" s="42" t="s">
        <v>113</v>
      </c>
      <c r="W10990" s="42">
        <v>36013.83</v>
      </c>
      <c r="X10990" s="42">
        <v>36013.83</v>
      </c>
    </row>
    <row r="10991" spans="1:24">
      <c r="A10991" s="27" t="s">
        <v>19887</v>
      </c>
      <c r="B10991" s="28" t="s">
        <v>19416</v>
      </c>
      <c r="C10991" s="27" t="s">
        <v>19888</v>
      </c>
      <c r="D10991" s="27" t="s">
        <v>17558</v>
      </c>
      <c r="E10991" s="29">
        <v>39782</v>
      </c>
      <c r="F10991" s="27">
        <v>10</v>
      </c>
      <c r="G10991" s="18">
        <v>24000</v>
      </c>
      <c r="H10991" s="27">
        <f t="shared" si="342"/>
        <v>24000</v>
      </c>
      <c r="I10991" s="18">
        <v>22800</v>
      </c>
      <c r="J10991" s="27">
        <v>24000</v>
      </c>
      <c r="K10991" s="18">
        <f t="shared" si="343"/>
        <v>24000</v>
      </c>
      <c r="L10991" s="27">
        <v>22800</v>
      </c>
      <c r="M10991" s="36">
        <v>0</v>
      </c>
      <c r="T10991" s="41">
        <v>0</v>
      </c>
      <c r="U10991" s="41">
        <v>0</v>
      </c>
      <c r="V10991" s="42" t="s">
        <v>113</v>
      </c>
      <c r="W10991" s="42">
        <v>24000</v>
      </c>
      <c r="X10991" s="42">
        <v>24000</v>
      </c>
    </row>
    <row r="10992" spans="1:24">
      <c r="A10992" s="93" t="s">
        <v>19889</v>
      </c>
      <c r="B10992" s="28" t="s">
        <v>19890</v>
      </c>
      <c r="C10992" s="27" t="s">
        <v>19891</v>
      </c>
      <c r="D10992" s="27" t="s">
        <v>17558</v>
      </c>
      <c r="E10992" s="29">
        <v>35795</v>
      </c>
      <c r="F10992" s="27">
        <v>12</v>
      </c>
      <c r="G10992" s="18">
        <v>8470.48</v>
      </c>
      <c r="H10992" s="27">
        <f t="shared" si="342"/>
        <v>8470.48</v>
      </c>
      <c r="I10992" s="18">
        <v>8046.96</v>
      </c>
      <c r="J10992" s="27">
        <v>8470.48</v>
      </c>
      <c r="K10992" s="18">
        <f t="shared" si="343"/>
        <v>8470.48</v>
      </c>
      <c r="L10992" s="27">
        <v>8046.96</v>
      </c>
      <c r="M10992" s="36">
        <v>0</v>
      </c>
      <c r="T10992" s="41">
        <v>0</v>
      </c>
      <c r="U10992" s="41">
        <v>0</v>
      </c>
      <c r="V10992" s="42" t="s">
        <v>113</v>
      </c>
      <c r="W10992" s="42">
        <v>8470.48</v>
      </c>
      <c r="X10992" s="42">
        <v>8470.48</v>
      </c>
    </row>
    <row r="10993" spans="1:24">
      <c r="A10993" s="93" t="s">
        <v>19892</v>
      </c>
      <c r="B10993" s="28" t="s">
        <v>19890</v>
      </c>
      <c r="C10993" s="27" t="s">
        <v>19893</v>
      </c>
      <c r="D10993" s="27" t="s">
        <v>17558</v>
      </c>
      <c r="E10993" s="29">
        <v>35795</v>
      </c>
      <c r="F10993" s="27">
        <v>12</v>
      </c>
      <c r="G10993" s="18">
        <v>8470.48</v>
      </c>
      <c r="H10993" s="27">
        <f t="shared" si="342"/>
        <v>8470.48</v>
      </c>
      <c r="I10993" s="18">
        <v>8046.96</v>
      </c>
      <c r="J10993" s="27">
        <v>8470.48</v>
      </c>
      <c r="K10993" s="18">
        <f t="shared" si="343"/>
        <v>8470.48</v>
      </c>
      <c r="L10993" s="27">
        <v>8046.96</v>
      </c>
      <c r="M10993" s="36">
        <v>0</v>
      </c>
      <c r="T10993" s="41">
        <v>0</v>
      </c>
      <c r="U10993" s="41">
        <v>0</v>
      </c>
      <c r="V10993" s="42" t="s">
        <v>113</v>
      </c>
      <c r="W10993" s="42">
        <v>8470.48</v>
      </c>
      <c r="X10993" s="42">
        <v>8470.48</v>
      </c>
    </row>
    <row r="10994" spans="1:24">
      <c r="A10994" s="93" t="s">
        <v>19894</v>
      </c>
      <c r="B10994" s="28" t="s">
        <v>19890</v>
      </c>
      <c r="C10994" s="27" t="s">
        <v>17575</v>
      </c>
      <c r="D10994" s="27" t="s">
        <v>17558</v>
      </c>
      <c r="E10994" s="29">
        <v>35795</v>
      </c>
      <c r="F10994" s="27">
        <v>12</v>
      </c>
      <c r="G10994" s="18">
        <v>7813.51</v>
      </c>
      <c r="H10994" s="27">
        <f t="shared" si="342"/>
        <v>7813.51</v>
      </c>
      <c r="I10994" s="18">
        <v>7422.83</v>
      </c>
      <c r="J10994" s="27">
        <v>7813.51</v>
      </c>
      <c r="K10994" s="18">
        <f t="shared" si="343"/>
        <v>7813.51</v>
      </c>
      <c r="L10994" s="27">
        <v>7422.83</v>
      </c>
      <c r="M10994" s="36">
        <v>0</v>
      </c>
      <c r="T10994" s="41">
        <v>0</v>
      </c>
      <c r="U10994" s="41">
        <v>0</v>
      </c>
      <c r="V10994" s="42" t="s">
        <v>113</v>
      </c>
      <c r="W10994" s="42">
        <v>7813.51</v>
      </c>
      <c r="X10994" s="42">
        <v>7813.51</v>
      </c>
    </row>
    <row r="10995" spans="1:24">
      <c r="A10995" s="93" t="s">
        <v>19895</v>
      </c>
      <c r="B10995" s="28" t="s">
        <v>19890</v>
      </c>
      <c r="C10995" s="27" t="s">
        <v>19896</v>
      </c>
      <c r="D10995" s="27" t="s">
        <v>17558</v>
      </c>
      <c r="E10995" s="29">
        <v>35795</v>
      </c>
      <c r="F10995" s="27">
        <v>12</v>
      </c>
      <c r="G10995" s="18">
        <v>15627.02</v>
      </c>
      <c r="H10995" s="27">
        <f t="shared" si="342"/>
        <v>15627.02</v>
      </c>
      <c r="I10995" s="18">
        <v>14845.67</v>
      </c>
      <c r="J10995" s="27">
        <v>15627.02</v>
      </c>
      <c r="K10995" s="18">
        <f t="shared" si="343"/>
        <v>15627.02</v>
      </c>
      <c r="L10995" s="27">
        <v>14845.67</v>
      </c>
      <c r="M10995" s="36">
        <v>0</v>
      </c>
      <c r="T10995" s="41">
        <v>0</v>
      </c>
      <c r="U10995" s="41">
        <v>0</v>
      </c>
      <c r="V10995" s="42" t="s">
        <v>113</v>
      </c>
      <c r="W10995" s="42">
        <v>15627.02</v>
      </c>
      <c r="X10995" s="42">
        <v>15627.02</v>
      </c>
    </row>
    <row r="10996" spans="1:24">
      <c r="A10996" s="93" t="s">
        <v>19897</v>
      </c>
      <c r="B10996" s="28" t="s">
        <v>19890</v>
      </c>
      <c r="C10996" s="27" t="s">
        <v>19898</v>
      </c>
      <c r="D10996" s="27" t="s">
        <v>17558</v>
      </c>
      <c r="E10996" s="29">
        <v>35795</v>
      </c>
      <c r="F10996" s="27">
        <v>12</v>
      </c>
      <c r="G10996" s="18">
        <v>15627.02</v>
      </c>
      <c r="H10996" s="27">
        <f t="shared" si="342"/>
        <v>15627.02</v>
      </c>
      <c r="I10996" s="18">
        <v>14845.67</v>
      </c>
      <c r="J10996" s="27">
        <v>15627.02</v>
      </c>
      <c r="K10996" s="18">
        <f t="shared" si="343"/>
        <v>15627.02</v>
      </c>
      <c r="L10996" s="27">
        <v>14845.67</v>
      </c>
      <c r="M10996" s="36">
        <v>0</v>
      </c>
      <c r="T10996" s="41">
        <v>0</v>
      </c>
      <c r="U10996" s="41">
        <v>0</v>
      </c>
      <c r="V10996" s="42" t="s">
        <v>113</v>
      </c>
      <c r="W10996" s="42">
        <v>15627.02</v>
      </c>
      <c r="X10996" s="42">
        <v>15627.02</v>
      </c>
    </row>
    <row r="10997" spans="1:24">
      <c r="A10997" s="93" t="s">
        <v>19899</v>
      </c>
      <c r="B10997" s="28" t="s">
        <v>19890</v>
      </c>
      <c r="C10997" s="27" t="s">
        <v>19900</v>
      </c>
      <c r="D10997" s="27" t="s">
        <v>17558</v>
      </c>
      <c r="E10997" s="29">
        <v>35795</v>
      </c>
      <c r="F10997" s="27">
        <v>12</v>
      </c>
      <c r="G10997" s="18">
        <v>15627.02</v>
      </c>
      <c r="H10997" s="27">
        <f t="shared" si="342"/>
        <v>15627.02</v>
      </c>
      <c r="I10997" s="18">
        <v>14845.67</v>
      </c>
      <c r="J10997" s="27">
        <v>15627.02</v>
      </c>
      <c r="K10997" s="18">
        <f t="shared" si="343"/>
        <v>15627.02</v>
      </c>
      <c r="L10997" s="27">
        <v>14845.67</v>
      </c>
      <c r="M10997" s="36">
        <v>0</v>
      </c>
      <c r="T10997" s="41">
        <v>0</v>
      </c>
      <c r="U10997" s="41">
        <v>0</v>
      </c>
      <c r="V10997" s="42" t="s">
        <v>113</v>
      </c>
      <c r="W10997" s="42">
        <v>15627.02</v>
      </c>
      <c r="X10997" s="42">
        <v>15627.02</v>
      </c>
    </row>
    <row r="10998" spans="1:24">
      <c r="A10998" s="93" t="s">
        <v>19901</v>
      </c>
      <c r="B10998" s="28" t="s">
        <v>19890</v>
      </c>
      <c r="C10998" s="27" t="s">
        <v>19902</v>
      </c>
      <c r="D10998" s="27" t="s">
        <v>17558</v>
      </c>
      <c r="E10998" s="29">
        <v>35795</v>
      </c>
      <c r="F10998" s="27">
        <v>12</v>
      </c>
      <c r="G10998" s="18">
        <v>15627.02</v>
      </c>
      <c r="H10998" s="27">
        <f t="shared" si="342"/>
        <v>15627.02</v>
      </c>
      <c r="I10998" s="18">
        <v>14845.67</v>
      </c>
      <c r="J10998" s="27">
        <v>15627.02</v>
      </c>
      <c r="K10998" s="18">
        <f t="shared" si="343"/>
        <v>15627.02</v>
      </c>
      <c r="L10998" s="27">
        <v>14845.67</v>
      </c>
      <c r="M10998" s="36">
        <v>0</v>
      </c>
      <c r="T10998" s="41">
        <v>0</v>
      </c>
      <c r="U10998" s="41">
        <v>0</v>
      </c>
      <c r="V10998" s="42" t="s">
        <v>113</v>
      </c>
      <c r="W10998" s="42">
        <v>15627.02</v>
      </c>
      <c r="X10998" s="42">
        <v>15627.02</v>
      </c>
    </row>
    <row r="10999" spans="1:24">
      <c r="A10999" s="93" t="s">
        <v>19903</v>
      </c>
      <c r="B10999" s="28" t="s">
        <v>19890</v>
      </c>
      <c r="C10999" s="27" t="s">
        <v>19904</v>
      </c>
      <c r="D10999" s="27" t="s">
        <v>17558</v>
      </c>
      <c r="E10999" s="29">
        <v>35795</v>
      </c>
      <c r="F10999" s="27">
        <v>12</v>
      </c>
      <c r="G10999" s="18">
        <v>15627.02</v>
      </c>
      <c r="H10999" s="27">
        <f t="shared" si="342"/>
        <v>15627.02</v>
      </c>
      <c r="I10999" s="18">
        <v>14845.67</v>
      </c>
      <c r="J10999" s="27">
        <v>15627.02</v>
      </c>
      <c r="K10999" s="18">
        <f t="shared" si="343"/>
        <v>15627.02</v>
      </c>
      <c r="L10999" s="27">
        <v>14845.67</v>
      </c>
      <c r="M10999" s="36">
        <v>0</v>
      </c>
      <c r="T10999" s="41">
        <v>0</v>
      </c>
      <c r="U10999" s="41">
        <v>0</v>
      </c>
      <c r="V10999" s="42" t="s">
        <v>113</v>
      </c>
      <c r="W10999" s="42">
        <v>15627.02</v>
      </c>
      <c r="X10999" s="42">
        <v>15627.02</v>
      </c>
    </row>
    <row r="11000" spans="1:24">
      <c r="A11000" s="93" t="s">
        <v>19905</v>
      </c>
      <c r="B11000" s="28" t="s">
        <v>19890</v>
      </c>
      <c r="C11000" s="27" t="s">
        <v>19906</v>
      </c>
      <c r="D11000" s="27" t="s">
        <v>17558</v>
      </c>
      <c r="E11000" s="29">
        <v>35795</v>
      </c>
      <c r="F11000" s="27">
        <v>12</v>
      </c>
      <c r="G11000" s="18">
        <v>15627.02</v>
      </c>
      <c r="H11000" s="27">
        <f t="shared" si="342"/>
        <v>15627.02</v>
      </c>
      <c r="I11000" s="18">
        <v>14845.67</v>
      </c>
      <c r="J11000" s="27">
        <v>15627.02</v>
      </c>
      <c r="K11000" s="18">
        <f t="shared" si="343"/>
        <v>15627.02</v>
      </c>
      <c r="L11000" s="27">
        <v>14845.67</v>
      </c>
      <c r="M11000" s="36">
        <v>0</v>
      </c>
      <c r="T11000" s="41">
        <v>0</v>
      </c>
      <c r="U11000" s="41">
        <v>0</v>
      </c>
      <c r="V11000" s="42" t="s">
        <v>113</v>
      </c>
      <c r="W11000" s="42">
        <v>15627.02</v>
      </c>
      <c r="X11000" s="42">
        <v>15627.02</v>
      </c>
    </row>
    <row r="11001" spans="1:24">
      <c r="A11001" s="93" t="s">
        <v>19907</v>
      </c>
      <c r="B11001" s="28" t="s">
        <v>19890</v>
      </c>
      <c r="C11001" s="27" t="s">
        <v>19908</v>
      </c>
      <c r="D11001" s="27" t="s">
        <v>17558</v>
      </c>
      <c r="E11001" s="29">
        <v>35795</v>
      </c>
      <c r="F11001" s="27">
        <v>12</v>
      </c>
      <c r="G11001" s="18">
        <v>15627.02</v>
      </c>
      <c r="H11001" s="27">
        <f t="shared" si="342"/>
        <v>15627.02</v>
      </c>
      <c r="I11001" s="18">
        <v>14845.67</v>
      </c>
      <c r="J11001" s="27">
        <v>15627.02</v>
      </c>
      <c r="K11001" s="18">
        <f t="shared" si="343"/>
        <v>15627.02</v>
      </c>
      <c r="L11001" s="27">
        <v>14845.67</v>
      </c>
      <c r="M11001" s="36">
        <v>0</v>
      </c>
      <c r="T11001" s="41">
        <v>0</v>
      </c>
      <c r="U11001" s="41">
        <v>0</v>
      </c>
      <c r="V11001" s="42" t="s">
        <v>113</v>
      </c>
      <c r="W11001" s="42">
        <v>15627.02</v>
      </c>
      <c r="X11001" s="42">
        <v>15627.02</v>
      </c>
    </row>
    <row r="11002" spans="1:24">
      <c r="A11002" s="93" t="s">
        <v>19909</v>
      </c>
      <c r="B11002" s="28" t="s">
        <v>19890</v>
      </c>
      <c r="C11002" s="27" t="s">
        <v>19910</v>
      </c>
      <c r="D11002" s="27" t="s">
        <v>17558</v>
      </c>
      <c r="E11002" s="29">
        <v>35795</v>
      </c>
      <c r="F11002" s="27">
        <v>12</v>
      </c>
      <c r="G11002" s="18">
        <v>15627.02</v>
      </c>
      <c r="H11002" s="27">
        <f t="shared" si="342"/>
        <v>15627.02</v>
      </c>
      <c r="I11002" s="18">
        <v>14845.67</v>
      </c>
      <c r="J11002" s="27">
        <v>15627.02</v>
      </c>
      <c r="K11002" s="18">
        <f t="shared" si="343"/>
        <v>15627.02</v>
      </c>
      <c r="L11002" s="27">
        <v>14845.67</v>
      </c>
      <c r="M11002" s="36">
        <v>0</v>
      </c>
      <c r="T11002" s="41">
        <v>0</v>
      </c>
      <c r="U11002" s="41">
        <v>0</v>
      </c>
      <c r="V11002" s="42" t="s">
        <v>113</v>
      </c>
      <c r="W11002" s="42">
        <v>15627.02</v>
      </c>
      <c r="X11002" s="42">
        <v>15627.02</v>
      </c>
    </row>
    <row r="11003" spans="1:24">
      <c r="A11003" s="93" t="s">
        <v>19911</v>
      </c>
      <c r="B11003" s="28" t="s">
        <v>19890</v>
      </c>
      <c r="C11003" s="27" t="s">
        <v>19912</v>
      </c>
      <c r="D11003" s="27" t="s">
        <v>17558</v>
      </c>
      <c r="E11003" s="29">
        <v>35795</v>
      </c>
      <c r="F11003" s="27">
        <v>12</v>
      </c>
      <c r="G11003" s="18">
        <v>15627.02</v>
      </c>
      <c r="H11003" s="27">
        <f t="shared" si="342"/>
        <v>15627.02</v>
      </c>
      <c r="I11003" s="18">
        <v>14845.67</v>
      </c>
      <c r="J11003" s="27">
        <v>15627.02</v>
      </c>
      <c r="K11003" s="18">
        <f t="shared" si="343"/>
        <v>15627.02</v>
      </c>
      <c r="L11003" s="27">
        <v>14845.67</v>
      </c>
      <c r="M11003" s="36">
        <v>0</v>
      </c>
      <c r="T11003" s="41">
        <v>0</v>
      </c>
      <c r="U11003" s="41">
        <v>0</v>
      </c>
      <c r="V11003" s="42" t="s">
        <v>113</v>
      </c>
      <c r="W11003" s="42">
        <v>15627.02</v>
      </c>
      <c r="X11003" s="42">
        <v>15627.02</v>
      </c>
    </row>
    <row r="11004" spans="1:24">
      <c r="A11004" s="93" t="s">
        <v>19913</v>
      </c>
      <c r="B11004" s="28" t="s">
        <v>19890</v>
      </c>
      <c r="C11004" s="27" t="s">
        <v>19914</v>
      </c>
      <c r="D11004" s="27" t="s">
        <v>17558</v>
      </c>
      <c r="E11004" s="29">
        <v>35795</v>
      </c>
      <c r="F11004" s="27">
        <v>12</v>
      </c>
      <c r="G11004" s="18">
        <v>15627.02</v>
      </c>
      <c r="H11004" s="27">
        <f t="shared" si="342"/>
        <v>15627.02</v>
      </c>
      <c r="I11004" s="18">
        <v>14845.67</v>
      </c>
      <c r="J11004" s="27">
        <v>15627.02</v>
      </c>
      <c r="K11004" s="18">
        <f t="shared" si="343"/>
        <v>15627.02</v>
      </c>
      <c r="L11004" s="27">
        <v>14845.67</v>
      </c>
      <c r="M11004" s="36">
        <v>0</v>
      </c>
      <c r="T11004" s="41">
        <v>0</v>
      </c>
      <c r="U11004" s="41">
        <v>0</v>
      </c>
      <c r="V11004" s="42" t="s">
        <v>113</v>
      </c>
      <c r="W11004" s="42">
        <v>15627.02</v>
      </c>
      <c r="X11004" s="42">
        <v>15627.02</v>
      </c>
    </row>
    <row r="11005" spans="1:24">
      <c r="A11005" s="93" t="s">
        <v>19915</v>
      </c>
      <c r="B11005" s="28" t="s">
        <v>19890</v>
      </c>
      <c r="C11005" s="27" t="s">
        <v>19916</v>
      </c>
      <c r="D11005" s="27" t="s">
        <v>17558</v>
      </c>
      <c r="E11005" s="29">
        <v>35795</v>
      </c>
      <c r="F11005" s="27">
        <v>12</v>
      </c>
      <c r="G11005" s="18">
        <v>15627.02</v>
      </c>
      <c r="H11005" s="27">
        <f t="shared" si="342"/>
        <v>15627.02</v>
      </c>
      <c r="I11005" s="18">
        <v>14845.67</v>
      </c>
      <c r="J11005" s="27">
        <v>15627.02</v>
      </c>
      <c r="K11005" s="18">
        <f t="shared" si="343"/>
        <v>15627.02</v>
      </c>
      <c r="L11005" s="27">
        <v>14845.67</v>
      </c>
      <c r="M11005" s="36">
        <v>0</v>
      </c>
      <c r="T11005" s="41">
        <v>0</v>
      </c>
      <c r="U11005" s="41">
        <v>0</v>
      </c>
      <c r="V11005" s="42" t="s">
        <v>113</v>
      </c>
      <c r="W11005" s="42">
        <v>15627.02</v>
      </c>
      <c r="X11005" s="42">
        <v>15627.02</v>
      </c>
    </row>
    <row r="11006" spans="1:24">
      <c r="A11006" s="27" t="s">
        <v>19917</v>
      </c>
      <c r="B11006" s="28" t="s">
        <v>19918</v>
      </c>
      <c r="C11006" s="27" t="s">
        <v>19919</v>
      </c>
      <c r="D11006" s="27" t="s">
        <v>17578</v>
      </c>
      <c r="E11006" s="29">
        <v>37287</v>
      </c>
      <c r="F11006" s="27">
        <v>8</v>
      </c>
      <c r="G11006" s="18">
        <v>1846855.67</v>
      </c>
      <c r="H11006" s="27">
        <f t="shared" si="342"/>
        <v>1846855.67</v>
      </c>
      <c r="I11006" s="18">
        <v>1754512.89</v>
      </c>
      <c r="J11006" s="27">
        <v>1795556.64</v>
      </c>
      <c r="K11006" s="18">
        <f t="shared" si="343"/>
        <v>1795556.64</v>
      </c>
      <c r="L11006" s="27">
        <v>1705778.81</v>
      </c>
      <c r="M11006" s="36">
        <v>-48734.080000000002</v>
      </c>
      <c r="N11006" s="18" t="s">
        <v>123</v>
      </c>
      <c r="O11006" s="19">
        <v>-51299.03</v>
      </c>
      <c r="T11006" s="41">
        <v>0</v>
      </c>
      <c r="U11006" s="41">
        <v>0</v>
      </c>
      <c r="V11006" s="42" t="s">
        <v>113</v>
      </c>
      <c r="W11006" s="42">
        <v>1795556.64</v>
      </c>
      <c r="X11006" s="42">
        <v>1795556.64</v>
      </c>
    </row>
    <row r="11007" spans="1:24">
      <c r="A11007" s="27" t="s">
        <v>19920</v>
      </c>
      <c r="B11007" s="28" t="s">
        <v>19918</v>
      </c>
      <c r="C11007" s="27" t="s">
        <v>19921</v>
      </c>
      <c r="D11007" s="27" t="s">
        <v>17578</v>
      </c>
      <c r="E11007" s="29">
        <v>40268</v>
      </c>
      <c r="F11007" s="27">
        <v>8</v>
      </c>
      <c r="G11007" s="18">
        <v>149996.72</v>
      </c>
      <c r="H11007" s="27">
        <f t="shared" si="342"/>
        <v>149996.72</v>
      </c>
      <c r="I11007" s="18">
        <v>142496.88</v>
      </c>
      <c r="J11007" s="27">
        <v>149996.72</v>
      </c>
      <c r="K11007" s="18">
        <f t="shared" si="343"/>
        <v>149996.72</v>
      </c>
      <c r="L11007" s="27">
        <v>142496.88</v>
      </c>
      <c r="M11007" s="36">
        <v>0</v>
      </c>
      <c r="T11007" s="41">
        <v>0</v>
      </c>
      <c r="U11007" s="41">
        <v>0</v>
      </c>
      <c r="V11007" s="42" t="s">
        <v>113</v>
      </c>
      <c r="W11007" s="42">
        <v>149996.72</v>
      </c>
      <c r="X11007" s="42">
        <v>149996.72</v>
      </c>
    </row>
    <row r="11008" spans="1:24">
      <c r="A11008" s="27" t="s">
        <v>19922</v>
      </c>
      <c r="B11008" s="28" t="s">
        <v>19918</v>
      </c>
      <c r="C11008" s="27" t="s">
        <v>19923</v>
      </c>
      <c r="D11008" s="27" t="s">
        <v>17578</v>
      </c>
      <c r="E11008" s="29">
        <v>40268</v>
      </c>
      <c r="F11008" s="27">
        <v>8</v>
      </c>
      <c r="G11008" s="18">
        <v>500</v>
      </c>
      <c r="H11008" s="27">
        <f t="shared" si="342"/>
        <v>500</v>
      </c>
      <c r="I11008" s="18">
        <v>500</v>
      </c>
      <c r="J11008" s="27">
        <v>500</v>
      </c>
      <c r="K11008" s="18">
        <f t="shared" si="343"/>
        <v>500</v>
      </c>
      <c r="L11008" s="27">
        <v>500</v>
      </c>
      <c r="M11008" s="36">
        <v>0</v>
      </c>
      <c r="T11008" s="41">
        <v>0</v>
      </c>
      <c r="U11008" s="41">
        <v>0</v>
      </c>
      <c r="V11008" s="42" t="s">
        <v>113</v>
      </c>
      <c r="W11008" s="42">
        <v>500</v>
      </c>
      <c r="X11008" s="42">
        <v>500</v>
      </c>
    </row>
    <row r="11009" spans="1:24">
      <c r="A11009" s="27" t="s">
        <v>19924</v>
      </c>
      <c r="B11009" s="28" t="s">
        <v>19918</v>
      </c>
      <c r="C11009" s="27" t="s">
        <v>19925</v>
      </c>
      <c r="D11009" s="27" t="s">
        <v>17578</v>
      </c>
      <c r="E11009" s="29">
        <v>40268</v>
      </c>
      <c r="F11009" s="27">
        <v>8</v>
      </c>
      <c r="G11009" s="18">
        <v>500</v>
      </c>
      <c r="H11009" s="27">
        <f t="shared" si="342"/>
        <v>500</v>
      </c>
      <c r="I11009" s="18">
        <v>500</v>
      </c>
      <c r="J11009" s="27">
        <v>500</v>
      </c>
      <c r="K11009" s="18">
        <f t="shared" si="343"/>
        <v>500</v>
      </c>
      <c r="L11009" s="27">
        <v>500</v>
      </c>
      <c r="M11009" s="36">
        <v>0</v>
      </c>
      <c r="T11009" s="41">
        <v>0</v>
      </c>
      <c r="U11009" s="41">
        <v>0</v>
      </c>
      <c r="V11009" s="42" t="s">
        <v>113</v>
      </c>
      <c r="W11009" s="42">
        <v>500</v>
      </c>
      <c r="X11009" s="42">
        <v>500</v>
      </c>
    </row>
    <row r="11010" spans="1:24">
      <c r="A11010" s="27" t="s">
        <v>19926</v>
      </c>
      <c r="B11010" s="28" t="s">
        <v>19918</v>
      </c>
      <c r="C11010" s="27" t="s">
        <v>19927</v>
      </c>
      <c r="D11010" s="27" t="s">
        <v>17578</v>
      </c>
      <c r="E11010" s="29">
        <v>40268</v>
      </c>
      <c r="F11010" s="27">
        <v>8</v>
      </c>
      <c r="G11010" s="18">
        <v>500</v>
      </c>
      <c r="H11010" s="27">
        <f t="shared" si="342"/>
        <v>500</v>
      </c>
      <c r="I11010" s="18">
        <v>500</v>
      </c>
      <c r="J11010" s="27">
        <v>500</v>
      </c>
      <c r="K11010" s="18">
        <f t="shared" si="343"/>
        <v>500</v>
      </c>
      <c r="L11010" s="27">
        <v>500</v>
      </c>
      <c r="M11010" s="36">
        <v>0</v>
      </c>
      <c r="T11010" s="41">
        <v>0</v>
      </c>
      <c r="U11010" s="41">
        <v>0</v>
      </c>
      <c r="V11010" s="42" t="s">
        <v>113</v>
      </c>
      <c r="W11010" s="42">
        <v>500</v>
      </c>
      <c r="X11010" s="42">
        <v>500</v>
      </c>
    </row>
    <row r="11011" spans="1:24">
      <c r="A11011" s="27" t="s">
        <v>19928</v>
      </c>
      <c r="B11011" s="28" t="s">
        <v>19918</v>
      </c>
      <c r="C11011" s="27" t="s">
        <v>19929</v>
      </c>
      <c r="D11011" s="27" t="s">
        <v>17578</v>
      </c>
      <c r="E11011" s="29">
        <v>40268</v>
      </c>
      <c r="F11011" s="27">
        <v>8</v>
      </c>
      <c r="G11011" s="18">
        <v>43374.18</v>
      </c>
      <c r="H11011" s="27">
        <f t="shared" si="342"/>
        <v>43374.18</v>
      </c>
      <c r="I11011" s="18">
        <v>41205.47</v>
      </c>
      <c r="J11011" s="27">
        <v>43374.18</v>
      </c>
      <c r="K11011" s="18">
        <f t="shared" si="343"/>
        <v>43374.18</v>
      </c>
      <c r="L11011" s="27">
        <v>41205.47</v>
      </c>
      <c r="M11011" s="36">
        <v>0</v>
      </c>
      <c r="T11011" s="41">
        <v>0</v>
      </c>
      <c r="U11011" s="41">
        <v>0</v>
      </c>
      <c r="V11011" s="42" t="s">
        <v>113</v>
      </c>
      <c r="W11011" s="42">
        <v>43374.18</v>
      </c>
      <c r="X11011" s="42">
        <v>43374.18</v>
      </c>
    </row>
    <row r="11012" spans="1:24">
      <c r="A11012" s="27" t="s">
        <v>19930</v>
      </c>
      <c r="B11012" s="28" t="s">
        <v>19918</v>
      </c>
      <c r="C11012" s="27" t="s">
        <v>19931</v>
      </c>
      <c r="D11012" s="27" t="s">
        <v>17578</v>
      </c>
      <c r="E11012" s="29">
        <v>40268</v>
      </c>
      <c r="F11012" s="27">
        <v>8</v>
      </c>
      <c r="G11012" s="18">
        <v>500</v>
      </c>
      <c r="H11012" s="27">
        <f t="shared" si="342"/>
        <v>500</v>
      </c>
      <c r="I11012" s="18">
        <v>500</v>
      </c>
      <c r="J11012" s="27">
        <v>500</v>
      </c>
      <c r="K11012" s="18">
        <f t="shared" si="343"/>
        <v>500</v>
      </c>
      <c r="L11012" s="27">
        <v>500</v>
      </c>
      <c r="M11012" s="36">
        <v>0</v>
      </c>
      <c r="T11012" s="41">
        <v>0</v>
      </c>
      <c r="U11012" s="41">
        <v>0</v>
      </c>
      <c r="V11012" s="42" t="s">
        <v>113</v>
      </c>
      <c r="W11012" s="42">
        <v>500</v>
      </c>
      <c r="X11012" s="42">
        <v>500</v>
      </c>
    </row>
    <row r="11013" spans="1:24">
      <c r="A11013" s="27" t="s">
        <v>19932</v>
      </c>
      <c r="B11013" s="28" t="s">
        <v>19918</v>
      </c>
      <c r="C11013" s="27" t="s">
        <v>19933</v>
      </c>
      <c r="D11013" s="27" t="s">
        <v>17578</v>
      </c>
      <c r="E11013" s="29">
        <v>40268</v>
      </c>
      <c r="F11013" s="27">
        <v>8</v>
      </c>
      <c r="G11013" s="18">
        <v>500</v>
      </c>
      <c r="H11013" s="27">
        <f t="shared" si="342"/>
        <v>500</v>
      </c>
      <c r="I11013" s="18">
        <v>500</v>
      </c>
      <c r="J11013" s="27">
        <v>500</v>
      </c>
      <c r="K11013" s="18">
        <f t="shared" si="343"/>
        <v>500</v>
      </c>
      <c r="L11013" s="27">
        <v>500</v>
      </c>
      <c r="M11013" s="36">
        <v>0</v>
      </c>
      <c r="T11013" s="41">
        <v>0</v>
      </c>
      <c r="U11013" s="41">
        <v>0</v>
      </c>
      <c r="V11013" s="42" t="s">
        <v>113</v>
      </c>
      <c r="W11013" s="42">
        <v>500</v>
      </c>
      <c r="X11013" s="42">
        <v>500</v>
      </c>
    </row>
    <row r="11014" spans="1:24">
      <c r="A11014" s="27" t="s">
        <v>19934</v>
      </c>
      <c r="B11014" s="28" t="s">
        <v>19918</v>
      </c>
      <c r="C11014" s="27" t="s">
        <v>19935</v>
      </c>
      <c r="D11014" s="27" t="s">
        <v>17578</v>
      </c>
      <c r="E11014" s="29">
        <v>40268</v>
      </c>
      <c r="F11014" s="27">
        <v>8</v>
      </c>
      <c r="G11014" s="18">
        <v>500</v>
      </c>
      <c r="H11014" s="27">
        <f t="shared" ref="H11014:H11077" si="344">IFERROR(IF(ROUND((G11014-I11014)/G11014,2)&lt;=0.05,G11014,0),0)</f>
        <v>500</v>
      </c>
      <c r="I11014" s="18">
        <v>500</v>
      </c>
      <c r="J11014" s="27">
        <v>500</v>
      </c>
      <c r="K11014" s="18">
        <f t="shared" ref="K11014:K11077" si="345">IFERROR(IF(ROUND((J11014-L11014)/J11014,2)&lt;=0.05,J11014,0),0)</f>
        <v>500</v>
      </c>
      <c r="L11014" s="27">
        <v>500</v>
      </c>
      <c r="M11014" s="36">
        <v>0</v>
      </c>
      <c r="T11014" s="41">
        <v>0</v>
      </c>
      <c r="U11014" s="41">
        <v>0</v>
      </c>
      <c r="V11014" s="42" t="s">
        <v>113</v>
      </c>
      <c r="W11014" s="42">
        <v>500</v>
      </c>
      <c r="X11014" s="42">
        <v>500</v>
      </c>
    </row>
    <row r="11015" spans="1:24">
      <c r="A11015" s="27" t="s">
        <v>19936</v>
      </c>
      <c r="B11015" s="28" t="s">
        <v>19918</v>
      </c>
      <c r="C11015" s="27" t="s">
        <v>19937</v>
      </c>
      <c r="D11015" s="27" t="s">
        <v>17578</v>
      </c>
      <c r="E11015" s="29">
        <v>40268</v>
      </c>
      <c r="F11015" s="27">
        <v>8</v>
      </c>
      <c r="G11015" s="18">
        <v>500</v>
      </c>
      <c r="H11015" s="27">
        <f t="shared" si="344"/>
        <v>500</v>
      </c>
      <c r="I11015" s="18">
        <v>500</v>
      </c>
      <c r="J11015" s="27">
        <v>500</v>
      </c>
      <c r="K11015" s="18">
        <f t="shared" si="345"/>
        <v>500</v>
      </c>
      <c r="L11015" s="27">
        <v>500</v>
      </c>
      <c r="M11015" s="36">
        <v>0</v>
      </c>
      <c r="T11015" s="41">
        <v>0</v>
      </c>
      <c r="U11015" s="41">
        <v>0</v>
      </c>
      <c r="V11015" s="42" t="s">
        <v>113</v>
      </c>
      <c r="W11015" s="42">
        <v>500</v>
      </c>
      <c r="X11015" s="42">
        <v>500</v>
      </c>
    </row>
    <row r="11016" spans="1:24">
      <c r="A11016" s="27" t="s">
        <v>19938</v>
      </c>
      <c r="B11016" s="28" t="s">
        <v>19918</v>
      </c>
      <c r="C11016" s="27" t="s">
        <v>19939</v>
      </c>
      <c r="D11016" s="27" t="s">
        <v>17578</v>
      </c>
      <c r="E11016" s="29">
        <v>40268</v>
      </c>
      <c r="F11016" s="27">
        <v>8</v>
      </c>
      <c r="G11016" s="18">
        <v>15317.58</v>
      </c>
      <c r="H11016" s="27">
        <f t="shared" si="344"/>
        <v>15317.58</v>
      </c>
      <c r="I11016" s="18">
        <v>14551.7</v>
      </c>
      <c r="J11016" s="27">
        <v>15317.58</v>
      </c>
      <c r="K11016" s="18">
        <f t="shared" si="345"/>
        <v>15317.58</v>
      </c>
      <c r="L11016" s="27">
        <v>14551.7</v>
      </c>
      <c r="M11016" s="36">
        <v>0</v>
      </c>
      <c r="T11016" s="41">
        <v>0</v>
      </c>
      <c r="U11016" s="41">
        <v>0</v>
      </c>
      <c r="V11016" s="42" t="s">
        <v>113</v>
      </c>
      <c r="W11016" s="42">
        <v>15317.58</v>
      </c>
      <c r="X11016" s="42">
        <v>15317.58</v>
      </c>
    </row>
    <row r="11017" spans="1:24">
      <c r="A11017" s="27" t="s">
        <v>19940</v>
      </c>
      <c r="B11017" s="28" t="s">
        <v>19918</v>
      </c>
      <c r="C11017" s="27" t="s">
        <v>19941</v>
      </c>
      <c r="D11017" s="27" t="s">
        <v>17578</v>
      </c>
      <c r="E11017" s="29">
        <v>40268</v>
      </c>
      <c r="F11017" s="27">
        <v>8</v>
      </c>
      <c r="G11017" s="18">
        <v>73543.95</v>
      </c>
      <c r="H11017" s="27">
        <f t="shared" si="344"/>
        <v>73543.95</v>
      </c>
      <c r="I11017" s="18">
        <v>69866.75</v>
      </c>
      <c r="J11017" s="27">
        <v>73543.95</v>
      </c>
      <c r="K11017" s="18">
        <f t="shared" si="345"/>
        <v>73543.95</v>
      </c>
      <c r="L11017" s="27">
        <v>69866.75</v>
      </c>
      <c r="M11017" s="36">
        <v>0</v>
      </c>
      <c r="T11017" s="41">
        <v>0</v>
      </c>
      <c r="U11017" s="41">
        <v>0</v>
      </c>
      <c r="V11017" s="42" t="s">
        <v>113</v>
      </c>
      <c r="W11017" s="42">
        <v>73543.95</v>
      </c>
      <c r="X11017" s="42">
        <v>73543.95</v>
      </c>
    </row>
    <row r="11018" spans="1:24">
      <c r="A11018" s="27" t="s">
        <v>19942</v>
      </c>
      <c r="B11018" s="28" t="s">
        <v>19918</v>
      </c>
      <c r="C11018" s="27" t="s">
        <v>19943</v>
      </c>
      <c r="D11018" s="27" t="s">
        <v>17578</v>
      </c>
      <c r="E11018" s="29">
        <v>40543</v>
      </c>
      <c r="F11018" s="27">
        <v>8</v>
      </c>
      <c r="G11018" s="18">
        <v>30903.03</v>
      </c>
      <c r="H11018" s="27">
        <f t="shared" si="344"/>
        <v>30903.03</v>
      </c>
      <c r="I11018" s="18">
        <v>29357.88</v>
      </c>
      <c r="J11018" s="27">
        <v>30903.03</v>
      </c>
      <c r="K11018" s="18">
        <f t="shared" si="345"/>
        <v>30903.03</v>
      </c>
      <c r="L11018" s="27">
        <v>29357.88</v>
      </c>
      <c r="M11018" s="36">
        <v>0</v>
      </c>
      <c r="T11018" s="41">
        <v>0</v>
      </c>
      <c r="U11018" s="41">
        <v>0</v>
      </c>
      <c r="V11018" s="42" t="s">
        <v>113</v>
      </c>
      <c r="W11018" s="42">
        <v>30903.03</v>
      </c>
      <c r="X11018" s="42">
        <v>30903.03</v>
      </c>
    </row>
    <row r="11019" spans="1:24">
      <c r="A11019" s="27" t="s">
        <v>19944</v>
      </c>
      <c r="B11019" s="28" t="s">
        <v>19918</v>
      </c>
      <c r="C11019" s="27" t="s">
        <v>19945</v>
      </c>
      <c r="D11019" s="27" t="s">
        <v>17578</v>
      </c>
      <c r="E11019" s="29">
        <v>40268</v>
      </c>
      <c r="F11019" s="27">
        <v>8</v>
      </c>
      <c r="G11019" s="18">
        <v>98327.4</v>
      </c>
      <c r="H11019" s="27">
        <f t="shared" si="344"/>
        <v>98327.4</v>
      </c>
      <c r="I11019" s="18">
        <v>93411.03</v>
      </c>
      <c r="J11019" s="27">
        <v>98327.4</v>
      </c>
      <c r="K11019" s="18">
        <f t="shared" si="345"/>
        <v>98327.4</v>
      </c>
      <c r="L11019" s="27">
        <v>93411.03</v>
      </c>
      <c r="M11019" s="36">
        <v>0</v>
      </c>
      <c r="T11019" s="41">
        <v>0</v>
      </c>
      <c r="U11019" s="41">
        <v>0</v>
      </c>
      <c r="V11019" s="42" t="s">
        <v>113</v>
      </c>
      <c r="W11019" s="42">
        <v>98327.4</v>
      </c>
      <c r="X11019" s="42">
        <v>98327.4</v>
      </c>
    </row>
    <row r="11020" spans="1:24">
      <c r="A11020" s="27" t="s">
        <v>19946</v>
      </c>
      <c r="B11020" s="28" t="s">
        <v>19918</v>
      </c>
      <c r="C11020" s="27" t="s">
        <v>2167</v>
      </c>
      <c r="D11020" s="27" t="s">
        <v>17578</v>
      </c>
      <c r="E11020" s="29">
        <v>40268</v>
      </c>
      <c r="F11020" s="27">
        <v>8</v>
      </c>
      <c r="G11020" s="18">
        <v>98327.4</v>
      </c>
      <c r="H11020" s="27">
        <f t="shared" si="344"/>
        <v>98327.4</v>
      </c>
      <c r="I11020" s="18">
        <v>93411.03</v>
      </c>
      <c r="J11020" s="27">
        <v>98327.4</v>
      </c>
      <c r="K11020" s="18">
        <f t="shared" si="345"/>
        <v>98327.4</v>
      </c>
      <c r="L11020" s="27">
        <v>93411.03</v>
      </c>
      <c r="M11020" s="36">
        <v>0</v>
      </c>
      <c r="T11020" s="41">
        <v>0</v>
      </c>
      <c r="U11020" s="41">
        <v>0</v>
      </c>
      <c r="V11020" s="42" t="s">
        <v>113</v>
      </c>
      <c r="W11020" s="42">
        <v>98327.4</v>
      </c>
      <c r="X11020" s="42">
        <v>98327.4</v>
      </c>
    </row>
    <row r="11021" spans="1:24">
      <c r="A11021" s="27" t="s">
        <v>19947</v>
      </c>
      <c r="B11021" s="28" t="s">
        <v>19918</v>
      </c>
      <c r="C11021" s="27" t="s">
        <v>19948</v>
      </c>
      <c r="D11021" s="27" t="s">
        <v>17578</v>
      </c>
      <c r="E11021" s="29">
        <v>40268</v>
      </c>
      <c r="F11021" s="27">
        <v>8</v>
      </c>
      <c r="G11021" s="18">
        <v>98327.4</v>
      </c>
      <c r="H11021" s="27">
        <f t="shared" si="344"/>
        <v>98327.4</v>
      </c>
      <c r="I11021" s="18">
        <v>93411.03</v>
      </c>
      <c r="J11021" s="27">
        <v>98327.4</v>
      </c>
      <c r="K11021" s="18">
        <f t="shared" si="345"/>
        <v>98327.4</v>
      </c>
      <c r="L11021" s="27">
        <v>93411.03</v>
      </c>
      <c r="M11021" s="36">
        <v>0</v>
      </c>
      <c r="T11021" s="41">
        <v>0</v>
      </c>
      <c r="U11021" s="41">
        <v>0</v>
      </c>
      <c r="V11021" s="42" t="s">
        <v>113</v>
      </c>
      <c r="W11021" s="42">
        <v>98327.4</v>
      </c>
      <c r="X11021" s="42">
        <v>98327.4</v>
      </c>
    </row>
    <row r="11022" spans="1:24">
      <c r="A11022" s="27" t="s">
        <v>19949</v>
      </c>
      <c r="B11022" s="28" t="s">
        <v>19918</v>
      </c>
      <c r="C11022" s="27" t="s">
        <v>19950</v>
      </c>
      <c r="D11022" s="27" t="s">
        <v>17578</v>
      </c>
      <c r="E11022" s="29">
        <v>40268</v>
      </c>
      <c r="F11022" s="27">
        <v>8</v>
      </c>
      <c r="G11022" s="18">
        <v>172072.91</v>
      </c>
      <c r="H11022" s="27">
        <f t="shared" si="344"/>
        <v>172072.91</v>
      </c>
      <c r="I11022" s="18">
        <v>163469.26</v>
      </c>
      <c r="J11022" s="27">
        <v>172072.91</v>
      </c>
      <c r="K11022" s="18">
        <f t="shared" si="345"/>
        <v>172072.91</v>
      </c>
      <c r="L11022" s="27">
        <v>163469.26</v>
      </c>
      <c r="M11022" s="36">
        <v>0</v>
      </c>
      <c r="T11022" s="41">
        <v>0</v>
      </c>
      <c r="U11022" s="41">
        <v>0</v>
      </c>
      <c r="V11022" s="42" t="s">
        <v>113</v>
      </c>
      <c r="W11022" s="42">
        <v>172072.91</v>
      </c>
      <c r="X11022" s="42">
        <v>172072.91</v>
      </c>
    </row>
    <row r="11023" spans="1:24">
      <c r="A11023" s="27" t="s">
        <v>19951</v>
      </c>
      <c r="B11023" s="28" t="s">
        <v>19918</v>
      </c>
      <c r="C11023" s="27" t="s">
        <v>19952</v>
      </c>
      <c r="D11023" s="27" t="s">
        <v>17578</v>
      </c>
      <c r="E11023" s="29">
        <v>40543</v>
      </c>
      <c r="F11023" s="27">
        <v>8</v>
      </c>
      <c r="G11023" s="18">
        <v>12000</v>
      </c>
      <c r="H11023" s="27">
        <f t="shared" si="344"/>
        <v>12000</v>
      </c>
      <c r="I11023" s="18">
        <v>11400</v>
      </c>
      <c r="J11023" s="27">
        <v>12000</v>
      </c>
      <c r="K11023" s="18">
        <f t="shared" si="345"/>
        <v>12000</v>
      </c>
      <c r="L11023" s="27">
        <v>11400</v>
      </c>
      <c r="M11023" s="36">
        <v>0</v>
      </c>
      <c r="T11023" s="41">
        <v>0</v>
      </c>
      <c r="U11023" s="41">
        <v>0</v>
      </c>
      <c r="V11023" s="42" t="s">
        <v>113</v>
      </c>
      <c r="W11023" s="42">
        <v>12000</v>
      </c>
      <c r="X11023" s="42">
        <v>12000</v>
      </c>
    </row>
    <row r="11024" spans="1:24">
      <c r="A11024" s="27" t="s">
        <v>19953</v>
      </c>
      <c r="B11024" s="28" t="s">
        <v>19918</v>
      </c>
      <c r="C11024" s="27" t="s">
        <v>19954</v>
      </c>
      <c r="D11024" s="27" t="s">
        <v>17578</v>
      </c>
      <c r="E11024" s="29">
        <v>40543</v>
      </c>
      <c r="F11024" s="27">
        <v>8</v>
      </c>
      <c r="G11024" s="18">
        <v>185526.01</v>
      </c>
      <c r="H11024" s="27">
        <f t="shared" si="344"/>
        <v>185526.01</v>
      </c>
      <c r="I11024" s="18">
        <v>176249.71</v>
      </c>
      <c r="J11024" s="27">
        <v>185526.01</v>
      </c>
      <c r="K11024" s="18">
        <f t="shared" si="345"/>
        <v>185526.01</v>
      </c>
      <c r="L11024" s="27">
        <v>176249.71</v>
      </c>
      <c r="M11024" s="36">
        <v>0</v>
      </c>
      <c r="T11024" s="41">
        <v>0</v>
      </c>
      <c r="U11024" s="41">
        <v>0</v>
      </c>
      <c r="V11024" s="42" t="s">
        <v>113</v>
      </c>
      <c r="W11024" s="42">
        <v>185526.01</v>
      </c>
      <c r="X11024" s="42">
        <v>185526.01</v>
      </c>
    </row>
    <row r="11025" spans="1:24">
      <c r="A11025" s="27" t="s">
        <v>19955</v>
      </c>
      <c r="B11025" s="28" t="s">
        <v>19918</v>
      </c>
      <c r="C11025" s="27" t="s">
        <v>19956</v>
      </c>
      <c r="D11025" s="27" t="s">
        <v>230</v>
      </c>
      <c r="E11025" s="29">
        <v>41270</v>
      </c>
      <c r="F11025" s="27">
        <v>8</v>
      </c>
      <c r="G11025" s="18">
        <v>142830.88</v>
      </c>
      <c r="H11025" s="27">
        <f t="shared" si="344"/>
        <v>0</v>
      </c>
      <c r="I11025" s="18">
        <v>117354.9</v>
      </c>
      <c r="J11025" s="27">
        <v>142830.88</v>
      </c>
      <c r="K11025" s="18">
        <f t="shared" si="345"/>
        <v>0</v>
      </c>
      <c r="L11025" s="27">
        <v>126522.12</v>
      </c>
      <c r="M11025" s="36">
        <v>9167.2199999999993</v>
      </c>
      <c r="T11025" s="41">
        <v>0</v>
      </c>
      <c r="U11025" s="41">
        <v>0</v>
      </c>
      <c r="V11025" s="42" t="s">
        <v>113</v>
      </c>
      <c r="W11025" s="42">
        <v>142830.88</v>
      </c>
      <c r="X11025" s="42">
        <v>142830.88</v>
      </c>
    </row>
    <row r="11026" spans="1:24">
      <c r="A11026" s="27" t="s">
        <v>19957</v>
      </c>
      <c r="B11026" s="28" t="s">
        <v>19918</v>
      </c>
      <c r="C11026" s="27" t="s">
        <v>19958</v>
      </c>
      <c r="D11026" s="27" t="s">
        <v>230</v>
      </c>
      <c r="E11026" s="29">
        <v>41270</v>
      </c>
      <c r="F11026" s="27">
        <v>8</v>
      </c>
      <c r="G11026" s="18">
        <v>142830.88</v>
      </c>
      <c r="H11026" s="27">
        <f t="shared" si="344"/>
        <v>0</v>
      </c>
      <c r="I11026" s="18">
        <v>117354.89</v>
      </c>
      <c r="J11026" s="27">
        <v>142830.88</v>
      </c>
      <c r="K11026" s="18">
        <f t="shared" si="345"/>
        <v>0</v>
      </c>
      <c r="L11026" s="27">
        <v>126522.12</v>
      </c>
      <c r="M11026" s="36">
        <v>9167.23</v>
      </c>
      <c r="T11026" s="41">
        <v>0</v>
      </c>
      <c r="U11026" s="41">
        <v>0</v>
      </c>
      <c r="V11026" s="42" t="s">
        <v>113</v>
      </c>
      <c r="W11026" s="42">
        <v>142830.88</v>
      </c>
      <c r="X11026" s="42">
        <v>142830.88</v>
      </c>
    </row>
    <row r="11027" spans="1:24">
      <c r="A11027" s="27" t="s">
        <v>19959</v>
      </c>
      <c r="B11027" s="28" t="s">
        <v>19918</v>
      </c>
      <c r="C11027" s="27" t="s">
        <v>19960</v>
      </c>
      <c r="D11027" s="27" t="s">
        <v>230</v>
      </c>
      <c r="E11027" s="29">
        <v>41270</v>
      </c>
      <c r="F11027" s="27">
        <v>8</v>
      </c>
      <c r="G11027" s="18">
        <v>142830.88</v>
      </c>
      <c r="H11027" s="27">
        <f t="shared" si="344"/>
        <v>0</v>
      </c>
      <c r="I11027" s="18">
        <v>117354.9</v>
      </c>
      <c r="J11027" s="27">
        <v>142830.88</v>
      </c>
      <c r="K11027" s="18">
        <f t="shared" si="345"/>
        <v>0</v>
      </c>
      <c r="L11027" s="27">
        <v>126522.12</v>
      </c>
      <c r="M11027" s="36">
        <v>9167.2199999999993</v>
      </c>
      <c r="T11027" s="41">
        <v>0</v>
      </c>
      <c r="U11027" s="41">
        <v>0</v>
      </c>
      <c r="V11027" s="42" t="s">
        <v>113</v>
      </c>
      <c r="W11027" s="42">
        <v>142830.88</v>
      </c>
      <c r="X11027" s="42">
        <v>142830.88</v>
      </c>
    </row>
    <row r="11028" spans="1:24">
      <c r="A11028" s="27" t="s">
        <v>19961</v>
      </c>
      <c r="B11028" s="28" t="s">
        <v>19918</v>
      </c>
      <c r="C11028" s="27" t="s">
        <v>19962</v>
      </c>
      <c r="D11028" s="27" t="s">
        <v>230</v>
      </c>
      <c r="E11028" s="29">
        <v>41270</v>
      </c>
      <c r="F11028" s="27">
        <v>8</v>
      </c>
      <c r="G11028" s="18">
        <v>142830.88</v>
      </c>
      <c r="H11028" s="27">
        <f t="shared" si="344"/>
        <v>0</v>
      </c>
      <c r="I11028" s="18">
        <v>117354.89</v>
      </c>
      <c r="J11028" s="27">
        <v>142830.88</v>
      </c>
      <c r="K11028" s="18">
        <f t="shared" si="345"/>
        <v>0</v>
      </c>
      <c r="L11028" s="27">
        <v>126522.12</v>
      </c>
      <c r="M11028" s="36">
        <v>9167.23</v>
      </c>
      <c r="T11028" s="41">
        <v>0</v>
      </c>
      <c r="U11028" s="41">
        <v>0</v>
      </c>
      <c r="V11028" s="42" t="s">
        <v>113</v>
      </c>
      <c r="W11028" s="42">
        <v>142830.88</v>
      </c>
      <c r="X11028" s="42">
        <v>142830.88</v>
      </c>
    </row>
    <row r="11029" spans="1:24">
      <c r="A11029" s="27" t="s">
        <v>19963</v>
      </c>
      <c r="B11029" s="28" t="s">
        <v>19918</v>
      </c>
      <c r="C11029" s="27" t="s">
        <v>19964</v>
      </c>
      <c r="D11029" s="27" t="s">
        <v>230</v>
      </c>
      <c r="E11029" s="29">
        <v>41270</v>
      </c>
      <c r="F11029" s="27">
        <v>8</v>
      </c>
      <c r="G11029" s="18">
        <v>142830.88</v>
      </c>
      <c r="H11029" s="27">
        <f t="shared" si="344"/>
        <v>0</v>
      </c>
      <c r="I11029" s="18">
        <v>99911.85</v>
      </c>
      <c r="J11029" s="27">
        <v>142830.88</v>
      </c>
      <c r="K11029" s="18">
        <f t="shared" si="345"/>
        <v>0</v>
      </c>
      <c r="L11029" s="27">
        <v>117800.6</v>
      </c>
      <c r="M11029" s="36">
        <v>17888.75</v>
      </c>
      <c r="T11029" s="41">
        <v>0</v>
      </c>
      <c r="U11029" s="41">
        <v>0</v>
      </c>
      <c r="V11029" s="42" t="s">
        <v>113</v>
      </c>
      <c r="W11029" s="42">
        <v>142830.88</v>
      </c>
      <c r="X11029" s="42">
        <v>142830.88</v>
      </c>
    </row>
    <row r="11030" spans="1:24">
      <c r="A11030" s="27" t="s">
        <v>19965</v>
      </c>
      <c r="B11030" s="28" t="s">
        <v>19918</v>
      </c>
      <c r="C11030" s="27" t="s">
        <v>19966</v>
      </c>
      <c r="D11030" s="27" t="s">
        <v>230</v>
      </c>
      <c r="E11030" s="29">
        <v>41270</v>
      </c>
      <c r="F11030" s="27">
        <v>8</v>
      </c>
      <c r="G11030" s="18">
        <v>142830.88</v>
      </c>
      <c r="H11030" s="27">
        <f t="shared" si="344"/>
        <v>0</v>
      </c>
      <c r="I11030" s="18">
        <v>96113.29</v>
      </c>
      <c r="J11030" s="27">
        <v>142830.88</v>
      </c>
      <c r="K11030" s="18">
        <f t="shared" si="345"/>
        <v>0</v>
      </c>
      <c r="L11030" s="27">
        <v>115901.32</v>
      </c>
      <c r="M11030" s="36">
        <v>19788.03</v>
      </c>
      <c r="T11030" s="41">
        <v>0</v>
      </c>
      <c r="U11030" s="41">
        <v>0</v>
      </c>
      <c r="V11030" s="42" t="s">
        <v>113</v>
      </c>
      <c r="W11030" s="42">
        <v>142830.88</v>
      </c>
      <c r="X11030" s="42">
        <v>142830.88</v>
      </c>
    </row>
    <row r="11031" spans="1:24">
      <c r="A11031" s="27" t="s">
        <v>19967</v>
      </c>
      <c r="B11031" s="28" t="s">
        <v>19918</v>
      </c>
      <c r="C11031" s="27" t="s">
        <v>19968</v>
      </c>
      <c r="D11031" s="27" t="s">
        <v>230</v>
      </c>
      <c r="E11031" s="29">
        <v>41270</v>
      </c>
      <c r="F11031" s="27">
        <v>8</v>
      </c>
      <c r="G11031" s="18">
        <v>142830.88</v>
      </c>
      <c r="H11031" s="27">
        <f t="shared" si="344"/>
        <v>0</v>
      </c>
      <c r="I11031" s="18">
        <v>96113.29</v>
      </c>
      <c r="J11031" s="27">
        <v>142830.88</v>
      </c>
      <c r="K11031" s="18">
        <f t="shared" si="345"/>
        <v>0</v>
      </c>
      <c r="L11031" s="27">
        <v>115901.32</v>
      </c>
      <c r="M11031" s="36">
        <v>19788.03</v>
      </c>
      <c r="T11031" s="41">
        <v>0</v>
      </c>
      <c r="U11031" s="41">
        <v>0</v>
      </c>
      <c r="V11031" s="42" t="s">
        <v>113</v>
      </c>
      <c r="W11031" s="42">
        <v>142830.88</v>
      </c>
      <c r="X11031" s="42">
        <v>142830.88</v>
      </c>
    </row>
    <row r="11032" spans="1:24">
      <c r="A11032" s="27" t="s">
        <v>19969</v>
      </c>
      <c r="B11032" s="28" t="s">
        <v>19918</v>
      </c>
      <c r="C11032" s="27" t="s">
        <v>19970</v>
      </c>
      <c r="D11032" s="27" t="s">
        <v>230</v>
      </c>
      <c r="E11032" s="29">
        <v>41270</v>
      </c>
      <c r="F11032" s="27">
        <v>8</v>
      </c>
      <c r="G11032" s="18">
        <v>142830.88</v>
      </c>
      <c r="H11032" s="27">
        <f t="shared" si="344"/>
        <v>0</v>
      </c>
      <c r="I11032" s="18">
        <v>96113.29</v>
      </c>
      <c r="J11032" s="27">
        <v>142830.88</v>
      </c>
      <c r="K11032" s="18">
        <f t="shared" si="345"/>
        <v>0</v>
      </c>
      <c r="L11032" s="27">
        <v>115901.32</v>
      </c>
      <c r="M11032" s="36">
        <v>19788.03</v>
      </c>
      <c r="T11032" s="41">
        <v>0</v>
      </c>
      <c r="U11032" s="41">
        <v>0</v>
      </c>
      <c r="V11032" s="42" t="s">
        <v>113</v>
      </c>
      <c r="W11032" s="42">
        <v>142830.88</v>
      </c>
      <c r="X11032" s="42">
        <v>142830.88</v>
      </c>
    </row>
    <row r="11033" spans="1:24">
      <c r="A11033" s="27" t="s">
        <v>19971</v>
      </c>
      <c r="B11033" s="28" t="s">
        <v>19918</v>
      </c>
      <c r="C11033" s="27" t="s">
        <v>19972</v>
      </c>
      <c r="D11033" s="27" t="s">
        <v>230</v>
      </c>
      <c r="E11033" s="29">
        <v>41270</v>
      </c>
      <c r="F11033" s="27">
        <v>8</v>
      </c>
      <c r="G11033" s="18">
        <v>142830.88</v>
      </c>
      <c r="H11033" s="27">
        <f t="shared" si="344"/>
        <v>0</v>
      </c>
      <c r="I11033" s="18">
        <v>96113.29</v>
      </c>
      <c r="J11033" s="27">
        <v>142830.88</v>
      </c>
      <c r="K11033" s="18">
        <f t="shared" si="345"/>
        <v>0</v>
      </c>
      <c r="L11033" s="27">
        <v>115901.32</v>
      </c>
      <c r="M11033" s="36">
        <v>19788.03</v>
      </c>
      <c r="T11033" s="41">
        <v>0</v>
      </c>
      <c r="U11033" s="41">
        <v>0</v>
      </c>
      <c r="V11033" s="42" t="s">
        <v>113</v>
      </c>
      <c r="W11033" s="42">
        <v>142830.88</v>
      </c>
      <c r="X11033" s="42">
        <v>142830.88</v>
      </c>
    </row>
    <row r="11034" spans="1:24">
      <c r="A11034" s="27" t="s">
        <v>19973</v>
      </c>
      <c r="B11034" s="28" t="s">
        <v>19918</v>
      </c>
      <c r="C11034" s="27" t="s">
        <v>19974</v>
      </c>
      <c r="D11034" s="27" t="s">
        <v>230</v>
      </c>
      <c r="E11034" s="29">
        <v>41270</v>
      </c>
      <c r="F11034" s="27">
        <v>8</v>
      </c>
      <c r="G11034" s="18">
        <v>142830.88</v>
      </c>
      <c r="H11034" s="27">
        <f t="shared" si="344"/>
        <v>0</v>
      </c>
      <c r="I11034" s="18">
        <v>96113.29</v>
      </c>
      <c r="J11034" s="27">
        <v>142830.88</v>
      </c>
      <c r="K11034" s="18">
        <f t="shared" si="345"/>
        <v>0</v>
      </c>
      <c r="L11034" s="27">
        <v>115901.32</v>
      </c>
      <c r="M11034" s="36">
        <v>19788.03</v>
      </c>
      <c r="T11034" s="41">
        <v>0</v>
      </c>
      <c r="U11034" s="41">
        <v>0</v>
      </c>
      <c r="V11034" s="42" t="s">
        <v>113</v>
      </c>
      <c r="W11034" s="42">
        <v>142830.88</v>
      </c>
      <c r="X11034" s="42">
        <v>142830.88</v>
      </c>
    </row>
    <row r="11035" spans="1:24">
      <c r="A11035" s="27" t="s">
        <v>19975</v>
      </c>
      <c r="B11035" s="28" t="s">
        <v>19918</v>
      </c>
      <c r="C11035" s="27" t="s">
        <v>19976</v>
      </c>
      <c r="D11035" s="27" t="s">
        <v>230</v>
      </c>
      <c r="E11035" s="29">
        <v>41270</v>
      </c>
      <c r="F11035" s="27">
        <v>8</v>
      </c>
      <c r="G11035" s="18">
        <v>142830.88</v>
      </c>
      <c r="H11035" s="27">
        <f t="shared" si="344"/>
        <v>0</v>
      </c>
      <c r="I11035" s="18">
        <v>96113.29</v>
      </c>
      <c r="J11035" s="27">
        <v>142830.88</v>
      </c>
      <c r="K11035" s="18">
        <f t="shared" si="345"/>
        <v>0</v>
      </c>
      <c r="L11035" s="27">
        <v>115901.32</v>
      </c>
      <c r="M11035" s="36">
        <v>19788.03</v>
      </c>
      <c r="T11035" s="41">
        <v>0</v>
      </c>
      <c r="U11035" s="41">
        <v>0</v>
      </c>
      <c r="V11035" s="42" t="s">
        <v>113</v>
      </c>
      <c r="W11035" s="42">
        <v>142830.88</v>
      </c>
      <c r="X11035" s="42">
        <v>142830.88</v>
      </c>
    </row>
    <row r="11036" spans="1:24">
      <c r="A11036" s="27" t="s">
        <v>19977</v>
      </c>
      <c r="B11036" s="28" t="s">
        <v>19918</v>
      </c>
      <c r="C11036" s="27" t="s">
        <v>19978</v>
      </c>
      <c r="D11036" s="27" t="s">
        <v>230</v>
      </c>
      <c r="E11036" s="29">
        <v>41270</v>
      </c>
      <c r="F11036" s="27">
        <v>8</v>
      </c>
      <c r="G11036" s="18">
        <v>142830.88</v>
      </c>
      <c r="H11036" s="27">
        <f t="shared" si="344"/>
        <v>0</v>
      </c>
      <c r="I11036" s="18">
        <v>96113.29</v>
      </c>
      <c r="J11036" s="27">
        <v>142830.88</v>
      </c>
      <c r="K11036" s="18">
        <f t="shared" si="345"/>
        <v>0</v>
      </c>
      <c r="L11036" s="27">
        <v>115901.32</v>
      </c>
      <c r="M11036" s="36">
        <v>19788.03</v>
      </c>
      <c r="T11036" s="41">
        <v>0</v>
      </c>
      <c r="U11036" s="41">
        <v>0</v>
      </c>
      <c r="V11036" s="42" t="s">
        <v>113</v>
      </c>
      <c r="W11036" s="42">
        <v>142830.88</v>
      </c>
      <c r="X11036" s="42">
        <v>142830.88</v>
      </c>
    </row>
    <row r="11037" spans="1:24">
      <c r="A11037" s="27" t="s">
        <v>19979</v>
      </c>
      <c r="B11037" s="28" t="s">
        <v>19918</v>
      </c>
      <c r="C11037" s="27" t="s">
        <v>19980</v>
      </c>
      <c r="D11037" s="27" t="s">
        <v>230</v>
      </c>
      <c r="E11037" s="29">
        <v>41270</v>
      </c>
      <c r="F11037" s="27">
        <v>8</v>
      </c>
      <c r="G11037" s="18">
        <v>142830.88</v>
      </c>
      <c r="H11037" s="27">
        <f t="shared" si="344"/>
        <v>0</v>
      </c>
      <c r="I11037" s="18">
        <v>96113.29</v>
      </c>
      <c r="J11037" s="27">
        <v>142830.88</v>
      </c>
      <c r="K11037" s="18">
        <f t="shared" si="345"/>
        <v>0</v>
      </c>
      <c r="L11037" s="27">
        <v>115901.32</v>
      </c>
      <c r="M11037" s="36">
        <v>19788.03</v>
      </c>
      <c r="T11037" s="41">
        <v>0</v>
      </c>
      <c r="U11037" s="41">
        <v>0</v>
      </c>
      <c r="V11037" s="42" t="s">
        <v>113</v>
      </c>
      <c r="W11037" s="42">
        <v>142830.88</v>
      </c>
      <c r="X11037" s="42">
        <v>142830.88</v>
      </c>
    </row>
    <row r="11038" spans="1:24">
      <c r="A11038" s="27" t="s">
        <v>19981</v>
      </c>
      <c r="B11038" s="28" t="s">
        <v>19918</v>
      </c>
      <c r="C11038" s="27" t="s">
        <v>19982</v>
      </c>
      <c r="D11038" s="27" t="s">
        <v>230</v>
      </c>
      <c r="E11038" s="29">
        <v>41270</v>
      </c>
      <c r="F11038" s="27">
        <v>8</v>
      </c>
      <c r="G11038" s="18">
        <v>142830.88</v>
      </c>
      <c r="H11038" s="27">
        <f t="shared" si="344"/>
        <v>0</v>
      </c>
      <c r="I11038" s="18">
        <v>96113.29</v>
      </c>
      <c r="J11038" s="27">
        <v>142830.88</v>
      </c>
      <c r="K11038" s="18">
        <f t="shared" si="345"/>
        <v>0</v>
      </c>
      <c r="L11038" s="27">
        <v>115901.32</v>
      </c>
      <c r="M11038" s="36">
        <v>19788.03</v>
      </c>
      <c r="T11038" s="41">
        <v>0</v>
      </c>
      <c r="U11038" s="41">
        <v>0</v>
      </c>
      <c r="V11038" s="42" t="s">
        <v>113</v>
      </c>
      <c r="W11038" s="42">
        <v>142830.88</v>
      </c>
      <c r="X11038" s="42">
        <v>142830.88</v>
      </c>
    </row>
    <row r="11039" spans="1:24">
      <c r="A11039" s="27" t="s">
        <v>19983</v>
      </c>
      <c r="B11039" s="28" t="s">
        <v>19918</v>
      </c>
      <c r="C11039" s="27" t="s">
        <v>19984</v>
      </c>
      <c r="D11039" s="27" t="s">
        <v>230</v>
      </c>
      <c r="E11039" s="29">
        <v>41270</v>
      </c>
      <c r="F11039" s="27">
        <v>8</v>
      </c>
      <c r="G11039" s="18">
        <v>142830.88</v>
      </c>
      <c r="H11039" s="27">
        <f t="shared" si="344"/>
        <v>0</v>
      </c>
      <c r="I11039" s="18">
        <v>96113.29</v>
      </c>
      <c r="J11039" s="27">
        <v>142830.88</v>
      </c>
      <c r="K11039" s="18">
        <f t="shared" si="345"/>
        <v>0</v>
      </c>
      <c r="L11039" s="27">
        <v>115901.32</v>
      </c>
      <c r="M11039" s="36">
        <v>19788.03</v>
      </c>
      <c r="T11039" s="41">
        <v>0</v>
      </c>
      <c r="U11039" s="41">
        <v>0</v>
      </c>
      <c r="V11039" s="42" t="s">
        <v>113</v>
      </c>
      <c r="W11039" s="42">
        <v>142830.88</v>
      </c>
      <c r="X11039" s="42">
        <v>142830.88</v>
      </c>
    </row>
    <row r="11040" spans="1:24">
      <c r="A11040" s="27" t="s">
        <v>19985</v>
      </c>
      <c r="B11040" s="28" t="s">
        <v>19918</v>
      </c>
      <c r="C11040" s="27" t="s">
        <v>19986</v>
      </c>
      <c r="D11040" s="27" t="s">
        <v>230</v>
      </c>
      <c r="E11040" s="29">
        <v>41270</v>
      </c>
      <c r="F11040" s="27">
        <v>8</v>
      </c>
      <c r="G11040" s="18">
        <v>142830.88</v>
      </c>
      <c r="H11040" s="27">
        <f t="shared" si="344"/>
        <v>0</v>
      </c>
      <c r="I11040" s="18">
        <v>96113.29</v>
      </c>
      <c r="J11040" s="27">
        <v>142830.88</v>
      </c>
      <c r="K11040" s="18">
        <f t="shared" si="345"/>
        <v>0</v>
      </c>
      <c r="L11040" s="27">
        <v>115901.32</v>
      </c>
      <c r="M11040" s="36">
        <v>19788.03</v>
      </c>
      <c r="T11040" s="41">
        <v>0</v>
      </c>
      <c r="U11040" s="41">
        <v>0</v>
      </c>
      <c r="V11040" s="42" t="s">
        <v>113</v>
      </c>
      <c r="W11040" s="42">
        <v>142830.88</v>
      </c>
      <c r="X11040" s="42">
        <v>142830.88</v>
      </c>
    </row>
    <row r="11041" spans="1:24">
      <c r="A11041" s="27" t="s">
        <v>19987</v>
      </c>
      <c r="B11041" s="28" t="s">
        <v>19918</v>
      </c>
      <c r="C11041" s="27" t="s">
        <v>19988</v>
      </c>
      <c r="D11041" s="27" t="s">
        <v>230</v>
      </c>
      <c r="E11041" s="29">
        <v>41270</v>
      </c>
      <c r="F11041" s="27">
        <v>8</v>
      </c>
      <c r="G11041" s="18">
        <v>142830.88</v>
      </c>
      <c r="H11041" s="27">
        <f t="shared" si="344"/>
        <v>0</v>
      </c>
      <c r="I11041" s="18">
        <v>96113.29</v>
      </c>
      <c r="J11041" s="27">
        <v>142830.88</v>
      </c>
      <c r="K11041" s="18">
        <f t="shared" si="345"/>
        <v>0</v>
      </c>
      <c r="L11041" s="27">
        <v>115901.32</v>
      </c>
      <c r="M11041" s="36">
        <v>19788.03</v>
      </c>
      <c r="T11041" s="41">
        <v>0</v>
      </c>
      <c r="U11041" s="41">
        <v>0</v>
      </c>
      <c r="V11041" s="42" t="s">
        <v>113</v>
      </c>
      <c r="W11041" s="42">
        <v>142830.88</v>
      </c>
      <c r="X11041" s="42">
        <v>142830.88</v>
      </c>
    </row>
    <row r="11042" spans="1:24">
      <c r="A11042" s="27" t="s">
        <v>19989</v>
      </c>
      <c r="B11042" s="28" t="s">
        <v>19918</v>
      </c>
      <c r="C11042" s="27" t="s">
        <v>19990</v>
      </c>
      <c r="D11042" s="27" t="s">
        <v>230</v>
      </c>
      <c r="E11042" s="29">
        <v>41270</v>
      </c>
      <c r="F11042" s="27">
        <v>8</v>
      </c>
      <c r="G11042" s="18">
        <v>142830.88</v>
      </c>
      <c r="H11042" s="27">
        <f t="shared" si="344"/>
        <v>0</v>
      </c>
      <c r="I11042" s="18">
        <v>96113.29</v>
      </c>
      <c r="J11042" s="27">
        <v>142830.88</v>
      </c>
      <c r="K11042" s="18">
        <f t="shared" si="345"/>
        <v>0</v>
      </c>
      <c r="L11042" s="27">
        <v>115901.32</v>
      </c>
      <c r="M11042" s="36">
        <v>19788.03</v>
      </c>
      <c r="T11042" s="41">
        <v>0</v>
      </c>
      <c r="U11042" s="41">
        <v>0</v>
      </c>
      <c r="V11042" s="42" t="s">
        <v>113</v>
      </c>
      <c r="W11042" s="42">
        <v>142830.88</v>
      </c>
      <c r="X11042" s="42">
        <v>142830.88</v>
      </c>
    </row>
    <row r="11043" spans="1:24">
      <c r="A11043" s="27" t="s">
        <v>19991</v>
      </c>
      <c r="B11043" s="28" t="s">
        <v>19918</v>
      </c>
      <c r="C11043" s="27" t="s">
        <v>19992</v>
      </c>
      <c r="D11043" s="27" t="s">
        <v>230</v>
      </c>
      <c r="E11043" s="29">
        <v>41270</v>
      </c>
      <c r="F11043" s="27">
        <v>8</v>
      </c>
      <c r="G11043" s="18">
        <v>142830.88</v>
      </c>
      <c r="H11043" s="27">
        <f t="shared" si="344"/>
        <v>0</v>
      </c>
      <c r="I11043" s="18">
        <v>96113.279999999999</v>
      </c>
      <c r="J11043" s="27">
        <v>142830.88</v>
      </c>
      <c r="K11043" s="18">
        <f t="shared" si="345"/>
        <v>0</v>
      </c>
      <c r="L11043" s="27">
        <v>115901.31</v>
      </c>
      <c r="M11043" s="36">
        <v>19788.03</v>
      </c>
      <c r="T11043" s="41">
        <v>0</v>
      </c>
      <c r="U11043" s="41">
        <v>0</v>
      </c>
      <c r="V11043" s="42" t="s">
        <v>113</v>
      </c>
      <c r="W11043" s="42">
        <v>142830.88</v>
      </c>
      <c r="X11043" s="42">
        <v>142830.88</v>
      </c>
    </row>
    <row r="11044" spans="1:24">
      <c r="A11044" s="27" t="s">
        <v>19993</v>
      </c>
      <c r="B11044" s="28" t="s">
        <v>19918</v>
      </c>
      <c r="C11044" s="27" t="s">
        <v>19994</v>
      </c>
      <c r="D11044" s="27" t="s">
        <v>230</v>
      </c>
      <c r="E11044" s="29">
        <v>41270</v>
      </c>
      <c r="F11044" s="27">
        <v>8</v>
      </c>
      <c r="G11044" s="18">
        <v>142830.88</v>
      </c>
      <c r="H11044" s="27">
        <f t="shared" si="344"/>
        <v>0</v>
      </c>
      <c r="I11044" s="18">
        <v>96113.29</v>
      </c>
      <c r="J11044" s="27">
        <v>142830.88</v>
      </c>
      <c r="K11044" s="18">
        <f t="shared" si="345"/>
        <v>0</v>
      </c>
      <c r="L11044" s="27">
        <v>115901.32</v>
      </c>
      <c r="M11044" s="36">
        <v>19788.03</v>
      </c>
      <c r="T11044" s="41">
        <v>0</v>
      </c>
      <c r="U11044" s="41">
        <v>0</v>
      </c>
      <c r="V11044" s="42" t="s">
        <v>113</v>
      </c>
      <c r="W11044" s="42">
        <v>142830.88</v>
      </c>
      <c r="X11044" s="42">
        <v>142830.88</v>
      </c>
    </row>
    <row r="11045" spans="1:24">
      <c r="A11045" s="27" t="s">
        <v>19995</v>
      </c>
      <c r="B11045" s="28" t="s">
        <v>19918</v>
      </c>
      <c r="C11045" s="27" t="s">
        <v>19996</v>
      </c>
      <c r="D11045" s="27" t="s">
        <v>230</v>
      </c>
      <c r="E11045" s="29">
        <v>41270</v>
      </c>
      <c r="F11045" s="27">
        <v>8</v>
      </c>
      <c r="G11045" s="18">
        <v>143359.88</v>
      </c>
      <c r="H11045" s="27">
        <f t="shared" si="344"/>
        <v>0</v>
      </c>
      <c r="I11045" s="18">
        <v>96469.26</v>
      </c>
      <c r="J11045" s="27">
        <v>143359.88</v>
      </c>
      <c r="K11045" s="18">
        <f t="shared" si="345"/>
        <v>0</v>
      </c>
      <c r="L11045" s="27">
        <v>116330.58</v>
      </c>
      <c r="M11045" s="36">
        <v>19861.32</v>
      </c>
      <c r="T11045" s="41">
        <v>0</v>
      </c>
      <c r="U11045" s="41">
        <v>0</v>
      </c>
      <c r="V11045" s="42" t="s">
        <v>113</v>
      </c>
      <c r="W11045" s="42">
        <v>143359.88</v>
      </c>
      <c r="X11045" s="42">
        <v>143359.88</v>
      </c>
    </row>
    <row r="11046" spans="1:24">
      <c r="A11046" s="27" t="s">
        <v>19997</v>
      </c>
      <c r="B11046" s="28" t="s">
        <v>19918</v>
      </c>
      <c r="C11046" s="27" t="s">
        <v>19998</v>
      </c>
      <c r="D11046" s="27" t="s">
        <v>230</v>
      </c>
      <c r="E11046" s="29">
        <v>41270</v>
      </c>
      <c r="F11046" s="27">
        <v>8</v>
      </c>
      <c r="G11046" s="18">
        <v>143359.88</v>
      </c>
      <c r="H11046" s="27">
        <f t="shared" si="344"/>
        <v>0</v>
      </c>
      <c r="I11046" s="18">
        <v>96469.26</v>
      </c>
      <c r="J11046" s="27">
        <v>143359.88</v>
      </c>
      <c r="K11046" s="18">
        <f t="shared" si="345"/>
        <v>0</v>
      </c>
      <c r="L11046" s="27">
        <v>116330.58</v>
      </c>
      <c r="M11046" s="36">
        <v>19861.32</v>
      </c>
      <c r="T11046" s="41">
        <v>0</v>
      </c>
      <c r="U11046" s="41">
        <v>0</v>
      </c>
      <c r="V11046" s="42" t="s">
        <v>113</v>
      </c>
      <c r="W11046" s="42">
        <v>143359.88</v>
      </c>
      <c r="X11046" s="42">
        <v>143359.88</v>
      </c>
    </row>
    <row r="11047" spans="1:24">
      <c r="A11047" s="27" t="s">
        <v>19999</v>
      </c>
      <c r="B11047" s="28" t="s">
        <v>19918</v>
      </c>
      <c r="C11047" s="27" t="s">
        <v>20000</v>
      </c>
      <c r="D11047" s="27" t="s">
        <v>230</v>
      </c>
      <c r="E11047" s="29">
        <v>41270</v>
      </c>
      <c r="F11047" s="27">
        <v>8</v>
      </c>
      <c r="G11047" s="18">
        <v>143359.88</v>
      </c>
      <c r="H11047" s="27">
        <f t="shared" si="344"/>
        <v>0</v>
      </c>
      <c r="I11047" s="18">
        <v>96469.26</v>
      </c>
      <c r="J11047" s="27">
        <v>143359.88</v>
      </c>
      <c r="K11047" s="18">
        <f t="shared" si="345"/>
        <v>0</v>
      </c>
      <c r="L11047" s="27">
        <v>116330.58</v>
      </c>
      <c r="M11047" s="36">
        <v>19861.32</v>
      </c>
      <c r="T11047" s="41">
        <v>0</v>
      </c>
      <c r="U11047" s="41">
        <v>0</v>
      </c>
      <c r="V11047" s="42" t="s">
        <v>113</v>
      </c>
      <c r="W11047" s="42">
        <v>143359.88</v>
      </c>
      <c r="X11047" s="42">
        <v>143359.88</v>
      </c>
    </row>
    <row r="11048" spans="1:24">
      <c r="A11048" s="27" t="s">
        <v>20001</v>
      </c>
      <c r="B11048" s="28" t="s">
        <v>19918</v>
      </c>
      <c r="C11048" s="27" t="s">
        <v>20002</v>
      </c>
      <c r="D11048" s="27" t="s">
        <v>230</v>
      </c>
      <c r="E11048" s="29">
        <v>41270</v>
      </c>
      <c r="F11048" s="27">
        <v>8</v>
      </c>
      <c r="G11048" s="18">
        <v>143359.88</v>
      </c>
      <c r="H11048" s="27">
        <f t="shared" si="344"/>
        <v>0</v>
      </c>
      <c r="I11048" s="18">
        <v>96469.26</v>
      </c>
      <c r="J11048" s="27">
        <v>143359.88</v>
      </c>
      <c r="K11048" s="18">
        <f t="shared" si="345"/>
        <v>0</v>
      </c>
      <c r="L11048" s="27">
        <v>116330.58</v>
      </c>
      <c r="M11048" s="36">
        <v>19861.32</v>
      </c>
      <c r="T11048" s="41">
        <v>0</v>
      </c>
      <c r="U11048" s="41">
        <v>0</v>
      </c>
      <c r="V11048" s="42" t="s">
        <v>113</v>
      </c>
      <c r="W11048" s="42">
        <v>143359.88</v>
      </c>
      <c r="X11048" s="42">
        <v>143359.88</v>
      </c>
    </row>
    <row r="11049" spans="1:24">
      <c r="A11049" s="27" t="s">
        <v>20003</v>
      </c>
      <c r="B11049" s="28" t="s">
        <v>19918</v>
      </c>
      <c r="C11049" s="27" t="s">
        <v>20004</v>
      </c>
      <c r="D11049" s="27" t="s">
        <v>230</v>
      </c>
      <c r="E11049" s="29">
        <v>41270</v>
      </c>
      <c r="F11049" s="27">
        <v>8</v>
      </c>
      <c r="G11049" s="18">
        <v>143359.88</v>
      </c>
      <c r="H11049" s="27">
        <f t="shared" si="344"/>
        <v>0</v>
      </c>
      <c r="I11049" s="18">
        <v>96469.26</v>
      </c>
      <c r="J11049" s="27">
        <v>143359.88</v>
      </c>
      <c r="K11049" s="18">
        <f t="shared" si="345"/>
        <v>0</v>
      </c>
      <c r="L11049" s="27">
        <v>116330.58</v>
      </c>
      <c r="M11049" s="36">
        <v>19861.32</v>
      </c>
      <c r="T11049" s="41">
        <v>0</v>
      </c>
      <c r="U11049" s="41">
        <v>0</v>
      </c>
      <c r="V11049" s="42" t="s">
        <v>113</v>
      </c>
      <c r="W11049" s="42">
        <v>143359.88</v>
      </c>
      <c r="X11049" s="42">
        <v>143359.88</v>
      </c>
    </row>
    <row r="11050" spans="1:24">
      <c r="A11050" s="27" t="s">
        <v>20005</v>
      </c>
      <c r="B11050" s="28" t="s">
        <v>19918</v>
      </c>
      <c r="C11050" s="27" t="s">
        <v>20006</v>
      </c>
      <c r="D11050" s="27" t="s">
        <v>230</v>
      </c>
      <c r="E11050" s="29">
        <v>41270</v>
      </c>
      <c r="F11050" s="27">
        <v>8</v>
      </c>
      <c r="G11050" s="18">
        <v>143359.88</v>
      </c>
      <c r="H11050" s="27">
        <f t="shared" si="344"/>
        <v>0</v>
      </c>
      <c r="I11050" s="18">
        <v>96469.26</v>
      </c>
      <c r="J11050" s="27">
        <v>143359.88</v>
      </c>
      <c r="K11050" s="18">
        <f t="shared" si="345"/>
        <v>0</v>
      </c>
      <c r="L11050" s="27">
        <v>116330.58</v>
      </c>
      <c r="M11050" s="36">
        <v>19861.32</v>
      </c>
      <c r="T11050" s="41">
        <v>0</v>
      </c>
      <c r="U11050" s="41">
        <v>0</v>
      </c>
      <c r="V11050" s="42" t="s">
        <v>113</v>
      </c>
      <c r="W11050" s="42">
        <v>143359.88</v>
      </c>
      <c r="X11050" s="42">
        <v>143359.88</v>
      </c>
    </row>
    <row r="11051" spans="1:24">
      <c r="A11051" s="27" t="s">
        <v>20007</v>
      </c>
      <c r="B11051" s="28" t="s">
        <v>19918</v>
      </c>
      <c r="C11051" s="27" t="s">
        <v>20008</v>
      </c>
      <c r="D11051" s="27" t="s">
        <v>230</v>
      </c>
      <c r="E11051" s="29">
        <v>41270</v>
      </c>
      <c r="F11051" s="27">
        <v>8</v>
      </c>
      <c r="G11051" s="18">
        <v>143359.88</v>
      </c>
      <c r="H11051" s="27">
        <f t="shared" si="344"/>
        <v>0</v>
      </c>
      <c r="I11051" s="18">
        <v>96469.26</v>
      </c>
      <c r="J11051" s="27">
        <v>143359.88</v>
      </c>
      <c r="K11051" s="18">
        <f t="shared" si="345"/>
        <v>0</v>
      </c>
      <c r="L11051" s="27">
        <v>116330.58</v>
      </c>
      <c r="M11051" s="36">
        <v>19861.32</v>
      </c>
      <c r="T11051" s="41">
        <v>0</v>
      </c>
      <c r="U11051" s="41">
        <v>0</v>
      </c>
      <c r="V11051" s="42" t="s">
        <v>113</v>
      </c>
      <c r="W11051" s="42">
        <v>143359.88</v>
      </c>
      <c r="X11051" s="42">
        <v>143359.88</v>
      </c>
    </row>
    <row r="11052" spans="1:24">
      <c r="A11052" s="27" t="s">
        <v>20009</v>
      </c>
      <c r="B11052" s="28" t="s">
        <v>19918</v>
      </c>
      <c r="C11052" s="27" t="s">
        <v>20010</v>
      </c>
      <c r="D11052" s="27" t="s">
        <v>230</v>
      </c>
      <c r="E11052" s="29">
        <v>41270</v>
      </c>
      <c r="F11052" s="27">
        <v>8</v>
      </c>
      <c r="G11052" s="18">
        <v>143359.88</v>
      </c>
      <c r="H11052" s="27">
        <f t="shared" si="344"/>
        <v>0</v>
      </c>
      <c r="I11052" s="18">
        <v>96469.26</v>
      </c>
      <c r="J11052" s="27">
        <v>143359.88</v>
      </c>
      <c r="K11052" s="18">
        <f t="shared" si="345"/>
        <v>0</v>
      </c>
      <c r="L11052" s="27">
        <v>116330.58</v>
      </c>
      <c r="M11052" s="36">
        <v>19861.32</v>
      </c>
      <c r="T11052" s="41">
        <v>0</v>
      </c>
      <c r="U11052" s="41">
        <v>0</v>
      </c>
      <c r="V11052" s="42" t="s">
        <v>113</v>
      </c>
      <c r="W11052" s="42">
        <v>143359.88</v>
      </c>
      <c r="X11052" s="42">
        <v>143359.88</v>
      </c>
    </row>
    <row r="11053" spans="1:24">
      <c r="A11053" s="27" t="s">
        <v>20011</v>
      </c>
      <c r="B11053" s="28" t="s">
        <v>19918</v>
      </c>
      <c r="C11053" s="27" t="s">
        <v>20012</v>
      </c>
      <c r="D11053" s="27" t="s">
        <v>230</v>
      </c>
      <c r="E11053" s="29">
        <v>41270</v>
      </c>
      <c r="F11053" s="27">
        <v>8</v>
      </c>
      <c r="G11053" s="18">
        <v>143359.88</v>
      </c>
      <c r="H11053" s="27">
        <f t="shared" si="344"/>
        <v>0</v>
      </c>
      <c r="I11053" s="18">
        <v>96469.26</v>
      </c>
      <c r="J11053" s="27">
        <v>143359.88</v>
      </c>
      <c r="K11053" s="18">
        <f t="shared" si="345"/>
        <v>0</v>
      </c>
      <c r="L11053" s="27">
        <v>116330.58</v>
      </c>
      <c r="M11053" s="36">
        <v>19861.32</v>
      </c>
      <c r="T11053" s="41">
        <v>0</v>
      </c>
      <c r="U11053" s="41">
        <v>0</v>
      </c>
      <c r="V11053" s="42" t="s">
        <v>113</v>
      </c>
      <c r="W11053" s="42">
        <v>143359.88</v>
      </c>
      <c r="X11053" s="42">
        <v>143359.88</v>
      </c>
    </row>
    <row r="11054" spans="1:24">
      <c r="A11054" s="27" t="s">
        <v>20013</v>
      </c>
      <c r="B11054" s="28" t="s">
        <v>19918</v>
      </c>
      <c r="C11054" s="27" t="s">
        <v>20014</v>
      </c>
      <c r="D11054" s="27" t="s">
        <v>230</v>
      </c>
      <c r="E11054" s="29">
        <v>41270</v>
      </c>
      <c r="F11054" s="27">
        <v>8</v>
      </c>
      <c r="G11054" s="18">
        <v>681901.79</v>
      </c>
      <c r="H11054" s="27">
        <f t="shared" si="344"/>
        <v>0</v>
      </c>
      <c r="I11054" s="18">
        <v>458863.07</v>
      </c>
      <c r="J11054" s="27">
        <v>681901.79</v>
      </c>
      <c r="K11054" s="18">
        <f t="shared" si="345"/>
        <v>0</v>
      </c>
      <c r="L11054" s="27">
        <v>553334.89</v>
      </c>
      <c r="M11054" s="36">
        <v>94471.82</v>
      </c>
      <c r="T11054" s="41">
        <v>0</v>
      </c>
      <c r="U11054" s="41">
        <v>0</v>
      </c>
      <c r="V11054" s="42" t="s">
        <v>113</v>
      </c>
      <c r="W11054" s="42">
        <v>681901.79</v>
      </c>
      <c r="X11054" s="42">
        <v>681901.79</v>
      </c>
    </row>
    <row r="11055" spans="1:24">
      <c r="A11055" s="27" t="s">
        <v>20015</v>
      </c>
      <c r="B11055" s="28" t="s">
        <v>19918</v>
      </c>
      <c r="C11055" s="27" t="s">
        <v>20016</v>
      </c>
      <c r="D11055" s="27" t="s">
        <v>118</v>
      </c>
      <c r="E11055" s="29">
        <v>41270</v>
      </c>
      <c r="F11055" s="27">
        <v>8</v>
      </c>
      <c r="G11055" s="18">
        <v>142830.95000000001</v>
      </c>
      <c r="H11055" s="27">
        <f t="shared" si="344"/>
        <v>0</v>
      </c>
      <c r="I11055" s="18">
        <v>117354.95</v>
      </c>
      <c r="J11055" s="27">
        <v>142830.95000000001</v>
      </c>
      <c r="K11055" s="18">
        <f t="shared" si="345"/>
        <v>0</v>
      </c>
      <c r="L11055" s="27">
        <v>126522.18</v>
      </c>
      <c r="M11055" s="36">
        <v>9167.23</v>
      </c>
      <c r="T11055" s="41">
        <v>0</v>
      </c>
      <c r="U11055" s="41">
        <v>0</v>
      </c>
      <c r="V11055" s="42" t="s">
        <v>113</v>
      </c>
      <c r="W11055" s="42">
        <v>142830.95000000001</v>
      </c>
      <c r="X11055" s="42">
        <v>142830.95000000001</v>
      </c>
    </row>
    <row r="11056" spans="1:24">
      <c r="A11056" s="27" t="s">
        <v>20017</v>
      </c>
      <c r="B11056" s="28" t="s">
        <v>19918</v>
      </c>
      <c r="C11056" s="27" t="s">
        <v>20018</v>
      </c>
      <c r="D11056" s="27" t="s">
        <v>118</v>
      </c>
      <c r="E11056" s="29">
        <v>41270</v>
      </c>
      <c r="F11056" s="27">
        <v>8</v>
      </c>
      <c r="G11056" s="18">
        <v>142830.88</v>
      </c>
      <c r="H11056" s="27">
        <f t="shared" si="344"/>
        <v>0</v>
      </c>
      <c r="I11056" s="18">
        <v>117354.9</v>
      </c>
      <c r="J11056" s="27">
        <v>142830.88</v>
      </c>
      <c r="K11056" s="18">
        <f t="shared" si="345"/>
        <v>0</v>
      </c>
      <c r="L11056" s="27">
        <v>126522.12</v>
      </c>
      <c r="M11056" s="36">
        <v>9167.2199999999993</v>
      </c>
      <c r="T11056" s="41">
        <v>0</v>
      </c>
      <c r="U11056" s="41">
        <v>0</v>
      </c>
      <c r="V11056" s="42" t="s">
        <v>113</v>
      </c>
      <c r="W11056" s="42">
        <v>142830.88</v>
      </c>
      <c r="X11056" s="42">
        <v>142830.88</v>
      </c>
    </row>
    <row r="11057" spans="1:24">
      <c r="A11057" s="27" t="s">
        <v>20019</v>
      </c>
      <c r="B11057" s="28" t="s">
        <v>19918</v>
      </c>
      <c r="C11057" s="27" t="s">
        <v>20020</v>
      </c>
      <c r="D11057" s="27" t="s">
        <v>118</v>
      </c>
      <c r="E11057" s="29">
        <v>41270</v>
      </c>
      <c r="F11057" s="27">
        <v>8</v>
      </c>
      <c r="G11057" s="18">
        <v>142830.88</v>
      </c>
      <c r="H11057" s="27">
        <f t="shared" si="344"/>
        <v>0</v>
      </c>
      <c r="I11057" s="18">
        <v>117354.9</v>
      </c>
      <c r="J11057" s="27">
        <v>142830.88</v>
      </c>
      <c r="K11057" s="18">
        <f t="shared" si="345"/>
        <v>0</v>
      </c>
      <c r="L11057" s="27">
        <v>126522.12</v>
      </c>
      <c r="M11057" s="36">
        <v>9167.2199999999993</v>
      </c>
      <c r="T11057" s="41">
        <v>0</v>
      </c>
      <c r="U11057" s="41">
        <v>0</v>
      </c>
      <c r="V11057" s="42" t="s">
        <v>113</v>
      </c>
      <c r="W11057" s="42">
        <v>142830.88</v>
      </c>
      <c r="X11057" s="42">
        <v>142830.88</v>
      </c>
    </row>
    <row r="11058" spans="1:24">
      <c r="A11058" s="27" t="s">
        <v>20021</v>
      </c>
      <c r="B11058" s="28" t="s">
        <v>19918</v>
      </c>
      <c r="C11058" s="27" t="s">
        <v>20022</v>
      </c>
      <c r="D11058" s="27" t="s">
        <v>118</v>
      </c>
      <c r="E11058" s="29">
        <v>41270</v>
      </c>
      <c r="F11058" s="27">
        <v>8</v>
      </c>
      <c r="G11058" s="18">
        <v>142830.88</v>
      </c>
      <c r="H11058" s="27">
        <f t="shared" si="344"/>
        <v>0</v>
      </c>
      <c r="I11058" s="18">
        <v>117354.9</v>
      </c>
      <c r="J11058" s="27">
        <v>142830.88</v>
      </c>
      <c r="K11058" s="18">
        <f t="shared" si="345"/>
        <v>0</v>
      </c>
      <c r="L11058" s="27">
        <v>126522.12</v>
      </c>
      <c r="M11058" s="36">
        <v>9167.2199999999993</v>
      </c>
      <c r="T11058" s="41">
        <v>0</v>
      </c>
      <c r="U11058" s="41">
        <v>0</v>
      </c>
      <c r="V11058" s="42" t="s">
        <v>113</v>
      </c>
      <c r="W11058" s="42">
        <v>142830.88</v>
      </c>
      <c r="X11058" s="42">
        <v>142830.88</v>
      </c>
    </row>
    <row r="11059" spans="1:24">
      <c r="A11059" s="27" t="s">
        <v>20023</v>
      </c>
      <c r="B11059" s="28" t="s">
        <v>19918</v>
      </c>
      <c r="C11059" s="27" t="s">
        <v>20024</v>
      </c>
      <c r="D11059" s="27" t="s">
        <v>118</v>
      </c>
      <c r="E11059" s="29">
        <v>41270</v>
      </c>
      <c r="F11059" s="27">
        <v>8</v>
      </c>
      <c r="G11059" s="18">
        <v>142830.88</v>
      </c>
      <c r="H11059" s="27">
        <f t="shared" si="344"/>
        <v>0</v>
      </c>
      <c r="I11059" s="18">
        <v>117354.89</v>
      </c>
      <c r="J11059" s="27">
        <v>142830.88</v>
      </c>
      <c r="K11059" s="18">
        <f t="shared" si="345"/>
        <v>0</v>
      </c>
      <c r="L11059" s="27">
        <v>126522.12</v>
      </c>
      <c r="M11059" s="36">
        <v>9167.23</v>
      </c>
      <c r="T11059" s="41">
        <v>0</v>
      </c>
      <c r="U11059" s="41">
        <v>0</v>
      </c>
      <c r="V11059" s="42" t="s">
        <v>113</v>
      </c>
      <c r="W11059" s="42">
        <v>142830.88</v>
      </c>
      <c r="X11059" s="42">
        <v>142830.88</v>
      </c>
    </row>
    <row r="11060" spans="1:24">
      <c r="A11060" s="27" t="s">
        <v>20025</v>
      </c>
      <c r="B11060" s="28" t="s">
        <v>19918</v>
      </c>
      <c r="C11060" s="27" t="s">
        <v>20026</v>
      </c>
      <c r="D11060" s="27" t="s">
        <v>118</v>
      </c>
      <c r="E11060" s="29">
        <v>41270</v>
      </c>
      <c r="F11060" s="27">
        <v>8</v>
      </c>
      <c r="G11060" s="18">
        <v>142830.88</v>
      </c>
      <c r="H11060" s="27">
        <f t="shared" si="344"/>
        <v>0</v>
      </c>
      <c r="I11060" s="18">
        <v>117354.9</v>
      </c>
      <c r="J11060" s="27">
        <v>142830.88</v>
      </c>
      <c r="K11060" s="18">
        <f t="shared" si="345"/>
        <v>0</v>
      </c>
      <c r="L11060" s="27">
        <v>126522.12</v>
      </c>
      <c r="M11060" s="36">
        <v>9167.2199999999993</v>
      </c>
      <c r="T11060" s="41">
        <v>0</v>
      </c>
      <c r="U11060" s="41">
        <v>0</v>
      </c>
      <c r="V11060" s="42" t="s">
        <v>113</v>
      </c>
      <c r="W11060" s="42">
        <v>142830.88</v>
      </c>
      <c r="X11060" s="42">
        <v>142830.88</v>
      </c>
    </row>
    <row r="11061" spans="1:24">
      <c r="A11061" s="27" t="s">
        <v>20027</v>
      </c>
      <c r="B11061" s="28" t="s">
        <v>19918</v>
      </c>
      <c r="C11061" s="27" t="s">
        <v>20028</v>
      </c>
      <c r="D11061" s="27" t="s">
        <v>118</v>
      </c>
      <c r="E11061" s="29">
        <v>41270</v>
      </c>
      <c r="F11061" s="27">
        <v>8</v>
      </c>
      <c r="G11061" s="18">
        <v>142830.88</v>
      </c>
      <c r="H11061" s="27">
        <f t="shared" si="344"/>
        <v>0</v>
      </c>
      <c r="I11061" s="18">
        <v>117354.89</v>
      </c>
      <c r="J11061" s="27">
        <v>142830.88</v>
      </c>
      <c r="K11061" s="18">
        <f t="shared" si="345"/>
        <v>0</v>
      </c>
      <c r="L11061" s="27">
        <v>126522.12</v>
      </c>
      <c r="M11061" s="36">
        <v>9167.23</v>
      </c>
      <c r="T11061" s="41">
        <v>0</v>
      </c>
      <c r="U11061" s="41">
        <v>0</v>
      </c>
      <c r="V11061" s="42" t="s">
        <v>113</v>
      </c>
      <c r="W11061" s="42">
        <v>142830.88</v>
      </c>
      <c r="X11061" s="42">
        <v>142830.88</v>
      </c>
    </row>
    <row r="11062" spans="1:24">
      <c r="A11062" s="27" t="s">
        <v>20029</v>
      </c>
      <c r="B11062" s="28" t="s">
        <v>19918</v>
      </c>
      <c r="C11062" s="27" t="s">
        <v>20030</v>
      </c>
      <c r="D11062" s="27" t="s">
        <v>118</v>
      </c>
      <c r="E11062" s="29">
        <v>41270</v>
      </c>
      <c r="F11062" s="27">
        <v>8</v>
      </c>
      <c r="G11062" s="18">
        <v>55436.4</v>
      </c>
      <c r="H11062" s="27">
        <f t="shared" si="344"/>
        <v>0</v>
      </c>
      <c r="I11062" s="18">
        <v>37304.07</v>
      </c>
      <c r="J11062" s="27">
        <v>55436.4</v>
      </c>
      <c r="K11062" s="18">
        <f t="shared" si="345"/>
        <v>0</v>
      </c>
      <c r="L11062" s="27">
        <v>44984.33</v>
      </c>
      <c r="M11062" s="36">
        <v>7680.26</v>
      </c>
      <c r="T11062" s="41">
        <v>0</v>
      </c>
      <c r="U11062" s="41">
        <v>0</v>
      </c>
      <c r="V11062" s="42" t="s">
        <v>113</v>
      </c>
      <c r="W11062" s="42">
        <v>55436.4</v>
      </c>
      <c r="X11062" s="42">
        <v>55436.4</v>
      </c>
    </row>
    <row r="11063" spans="1:24">
      <c r="A11063" s="27" t="s">
        <v>20031</v>
      </c>
      <c r="B11063" s="28" t="s">
        <v>19918</v>
      </c>
      <c r="C11063" s="27" t="s">
        <v>20032</v>
      </c>
      <c r="D11063" s="27" t="s">
        <v>118</v>
      </c>
      <c r="E11063" s="29">
        <v>41963</v>
      </c>
      <c r="F11063" s="27">
        <v>8</v>
      </c>
      <c r="G11063" s="18">
        <v>200000</v>
      </c>
      <c r="H11063" s="27">
        <f t="shared" si="344"/>
        <v>0</v>
      </c>
      <c r="I11063" s="18">
        <v>96979.17</v>
      </c>
      <c r="J11063" s="27">
        <v>200000</v>
      </c>
      <c r="K11063" s="18">
        <f t="shared" si="345"/>
        <v>0</v>
      </c>
      <c r="L11063" s="27">
        <v>120729.17</v>
      </c>
      <c r="M11063" s="36">
        <v>23750</v>
      </c>
      <c r="T11063" s="41">
        <v>0</v>
      </c>
      <c r="U11063" s="41">
        <v>0</v>
      </c>
      <c r="V11063" s="42" t="s">
        <v>113</v>
      </c>
      <c r="W11063" s="42">
        <v>0</v>
      </c>
      <c r="X11063" s="42">
        <v>0</v>
      </c>
    </row>
    <row r="11064" spans="1:24">
      <c r="A11064" s="27" t="s">
        <v>20033</v>
      </c>
      <c r="B11064" s="28" t="s">
        <v>19918</v>
      </c>
      <c r="C11064" s="27" t="s">
        <v>20034</v>
      </c>
      <c r="D11064" s="27" t="s">
        <v>220</v>
      </c>
      <c r="E11064" s="29">
        <v>41269</v>
      </c>
      <c r="F11064" s="27">
        <v>8</v>
      </c>
      <c r="G11064" s="18">
        <v>164248.88</v>
      </c>
      <c r="H11064" s="27">
        <f t="shared" si="344"/>
        <v>0</v>
      </c>
      <c r="I11064" s="18">
        <v>141083.31</v>
      </c>
      <c r="J11064" s="27">
        <v>164248.88</v>
      </c>
      <c r="K11064" s="18">
        <f t="shared" si="345"/>
        <v>0</v>
      </c>
      <c r="L11064" s="27">
        <v>148559.88</v>
      </c>
      <c r="M11064" s="36">
        <v>7476.57</v>
      </c>
      <c r="T11064" s="41">
        <v>0</v>
      </c>
      <c r="U11064" s="41">
        <v>0</v>
      </c>
      <c r="V11064" s="42" t="s">
        <v>113</v>
      </c>
      <c r="W11064" s="42">
        <v>164248.88</v>
      </c>
      <c r="X11064" s="42">
        <v>164248.88</v>
      </c>
    </row>
    <row r="11065" spans="1:24">
      <c r="A11065" s="27" t="s">
        <v>20035</v>
      </c>
      <c r="B11065" s="28" t="s">
        <v>19918</v>
      </c>
      <c r="C11065" s="27" t="s">
        <v>20036</v>
      </c>
      <c r="D11065" s="27" t="s">
        <v>220</v>
      </c>
      <c r="E11065" s="29">
        <v>41269</v>
      </c>
      <c r="F11065" s="27">
        <v>8</v>
      </c>
      <c r="G11065" s="18">
        <v>184248.88</v>
      </c>
      <c r="H11065" s="27">
        <f t="shared" si="344"/>
        <v>0</v>
      </c>
      <c r="I11065" s="18">
        <v>158262.51</v>
      </c>
      <c r="J11065" s="27">
        <v>184248.88</v>
      </c>
      <c r="K11065" s="18">
        <f t="shared" si="345"/>
        <v>0</v>
      </c>
      <c r="L11065" s="27">
        <v>166649.48000000001</v>
      </c>
      <c r="M11065" s="36">
        <v>8386.9699999999993</v>
      </c>
      <c r="T11065" s="41">
        <v>0</v>
      </c>
      <c r="U11065" s="41">
        <v>0</v>
      </c>
      <c r="V11065" s="42" t="s">
        <v>113</v>
      </c>
      <c r="W11065" s="42">
        <v>184248.88</v>
      </c>
      <c r="X11065" s="42">
        <v>184248.88</v>
      </c>
    </row>
    <row r="11066" spans="1:24">
      <c r="A11066" s="27" t="s">
        <v>20037</v>
      </c>
      <c r="B11066" s="28" t="s">
        <v>19918</v>
      </c>
      <c r="C11066" s="27" t="s">
        <v>20038</v>
      </c>
      <c r="D11066" s="27" t="s">
        <v>220</v>
      </c>
      <c r="E11066" s="29">
        <v>41269</v>
      </c>
      <c r="F11066" s="27">
        <v>8</v>
      </c>
      <c r="G11066" s="18">
        <v>184248.88</v>
      </c>
      <c r="H11066" s="27">
        <f t="shared" si="344"/>
        <v>0</v>
      </c>
      <c r="I11066" s="18">
        <v>158262.51</v>
      </c>
      <c r="J11066" s="27">
        <v>184248.88</v>
      </c>
      <c r="K11066" s="18">
        <f t="shared" si="345"/>
        <v>0</v>
      </c>
      <c r="L11066" s="27">
        <v>166649.48000000001</v>
      </c>
      <c r="M11066" s="36">
        <v>8386.9699999999993</v>
      </c>
      <c r="T11066" s="41">
        <v>0</v>
      </c>
      <c r="U11066" s="41">
        <v>0</v>
      </c>
      <c r="V11066" s="42" t="s">
        <v>113</v>
      </c>
      <c r="W11066" s="42">
        <v>184248.88</v>
      </c>
      <c r="X11066" s="42">
        <v>184248.88</v>
      </c>
    </row>
    <row r="11067" spans="1:24">
      <c r="A11067" s="27" t="s">
        <v>20039</v>
      </c>
      <c r="B11067" s="28" t="s">
        <v>19918</v>
      </c>
      <c r="C11067" s="27" t="s">
        <v>20040</v>
      </c>
      <c r="D11067" s="27" t="s">
        <v>220</v>
      </c>
      <c r="E11067" s="29">
        <v>41269</v>
      </c>
      <c r="F11067" s="27">
        <v>8</v>
      </c>
      <c r="G11067" s="18">
        <v>184248.88</v>
      </c>
      <c r="H11067" s="27">
        <f t="shared" si="344"/>
        <v>0</v>
      </c>
      <c r="I11067" s="18">
        <v>158262.51</v>
      </c>
      <c r="J11067" s="27">
        <v>184248.88</v>
      </c>
      <c r="K11067" s="18">
        <f t="shared" si="345"/>
        <v>0</v>
      </c>
      <c r="L11067" s="27">
        <v>166649.48000000001</v>
      </c>
      <c r="M11067" s="36">
        <v>8386.9699999999993</v>
      </c>
      <c r="T11067" s="41">
        <v>0</v>
      </c>
      <c r="U11067" s="41">
        <v>0</v>
      </c>
      <c r="V11067" s="42" t="s">
        <v>113</v>
      </c>
      <c r="W11067" s="42">
        <v>184248.88</v>
      </c>
      <c r="X11067" s="42">
        <v>184248.88</v>
      </c>
    </row>
    <row r="11068" spans="1:24">
      <c r="A11068" s="27" t="s">
        <v>20041</v>
      </c>
      <c r="B11068" s="28" t="s">
        <v>19918</v>
      </c>
      <c r="C11068" s="27" t="s">
        <v>20042</v>
      </c>
      <c r="D11068" s="27" t="s">
        <v>220</v>
      </c>
      <c r="E11068" s="29">
        <v>41269</v>
      </c>
      <c r="F11068" s="27">
        <v>8</v>
      </c>
      <c r="G11068" s="18">
        <v>184248.88</v>
      </c>
      <c r="H11068" s="27">
        <f t="shared" si="344"/>
        <v>0</v>
      </c>
      <c r="I11068" s="18">
        <v>158262.51</v>
      </c>
      <c r="J11068" s="27">
        <v>184248.88</v>
      </c>
      <c r="K11068" s="18">
        <f t="shared" si="345"/>
        <v>0</v>
      </c>
      <c r="L11068" s="27">
        <v>166649.48000000001</v>
      </c>
      <c r="M11068" s="36">
        <v>8386.9699999999993</v>
      </c>
      <c r="T11068" s="41">
        <v>0</v>
      </c>
      <c r="U11068" s="41">
        <v>0</v>
      </c>
      <c r="V11068" s="42" t="s">
        <v>113</v>
      </c>
      <c r="W11068" s="42">
        <v>184248.88</v>
      </c>
      <c r="X11068" s="42">
        <v>184248.88</v>
      </c>
    </row>
    <row r="11069" spans="1:24">
      <c r="A11069" s="27" t="s">
        <v>20043</v>
      </c>
      <c r="B11069" s="28" t="s">
        <v>19918</v>
      </c>
      <c r="C11069" s="27" t="s">
        <v>20044</v>
      </c>
      <c r="D11069" s="27" t="s">
        <v>220</v>
      </c>
      <c r="E11069" s="29">
        <v>41269</v>
      </c>
      <c r="F11069" s="27">
        <v>8</v>
      </c>
      <c r="G11069" s="18">
        <v>184248.88</v>
      </c>
      <c r="H11069" s="27">
        <f t="shared" si="344"/>
        <v>0</v>
      </c>
      <c r="I11069" s="18">
        <v>158262.51</v>
      </c>
      <c r="J11069" s="27">
        <v>184248.88</v>
      </c>
      <c r="K11069" s="18">
        <f t="shared" si="345"/>
        <v>0</v>
      </c>
      <c r="L11069" s="27">
        <v>166649.48000000001</v>
      </c>
      <c r="M11069" s="36">
        <v>8386.9699999999993</v>
      </c>
      <c r="T11069" s="41">
        <v>0</v>
      </c>
      <c r="U11069" s="41">
        <v>0</v>
      </c>
      <c r="V11069" s="42" t="s">
        <v>113</v>
      </c>
      <c r="W11069" s="42">
        <v>184248.88</v>
      </c>
      <c r="X11069" s="42">
        <v>184248.88</v>
      </c>
    </row>
    <row r="11070" spans="1:24">
      <c r="A11070" s="27" t="s">
        <v>20045</v>
      </c>
      <c r="B11070" s="28" t="s">
        <v>19918</v>
      </c>
      <c r="C11070" s="27" t="s">
        <v>20046</v>
      </c>
      <c r="D11070" s="27" t="s">
        <v>220</v>
      </c>
      <c r="E11070" s="29">
        <v>41269</v>
      </c>
      <c r="F11070" s="27">
        <v>8</v>
      </c>
      <c r="G11070" s="18">
        <v>184248.88</v>
      </c>
      <c r="H11070" s="27">
        <f t="shared" si="344"/>
        <v>0</v>
      </c>
      <c r="I11070" s="18">
        <v>158262.51</v>
      </c>
      <c r="J11070" s="27">
        <v>184248.88</v>
      </c>
      <c r="K11070" s="18">
        <f t="shared" si="345"/>
        <v>0</v>
      </c>
      <c r="L11070" s="27">
        <v>166649.48000000001</v>
      </c>
      <c r="M11070" s="36">
        <v>8386.9699999999993</v>
      </c>
      <c r="T11070" s="41">
        <v>0</v>
      </c>
      <c r="U11070" s="41">
        <v>0</v>
      </c>
      <c r="V11070" s="42" t="s">
        <v>113</v>
      </c>
      <c r="W11070" s="42">
        <v>184248.88</v>
      </c>
      <c r="X11070" s="42">
        <v>184248.88</v>
      </c>
    </row>
    <row r="11071" spans="1:24">
      <c r="A11071" s="27" t="s">
        <v>20047</v>
      </c>
      <c r="B11071" s="28" t="s">
        <v>19918</v>
      </c>
      <c r="C11071" s="27" t="s">
        <v>20048</v>
      </c>
      <c r="D11071" s="27" t="s">
        <v>220</v>
      </c>
      <c r="E11071" s="29">
        <v>41269</v>
      </c>
      <c r="F11071" s="27">
        <v>8</v>
      </c>
      <c r="G11071" s="18">
        <v>184248.88</v>
      </c>
      <c r="H11071" s="27">
        <f t="shared" si="344"/>
        <v>0</v>
      </c>
      <c r="I11071" s="18">
        <v>158262.51</v>
      </c>
      <c r="J11071" s="27">
        <v>184248.88</v>
      </c>
      <c r="K11071" s="18">
        <f t="shared" si="345"/>
        <v>0</v>
      </c>
      <c r="L11071" s="27">
        <v>166649.48000000001</v>
      </c>
      <c r="M11071" s="36">
        <v>8386.9699999999993</v>
      </c>
      <c r="T11071" s="41">
        <v>0</v>
      </c>
      <c r="U11071" s="41">
        <v>0</v>
      </c>
      <c r="V11071" s="42" t="s">
        <v>113</v>
      </c>
      <c r="W11071" s="42">
        <v>184248.88</v>
      </c>
      <c r="X11071" s="42">
        <v>184248.88</v>
      </c>
    </row>
    <row r="11072" spans="1:24">
      <c r="A11072" s="27" t="s">
        <v>20049</v>
      </c>
      <c r="B11072" s="28" t="s">
        <v>19918</v>
      </c>
      <c r="C11072" s="27" t="s">
        <v>20050</v>
      </c>
      <c r="D11072" s="27" t="s">
        <v>220</v>
      </c>
      <c r="E11072" s="29">
        <v>41269</v>
      </c>
      <c r="F11072" s="27">
        <v>8</v>
      </c>
      <c r="G11072" s="18">
        <v>184248.88</v>
      </c>
      <c r="H11072" s="27">
        <f t="shared" si="344"/>
        <v>0</v>
      </c>
      <c r="I11072" s="18">
        <v>158262.51</v>
      </c>
      <c r="J11072" s="27">
        <v>184248.88</v>
      </c>
      <c r="K11072" s="18">
        <f t="shared" si="345"/>
        <v>0</v>
      </c>
      <c r="L11072" s="27">
        <v>166649.48000000001</v>
      </c>
      <c r="M11072" s="36">
        <v>8386.9699999999993</v>
      </c>
      <c r="T11072" s="41">
        <v>0</v>
      </c>
      <c r="U11072" s="41">
        <v>0</v>
      </c>
      <c r="V11072" s="42" t="s">
        <v>113</v>
      </c>
      <c r="W11072" s="42">
        <v>184248.88</v>
      </c>
      <c r="X11072" s="42">
        <v>184248.88</v>
      </c>
    </row>
    <row r="11073" spans="1:24">
      <c r="A11073" s="27" t="s">
        <v>20051</v>
      </c>
      <c r="B11073" s="28" t="s">
        <v>19918</v>
      </c>
      <c r="C11073" s="27" t="s">
        <v>20052</v>
      </c>
      <c r="D11073" s="27" t="s">
        <v>220</v>
      </c>
      <c r="E11073" s="29">
        <v>41269</v>
      </c>
      <c r="F11073" s="27">
        <v>8</v>
      </c>
      <c r="G11073" s="18">
        <v>184248.88</v>
      </c>
      <c r="H11073" s="27">
        <f t="shared" si="344"/>
        <v>0</v>
      </c>
      <c r="I11073" s="18">
        <v>158262.51</v>
      </c>
      <c r="J11073" s="27">
        <v>184248.88</v>
      </c>
      <c r="K11073" s="18">
        <f t="shared" si="345"/>
        <v>0</v>
      </c>
      <c r="L11073" s="27">
        <v>166649.48000000001</v>
      </c>
      <c r="M11073" s="36">
        <v>8386.9699999999993</v>
      </c>
      <c r="T11073" s="41">
        <v>0</v>
      </c>
      <c r="U11073" s="41">
        <v>0</v>
      </c>
      <c r="V11073" s="42" t="s">
        <v>113</v>
      </c>
      <c r="W11073" s="42">
        <v>184248.88</v>
      </c>
      <c r="X11073" s="42">
        <v>184248.88</v>
      </c>
    </row>
    <row r="11074" spans="1:24">
      <c r="A11074" s="27" t="s">
        <v>20053</v>
      </c>
      <c r="B11074" s="28" t="s">
        <v>19918</v>
      </c>
      <c r="C11074" s="27" t="s">
        <v>20054</v>
      </c>
      <c r="D11074" s="27" t="s">
        <v>118</v>
      </c>
      <c r="E11074" s="29">
        <v>41269</v>
      </c>
      <c r="F11074" s="27">
        <v>8</v>
      </c>
      <c r="G11074" s="18">
        <v>184248.88</v>
      </c>
      <c r="H11074" s="27">
        <f t="shared" si="344"/>
        <v>0</v>
      </c>
      <c r="I11074" s="18">
        <v>158262.51</v>
      </c>
      <c r="J11074" s="27">
        <v>184248.88</v>
      </c>
      <c r="K11074" s="18">
        <f t="shared" si="345"/>
        <v>0</v>
      </c>
      <c r="L11074" s="27">
        <v>166649.48000000001</v>
      </c>
      <c r="M11074" s="36">
        <v>8386.9699999999993</v>
      </c>
      <c r="T11074" s="41">
        <v>0</v>
      </c>
      <c r="U11074" s="41">
        <v>0</v>
      </c>
      <c r="V11074" s="42" t="s">
        <v>113</v>
      </c>
      <c r="W11074" s="42">
        <v>184248.88</v>
      </c>
      <c r="X11074" s="42">
        <v>184248.88</v>
      </c>
    </row>
    <row r="11075" spans="1:24">
      <c r="A11075" s="27" t="s">
        <v>20055</v>
      </c>
      <c r="B11075" s="28" t="s">
        <v>19918</v>
      </c>
      <c r="C11075" s="27" t="s">
        <v>20056</v>
      </c>
      <c r="D11075" s="27" t="s">
        <v>118</v>
      </c>
      <c r="E11075" s="29">
        <v>41269</v>
      </c>
      <c r="F11075" s="27">
        <v>8</v>
      </c>
      <c r="G11075" s="18">
        <v>184248.88</v>
      </c>
      <c r="H11075" s="27">
        <f t="shared" si="344"/>
        <v>0</v>
      </c>
      <c r="I11075" s="18">
        <v>158262.51</v>
      </c>
      <c r="J11075" s="27">
        <v>184248.88</v>
      </c>
      <c r="K11075" s="18">
        <f t="shared" si="345"/>
        <v>0</v>
      </c>
      <c r="L11075" s="27">
        <v>166649.48000000001</v>
      </c>
      <c r="M11075" s="36">
        <v>8386.9699999999993</v>
      </c>
      <c r="T11075" s="41">
        <v>0</v>
      </c>
      <c r="U11075" s="41">
        <v>0</v>
      </c>
      <c r="V11075" s="42" t="s">
        <v>113</v>
      </c>
      <c r="W11075" s="42">
        <v>184248.88</v>
      </c>
      <c r="X11075" s="42">
        <v>184248.88</v>
      </c>
    </row>
    <row r="11076" spans="1:24">
      <c r="A11076" s="27" t="s">
        <v>20057</v>
      </c>
      <c r="B11076" s="28" t="s">
        <v>19918</v>
      </c>
      <c r="C11076" s="27" t="s">
        <v>20058</v>
      </c>
      <c r="D11076" s="27" t="s">
        <v>118</v>
      </c>
      <c r="E11076" s="29">
        <v>41269</v>
      </c>
      <c r="F11076" s="27">
        <v>8</v>
      </c>
      <c r="G11076" s="18">
        <v>184248.87</v>
      </c>
      <c r="H11076" s="27">
        <f t="shared" si="344"/>
        <v>0</v>
      </c>
      <c r="I11076" s="18">
        <v>158262.5</v>
      </c>
      <c r="J11076" s="27">
        <v>184248.87</v>
      </c>
      <c r="K11076" s="18">
        <f t="shared" si="345"/>
        <v>0</v>
      </c>
      <c r="L11076" s="27">
        <v>166649.47</v>
      </c>
      <c r="M11076" s="36">
        <v>8386.9699999999993</v>
      </c>
      <c r="T11076" s="41">
        <v>0</v>
      </c>
      <c r="U11076" s="41">
        <v>0</v>
      </c>
      <c r="V11076" s="42" t="s">
        <v>113</v>
      </c>
      <c r="W11076" s="42">
        <v>184248.87</v>
      </c>
      <c r="X11076" s="42">
        <v>184248.87</v>
      </c>
    </row>
    <row r="11077" spans="1:24">
      <c r="A11077" s="27" t="s">
        <v>20059</v>
      </c>
      <c r="B11077" s="28" t="s">
        <v>19918</v>
      </c>
      <c r="C11077" s="27" t="s">
        <v>20060</v>
      </c>
      <c r="D11077" s="27" t="s">
        <v>118</v>
      </c>
      <c r="E11077" s="29">
        <v>41269</v>
      </c>
      <c r="F11077" s="27">
        <v>8</v>
      </c>
      <c r="G11077" s="18">
        <v>184248.87</v>
      </c>
      <c r="H11077" s="27">
        <f t="shared" si="344"/>
        <v>0</v>
      </c>
      <c r="I11077" s="18">
        <v>158262.5</v>
      </c>
      <c r="J11077" s="27">
        <v>184248.87</v>
      </c>
      <c r="K11077" s="18">
        <f t="shared" si="345"/>
        <v>0</v>
      </c>
      <c r="L11077" s="27">
        <v>166649.47</v>
      </c>
      <c r="M11077" s="36">
        <v>8386.9699999999993</v>
      </c>
      <c r="T11077" s="41">
        <v>0</v>
      </c>
      <c r="U11077" s="41">
        <v>0</v>
      </c>
      <c r="V11077" s="42" t="s">
        <v>113</v>
      </c>
      <c r="W11077" s="42">
        <v>184248.87</v>
      </c>
      <c r="X11077" s="42">
        <v>184248.87</v>
      </c>
    </row>
    <row r="11078" spans="1:24">
      <c r="A11078" s="27" t="s">
        <v>20061</v>
      </c>
      <c r="B11078" s="28" t="s">
        <v>19918</v>
      </c>
      <c r="C11078" s="27" t="s">
        <v>20062</v>
      </c>
      <c r="D11078" s="27" t="s">
        <v>118</v>
      </c>
      <c r="E11078" s="29">
        <v>41269</v>
      </c>
      <c r="F11078" s="27">
        <v>8</v>
      </c>
      <c r="G11078" s="18">
        <v>184248.87</v>
      </c>
      <c r="H11078" s="27">
        <f t="shared" ref="H11078:H11141" si="346">IFERROR(IF(ROUND((G11078-I11078)/G11078,2)&lt;=0.05,G11078,0),0)</f>
        <v>0</v>
      </c>
      <c r="I11078" s="18">
        <v>158262.5</v>
      </c>
      <c r="J11078" s="27">
        <v>184248.87</v>
      </c>
      <c r="K11078" s="18">
        <f t="shared" ref="K11078:K11141" si="347">IFERROR(IF(ROUND((J11078-L11078)/J11078,2)&lt;=0.05,J11078,0),0)</f>
        <v>0</v>
      </c>
      <c r="L11078" s="27">
        <v>166649.47</v>
      </c>
      <c r="M11078" s="36">
        <v>8386.9699999999993</v>
      </c>
      <c r="T11078" s="41">
        <v>0</v>
      </c>
      <c r="U11078" s="41">
        <v>0</v>
      </c>
      <c r="V11078" s="42" t="s">
        <v>113</v>
      </c>
      <c r="W11078" s="42">
        <v>184248.87</v>
      </c>
      <c r="X11078" s="42">
        <v>184248.87</v>
      </c>
    </row>
    <row r="11079" spans="1:24">
      <c r="A11079" s="27" t="s">
        <v>20063</v>
      </c>
      <c r="B11079" s="28" t="s">
        <v>19918</v>
      </c>
      <c r="C11079" s="27" t="s">
        <v>20064</v>
      </c>
      <c r="D11079" s="27" t="s">
        <v>118</v>
      </c>
      <c r="E11079" s="29">
        <v>41269</v>
      </c>
      <c r="F11079" s="27">
        <v>8</v>
      </c>
      <c r="G11079" s="18">
        <v>184248.87</v>
      </c>
      <c r="H11079" s="27">
        <f t="shared" si="346"/>
        <v>0</v>
      </c>
      <c r="I11079" s="18">
        <v>158262.5</v>
      </c>
      <c r="J11079" s="27">
        <v>184248.87</v>
      </c>
      <c r="K11079" s="18">
        <f t="shared" si="347"/>
        <v>0</v>
      </c>
      <c r="L11079" s="27">
        <v>166649.47</v>
      </c>
      <c r="M11079" s="36">
        <v>8386.9699999999993</v>
      </c>
      <c r="T11079" s="41">
        <v>0</v>
      </c>
      <c r="U11079" s="41">
        <v>0</v>
      </c>
      <c r="V11079" s="42" t="s">
        <v>113</v>
      </c>
      <c r="W11079" s="42">
        <v>184248.87</v>
      </c>
      <c r="X11079" s="42">
        <v>184248.87</v>
      </c>
    </row>
    <row r="11080" spans="1:24">
      <c r="A11080" s="27" t="s">
        <v>20065</v>
      </c>
      <c r="B11080" s="28" t="s">
        <v>19918</v>
      </c>
      <c r="C11080" s="27" t="s">
        <v>20066</v>
      </c>
      <c r="D11080" s="27" t="s">
        <v>118</v>
      </c>
      <c r="E11080" s="29">
        <v>41269</v>
      </c>
      <c r="F11080" s="27">
        <v>8</v>
      </c>
      <c r="G11080" s="18">
        <v>184248.87</v>
      </c>
      <c r="H11080" s="27">
        <f t="shared" si="346"/>
        <v>0</v>
      </c>
      <c r="I11080" s="18">
        <v>158262.5</v>
      </c>
      <c r="J11080" s="27">
        <v>184248.87</v>
      </c>
      <c r="K11080" s="18">
        <f t="shared" si="347"/>
        <v>0</v>
      </c>
      <c r="L11080" s="27">
        <v>166649.47</v>
      </c>
      <c r="M11080" s="36">
        <v>8386.9699999999993</v>
      </c>
      <c r="T11080" s="41">
        <v>0</v>
      </c>
      <c r="U11080" s="41">
        <v>0</v>
      </c>
      <c r="V11080" s="42" t="s">
        <v>113</v>
      </c>
      <c r="W11080" s="42">
        <v>184248.87</v>
      </c>
      <c r="X11080" s="42">
        <v>184248.87</v>
      </c>
    </row>
    <row r="11081" spans="1:24">
      <c r="A11081" s="27" t="s">
        <v>20067</v>
      </c>
      <c r="B11081" s="28" t="s">
        <v>19918</v>
      </c>
      <c r="C11081" s="27" t="s">
        <v>20068</v>
      </c>
      <c r="D11081" s="27" t="s">
        <v>230</v>
      </c>
      <c r="E11081" s="29">
        <v>41269</v>
      </c>
      <c r="F11081" s="27">
        <v>8</v>
      </c>
      <c r="G11081" s="18">
        <v>489400.44</v>
      </c>
      <c r="H11081" s="27">
        <f t="shared" si="346"/>
        <v>0</v>
      </c>
      <c r="I11081" s="18">
        <v>327752.34999999998</v>
      </c>
      <c r="J11081" s="27">
        <v>489400.44</v>
      </c>
      <c r="K11081" s="18">
        <f t="shared" si="347"/>
        <v>0</v>
      </c>
      <c r="L11081" s="27">
        <v>396341.39</v>
      </c>
      <c r="M11081" s="36">
        <v>68589.039999999994</v>
      </c>
      <c r="T11081" s="41">
        <v>0</v>
      </c>
      <c r="U11081" s="41">
        <v>0</v>
      </c>
      <c r="V11081" s="42" t="s">
        <v>113</v>
      </c>
      <c r="W11081" s="42">
        <v>489400.44</v>
      </c>
      <c r="X11081" s="42">
        <v>489400.44</v>
      </c>
    </row>
    <row r="11082" spans="1:24">
      <c r="A11082" s="27" t="s">
        <v>20069</v>
      </c>
      <c r="B11082" s="28" t="s">
        <v>19918</v>
      </c>
      <c r="C11082" s="27" t="s">
        <v>20070</v>
      </c>
      <c r="D11082" s="27" t="s">
        <v>230</v>
      </c>
      <c r="E11082" s="29">
        <v>41269</v>
      </c>
      <c r="F11082" s="27">
        <v>8</v>
      </c>
      <c r="G11082" s="18">
        <v>489400.44</v>
      </c>
      <c r="H11082" s="27">
        <f t="shared" si="346"/>
        <v>0</v>
      </c>
      <c r="I11082" s="18">
        <v>327752.34999999998</v>
      </c>
      <c r="J11082" s="27">
        <v>489400.44</v>
      </c>
      <c r="K11082" s="18">
        <f t="shared" si="347"/>
        <v>0</v>
      </c>
      <c r="L11082" s="27">
        <v>396341.39</v>
      </c>
      <c r="M11082" s="36">
        <v>68589.039999999994</v>
      </c>
      <c r="T11082" s="41">
        <v>0</v>
      </c>
      <c r="U11082" s="41">
        <v>0</v>
      </c>
      <c r="V11082" s="42" t="s">
        <v>113</v>
      </c>
      <c r="W11082" s="42">
        <v>489400.44</v>
      </c>
      <c r="X11082" s="42">
        <v>489400.44</v>
      </c>
    </row>
    <row r="11083" spans="1:24">
      <c r="A11083" s="27" t="s">
        <v>20071</v>
      </c>
      <c r="B11083" s="28" t="s">
        <v>19918</v>
      </c>
      <c r="C11083" s="27" t="s">
        <v>20072</v>
      </c>
      <c r="D11083" s="27" t="s">
        <v>230</v>
      </c>
      <c r="E11083" s="29">
        <v>41269</v>
      </c>
      <c r="F11083" s="27">
        <v>8</v>
      </c>
      <c r="G11083" s="18">
        <v>489400.44</v>
      </c>
      <c r="H11083" s="27">
        <f t="shared" si="346"/>
        <v>0</v>
      </c>
      <c r="I11083" s="18">
        <v>327752.34999999998</v>
      </c>
      <c r="J11083" s="27">
        <v>489400.44</v>
      </c>
      <c r="K11083" s="18">
        <f t="shared" si="347"/>
        <v>0</v>
      </c>
      <c r="L11083" s="27">
        <v>396341.39</v>
      </c>
      <c r="M11083" s="36">
        <v>68589.039999999994</v>
      </c>
      <c r="T11083" s="41">
        <v>0</v>
      </c>
      <c r="U11083" s="41">
        <v>0</v>
      </c>
      <c r="V11083" s="42" t="s">
        <v>113</v>
      </c>
      <c r="W11083" s="42">
        <v>489400.44</v>
      </c>
      <c r="X11083" s="42">
        <v>489400.44</v>
      </c>
    </row>
    <row r="11084" spans="1:24">
      <c r="A11084" s="27" t="s">
        <v>20073</v>
      </c>
      <c r="B11084" s="28" t="s">
        <v>19918</v>
      </c>
      <c r="C11084" s="27" t="s">
        <v>20074</v>
      </c>
      <c r="D11084" s="27" t="s">
        <v>230</v>
      </c>
      <c r="E11084" s="29">
        <v>41269</v>
      </c>
      <c r="F11084" s="27">
        <v>8</v>
      </c>
      <c r="G11084" s="18">
        <v>489400.44</v>
      </c>
      <c r="H11084" s="27">
        <f t="shared" si="346"/>
        <v>0</v>
      </c>
      <c r="I11084" s="18">
        <v>327752.34999999998</v>
      </c>
      <c r="J11084" s="27">
        <v>489400.44</v>
      </c>
      <c r="K11084" s="18">
        <f t="shared" si="347"/>
        <v>0</v>
      </c>
      <c r="L11084" s="27">
        <v>396341.39</v>
      </c>
      <c r="M11084" s="36">
        <v>68589.039999999994</v>
      </c>
      <c r="T11084" s="41">
        <v>0</v>
      </c>
      <c r="U11084" s="41">
        <v>0</v>
      </c>
      <c r="V11084" s="42" t="s">
        <v>113</v>
      </c>
      <c r="W11084" s="42">
        <v>489400.44</v>
      </c>
      <c r="X11084" s="42">
        <v>489400.44</v>
      </c>
    </row>
    <row r="11085" spans="1:24">
      <c r="A11085" s="27" t="s">
        <v>20075</v>
      </c>
      <c r="B11085" s="28" t="s">
        <v>19918</v>
      </c>
      <c r="C11085" s="27" t="s">
        <v>20076</v>
      </c>
      <c r="D11085" s="27" t="s">
        <v>230</v>
      </c>
      <c r="E11085" s="29">
        <v>41269</v>
      </c>
      <c r="F11085" s="27">
        <v>8</v>
      </c>
      <c r="G11085" s="18">
        <v>489400.44</v>
      </c>
      <c r="H11085" s="27">
        <f t="shared" si="346"/>
        <v>0</v>
      </c>
      <c r="I11085" s="18">
        <v>327752.34999999998</v>
      </c>
      <c r="J11085" s="27">
        <v>489400.44</v>
      </c>
      <c r="K11085" s="18">
        <f t="shared" si="347"/>
        <v>0</v>
      </c>
      <c r="L11085" s="27">
        <v>396341.39</v>
      </c>
      <c r="M11085" s="36">
        <v>68589.039999999994</v>
      </c>
      <c r="T11085" s="41">
        <v>0</v>
      </c>
      <c r="U11085" s="41">
        <v>0</v>
      </c>
      <c r="V11085" s="42" t="s">
        <v>113</v>
      </c>
      <c r="W11085" s="42">
        <v>489400.44</v>
      </c>
      <c r="X11085" s="42">
        <v>489400.44</v>
      </c>
    </row>
    <row r="11086" spans="1:24">
      <c r="A11086" s="27" t="s">
        <v>20077</v>
      </c>
      <c r="B11086" s="28" t="s">
        <v>19918</v>
      </c>
      <c r="C11086" s="27" t="s">
        <v>20078</v>
      </c>
      <c r="D11086" s="27" t="s">
        <v>230</v>
      </c>
      <c r="E11086" s="29">
        <v>41269</v>
      </c>
      <c r="F11086" s="27">
        <v>8</v>
      </c>
      <c r="G11086" s="18">
        <v>489400.44</v>
      </c>
      <c r="H11086" s="27">
        <f t="shared" si="346"/>
        <v>0</v>
      </c>
      <c r="I11086" s="18">
        <v>327752.34999999998</v>
      </c>
      <c r="J11086" s="27">
        <v>489400.44</v>
      </c>
      <c r="K11086" s="18">
        <f t="shared" si="347"/>
        <v>0</v>
      </c>
      <c r="L11086" s="27">
        <v>396341.39</v>
      </c>
      <c r="M11086" s="36">
        <v>68589.039999999994</v>
      </c>
      <c r="T11086" s="41">
        <v>0</v>
      </c>
      <c r="U11086" s="41">
        <v>0</v>
      </c>
      <c r="V11086" s="42" t="s">
        <v>113</v>
      </c>
      <c r="W11086" s="42">
        <v>489400.44</v>
      </c>
      <c r="X11086" s="42">
        <v>489400.44</v>
      </c>
    </row>
    <row r="11087" spans="1:24">
      <c r="A11087" s="27" t="s">
        <v>20079</v>
      </c>
      <c r="B11087" s="28" t="s">
        <v>19918</v>
      </c>
      <c r="C11087" s="27" t="s">
        <v>20080</v>
      </c>
      <c r="D11087" s="27" t="s">
        <v>230</v>
      </c>
      <c r="E11087" s="29">
        <v>41269</v>
      </c>
      <c r="F11087" s="27">
        <v>8</v>
      </c>
      <c r="G11087" s="18">
        <v>489400.44</v>
      </c>
      <c r="H11087" s="27">
        <f t="shared" si="346"/>
        <v>0</v>
      </c>
      <c r="I11087" s="18">
        <v>327752.34999999998</v>
      </c>
      <c r="J11087" s="27">
        <v>489400.44</v>
      </c>
      <c r="K11087" s="18">
        <f t="shared" si="347"/>
        <v>0</v>
      </c>
      <c r="L11087" s="27">
        <v>396341.39</v>
      </c>
      <c r="M11087" s="36">
        <v>68589.039999999994</v>
      </c>
      <c r="T11087" s="41">
        <v>0</v>
      </c>
      <c r="U11087" s="41">
        <v>0</v>
      </c>
      <c r="V11087" s="42" t="s">
        <v>113</v>
      </c>
      <c r="W11087" s="42">
        <v>489400.44</v>
      </c>
      <c r="X11087" s="42">
        <v>489400.44</v>
      </c>
    </row>
    <row r="11088" spans="1:24">
      <c r="A11088" s="27" t="s">
        <v>20081</v>
      </c>
      <c r="B11088" s="28" t="s">
        <v>19918</v>
      </c>
      <c r="C11088" s="27" t="s">
        <v>20082</v>
      </c>
      <c r="D11088" s="27" t="s">
        <v>230</v>
      </c>
      <c r="E11088" s="29">
        <v>41269</v>
      </c>
      <c r="F11088" s="27">
        <v>8</v>
      </c>
      <c r="G11088" s="18">
        <v>489400.44</v>
      </c>
      <c r="H11088" s="27">
        <f t="shared" si="346"/>
        <v>0</v>
      </c>
      <c r="I11088" s="18">
        <v>327752.34999999998</v>
      </c>
      <c r="J11088" s="27">
        <v>489400.44</v>
      </c>
      <c r="K11088" s="18">
        <f t="shared" si="347"/>
        <v>0</v>
      </c>
      <c r="L11088" s="27">
        <v>396341.39</v>
      </c>
      <c r="M11088" s="36">
        <v>68589.039999999994</v>
      </c>
      <c r="T11088" s="41">
        <v>0</v>
      </c>
      <c r="U11088" s="41">
        <v>0</v>
      </c>
      <c r="V11088" s="42" t="s">
        <v>113</v>
      </c>
      <c r="W11088" s="42">
        <v>489400.44</v>
      </c>
      <c r="X11088" s="42">
        <v>489400.44</v>
      </c>
    </row>
    <row r="11089" spans="1:24">
      <c r="A11089" s="27" t="s">
        <v>20083</v>
      </c>
      <c r="B11089" s="28" t="s">
        <v>19918</v>
      </c>
      <c r="C11089" s="27" t="s">
        <v>20084</v>
      </c>
      <c r="D11089" s="27" t="s">
        <v>230</v>
      </c>
      <c r="E11089" s="29">
        <v>41269</v>
      </c>
      <c r="F11089" s="27">
        <v>8</v>
      </c>
      <c r="G11089" s="18">
        <v>489987.95</v>
      </c>
      <c r="H11089" s="27">
        <f t="shared" si="346"/>
        <v>0</v>
      </c>
      <c r="I11089" s="18">
        <v>328145.8</v>
      </c>
      <c r="J11089" s="27">
        <v>489987.95</v>
      </c>
      <c r="K11089" s="18">
        <f t="shared" si="347"/>
        <v>0</v>
      </c>
      <c r="L11089" s="27">
        <v>396817.18</v>
      </c>
      <c r="M11089" s="36">
        <v>68671.38</v>
      </c>
      <c r="T11089" s="41">
        <v>0</v>
      </c>
      <c r="U11089" s="41">
        <v>0</v>
      </c>
      <c r="V11089" s="42" t="s">
        <v>113</v>
      </c>
      <c r="W11089" s="42">
        <v>489987.95</v>
      </c>
      <c r="X11089" s="42">
        <v>489987.95</v>
      </c>
    </row>
    <row r="11090" spans="1:24">
      <c r="A11090" s="27" t="s">
        <v>20085</v>
      </c>
      <c r="B11090" s="28" t="s">
        <v>19918</v>
      </c>
      <c r="C11090" s="27" t="s">
        <v>20086</v>
      </c>
      <c r="D11090" s="27" t="s">
        <v>230</v>
      </c>
      <c r="E11090" s="29">
        <v>41269</v>
      </c>
      <c r="F11090" s="27">
        <v>8</v>
      </c>
      <c r="G11090" s="18">
        <v>489987.95</v>
      </c>
      <c r="H11090" s="27">
        <f t="shared" si="346"/>
        <v>0</v>
      </c>
      <c r="I11090" s="18">
        <v>328145.8</v>
      </c>
      <c r="J11090" s="27">
        <v>489987.95</v>
      </c>
      <c r="K11090" s="18">
        <f t="shared" si="347"/>
        <v>0</v>
      </c>
      <c r="L11090" s="27">
        <v>396817.18</v>
      </c>
      <c r="M11090" s="36">
        <v>68671.38</v>
      </c>
      <c r="T11090" s="41">
        <v>0</v>
      </c>
      <c r="U11090" s="41">
        <v>0</v>
      </c>
      <c r="V11090" s="42" t="s">
        <v>113</v>
      </c>
      <c r="W11090" s="42">
        <v>489987.95</v>
      </c>
      <c r="X11090" s="42">
        <v>489987.95</v>
      </c>
    </row>
    <row r="11091" spans="1:24">
      <c r="A11091" s="27" t="s">
        <v>20087</v>
      </c>
      <c r="B11091" s="28" t="s">
        <v>19918</v>
      </c>
      <c r="C11091" s="27" t="s">
        <v>20088</v>
      </c>
      <c r="D11091" s="27" t="s">
        <v>220</v>
      </c>
      <c r="E11091" s="29">
        <v>41269</v>
      </c>
      <c r="F11091" s="27">
        <v>8</v>
      </c>
      <c r="G11091" s="18">
        <v>184248.87</v>
      </c>
      <c r="H11091" s="27">
        <f t="shared" si="346"/>
        <v>0</v>
      </c>
      <c r="I11091" s="18">
        <v>158262.5</v>
      </c>
      <c r="J11091" s="27">
        <v>184248.87</v>
      </c>
      <c r="K11091" s="18">
        <f t="shared" si="347"/>
        <v>0</v>
      </c>
      <c r="L11091" s="27">
        <v>166649.47</v>
      </c>
      <c r="M11091" s="36">
        <v>8386.9699999999993</v>
      </c>
      <c r="T11091" s="41">
        <v>0</v>
      </c>
      <c r="U11091" s="41">
        <v>0</v>
      </c>
      <c r="V11091" s="42" t="s">
        <v>113</v>
      </c>
      <c r="W11091" s="42">
        <v>184248.87</v>
      </c>
      <c r="X11091" s="42">
        <v>184248.87</v>
      </c>
    </row>
    <row r="11092" spans="1:24">
      <c r="A11092" s="27" t="s">
        <v>20089</v>
      </c>
      <c r="B11092" s="28" t="s">
        <v>19918</v>
      </c>
      <c r="C11092" s="27" t="s">
        <v>20090</v>
      </c>
      <c r="D11092" s="27" t="s">
        <v>220</v>
      </c>
      <c r="E11092" s="29">
        <v>41269</v>
      </c>
      <c r="F11092" s="27">
        <v>8</v>
      </c>
      <c r="G11092" s="18">
        <v>184248.87</v>
      </c>
      <c r="H11092" s="27">
        <f t="shared" si="346"/>
        <v>0</v>
      </c>
      <c r="I11092" s="18">
        <v>158262.5</v>
      </c>
      <c r="J11092" s="27">
        <v>184248.87</v>
      </c>
      <c r="K11092" s="18">
        <f t="shared" si="347"/>
        <v>0</v>
      </c>
      <c r="L11092" s="27">
        <v>166649.47</v>
      </c>
      <c r="M11092" s="36">
        <v>8386.9699999999993</v>
      </c>
      <c r="T11092" s="41">
        <v>0</v>
      </c>
      <c r="U11092" s="41">
        <v>0</v>
      </c>
      <c r="V11092" s="42" t="s">
        <v>113</v>
      </c>
      <c r="W11092" s="42">
        <v>184248.87</v>
      </c>
      <c r="X11092" s="42">
        <v>184248.87</v>
      </c>
    </row>
    <row r="11093" spans="1:24">
      <c r="A11093" s="27" t="s">
        <v>20091</v>
      </c>
      <c r="B11093" s="28" t="s">
        <v>19918</v>
      </c>
      <c r="C11093" s="27" t="s">
        <v>20092</v>
      </c>
      <c r="D11093" s="27" t="s">
        <v>220</v>
      </c>
      <c r="E11093" s="29">
        <v>41269</v>
      </c>
      <c r="F11093" s="27">
        <v>8</v>
      </c>
      <c r="G11093" s="18">
        <v>452533.34</v>
      </c>
      <c r="H11093" s="27">
        <f t="shared" si="346"/>
        <v>0</v>
      </c>
      <c r="I11093" s="18">
        <v>324031.32</v>
      </c>
      <c r="J11093" s="27">
        <v>452533.34</v>
      </c>
      <c r="K11093" s="18">
        <f t="shared" si="347"/>
        <v>0</v>
      </c>
      <c r="L11093" s="27">
        <v>376969</v>
      </c>
      <c r="M11093" s="36">
        <v>52937.68</v>
      </c>
      <c r="T11093" s="41">
        <v>0</v>
      </c>
      <c r="U11093" s="41">
        <v>0</v>
      </c>
      <c r="V11093" s="42" t="s">
        <v>113</v>
      </c>
      <c r="W11093" s="42">
        <v>452533.34</v>
      </c>
      <c r="X11093" s="42">
        <v>452533.34</v>
      </c>
    </row>
    <row r="11094" spans="1:24">
      <c r="A11094" s="27" t="s">
        <v>20093</v>
      </c>
      <c r="B11094" s="28" t="s">
        <v>19918</v>
      </c>
      <c r="C11094" s="27" t="s">
        <v>20094</v>
      </c>
      <c r="D11094" s="27" t="s">
        <v>220</v>
      </c>
      <c r="E11094" s="29">
        <v>41269</v>
      </c>
      <c r="F11094" s="27">
        <v>8</v>
      </c>
      <c r="G11094" s="18">
        <v>487519.89</v>
      </c>
      <c r="H11094" s="27">
        <f t="shared" si="346"/>
        <v>0</v>
      </c>
      <c r="I11094" s="18">
        <v>351436.79</v>
      </c>
      <c r="J11094" s="27">
        <v>487519.89</v>
      </c>
      <c r="K11094" s="18">
        <f t="shared" si="347"/>
        <v>0</v>
      </c>
      <c r="L11094" s="27">
        <v>407290.35</v>
      </c>
      <c r="M11094" s="36">
        <v>55853.56</v>
      </c>
      <c r="T11094" s="41">
        <v>0</v>
      </c>
      <c r="U11094" s="41">
        <v>0</v>
      </c>
      <c r="V11094" s="42" t="s">
        <v>113</v>
      </c>
      <c r="W11094" s="42">
        <v>487519.89</v>
      </c>
      <c r="X11094" s="42">
        <v>487519.89</v>
      </c>
    </row>
    <row r="11095" spans="1:24">
      <c r="A11095" s="27" t="s">
        <v>20095</v>
      </c>
      <c r="B11095" s="28" t="s">
        <v>19918</v>
      </c>
      <c r="C11095" s="27" t="s">
        <v>20096</v>
      </c>
      <c r="D11095" s="27" t="s">
        <v>220</v>
      </c>
      <c r="E11095" s="29">
        <v>41269</v>
      </c>
      <c r="F11095" s="27">
        <v>8</v>
      </c>
      <c r="G11095" s="18">
        <v>336510.21</v>
      </c>
      <c r="H11095" s="27">
        <f t="shared" si="346"/>
        <v>0</v>
      </c>
      <c r="I11095" s="18">
        <v>233187.5</v>
      </c>
      <c r="J11095" s="27">
        <v>336510.21</v>
      </c>
      <c r="K11095" s="18">
        <f t="shared" si="347"/>
        <v>0</v>
      </c>
      <c r="L11095" s="27">
        <v>276436.09999999998</v>
      </c>
      <c r="M11095" s="36">
        <v>43248.6</v>
      </c>
      <c r="T11095" s="41">
        <v>0</v>
      </c>
      <c r="U11095" s="41">
        <v>0</v>
      </c>
      <c r="V11095" s="42" t="s">
        <v>113</v>
      </c>
      <c r="W11095" s="42">
        <v>336510.21</v>
      </c>
      <c r="X11095" s="42">
        <v>336510.21</v>
      </c>
    </row>
    <row r="11096" spans="1:24">
      <c r="A11096" s="27" t="s">
        <v>20097</v>
      </c>
      <c r="B11096" s="28" t="s">
        <v>19918</v>
      </c>
      <c r="C11096" s="27" t="s">
        <v>20098</v>
      </c>
      <c r="D11096" s="27" t="s">
        <v>230</v>
      </c>
      <c r="E11096" s="29">
        <v>41269</v>
      </c>
      <c r="F11096" s="27">
        <v>8</v>
      </c>
      <c r="G11096" s="18">
        <v>489987.95</v>
      </c>
      <c r="H11096" s="27">
        <f t="shared" si="346"/>
        <v>0</v>
      </c>
      <c r="I11096" s="18">
        <v>328145.8</v>
      </c>
      <c r="J11096" s="27">
        <v>489987.95</v>
      </c>
      <c r="K11096" s="18">
        <f t="shared" si="347"/>
        <v>0</v>
      </c>
      <c r="L11096" s="27">
        <v>396817.18</v>
      </c>
      <c r="M11096" s="36">
        <v>68671.38</v>
      </c>
      <c r="T11096" s="41">
        <v>0</v>
      </c>
      <c r="U11096" s="41">
        <v>0</v>
      </c>
      <c r="V11096" s="42" t="s">
        <v>113</v>
      </c>
      <c r="W11096" s="42">
        <v>489987.95</v>
      </c>
      <c r="X11096" s="42">
        <v>489987.95</v>
      </c>
    </row>
    <row r="11097" spans="1:24">
      <c r="A11097" s="27" t="s">
        <v>20099</v>
      </c>
      <c r="B11097" s="28" t="s">
        <v>19918</v>
      </c>
      <c r="C11097" s="27" t="s">
        <v>20100</v>
      </c>
      <c r="D11097" s="27" t="s">
        <v>230</v>
      </c>
      <c r="E11097" s="29">
        <v>41269</v>
      </c>
      <c r="F11097" s="27">
        <v>8</v>
      </c>
      <c r="G11097" s="18">
        <v>489987.95</v>
      </c>
      <c r="H11097" s="27">
        <f t="shared" si="346"/>
        <v>0</v>
      </c>
      <c r="I11097" s="18">
        <v>328145.8</v>
      </c>
      <c r="J11097" s="27">
        <v>489987.95</v>
      </c>
      <c r="K11097" s="18">
        <f t="shared" si="347"/>
        <v>0</v>
      </c>
      <c r="L11097" s="27">
        <v>396817.18</v>
      </c>
      <c r="M11097" s="36">
        <v>68671.38</v>
      </c>
      <c r="T11097" s="41">
        <v>0</v>
      </c>
      <c r="U11097" s="41">
        <v>0</v>
      </c>
      <c r="V11097" s="42" t="s">
        <v>113</v>
      </c>
      <c r="W11097" s="42">
        <v>489987.95</v>
      </c>
      <c r="X11097" s="42">
        <v>489987.95</v>
      </c>
    </row>
    <row r="11098" spans="1:24">
      <c r="A11098" s="27" t="s">
        <v>20101</v>
      </c>
      <c r="B11098" s="28" t="s">
        <v>19918</v>
      </c>
      <c r="C11098" s="27" t="s">
        <v>20102</v>
      </c>
      <c r="D11098" s="27" t="s">
        <v>17578</v>
      </c>
      <c r="E11098" s="29">
        <v>38534</v>
      </c>
      <c r="F11098" s="27">
        <v>8</v>
      </c>
      <c r="G11098" s="18">
        <v>235858.53</v>
      </c>
      <c r="H11098" s="27">
        <f t="shared" si="346"/>
        <v>235858.53</v>
      </c>
      <c r="I11098" s="18">
        <v>224065.6</v>
      </c>
      <c r="J11098" s="27">
        <v>235858.53</v>
      </c>
      <c r="K11098" s="18">
        <f t="shared" si="347"/>
        <v>235858.53</v>
      </c>
      <c r="L11098" s="27">
        <v>224065.6</v>
      </c>
      <c r="M11098" s="36">
        <v>0</v>
      </c>
      <c r="T11098" s="41">
        <v>0</v>
      </c>
      <c r="U11098" s="41">
        <v>0</v>
      </c>
      <c r="V11098" s="42" t="s">
        <v>113</v>
      </c>
      <c r="W11098" s="42">
        <v>235858.53</v>
      </c>
      <c r="X11098" s="42">
        <v>235858.53</v>
      </c>
    </row>
    <row r="11099" spans="1:24">
      <c r="A11099" s="27" t="s">
        <v>20103</v>
      </c>
      <c r="B11099" s="28" t="s">
        <v>19918</v>
      </c>
      <c r="C11099" s="27" t="s">
        <v>20104</v>
      </c>
      <c r="D11099" s="27" t="s">
        <v>17578</v>
      </c>
      <c r="E11099" s="29">
        <v>40164</v>
      </c>
      <c r="F11099" s="27">
        <v>8</v>
      </c>
      <c r="G11099" s="18">
        <v>10326.77</v>
      </c>
      <c r="H11099" s="27">
        <f t="shared" si="346"/>
        <v>10326.77</v>
      </c>
      <c r="I11099" s="18">
        <v>9810.43</v>
      </c>
      <c r="J11099" s="27">
        <v>10326.77</v>
      </c>
      <c r="K11099" s="18">
        <f t="shared" si="347"/>
        <v>10326.77</v>
      </c>
      <c r="L11099" s="27">
        <v>9810.43</v>
      </c>
      <c r="M11099" s="36">
        <v>0</v>
      </c>
      <c r="T11099" s="41">
        <v>0</v>
      </c>
      <c r="U11099" s="41">
        <v>0</v>
      </c>
      <c r="V11099" s="42" t="s">
        <v>113</v>
      </c>
      <c r="W11099" s="42">
        <v>10326.77</v>
      </c>
      <c r="X11099" s="42">
        <v>10326.77</v>
      </c>
    </row>
    <row r="11100" spans="1:24">
      <c r="A11100" s="27" t="s">
        <v>20105</v>
      </c>
      <c r="B11100" s="28" t="s">
        <v>19918</v>
      </c>
      <c r="C11100" s="27" t="s">
        <v>20106</v>
      </c>
      <c r="D11100" s="27" t="s">
        <v>17578</v>
      </c>
      <c r="E11100" s="29">
        <v>37287</v>
      </c>
      <c r="F11100" s="27">
        <v>8</v>
      </c>
      <c r="G11100" s="18">
        <v>28550</v>
      </c>
      <c r="H11100" s="27">
        <f t="shared" si="346"/>
        <v>28550</v>
      </c>
      <c r="I11100" s="18">
        <v>27122.5</v>
      </c>
      <c r="J11100" s="27">
        <v>28550</v>
      </c>
      <c r="K11100" s="18">
        <f t="shared" si="347"/>
        <v>28550</v>
      </c>
      <c r="L11100" s="27">
        <v>27122.5</v>
      </c>
      <c r="M11100" s="36">
        <v>0</v>
      </c>
      <c r="T11100" s="41">
        <v>0</v>
      </c>
      <c r="U11100" s="41">
        <v>0</v>
      </c>
      <c r="V11100" s="42" t="s">
        <v>113</v>
      </c>
      <c r="W11100" s="42">
        <v>28550</v>
      </c>
      <c r="X11100" s="42">
        <v>28550</v>
      </c>
    </row>
    <row r="11101" spans="1:24">
      <c r="A11101" s="27" t="s">
        <v>20107</v>
      </c>
      <c r="B11101" s="28" t="s">
        <v>19918</v>
      </c>
      <c r="C11101" s="27" t="s">
        <v>20108</v>
      </c>
      <c r="D11101" s="27" t="s">
        <v>17578</v>
      </c>
      <c r="E11101" s="29">
        <v>37287</v>
      </c>
      <c r="F11101" s="27">
        <v>8</v>
      </c>
      <c r="G11101" s="18">
        <v>35000</v>
      </c>
      <c r="H11101" s="27">
        <f t="shared" si="346"/>
        <v>35000</v>
      </c>
      <c r="I11101" s="18">
        <v>33250</v>
      </c>
      <c r="J11101" s="27">
        <v>35000</v>
      </c>
      <c r="K11101" s="18">
        <f t="shared" si="347"/>
        <v>35000</v>
      </c>
      <c r="L11101" s="27">
        <v>33250</v>
      </c>
      <c r="M11101" s="36">
        <v>0</v>
      </c>
      <c r="T11101" s="41">
        <v>0</v>
      </c>
      <c r="U11101" s="41">
        <v>0</v>
      </c>
      <c r="V11101" s="42" t="s">
        <v>113</v>
      </c>
      <c r="W11101" s="42">
        <v>35000</v>
      </c>
      <c r="X11101" s="42">
        <v>35000</v>
      </c>
    </row>
    <row r="11102" spans="1:24">
      <c r="A11102" s="27" t="s">
        <v>20109</v>
      </c>
      <c r="B11102" s="28" t="s">
        <v>19918</v>
      </c>
      <c r="C11102" s="27" t="s">
        <v>20110</v>
      </c>
      <c r="D11102" s="27" t="s">
        <v>17578</v>
      </c>
      <c r="E11102" s="29">
        <v>40113</v>
      </c>
      <c r="F11102" s="27">
        <v>8</v>
      </c>
      <c r="G11102" s="18">
        <v>75752.429999999993</v>
      </c>
      <c r="H11102" s="27">
        <f t="shared" si="346"/>
        <v>75752.429999999993</v>
      </c>
      <c r="I11102" s="18">
        <v>71964.81</v>
      </c>
      <c r="J11102" s="27">
        <v>75752.429999999993</v>
      </c>
      <c r="K11102" s="18">
        <f t="shared" si="347"/>
        <v>75752.429999999993</v>
      </c>
      <c r="L11102" s="27">
        <v>71964.81</v>
      </c>
      <c r="M11102" s="36">
        <v>0</v>
      </c>
      <c r="T11102" s="41">
        <v>0</v>
      </c>
      <c r="U11102" s="41">
        <v>0</v>
      </c>
      <c r="V11102" s="42" t="s">
        <v>113</v>
      </c>
      <c r="W11102" s="42">
        <v>75752.429999999993</v>
      </c>
      <c r="X11102" s="42">
        <v>75752.429999999993</v>
      </c>
    </row>
    <row r="11103" spans="1:24">
      <c r="A11103" s="27" t="s">
        <v>20111</v>
      </c>
      <c r="B11103" s="28" t="s">
        <v>19918</v>
      </c>
      <c r="C11103" s="27" t="s">
        <v>20112</v>
      </c>
      <c r="D11103" s="27" t="s">
        <v>220</v>
      </c>
      <c r="E11103" s="29">
        <v>40113</v>
      </c>
      <c r="F11103" s="27">
        <v>8</v>
      </c>
      <c r="G11103" s="18">
        <v>25632.560000000001</v>
      </c>
      <c r="H11103" s="27">
        <f t="shared" si="346"/>
        <v>25632.560000000001</v>
      </c>
      <c r="I11103" s="18">
        <v>24350.93</v>
      </c>
      <c r="J11103" s="27">
        <v>25632.560000000001</v>
      </c>
      <c r="K11103" s="18">
        <f t="shared" si="347"/>
        <v>25632.560000000001</v>
      </c>
      <c r="L11103" s="27">
        <v>24350.93</v>
      </c>
      <c r="M11103" s="36">
        <v>0</v>
      </c>
      <c r="T11103" s="41">
        <v>0</v>
      </c>
      <c r="U11103" s="41">
        <v>0</v>
      </c>
      <c r="V11103" s="42" t="s">
        <v>113</v>
      </c>
      <c r="W11103" s="42">
        <v>25632.560000000001</v>
      </c>
      <c r="X11103" s="42">
        <v>25632.560000000001</v>
      </c>
    </row>
    <row r="11104" spans="1:24">
      <c r="A11104" s="27" t="s">
        <v>20113</v>
      </c>
      <c r="B11104" s="28" t="s">
        <v>19918</v>
      </c>
      <c r="C11104" s="27" t="s">
        <v>20114</v>
      </c>
      <c r="D11104" s="27" t="s">
        <v>17578</v>
      </c>
      <c r="E11104" s="29">
        <v>38534</v>
      </c>
      <c r="F11104" s="27">
        <v>8</v>
      </c>
      <c r="G11104" s="18">
        <v>200694.42</v>
      </c>
      <c r="H11104" s="27">
        <f t="shared" si="346"/>
        <v>200694.42</v>
      </c>
      <c r="I11104" s="18">
        <v>190659.7</v>
      </c>
      <c r="J11104" s="27">
        <v>200694.42</v>
      </c>
      <c r="K11104" s="18">
        <f t="shared" si="347"/>
        <v>200694.42</v>
      </c>
      <c r="L11104" s="27">
        <v>190659.7</v>
      </c>
      <c r="M11104" s="36">
        <v>0</v>
      </c>
      <c r="T11104" s="41">
        <v>0</v>
      </c>
      <c r="U11104" s="41">
        <v>0</v>
      </c>
      <c r="V11104" s="42" t="s">
        <v>113</v>
      </c>
      <c r="W11104" s="42">
        <v>200694.42</v>
      </c>
      <c r="X11104" s="42">
        <v>200694.42</v>
      </c>
    </row>
    <row r="11105" spans="1:24">
      <c r="A11105" s="27" t="s">
        <v>20115</v>
      </c>
      <c r="B11105" s="28" t="s">
        <v>19918</v>
      </c>
      <c r="C11105" s="27" t="s">
        <v>20116</v>
      </c>
      <c r="D11105" s="27" t="s">
        <v>17578</v>
      </c>
      <c r="E11105" s="29">
        <v>40113</v>
      </c>
      <c r="F11105" s="27">
        <v>8</v>
      </c>
      <c r="G11105" s="18">
        <v>160067.51999999999</v>
      </c>
      <c r="H11105" s="27">
        <f t="shared" si="346"/>
        <v>160067.51999999999</v>
      </c>
      <c r="I11105" s="18">
        <v>152064.14000000001</v>
      </c>
      <c r="J11105" s="27">
        <v>160067.51999999999</v>
      </c>
      <c r="K11105" s="18">
        <f t="shared" si="347"/>
        <v>160067.51999999999</v>
      </c>
      <c r="L11105" s="27">
        <v>152064.14000000001</v>
      </c>
      <c r="M11105" s="36">
        <v>0</v>
      </c>
      <c r="T11105" s="41">
        <v>0</v>
      </c>
      <c r="U11105" s="41">
        <v>0</v>
      </c>
      <c r="V11105" s="42" t="s">
        <v>113</v>
      </c>
      <c r="W11105" s="42">
        <v>160067.51999999999</v>
      </c>
      <c r="X11105" s="42">
        <v>160067.51999999999</v>
      </c>
    </row>
    <row r="11106" spans="1:24">
      <c r="A11106" s="27" t="s">
        <v>20117</v>
      </c>
      <c r="B11106" s="28" t="s">
        <v>19918</v>
      </c>
      <c r="C11106" s="27" t="s">
        <v>20118</v>
      </c>
      <c r="D11106" s="27" t="s">
        <v>17578</v>
      </c>
      <c r="E11106" s="29">
        <v>40113</v>
      </c>
      <c r="F11106" s="27">
        <v>8</v>
      </c>
      <c r="G11106" s="18">
        <v>25632.560000000001</v>
      </c>
      <c r="H11106" s="27">
        <f t="shared" si="346"/>
        <v>25632.560000000001</v>
      </c>
      <c r="I11106" s="18">
        <v>24350.93</v>
      </c>
      <c r="J11106" s="27">
        <v>25632.560000000001</v>
      </c>
      <c r="K11106" s="18">
        <f t="shared" si="347"/>
        <v>25632.560000000001</v>
      </c>
      <c r="L11106" s="27">
        <v>24350.93</v>
      </c>
      <c r="M11106" s="36">
        <v>0</v>
      </c>
      <c r="T11106" s="41">
        <v>0</v>
      </c>
      <c r="U11106" s="41">
        <v>0</v>
      </c>
      <c r="V11106" s="42" t="s">
        <v>113</v>
      </c>
      <c r="W11106" s="42">
        <v>25632.560000000001</v>
      </c>
      <c r="X11106" s="42">
        <v>25632.560000000001</v>
      </c>
    </row>
    <row r="11107" spans="1:24">
      <c r="A11107" s="27" t="s">
        <v>20119</v>
      </c>
      <c r="B11107" s="28" t="s">
        <v>19918</v>
      </c>
      <c r="C11107" s="27" t="s">
        <v>20120</v>
      </c>
      <c r="D11107" s="27" t="s">
        <v>17578</v>
      </c>
      <c r="E11107" s="29">
        <v>40113</v>
      </c>
      <c r="F11107" s="27">
        <v>8</v>
      </c>
      <c r="G11107" s="18">
        <v>25632.560000000001</v>
      </c>
      <c r="H11107" s="27">
        <f t="shared" si="346"/>
        <v>25632.560000000001</v>
      </c>
      <c r="I11107" s="18">
        <v>24350.93</v>
      </c>
      <c r="J11107" s="27">
        <v>25632.560000000001</v>
      </c>
      <c r="K11107" s="18">
        <f t="shared" si="347"/>
        <v>25632.560000000001</v>
      </c>
      <c r="L11107" s="27">
        <v>24350.93</v>
      </c>
      <c r="M11107" s="36">
        <v>0</v>
      </c>
      <c r="T11107" s="41">
        <v>0</v>
      </c>
      <c r="U11107" s="41">
        <v>0</v>
      </c>
      <c r="V11107" s="42" t="s">
        <v>113</v>
      </c>
      <c r="W11107" s="42">
        <v>25632.560000000001</v>
      </c>
      <c r="X11107" s="42">
        <v>25632.560000000001</v>
      </c>
    </row>
    <row r="11108" spans="1:24">
      <c r="A11108" s="27" t="s">
        <v>20121</v>
      </c>
      <c r="B11108" s="28" t="s">
        <v>19918</v>
      </c>
      <c r="C11108" s="27" t="s">
        <v>20122</v>
      </c>
      <c r="D11108" s="27" t="s">
        <v>17578</v>
      </c>
      <c r="E11108" s="29">
        <v>38534</v>
      </c>
      <c r="F11108" s="27">
        <v>8</v>
      </c>
      <c r="G11108" s="18">
        <v>43193.08</v>
      </c>
      <c r="H11108" s="27">
        <f t="shared" si="346"/>
        <v>43193.08</v>
      </c>
      <c r="I11108" s="18">
        <v>41033.43</v>
      </c>
      <c r="J11108" s="27">
        <v>43193.08</v>
      </c>
      <c r="K11108" s="18">
        <f t="shared" si="347"/>
        <v>43193.08</v>
      </c>
      <c r="L11108" s="27">
        <v>41033.43</v>
      </c>
      <c r="M11108" s="36">
        <v>0</v>
      </c>
      <c r="T11108" s="41">
        <v>0</v>
      </c>
      <c r="U11108" s="41">
        <v>0</v>
      </c>
      <c r="V11108" s="42" t="s">
        <v>113</v>
      </c>
      <c r="W11108" s="42">
        <v>43193.08</v>
      </c>
      <c r="X11108" s="42">
        <v>43193.08</v>
      </c>
    </row>
    <row r="11109" spans="1:24">
      <c r="A11109" s="27" t="s">
        <v>20123</v>
      </c>
      <c r="B11109" s="28" t="s">
        <v>19918</v>
      </c>
      <c r="C11109" s="27" t="s">
        <v>20124</v>
      </c>
      <c r="D11109" s="27" t="s">
        <v>17578</v>
      </c>
      <c r="E11109" s="29">
        <v>38534</v>
      </c>
      <c r="F11109" s="27">
        <v>8</v>
      </c>
      <c r="G11109" s="18">
        <v>88358.77</v>
      </c>
      <c r="H11109" s="27">
        <f t="shared" si="346"/>
        <v>88358.77</v>
      </c>
      <c r="I11109" s="18">
        <v>83940.83</v>
      </c>
      <c r="J11109" s="27">
        <v>88358.77</v>
      </c>
      <c r="K11109" s="18">
        <f t="shared" si="347"/>
        <v>88358.77</v>
      </c>
      <c r="L11109" s="27">
        <v>83940.83</v>
      </c>
      <c r="M11109" s="36">
        <v>0</v>
      </c>
      <c r="T11109" s="41">
        <v>0</v>
      </c>
      <c r="U11109" s="41">
        <v>0</v>
      </c>
      <c r="V11109" s="42" t="s">
        <v>113</v>
      </c>
      <c r="W11109" s="42">
        <v>88358.77</v>
      </c>
      <c r="X11109" s="42">
        <v>88358.77</v>
      </c>
    </row>
    <row r="11110" spans="1:24">
      <c r="A11110" s="27" t="s">
        <v>20125</v>
      </c>
      <c r="B11110" s="28" t="s">
        <v>19918</v>
      </c>
      <c r="C11110" s="27" t="s">
        <v>20126</v>
      </c>
      <c r="D11110" s="27" t="s">
        <v>17578</v>
      </c>
      <c r="E11110" s="29">
        <v>38534</v>
      </c>
      <c r="F11110" s="27">
        <v>8</v>
      </c>
      <c r="G11110" s="18">
        <v>128358.77</v>
      </c>
      <c r="H11110" s="27">
        <f t="shared" si="346"/>
        <v>128358.77</v>
      </c>
      <c r="I11110" s="18">
        <v>121940.83</v>
      </c>
      <c r="J11110" s="27">
        <v>128358.77</v>
      </c>
      <c r="K11110" s="18">
        <f t="shared" si="347"/>
        <v>128358.77</v>
      </c>
      <c r="L11110" s="27">
        <v>121940.83</v>
      </c>
      <c r="M11110" s="36">
        <v>0</v>
      </c>
      <c r="T11110" s="41">
        <v>0</v>
      </c>
      <c r="U11110" s="41">
        <v>0</v>
      </c>
      <c r="V11110" s="42" t="s">
        <v>113</v>
      </c>
      <c r="W11110" s="42">
        <v>128358.77</v>
      </c>
      <c r="X11110" s="42">
        <v>128358.77</v>
      </c>
    </row>
    <row r="11111" spans="1:24">
      <c r="A11111" s="27" t="s">
        <v>20127</v>
      </c>
      <c r="B11111" s="28" t="s">
        <v>19918</v>
      </c>
      <c r="C11111" s="27" t="s">
        <v>20128</v>
      </c>
      <c r="D11111" s="27" t="s">
        <v>17578</v>
      </c>
      <c r="E11111" s="29">
        <v>38534</v>
      </c>
      <c r="F11111" s="27">
        <v>8</v>
      </c>
      <c r="G11111" s="18">
        <v>87223.19</v>
      </c>
      <c r="H11111" s="27">
        <f t="shared" si="346"/>
        <v>87223.19</v>
      </c>
      <c r="I11111" s="18">
        <v>82862.03</v>
      </c>
      <c r="J11111" s="27">
        <v>87223.19</v>
      </c>
      <c r="K11111" s="18">
        <f t="shared" si="347"/>
        <v>87223.19</v>
      </c>
      <c r="L11111" s="27">
        <v>82862.03</v>
      </c>
      <c r="M11111" s="36">
        <v>0</v>
      </c>
      <c r="T11111" s="41">
        <v>0</v>
      </c>
      <c r="U11111" s="41">
        <v>0</v>
      </c>
      <c r="V11111" s="42" t="s">
        <v>113</v>
      </c>
      <c r="W11111" s="42">
        <v>87223.19</v>
      </c>
      <c r="X11111" s="42">
        <v>87223.19</v>
      </c>
    </row>
    <row r="11112" spans="1:24">
      <c r="A11112" s="27" t="s">
        <v>20129</v>
      </c>
      <c r="B11112" s="28" t="s">
        <v>19918</v>
      </c>
      <c r="C11112" s="27" t="s">
        <v>20130</v>
      </c>
      <c r="D11112" s="27" t="s">
        <v>17578</v>
      </c>
      <c r="E11112" s="29">
        <v>38534</v>
      </c>
      <c r="F11112" s="27">
        <v>8</v>
      </c>
      <c r="G11112" s="18">
        <v>185700.17</v>
      </c>
      <c r="H11112" s="27">
        <f t="shared" si="346"/>
        <v>185700.17</v>
      </c>
      <c r="I11112" s="18">
        <v>176415.16</v>
      </c>
      <c r="J11112" s="27">
        <v>185700.17</v>
      </c>
      <c r="K11112" s="18">
        <f t="shared" si="347"/>
        <v>185700.17</v>
      </c>
      <c r="L11112" s="27">
        <v>176415.16</v>
      </c>
      <c r="M11112" s="36">
        <v>0</v>
      </c>
      <c r="T11112" s="41">
        <v>0</v>
      </c>
      <c r="U11112" s="41">
        <v>0</v>
      </c>
      <c r="V11112" s="42" t="s">
        <v>113</v>
      </c>
      <c r="W11112" s="42">
        <v>185700.17</v>
      </c>
      <c r="X11112" s="42">
        <v>185700.17</v>
      </c>
    </row>
    <row r="11113" spans="1:24">
      <c r="A11113" s="27" t="s">
        <v>20131</v>
      </c>
      <c r="B11113" s="28" t="s">
        <v>19918</v>
      </c>
      <c r="C11113" s="27" t="s">
        <v>20132</v>
      </c>
      <c r="D11113" s="27" t="s">
        <v>17578</v>
      </c>
      <c r="E11113" s="29">
        <v>38200</v>
      </c>
      <c r="F11113" s="27">
        <v>8</v>
      </c>
      <c r="G11113" s="18">
        <v>7050.08</v>
      </c>
      <c r="H11113" s="27">
        <f t="shared" si="346"/>
        <v>7050.08</v>
      </c>
      <c r="I11113" s="18">
        <v>6697.58</v>
      </c>
      <c r="J11113" s="27">
        <v>7050.08</v>
      </c>
      <c r="K11113" s="18">
        <f t="shared" si="347"/>
        <v>7050.08</v>
      </c>
      <c r="L11113" s="27">
        <v>6697.58</v>
      </c>
      <c r="M11113" s="36">
        <v>0</v>
      </c>
      <c r="T11113" s="41">
        <v>0</v>
      </c>
      <c r="U11113" s="41">
        <v>0</v>
      </c>
      <c r="V11113" s="42" t="s">
        <v>113</v>
      </c>
      <c r="W11113" s="42">
        <v>7050.08</v>
      </c>
      <c r="X11113" s="42">
        <v>7050.08</v>
      </c>
    </row>
    <row r="11114" spans="1:24">
      <c r="A11114" s="27" t="s">
        <v>20133</v>
      </c>
      <c r="B11114" s="28" t="s">
        <v>19918</v>
      </c>
      <c r="C11114" s="27" t="s">
        <v>20134</v>
      </c>
      <c r="D11114" s="27" t="s">
        <v>17578</v>
      </c>
      <c r="E11114" s="29">
        <v>40113</v>
      </c>
      <c r="F11114" s="27">
        <v>8</v>
      </c>
      <c r="G11114" s="18">
        <v>75690.75</v>
      </c>
      <c r="H11114" s="27">
        <f t="shared" si="346"/>
        <v>75690.75</v>
      </c>
      <c r="I11114" s="18">
        <v>71906.210000000006</v>
      </c>
      <c r="J11114" s="27">
        <v>75690.75</v>
      </c>
      <c r="K11114" s="18">
        <f t="shared" si="347"/>
        <v>75690.75</v>
      </c>
      <c r="L11114" s="27">
        <v>71906.210000000006</v>
      </c>
      <c r="M11114" s="36">
        <v>0</v>
      </c>
      <c r="T11114" s="41">
        <v>0</v>
      </c>
      <c r="U11114" s="41">
        <v>0</v>
      </c>
      <c r="V11114" s="42" t="s">
        <v>113</v>
      </c>
      <c r="W11114" s="42">
        <v>75690.75</v>
      </c>
      <c r="X11114" s="42">
        <v>75690.75</v>
      </c>
    </row>
    <row r="11115" spans="1:24">
      <c r="A11115" s="27" t="s">
        <v>20135</v>
      </c>
      <c r="B11115" s="28" t="s">
        <v>19918</v>
      </c>
      <c r="C11115" s="27" t="s">
        <v>20136</v>
      </c>
      <c r="D11115" s="27" t="s">
        <v>17578</v>
      </c>
      <c r="E11115" s="29">
        <v>40113</v>
      </c>
      <c r="F11115" s="27">
        <v>8</v>
      </c>
      <c r="G11115" s="18">
        <v>8949.32</v>
      </c>
      <c r="H11115" s="27">
        <f t="shared" si="346"/>
        <v>8949.32</v>
      </c>
      <c r="I11115" s="18">
        <v>8501.85</v>
      </c>
      <c r="J11115" s="27">
        <v>8949.32</v>
      </c>
      <c r="K11115" s="18">
        <f t="shared" si="347"/>
        <v>8949.32</v>
      </c>
      <c r="L11115" s="27">
        <v>8501.85</v>
      </c>
      <c r="M11115" s="36">
        <v>0</v>
      </c>
      <c r="T11115" s="41">
        <v>0</v>
      </c>
      <c r="U11115" s="41">
        <v>0</v>
      </c>
      <c r="V11115" s="42" t="s">
        <v>113</v>
      </c>
      <c r="W11115" s="42">
        <v>8949.32</v>
      </c>
      <c r="X11115" s="42">
        <v>8949.32</v>
      </c>
    </row>
    <row r="11116" spans="1:24">
      <c r="A11116" s="27" t="s">
        <v>20137</v>
      </c>
      <c r="B11116" s="28" t="s">
        <v>19918</v>
      </c>
      <c r="C11116" s="27" t="s">
        <v>20138</v>
      </c>
      <c r="D11116" s="27" t="s">
        <v>17578</v>
      </c>
      <c r="E11116" s="29">
        <v>38534</v>
      </c>
      <c r="F11116" s="27">
        <v>8</v>
      </c>
      <c r="G11116" s="18">
        <v>225516.52</v>
      </c>
      <c r="H11116" s="27">
        <f t="shared" si="346"/>
        <v>225516.52</v>
      </c>
      <c r="I11116" s="18">
        <v>214240.69</v>
      </c>
      <c r="J11116" s="27">
        <v>225516.52</v>
      </c>
      <c r="K11116" s="18">
        <f t="shared" si="347"/>
        <v>225516.52</v>
      </c>
      <c r="L11116" s="27">
        <v>214240.69</v>
      </c>
      <c r="M11116" s="36">
        <v>0</v>
      </c>
      <c r="T11116" s="41">
        <v>0</v>
      </c>
      <c r="U11116" s="41">
        <v>0</v>
      </c>
      <c r="V11116" s="42" t="s">
        <v>113</v>
      </c>
      <c r="W11116" s="42">
        <v>225516.52</v>
      </c>
      <c r="X11116" s="42">
        <v>225516.52</v>
      </c>
    </row>
    <row r="11117" spans="1:24">
      <c r="A11117" s="27" t="s">
        <v>20139</v>
      </c>
      <c r="B11117" s="28" t="s">
        <v>19918</v>
      </c>
      <c r="C11117" s="27" t="s">
        <v>20140</v>
      </c>
      <c r="D11117" s="27" t="s">
        <v>17578</v>
      </c>
      <c r="E11117" s="29">
        <v>38534</v>
      </c>
      <c r="F11117" s="27">
        <v>8</v>
      </c>
      <c r="G11117" s="18">
        <v>107120.34</v>
      </c>
      <c r="H11117" s="27">
        <f t="shared" si="346"/>
        <v>107120.34</v>
      </c>
      <c r="I11117" s="18">
        <v>101764.32</v>
      </c>
      <c r="J11117" s="27">
        <v>107120.34</v>
      </c>
      <c r="K11117" s="18">
        <f t="shared" si="347"/>
        <v>107120.34</v>
      </c>
      <c r="L11117" s="27">
        <v>101764.32</v>
      </c>
      <c r="M11117" s="36">
        <v>0</v>
      </c>
      <c r="T11117" s="41">
        <v>0</v>
      </c>
      <c r="U11117" s="41">
        <v>0</v>
      </c>
      <c r="V11117" s="42" t="s">
        <v>113</v>
      </c>
      <c r="W11117" s="42">
        <v>107120.34</v>
      </c>
      <c r="X11117" s="42">
        <v>107120.34</v>
      </c>
    </row>
    <row r="11118" spans="1:24">
      <c r="A11118" s="27" t="s">
        <v>20141</v>
      </c>
      <c r="B11118" s="28" t="s">
        <v>19918</v>
      </c>
      <c r="C11118" s="27" t="s">
        <v>19943</v>
      </c>
      <c r="D11118" s="27" t="s">
        <v>17578</v>
      </c>
      <c r="E11118" s="29">
        <v>40156</v>
      </c>
      <c r="F11118" s="27">
        <v>8</v>
      </c>
      <c r="G11118" s="18">
        <v>33797</v>
      </c>
      <c r="H11118" s="27">
        <f t="shared" si="346"/>
        <v>33797</v>
      </c>
      <c r="I11118" s="18">
        <v>32107.15</v>
      </c>
      <c r="J11118" s="27">
        <v>33797</v>
      </c>
      <c r="K11118" s="18">
        <f t="shared" si="347"/>
        <v>33797</v>
      </c>
      <c r="L11118" s="27">
        <v>32107.15</v>
      </c>
      <c r="M11118" s="36">
        <v>0</v>
      </c>
      <c r="T11118" s="41">
        <v>0</v>
      </c>
      <c r="U11118" s="41">
        <v>0</v>
      </c>
      <c r="V11118" s="42" t="s">
        <v>113</v>
      </c>
      <c r="W11118" s="42">
        <v>33797</v>
      </c>
      <c r="X11118" s="42">
        <v>33797</v>
      </c>
    </row>
    <row r="11119" spans="1:24">
      <c r="A11119" s="27" t="s">
        <v>20142</v>
      </c>
      <c r="B11119" s="28" t="s">
        <v>19918</v>
      </c>
      <c r="C11119" s="27" t="s">
        <v>20143</v>
      </c>
      <c r="D11119" s="27" t="s">
        <v>17578</v>
      </c>
      <c r="E11119" s="29">
        <v>40268</v>
      </c>
      <c r="F11119" s="27">
        <v>8</v>
      </c>
      <c r="G11119" s="18">
        <v>21687.09</v>
      </c>
      <c r="H11119" s="27">
        <f t="shared" si="346"/>
        <v>21687.09</v>
      </c>
      <c r="I11119" s="18">
        <v>20602.740000000002</v>
      </c>
      <c r="J11119" s="27">
        <v>21687.09</v>
      </c>
      <c r="K11119" s="18">
        <f t="shared" si="347"/>
        <v>21687.09</v>
      </c>
      <c r="L11119" s="27">
        <v>20602.740000000002</v>
      </c>
      <c r="M11119" s="36">
        <v>0</v>
      </c>
      <c r="T11119" s="41">
        <v>0</v>
      </c>
      <c r="U11119" s="41">
        <v>0</v>
      </c>
      <c r="V11119" s="42" t="s">
        <v>113</v>
      </c>
      <c r="W11119" s="42">
        <v>21687.09</v>
      </c>
      <c r="X11119" s="42">
        <v>21687.09</v>
      </c>
    </row>
    <row r="11120" spans="1:24">
      <c r="A11120" s="27" t="s">
        <v>20144</v>
      </c>
      <c r="B11120" s="28" t="s">
        <v>19918</v>
      </c>
      <c r="C11120" s="27" t="s">
        <v>20145</v>
      </c>
      <c r="D11120" s="27" t="s">
        <v>17578</v>
      </c>
      <c r="E11120" s="29">
        <v>40268</v>
      </c>
      <c r="F11120" s="27">
        <v>8</v>
      </c>
      <c r="G11120" s="18">
        <v>14981.85</v>
      </c>
      <c r="H11120" s="27">
        <f t="shared" si="346"/>
        <v>14981.85</v>
      </c>
      <c r="I11120" s="18">
        <v>14232.76</v>
      </c>
      <c r="J11120" s="27">
        <v>14981.85</v>
      </c>
      <c r="K11120" s="18">
        <f t="shared" si="347"/>
        <v>14981.85</v>
      </c>
      <c r="L11120" s="27">
        <v>14232.76</v>
      </c>
      <c r="M11120" s="36">
        <v>0</v>
      </c>
      <c r="T11120" s="41">
        <v>0</v>
      </c>
      <c r="U11120" s="41">
        <v>0</v>
      </c>
      <c r="V11120" s="42" t="s">
        <v>113</v>
      </c>
      <c r="W11120" s="42">
        <v>14981.85</v>
      </c>
      <c r="X11120" s="42">
        <v>14981.85</v>
      </c>
    </row>
    <row r="11121" spans="1:24">
      <c r="A11121" s="27" t="s">
        <v>20146</v>
      </c>
      <c r="B11121" s="28" t="s">
        <v>19918</v>
      </c>
      <c r="C11121" s="27" t="s">
        <v>19943</v>
      </c>
      <c r="D11121" s="27" t="s">
        <v>17578</v>
      </c>
      <c r="E11121" s="29">
        <v>40268</v>
      </c>
      <c r="F11121" s="27">
        <v>8</v>
      </c>
      <c r="G11121" s="18">
        <v>24581.85</v>
      </c>
      <c r="H11121" s="27">
        <f t="shared" si="346"/>
        <v>24581.85</v>
      </c>
      <c r="I11121" s="18">
        <v>23352.76</v>
      </c>
      <c r="J11121" s="27">
        <v>24581.85</v>
      </c>
      <c r="K11121" s="18">
        <f t="shared" si="347"/>
        <v>24581.85</v>
      </c>
      <c r="L11121" s="27">
        <v>23352.76</v>
      </c>
      <c r="M11121" s="36">
        <v>0</v>
      </c>
      <c r="T11121" s="41">
        <v>0</v>
      </c>
      <c r="U11121" s="41">
        <v>0</v>
      </c>
      <c r="V11121" s="42" t="s">
        <v>113</v>
      </c>
      <c r="W11121" s="42">
        <v>24581.85</v>
      </c>
      <c r="X11121" s="42">
        <v>24581.85</v>
      </c>
    </row>
    <row r="11122" spans="1:24">
      <c r="A11122" s="27" t="s">
        <v>20147</v>
      </c>
      <c r="B11122" s="28" t="s">
        <v>19918</v>
      </c>
      <c r="C11122" s="27" t="s">
        <v>20148</v>
      </c>
      <c r="D11122" s="27" t="s">
        <v>17578</v>
      </c>
      <c r="E11122" s="29">
        <v>40268</v>
      </c>
      <c r="F11122" s="27">
        <v>8</v>
      </c>
      <c r="G11122" s="18">
        <v>21687.09</v>
      </c>
      <c r="H11122" s="27">
        <f t="shared" si="346"/>
        <v>21687.09</v>
      </c>
      <c r="I11122" s="18">
        <v>20602.740000000002</v>
      </c>
      <c r="J11122" s="27">
        <v>21687.09</v>
      </c>
      <c r="K11122" s="18">
        <f t="shared" si="347"/>
        <v>21687.09</v>
      </c>
      <c r="L11122" s="27">
        <v>20602.740000000002</v>
      </c>
      <c r="M11122" s="36">
        <v>0</v>
      </c>
      <c r="T11122" s="41">
        <v>0</v>
      </c>
      <c r="U11122" s="41">
        <v>0</v>
      </c>
      <c r="V11122" s="42" t="s">
        <v>113</v>
      </c>
      <c r="W11122" s="42">
        <v>21687.09</v>
      </c>
      <c r="X11122" s="42">
        <v>21687.09</v>
      </c>
    </row>
    <row r="11123" spans="1:24">
      <c r="A11123" s="27" t="s">
        <v>20149</v>
      </c>
      <c r="B11123" s="28" t="s">
        <v>19918</v>
      </c>
      <c r="C11123" s="27" t="s">
        <v>19952</v>
      </c>
      <c r="D11123" s="27" t="s">
        <v>17578</v>
      </c>
      <c r="E11123" s="29">
        <v>41271</v>
      </c>
      <c r="F11123" s="27">
        <v>8</v>
      </c>
      <c r="G11123" s="18">
        <v>81027.69</v>
      </c>
      <c r="H11123" s="27">
        <f t="shared" si="346"/>
        <v>0</v>
      </c>
      <c r="I11123" s="18">
        <v>53960.63</v>
      </c>
      <c r="J11123" s="27">
        <v>81027.69</v>
      </c>
      <c r="K11123" s="18">
        <f t="shared" si="347"/>
        <v>0</v>
      </c>
      <c r="L11123" s="27">
        <v>65468.47</v>
      </c>
      <c r="M11123" s="36">
        <v>11507.84</v>
      </c>
      <c r="T11123" s="41">
        <v>0</v>
      </c>
      <c r="U11123" s="41">
        <v>0</v>
      </c>
      <c r="V11123" s="42" t="s">
        <v>113</v>
      </c>
      <c r="W11123" s="42">
        <v>81027.69</v>
      </c>
      <c r="X11123" s="42">
        <v>81027.69</v>
      </c>
    </row>
    <row r="11124" spans="1:24">
      <c r="A11124" s="27" t="s">
        <v>20150</v>
      </c>
      <c r="B11124" s="28" t="s">
        <v>19918</v>
      </c>
      <c r="C11124" s="27" t="s">
        <v>20151</v>
      </c>
      <c r="D11124" s="27" t="s">
        <v>17578</v>
      </c>
      <c r="E11124" s="29">
        <v>40543</v>
      </c>
      <c r="F11124" s="27">
        <v>8</v>
      </c>
      <c r="G11124" s="18">
        <v>12903.03</v>
      </c>
      <c r="H11124" s="27">
        <f t="shared" si="346"/>
        <v>12903.03</v>
      </c>
      <c r="I11124" s="18">
        <v>12257.88</v>
      </c>
      <c r="J11124" s="27">
        <v>12903.03</v>
      </c>
      <c r="K11124" s="18">
        <f t="shared" si="347"/>
        <v>12903.03</v>
      </c>
      <c r="L11124" s="27">
        <v>12257.88</v>
      </c>
      <c r="M11124" s="36">
        <v>0</v>
      </c>
      <c r="T11124" s="41">
        <v>0</v>
      </c>
      <c r="U11124" s="41">
        <v>0</v>
      </c>
      <c r="V11124" s="42" t="s">
        <v>113</v>
      </c>
      <c r="W11124" s="42">
        <v>12903.03</v>
      </c>
      <c r="X11124" s="42">
        <v>12903.03</v>
      </c>
    </row>
    <row r="11125" spans="1:24">
      <c r="A11125" s="27" t="s">
        <v>20152</v>
      </c>
      <c r="B11125" s="28" t="s">
        <v>19918</v>
      </c>
      <c r="C11125" s="27" t="s">
        <v>20153</v>
      </c>
      <c r="D11125" s="27" t="s">
        <v>17578</v>
      </c>
      <c r="E11125" s="29">
        <v>40543</v>
      </c>
      <c r="F11125" s="27">
        <v>8</v>
      </c>
      <c r="G11125" s="18">
        <v>18903.03</v>
      </c>
      <c r="H11125" s="27">
        <f t="shared" si="346"/>
        <v>18903.03</v>
      </c>
      <c r="I11125" s="18">
        <v>17957.88</v>
      </c>
      <c r="J11125" s="27">
        <v>18903.03</v>
      </c>
      <c r="K11125" s="18">
        <f t="shared" si="347"/>
        <v>18903.03</v>
      </c>
      <c r="L11125" s="27">
        <v>17957.88</v>
      </c>
      <c r="M11125" s="36">
        <v>0</v>
      </c>
      <c r="T11125" s="41">
        <v>0</v>
      </c>
      <c r="U11125" s="41">
        <v>0</v>
      </c>
      <c r="V11125" s="42" t="s">
        <v>113</v>
      </c>
      <c r="W11125" s="42">
        <v>18903.03</v>
      </c>
      <c r="X11125" s="42">
        <v>18903.03</v>
      </c>
    </row>
    <row r="11126" spans="1:24">
      <c r="A11126" s="27" t="s">
        <v>20154</v>
      </c>
      <c r="B11126" s="28" t="s">
        <v>19918</v>
      </c>
      <c r="C11126" s="27" t="s">
        <v>20155</v>
      </c>
      <c r="D11126" s="27" t="s">
        <v>17578</v>
      </c>
      <c r="E11126" s="29">
        <v>41264</v>
      </c>
      <c r="F11126" s="27">
        <v>8</v>
      </c>
      <c r="G11126" s="18">
        <v>8119.66</v>
      </c>
      <c r="H11126" s="27">
        <f t="shared" si="346"/>
        <v>0</v>
      </c>
      <c r="I11126" s="18">
        <v>5785.26</v>
      </c>
      <c r="J11126" s="27">
        <v>8119.66</v>
      </c>
      <c r="K11126" s="18">
        <f t="shared" si="347"/>
        <v>0</v>
      </c>
      <c r="L11126" s="27">
        <v>6749.47</v>
      </c>
      <c r="M11126" s="36">
        <v>964.21</v>
      </c>
      <c r="T11126" s="41">
        <v>0</v>
      </c>
      <c r="U11126" s="41">
        <v>0</v>
      </c>
      <c r="V11126" s="42" t="s">
        <v>113</v>
      </c>
      <c r="W11126" s="42">
        <v>8119.66</v>
      </c>
      <c r="X11126" s="42">
        <v>8119.66</v>
      </c>
    </row>
    <row r="11127" spans="1:24">
      <c r="A11127" s="27" t="s">
        <v>20156</v>
      </c>
      <c r="B11127" s="28" t="s">
        <v>19918</v>
      </c>
      <c r="C11127" s="27" t="s">
        <v>20155</v>
      </c>
      <c r="D11127" s="27" t="s">
        <v>17578</v>
      </c>
      <c r="E11127" s="29">
        <v>41264</v>
      </c>
      <c r="F11127" s="27">
        <v>8</v>
      </c>
      <c r="G11127" s="18">
        <v>8119.66</v>
      </c>
      <c r="H11127" s="27">
        <f t="shared" si="346"/>
        <v>0</v>
      </c>
      <c r="I11127" s="18">
        <v>5785.26</v>
      </c>
      <c r="J11127" s="27">
        <v>8119.66</v>
      </c>
      <c r="K11127" s="18">
        <f t="shared" si="347"/>
        <v>0</v>
      </c>
      <c r="L11127" s="27">
        <v>6749.47</v>
      </c>
      <c r="M11127" s="36">
        <v>964.21</v>
      </c>
      <c r="T11127" s="41">
        <v>0</v>
      </c>
      <c r="U11127" s="41">
        <v>0</v>
      </c>
      <c r="V11127" s="42" t="s">
        <v>113</v>
      </c>
      <c r="W11127" s="42">
        <v>8119.66</v>
      </c>
      <c r="X11127" s="42">
        <v>8119.66</v>
      </c>
    </row>
    <row r="11128" spans="1:24">
      <c r="A11128" s="27" t="s">
        <v>20157</v>
      </c>
      <c r="B11128" s="28" t="s">
        <v>19918</v>
      </c>
      <c r="C11128" s="27" t="s">
        <v>20155</v>
      </c>
      <c r="D11128" s="27" t="s">
        <v>17578</v>
      </c>
      <c r="E11128" s="29">
        <v>41264</v>
      </c>
      <c r="F11128" s="27">
        <v>8</v>
      </c>
      <c r="G11128" s="18">
        <v>8119.66</v>
      </c>
      <c r="H11128" s="27">
        <f t="shared" si="346"/>
        <v>0</v>
      </c>
      <c r="I11128" s="18">
        <v>5785.27</v>
      </c>
      <c r="J11128" s="27">
        <v>8119.66</v>
      </c>
      <c r="K11128" s="18">
        <f t="shared" si="347"/>
        <v>0</v>
      </c>
      <c r="L11128" s="27">
        <v>6749.48</v>
      </c>
      <c r="M11128" s="36">
        <v>964.21</v>
      </c>
      <c r="T11128" s="41">
        <v>0</v>
      </c>
      <c r="U11128" s="41">
        <v>0</v>
      </c>
      <c r="V11128" s="42" t="s">
        <v>113</v>
      </c>
      <c r="W11128" s="42">
        <v>8119.66</v>
      </c>
      <c r="X11128" s="42">
        <v>8119.66</v>
      </c>
    </row>
    <row r="11129" spans="1:24">
      <c r="A11129" s="27" t="s">
        <v>20158</v>
      </c>
      <c r="B11129" s="28" t="s">
        <v>19918</v>
      </c>
      <c r="C11129" s="27" t="s">
        <v>20159</v>
      </c>
      <c r="D11129" s="27" t="s">
        <v>17578</v>
      </c>
      <c r="E11129" s="29">
        <v>39813</v>
      </c>
      <c r="F11129" s="27">
        <v>8</v>
      </c>
      <c r="G11129" s="18">
        <v>20400</v>
      </c>
      <c r="H11129" s="27">
        <f t="shared" si="346"/>
        <v>20400</v>
      </c>
      <c r="I11129" s="18">
        <v>19380</v>
      </c>
      <c r="J11129" s="27">
        <v>20400</v>
      </c>
      <c r="K11129" s="18">
        <f t="shared" si="347"/>
        <v>20400</v>
      </c>
      <c r="L11129" s="27">
        <v>19380</v>
      </c>
      <c r="M11129" s="36">
        <v>0</v>
      </c>
      <c r="T11129" s="41">
        <v>0</v>
      </c>
      <c r="U11129" s="41">
        <v>0</v>
      </c>
      <c r="V11129" s="42" t="s">
        <v>113</v>
      </c>
      <c r="W11129" s="42">
        <v>20400</v>
      </c>
      <c r="X11129" s="42">
        <v>20400</v>
      </c>
    </row>
    <row r="11130" spans="1:24">
      <c r="A11130" s="27" t="s">
        <v>20160</v>
      </c>
      <c r="B11130" s="28" t="s">
        <v>19918</v>
      </c>
      <c r="C11130" s="27" t="s">
        <v>20161</v>
      </c>
      <c r="D11130" s="27" t="s">
        <v>230</v>
      </c>
      <c r="E11130" s="29">
        <v>40165</v>
      </c>
      <c r="F11130" s="27">
        <v>8</v>
      </c>
      <c r="G11130" s="18">
        <v>2000</v>
      </c>
      <c r="H11130" s="27">
        <f t="shared" si="346"/>
        <v>2000</v>
      </c>
      <c r="I11130" s="18">
        <v>1971.25</v>
      </c>
      <c r="J11130" s="27">
        <v>2000</v>
      </c>
      <c r="K11130" s="18">
        <f t="shared" si="347"/>
        <v>2000</v>
      </c>
      <c r="L11130" s="27">
        <v>1971.25</v>
      </c>
      <c r="M11130" s="36">
        <v>0</v>
      </c>
      <c r="T11130" s="41">
        <v>0</v>
      </c>
      <c r="U11130" s="41">
        <v>0</v>
      </c>
      <c r="V11130" s="42" t="s">
        <v>113</v>
      </c>
      <c r="W11130" s="42">
        <v>2000</v>
      </c>
      <c r="X11130" s="42">
        <v>2000</v>
      </c>
    </row>
    <row r="11131" spans="1:24">
      <c r="A11131" s="27" t="s">
        <v>20162</v>
      </c>
      <c r="B11131" s="28" t="s">
        <v>19918</v>
      </c>
      <c r="C11131" s="27" t="s">
        <v>20163</v>
      </c>
      <c r="D11131" s="27" t="s">
        <v>230</v>
      </c>
      <c r="E11131" s="29">
        <v>40165</v>
      </c>
      <c r="F11131" s="27">
        <v>8</v>
      </c>
      <c r="G11131" s="18">
        <v>2000</v>
      </c>
      <c r="H11131" s="27">
        <f t="shared" si="346"/>
        <v>2000</v>
      </c>
      <c r="I11131" s="18">
        <v>1971.25</v>
      </c>
      <c r="J11131" s="27">
        <v>2000</v>
      </c>
      <c r="K11131" s="18">
        <f t="shared" si="347"/>
        <v>2000</v>
      </c>
      <c r="L11131" s="27">
        <v>1971.25</v>
      </c>
      <c r="M11131" s="36">
        <v>0</v>
      </c>
      <c r="T11131" s="41">
        <v>0</v>
      </c>
      <c r="U11131" s="41">
        <v>0</v>
      </c>
      <c r="V11131" s="42" t="s">
        <v>113</v>
      </c>
      <c r="W11131" s="42">
        <v>2000</v>
      </c>
      <c r="X11131" s="42">
        <v>2000</v>
      </c>
    </row>
    <row r="11132" spans="1:24">
      <c r="A11132" s="27" t="s">
        <v>20164</v>
      </c>
      <c r="B11132" s="28" t="s">
        <v>19918</v>
      </c>
      <c r="C11132" s="27" t="s">
        <v>20165</v>
      </c>
      <c r="D11132" s="27" t="s">
        <v>112</v>
      </c>
      <c r="E11132" s="29">
        <v>37226</v>
      </c>
      <c r="F11132" s="27">
        <v>8</v>
      </c>
      <c r="G11132" s="18">
        <v>3250</v>
      </c>
      <c r="H11132" s="27">
        <f t="shared" si="346"/>
        <v>3250</v>
      </c>
      <c r="I11132" s="18">
        <v>3087.5</v>
      </c>
      <c r="J11132" s="27">
        <v>3250</v>
      </c>
      <c r="K11132" s="18">
        <f t="shared" si="347"/>
        <v>3250</v>
      </c>
      <c r="L11132" s="27">
        <v>3087.5</v>
      </c>
      <c r="M11132" s="36">
        <v>0</v>
      </c>
      <c r="T11132" s="41">
        <v>0</v>
      </c>
      <c r="U11132" s="41">
        <v>0</v>
      </c>
      <c r="V11132" s="42" t="s">
        <v>113</v>
      </c>
      <c r="W11132" s="42">
        <v>3250</v>
      </c>
      <c r="X11132" s="42">
        <v>3250</v>
      </c>
    </row>
    <row r="11133" spans="1:24">
      <c r="A11133" s="27" t="s">
        <v>20166</v>
      </c>
      <c r="B11133" s="28" t="s">
        <v>19918</v>
      </c>
      <c r="C11133" s="27" t="s">
        <v>20167</v>
      </c>
      <c r="D11133" s="27" t="s">
        <v>230</v>
      </c>
      <c r="E11133" s="29">
        <v>37591</v>
      </c>
      <c r="F11133" s="27">
        <v>8</v>
      </c>
      <c r="G11133" s="18">
        <v>4616.07</v>
      </c>
      <c r="H11133" s="27">
        <f t="shared" si="346"/>
        <v>4616.07</v>
      </c>
      <c r="I11133" s="18">
        <v>4430.66</v>
      </c>
      <c r="J11133" s="27">
        <v>0</v>
      </c>
      <c r="K11133" s="18">
        <f t="shared" si="347"/>
        <v>0</v>
      </c>
      <c r="L11133" s="27">
        <v>0</v>
      </c>
      <c r="M11133" s="36">
        <v>0</v>
      </c>
      <c r="Q11133" s="16" t="s">
        <v>19522</v>
      </c>
      <c r="R11133" s="16">
        <v>4616.07</v>
      </c>
      <c r="S11133" s="16">
        <v>4430.66</v>
      </c>
      <c r="T11133" s="41">
        <v>0</v>
      </c>
      <c r="U11133" s="41">
        <v>0</v>
      </c>
      <c r="V11133" s="42" t="s">
        <v>113</v>
      </c>
      <c r="W11133" s="42">
        <v>0</v>
      </c>
      <c r="X11133" s="42">
        <v>0</v>
      </c>
    </row>
    <row r="11134" spans="1:24">
      <c r="A11134" s="27" t="s">
        <v>20168</v>
      </c>
      <c r="B11134" s="28" t="s">
        <v>19918</v>
      </c>
      <c r="C11134" s="27" t="s">
        <v>20169</v>
      </c>
      <c r="D11134" s="27" t="s">
        <v>230</v>
      </c>
      <c r="E11134" s="29">
        <v>40169</v>
      </c>
      <c r="F11134" s="27">
        <v>8</v>
      </c>
      <c r="G11134" s="18">
        <v>3252</v>
      </c>
      <c r="H11134" s="27">
        <f t="shared" si="346"/>
        <v>3252</v>
      </c>
      <c r="I11134" s="18">
        <v>3233.17</v>
      </c>
      <c r="J11134" s="27">
        <v>3252</v>
      </c>
      <c r="K11134" s="18">
        <f t="shared" si="347"/>
        <v>3252</v>
      </c>
      <c r="L11134" s="27">
        <v>3233.17</v>
      </c>
      <c r="M11134" s="36">
        <v>0</v>
      </c>
      <c r="T11134" s="41">
        <v>0</v>
      </c>
      <c r="U11134" s="41">
        <v>0</v>
      </c>
      <c r="V11134" s="42" t="s">
        <v>113</v>
      </c>
      <c r="W11134" s="42">
        <v>3252</v>
      </c>
      <c r="X11134" s="42">
        <v>3252</v>
      </c>
    </row>
    <row r="11135" spans="1:24">
      <c r="A11135" s="27" t="s">
        <v>20170</v>
      </c>
      <c r="B11135" s="28" t="s">
        <v>19918</v>
      </c>
      <c r="C11135" s="27" t="s">
        <v>20171</v>
      </c>
      <c r="D11135" s="27" t="s">
        <v>230</v>
      </c>
      <c r="E11135" s="29">
        <v>40156</v>
      </c>
      <c r="F11135" s="27">
        <v>8</v>
      </c>
      <c r="G11135" s="18">
        <v>2000</v>
      </c>
      <c r="H11135" s="27">
        <f t="shared" si="346"/>
        <v>2000</v>
      </c>
      <c r="I11135" s="18">
        <v>1900</v>
      </c>
      <c r="J11135" s="27">
        <v>2000</v>
      </c>
      <c r="K11135" s="18">
        <f t="shared" si="347"/>
        <v>2000</v>
      </c>
      <c r="L11135" s="27">
        <v>1900</v>
      </c>
      <c r="M11135" s="36">
        <v>0</v>
      </c>
      <c r="T11135" s="41">
        <v>0</v>
      </c>
      <c r="U11135" s="41">
        <v>0</v>
      </c>
      <c r="V11135" s="42" t="s">
        <v>113</v>
      </c>
      <c r="W11135" s="42">
        <v>2000</v>
      </c>
      <c r="X11135" s="42">
        <v>2000</v>
      </c>
    </row>
    <row r="11136" spans="1:24">
      <c r="A11136" s="27" t="s">
        <v>20172</v>
      </c>
      <c r="B11136" s="28" t="s">
        <v>19918</v>
      </c>
      <c r="C11136" s="27" t="s">
        <v>20173</v>
      </c>
      <c r="D11136" s="27" t="s">
        <v>230</v>
      </c>
      <c r="E11136" s="29">
        <v>37226</v>
      </c>
      <c r="F11136" s="27">
        <v>8</v>
      </c>
      <c r="G11136" s="18">
        <v>2000</v>
      </c>
      <c r="H11136" s="27">
        <f t="shared" si="346"/>
        <v>2000</v>
      </c>
      <c r="I11136" s="18">
        <v>1900</v>
      </c>
      <c r="J11136" s="27">
        <v>2000</v>
      </c>
      <c r="K11136" s="18">
        <f t="shared" si="347"/>
        <v>2000</v>
      </c>
      <c r="L11136" s="27">
        <v>1900</v>
      </c>
      <c r="M11136" s="36">
        <v>0</v>
      </c>
      <c r="T11136" s="41">
        <v>0</v>
      </c>
      <c r="U11136" s="41">
        <v>0</v>
      </c>
      <c r="V11136" s="42" t="s">
        <v>113</v>
      </c>
      <c r="W11136" s="42">
        <v>2000</v>
      </c>
      <c r="X11136" s="42">
        <v>2000</v>
      </c>
    </row>
    <row r="11137" spans="1:24">
      <c r="A11137" s="27" t="s">
        <v>20174</v>
      </c>
      <c r="B11137" s="28" t="s">
        <v>19918</v>
      </c>
      <c r="C11137" s="27" t="s">
        <v>20175</v>
      </c>
      <c r="D11137" s="27" t="s">
        <v>17578</v>
      </c>
      <c r="E11137" s="29">
        <v>40114</v>
      </c>
      <c r="F11137" s="27">
        <v>8</v>
      </c>
      <c r="G11137" s="18">
        <v>4000</v>
      </c>
      <c r="H11137" s="27">
        <f t="shared" si="346"/>
        <v>4000</v>
      </c>
      <c r="I11137" s="18">
        <v>3799.99</v>
      </c>
      <c r="J11137" s="27">
        <v>4000</v>
      </c>
      <c r="K11137" s="18">
        <f t="shared" si="347"/>
        <v>4000</v>
      </c>
      <c r="L11137" s="27">
        <v>3799.99</v>
      </c>
      <c r="M11137" s="36">
        <v>0</v>
      </c>
      <c r="T11137" s="41">
        <v>0</v>
      </c>
      <c r="U11137" s="41">
        <v>0</v>
      </c>
      <c r="V11137" s="42" t="s">
        <v>113</v>
      </c>
      <c r="W11137" s="42">
        <v>4000</v>
      </c>
      <c r="X11137" s="42">
        <v>4000</v>
      </c>
    </row>
    <row r="11138" spans="1:24">
      <c r="A11138" s="27" t="s">
        <v>20176</v>
      </c>
      <c r="B11138" s="28" t="s">
        <v>19918</v>
      </c>
      <c r="C11138" s="27" t="s">
        <v>20177</v>
      </c>
      <c r="D11138" s="27" t="s">
        <v>17578</v>
      </c>
      <c r="E11138" s="29">
        <v>40114</v>
      </c>
      <c r="F11138" s="27">
        <v>8</v>
      </c>
      <c r="G11138" s="18">
        <v>2000</v>
      </c>
      <c r="H11138" s="27">
        <f t="shared" si="346"/>
        <v>2000</v>
      </c>
      <c r="I11138" s="18">
        <v>1900</v>
      </c>
      <c r="J11138" s="27">
        <v>2000</v>
      </c>
      <c r="K11138" s="18">
        <f t="shared" si="347"/>
        <v>2000</v>
      </c>
      <c r="L11138" s="27">
        <v>1900</v>
      </c>
      <c r="M11138" s="36">
        <v>0</v>
      </c>
      <c r="T11138" s="41">
        <v>0</v>
      </c>
      <c r="U11138" s="41">
        <v>0</v>
      </c>
      <c r="V11138" s="42" t="s">
        <v>113</v>
      </c>
      <c r="W11138" s="42">
        <v>2000</v>
      </c>
      <c r="X11138" s="42">
        <v>2000</v>
      </c>
    </row>
    <row r="11139" spans="1:24">
      <c r="A11139" s="27" t="s">
        <v>20178</v>
      </c>
      <c r="B11139" s="28" t="s">
        <v>19918</v>
      </c>
      <c r="C11139" s="27" t="s">
        <v>20179</v>
      </c>
      <c r="D11139" s="27" t="s">
        <v>17578</v>
      </c>
      <c r="E11139" s="29">
        <v>40114</v>
      </c>
      <c r="F11139" s="27">
        <v>8</v>
      </c>
      <c r="G11139" s="18">
        <v>2000</v>
      </c>
      <c r="H11139" s="27">
        <f t="shared" si="346"/>
        <v>2000</v>
      </c>
      <c r="I11139" s="18">
        <v>1900</v>
      </c>
      <c r="J11139" s="27">
        <v>2000</v>
      </c>
      <c r="K11139" s="18">
        <f t="shared" si="347"/>
        <v>2000</v>
      </c>
      <c r="L11139" s="27">
        <v>1900</v>
      </c>
      <c r="M11139" s="36">
        <v>0</v>
      </c>
      <c r="T11139" s="41">
        <v>0</v>
      </c>
      <c r="U11139" s="41">
        <v>0</v>
      </c>
      <c r="V11139" s="42" t="s">
        <v>113</v>
      </c>
      <c r="W11139" s="42">
        <v>2000</v>
      </c>
      <c r="X11139" s="42">
        <v>2000</v>
      </c>
    </row>
    <row r="11140" spans="1:24">
      <c r="A11140" s="27" t="s">
        <v>20180</v>
      </c>
      <c r="B11140" s="28" t="s">
        <v>19918</v>
      </c>
      <c r="C11140" s="27" t="s">
        <v>20181</v>
      </c>
      <c r="D11140" s="27" t="s">
        <v>230</v>
      </c>
      <c r="E11140" s="29">
        <v>37226</v>
      </c>
      <c r="F11140" s="27">
        <v>8</v>
      </c>
      <c r="G11140" s="18">
        <v>4616.07</v>
      </c>
      <c r="H11140" s="27">
        <f t="shared" si="346"/>
        <v>4616.07</v>
      </c>
      <c r="I11140" s="18">
        <v>4445.26</v>
      </c>
      <c r="J11140" s="27">
        <v>4616.07</v>
      </c>
      <c r="K11140" s="18">
        <f t="shared" si="347"/>
        <v>4616.07</v>
      </c>
      <c r="L11140" s="27">
        <v>4445.26</v>
      </c>
      <c r="M11140" s="36">
        <v>0</v>
      </c>
      <c r="T11140" s="41">
        <v>0</v>
      </c>
      <c r="U11140" s="41">
        <v>0</v>
      </c>
      <c r="V11140" s="42" t="s">
        <v>113</v>
      </c>
      <c r="W11140" s="42">
        <v>4616.07</v>
      </c>
      <c r="X11140" s="42">
        <v>4616.07</v>
      </c>
    </row>
    <row r="11141" spans="1:24">
      <c r="A11141" s="27" t="s">
        <v>20182</v>
      </c>
      <c r="B11141" s="28" t="s">
        <v>19918</v>
      </c>
      <c r="C11141" s="27" t="s">
        <v>20183</v>
      </c>
      <c r="D11141" s="27" t="s">
        <v>220</v>
      </c>
      <c r="E11141" s="29">
        <v>38534</v>
      </c>
      <c r="F11141" s="27">
        <v>8</v>
      </c>
      <c r="G11141" s="18">
        <v>40000</v>
      </c>
      <c r="H11141" s="27">
        <f t="shared" si="346"/>
        <v>40000</v>
      </c>
      <c r="I11141" s="18">
        <v>37999.99</v>
      </c>
      <c r="J11141" s="27">
        <v>40000</v>
      </c>
      <c r="K11141" s="18">
        <f t="shared" si="347"/>
        <v>40000</v>
      </c>
      <c r="L11141" s="27">
        <v>37999.99</v>
      </c>
      <c r="M11141" s="36">
        <v>0</v>
      </c>
      <c r="T11141" s="41">
        <v>0</v>
      </c>
      <c r="U11141" s="41">
        <v>0</v>
      </c>
      <c r="V11141" s="42" t="s">
        <v>113</v>
      </c>
      <c r="W11141" s="42">
        <v>40000</v>
      </c>
      <c r="X11141" s="42">
        <v>40000</v>
      </c>
    </row>
    <row r="11142" spans="1:24">
      <c r="A11142" s="27" t="s">
        <v>20184</v>
      </c>
      <c r="B11142" s="28" t="s">
        <v>19918</v>
      </c>
      <c r="C11142" s="27" t="s">
        <v>20185</v>
      </c>
      <c r="D11142" s="27" t="s">
        <v>118</v>
      </c>
      <c r="E11142" s="29">
        <v>38200</v>
      </c>
      <c r="F11142" s="27">
        <v>8</v>
      </c>
      <c r="G11142" s="18">
        <v>3525</v>
      </c>
      <c r="H11142" s="27">
        <f t="shared" ref="H11142:H11205" si="348">IFERROR(IF(ROUND((G11142-I11142)/G11142,2)&lt;=0.05,G11142,0),0)</f>
        <v>3525</v>
      </c>
      <c r="I11142" s="18">
        <v>3348.75</v>
      </c>
      <c r="J11142" s="27">
        <v>3525</v>
      </c>
      <c r="K11142" s="18">
        <f t="shared" ref="K11142:K11205" si="349">IFERROR(IF(ROUND((J11142-L11142)/J11142,2)&lt;=0.05,J11142,0),0)</f>
        <v>3525</v>
      </c>
      <c r="L11142" s="27">
        <v>3348.75</v>
      </c>
      <c r="M11142" s="36">
        <v>0</v>
      </c>
      <c r="T11142" s="41">
        <v>0</v>
      </c>
      <c r="U11142" s="41">
        <v>0</v>
      </c>
      <c r="V11142" s="42" t="s">
        <v>113</v>
      </c>
      <c r="W11142" s="42">
        <v>3525</v>
      </c>
      <c r="X11142" s="42">
        <v>3525</v>
      </c>
    </row>
    <row r="11143" spans="1:24">
      <c r="A11143" s="27" t="s">
        <v>20186</v>
      </c>
      <c r="B11143" s="28" t="s">
        <v>19918</v>
      </c>
      <c r="C11143" s="27" t="s">
        <v>20187</v>
      </c>
      <c r="D11143" s="27" t="s">
        <v>230</v>
      </c>
      <c r="E11143" s="29">
        <v>40169</v>
      </c>
      <c r="F11143" s="27">
        <v>8</v>
      </c>
      <c r="G11143" s="18">
        <v>2000</v>
      </c>
      <c r="H11143" s="27">
        <f t="shared" si="348"/>
        <v>2000</v>
      </c>
      <c r="I11143" s="18">
        <v>2000</v>
      </c>
      <c r="J11143" s="27">
        <v>2000</v>
      </c>
      <c r="K11143" s="18">
        <f t="shared" si="349"/>
        <v>2000</v>
      </c>
      <c r="L11143" s="27">
        <v>2000</v>
      </c>
      <c r="M11143" s="36">
        <v>0</v>
      </c>
      <c r="T11143" s="41">
        <v>0</v>
      </c>
      <c r="U11143" s="41">
        <v>0</v>
      </c>
      <c r="V11143" s="42" t="s">
        <v>113</v>
      </c>
      <c r="W11143" s="42">
        <v>2000</v>
      </c>
      <c r="X11143" s="42">
        <v>2000</v>
      </c>
    </row>
    <row r="11144" spans="1:24">
      <c r="A11144" s="27" t="s">
        <v>20188</v>
      </c>
      <c r="B11144" s="28" t="s">
        <v>19918</v>
      </c>
      <c r="C11144" s="27" t="s">
        <v>20189</v>
      </c>
      <c r="D11144" s="27" t="s">
        <v>230</v>
      </c>
      <c r="E11144" s="29">
        <v>40169</v>
      </c>
      <c r="F11144" s="27">
        <v>8</v>
      </c>
      <c r="G11144" s="18">
        <v>3252</v>
      </c>
      <c r="H11144" s="27">
        <f t="shared" si="348"/>
        <v>3252</v>
      </c>
      <c r="I11144" s="18">
        <v>3233.17</v>
      </c>
      <c r="J11144" s="27">
        <v>3252</v>
      </c>
      <c r="K11144" s="18">
        <f t="shared" si="349"/>
        <v>3252</v>
      </c>
      <c r="L11144" s="27">
        <v>3233.17</v>
      </c>
      <c r="M11144" s="36">
        <v>0</v>
      </c>
      <c r="T11144" s="41">
        <v>0</v>
      </c>
      <c r="U11144" s="41">
        <v>0</v>
      </c>
      <c r="V11144" s="42" t="s">
        <v>113</v>
      </c>
      <c r="W11144" s="42">
        <v>3252</v>
      </c>
      <c r="X11144" s="42">
        <v>3252</v>
      </c>
    </row>
    <row r="11145" spans="1:24">
      <c r="A11145" s="27" t="s">
        <v>20190</v>
      </c>
      <c r="B11145" s="28" t="s">
        <v>19918</v>
      </c>
      <c r="C11145" s="27" t="s">
        <v>20191</v>
      </c>
      <c r="D11145" s="27" t="s">
        <v>220</v>
      </c>
      <c r="E11145" s="29">
        <v>38534</v>
      </c>
      <c r="F11145" s="27">
        <v>8</v>
      </c>
      <c r="G11145" s="18">
        <v>40000</v>
      </c>
      <c r="H11145" s="27">
        <f t="shared" si="348"/>
        <v>40000</v>
      </c>
      <c r="I11145" s="18">
        <v>38000</v>
      </c>
      <c r="J11145" s="27">
        <v>40000</v>
      </c>
      <c r="K11145" s="18">
        <f t="shared" si="349"/>
        <v>40000</v>
      </c>
      <c r="L11145" s="27">
        <v>38000</v>
      </c>
      <c r="M11145" s="36">
        <v>0</v>
      </c>
      <c r="T11145" s="41">
        <v>0</v>
      </c>
      <c r="U11145" s="41">
        <v>0</v>
      </c>
      <c r="V11145" s="42" t="s">
        <v>113</v>
      </c>
      <c r="W11145" s="42">
        <v>40000</v>
      </c>
      <c r="X11145" s="42">
        <v>40000</v>
      </c>
    </row>
    <row r="11146" spans="1:24">
      <c r="A11146" s="27" t="s">
        <v>20192</v>
      </c>
      <c r="B11146" s="28" t="s">
        <v>19918</v>
      </c>
      <c r="C11146" s="27" t="s">
        <v>20193</v>
      </c>
      <c r="D11146" s="27" t="s">
        <v>17578</v>
      </c>
      <c r="E11146" s="29">
        <v>40165</v>
      </c>
      <c r="F11146" s="27">
        <v>8</v>
      </c>
      <c r="G11146" s="18">
        <v>4000</v>
      </c>
      <c r="H11146" s="27">
        <f t="shared" si="348"/>
        <v>4000</v>
      </c>
      <c r="I11146" s="18">
        <v>3800</v>
      </c>
      <c r="J11146" s="27">
        <v>4000</v>
      </c>
      <c r="K11146" s="18">
        <f t="shared" si="349"/>
        <v>4000</v>
      </c>
      <c r="L11146" s="27">
        <v>3800</v>
      </c>
      <c r="M11146" s="36">
        <v>0</v>
      </c>
      <c r="T11146" s="41">
        <v>0</v>
      </c>
      <c r="U11146" s="41">
        <v>0</v>
      </c>
      <c r="V11146" s="42" t="s">
        <v>113</v>
      </c>
      <c r="W11146" s="42">
        <v>4000</v>
      </c>
      <c r="X11146" s="42">
        <v>4000</v>
      </c>
    </row>
    <row r="11147" spans="1:24">
      <c r="A11147" s="27" t="s">
        <v>20194</v>
      </c>
      <c r="B11147" s="28" t="s">
        <v>19918</v>
      </c>
      <c r="C11147" s="27" t="s">
        <v>20195</v>
      </c>
      <c r="D11147" s="27" t="s">
        <v>230</v>
      </c>
      <c r="E11147" s="29">
        <v>40165</v>
      </c>
      <c r="F11147" s="27">
        <v>8</v>
      </c>
      <c r="G11147" s="18">
        <v>2000</v>
      </c>
      <c r="H11147" s="27">
        <f t="shared" si="348"/>
        <v>2000</v>
      </c>
      <c r="I11147" s="18">
        <v>1971.25</v>
      </c>
      <c r="J11147" s="27">
        <v>2000</v>
      </c>
      <c r="K11147" s="18">
        <f t="shared" si="349"/>
        <v>2000</v>
      </c>
      <c r="L11147" s="27">
        <v>1971.25</v>
      </c>
      <c r="M11147" s="36">
        <v>0</v>
      </c>
      <c r="T11147" s="41">
        <v>0</v>
      </c>
      <c r="U11147" s="41">
        <v>0</v>
      </c>
      <c r="V11147" s="42" t="s">
        <v>113</v>
      </c>
      <c r="W11147" s="42">
        <v>2000</v>
      </c>
      <c r="X11147" s="42">
        <v>2000</v>
      </c>
    </row>
    <row r="11148" spans="1:24">
      <c r="A11148" s="27" t="s">
        <v>20196</v>
      </c>
      <c r="B11148" s="28" t="s">
        <v>19918</v>
      </c>
      <c r="C11148" s="27" t="s">
        <v>20197</v>
      </c>
      <c r="D11148" s="27" t="s">
        <v>220</v>
      </c>
      <c r="E11148" s="29">
        <v>40113</v>
      </c>
      <c r="F11148" s="27">
        <v>8</v>
      </c>
      <c r="G11148" s="18">
        <v>40000</v>
      </c>
      <c r="H11148" s="27">
        <f t="shared" si="348"/>
        <v>40000</v>
      </c>
      <c r="I11148" s="18">
        <v>38000</v>
      </c>
      <c r="J11148" s="27">
        <v>40000</v>
      </c>
      <c r="K11148" s="18">
        <f t="shared" si="349"/>
        <v>40000</v>
      </c>
      <c r="L11148" s="27">
        <v>38000</v>
      </c>
      <c r="M11148" s="36">
        <v>0</v>
      </c>
      <c r="T11148" s="41">
        <v>0</v>
      </c>
      <c r="U11148" s="41">
        <v>0</v>
      </c>
      <c r="V11148" s="42" t="s">
        <v>113</v>
      </c>
      <c r="W11148" s="42">
        <v>40000</v>
      </c>
      <c r="X11148" s="42">
        <v>40000</v>
      </c>
    </row>
    <row r="11149" spans="1:24">
      <c r="A11149" s="27" t="s">
        <v>20198</v>
      </c>
      <c r="B11149" s="28" t="s">
        <v>19918</v>
      </c>
      <c r="C11149" s="27" t="s">
        <v>20199</v>
      </c>
      <c r="D11149" s="27" t="s">
        <v>112</v>
      </c>
      <c r="E11149" s="29">
        <v>40268</v>
      </c>
      <c r="F11149" s="27">
        <v>8</v>
      </c>
      <c r="G11149" s="18">
        <v>6000</v>
      </c>
      <c r="H11149" s="27">
        <f t="shared" si="348"/>
        <v>6000</v>
      </c>
      <c r="I11149" s="18">
        <v>5700</v>
      </c>
      <c r="J11149" s="27">
        <v>6000</v>
      </c>
      <c r="K11149" s="18">
        <f t="shared" si="349"/>
        <v>6000</v>
      </c>
      <c r="L11149" s="27">
        <v>5700</v>
      </c>
      <c r="M11149" s="36">
        <v>0</v>
      </c>
      <c r="T11149" s="41">
        <v>0</v>
      </c>
      <c r="U11149" s="41">
        <v>0</v>
      </c>
      <c r="V11149" s="42" t="s">
        <v>113</v>
      </c>
      <c r="W11149" s="42">
        <v>6000</v>
      </c>
      <c r="X11149" s="42">
        <v>6000</v>
      </c>
    </row>
    <row r="11150" spans="1:24">
      <c r="A11150" s="27" t="s">
        <v>20200</v>
      </c>
      <c r="B11150" s="28" t="s">
        <v>19918</v>
      </c>
      <c r="C11150" s="27" t="s">
        <v>20201</v>
      </c>
      <c r="D11150" s="27" t="s">
        <v>230</v>
      </c>
      <c r="E11150" s="29">
        <v>40165</v>
      </c>
      <c r="F11150" s="27">
        <v>8</v>
      </c>
      <c r="G11150" s="18">
        <v>2000</v>
      </c>
      <c r="H11150" s="27">
        <f t="shared" si="348"/>
        <v>2000</v>
      </c>
      <c r="I11150" s="18">
        <v>1971.25</v>
      </c>
      <c r="J11150" s="27">
        <v>2000</v>
      </c>
      <c r="K11150" s="18">
        <f t="shared" si="349"/>
        <v>2000</v>
      </c>
      <c r="L11150" s="27">
        <v>1971.25</v>
      </c>
      <c r="M11150" s="36">
        <v>0</v>
      </c>
      <c r="T11150" s="41">
        <v>0</v>
      </c>
      <c r="U11150" s="41">
        <v>0</v>
      </c>
      <c r="V11150" s="42" t="s">
        <v>113</v>
      </c>
      <c r="W11150" s="42">
        <v>2000</v>
      </c>
      <c r="X11150" s="42">
        <v>2000</v>
      </c>
    </row>
    <row r="11151" spans="1:24">
      <c r="A11151" s="27" t="s">
        <v>20202</v>
      </c>
      <c r="B11151" s="28" t="s">
        <v>19918</v>
      </c>
      <c r="C11151" s="27" t="s">
        <v>20203</v>
      </c>
      <c r="D11151" s="27" t="s">
        <v>220</v>
      </c>
      <c r="E11151" s="29">
        <v>40113</v>
      </c>
      <c r="F11151" s="27">
        <v>8</v>
      </c>
      <c r="G11151" s="18">
        <v>40000</v>
      </c>
      <c r="H11151" s="27">
        <f t="shared" si="348"/>
        <v>40000</v>
      </c>
      <c r="I11151" s="18">
        <v>38000</v>
      </c>
      <c r="J11151" s="27">
        <v>40000</v>
      </c>
      <c r="K11151" s="18">
        <f t="shared" si="349"/>
        <v>40000</v>
      </c>
      <c r="L11151" s="27">
        <v>38000</v>
      </c>
      <c r="M11151" s="36">
        <v>0</v>
      </c>
      <c r="T11151" s="41">
        <v>0</v>
      </c>
      <c r="U11151" s="41">
        <v>0</v>
      </c>
      <c r="V11151" s="42" t="s">
        <v>113</v>
      </c>
      <c r="W11151" s="42">
        <v>40000</v>
      </c>
      <c r="X11151" s="42">
        <v>40000</v>
      </c>
    </row>
    <row r="11152" spans="1:24">
      <c r="A11152" s="27" t="s">
        <v>20204</v>
      </c>
      <c r="B11152" s="28" t="s">
        <v>19918</v>
      </c>
      <c r="C11152" s="27" t="s">
        <v>20205</v>
      </c>
      <c r="D11152" s="27" t="s">
        <v>118</v>
      </c>
      <c r="E11152" s="29">
        <v>38534</v>
      </c>
      <c r="F11152" s="27">
        <v>8</v>
      </c>
      <c r="G11152" s="18">
        <v>20000</v>
      </c>
      <c r="H11152" s="27">
        <f t="shared" si="348"/>
        <v>20000</v>
      </c>
      <c r="I11152" s="18">
        <v>19000</v>
      </c>
      <c r="J11152" s="27">
        <v>20000</v>
      </c>
      <c r="K11152" s="18">
        <f t="shared" si="349"/>
        <v>20000</v>
      </c>
      <c r="L11152" s="27">
        <v>19000</v>
      </c>
      <c r="M11152" s="36">
        <v>0</v>
      </c>
      <c r="T11152" s="41">
        <v>0</v>
      </c>
      <c r="U11152" s="41">
        <v>0</v>
      </c>
      <c r="V11152" s="42" t="s">
        <v>113</v>
      </c>
      <c r="W11152" s="42">
        <v>20000</v>
      </c>
      <c r="X11152" s="42">
        <v>20000</v>
      </c>
    </row>
    <row r="11153" spans="1:24">
      <c r="A11153" s="27" t="s">
        <v>20206</v>
      </c>
      <c r="B11153" s="28" t="s">
        <v>19918</v>
      </c>
      <c r="C11153" s="27" t="s">
        <v>20207</v>
      </c>
      <c r="D11153" s="27" t="s">
        <v>230</v>
      </c>
      <c r="E11153" s="29">
        <v>40113</v>
      </c>
      <c r="F11153" s="27">
        <v>8</v>
      </c>
      <c r="G11153" s="18">
        <v>2000</v>
      </c>
      <c r="H11153" s="27">
        <f t="shared" si="348"/>
        <v>2000</v>
      </c>
      <c r="I11153" s="18">
        <v>1900</v>
      </c>
      <c r="J11153" s="27">
        <v>2000</v>
      </c>
      <c r="K11153" s="18">
        <f t="shared" si="349"/>
        <v>2000</v>
      </c>
      <c r="L11153" s="27">
        <v>1900</v>
      </c>
      <c r="M11153" s="36">
        <v>0</v>
      </c>
      <c r="T11153" s="41">
        <v>0</v>
      </c>
      <c r="U11153" s="41">
        <v>0</v>
      </c>
      <c r="V11153" s="42" t="s">
        <v>113</v>
      </c>
      <c r="W11153" s="42">
        <v>2000</v>
      </c>
      <c r="X11153" s="42">
        <v>2000</v>
      </c>
    </row>
    <row r="11154" spans="1:24">
      <c r="A11154" s="27" t="s">
        <v>20208</v>
      </c>
      <c r="B11154" s="28" t="s">
        <v>19918</v>
      </c>
      <c r="C11154" s="27" t="s">
        <v>20209</v>
      </c>
      <c r="D11154" s="27" t="s">
        <v>230</v>
      </c>
      <c r="E11154" s="29">
        <v>40113</v>
      </c>
      <c r="F11154" s="27">
        <v>8</v>
      </c>
      <c r="G11154" s="18">
        <v>2000</v>
      </c>
      <c r="H11154" s="27">
        <f t="shared" si="348"/>
        <v>2000</v>
      </c>
      <c r="I11154" s="18">
        <v>1900</v>
      </c>
      <c r="J11154" s="27">
        <v>2000</v>
      </c>
      <c r="K11154" s="18">
        <f t="shared" si="349"/>
        <v>2000</v>
      </c>
      <c r="L11154" s="27">
        <v>1900</v>
      </c>
      <c r="M11154" s="36">
        <v>0</v>
      </c>
      <c r="T11154" s="41">
        <v>0</v>
      </c>
      <c r="U11154" s="41">
        <v>0</v>
      </c>
      <c r="V11154" s="42" t="s">
        <v>113</v>
      </c>
      <c r="W11154" s="42">
        <v>2000</v>
      </c>
      <c r="X11154" s="42">
        <v>2000</v>
      </c>
    </row>
    <row r="11155" spans="1:24">
      <c r="A11155" s="27" t="s">
        <v>20210</v>
      </c>
      <c r="B11155" s="28" t="s">
        <v>19918</v>
      </c>
      <c r="C11155" s="27" t="s">
        <v>20211</v>
      </c>
      <c r="D11155" s="27" t="s">
        <v>220</v>
      </c>
      <c r="E11155" s="29">
        <v>40113</v>
      </c>
      <c r="F11155" s="27">
        <v>8</v>
      </c>
      <c r="G11155" s="18">
        <v>20000</v>
      </c>
      <c r="H11155" s="27">
        <f t="shared" si="348"/>
        <v>20000</v>
      </c>
      <c r="I11155" s="18">
        <v>19000</v>
      </c>
      <c r="J11155" s="27">
        <v>20000</v>
      </c>
      <c r="K11155" s="18">
        <f t="shared" si="349"/>
        <v>20000</v>
      </c>
      <c r="L11155" s="27">
        <v>19000</v>
      </c>
      <c r="M11155" s="36">
        <v>0</v>
      </c>
      <c r="T11155" s="41">
        <v>0</v>
      </c>
      <c r="U11155" s="41">
        <v>0</v>
      </c>
      <c r="V11155" s="42" t="s">
        <v>113</v>
      </c>
      <c r="W11155" s="42">
        <v>20000</v>
      </c>
      <c r="X11155" s="42">
        <v>20000</v>
      </c>
    </row>
    <row r="11156" spans="1:24">
      <c r="A11156" s="27" t="s">
        <v>20212</v>
      </c>
      <c r="B11156" s="28" t="s">
        <v>19918</v>
      </c>
      <c r="C11156" s="27" t="s">
        <v>20213</v>
      </c>
      <c r="D11156" s="27" t="s">
        <v>118</v>
      </c>
      <c r="E11156" s="29">
        <v>40169</v>
      </c>
      <c r="F11156" s="27">
        <v>8</v>
      </c>
      <c r="G11156" s="18">
        <v>11220</v>
      </c>
      <c r="H11156" s="27">
        <f t="shared" si="348"/>
        <v>11220</v>
      </c>
      <c r="I11156" s="18">
        <v>10659</v>
      </c>
      <c r="J11156" s="27">
        <v>11220</v>
      </c>
      <c r="K11156" s="18">
        <f t="shared" si="349"/>
        <v>11220</v>
      </c>
      <c r="L11156" s="27">
        <v>10659</v>
      </c>
      <c r="M11156" s="36">
        <v>0</v>
      </c>
      <c r="T11156" s="41">
        <v>0</v>
      </c>
      <c r="U11156" s="41">
        <v>0</v>
      </c>
      <c r="V11156" s="42" t="s">
        <v>113</v>
      </c>
      <c r="W11156" s="42">
        <v>11220</v>
      </c>
      <c r="X11156" s="42">
        <v>11220</v>
      </c>
    </row>
    <row r="11157" spans="1:24">
      <c r="A11157" s="27" t="s">
        <v>20214</v>
      </c>
      <c r="B11157" s="28" t="s">
        <v>19918</v>
      </c>
      <c r="C11157" s="27" t="s">
        <v>20215</v>
      </c>
      <c r="D11157" s="27" t="s">
        <v>230</v>
      </c>
      <c r="E11157" s="29">
        <v>40169</v>
      </c>
      <c r="F11157" s="27">
        <v>8</v>
      </c>
      <c r="G11157" s="18">
        <v>2000</v>
      </c>
      <c r="H11157" s="27">
        <f t="shared" si="348"/>
        <v>2000</v>
      </c>
      <c r="I11157" s="18">
        <v>2000</v>
      </c>
      <c r="J11157" s="27">
        <v>2000</v>
      </c>
      <c r="K11157" s="18">
        <f t="shared" si="349"/>
        <v>2000</v>
      </c>
      <c r="L11157" s="27">
        <v>2000</v>
      </c>
      <c r="M11157" s="36">
        <v>0</v>
      </c>
      <c r="T11157" s="41">
        <v>0</v>
      </c>
      <c r="U11157" s="41">
        <v>0</v>
      </c>
      <c r="V11157" s="42" t="s">
        <v>113</v>
      </c>
      <c r="W11157" s="42">
        <v>2000</v>
      </c>
      <c r="X11157" s="42">
        <v>2000</v>
      </c>
    </row>
    <row r="11158" spans="1:24">
      <c r="A11158" s="27" t="s">
        <v>20216</v>
      </c>
      <c r="B11158" s="28" t="s">
        <v>19918</v>
      </c>
      <c r="C11158" s="27" t="s">
        <v>20217</v>
      </c>
      <c r="D11158" s="27" t="s">
        <v>230</v>
      </c>
      <c r="E11158" s="29">
        <v>37226</v>
      </c>
      <c r="F11158" s="27">
        <v>8</v>
      </c>
      <c r="G11158" s="18">
        <v>2000</v>
      </c>
      <c r="H11158" s="27">
        <f t="shared" si="348"/>
        <v>2000</v>
      </c>
      <c r="I11158" s="18">
        <v>1900</v>
      </c>
      <c r="J11158" s="27">
        <v>2000</v>
      </c>
      <c r="K11158" s="18">
        <f t="shared" si="349"/>
        <v>2000</v>
      </c>
      <c r="L11158" s="27">
        <v>1900</v>
      </c>
      <c r="M11158" s="36">
        <v>0</v>
      </c>
      <c r="T11158" s="41">
        <v>0</v>
      </c>
      <c r="U11158" s="41">
        <v>0</v>
      </c>
      <c r="V11158" s="42" t="s">
        <v>113</v>
      </c>
      <c r="W11158" s="42">
        <v>2000</v>
      </c>
      <c r="X11158" s="42">
        <v>2000</v>
      </c>
    </row>
    <row r="11159" spans="1:24">
      <c r="A11159" s="27" t="s">
        <v>20218</v>
      </c>
      <c r="B11159" s="28" t="s">
        <v>19918</v>
      </c>
      <c r="C11159" s="27" t="s">
        <v>20219</v>
      </c>
      <c r="D11159" s="27" t="s">
        <v>118</v>
      </c>
      <c r="E11159" s="29">
        <v>40169</v>
      </c>
      <c r="F11159" s="27">
        <v>8</v>
      </c>
      <c r="G11159" s="18">
        <v>11220</v>
      </c>
      <c r="H11159" s="27">
        <f t="shared" si="348"/>
        <v>11220</v>
      </c>
      <c r="I11159" s="18">
        <v>10659</v>
      </c>
      <c r="J11159" s="27">
        <v>11220</v>
      </c>
      <c r="K11159" s="18">
        <f t="shared" si="349"/>
        <v>11220</v>
      </c>
      <c r="L11159" s="27">
        <v>10659</v>
      </c>
      <c r="M11159" s="36">
        <v>0</v>
      </c>
      <c r="T11159" s="41">
        <v>0</v>
      </c>
      <c r="U11159" s="41">
        <v>0</v>
      </c>
      <c r="V11159" s="42" t="s">
        <v>113</v>
      </c>
      <c r="W11159" s="42">
        <v>11220</v>
      </c>
      <c r="X11159" s="42">
        <v>11220</v>
      </c>
    </row>
    <row r="11160" spans="1:24">
      <c r="A11160" s="27" t="s">
        <v>20220</v>
      </c>
      <c r="B11160" s="28" t="s">
        <v>19918</v>
      </c>
      <c r="C11160" s="27" t="s">
        <v>20221</v>
      </c>
      <c r="D11160" s="27" t="s">
        <v>230</v>
      </c>
      <c r="E11160" s="29">
        <v>40156</v>
      </c>
      <c r="F11160" s="27">
        <v>8</v>
      </c>
      <c r="G11160" s="18">
        <v>2000</v>
      </c>
      <c r="H11160" s="27">
        <f t="shared" si="348"/>
        <v>2000</v>
      </c>
      <c r="I11160" s="18">
        <v>1900</v>
      </c>
      <c r="J11160" s="27">
        <v>2000</v>
      </c>
      <c r="K11160" s="18">
        <f t="shared" si="349"/>
        <v>2000</v>
      </c>
      <c r="L11160" s="27">
        <v>1900</v>
      </c>
      <c r="M11160" s="36">
        <v>0</v>
      </c>
      <c r="T11160" s="41">
        <v>0</v>
      </c>
      <c r="U11160" s="41">
        <v>0</v>
      </c>
      <c r="V11160" s="42" t="s">
        <v>113</v>
      </c>
      <c r="W11160" s="42">
        <v>2000</v>
      </c>
      <c r="X11160" s="42">
        <v>2000</v>
      </c>
    </row>
    <row r="11161" spans="1:24">
      <c r="A11161" s="27" t="s">
        <v>20222</v>
      </c>
      <c r="B11161" s="28" t="s">
        <v>19918</v>
      </c>
      <c r="C11161" s="27" t="s">
        <v>20223</v>
      </c>
      <c r="D11161" s="27" t="s">
        <v>112</v>
      </c>
      <c r="E11161" s="29">
        <v>40268</v>
      </c>
      <c r="F11161" s="27">
        <v>8</v>
      </c>
      <c r="G11161" s="18">
        <v>3250</v>
      </c>
      <c r="H11161" s="27">
        <f t="shared" si="348"/>
        <v>3250</v>
      </c>
      <c r="I11161" s="18">
        <v>3087.5</v>
      </c>
      <c r="J11161" s="27">
        <v>3250</v>
      </c>
      <c r="K11161" s="18">
        <f t="shared" si="349"/>
        <v>3250</v>
      </c>
      <c r="L11161" s="27">
        <v>3087.5</v>
      </c>
      <c r="M11161" s="36">
        <v>0</v>
      </c>
      <c r="T11161" s="41">
        <v>0</v>
      </c>
      <c r="U11161" s="41">
        <v>0</v>
      </c>
      <c r="V11161" s="42" t="s">
        <v>113</v>
      </c>
      <c r="W11161" s="42">
        <v>3250</v>
      </c>
      <c r="X11161" s="42">
        <v>3250</v>
      </c>
    </row>
    <row r="11162" spans="1:24">
      <c r="A11162" s="27" t="s">
        <v>20224</v>
      </c>
      <c r="B11162" s="28" t="s">
        <v>19918</v>
      </c>
      <c r="C11162" s="27" t="s">
        <v>20225</v>
      </c>
      <c r="D11162" s="27" t="s">
        <v>230</v>
      </c>
      <c r="E11162" s="29">
        <v>40268</v>
      </c>
      <c r="F11162" s="27">
        <v>8</v>
      </c>
      <c r="G11162" s="18">
        <v>2000</v>
      </c>
      <c r="H11162" s="27">
        <f t="shared" si="348"/>
        <v>2000</v>
      </c>
      <c r="I11162" s="18">
        <v>1900</v>
      </c>
      <c r="J11162" s="27">
        <v>2000</v>
      </c>
      <c r="K11162" s="18">
        <f t="shared" si="349"/>
        <v>2000</v>
      </c>
      <c r="L11162" s="27">
        <v>1900</v>
      </c>
      <c r="M11162" s="36">
        <v>0</v>
      </c>
      <c r="T11162" s="41">
        <v>0</v>
      </c>
      <c r="U11162" s="41">
        <v>0</v>
      </c>
      <c r="V11162" s="42" t="s">
        <v>113</v>
      </c>
      <c r="W11162" s="42">
        <v>2000</v>
      </c>
      <c r="X11162" s="42">
        <v>2000</v>
      </c>
    </row>
    <row r="11163" spans="1:24">
      <c r="A11163" s="27" t="s">
        <v>20226</v>
      </c>
      <c r="B11163" s="28" t="s">
        <v>19918</v>
      </c>
      <c r="C11163" s="27" t="s">
        <v>20227</v>
      </c>
      <c r="D11163" s="27" t="s">
        <v>230</v>
      </c>
      <c r="E11163" s="29">
        <v>40268</v>
      </c>
      <c r="F11163" s="27">
        <v>8</v>
      </c>
      <c r="G11163" s="18">
        <v>2000</v>
      </c>
      <c r="H11163" s="27">
        <f t="shared" si="348"/>
        <v>2000</v>
      </c>
      <c r="I11163" s="18">
        <v>1900</v>
      </c>
      <c r="J11163" s="27">
        <v>2000</v>
      </c>
      <c r="K11163" s="18">
        <f t="shared" si="349"/>
        <v>2000</v>
      </c>
      <c r="L11163" s="27">
        <v>1900</v>
      </c>
      <c r="M11163" s="36">
        <v>0</v>
      </c>
      <c r="T11163" s="41">
        <v>0</v>
      </c>
      <c r="U11163" s="41">
        <v>0</v>
      </c>
      <c r="V11163" s="42" t="s">
        <v>113</v>
      </c>
      <c r="W11163" s="42">
        <v>2000</v>
      </c>
      <c r="X11163" s="42">
        <v>2000</v>
      </c>
    </row>
    <row r="11164" spans="1:24">
      <c r="A11164" s="27" t="s">
        <v>20228</v>
      </c>
      <c r="B11164" s="28" t="s">
        <v>19918</v>
      </c>
      <c r="C11164" s="27" t="s">
        <v>20229</v>
      </c>
      <c r="D11164" s="27" t="s">
        <v>118</v>
      </c>
      <c r="E11164" s="29">
        <v>40169</v>
      </c>
      <c r="F11164" s="27">
        <v>8</v>
      </c>
      <c r="G11164" s="18">
        <v>11220</v>
      </c>
      <c r="H11164" s="27">
        <f t="shared" si="348"/>
        <v>11220</v>
      </c>
      <c r="I11164" s="18">
        <v>10659</v>
      </c>
      <c r="J11164" s="27">
        <v>11220</v>
      </c>
      <c r="K11164" s="18">
        <f t="shared" si="349"/>
        <v>11220</v>
      </c>
      <c r="L11164" s="27">
        <v>10659</v>
      </c>
      <c r="M11164" s="36">
        <v>0</v>
      </c>
      <c r="T11164" s="41">
        <v>0</v>
      </c>
      <c r="U11164" s="41">
        <v>0</v>
      </c>
      <c r="V11164" s="42" t="s">
        <v>113</v>
      </c>
      <c r="W11164" s="42">
        <v>11220</v>
      </c>
      <c r="X11164" s="42">
        <v>11220</v>
      </c>
    </row>
    <row r="11165" spans="1:24">
      <c r="A11165" s="27" t="s">
        <v>20230</v>
      </c>
      <c r="B11165" s="28" t="s">
        <v>19918</v>
      </c>
      <c r="C11165" s="27" t="s">
        <v>20231</v>
      </c>
      <c r="D11165" s="27" t="s">
        <v>112</v>
      </c>
      <c r="E11165" s="29">
        <v>40169</v>
      </c>
      <c r="F11165" s="27">
        <v>8</v>
      </c>
      <c r="G11165" s="18">
        <v>3252</v>
      </c>
      <c r="H11165" s="27">
        <f t="shared" si="348"/>
        <v>3252</v>
      </c>
      <c r="I11165" s="18">
        <v>3252</v>
      </c>
      <c r="J11165" s="27">
        <v>3252</v>
      </c>
      <c r="K11165" s="18">
        <f t="shared" si="349"/>
        <v>3252</v>
      </c>
      <c r="L11165" s="27">
        <v>3252</v>
      </c>
      <c r="M11165" s="36">
        <v>0</v>
      </c>
      <c r="T11165" s="41">
        <v>0</v>
      </c>
      <c r="U11165" s="41">
        <v>0</v>
      </c>
      <c r="V11165" s="42" t="s">
        <v>113</v>
      </c>
      <c r="W11165" s="42">
        <v>3252</v>
      </c>
      <c r="X11165" s="42">
        <v>3252</v>
      </c>
    </row>
    <row r="11166" spans="1:24">
      <c r="A11166" s="27" t="s">
        <v>20232</v>
      </c>
      <c r="B11166" s="28" t="s">
        <v>19918</v>
      </c>
      <c r="C11166" s="27" t="s">
        <v>20233</v>
      </c>
      <c r="D11166" s="27" t="s">
        <v>118</v>
      </c>
      <c r="E11166" s="29">
        <v>38534</v>
      </c>
      <c r="F11166" s="27">
        <v>8</v>
      </c>
      <c r="G11166" s="18">
        <v>20000</v>
      </c>
      <c r="H11166" s="27">
        <f t="shared" si="348"/>
        <v>20000</v>
      </c>
      <c r="I11166" s="18">
        <v>19000</v>
      </c>
      <c r="J11166" s="27">
        <v>20000</v>
      </c>
      <c r="K11166" s="18">
        <f t="shared" si="349"/>
        <v>20000</v>
      </c>
      <c r="L11166" s="27">
        <v>19000</v>
      </c>
      <c r="M11166" s="36">
        <v>0</v>
      </c>
      <c r="T11166" s="41">
        <v>0</v>
      </c>
      <c r="U11166" s="41">
        <v>0</v>
      </c>
      <c r="V11166" s="42" t="s">
        <v>113</v>
      </c>
      <c r="W11166" s="42">
        <v>20000</v>
      </c>
      <c r="X11166" s="42">
        <v>20000</v>
      </c>
    </row>
    <row r="11167" spans="1:24">
      <c r="A11167" s="27" t="s">
        <v>20234</v>
      </c>
      <c r="B11167" s="28" t="s">
        <v>19918</v>
      </c>
      <c r="C11167" s="27" t="s">
        <v>20235</v>
      </c>
      <c r="D11167" s="27" t="s">
        <v>230</v>
      </c>
      <c r="E11167" s="29">
        <v>40113</v>
      </c>
      <c r="F11167" s="27">
        <v>8</v>
      </c>
      <c r="G11167" s="18">
        <v>2000</v>
      </c>
      <c r="H11167" s="27">
        <f t="shared" si="348"/>
        <v>2000</v>
      </c>
      <c r="I11167" s="18">
        <v>1900</v>
      </c>
      <c r="J11167" s="27">
        <v>2000</v>
      </c>
      <c r="K11167" s="18">
        <f t="shared" si="349"/>
        <v>2000</v>
      </c>
      <c r="L11167" s="27">
        <v>1900</v>
      </c>
      <c r="M11167" s="36">
        <v>0</v>
      </c>
      <c r="T11167" s="41">
        <v>0</v>
      </c>
      <c r="U11167" s="41">
        <v>0</v>
      </c>
      <c r="V11167" s="42" t="s">
        <v>113</v>
      </c>
      <c r="W11167" s="42">
        <v>2000</v>
      </c>
      <c r="X11167" s="42">
        <v>2000</v>
      </c>
    </row>
    <row r="11168" spans="1:24">
      <c r="A11168" s="27" t="s">
        <v>20236</v>
      </c>
      <c r="B11168" s="28" t="s">
        <v>19918</v>
      </c>
      <c r="C11168" s="27" t="s">
        <v>20237</v>
      </c>
      <c r="D11168" s="27" t="s">
        <v>112</v>
      </c>
      <c r="E11168" s="29">
        <v>40169</v>
      </c>
      <c r="F11168" s="27">
        <v>8</v>
      </c>
      <c r="G11168" s="18">
        <v>3252</v>
      </c>
      <c r="H11168" s="27">
        <f t="shared" si="348"/>
        <v>3252</v>
      </c>
      <c r="I11168" s="18">
        <v>3252</v>
      </c>
      <c r="J11168" s="27">
        <v>3252</v>
      </c>
      <c r="K11168" s="18">
        <f t="shared" si="349"/>
        <v>3252</v>
      </c>
      <c r="L11168" s="27">
        <v>3252</v>
      </c>
      <c r="M11168" s="36">
        <v>0</v>
      </c>
      <c r="T11168" s="41">
        <v>0</v>
      </c>
      <c r="U11168" s="41">
        <v>0</v>
      </c>
      <c r="V11168" s="42" t="s">
        <v>113</v>
      </c>
      <c r="W11168" s="42">
        <v>3252</v>
      </c>
      <c r="X11168" s="42">
        <v>3252</v>
      </c>
    </row>
    <row r="11169" spans="1:24">
      <c r="A11169" s="27" t="s">
        <v>20238</v>
      </c>
      <c r="B11169" s="28" t="s">
        <v>19918</v>
      </c>
      <c r="C11169" s="27" t="s">
        <v>20239</v>
      </c>
      <c r="D11169" s="27" t="s">
        <v>112</v>
      </c>
      <c r="E11169" s="29">
        <v>40169</v>
      </c>
      <c r="F11169" s="27">
        <v>8</v>
      </c>
      <c r="G11169" s="18">
        <v>3252</v>
      </c>
      <c r="H11169" s="27">
        <f t="shared" si="348"/>
        <v>3252</v>
      </c>
      <c r="I11169" s="18">
        <v>3252</v>
      </c>
      <c r="J11169" s="27">
        <v>3252</v>
      </c>
      <c r="K11169" s="18">
        <f t="shared" si="349"/>
        <v>3252</v>
      </c>
      <c r="L11169" s="27">
        <v>3252</v>
      </c>
      <c r="M11169" s="36">
        <v>0</v>
      </c>
      <c r="T11169" s="41">
        <v>0</v>
      </c>
      <c r="U11169" s="41">
        <v>0</v>
      </c>
      <c r="V11169" s="42" t="s">
        <v>113</v>
      </c>
      <c r="W11169" s="42">
        <v>3252</v>
      </c>
      <c r="X11169" s="42">
        <v>3252</v>
      </c>
    </row>
    <row r="11170" spans="1:24">
      <c r="A11170" s="27" t="s">
        <v>20240</v>
      </c>
      <c r="B11170" s="28" t="s">
        <v>19918</v>
      </c>
      <c r="C11170" s="27" t="s">
        <v>20241</v>
      </c>
      <c r="D11170" s="27" t="s">
        <v>230</v>
      </c>
      <c r="E11170" s="29">
        <v>40169</v>
      </c>
      <c r="F11170" s="27">
        <v>8</v>
      </c>
      <c r="G11170" s="18">
        <v>2000</v>
      </c>
      <c r="H11170" s="27">
        <f t="shared" si="348"/>
        <v>2000</v>
      </c>
      <c r="I11170" s="18">
        <v>2000</v>
      </c>
      <c r="J11170" s="27">
        <v>2000</v>
      </c>
      <c r="K11170" s="18">
        <f t="shared" si="349"/>
        <v>2000</v>
      </c>
      <c r="L11170" s="27">
        <v>2000</v>
      </c>
      <c r="M11170" s="36">
        <v>0</v>
      </c>
      <c r="T11170" s="41">
        <v>0</v>
      </c>
      <c r="U11170" s="41">
        <v>0</v>
      </c>
      <c r="V11170" s="42" t="s">
        <v>113</v>
      </c>
      <c r="W11170" s="42">
        <v>2000</v>
      </c>
      <c r="X11170" s="42">
        <v>2000</v>
      </c>
    </row>
    <row r="11171" spans="1:24">
      <c r="A11171" s="27" t="s">
        <v>20242</v>
      </c>
      <c r="B11171" s="28" t="s">
        <v>19918</v>
      </c>
      <c r="C11171" s="27" t="s">
        <v>20243</v>
      </c>
      <c r="D11171" s="27" t="s">
        <v>230</v>
      </c>
      <c r="E11171" s="29">
        <v>40169</v>
      </c>
      <c r="F11171" s="27">
        <v>8</v>
      </c>
      <c r="G11171" s="18">
        <v>2000</v>
      </c>
      <c r="H11171" s="27">
        <f t="shared" si="348"/>
        <v>2000</v>
      </c>
      <c r="I11171" s="18">
        <v>2000</v>
      </c>
      <c r="J11171" s="27">
        <v>2000</v>
      </c>
      <c r="K11171" s="18">
        <f t="shared" si="349"/>
        <v>2000</v>
      </c>
      <c r="L11171" s="27">
        <v>2000</v>
      </c>
      <c r="M11171" s="36">
        <v>0</v>
      </c>
      <c r="T11171" s="41">
        <v>0</v>
      </c>
      <c r="U11171" s="41">
        <v>0</v>
      </c>
      <c r="V11171" s="42" t="s">
        <v>113</v>
      </c>
      <c r="W11171" s="42">
        <v>2000</v>
      </c>
      <c r="X11171" s="42">
        <v>2000</v>
      </c>
    </row>
    <row r="11172" spans="1:24">
      <c r="A11172" s="27" t="s">
        <v>20244</v>
      </c>
      <c r="B11172" s="28" t="s">
        <v>19918</v>
      </c>
      <c r="C11172" s="27" t="s">
        <v>20245</v>
      </c>
      <c r="D11172" s="27" t="s">
        <v>118</v>
      </c>
      <c r="E11172" s="29">
        <v>40169</v>
      </c>
      <c r="F11172" s="27">
        <v>8</v>
      </c>
      <c r="G11172" s="18">
        <v>11220</v>
      </c>
      <c r="H11172" s="27">
        <f t="shared" si="348"/>
        <v>11220</v>
      </c>
      <c r="I11172" s="18">
        <v>10659</v>
      </c>
      <c r="J11172" s="27">
        <v>11220</v>
      </c>
      <c r="K11172" s="18">
        <f t="shared" si="349"/>
        <v>11220</v>
      </c>
      <c r="L11172" s="27">
        <v>10659</v>
      </c>
      <c r="M11172" s="36">
        <v>0</v>
      </c>
      <c r="T11172" s="41">
        <v>0</v>
      </c>
      <c r="U11172" s="41">
        <v>0</v>
      </c>
      <c r="V11172" s="42" t="s">
        <v>113</v>
      </c>
      <c r="W11172" s="42">
        <v>11220</v>
      </c>
      <c r="X11172" s="42">
        <v>11220</v>
      </c>
    </row>
    <row r="11173" spans="1:24">
      <c r="A11173" s="27" t="s">
        <v>20246</v>
      </c>
      <c r="B11173" s="28" t="s">
        <v>19918</v>
      </c>
      <c r="C11173" s="27" t="s">
        <v>20247</v>
      </c>
      <c r="D11173" s="27" t="s">
        <v>118</v>
      </c>
      <c r="E11173" s="29">
        <v>40169</v>
      </c>
      <c r="F11173" s="27">
        <v>8</v>
      </c>
      <c r="G11173" s="18">
        <v>11220</v>
      </c>
      <c r="H11173" s="27">
        <f t="shared" si="348"/>
        <v>11220</v>
      </c>
      <c r="I11173" s="18">
        <v>10659</v>
      </c>
      <c r="J11173" s="27">
        <v>11220</v>
      </c>
      <c r="K11173" s="18">
        <f t="shared" si="349"/>
        <v>11220</v>
      </c>
      <c r="L11173" s="27">
        <v>10659</v>
      </c>
      <c r="M11173" s="36">
        <v>0</v>
      </c>
      <c r="T11173" s="41">
        <v>0</v>
      </c>
      <c r="U11173" s="41">
        <v>0</v>
      </c>
      <c r="V11173" s="42" t="s">
        <v>113</v>
      </c>
      <c r="W11173" s="42">
        <v>11220</v>
      </c>
      <c r="X11173" s="42">
        <v>11220</v>
      </c>
    </row>
    <row r="11174" spans="1:24">
      <c r="A11174" s="27" t="s">
        <v>20248</v>
      </c>
      <c r="B11174" s="28" t="s">
        <v>19918</v>
      </c>
      <c r="C11174" s="27" t="s">
        <v>20022</v>
      </c>
      <c r="D11174" s="27" t="s">
        <v>118</v>
      </c>
      <c r="E11174" s="29">
        <v>40169</v>
      </c>
      <c r="F11174" s="27">
        <v>8</v>
      </c>
      <c r="G11174" s="18">
        <v>11220</v>
      </c>
      <c r="H11174" s="27">
        <f t="shared" si="348"/>
        <v>11220</v>
      </c>
      <c r="I11174" s="18">
        <v>10659</v>
      </c>
      <c r="J11174" s="27">
        <v>11220</v>
      </c>
      <c r="K11174" s="18">
        <f t="shared" si="349"/>
        <v>11220</v>
      </c>
      <c r="L11174" s="27">
        <v>10659</v>
      </c>
      <c r="M11174" s="36">
        <v>0</v>
      </c>
      <c r="T11174" s="41">
        <v>0</v>
      </c>
      <c r="U11174" s="41">
        <v>0</v>
      </c>
      <c r="V11174" s="42" t="s">
        <v>113</v>
      </c>
      <c r="W11174" s="42">
        <v>11220</v>
      </c>
      <c r="X11174" s="42">
        <v>11220</v>
      </c>
    </row>
    <row r="11175" spans="1:24">
      <c r="A11175" s="27" t="s">
        <v>20249</v>
      </c>
      <c r="B11175" s="28" t="s">
        <v>19918</v>
      </c>
      <c r="C11175" s="27" t="s">
        <v>20250</v>
      </c>
      <c r="D11175" s="27" t="s">
        <v>230</v>
      </c>
      <c r="E11175" s="29">
        <v>40169</v>
      </c>
      <c r="F11175" s="27">
        <v>8</v>
      </c>
      <c r="G11175" s="18">
        <v>2000</v>
      </c>
      <c r="H11175" s="27">
        <f t="shared" si="348"/>
        <v>2000</v>
      </c>
      <c r="I11175" s="18">
        <v>2000</v>
      </c>
      <c r="J11175" s="27">
        <v>2000</v>
      </c>
      <c r="K11175" s="18">
        <f t="shared" si="349"/>
        <v>2000</v>
      </c>
      <c r="L11175" s="27">
        <v>2000</v>
      </c>
      <c r="M11175" s="36">
        <v>0</v>
      </c>
      <c r="T11175" s="41">
        <v>0</v>
      </c>
      <c r="U11175" s="41">
        <v>0</v>
      </c>
      <c r="V11175" s="42" t="s">
        <v>113</v>
      </c>
      <c r="W11175" s="42">
        <v>2000</v>
      </c>
      <c r="X11175" s="42">
        <v>2000</v>
      </c>
    </row>
    <row r="11176" spans="1:24">
      <c r="A11176" s="27" t="s">
        <v>20251</v>
      </c>
      <c r="B11176" s="28" t="s">
        <v>19918</v>
      </c>
      <c r="C11176" s="27" t="s">
        <v>20252</v>
      </c>
      <c r="D11176" s="27" t="s">
        <v>118</v>
      </c>
      <c r="E11176" s="29">
        <v>40169</v>
      </c>
      <c r="F11176" s="27">
        <v>8</v>
      </c>
      <c r="G11176" s="18">
        <v>11220</v>
      </c>
      <c r="H11176" s="27">
        <f t="shared" si="348"/>
        <v>11220</v>
      </c>
      <c r="I11176" s="18">
        <v>10659</v>
      </c>
      <c r="J11176" s="27">
        <v>11220</v>
      </c>
      <c r="K11176" s="18">
        <f t="shared" si="349"/>
        <v>11220</v>
      </c>
      <c r="L11176" s="27">
        <v>10659</v>
      </c>
      <c r="M11176" s="36">
        <v>0</v>
      </c>
      <c r="T11176" s="41">
        <v>0</v>
      </c>
      <c r="U11176" s="41">
        <v>0</v>
      </c>
      <c r="V11176" s="42" t="s">
        <v>113</v>
      </c>
      <c r="W11176" s="42">
        <v>11220</v>
      </c>
      <c r="X11176" s="42">
        <v>11220</v>
      </c>
    </row>
    <row r="11177" spans="1:24">
      <c r="A11177" s="27" t="s">
        <v>20253</v>
      </c>
      <c r="B11177" s="28" t="s">
        <v>19918</v>
      </c>
      <c r="C11177" s="27" t="s">
        <v>20254</v>
      </c>
      <c r="D11177" s="27" t="s">
        <v>230</v>
      </c>
      <c r="E11177" s="29">
        <v>40169</v>
      </c>
      <c r="F11177" s="27">
        <v>8</v>
      </c>
      <c r="G11177" s="18">
        <v>2000</v>
      </c>
      <c r="H11177" s="27">
        <f t="shared" si="348"/>
        <v>2000</v>
      </c>
      <c r="I11177" s="18">
        <v>2000</v>
      </c>
      <c r="J11177" s="27">
        <v>2000</v>
      </c>
      <c r="K11177" s="18">
        <f t="shared" si="349"/>
        <v>2000</v>
      </c>
      <c r="L11177" s="27">
        <v>2000</v>
      </c>
      <c r="M11177" s="36">
        <v>0</v>
      </c>
      <c r="T11177" s="41">
        <v>0</v>
      </c>
      <c r="U11177" s="41">
        <v>0</v>
      </c>
      <c r="V11177" s="42" t="s">
        <v>113</v>
      </c>
      <c r="W11177" s="42">
        <v>2000</v>
      </c>
      <c r="X11177" s="42">
        <v>2000</v>
      </c>
    </row>
    <row r="11178" spans="1:24">
      <c r="A11178" s="27" t="s">
        <v>20255</v>
      </c>
      <c r="B11178" s="28" t="s">
        <v>19918</v>
      </c>
      <c r="C11178" s="27" t="s">
        <v>20256</v>
      </c>
      <c r="D11178" s="27" t="s">
        <v>118</v>
      </c>
      <c r="E11178" s="29">
        <v>40169</v>
      </c>
      <c r="F11178" s="27">
        <v>8</v>
      </c>
      <c r="G11178" s="18">
        <v>62905.65</v>
      </c>
      <c r="H11178" s="27">
        <f t="shared" si="348"/>
        <v>62905.65</v>
      </c>
      <c r="I11178" s="18">
        <v>59760.37</v>
      </c>
      <c r="J11178" s="27">
        <v>62905.65</v>
      </c>
      <c r="K11178" s="18">
        <f t="shared" si="349"/>
        <v>62905.65</v>
      </c>
      <c r="L11178" s="27">
        <v>59760.37</v>
      </c>
      <c r="M11178" s="36">
        <v>0</v>
      </c>
      <c r="T11178" s="41">
        <v>0</v>
      </c>
      <c r="U11178" s="41">
        <v>0</v>
      </c>
      <c r="V11178" s="42" t="s">
        <v>113</v>
      </c>
      <c r="W11178" s="42">
        <v>62905.65</v>
      </c>
      <c r="X11178" s="42">
        <v>62905.65</v>
      </c>
    </row>
    <row r="11179" spans="1:24">
      <c r="A11179" s="27" t="s">
        <v>20257</v>
      </c>
      <c r="B11179" s="28" t="s">
        <v>19918</v>
      </c>
      <c r="C11179" s="27" t="s">
        <v>20258</v>
      </c>
      <c r="D11179" s="27" t="s">
        <v>112</v>
      </c>
      <c r="E11179" s="29">
        <v>37226</v>
      </c>
      <c r="F11179" s="27">
        <v>8</v>
      </c>
      <c r="G11179" s="18">
        <v>3250</v>
      </c>
      <c r="H11179" s="27">
        <f t="shared" si="348"/>
        <v>3250</v>
      </c>
      <c r="I11179" s="18">
        <v>3087.5</v>
      </c>
      <c r="J11179" s="27">
        <v>3250</v>
      </c>
      <c r="K11179" s="18">
        <f t="shared" si="349"/>
        <v>3250</v>
      </c>
      <c r="L11179" s="27">
        <v>3087.5</v>
      </c>
      <c r="M11179" s="36">
        <v>0</v>
      </c>
      <c r="T11179" s="41">
        <v>0</v>
      </c>
      <c r="U11179" s="41">
        <v>0</v>
      </c>
      <c r="V11179" s="42" t="s">
        <v>113</v>
      </c>
      <c r="W11179" s="42">
        <v>3250</v>
      </c>
      <c r="X11179" s="42">
        <v>3250</v>
      </c>
    </row>
    <row r="11180" spans="1:24">
      <c r="A11180" s="27" t="s">
        <v>20259</v>
      </c>
      <c r="B11180" s="28" t="s">
        <v>19918</v>
      </c>
      <c r="C11180" s="27" t="s">
        <v>20260</v>
      </c>
      <c r="D11180" s="27" t="s">
        <v>220</v>
      </c>
      <c r="E11180" s="29">
        <v>40112</v>
      </c>
      <c r="F11180" s="27">
        <v>8</v>
      </c>
      <c r="G11180" s="18">
        <v>40000</v>
      </c>
      <c r="H11180" s="27">
        <f t="shared" si="348"/>
        <v>40000</v>
      </c>
      <c r="I11180" s="18">
        <v>38000</v>
      </c>
      <c r="J11180" s="27">
        <v>40000</v>
      </c>
      <c r="K11180" s="18">
        <f t="shared" si="349"/>
        <v>40000</v>
      </c>
      <c r="L11180" s="27">
        <v>38000</v>
      </c>
      <c r="M11180" s="36">
        <v>0</v>
      </c>
      <c r="T11180" s="41">
        <v>0</v>
      </c>
      <c r="U11180" s="41">
        <v>0</v>
      </c>
      <c r="V11180" s="42" t="s">
        <v>113</v>
      </c>
      <c r="W11180" s="42">
        <v>40000</v>
      </c>
      <c r="X11180" s="42">
        <v>40000</v>
      </c>
    </row>
    <row r="11181" spans="1:24">
      <c r="A11181" s="27" t="s">
        <v>20261</v>
      </c>
      <c r="B11181" s="28" t="s">
        <v>19918</v>
      </c>
      <c r="C11181" s="27" t="s">
        <v>20262</v>
      </c>
      <c r="D11181" s="27" t="s">
        <v>230</v>
      </c>
      <c r="E11181" s="29">
        <v>37226</v>
      </c>
      <c r="F11181" s="27">
        <v>8</v>
      </c>
      <c r="G11181" s="18">
        <v>2000</v>
      </c>
      <c r="H11181" s="27">
        <f t="shared" si="348"/>
        <v>2000</v>
      </c>
      <c r="I11181" s="18">
        <v>1900</v>
      </c>
      <c r="J11181" s="27">
        <v>2000</v>
      </c>
      <c r="K11181" s="18">
        <f t="shared" si="349"/>
        <v>2000</v>
      </c>
      <c r="L11181" s="27">
        <v>1900</v>
      </c>
      <c r="M11181" s="36">
        <v>0</v>
      </c>
      <c r="T11181" s="41">
        <v>0</v>
      </c>
      <c r="U11181" s="41">
        <v>0</v>
      </c>
      <c r="V11181" s="42" t="s">
        <v>113</v>
      </c>
      <c r="W11181" s="42">
        <v>2000</v>
      </c>
      <c r="X11181" s="42">
        <v>2000</v>
      </c>
    </row>
    <row r="11182" spans="1:24">
      <c r="A11182" s="27" t="s">
        <v>20263</v>
      </c>
      <c r="B11182" s="28" t="s">
        <v>19918</v>
      </c>
      <c r="C11182" s="27" t="s">
        <v>20264</v>
      </c>
      <c r="D11182" s="27" t="s">
        <v>230</v>
      </c>
      <c r="E11182" s="29">
        <v>37226</v>
      </c>
      <c r="F11182" s="27">
        <v>8</v>
      </c>
      <c r="G11182" s="18">
        <v>2000</v>
      </c>
      <c r="H11182" s="27">
        <f t="shared" si="348"/>
        <v>2000</v>
      </c>
      <c r="I11182" s="18">
        <v>1900</v>
      </c>
      <c r="J11182" s="27">
        <v>2000</v>
      </c>
      <c r="K11182" s="18">
        <f t="shared" si="349"/>
        <v>2000</v>
      </c>
      <c r="L11182" s="27">
        <v>1900</v>
      </c>
      <c r="M11182" s="36">
        <v>0</v>
      </c>
      <c r="T11182" s="41">
        <v>0</v>
      </c>
      <c r="U11182" s="41">
        <v>0</v>
      </c>
      <c r="V11182" s="42" t="s">
        <v>113</v>
      </c>
      <c r="W11182" s="42">
        <v>2000</v>
      </c>
      <c r="X11182" s="42">
        <v>2000</v>
      </c>
    </row>
    <row r="11183" spans="1:24">
      <c r="A11183" s="27" t="s">
        <v>20265</v>
      </c>
      <c r="B11183" s="28" t="s">
        <v>19918</v>
      </c>
      <c r="C11183" s="27" t="s">
        <v>20266</v>
      </c>
      <c r="D11183" s="27" t="s">
        <v>230</v>
      </c>
      <c r="E11183" s="29">
        <v>37226</v>
      </c>
      <c r="F11183" s="27">
        <v>8</v>
      </c>
      <c r="G11183" s="18">
        <v>4616.07</v>
      </c>
      <c r="H11183" s="27">
        <f t="shared" si="348"/>
        <v>4616.07</v>
      </c>
      <c r="I11183" s="18">
        <v>4414.97</v>
      </c>
      <c r="J11183" s="27">
        <v>4616.07</v>
      </c>
      <c r="K11183" s="18">
        <f t="shared" si="349"/>
        <v>4616.07</v>
      </c>
      <c r="L11183" s="27">
        <v>4414.97</v>
      </c>
      <c r="M11183" s="36">
        <v>0</v>
      </c>
      <c r="T11183" s="41">
        <v>0</v>
      </c>
      <c r="U11183" s="41">
        <v>0</v>
      </c>
      <c r="V11183" s="42" t="s">
        <v>113</v>
      </c>
      <c r="W11183" s="42">
        <v>4616.07</v>
      </c>
      <c r="X11183" s="42">
        <v>4616.07</v>
      </c>
    </row>
    <row r="11184" spans="1:24">
      <c r="A11184" s="27" t="s">
        <v>20267</v>
      </c>
      <c r="B11184" s="28" t="s">
        <v>19918</v>
      </c>
      <c r="C11184" s="27" t="s">
        <v>20219</v>
      </c>
      <c r="D11184" s="27" t="s">
        <v>220</v>
      </c>
      <c r="E11184" s="29">
        <v>38534</v>
      </c>
      <c r="F11184" s="27">
        <v>8</v>
      </c>
      <c r="G11184" s="18">
        <v>40000</v>
      </c>
      <c r="H11184" s="27">
        <f t="shared" si="348"/>
        <v>40000</v>
      </c>
      <c r="I11184" s="18">
        <v>38000</v>
      </c>
      <c r="J11184" s="27">
        <v>40000</v>
      </c>
      <c r="K11184" s="18">
        <f t="shared" si="349"/>
        <v>40000</v>
      </c>
      <c r="L11184" s="27">
        <v>38000</v>
      </c>
      <c r="M11184" s="36">
        <v>0</v>
      </c>
      <c r="T11184" s="41">
        <v>0</v>
      </c>
      <c r="U11184" s="41">
        <v>0</v>
      </c>
      <c r="V11184" s="42" t="s">
        <v>113</v>
      </c>
      <c r="W11184" s="42">
        <v>40000</v>
      </c>
      <c r="X11184" s="42">
        <v>40000</v>
      </c>
    </row>
    <row r="11185" spans="1:24">
      <c r="A11185" s="27" t="s">
        <v>20268</v>
      </c>
      <c r="B11185" s="28" t="s">
        <v>19918</v>
      </c>
      <c r="C11185" s="27" t="s">
        <v>20269</v>
      </c>
      <c r="D11185" s="27" t="s">
        <v>220</v>
      </c>
      <c r="E11185" s="29">
        <v>38534</v>
      </c>
      <c r="F11185" s="27">
        <v>8</v>
      </c>
      <c r="G11185" s="18">
        <v>40000</v>
      </c>
      <c r="H11185" s="27">
        <f t="shared" si="348"/>
        <v>40000</v>
      </c>
      <c r="I11185" s="18">
        <v>38000</v>
      </c>
      <c r="J11185" s="27">
        <v>40000</v>
      </c>
      <c r="K11185" s="18">
        <f t="shared" si="349"/>
        <v>40000</v>
      </c>
      <c r="L11185" s="27">
        <v>38000</v>
      </c>
      <c r="M11185" s="36">
        <v>0</v>
      </c>
      <c r="T11185" s="41">
        <v>0</v>
      </c>
      <c r="U11185" s="41">
        <v>0</v>
      </c>
      <c r="V11185" s="42" t="s">
        <v>113</v>
      </c>
      <c r="W11185" s="42">
        <v>40000</v>
      </c>
      <c r="X11185" s="42">
        <v>40000</v>
      </c>
    </row>
    <row r="11186" spans="1:24">
      <c r="A11186" s="27" t="s">
        <v>20270</v>
      </c>
      <c r="B11186" s="28" t="s">
        <v>19918</v>
      </c>
      <c r="C11186" s="27" t="s">
        <v>20271</v>
      </c>
      <c r="D11186" s="27" t="s">
        <v>220</v>
      </c>
      <c r="E11186" s="29">
        <v>40112</v>
      </c>
      <c r="F11186" s="27">
        <v>8</v>
      </c>
      <c r="G11186" s="18">
        <v>40000</v>
      </c>
      <c r="H11186" s="27">
        <f t="shared" si="348"/>
        <v>40000</v>
      </c>
      <c r="I11186" s="18">
        <v>38000</v>
      </c>
      <c r="J11186" s="27">
        <v>40000</v>
      </c>
      <c r="K11186" s="18">
        <f t="shared" si="349"/>
        <v>40000</v>
      </c>
      <c r="L11186" s="27">
        <v>38000</v>
      </c>
      <c r="M11186" s="36">
        <v>0</v>
      </c>
      <c r="T11186" s="41">
        <v>0</v>
      </c>
      <c r="U11186" s="41">
        <v>0</v>
      </c>
      <c r="V11186" s="42" t="s">
        <v>113</v>
      </c>
      <c r="W11186" s="42">
        <v>40000</v>
      </c>
      <c r="X11186" s="42">
        <v>40000</v>
      </c>
    </row>
    <row r="11187" spans="1:24">
      <c r="A11187" s="27" t="s">
        <v>20272</v>
      </c>
      <c r="B11187" s="28" t="s">
        <v>19918</v>
      </c>
      <c r="C11187" s="27" t="s">
        <v>20273</v>
      </c>
      <c r="D11187" s="27" t="s">
        <v>17578</v>
      </c>
      <c r="E11187" s="29">
        <v>40165</v>
      </c>
      <c r="F11187" s="27">
        <v>8</v>
      </c>
      <c r="G11187" s="18">
        <v>2000</v>
      </c>
      <c r="H11187" s="27">
        <f t="shared" si="348"/>
        <v>2000</v>
      </c>
      <c r="I11187" s="18">
        <v>1900</v>
      </c>
      <c r="J11187" s="27">
        <v>2000</v>
      </c>
      <c r="K11187" s="18">
        <f t="shared" si="349"/>
        <v>2000</v>
      </c>
      <c r="L11187" s="27">
        <v>1900</v>
      </c>
      <c r="M11187" s="36">
        <v>0</v>
      </c>
      <c r="T11187" s="41">
        <v>0</v>
      </c>
      <c r="U11187" s="41">
        <v>0</v>
      </c>
      <c r="V11187" s="42" t="s">
        <v>113</v>
      </c>
      <c r="W11187" s="42">
        <v>2000</v>
      </c>
      <c r="X11187" s="42">
        <v>2000</v>
      </c>
    </row>
    <row r="11188" spans="1:24">
      <c r="A11188" s="27" t="s">
        <v>20274</v>
      </c>
      <c r="B11188" s="28" t="s">
        <v>19918</v>
      </c>
      <c r="C11188" s="27" t="s">
        <v>20163</v>
      </c>
      <c r="D11188" s="27" t="s">
        <v>17578</v>
      </c>
      <c r="E11188" s="29">
        <v>40165</v>
      </c>
      <c r="F11188" s="27">
        <v>8</v>
      </c>
      <c r="G11188" s="18">
        <v>2000</v>
      </c>
      <c r="H11188" s="27">
        <f t="shared" si="348"/>
        <v>2000</v>
      </c>
      <c r="I11188" s="18">
        <v>1900</v>
      </c>
      <c r="J11188" s="27">
        <v>2000</v>
      </c>
      <c r="K11188" s="18">
        <f t="shared" si="349"/>
        <v>2000</v>
      </c>
      <c r="L11188" s="27">
        <v>1900</v>
      </c>
      <c r="M11188" s="36">
        <v>0</v>
      </c>
      <c r="T11188" s="41">
        <v>0</v>
      </c>
      <c r="U11188" s="41">
        <v>0</v>
      </c>
      <c r="V11188" s="42" t="s">
        <v>113</v>
      </c>
      <c r="W11188" s="42">
        <v>2000</v>
      </c>
      <c r="X11188" s="42">
        <v>2000</v>
      </c>
    </row>
    <row r="11189" spans="1:24">
      <c r="A11189" s="27" t="s">
        <v>20275</v>
      </c>
      <c r="B11189" s="28" t="s">
        <v>19918</v>
      </c>
      <c r="C11189" s="27" t="s">
        <v>20276</v>
      </c>
      <c r="D11189" s="27" t="s">
        <v>112</v>
      </c>
      <c r="E11189" s="29">
        <v>37226</v>
      </c>
      <c r="F11189" s="27">
        <v>8</v>
      </c>
      <c r="G11189" s="18">
        <v>3250</v>
      </c>
      <c r="H11189" s="27">
        <f t="shared" si="348"/>
        <v>3250</v>
      </c>
      <c r="I11189" s="18">
        <v>3087.5</v>
      </c>
      <c r="J11189" s="27">
        <v>3250</v>
      </c>
      <c r="K11189" s="18">
        <f t="shared" si="349"/>
        <v>3250</v>
      </c>
      <c r="L11189" s="27">
        <v>3087.5</v>
      </c>
      <c r="M11189" s="36">
        <v>0</v>
      </c>
      <c r="T11189" s="41">
        <v>0</v>
      </c>
      <c r="U11189" s="41">
        <v>0</v>
      </c>
      <c r="V11189" s="42" t="s">
        <v>113</v>
      </c>
      <c r="W11189" s="42">
        <v>3250</v>
      </c>
      <c r="X11189" s="42">
        <v>3250</v>
      </c>
    </row>
    <row r="11190" spans="1:24">
      <c r="A11190" s="27" t="s">
        <v>20277</v>
      </c>
      <c r="B11190" s="28" t="s">
        <v>19918</v>
      </c>
      <c r="C11190" s="27" t="s">
        <v>20278</v>
      </c>
      <c r="D11190" s="27" t="s">
        <v>17578</v>
      </c>
      <c r="E11190" s="29">
        <v>40165</v>
      </c>
      <c r="F11190" s="27">
        <v>8</v>
      </c>
      <c r="G11190" s="18">
        <v>2000</v>
      </c>
      <c r="H11190" s="27">
        <f t="shared" si="348"/>
        <v>2000</v>
      </c>
      <c r="I11190" s="18">
        <v>1900</v>
      </c>
      <c r="J11190" s="27">
        <v>2000</v>
      </c>
      <c r="K11190" s="18">
        <f t="shared" si="349"/>
        <v>2000</v>
      </c>
      <c r="L11190" s="27">
        <v>1900</v>
      </c>
      <c r="M11190" s="36">
        <v>0</v>
      </c>
      <c r="T11190" s="41">
        <v>0</v>
      </c>
      <c r="U11190" s="41">
        <v>0</v>
      </c>
      <c r="V11190" s="42" t="s">
        <v>113</v>
      </c>
      <c r="W11190" s="42">
        <v>2000</v>
      </c>
      <c r="X11190" s="42">
        <v>2000</v>
      </c>
    </row>
    <row r="11191" spans="1:24">
      <c r="A11191" s="27" t="s">
        <v>20279</v>
      </c>
      <c r="B11191" s="28" t="s">
        <v>19918</v>
      </c>
      <c r="C11191" s="27" t="s">
        <v>20022</v>
      </c>
      <c r="D11191" s="27" t="s">
        <v>112</v>
      </c>
      <c r="E11191" s="29">
        <v>40156</v>
      </c>
      <c r="F11191" s="27">
        <v>8</v>
      </c>
      <c r="G11191" s="18">
        <v>4000</v>
      </c>
      <c r="H11191" s="27">
        <f t="shared" si="348"/>
        <v>4000</v>
      </c>
      <c r="I11191" s="18">
        <v>3800</v>
      </c>
      <c r="J11191" s="27">
        <v>4000</v>
      </c>
      <c r="K11191" s="18">
        <f t="shared" si="349"/>
        <v>4000</v>
      </c>
      <c r="L11191" s="27">
        <v>3800</v>
      </c>
      <c r="M11191" s="36">
        <v>0</v>
      </c>
      <c r="T11191" s="41">
        <v>0</v>
      </c>
      <c r="U11191" s="41">
        <v>0</v>
      </c>
      <c r="V11191" s="42" t="s">
        <v>113</v>
      </c>
      <c r="W11191" s="42">
        <v>4000</v>
      </c>
      <c r="X11191" s="42">
        <v>4000</v>
      </c>
    </row>
    <row r="11192" spans="1:24">
      <c r="A11192" s="27" t="s">
        <v>20280</v>
      </c>
      <c r="B11192" s="28" t="s">
        <v>19918</v>
      </c>
      <c r="C11192" s="27" t="s">
        <v>20281</v>
      </c>
      <c r="D11192" s="27" t="s">
        <v>230</v>
      </c>
      <c r="E11192" s="29">
        <v>40268</v>
      </c>
      <c r="F11192" s="27">
        <v>8</v>
      </c>
      <c r="G11192" s="18">
        <v>2000</v>
      </c>
      <c r="H11192" s="27">
        <f t="shared" si="348"/>
        <v>2000</v>
      </c>
      <c r="I11192" s="18">
        <v>1900</v>
      </c>
      <c r="J11192" s="27">
        <v>2000</v>
      </c>
      <c r="K11192" s="18">
        <f t="shared" si="349"/>
        <v>2000</v>
      </c>
      <c r="L11192" s="27">
        <v>1900</v>
      </c>
      <c r="M11192" s="36">
        <v>0</v>
      </c>
      <c r="T11192" s="41">
        <v>0</v>
      </c>
      <c r="U11192" s="41">
        <v>0</v>
      </c>
      <c r="V11192" s="42" t="s">
        <v>113</v>
      </c>
      <c r="W11192" s="42">
        <v>2000</v>
      </c>
      <c r="X11192" s="42">
        <v>2000</v>
      </c>
    </row>
    <row r="11193" spans="1:24">
      <c r="A11193" s="27" t="s">
        <v>20282</v>
      </c>
      <c r="B11193" s="28" t="s">
        <v>19918</v>
      </c>
      <c r="C11193" s="27" t="s">
        <v>20283</v>
      </c>
      <c r="D11193" s="27" t="s">
        <v>230</v>
      </c>
      <c r="E11193" s="29">
        <v>40268</v>
      </c>
      <c r="F11193" s="27">
        <v>8</v>
      </c>
      <c r="G11193" s="18">
        <v>6000</v>
      </c>
      <c r="H11193" s="27">
        <f t="shared" si="348"/>
        <v>6000</v>
      </c>
      <c r="I11193" s="18">
        <v>5700</v>
      </c>
      <c r="J11193" s="27">
        <v>6000</v>
      </c>
      <c r="K11193" s="18">
        <f t="shared" si="349"/>
        <v>6000</v>
      </c>
      <c r="L11193" s="27">
        <v>5700</v>
      </c>
      <c r="M11193" s="36">
        <v>0</v>
      </c>
      <c r="T11193" s="41">
        <v>0</v>
      </c>
      <c r="U11193" s="41">
        <v>0</v>
      </c>
      <c r="V11193" s="42" t="s">
        <v>113</v>
      </c>
      <c r="W11193" s="42">
        <v>6000</v>
      </c>
      <c r="X11193" s="42">
        <v>6000</v>
      </c>
    </row>
    <row r="11194" spans="1:24">
      <c r="A11194" s="27" t="s">
        <v>20284</v>
      </c>
      <c r="B11194" s="28" t="s">
        <v>19918</v>
      </c>
      <c r="C11194" s="27" t="s">
        <v>20285</v>
      </c>
      <c r="D11194" s="27" t="s">
        <v>230</v>
      </c>
      <c r="E11194" s="29">
        <v>40113</v>
      </c>
      <c r="F11194" s="27">
        <v>8</v>
      </c>
      <c r="G11194" s="18">
        <v>2000</v>
      </c>
      <c r="H11194" s="27">
        <f t="shared" si="348"/>
        <v>2000</v>
      </c>
      <c r="I11194" s="18">
        <v>1900</v>
      </c>
      <c r="J11194" s="27">
        <v>2000</v>
      </c>
      <c r="K11194" s="18">
        <f t="shared" si="349"/>
        <v>2000</v>
      </c>
      <c r="L11194" s="27">
        <v>1900</v>
      </c>
      <c r="M11194" s="36">
        <v>0</v>
      </c>
      <c r="T11194" s="41">
        <v>0</v>
      </c>
      <c r="U11194" s="41">
        <v>0</v>
      </c>
      <c r="V11194" s="42" t="s">
        <v>113</v>
      </c>
      <c r="W11194" s="42">
        <v>2000</v>
      </c>
      <c r="X11194" s="42">
        <v>2000</v>
      </c>
    </row>
    <row r="11195" spans="1:24">
      <c r="A11195" s="27" t="s">
        <v>20286</v>
      </c>
      <c r="B11195" s="28" t="s">
        <v>19918</v>
      </c>
      <c r="C11195" s="27" t="s">
        <v>20287</v>
      </c>
      <c r="D11195" s="27" t="s">
        <v>118</v>
      </c>
      <c r="E11195" s="29">
        <v>38534</v>
      </c>
      <c r="F11195" s="27">
        <v>8</v>
      </c>
      <c r="G11195" s="18">
        <v>20000</v>
      </c>
      <c r="H11195" s="27">
        <f t="shared" si="348"/>
        <v>20000</v>
      </c>
      <c r="I11195" s="18">
        <v>19000</v>
      </c>
      <c r="J11195" s="27">
        <v>20000</v>
      </c>
      <c r="K11195" s="18">
        <f t="shared" si="349"/>
        <v>20000</v>
      </c>
      <c r="L11195" s="27">
        <v>19000</v>
      </c>
      <c r="M11195" s="36">
        <v>0</v>
      </c>
      <c r="T11195" s="41">
        <v>0</v>
      </c>
      <c r="U11195" s="41">
        <v>0</v>
      </c>
      <c r="V11195" s="42" t="s">
        <v>113</v>
      </c>
      <c r="W11195" s="42">
        <v>20000</v>
      </c>
      <c r="X11195" s="42">
        <v>20000</v>
      </c>
    </row>
    <row r="11196" spans="1:24">
      <c r="A11196" s="27" t="s">
        <v>20288</v>
      </c>
      <c r="B11196" s="28" t="s">
        <v>19918</v>
      </c>
      <c r="C11196" s="27" t="s">
        <v>20289</v>
      </c>
      <c r="D11196" s="27" t="s">
        <v>118</v>
      </c>
      <c r="E11196" s="29">
        <v>40169</v>
      </c>
      <c r="F11196" s="27">
        <v>8</v>
      </c>
      <c r="G11196" s="18">
        <v>11220</v>
      </c>
      <c r="H11196" s="27">
        <f t="shared" si="348"/>
        <v>11220</v>
      </c>
      <c r="I11196" s="18">
        <v>10659</v>
      </c>
      <c r="J11196" s="27">
        <v>11220</v>
      </c>
      <c r="K11196" s="18">
        <f t="shared" si="349"/>
        <v>11220</v>
      </c>
      <c r="L11196" s="27">
        <v>10659</v>
      </c>
      <c r="M11196" s="36">
        <v>0</v>
      </c>
      <c r="T11196" s="41">
        <v>0</v>
      </c>
      <c r="U11196" s="41">
        <v>0</v>
      </c>
      <c r="V11196" s="42" t="s">
        <v>113</v>
      </c>
      <c r="W11196" s="42">
        <v>11220</v>
      </c>
      <c r="X11196" s="42">
        <v>11220</v>
      </c>
    </row>
    <row r="11197" spans="1:24">
      <c r="A11197" s="27" t="s">
        <v>20290</v>
      </c>
      <c r="B11197" s="28" t="s">
        <v>19918</v>
      </c>
      <c r="C11197" s="27" t="s">
        <v>20291</v>
      </c>
      <c r="D11197" s="27" t="s">
        <v>118</v>
      </c>
      <c r="E11197" s="29">
        <v>40169</v>
      </c>
      <c r="F11197" s="27">
        <v>8</v>
      </c>
      <c r="G11197" s="18">
        <v>11220</v>
      </c>
      <c r="H11197" s="27">
        <f t="shared" si="348"/>
        <v>11220</v>
      </c>
      <c r="I11197" s="18">
        <v>10659</v>
      </c>
      <c r="J11197" s="27">
        <v>11220</v>
      </c>
      <c r="K11197" s="18">
        <f t="shared" si="349"/>
        <v>11220</v>
      </c>
      <c r="L11197" s="27">
        <v>10659</v>
      </c>
      <c r="M11197" s="36">
        <v>0</v>
      </c>
      <c r="T11197" s="41">
        <v>0</v>
      </c>
      <c r="U11197" s="41">
        <v>0</v>
      </c>
      <c r="V11197" s="42" t="s">
        <v>113</v>
      </c>
      <c r="W11197" s="42">
        <v>11220</v>
      </c>
      <c r="X11197" s="42">
        <v>11220</v>
      </c>
    </row>
    <row r="11198" spans="1:24">
      <c r="A11198" s="27" t="s">
        <v>20292</v>
      </c>
      <c r="B11198" s="28" t="s">
        <v>19918</v>
      </c>
      <c r="C11198" s="27" t="s">
        <v>20293</v>
      </c>
      <c r="D11198" s="27" t="s">
        <v>220</v>
      </c>
      <c r="E11198" s="29">
        <v>38534</v>
      </c>
      <c r="F11198" s="27">
        <v>8</v>
      </c>
      <c r="G11198" s="18">
        <v>40000</v>
      </c>
      <c r="H11198" s="27">
        <f t="shared" si="348"/>
        <v>40000</v>
      </c>
      <c r="I11198" s="18">
        <v>38000</v>
      </c>
      <c r="J11198" s="27">
        <v>40000</v>
      </c>
      <c r="K11198" s="18">
        <f t="shared" si="349"/>
        <v>40000</v>
      </c>
      <c r="L11198" s="27">
        <v>38000</v>
      </c>
      <c r="M11198" s="36">
        <v>0</v>
      </c>
      <c r="T11198" s="41">
        <v>0</v>
      </c>
      <c r="U11198" s="41">
        <v>0</v>
      </c>
      <c r="V11198" s="42" t="s">
        <v>113</v>
      </c>
      <c r="W11198" s="42">
        <v>40000</v>
      </c>
      <c r="X11198" s="42">
        <v>40000</v>
      </c>
    </row>
    <row r="11199" spans="1:24">
      <c r="A11199" s="27" t="s">
        <v>20294</v>
      </c>
      <c r="B11199" s="28" t="s">
        <v>19918</v>
      </c>
      <c r="C11199" s="27" t="s">
        <v>20295</v>
      </c>
      <c r="D11199" s="27" t="s">
        <v>220</v>
      </c>
      <c r="E11199" s="29">
        <v>40113</v>
      </c>
      <c r="F11199" s="27">
        <v>8</v>
      </c>
      <c r="G11199" s="18">
        <v>40000</v>
      </c>
      <c r="H11199" s="27">
        <f t="shared" si="348"/>
        <v>40000</v>
      </c>
      <c r="I11199" s="18">
        <v>38000</v>
      </c>
      <c r="J11199" s="27">
        <v>40000</v>
      </c>
      <c r="K11199" s="18">
        <f t="shared" si="349"/>
        <v>40000</v>
      </c>
      <c r="L11199" s="27">
        <v>38000</v>
      </c>
      <c r="M11199" s="36">
        <v>0</v>
      </c>
      <c r="T11199" s="41">
        <v>0</v>
      </c>
      <c r="U11199" s="41">
        <v>0</v>
      </c>
      <c r="V11199" s="42" t="s">
        <v>113</v>
      </c>
      <c r="W11199" s="42">
        <v>40000</v>
      </c>
      <c r="X11199" s="42">
        <v>40000</v>
      </c>
    </row>
    <row r="11200" spans="1:24">
      <c r="A11200" s="27" t="s">
        <v>20296</v>
      </c>
      <c r="B11200" s="28" t="s">
        <v>19918</v>
      </c>
      <c r="C11200" s="27" t="s">
        <v>20297</v>
      </c>
      <c r="D11200" s="27" t="s">
        <v>230</v>
      </c>
      <c r="E11200" s="29">
        <v>37226</v>
      </c>
      <c r="F11200" s="27">
        <v>8</v>
      </c>
      <c r="G11200" s="18">
        <v>2000</v>
      </c>
      <c r="H11200" s="27">
        <f t="shared" si="348"/>
        <v>2000</v>
      </c>
      <c r="I11200" s="18">
        <v>1900</v>
      </c>
      <c r="J11200" s="27">
        <v>2000</v>
      </c>
      <c r="K11200" s="18">
        <f t="shared" si="349"/>
        <v>2000</v>
      </c>
      <c r="L11200" s="27">
        <v>1900</v>
      </c>
      <c r="M11200" s="36">
        <v>0</v>
      </c>
      <c r="T11200" s="41">
        <v>0</v>
      </c>
      <c r="U11200" s="41">
        <v>0</v>
      </c>
      <c r="V11200" s="42" t="s">
        <v>113</v>
      </c>
      <c r="W11200" s="42">
        <v>2000</v>
      </c>
      <c r="X11200" s="42">
        <v>2000</v>
      </c>
    </row>
    <row r="11201" spans="1:24">
      <c r="A11201" s="27" t="s">
        <v>20298</v>
      </c>
      <c r="B11201" s="28" t="s">
        <v>19918</v>
      </c>
      <c r="C11201" s="27" t="s">
        <v>20299</v>
      </c>
      <c r="D11201" s="27" t="s">
        <v>230</v>
      </c>
      <c r="E11201" s="29">
        <v>37226</v>
      </c>
      <c r="F11201" s="27">
        <v>8</v>
      </c>
      <c r="G11201" s="18">
        <v>2000</v>
      </c>
      <c r="H11201" s="27">
        <f t="shared" si="348"/>
        <v>2000</v>
      </c>
      <c r="I11201" s="18">
        <v>1900</v>
      </c>
      <c r="J11201" s="27">
        <v>2000</v>
      </c>
      <c r="K11201" s="18">
        <f t="shared" si="349"/>
        <v>2000</v>
      </c>
      <c r="L11201" s="27">
        <v>1900</v>
      </c>
      <c r="M11201" s="36">
        <v>0</v>
      </c>
      <c r="T11201" s="41">
        <v>0</v>
      </c>
      <c r="U11201" s="41">
        <v>0</v>
      </c>
      <c r="V11201" s="42" t="s">
        <v>113</v>
      </c>
      <c r="W11201" s="42">
        <v>2000</v>
      </c>
      <c r="X11201" s="42">
        <v>2000</v>
      </c>
    </row>
    <row r="11202" spans="1:24">
      <c r="A11202" s="27" t="s">
        <v>20300</v>
      </c>
      <c r="B11202" s="28" t="s">
        <v>19918</v>
      </c>
      <c r="C11202" s="27" t="s">
        <v>20026</v>
      </c>
      <c r="D11202" s="27" t="s">
        <v>118</v>
      </c>
      <c r="E11202" s="29">
        <v>40169</v>
      </c>
      <c r="F11202" s="27">
        <v>8</v>
      </c>
      <c r="G11202" s="18">
        <v>11220</v>
      </c>
      <c r="H11202" s="27">
        <f t="shared" si="348"/>
        <v>11220</v>
      </c>
      <c r="I11202" s="18">
        <v>10659</v>
      </c>
      <c r="J11202" s="27">
        <v>11220</v>
      </c>
      <c r="K11202" s="18">
        <f t="shared" si="349"/>
        <v>11220</v>
      </c>
      <c r="L11202" s="27">
        <v>10659</v>
      </c>
      <c r="M11202" s="36">
        <v>0</v>
      </c>
      <c r="T11202" s="41">
        <v>0</v>
      </c>
      <c r="U11202" s="41">
        <v>0</v>
      </c>
      <c r="V11202" s="42" t="s">
        <v>113</v>
      </c>
      <c r="W11202" s="42">
        <v>11220</v>
      </c>
      <c r="X11202" s="42">
        <v>11220</v>
      </c>
    </row>
    <row r="11203" spans="1:24">
      <c r="A11203" s="27" t="s">
        <v>20301</v>
      </c>
      <c r="B11203" s="28" t="s">
        <v>19918</v>
      </c>
      <c r="C11203" s="27" t="s">
        <v>20302</v>
      </c>
      <c r="D11203" s="27" t="s">
        <v>112</v>
      </c>
      <c r="E11203" s="29">
        <v>40169</v>
      </c>
      <c r="F11203" s="27">
        <v>8</v>
      </c>
      <c r="G11203" s="18">
        <v>3252</v>
      </c>
      <c r="H11203" s="27">
        <f t="shared" si="348"/>
        <v>3252</v>
      </c>
      <c r="I11203" s="18">
        <v>3252</v>
      </c>
      <c r="J11203" s="27">
        <v>3252</v>
      </c>
      <c r="K11203" s="18">
        <f t="shared" si="349"/>
        <v>3252</v>
      </c>
      <c r="L11203" s="27">
        <v>3252</v>
      </c>
      <c r="M11203" s="36">
        <v>0</v>
      </c>
      <c r="T11203" s="41">
        <v>0</v>
      </c>
      <c r="U11203" s="41">
        <v>0</v>
      </c>
      <c r="V11203" s="42" t="s">
        <v>113</v>
      </c>
      <c r="W11203" s="42">
        <v>3252</v>
      </c>
      <c r="X11203" s="42">
        <v>3252</v>
      </c>
    </row>
    <row r="11204" spans="1:24">
      <c r="A11204" s="27" t="s">
        <v>20303</v>
      </c>
      <c r="B11204" s="28" t="s">
        <v>19918</v>
      </c>
      <c r="C11204" s="27" t="s">
        <v>20304</v>
      </c>
      <c r="D11204" s="27" t="s">
        <v>112</v>
      </c>
      <c r="E11204" s="29">
        <v>40169</v>
      </c>
      <c r="F11204" s="27">
        <v>8</v>
      </c>
      <c r="G11204" s="18">
        <v>3252</v>
      </c>
      <c r="H11204" s="27">
        <f t="shared" si="348"/>
        <v>3252</v>
      </c>
      <c r="I11204" s="18">
        <v>3252</v>
      </c>
      <c r="J11204" s="27">
        <v>3252</v>
      </c>
      <c r="K11204" s="18">
        <f t="shared" si="349"/>
        <v>3252</v>
      </c>
      <c r="L11204" s="27">
        <v>3252</v>
      </c>
      <c r="M11204" s="36">
        <v>0</v>
      </c>
      <c r="T11204" s="41">
        <v>0</v>
      </c>
      <c r="U11204" s="41">
        <v>0</v>
      </c>
      <c r="V11204" s="42" t="s">
        <v>113</v>
      </c>
      <c r="W11204" s="42">
        <v>3252</v>
      </c>
      <c r="X11204" s="42">
        <v>3252</v>
      </c>
    </row>
    <row r="11205" spans="1:24">
      <c r="A11205" s="27" t="s">
        <v>20305</v>
      </c>
      <c r="B11205" s="28" t="s">
        <v>19918</v>
      </c>
      <c r="C11205" s="27" t="s">
        <v>20306</v>
      </c>
      <c r="D11205" s="27" t="s">
        <v>230</v>
      </c>
      <c r="E11205" s="29">
        <v>40169</v>
      </c>
      <c r="F11205" s="27">
        <v>8</v>
      </c>
      <c r="G11205" s="18">
        <v>2000</v>
      </c>
      <c r="H11205" s="27">
        <f t="shared" si="348"/>
        <v>2000</v>
      </c>
      <c r="I11205" s="18">
        <v>2000</v>
      </c>
      <c r="J11205" s="27">
        <v>2000</v>
      </c>
      <c r="K11205" s="18">
        <f t="shared" si="349"/>
        <v>2000</v>
      </c>
      <c r="L11205" s="27">
        <v>2000</v>
      </c>
      <c r="M11205" s="36">
        <v>0</v>
      </c>
      <c r="T11205" s="41">
        <v>0</v>
      </c>
      <c r="U11205" s="41">
        <v>0</v>
      </c>
      <c r="V11205" s="42" t="s">
        <v>113</v>
      </c>
      <c r="W11205" s="42">
        <v>2000</v>
      </c>
      <c r="X11205" s="42">
        <v>2000</v>
      </c>
    </row>
    <row r="11206" spans="1:24">
      <c r="A11206" s="27" t="s">
        <v>20307</v>
      </c>
      <c r="B11206" s="28" t="s">
        <v>19918</v>
      </c>
      <c r="C11206" s="27" t="s">
        <v>20308</v>
      </c>
      <c r="D11206" s="27" t="s">
        <v>17578</v>
      </c>
      <c r="E11206" s="29">
        <v>40114</v>
      </c>
      <c r="F11206" s="27">
        <v>8</v>
      </c>
      <c r="G11206" s="18">
        <v>2000</v>
      </c>
      <c r="H11206" s="27">
        <f t="shared" ref="H11206:H11269" si="350">IFERROR(IF(ROUND((G11206-I11206)/G11206,2)&lt;=0.05,G11206,0),0)</f>
        <v>2000</v>
      </c>
      <c r="I11206" s="18">
        <v>1900</v>
      </c>
      <c r="J11206" s="27">
        <v>2000</v>
      </c>
      <c r="K11206" s="18">
        <f t="shared" ref="K11206:K11269" si="351">IFERROR(IF(ROUND((J11206-L11206)/J11206,2)&lt;=0.05,J11206,0),0)</f>
        <v>2000</v>
      </c>
      <c r="L11206" s="27">
        <v>1900</v>
      </c>
      <c r="M11206" s="36">
        <v>0</v>
      </c>
      <c r="T11206" s="41">
        <v>0</v>
      </c>
      <c r="U11206" s="41">
        <v>0</v>
      </c>
      <c r="V11206" s="42" t="s">
        <v>113</v>
      </c>
      <c r="W11206" s="42">
        <v>2000</v>
      </c>
      <c r="X11206" s="42">
        <v>2000</v>
      </c>
    </row>
    <row r="11207" spans="1:24">
      <c r="A11207" s="27" t="s">
        <v>20309</v>
      </c>
      <c r="B11207" s="28" t="s">
        <v>19918</v>
      </c>
      <c r="C11207" s="27" t="s">
        <v>20310</v>
      </c>
      <c r="D11207" s="27" t="s">
        <v>230</v>
      </c>
      <c r="E11207" s="29">
        <v>37226</v>
      </c>
      <c r="F11207" s="27">
        <v>8</v>
      </c>
      <c r="G11207" s="18">
        <v>2000</v>
      </c>
      <c r="H11207" s="27">
        <f t="shared" si="350"/>
        <v>2000</v>
      </c>
      <c r="I11207" s="18">
        <v>1900</v>
      </c>
      <c r="J11207" s="27">
        <v>2000</v>
      </c>
      <c r="K11207" s="18">
        <f t="shared" si="351"/>
        <v>2000</v>
      </c>
      <c r="L11207" s="27">
        <v>1900</v>
      </c>
      <c r="M11207" s="36">
        <v>0</v>
      </c>
      <c r="T11207" s="41">
        <v>0</v>
      </c>
      <c r="U11207" s="41">
        <v>0</v>
      </c>
      <c r="V11207" s="42" t="s">
        <v>113</v>
      </c>
      <c r="W11207" s="42">
        <v>2000</v>
      </c>
      <c r="X11207" s="42">
        <v>2000</v>
      </c>
    </row>
    <row r="11208" spans="1:24">
      <c r="A11208" s="27" t="s">
        <v>20311</v>
      </c>
      <c r="B11208" s="28" t="s">
        <v>19918</v>
      </c>
      <c r="C11208" s="27" t="s">
        <v>20312</v>
      </c>
      <c r="D11208" s="27" t="s">
        <v>230</v>
      </c>
      <c r="E11208" s="29">
        <v>40169</v>
      </c>
      <c r="F11208" s="27">
        <v>8</v>
      </c>
      <c r="G11208" s="18">
        <v>2000</v>
      </c>
      <c r="H11208" s="27">
        <f t="shared" si="350"/>
        <v>2000</v>
      </c>
      <c r="I11208" s="18">
        <v>2000</v>
      </c>
      <c r="J11208" s="27">
        <v>2000</v>
      </c>
      <c r="K11208" s="18">
        <f t="shared" si="351"/>
        <v>2000</v>
      </c>
      <c r="L11208" s="27">
        <v>2000</v>
      </c>
      <c r="M11208" s="36">
        <v>0</v>
      </c>
      <c r="T11208" s="41">
        <v>0</v>
      </c>
      <c r="U11208" s="41">
        <v>0</v>
      </c>
      <c r="V11208" s="42" t="s">
        <v>113</v>
      </c>
      <c r="W11208" s="42">
        <v>2000</v>
      </c>
      <c r="X11208" s="42">
        <v>2000</v>
      </c>
    </row>
    <row r="11209" spans="1:24">
      <c r="A11209" s="27" t="s">
        <v>20313</v>
      </c>
      <c r="B11209" s="28" t="s">
        <v>19918</v>
      </c>
      <c r="C11209" s="27" t="s">
        <v>20314</v>
      </c>
      <c r="D11209" s="27" t="s">
        <v>230</v>
      </c>
      <c r="E11209" s="29">
        <v>40169</v>
      </c>
      <c r="F11209" s="27">
        <v>8</v>
      </c>
      <c r="G11209" s="18">
        <v>2000</v>
      </c>
      <c r="H11209" s="27">
        <f t="shared" si="350"/>
        <v>2000</v>
      </c>
      <c r="I11209" s="18">
        <v>2000</v>
      </c>
      <c r="J11209" s="27">
        <v>2000</v>
      </c>
      <c r="K11209" s="18">
        <f t="shared" si="351"/>
        <v>2000</v>
      </c>
      <c r="L11209" s="27">
        <v>2000</v>
      </c>
      <c r="M11209" s="36">
        <v>0</v>
      </c>
      <c r="T11209" s="41">
        <v>0</v>
      </c>
      <c r="U11209" s="41">
        <v>0</v>
      </c>
      <c r="V11209" s="42" t="s">
        <v>113</v>
      </c>
      <c r="W11209" s="42">
        <v>2000</v>
      </c>
      <c r="X11209" s="42">
        <v>2000</v>
      </c>
    </row>
    <row r="11210" spans="1:24">
      <c r="A11210" s="27" t="s">
        <v>20315</v>
      </c>
      <c r="B11210" s="28" t="s">
        <v>19918</v>
      </c>
      <c r="C11210" s="27" t="s">
        <v>20316</v>
      </c>
      <c r="D11210" s="27" t="s">
        <v>230</v>
      </c>
      <c r="E11210" s="29">
        <v>40169</v>
      </c>
      <c r="F11210" s="27">
        <v>8</v>
      </c>
      <c r="G11210" s="18">
        <v>2000</v>
      </c>
      <c r="H11210" s="27">
        <f t="shared" si="350"/>
        <v>2000</v>
      </c>
      <c r="I11210" s="18">
        <v>2000</v>
      </c>
      <c r="J11210" s="27">
        <v>2000</v>
      </c>
      <c r="K11210" s="18">
        <f t="shared" si="351"/>
        <v>2000</v>
      </c>
      <c r="L11210" s="27">
        <v>2000</v>
      </c>
      <c r="M11210" s="36">
        <v>0</v>
      </c>
      <c r="T11210" s="41">
        <v>0</v>
      </c>
      <c r="U11210" s="41">
        <v>0</v>
      </c>
      <c r="V11210" s="42" t="s">
        <v>113</v>
      </c>
      <c r="W11210" s="42">
        <v>2000</v>
      </c>
      <c r="X11210" s="42">
        <v>2000</v>
      </c>
    </row>
    <row r="11211" spans="1:24">
      <c r="A11211" s="27" t="s">
        <v>20317</v>
      </c>
      <c r="B11211" s="28" t="s">
        <v>19918</v>
      </c>
      <c r="C11211" s="27" t="s">
        <v>20318</v>
      </c>
      <c r="D11211" s="27" t="s">
        <v>112</v>
      </c>
      <c r="E11211" s="29">
        <v>40169</v>
      </c>
      <c r="F11211" s="27">
        <v>8</v>
      </c>
      <c r="G11211" s="18">
        <v>3252</v>
      </c>
      <c r="H11211" s="27">
        <f t="shared" si="350"/>
        <v>3252</v>
      </c>
      <c r="I11211" s="18">
        <v>3252</v>
      </c>
      <c r="J11211" s="27">
        <v>3252</v>
      </c>
      <c r="K11211" s="18">
        <f t="shared" si="351"/>
        <v>3252</v>
      </c>
      <c r="L11211" s="27">
        <v>3252</v>
      </c>
      <c r="M11211" s="36">
        <v>0</v>
      </c>
      <c r="T11211" s="41">
        <v>0</v>
      </c>
      <c r="U11211" s="41">
        <v>0</v>
      </c>
      <c r="V11211" s="42" t="s">
        <v>113</v>
      </c>
      <c r="W11211" s="42">
        <v>3252</v>
      </c>
      <c r="X11211" s="42">
        <v>3252</v>
      </c>
    </row>
    <row r="11212" spans="1:24">
      <c r="A11212" s="27" t="s">
        <v>20319</v>
      </c>
      <c r="B11212" s="28" t="s">
        <v>19918</v>
      </c>
      <c r="C11212" s="27" t="s">
        <v>20320</v>
      </c>
      <c r="D11212" s="27" t="s">
        <v>230</v>
      </c>
      <c r="E11212" s="29">
        <v>40169</v>
      </c>
      <c r="F11212" s="27">
        <v>8</v>
      </c>
      <c r="G11212" s="18">
        <v>2000</v>
      </c>
      <c r="H11212" s="27">
        <f t="shared" si="350"/>
        <v>2000</v>
      </c>
      <c r="I11212" s="18">
        <v>2000</v>
      </c>
      <c r="J11212" s="27">
        <v>2000</v>
      </c>
      <c r="K11212" s="18">
        <f t="shared" si="351"/>
        <v>2000</v>
      </c>
      <c r="L11212" s="27">
        <v>2000</v>
      </c>
      <c r="M11212" s="36">
        <v>0</v>
      </c>
      <c r="T11212" s="41">
        <v>0</v>
      </c>
      <c r="U11212" s="41">
        <v>0</v>
      </c>
      <c r="V11212" s="42" t="s">
        <v>113</v>
      </c>
      <c r="W11212" s="42">
        <v>2000</v>
      </c>
      <c r="X11212" s="42">
        <v>2000</v>
      </c>
    </row>
    <row r="11213" spans="1:24">
      <c r="A11213" s="27" t="s">
        <v>20321</v>
      </c>
      <c r="B11213" s="28" t="s">
        <v>19918</v>
      </c>
      <c r="C11213" s="27" t="s">
        <v>20322</v>
      </c>
      <c r="D11213" s="27" t="s">
        <v>220</v>
      </c>
      <c r="E11213" s="29">
        <v>40113</v>
      </c>
      <c r="F11213" s="27">
        <v>8</v>
      </c>
      <c r="G11213" s="18">
        <v>40000</v>
      </c>
      <c r="H11213" s="27">
        <f t="shared" si="350"/>
        <v>40000</v>
      </c>
      <c r="I11213" s="18">
        <v>38000</v>
      </c>
      <c r="J11213" s="27">
        <v>40000</v>
      </c>
      <c r="K11213" s="18">
        <f t="shared" si="351"/>
        <v>40000</v>
      </c>
      <c r="L11213" s="27">
        <v>38000</v>
      </c>
      <c r="M11213" s="36">
        <v>0</v>
      </c>
      <c r="T11213" s="41">
        <v>0</v>
      </c>
      <c r="U11213" s="41">
        <v>0</v>
      </c>
      <c r="V11213" s="42" t="s">
        <v>113</v>
      </c>
      <c r="W11213" s="42">
        <v>40000</v>
      </c>
      <c r="X11213" s="42">
        <v>40000</v>
      </c>
    </row>
    <row r="11214" spans="1:24">
      <c r="A11214" s="27" t="s">
        <v>20323</v>
      </c>
      <c r="B11214" s="28" t="s">
        <v>19918</v>
      </c>
      <c r="C11214" s="27" t="s">
        <v>20324</v>
      </c>
      <c r="D11214" s="27" t="s">
        <v>230</v>
      </c>
      <c r="E11214" s="29">
        <v>40169</v>
      </c>
      <c r="F11214" s="27">
        <v>8</v>
      </c>
      <c r="G11214" s="18">
        <v>2000</v>
      </c>
      <c r="H11214" s="27">
        <f t="shared" si="350"/>
        <v>2000</v>
      </c>
      <c r="I11214" s="18">
        <v>2000</v>
      </c>
      <c r="J11214" s="27">
        <v>2000</v>
      </c>
      <c r="K11214" s="18">
        <f t="shared" si="351"/>
        <v>2000</v>
      </c>
      <c r="L11214" s="27">
        <v>2000</v>
      </c>
      <c r="M11214" s="36">
        <v>0</v>
      </c>
      <c r="T11214" s="41">
        <v>0</v>
      </c>
      <c r="U11214" s="41">
        <v>0</v>
      </c>
      <c r="V11214" s="42" t="s">
        <v>113</v>
      </c>
      <c r="W11214" s="42">
        <v>2000</v>
      </c>
      <c r="X11214" s="42">
        <v>2000</v>
      </c>
    </row>
    <row r="11215" spans="1:24">
      <c r="A11215" s="27" t="s">
        <v>20325</v>
      </c>
      <c r="B11215" s="28" t="s">
        <v>19918</v>
      </c>
      <c r="C11215" s="27" t="s">
        <v>20326</v>
      </c>
      <c r="D11215" s="27" t="s">
        <v>230</v>
      </c>
      <c r="E11215" s="29">
        <v>40169</v>
      </c>
      <c r="F11215" s="27">
        <v>8</v>
      </c>
      <c r="G11215" s="18">
        <v>2000</v>
      </c>
      <c r="H11215" s="27">
        <f t="shared" si="350"/>
        <v>2000</v>
      </c>
      <c r="I11215" s="18">
        <v>2000</v>
      </c>
      <c r="J11215" s="27">
        <v>2000</v>
      </c>
      <c r="K11215" s="18">
        <f t="shared" si="351"/>
        <v>2000</v>
      </c>
      <c r="L11215" s="27">
        <v>2000</v>
      </c>
      <c r="M11215" s="36">
        <v>0</v>
      </c>
      <c r="T11215" s="41">
        <v>0</v>
      </c>
      <c r="U11215" s="41">
        <v>0</v>
      </c>
      <c r="V11215" s="42" t="s">
        <v>113</v>
      </c>
      <c r="W11215" s="42">
        <v>2000</v>
      </c>
      <c r="X11215" s="42">
        <v>2000</v>
      </c>
    </row>
    <row r="11216" spans="1:24">
      <c r="A11216" s="27" t="s">
        <v>20327</v>
      </c>
      <c r="B11216" s="28" t="s">
        <v>19918</v>
      </c>
      <c r="C11216" s="27" t="s">
        <v>20328</v>
      </c>
      <c r="D11216" s="27" t="s">
        <v>230</v>
      </c>
      <c r="E11216" s="29">
        <v>40169</v>
      </c>
      <c r="F11216" s="27">
        <v>8</v>
      </c>
      <c r="G11216" s="18">
        <v>2000</v>
      </c>
      <c r="H11216" s="27">
        <f t="shared" si="350"/>
        <v>2000</v>
      </c>
      <c r="I11216" s="18">
        <v>2000</v>
      </c>
      <c r="J11216" s="27">
        <v>2000</v>
      </c>
      <c r="K11216" s="18">
        <f t="shared" si="351"/>
        <v>2000</v>
      </c>
      <c r="L11216" s="27">
        <v>2000</v>
      </c>
      <c r="M11216" s="36">
        <v>0</v>
      </c>
      <c r="T11216" s="41">
        <v>0</v>
      </c>
      <c r="U11216" s="41">
        <v>0</v>
      </c>
      <c r="V11216" s="42" t="s">
        <v>113</v>
      </c>
      <c r="W11216" s="42">
        <v>2000</v>
      </c>
      <c r="X11216" s="42">
        <v>2000</v>
      </c>
    </row>
    <row r="11217" spans="1:24">
      <c r="A11217" s="27" t="s">
        <v>20329</v>
      </c>
      <c r="B11217" s="28" t="s">
        <v>19918</v>
      </c>
      <c r="C11217" s="27" t="s">
        <v>20330</v>
      </c>
      <c r="D11217" s="27" t="s">
        <v>230</v>
      </c>
      <c r="E11217" s="29">
        <v>40169</v>
      </c>
      <c r="F11217" s="27">
        <v>8</v>
      </c>
      <c r="G11217" s="18">
        <v>2000</v>
      </c>
      <c r="H11217" s="27">
        <f t="shared" si="350"/>
        <v>2000</v>
      </c>
      <c r="I11217" s="18">
        <v>2000</v>
      </c>
      <c r="J11217" s="27">
        <v>2000</v>
      </c>
      <c r="K11217" s="18">
        <f t="shared" si="351"/>
        <v>2000</v>
      </c>
      <c r="L11217" s="27">
        <v>2000</v>
      </c>
      <c r="M11217" s="36">
        <v>0</v>
      </c>
      <c r="T11217" s="41">
        <v>0</v>
      </c>
      <c r="U11217" s="41">
        <v>0</v>
      </c>
      <c r="V11217" s="42" t="s">
        <v>113</v>
      </c>
      <c r="W11217" s="42">
        <v>2000</v>
      </c>
      <c r="X11217" s="42">
        <v>2000</v>
      </c>
    </row>
    <row r="11218" spans="1:24">
      <c r="A11218" s="27" t="s">
        <v>20331</v>
      </c>
      <c r="B11218" s="28" t="s">
        <v>19918</v>
      </c>
      <c r="C11218" s="27" t="s">
        <v>20332</v>
      </c>
      <c r="D11218" s="27" t="s">
        <v>230</v>
      </c>
      <c r="E11218" s="29">
        <v>40169</v>
      </c>
      <c r="F11218" s="27">
        <v>8</v>
      </c>
      <c r="G11218" s="18">
        <v>2000</v>
      </c>
      <c r="H11218" s="27">
        <f t="shared" si="350"/>
        <v>2000</v>
      </c>
      <c r="I11218" s="18">
        <v>2000</v>
      </c>
      <c r="J11218" s="27">
        <v>2000</v>
      </c>
      <c r="K11218" s="18">
        <f t="shared" si="351"/>
        <v>2000</v>
      </c>
      <c r="L11218" s="27">
        <v>2000</v>
      </c>
      <c r="M11218" s="36">
        <v>0</v>
      </c>
      <c r="T11218" s="41">
        <v>0</v>
      </c>
      <c r="U11218" s="41">
        <v>0</v>
      </c>
      <c r="V11218" s="42" t="s">
        <v>113</v>
      </c>
      <c r="W11218" s="42">
        <v>2000</v>
      </c>
      <c r="X11218" s="42">
        <v>2000</v>
      </c>
    </row>
    <row r="11219" spans="1:24">
      <c r="A11219" s="27" t="s">
        <v>20333</v>
      </c>
      <c r="B11219" s="28" t="s">
        <v>19918</v>
      </c>
      <c r="C11219" s="27" t="s">
        <v>20334</v>
      </c>
      <c r="D11219" s="27" t="s">
        <v>230</v>
      </c>
      <c r="E11219" s="29">
        <v>40169</v>
      </c>
      <c r="F11219" s="27">
        <v>8</v>
      </c>
      <c r="G11219" s="18">
        <v>3252</v>
      </c>
      <c r="H11219" s="27">
        <f t="shared" si="350"/>
        <v>3252</v>
      </c>
      <c r="I11219" s="18">
        <v>3252</v>
      </c>
      <c r="J11219" s="27">
        <v>3252</v>
      </c>
      <c r="K11219" s="18">
        <f t="shared" si="351"/>
        <v>3252</v>
      </c>
      <c r="L11219" s="27">
        <v>3252</v>
      </c>
      <c r="M11219" s="36">
        <v>0</v>
      </c>
      <c r="T11219" s="41">
        <v>0</v>
      </c>
      <c r="U11219" s="41">
        <v>0</v>
      </c>
      <c r="V11219" s="42" t="s">
        <v>113</v>
      </c>
      <c r="W11219" s="42">
        <v>3252</v>
      </c>
      <c r="X11219" s="42">
        <v>3252</v>
      </c>
    </row>
    <row r="11220" spans="1:24">
      <c r="A11220" s="27" t="s">
        <v>20335</v>
      </c>
      <c r="B11220" s="28" t="s">
        <v>19918</v>
      </c>
      <c r="C11220" s="27" t="s">
        <v>20336</v>
      </c>
      <c r="D11220" s="27" t="s">
        <v>17578</v>
      </c>
      <c r="E11220" s="29">
        <v>39813</v>
      </c>
      <c r="F11220" s="27">
        <v>8</v>
      </c>
      <c r="G11220" s="18">
        <v>2000</v>
      </c>
      <c r="H11220" s="27">
        <f t="shared" si="350"/>
        <v>2000</v>
      </c>
      <c r="I11220" s="18">
        <v>1900</v>
      </c>
      <c r="J11220" s="27">
        <v>2000</v>
      </c>
      <c r="K11220" s="18">
        <f t="shared" si="351"/>
        <v>2000</v>
      </c>
      <c r="L11220" s="27">
        <v>1900</v>
      </c>
      <c r="M11220" s="36">
        <v>0</v>
      </c>
      <c r="T11220" s="41">
        <v>0</v>
      </c>
      <c r="U11220" s="41">
        <v>0</v>
      </c>
      <c r="V11220" s="42" t="s">
        <v>113</v>
      </c>
      <c r="W11220" s="42">
        <v>2000</v>
      </c>
      <c r="X11220" s="42">
        <v>2000</v>
      </c>
    </row>
    <row r="11221" spans="1:24">
      <c r="A11221" s="27" t="s">
        <v>20337</v>
      </c>
      <c r="B11221" s="28" t="s">
        <v>19918</v>
      </c>
      <c r="C11221" s="27" t="s">
        <v>20338</v>
      </c>
      <c r="D11221" s="27" t="s">
        <v>17578</v>
      </c>
      <c r="E11221" s="29">
        <v>39813</v>
      </c>
      <c r="F11221" s="27">
        <v>8</v>
      </c>
      <c r="G11221" s="18">
        <v>2000</v>
      </c>
      <c r="H11221" s="27">
        <f t="shared" si="350"/>
        <v>2000</v>
      </c>
      <c r="I11221" s="18">
        <v>1900</v>
      </c>
      <c r="J11221" s="27">
        <v>2000</v>
      </c>
      <c r="K11221" s="18">
        <f t="shared" si="351"/>
        <v>2000</v>
      </c>
      <c r="L11221" s="27">
        <v>1900</v>
      </c>
      <c r="M11221" s="36">
        <v>0</v>
      </c>
      <c r="T11221" s="41">
        <v>0</v>
      </c>
      <c r="U11221" s="41">
        <v>0</v>
      </c>
      <c r="V11221" s="42" t="s">
        <v>113</v>
      </c>
      <c r="W11221" s="42">
        <v>2000</v>
      </c>
      <c r="X11221" s="42">
        <v>2000</v>
      </c>
    </row>
    <row r="11222" spans="1:24">
      <c r="A11222" s="27" t="s">
        <v>20339</v>
      </c>
      <c r="B11222" s="28" t="s">
        <v>19918</v>
      </c>
      <c r="C11222" s="27" t="s">
        <v>20340</v>
      </c>
      <c r="D11222" s="27" t="s">
        <v>17578</v>
      </c>
      <c r="E11222" s="29">
        <v>39813</v>
      </c>
      <c r="F11222" s="27">
        <v>8</v>
      </c>
      <c r="G11222" s="18">
        <v>2000</v>
      </c>
      <c r="H11222" s="27">
        <f t="shared" si="350"/>
        <v>2000</v>
      </c>
      <c r="I11222" s="18">
        <v>1900</v>
      </c>
      <c r="J11222" s="27">
        <v>2000</v>
      </c>
      <c r="K11222" s="18">
        <f t="shared" si="351"/>
        <v>2000</v>
      </c>
      <c r="L11222" s="27">
        <v>1900</v>
      </c>
      <c r="M11222" s="36">
        <v>0</v>
      </c>
      <c r="T11222" s="41">
        <v>0</v>
      </c>
      <c r="U11222" s="41">
        <v>0</v>
      </c>
      <c r="V11222" s="42" t="s">
        <v>113</v>
      </c>
      <c r="W11222" s="42">
        <v>2000</v>
      </c>
      <c r="X11222" s="42">
        <v>2000</v>
      </c>
    </row>
    <row r="11223" spans="1:24">
      <c r="A11223" s="27" t="s">
        <v>20341</v>
      </c>
      <c r="B11223" s="28" t="s">
        <v>19918</v>
      </c>
      <c r="C11223" s="27" t="s">
        <v>20342</v>
      </c>
      <c r="D11223" s="27" t="s">
        <v>230</v>
      </c>
      <c r="E11223" s="29">
        <v>39813</v>
      </c>
      <c r="F11223" s="27">
        <v>8</v>
      </c>
      <c r="G11223" s="18">
        <v>2000</v>
      </c>
      <c r="H11223" s="27">
        <f t="shared" si="350"/>
        <v>2000</v>
      </c>
      <c r="I11223" s="18">
        <v>1900</v>
      </c>
      <c r="J11223" s="27">
        <v>2000</v>
      </c>
      <c r="K11223" s="18">
        <f t="shared" si="351"/>
        <v>2000</v>
      </c>
      <c r="L11223" s="27">
        <v>1900</v>
      </c>
      <c r="M11223" s="36">
        <v>0</v>
      </c>
      <c r="T11223" s="41">
        <v>0</v>
      </c>
      <c r="U11223" s="41">
        <v>0</v>
      </c>
      <c r="V11223" s="42" t="s">
        <v>113</v>
      </c>
      <c r="W11223" s="42">
        <v>2000</v>
      </c>
      <c r="X11223" s="42">
        <v>2000</v>
      </c>
    </row>
    <row r="11224" spans="1:24">
      <c r="A11224" s="27" t="s">
        <v>20343</v>
      </c>
      <c r="B11224" s="28" t="s">
        <v>19918</v>
      </c>
      <c r="C11224" s="27" t="s">
        <v>20344</v>
      </c>
      <c r="D11224" s="27" t="s">
        <v>17578</v>
      </c>
      <c r="E11224" s="29">
        <v>39813</v>
      </c>
      <c r="F11224" s="27">
        <v>8</v>
      </c>
      <c r="G11224" s="18">
        <v>2000</v>
      </c>
      <c r="H11224" s="27">
        <f t="shared" si="350"/>
        <v>2000</v>
      </c>
      <c r="I11224" s="18">
        <v>1900</v>
      </c>
      <c r="J11224" s="27">
        <v>2000</v>
      </c>
      <c r="K11224" s="18">
        <f t="shared" si="351"/>
        <v>2000</v>
      </c>
      <c r="L11224" s="27">
        <v>1900</v>
      </c>
      <c r="M11224" s="36">
        <v>0</v>
      </c>
      <c r="T11224" s="41">
        <v>0</v>
      </c>
      <c r="U11224" s="41">
        <v>0</v>
      </c>
      <c r="V11224" s="42" t="s">
        <v>113</v>
      </c>
      <c r="W11224" s="42">
        <v>2000</v>
      </c>
      <c r="X11224" s="42">
        <v>2000</v>
      </c>
    </row>
    <row r="11225" spans="1:24">
      <c r="A11225" s="27" t="s">
        <v>20345</v>
      </c>
      <c r="B11225" s="28" t="s">
        <v>19918</v>
      </c>
      <c r="C11225" s="27" t="s">
        <v>20346</v>
      </c>
      <c r="D11225" s="27" t="s">
        <v>17578</v>
      </c>
      <c r="E11225" s="29">
        <v>39813</v>
      </c>
      <c r="F11225" s="27">
        <v>8</v>
      </c>
      <c r="G11225" s="18">
        <v>2000</v>
      </c>
      <c r="H11225" s="27">
        <f t="shared" si="350"/>
        <v>2000</v>
      </c>
      <c r="I11225" s="18">
        <v>1900</v>
      </c>
      <c r="J11225" s="27">
        <v>2000</v>
      </c>
      <c r="K11225" s="18">
        <f t="shared" si="351"/>
        <v>2000</v>
      </c>
      <c r="L11225" s="27">
        <v>1900</v>
      </c>
      <c r="M11225" s="36">
        <v>0</v>
      </c>
      <c r="T11225" s="41">
        <v>0</v>
      </c>
      <c r="U11225" s="41">
        <v>0</v>
      </c>
      <c r="V11225" s="42" t="s">
        <v>113</v>
      </c>
      <c r="W11225" s="42">
        <v>2000</v>
      </c>
      <c r="X11225" s="42">
        <v>2000</v>
      </c>
    </row>
    <row r="11226" spans="1:24">
      <c r="A11226" s="27" t="s">
        <v>20347</v>
      </c>
      <c r="B11226" s="28" t="s">
        <v>19918</v>
      </c>
      <c r="C11226" s="27" t="s">
        <v>20348</v>
      </c>
      <c r="D11226" s="27" t="s">
        <v>17578</v>
      </c>
      <c r="E11226" s="29">
        <v>39813</v>
      </c>
      <c r="F11226" s="27">
        <v>8</v>
      </c>
      <c r="G11226" s="18">
        <v>2000</v>
      </c>
      <c r="H11226" s="27">
        <f t="shared" si="350"/>
        <v>2000</v>
      </c>
      <c r="I11226" s="18">
        <v>1900</v>
      </c>
      <c r="J11226" s="27">
        <v>2000</v>
      </c>
      <c r="K11226" s="18">
        <f t="shared" si="351"/>
        <v>2000</v>
      </c>
      <c r="L11226" s="27">
        <v>1900</v>
      </c>
      <c r="M11226" s="36">
        <v>0</v>
      </c>
      <c r="T11226" s="41">
        <v>0</v>
      </c>
      <c r="U11226" s="41">
        <v>0</v>
      </c>
      <c r="V11226" s="42" t="s">
        <v>113</v>
      </c>
      <c r="W11226" s="42">
        <v>2000</v>
      </c>
      <c r="X11226" s="42">
        <v>2000</v>
      </c>
    </row>
    <row r="11227" spans="1:24">
      <c r="A11227" s="27" t="s">
        <v>20349</v>
      </c>
      <c r="B11227" s="28" t="s">
        <v>19918</v>
      </c>
      <c r="C11227" s="27" t="s">
        <v>20350</v>
      </c>
      <c r="D11227" s="27" t="s">
        <v>17578</v>
      </c>
      <c r="E11227" s="29">
        <v>39813</v>
      </c>
      <c r="F11227" s="27">
        <v>8</v>
      </c>
      <c r="G11227" s="18">
        <v>2000</v>
      </c>
      <c r="H11227" s="27">
        <f t="shared" si="350"/>
        <v>2000</v>
      </c>
      <c r="I11227" s="18">
        <v>1900</v>
      </c>
      <c r="J11227" s="27">
        <v>2000</v>
      </c>
      <c r="K11227" s="18">
        <f t="shared" si="351"/>
        <v>2000</v>
      </c>
      <c r="L11227" s="27">
        <v>1900</v>
      </c>
      <c r="M11227" s="36">
        <v>0</v>
      </c>
      <c r="T11227" s="41">
        <v>0</v>
      </c>
      <c r="U11227" s="41">
        <v>0</v>
      </c>
      <c r="V11227" s="42" t="s">
        <v>113</v>
      </c>
      <c r="W11227" s="42">
        <v>2000</v>
      </c>
      <c r="X11227" s="42">
        <v>2000</v>
      </c>
    </row>
    <row r="11228" spans="1:24">
      <c r="A11228" s="27" t="s">
        <v>20351</v>
      </c>
      <c r="B11228" s="28" t="s">
        <v>19918</v>
      </c>
      <c r="C11228" s="27" t="s">
        <v>20352</v>
      </c>
      <c r="D11228" s="27" t="s">
        <v>17578</v>
      </c>
      <c r="E11228" s="29">
        <v>39813</v>
      </c>
      <c r="F11228" s="27">
        <v>8</v>
      </c>
      <c r="G11228" s="18">
        <v>3250</v>
      </c>
      <c r="H11228" s="27">
        <f t="shared" si="350"/>
        <v>3250</v>
      </c>
      <c r="I11228" s="18">
        <v>3087.5</v>
      </c>
      <c r="J11228" s="27">
        <v>3250</v>
      </c>
      <c r="K11228" s="18">
        <f t="shared" si="351"/>
        <v>3250</v>
      </c>
      <c r="L11228" s="27">
        <v>3087.5</v>
      </c>
      <c r="M11228" s="36">
        <v>0</v>
      </c>
      <c r="T11228" s="41">
        <v>0</v>
      </c>
      <c r="U11228" s="41">
        <v>0</v>
      </c>
      <c r="V11228" s="42" t="s">
        <v>113</v>
      </c>
      <c r="W11228" s="42">
        <v>3250</v>
      </c>
      <c r="X11228" s="42">
        <v>3250</v>
      </c>
    </row>
    <row r="11229" spans="1:24">
      <c r="A11229" s="27" t="s">
        <v>20353</v>
      </c>
      <c r="B11229" s="28" t="s">
        <v>19918</v>
      </c>
      <c r="C11229" s="27" t="s">
        <v>20354</v>
      </c>
      <c r="D11229" s="27" t="s">
        <v>17578</v>
      </c>
      <c r="E11229" s="29">
        <v>39813</v>
      </c>
      <c r="F11229" s="27">
        <v>8</v>
      </c>
      <c r="G11229" s="18">
        <v>3250</v>
      </c>
      <c r="H11229" s="27">
        <f t="shared" si="350"/>
        <v>3250</v>
      </c>
      <c r="I11229" s="18">
        <v>3087.5</v>
      </c>
      <c r="J11229" s="27">
        <v>3250</v>
      </c>
      <c r="K11229" s="18">
        <f t="shared" si="351"/>
        <v>3250</v>
      </c>
      <c r="L11229" s="27">
        <v>3087.5</v>
      </c>
      <c r="M11229" s="36">
        <v>0</v>
      </c>
      <c r="T11229" s="41">
        <v>0</v>
      </c>
      <c r="U11229" s="41">
        <v>0</v>
      </c>
      <c r="V11229" s="42" t="s">
        <v>113</v>
      </c>
      <c r="W11229" s="42">
        <v>3250</v>
      </c>
      <c r="X11229" s="42">
        <v>3250</v>
      </c>
    </row>
    <row r="11230" spans="1:24">
      <c r="A11230" s="27" t="s">
        <v>20355</v>
      </c>
      <c r="B11230" s="28" t="s">
        <v>19918</v>
      </c>
      <c r="C11230" s="27" t="s">
        <v>20356</v>
      </c>
      <c r="D11230" s="27" t="s">
        <v>17578</v>
      </c>
      <c r="E11230" s="29">
        <v>39813</v>
      </c>
      <c r="F11230" s="27">
        <v>8</v>
      </c>
      <c r="G11230" s="18">
        <v>3250</v>
      </c>
      <c r="H11230" s="27">
        <f t="shared" si="350"/>
        <v>3250</v>
      </c>
      <c r="I11230" s="18">
        <v>3087.5</v>
      </c>
      <c r="J11230" s="27">
        <v>3250</v>
      </c>
      <c r="K11230" s="18">
        <f t="shared" si="351"/>
        <v>3250</v>
      </c>
      <c r="L11230" s="27">
        <v>3087.5</v>
      </c>
      <c r="M11230" s="36">
        <v>0</v>
      </c>
      <c r="T11230" s="41">
        <v>0</v>
      </c>
      <c r="U11230" s="41">
        <v>0</v>
      </c>
      <c r="V11230" s="42" t="s">
        <v>113</v>
      </c>
      <c r="W11230" s="42">
        <v>3250</v>
      </c>
      <c r="X11230" s="42">
        <v>3250</v>
      </c>
    </row>
    <row r="11231" spans="1:24">
      <c r="A11231" s="27" t="s">
        <v>20357</v>
      </c>
      <c r="B11231" s="28" t="s">
        <v>19918</v>
      </c>
      <c r="C11231" s="27" t="s">
        <v>20358</v>
      </c>
      <c r="D11231" s="27" t="s">
        <v>17578</v>
      </c>
      <c r="E11231" s="29">
        <v>39813</v>
      </c>
      <c r="F11231" s="27">
        <v>8</v>
      </c>
      <c r="G11231" s="18">
        <v>3250</v>
      </c>
      <c r="H11231" s="27">
        <f t="shared" si="350"/>
        <v>3250</v>
      </c>
      <c r="I11231" s="18">
        <v>3087.5</v>
      </c>
      <c r="J11231" s="27">
        <v>3250</v>
      </c>
      <c r="K11231" s="18">
        <f t="shared" si="351"/>
        <v>3250</v>
      </c>
      <c r="L11231" s="27">
        <v>3087.5</v>
      </c>
      <c r="M11231" s="36">
        <v>0</v>
      </c>
      <c r="T11231" s="41">
        <v>0</v>
      </c>
      <c r="U11231" s="41">
        <v>0</v>
      </c>
      <c r="V11231" s="42" t="s">
        <v>113</v>
      </c>
      <c r="W11231" s="42">
        <v>3250</v>
      </c>
      <c r="X11231" s="42">
        <v>3250</v>
      </c>
    </row>
    <row r="11232" spans="1:24">
      <c r="A11232" s="27" t="s">
        <v>20359</v>
      </c>
      <c r="B11232" s="28" t="s">
        <v>19918</v>
      </c>
      <c r="C11232" s="27" t="s">
        <v>20360</v>
      </c>
      <c r="D11232" s="27" t="s">
        <v>17578</v>
      </c>
      <c r="E11232" s="29">
        <v>39813</v>
      </c>
      <c r="F11232" s="27">
        <v>8</v>
      </c>
      <c r="G11232" s="18">
        <v>3250</v>
      </c>
      <c r="H11232" s="27">
        <f t="shared" si="350"/>
        <v>3250</v>
      </c>
      <c r="I11232" s="18">
        <v>3087.5</v>
      </c>
      <c r="J11232" s="27">
        <v>3250</v>
      </c>
      <c r="K11232" s="18">
        <f t="shared" si="351"/>
        <v>3250</v>
      </c>
      <c r="L11232" s="27">
        <v>3087.5</v>
      </c>
      <c r="M11232" s="36">
        <v>0</v>
      </c>
      <c r="T11232" s="41">
        <v>0</v>
      </c>
      <c r="U11232" s="41">
        <v>0</v>
      </c>
      <c r="V11232" s="42" t="s">
        <v>113</v>
      </c>
      <c r="W11232" s="42">
        <v>3250</v>
      </c>
      <c r="X11232" s="42">
        <v>3250</v>
      </c>
    </row>
    <row r="11233" spans="1:24">
      <c r="A11233" s="27" t="s">
        <v>20361</v>
      </c>
      <c r="B11233" s="28" t="s">
        <v>19918</v>
      </c>
      <c r="C11233" s="27" t="s">
        <v>20362</v>
      </c>
      <c r="D11233" s="27" t="s">
        <v>17578</v>
      </c>
      <c r="E11233" s="29">
        <v>39813</v>
      </c>
      <c r="F11233" s="27">
        <v>8</v>
      </c>
      <c r="G11233" s="18">
        <v>4000</v>
      </c>
      <c r="H11233" s="27">
        <f t="shared" si="350"/>
        <v>4000</v>
      </c>
      <c r="I11233" s="18">
        <v>3800</v>
      </c>
      <c r="J11233" s="27">
        <v>4000</v>
      </c>
      <c r="K11233" s="18">
        <f t="shared" si="351"/>
        <v>4000</v>
      </c>
      <c r="L11233" s="27">
        <v>3800</v>
      </c>
      <c r="M11233" s="36">
        <v>0</v>
      </c>
      <c r="T11233" s="41">
        <v>0</v>
      </c>
      <c r="U11233" s="41">
        <v>0</v>
      </c>
      <c r="V11233" s="42" t="s">
        <v>113</v>
      </c>
      <c r="W11233" s="42">
        <v>4000</v>
      </c>
      <c r="X11233" s="42">
        <v>4000</v>
      </c>
    </row>
    <row r="11234" spans="1:24">
      <c r="A11234" s="27" t="s">
        <v>20363</v>
      </c>
      <c r="B11234" s="28" t="s">
        <v>19918</v>
      </c>
      <c r="C11234" s="27" t="s">
        <v>20252</v>
      </c>
      <c r="D11234" s="27" t="s">
        <v>17578</v>
      </c>
      <c r="E11234" s="29">
        <v>39813</v>
      </c>
      <c r="F11234" s="27">
        <v>8</v>
      </c>
      <c r="G11234" s="18">
        <v>4000</v>
      </c>
      <c r="H11234" s="27">
        <f t="shared" si="350"/>
        <v>4000</v>
      </c>
      <c r="I11234" s="18">
        <v>3800</v>
      </c>
      <c r="J11234" s="27">
        <v>4000</v>
      </c>
      <c r="K11234" s="18">
        <f t="shared" si="351"/>
        <v>4000</v>
      </c>
      <c r="L11234" s="27">
        <v>3800</v>
      </c>
      <c r="M11234" s="36">
        <v>0</v>
      </c>
      <c r="T11234" s="41">
        <v>0</v>
      </c>
      <c r="U11234" s="41">
        <v>0</v>
      </c>
      <c r="V11234" s="42" t="s">
        <v>113</v>
      </c>
      <c r="W11234" s="42">
        <v>4000</v>
      </c>
      <c r="X11234" s="42">
        <v>4000</v>
      </c>
    </row>
    <row r="11235" spans="1:24">
      <c r="A11235" s="27" t="s">
        <v>20364</v>
      </c>
      <c r="B11235" s="28" t="s">
        <v>19918</v>
      </c>
      <c r="C11235" s="27" t="s">
        <v>20289</v>
      </c>
      <c r="D11235" s="27" t="s">
        <v>17578</v>
      </c>
      <c r="E11235" s="29">
        <v>39813</v>
      </c>
      <c r="F11235" s="27">
        <v>8</v>
      </c>
      <c r="G11235" s="18">
        <v>4000</v>
      </c>
      <c r="H11235" s="27">
        <f t="shared" si="350"/>
        <v>4000</v>
      </c>
      <c r="I11235" s="18">
        <v>3800</v>
      </c>
      <c r="J11235" s="27">
        <v>4000</v>
      </c>
      <c r="K11235" s="18">
        <f t="shared" si="351"/>
        <v>4000</v>
      </c>
      <c r="L11235" s="27">
        <v>3800</v>
      </c>
      <c r="M11235" s="36">
        <v>0</v>
      </c>
      <c r="T11235" s="41">
        <v>0</v>
      </c>
      <c r="U11235" s="41">
        <v>0</v>
      </c>
      <c r="V11235" s="42" t="s">
        <v>113</v>
      </c>
      <c r="W11235" s="42">
        <v>4000</v>
      </c>
      <c r="X11235" s="42">
        <v>4000</v>
      </c>
    </row>
    <row r="11236" spans="1:24">
      <c r="A11236" s="27" t="s">
        <v>20365</v>
      </c>
      <c r="B11236" s="28" t="s">
        <v>19918</v>
      </c>
      <c r="C11236" s="27" t="s">
        <v>20213</v>
      </c>
      <c r="D11236" s="27" t="s">
        <v>17578</v>
      </c>
      <c r="E11236" s="29">
        <v>39813</v>
      </c>
      <c r="F11236" s="27">
        <v>8</v>
      </c>
      <c r="G11236" s="18">
        <v>4000</v>
      </c>
      <c r="H11236" s="27">
        <f t="shared" si="350"/>
        <v>4000</v>
      </c>
      <c r="I11236" s="18">
        <v>3800</v>
      </c>
      <c r="J11236" s="27">
        <v>4000</v>
      </c>
      <c r="K11236" s="18">
        <f t="shared" si="351"/>
        <v>4000</v>
      </c>
      <c r="L11236" s="27">
        <v>3800</v>
      </c>
      <c r="M11236" s="36">
        <v>0</v>
      </c>
      <c r="T11236" s="41">
        <v>0</v>
      </c>
      <c r="U11236" s="41">
        <v>0</v>
      </c>
      <c r="V11236" s="42" t="s">
        <v>113</v>
      </c>
      <c r="W11236" s="42">
        <v>4000</v>
      </c>
      <c r="X11236" s="42">
        <v>4000</v>
      </c>
    </row>
    <row r="11237" spans="1:24">
      <c r="A11237" s="27" t="s">
        <v>20366</v>
      </c>
      <c r="B11237" s="28" t="s">
        <v>19918</v>
      </c>
      <c r="C11237" s="27" t="s">
        <v>20229</v>
      </c>
      <c r="D11237" s="27" t="s">
        <v>17578</v>
      </c>
      <c r="E11237" s="29">
        <v>39813</v>
      </c>
      <c r="F11237" s="27">
        <v>8</v>
      </c>
      <c r="G11237" s="18">
        <v>4000</v>
      </c>
      <c r="H11237" s="27">
        <f t="shared" si="350"/>
        <v>4000</v>
      </c>
      <c r="I11237" s="18">
        <v>3800</v>
      </c>
      <c r="J11237" s="27">
        <v>4000</v>
      </c>
      <c r="K11237" s="18">
        <f t="shared" si="351"/>
        <v>4000</v>
      </c>
      <c r="L11237" s="27">
        <v>3800</v>
      </c>
      <c r="M11237" s="36">
        <v>0</v>
      </c>
      <c r="T11237" s="41">
        <v>0</v>
      </c>
      <c r="U11237" s="41">
        <v>0</v>
      </c>
      <c r="V11237" s="42" t="s">
        <v>113</v>
      </c>
      <c r="W11237" s="42">
        <v>4000</v>
      </c>
      <c r="X11237" s="42">
        <v>4000</v>
      </c>
    </row>
    <row r="11238" spans="1:24">
      <c r="A11238" s="27" t="s">
        <v>20367</v>
      </c>
      <c r="B11238" s="28" t="s">
        <v>19918</v>
      </c>
      <c r="C11238" s="27" t="s">
        <v>20026</v>
      </c>
      <c r="D11238" s="27" t="s">
        <v>17578</v>
      </c>
      <c r="E11238" s="29">
        <v>39813</v>
      </c>
      <c r="F11238" s="27">
        <v>8</v>
      </c>
      <c r="G11238" s="18">
        <v>4000</v>
      </c>
      <c r="H11238" s="27">
        <f t="shared" si="350"/>
        <v>4000</v>
      </c>
      <c r="I11238" s="18">
        <v>3800</v>
      </c>
      <c r="J11238" s="27">
        <v>4000</v>
      </c>
      <c r="K11238" s="18">
        <f t="shared" si="351"/>
        <v>4000</v>
      </c>
      <c r="L11238" s="27">
        <v>3800</v>
      </c>
      <c r="M11238" s="36">
        <v>0</v>
      </c>
      <c r="T11238" s="41">
        <v>0</v>
      </c>
      <c r="U11238" s="41">
        <v>0</v>
      </c>
      <c r="V11238" s="42" t="s">
        <v>113</v>
      </c>
      <c r="W11238" s="42">
        <v>4000</v>
      </c>
      <c r="X11238" s="42">
        <v>4000</v>
      </c>
    </row>
    <row r="11239" spans="1:24">
      <c r="A11239" s="27" t="s">
        <v>20368</v>
      </c>
      <c r="B11239" s="28" t="s">
        <v>19918</v>
      </c>
      <c r="C11239" s="27" t="s">
        <v>20354</v>
      </c>
      <c r="D11239" s="27" t="s">
        <v>17578</v>
      </c>
      <c r="E11239" s="29">
        <v>40543</v>
      </c>
      <c r="F11239" s="27">
        <v>8</v>
      </c>
      <c r="G11239" s="18">
        <v>3250</v>
      </c>
      <c r="H11239" s="27">
        <f t="shared" si="350"/>
        <v>3250</v>
      </c>
      <c r="I11239" s="18">
        <v>3087.5</v>
      </c>
      <c r="J11239" s="27">
        <v>3250</v>
      </c>
      <c r="K11239" s="18">
        <f t="shared" si="351"/>
        <v>3250</v>
      </c>
      <c r="L11239" s="27">
        <v>3087.5</v>
      </c>
      <c r="M11239" s="36">
        <v>0</v>
      </c>
      <c r="T11239" s="41">
        <v>0</v>
      </c>
      <c r="U11239" s="41">
        <v>0</v>
      </c>
      <c r="V11239" s="42" t="s">
        <v>113</v>
      </c>
      <c r="W11239" s="42">
        <v>3250</v>
      </c>
      <c r="X11239" s="42">
        <v>3250</v>
      </c>
    </row>
    <row r="11240" spans="1:24">
      <c r="A11240" s="27" t="s">
        <v>20369</v>
      </c>
      <c r="B11240" s="28" t="s">
        <v>19918</v>
      </c>
      <c r="C11240" s="27" t="s">
        <v>20370</v>
      </c>
      <c r="D11240" s="27" t="s">
        <v>112</v>
      </c>
      <c r="E11240" s="29">
        <v>40268</v>
      </c>
      <c r="F11240" s="27">
        <v>8</v>
      </c>
      <c r="G11240" s="18">
        <v>3250</v>
      </c>
      <c r="H11240" s="27">
        <f t="shared" si="350"/>
        <v>3250</v>
      </c>
      <c r="I11240" s="18">
        <v>3087.5</v>
      </c>
      <c r="J11240" s="27">
        <v>3250</v>
      </c>
      <c r="K11240" s="18">
        <f t="shared" si="351"/>
        <v>3250</v>
      </c>
      <c r="L11240" s="27">
        <v>3087.5</v>
      </c>
      <c r="M11240" s="36">
        <v>0</v>
      </c>
      <c r="T11240" s="41">
        <v>0</v>
      </c>
      <c r="U11240" s="41">
        <v>0</v>
      </c>
      <c r="V11240" s="42" t="s">
        <v>113</v>
      </c>
      <c r="W11240" s="42">
        <v>3250</v>
      </c>
      <c r="X11240" s="42">
        <v>3250</v>
      </c>
    </row>
    <row r="11241" spans="1:24">
      <c r="A11241" s="27" t="s">
        <v>20371</v>
      </c>
      <c r="B11241" s="28" t="s">
        <v>19918</v>
      </c>
      <c r="C11241" s="27" t="s">
        <v>20372</v>
      </c>
      <c r="D11241" s="27" t="s">
        <v>230</v>
      </c>
      <c r="E11241" s="29">
        <v>40113</v>
      </c>
      <c r="F11241" s="27">
        <v>8</v>
      </c>
      <c r="G11241" s="18">
        <v>2000</v>
      </c>
      <c r="H11241" s="27">
        <f t="shared" si="350"/>
        <v>2000</v>
      </c>
      <c r="I11241" s="18">
        <v>1900</v>
      </c>
      <c r="J11241" s="27">
        <v>2000</v>
      </c>
      <c r="K11241" s="18">
        <f t="shared" si="351"/>
        <v>2000</v>
      </c>
      <c r="L11241" s="27">
        <v>1900</v>
      </c>
      <c r="M11241" s="36">
        <v>0</v>
      </c>
      <c r="T11241" s="41">
        <v>0</v>
      </c>
      <c r="U11241" s="41">
        <v>0</v>
      </c>
      <c r="V11241" s="42" t="s">
        <v>113</v>
      </c>
      <c r="W11241" s="42">
        <v>2000</v>
      </c>
      <c r="X11241" s="42">
        <v>2000</v>
      </c>
    </row>
    <row r="11242" spans="1:24">
      <c r="A11242" s="27" t="s">
        <v>20373</v>
      </c>
      <c r="B11242" s="28" t="s">
        <v>19918</v>
      </c>
      <c r="C11242" s="27" t="s">
        <v>20374</v>
      </c>
      <c r="D11242" s="27" t="s">
        <v>230</v>
      </c>
      <c r="E11242" s="29">
        <v>40113</v>
      </c>
      <c r="F11242" s="27">
        <v>8</v>
      </c>
      <c r="G11242" s="18">
        <v>2000</v>
      </c>
      <c r="H11242" s="27">
        <f t="shared" si="350"/>
        <v>2000</v>
      </c>
      <c r="I11242" s="18">
        <v>1900</v>
      </c>
      <c r="J11242" s="27">
        <v>2000</v>
      </c>
      <c r="K11242" s="18">
        <f t="shared" si="351"/>
        <v>2000</v>
      </c>
      <c r="L11242" s="27">
        <v>1900</v>
      </c>
      <c r="M11242" s="36">
        <v>0</v>
      </c>
      <c r="T11242" s="41">
        <v>0</v>
      </c>
      <c r="U11242" s="41">
        <v>0</v>
      </c>
      <c r="V11242" s="42" t="s">
        <v>113</v>
      </c>
      <c r="W11242" s="42">
        <v>2000</v>
      </c>
      <c r="X11242" s="42">
        <v>2000</v>
      </c>
    </row>
    <row r="11243" spans="1:24">
      <c r="A11243" s="27" t="s">
        <v>20375</v>
      </c>
      <c r="B11243" s="28" t="s">
        <v>19918</v>
      </c>
      <c r="C11243" s="27" t="s">
        <v>20376</v>
      </c>
      <c r="D11243" s="27" t="s">
        <v>230</v>
      </c>
      <c r="E11243" s="29">
        <v>40113</v>
      </c>
      <c r="F11243" s="27">
        <v>8</v>
      </c>
      <c r="G11243" s="18">
        <v>2000</v>
      </c>
      <c r="H11243" s="27">
        <f t="shared" si="350"/>
        <v>2000</v>
      </c>
      <c r="I11243" s="18">
        <v>1900</v>
      </c>
      <c r="J11243" s="27">
        <v>2000</v>
      </c>
      <c r="K11243" s="18">
        <f t="shared" si="351"/>
        <v>2000</v>
      </c>
      <c r="L11243" s="27">
        <v>1900</v>
      </c>
      <c r="M11243" s="36">
        <v>0</v>
      </c>
      <c r="T11243" s="41">
        <v>0</v>
      </c>
      <c r="U11243" s="41">
        <v>0</v>
      </c>
      <c r="V11243" s="42" t="s">
        <v>113</v>
      </c>
      <c r="W11243" s="42">
        <v>2000</v>
      </c>
      <c r="X11243" s="42">
        <v>2000</v>
      </c>
    </row>
    <row r="11244" spans="1:24">
      <c r="A11244" s="27" t="s">
        <v>20377</v>
      </c>
      <c r="B11244" s="28" t="s">
        <v>19918</v>
      </c>
      <c r="C11244" s="27" t="s">
        <v>20378</v>
      </c>
      <c r="D11244" s="27" t="s">
        <v>230</v>
      </c>
      <c r="E11244" s="29">
        <v>40113</v>
      </c>
      <c r="F11244" s="27">
        <v>8</v>
      </c>
      <c r="G11244" s="18">
        <v>2000</v>
      </c>
      <c r="H11244" s="27">
        <f t="shared" si="350"/>
        <v>2000</v>
      </c>
      <c r="I11244" s="18">
        <v>1900</v>
      </c>
      <c r="J11244" s="27">
        <v>2000</v>
      </c>
      <c r="K11244" s="18">
        <f t="shared" si="351"/>
        <v>2000</v>
      </c>
      <c r="L11244" s="27">
        <v>1900</v>
      </c>
      <c r="M11244" s="36">
        <v>0</v>
      </c>
      <c r="T11244" s="41">
        <v>0</v>
      </c>
      <c r="U11244" s="41">
        <v>0</v>
      </c>
      <c r="V11244" s="42" t="s">
        <v>113</v>
      </c>
      <c r="W11244" s="42">
        <v>2000</v>
      </c>
      <c r="X11244" s="42">
        <v>2000</v>
      </c>
    </row>
    <row r="11245" spans="1:24">
      <c r="A11245" s="27" t="s">
        <v>20379</v>
      </c>
      <c r="B11245" s="28" t="s">
        <v>19918</v>
      </c>
      <c r="C11245" s="27" t="s">
        <v>20380</v>
      </c>
      <c r="D11245" s="27" t="s">
        <v>230</v>
      </c>
      <c r="E11245" s="29">
        <v>40113</v>
      </c>
      <c r="F11245" s="27">
        <v>8</v>
      </c>
      <c r="G11245" s="18">
        <v>2000</v>
      </c>
      <c r="H11245" s="27">
        <f t="shared" si="350"/>
        <v>2000</v>
      </c>
      <c r="I11245" s="18">
        <v>1900</v>
      </c>
      <c r="J11245" s="27">
        <v>2000</v>
      </c>
      <c r="K11245" s="18">
        <f t="shared" si="351"/>
        <v>2000</v>
      </c>
      <c r="L11245" s="27">
        <v>1900</v>
      </c>
      <c r="M11245" s="36">
        <v>0</v>
      </c>
      <c r="T11245" s="41">
        <v>0</v>
      </c>
      <c r="U11245" s="41">
        <v>0</v>
      </c>
      <c r="V11245" s="42" t="s">
        <v>113</v>
      </c>
      <c r="W11245" s="42">
        <v>2000</v>
      </c>
      <c r="X11245" s="42">
        <v>2000</v>
      </c>
    </row>
    <row r="11246" spans="1:24">
      <c r="A11246" s="27" t="s">
        <v>20381</v>
      </c>
      <c r="B11246" s="28" t="s">
        <v>19918</v>
      </c>
      <c r="C11246" s="27" t="s">
        <v>19931</v>
      </c>
      <c r="D11246" s="27" t="s">
        <v>230</v>
      </c>
      <c r="E11246" s="29">
        <v>40113</v>
      </c>
      <c r="F11246" s="27">
        <v>8</v>
      </c>
      <c r="G11246" s="18">
        <v>2000</v>
      </c>
      <c r="H11246" s="27">
        <f t="shared" si="350"/>
        <v>2000</v>
      </c>
      <c r="I11246" s="18">
        <v>1900</v>
      </c>
      <c r="J11246" s="27">
        <v>2000</v>
      </c>
      <c r="K11246" s="18">
        <f t="shared" si="351"/>
        <v>2000</v>
      </c>
      <c r="L11246" s="27">
        <v>1900</v>
      </c>
      <c r="M11246" s="36">
        <v>0</v>
      </c>
      <c r="T11246" s="41">
        <v>0</v>
      </c>
      <c r="U11246" s="41">
        <v>0</v>
      </c>
      <c r="V11246" s="42" t="s">
        <v>113</v>
      </c>
      <c r="W11246" s="42">
        <v>2000</v>
      </c>
      <c r="X11246" s="42">
        <v>2000</v>
      </c>
    </row>
    <row r="11247" spans="1:24">
      <c r="A11247" s="27" t="s">
        <v>20382</v>
      </c>
      <c r="B11247" s="28" t="s">
        <v>19918</v>
      </c>
      <c r="C11247" s="27" t="s">
        <v>20383</v>
      </c>
      <c r="D11247" s="27" t="s">
        <v>230</v>
      </c>
      <c r="E11247" s="29">
        <v>40113</v>
      </c>
      <c r="F11247" s="27">
        <v>8</v>
      </c>
      <c r="G11247" s="18">
        <v>2000</v>
      </c>
      <c r="H11247" s="27">
        <f t="shared" si="350"/>
        <v>2000</v>
      </c>
      <c r="I11247" s="18">
        <v>1900</v>
      </c>
      <c r="J11247" s="27">
        <v>2000</v>
      </c>
      <c r="K11247" s="18">
        <f t="shared" si="351"/>
        <v>2000</v>
      </c>
      <c r="L11247" s="27">
        <v>1900</v>
      </c>
      <c r="M11247" s="36">
        <v>0</v>
      </c>
      <c r="T11247" s="41">
        <v>0</v>
      </c>
      <c r="U11247" s="41">
        <v>0</v>
      </c>
      <c r="V11247" s="42" t="s">
        <v>113</v>
      </c>
      <c r="W11247" s="42">
        <v>2000</v>
      </c>
      <c r="X11247" s="42">
        <v>2000</v>
      </c>
    </row>
    <row r="11248" spans="1:24">
      <c r="A11248" s="27" t="s">
        <v>20384</v>
      </c>
      <c r="B11248" s="28" t="s">
        <v>19918</v>
      </c>
      <c r="C11248" s="27" t="s">
        <v>20385</v>
      </c>
      <c r="D11248" s="27" t="s">
        <v>230</v>
      </c>
      <c r="E11248" s="29">
        <v>40113</v>
      </c>
      <c r="F11248" s="27">
        <v>8</v>
      </c>
      <c r="G11248" s="18">
        <v>2000</v>
      </c>
      <c r="H11248" s="27">
        <f t="shared" si="350"/>
        <v>2000</v>
      </c>
      <c r="I11248" s="18">
        <v>1900</v>
      </c>
      <c r="J11248" s="27">
        <v>2000</v>
      </c>
      <c r="K11248" s="18">
        <f t="shared" si="351"/>
        <v>2000</v>
      </c>
      <c r="L11248" s="27">
        <v>1900</v>
      </c>
      <c r="M11248" s="36">
        <v>0</v>
      </c>
      <c r="T11248" s="41">
        <v>0</v>
      </c>
      <c r="U11248" s="41">
        <v>0</v>
      </c>
      <c r="V11248" s="42" t="s">
        <v>113</v>
      </c>
      <c r="W11248" s="42">
        <v>2000</v>
      </c>
      <c r="X11248" s="42">
        <v>2000</v>
      </c>
    </row>
    <row r="11249" spans="1:24">
      <c r="A11249" s="27" t="s">
        <v>20386</v>
      </c>
      <c r="B11249" s="28" t="s">
        <v>19918</v>
      </c>
      <c r="C11249" s="27" t="s">
        <v>20387</v>
      </c>
      <c r="D11249" s="27" t="s">
        <v>230</v>
      </c>
      <c r="E11249" s="29">
        <v>40113</v>
      </c>
      <c r="F11249" s="27">
        <v>8</v>
      </c>
      <c r="G11249" s="18">
        <v>2000</v>
      </c>
      <c r="H11249" s="27">
        <f t="shared" si="350"/>
        <v>2000</v>
      </c>
      <c r="I11249" s="18">
        <v>1900</v>
      </c>
      <c r="J11249" s="27">
        <v>2000</v>
      </c>
      <c r="K11249" s="18">
        <f t="shared" si="351"/>
        <v>2000</v>
      </c>
      <c r="L11249" s="27">
        <v>1900</v>
      </c>
      <c r="M11249" s="36">
        <v>0</v>
      </c>
      <c r="T11249" s="41">
        <v>0</v>
      </c>
      <c r="U11249" s="41">
        <v>0</v>
      </c>
      <c r="V11249" s="42" t="s">
        <v>113</v>
      </c>
      <c r="W11249" s="42">
        <v>2000</v>
      </c>
      <c r="X11249" s="42">
        <v>2000</v>
      </c>
    </row>
    <row r="11250" spans="1:24">
      <c r="A11250" s="27" t="s">
        <v>20388</v>
      </c>
      <c r="B11250" s="28" t="s">
        <v>19918</v>
      </c>
      <c r="C11250" s="27" t="s">
        <v>20389</v>
      </c>
      <c r="D11250" s="27" t="s">
        <v>230</v>
      </c>
      <c r="E11250" s="29">
        <v>40113</v>
      </c>
      <c r="F11250" s="27">
        <v>8</v>
      </c>
      <c r="G11250" s="18">
        <v>2000</v>
      </c>
      <c r="H11250" s="27">
        <f t="shared" si="350"/>
        <v>2000</v>
      </c>
      <c r="I11250" s="18">
        <v>1900</v>
      </c>
      <c r="J11250" s="27">
        <v>2000</v>
      </c>
      <c r="K11250" s="18">
        <f t="shared" si="351"/>
        <v>2000</v>
      </c>
      <c r="L11250" s="27">
        <v>1900</v>
      </c>
      <c r="M11250" s="36">
        <v>0</v>
      </c>
      <c r="T11250" s="41">
        <v>0</v>
      </c>
      <c r="U11250" s="41">
        <v>0</v>
      </c>
      <c r="V11250" s="42" t="s">
        <v>113</v>
      </c>
      <c r="W11250" s="42">
        <v>2000</v>
      </c>
      <c r="X11250" s="42">
        <v>2000</v>
      </c>
    </row>
    <row r="11251" spans="1:24">
      <c r="A11251" s="27" t="s">
        <v>20390</v>
      </c>
      <c r="B11251" s="28" t="s">
        <v>19918</v>
      </c>
      <c r="C11251" s="27" t="s">
        <v>20391</v>
      </c>
      <c r="D11251" s="27" t="s">
        <v>230</v>
      </c>
      <c r="E11251" s="29">
        <v>40113</v>
      </c>
      <c r="F11251" s="27">
        <v>8</v>
      </c>
      <c r="G11251" s="18">
        <v>2000</v>
      </c>
      <c r="H11251" s="27">
        <f t="shared" si="350"/>
        <v>2000</v>
      </c>
      <c r="I11251" s="18">
        <v>1900</v>
      </c>
      <c r="J11251" s="27">
        <v>2000</v>
      </c>
      <c r="K11251" s="18">
        <f t="shared" si="351"/>
        <v>2000</v>
      </c>
      <c r="L11251" s="27">
        <v>1900</v>
      </c>
      <c r="M11251" s="36">
        <v>0</v>
      </c>
      <c r="T11251" s="41">
        <v>0</v>
      </c>
      <c r="U11251" s="41">
        <v>0</v>
      </c>
      <c r="V11251" s="42" t="s">
        <v>113</v>
      </c>
      <c r="W11251" s="42">
        <v>2000</v>
      </c>
      <c r="X11251" s="42">
        <v>2000</v>
      </c>
    </row>
    <row r="11252" spans="1:24">
      <c r="A11252" s="27" t="s">
        <v>20392</v>
      </c>
      <c r="B11252" s="28" t="s">
        <v>19918</v>
      </c>
      <c r="C11252" s="27" t="s">
        <v>20393</v>
      </c>
      <c r="D11252" s="27" t="s">
        <v>230</v>
      </c>
      <c r="E11252" s="29">
        <v>40113</v>
      </c>
      <c r="F11252" s="27">
        <v>8</v>
      </c>
      <c r="G11252" s="18">
        <v>2000</v>
      </c>
      <c r="H11252" s="27">
        <f t="shared" si="350"/>
        <v>2000</v>
      </c>
      <c r="I11252" s="18">
        <v>1900</v>
      </c>
      <c r="J11252" s="27">
        <v>2000</v>
      </c>
      <c r="K11252" s="18">
        <f t="shared" si="351"/>
        <v>2000</v>
      </c>
      <c r="L11252" s="27">
        <v>1900</v>
      </c>
      <c r="M11252" s="36">
        <v>0</v>
      </c>
      <c r="T11252" s="41">
        <v>0</v>
      </c>
      <c r="U11252" s="41">
        <v>0</v>
      </c>
      <c r="V11252" s="42" t="s">
        <v>113</v>
      </c>
      <c r="W11252" s="42">
        <v>2000</v>
      </c>
      <c r="X11252" s="42">
        <v>2000</v>
      </c>
    </row>
    <row r="11253" spans="1:24">
      <c r="A11253" s="27" t="s">
        <v>20394</v>
      </c>
      <c r="B11253" s="28" t="s">
        <v>19918</v>
      </c>
      <c r="C11253" s="27" t="s">
        <v>20395</v>
      </c>
      <c r="D11253" s="27" t="s">
        <v>230</v>
      </c>
      <c r="E11253" s="29">
        <v>40113</v>
      </c>
      <c r="F11253" s="27">
        <v>8</v>
      </c>
      <c r="G11253" s="18">
        <v>2000</v>
      </c>
      <c r="H11253" s="27">
        <f t="shared" si="350"/>
        <v>2000</v>
      </c>
      <c r="I11253" s="18">
        <v>1900</v>
      </c>
      <c r="J11253" s="27">
        <v>2000</v>
      </c>
      <c r="K11253" s="18">
        <f t="shared" si="351"/>
        <v>2000</v>
      </c>
      <c r="L11253" s="27">
        <v>1900</v>
      </c>
      <c r="M11253" s="36">
        <v>0</v>
      </c>
      <c r="T11253" s="41">
        <v>0</v>
      </c>
      <c r="U11253" s="41">
        <v>0</v>
      </c>
      <c r="V11253" s="42" t="s">
        <v>113</v>
      </c>
      <c r="W11253" s="42">
        <v>2000</v>
      </c>
      <c r="X11253" s="42">
        <v>2000</v>
      </c>
    </row>
    <row r="11254" spans="1:24">
      <c r="A11254" s="27" t="s">
        <v>20396</v>
      </c>
      <c r="B11254" s="28" t="s">
        <v>19918</v>
      </c>
      <c r="C11254" s="27" t="s">
        <v>20397</v>
      </c>
      <c r="D11254" s="27" t="s">
        <v>230</v>
      </c>
      <c r="E11254" s="29">
        <v>40113</v>
      </c>
      <c r="F11254" s="27">
        <v>8</v>
      </c>
      <c r="G11254" s="18">
        <v>2000</v>
      </c>
      <c r="H11254" s="27">
        <f t="shared" si="350"/>
        <v>2000</v>
      </c>
      <c r="I11254" s="18">
        <v>1900</v>
      </c>
      <c r="J11254" s="27">
        <v>2000</v>
      </c>
      <c r="K11254" s="18">
        <f t="shared" si="351"/>
        <v>2000</v>
      </c>
      <c r="L11254" s="27">
        <v>1900</v>
      </c>
      <c r="M11254" s="36">
        <v>0</v>
      </c>
      <c r="T11254" s="41">
        <v>0</v>
      </c>
      <c r="U11254" s="41">
        <v>0</v>
      </c>
      <c r="V11254" s="42" t="s">
        <v>113</v>
      </c>
      <c r="W11254" s="42">
        <v>2000</v>
      </c>
      <c r="X11254" s="42">
        <v>2000</v>
      </c>
    </row>
    <row r="11255" spans="1:24">
      <c r="A11255" s="27" t="s">
        <v>20398</v>
      </c>
      <c r="B11255" s="28" t="s">
        <v>19918</v>
      </c>
      <c r="C11255" s="27" t="s">
        <v>20399</v>
      </c>
      <c r="D11255" s="27" t="s">
        <v>230</v>
      </c>
      <c r="E11255" s="29">
        <v>40113</v>
      </c>
      <c r="F11255" s="27">
        <v>8</v>
      </c>
      <c r="G11255" s="18">
        <v>2000</v>
      </c>
      <c r="H11255" s="27">
        <f t="shared" si="350"/>
        <v>2000</v>
      </c>
      <c r="I11255" s="18">
        <v>1900</v>
      </c>
      <c r="J11255" s="27">
        <v>2000</v>
      </c>
      <c r="K11255" s="18">
        <f t="shared" si="351"/>
        <v>2000</v>
      </c>
      <c r="L11255" s="27">
        <v>1900</v>
      </c>
      <c r="M11255" s="36">
        <v>0</v>
      </c>
      <c r="T11255" s="41">
        <v>0</v>
      </c>
      <c r="U11255" s="41">
        <v>0</v>
      </c>
      <c r="V11255" s="42" t="s">
        <v>113</v>
      </c>
      <c r="W11255" s="42">
        <v>2000</v>
      </c>
      <c r="X11255" s="42">
        <v>2000</v>
      </c>
    </row>
    <row r="11256" spans="1:24">
      <c r="A11256" s="27" t="s">
        <v>20400</v>
      </c>
      <c r="B11256" s="28" t="s">
        <v>19918</v>
      </c>
      <c r="C11256" s="27" t="s">
        <v>20401</v>
      </c>
      <c r="D11256" s="27" t="s">
        <v>230</v>
      </c>
      <c r="E11256" s="29">
        <v>40113</v>
      </c>
      <c r="F11256" s="27">
        <v>8</v>
      </c>
      <c r="G11256" s="18">
        <v>2000</v>
      </c>
      <c r="H11256" s="27">
        <f t="shared" si="350"/>
        <v>2000</v>
      </c>
      <c r="I11256" s="18">
        <v>1900</v>
      </c>
      <c r="J11256" s="27">
        <v>2000</v>
      </c>
      <c r="K11256" s="18">
        <f t="shared" si="351"/>
        <v>2000</v>
      </c>
      <c r="L11256" s="27">
        <v>1900</v>
      </c>
      <c r="M11256" s="36">
        <v>0</v>
      </c>
      <c r="T11256" s="41">
        <v>0</v>
      </c>
      <c r="U11256" s="41">
        <v>0</v>
      </c>
      <c r="V11256" s="42" t="s">
        <v>113</v>
      </c>
      <c r="W11256" s="42">
        <v>2000</v>
      </c>
      <c r="X11256" s="42">
        <v>2000</v>
      </c>
    </row>
    <row r="11257" spans="1:24">
      <c r="A11257" s="27" t="s">
        <v>20402</v>
      </c>
      <c r="B11257" s="28" t="s">
        <v>19918</v>
      </c>
      <c r="C11257" s="27" t="s">
        <v>20403</v>
      </c>
      <c r="D11257" s="27" t="s">
        <v>230</v>
      </c>
      <c r="E11257" s="29">
        <v>40113</v>
      </c>
      <c r="F11257" s="27">
        <v>8</v>
      </c>
      <c r="G11257" s="18">
        <v>2000</v>
      </c>
      <c r="H11257" s="27">
        <f t="shared" si="350"/>
        <v>2000</v>
      </c>
      <c r="I11257" s="18">
        <v>1900</v>
      </c>
      <c r="J11257" s="27">
        <v>2000</v>
      </c>
      <c r="K11257" s="18">
        <f t="shared" si="351"/>
        <v>2000</v>
      </c>
      <c r="L11257" s="27">
        <v>1900</v>
      </c>
      <c r="M11257" s="36">
        <v>0</v>
      </c>
      <c r="T11257" s="41">
        <v>0</v>
      </c>
      <c r="U11257" s="41">
        <v>0</v>
      </c>
      <c r="V11257" s="42" t="s">
        <v>113</v>
      </c>
      <c r="W11257" s="42">
        <v>2000</v>
      </c>
      <c r="X11257" s="42">
        <v>2000</v>
      </c>
    </row>
    <row r="11258" spans="1:24">
      <c r="A11258" s="27" t="s">
        <v>20404</v>
      </c>
      <c r="B11258" s="28" t="s">
        <v>19918</v>
      </c>
      <c r="C11258" s="27" t="s">
        <v>20405</v>
      </c>
      <c r="D11258" s="27" t="s">
        <v>112</v>
      </c>
      <c r="E11258" s="29">
        <v>40113</v>
      </c>
      <c r="F11258" s="27">
        <v>8</v>
      </c>
      <c r="G11258" s="18">
        <v>3250</v>
      </c>
      <c r="H11258" s="27">
        <f t="shared" si="350"/>
        <v>3250</v>
      </c>
      <c r="I11258" s="18">
        <v>3087.51</v>
      </c>
      <c r="J11258" s="27">
        <v>3250</v>
      </c>
      <c r="K11258" s="18">
        <f t="shared" si="351"/>
        <v>3250</v>
      </c>
      <c r="L11258" s="27">
        <v>3087.51</v>
      </c>
      <c r="M11258" s="36">
        <v>0</v>
      </c>
      <c r="T11258" s="41">
        <v>0</v>
      </c>
      <c r="U11258" s="41">
        <v>0</v>
      </c>
      <c r="V11258" s="42" t="s">
        <v>113</v>
      </c>
      <c r="W11258" s="42">
        <v>3250</v>
      </c>
      <c r="X11258" s="42">
        <v>3250</v>
      </c>
    </row>
    <row r="11259" spans="1:24">
      <c r="A11259" s="27" t="s">
        <v>20406</v>
      </c>
      <c r="B11259" s="28" t="s">
        <v>19918</v>
      </c>
      <c r="C11259" s="27" t="s">
        <v>20407</v>
      </c>
      <c r="D11259" s="27" t="s">
        <v>230</v>
      </c>
      <c r="E11259" s="29">
        <v>40268</v>
      </c>
      <c r="F11259" s="27">
        <v>8</v>
      </c>
      <c r="G11259" s="18">
        <v>2000</v>
      </c>
      <c r="H11259" s="27">
        <f t="shared" si="350"/>
        <v>2000</v>
      </c>
      <c r="I11259" s="18">
        <v>1900</v>
      </c>
      <c r="J11259" s="27">
        <v>2000</v>
      </c>
      <c r="K11259" s="18">
        <f t="shared" si="351"/>
        <v>2000</v>
      </c>
      <c r="L11259" s="27">
        <v>1900</v>
      </c>
      <c r="M11259" s="36">
        <v>0</v>
      </c>
      <c r="T11259" s="41">
        <v>0</v>
      </c>
      <c r="U11259" s="41">
        <v>0</v>
      </c>
      <c r="V11259" s="42" t="s">
        <v>113</v>
      </c>
      <c r="W11259" s="42">
        <v>2000</v>
      </c>
      <c r="X11259" s="42">
        <v>2000</v>
      </c>
    </row>
    <row r="11260" spans="1:24">
      <c r="A11260" s="27" t="s">
        <v>20408</v>
      </c>
      <c r="B11260" s="28" t="s">
        <v>19918</v>
      </c>
      <c r="C11260" s="27" t="s">
        <v>20409</v>
      </c>
      <c r="D11260" s="27" t="s">
        <v>230</v>
      </c>
      <c r="E11260" s="29">
        <v>40268</v>
      </c>
      <c r="F11260" s="27">
        <v>8</v>
      </c>
      <c r="G11260" s="18">
        <v>2000</v>
      </c>
      <c r="H11260" s="27">
        <f t="shared" si="350"/>
        <v>2000</v>
      </c>
      <c r="I11260" s="18">
        <v>1900</v>
      </c>
      <c r="J11260" s="27">
        <v>2000</v>
      </c>
      <c r="K11260" s="18">
        <f t="shared" si="351"/>
        <v>2000</v>
      </c>
      <c r="L11260" s="27">
        <v>1900</v>
      </c>
      <c r="M11260" s="36">
        <v>0</v>
      </c>
      <c r="T11260" s="41">
        <v>0</v>
      </c>
      <c r="U11260" s="41">
        <v>0</v>
      </c>
      <c r="V11260" s="42" t="s">
        <v>113</v>
      </c>
      <c r="W11260" s="42">
        <v>2000</v>
      </c>
      <c r="X11260" s="42">
        <v>2000</v>
      </c>
    </row>
    <row r="11261" spans="1:24">
      <c r="A11261" s="27" t="s">
        <v>20410</v>
      </c>
      <c r="B11261" s="28" t="s">
        <v>19918</v>
      </c>
      <c r="C11261" s="27" t="s">
        <v>20411</v>
      </c>
      <c r="D11261" s="27" t="s">
        <v>230</v>
      </c>
      <c r="E11261" s="29">
        <v>40268</v>
      </c>
      <c r="F11261" s="27">
        <v>8</v>
      </c>
      <c r="G11261" s="18">
        <v>2000</v>
      </c>
      <c r="H11261" s="27">
        <f t="shared" si="350"/>
        <v>2000</v>
      </c>
      <c r="I11261" s="18">
        <v>1900</v>
      </c>
      <c r="J11261" s="27">
        <v>2000</v>
      </c>
      <c r="K11261" s="18">
        <f t="shared" si="351"/>
        <v>2000</v>
      </c>
      <c r="L11261" s="27">
        <v>1900</v>
      </c>
      <c r="M11261" s="36">
        <v>0</v>
      </c>
      <c r="T11261" s="41">
        <v>0</v>
      </c>
      <c r="U11261" s="41">
        <v>0</v>
      </c>
      <c r="V11261" s="42" t="s">
        <v>113</v>
      </c>
      <c r="W11261" s="42">
        <v>2000</v>
      </c>
      <c r="X11261" s="42">
        <v>2000</v>
      </c>
    </row>
    <row r="11262" spans="1:24">
      <c r="A11262" s="27" t="s">
        <v>20412</v>
      </c>
      <c r="B11262" s="28" t="s">
        <v>19918</v>
      </c>
      <c r="C11262" s="27" t="s">
        <v>20413</v>
      </c>
      <c r="D11262" s="27" t="s">
        <v>230</v>
      </c>
      <c r="E11262" s="29">
        <v>40268</v>
      </c>
      <c r="F11262" s="27">
        <v>8</v>
      </c>
      <c r="G11262" s="18">
        <v>2000</v>
      </c>
      <c r="H11262" s="27">
        <f t="shared" si="350"/>
        <v>2000</v>
      </c>
      <c r="I11262" s="18">
        <v>1900</v>
      </c>
      <c r="J11262" s="27">
        <v>2000</v>
      </c>
      <c r="K11262" s="18">
        <f t="shared" si="351"/>
        <v>2000</v>
      </c>
      <c r="L11262" s="27">
        <v>1900</v>
      </c>
      <c r="M11262" s="36">
        <v>0</v>
      </c>
      <c r="T11262" s="41">
        <v>0</v>
      </c>
      <c r="U11262" s="41">
        <v>0</v>
      </c>
      <c r="V11262" s="42" t="s">
        <v>113</v>
      </c>
      <c r="W11262" s="42">
        <v>2000</v>
      </c>
      <c r="X11262" s="42">
        <v>2000</v>
      </c>
    </row>
    <row r="11263" spans="1:24">
      <c r="A11263" s="27" t="s">
        <v>20414</v>
      </c>
      <c r="B11263" s="28" t="s">
        <v>19918</v>
      </c>
      <c r="C11263" s="27" t="s">
        <v>20415</v>
      </c>
      <c r="D11263" s="27" t="s">
        <v>17578</v>
      </c>
      <c r="E11263" s="29">
        <v>40268</v>
      </c>
      <c r="F11263" s="27">
        <v>8</v>
      </c>
      <c r="G11263" s="18">
        <v>2000</v>
      </c>
      <c r="H11263" s="27">
        <f t="shared" si="350"/>
        <v>2000</v>
      </c>
      <c r="I11263" s="18">
        <v>1900</v>
      </c>
      <c r="J11263" s="27">
        <v>2000</v>
      </c>
      <c r="K11263" s="18">
        <f t="shared" si="351"/>
        <v>2000</v>
      </c>
      <c r="L11263" s="27">
        <v>1900</v>
      </c>
      <c r="M11263" s="36">
        <v>0</v>
      </c>
      <c r="T11263" s="41">
        <v>0</v>
      </c>
      <c r="U11263" s="41">
        <v>0</v>
      </c>
      <c r="V11263" s="42" t="s">
        <v>113</v>
      </c>
      <c r="W11263" s="42">
        <v>2000</v>
      </c>
      <c r="X11263" s="42">
        <v>2000</v>
      </c>
    </row>
    <row r="11264" spans="1:24">
      <c r="A11264" s="27" t="s">
        <v>20416</v>
      </c>
      <c r="B11264" s="28" t="s">
        <v>19918</v>
      </c>
      <c r="C11264" s="27" t="s">
        <v>20417</v>
      </c>
      <c r="D11264" s="27" t="s">
        <v>230</v>
      </c>
      <c r="E11264" s="29">
        <v>40268</v>
      </c>
      <c r="F11264" s="27">
        <v>8</v>
      </c>
      <c r="G11264" s="18">
        <v>2000</v>
      </c>
      <c r="H11264" s="27">
        <f t="shared" si="350"/>
        <v>2000</v>
      </c>
      <c r="I11264" s="18">
        <v>1900</v>
      </c>
      <c r="J11264" s="27">
        <v>2000</v>
      </c>
      <c r="K11264" s="18">
        <f t="shared" si="351"/>
        <v>2000</v>
      </c>
      <c r="L11264" s="27">
        <v>1900</v>
      </c>
      <c r="M11264" s="36">
        <v>0</v>
      </c>
      <c r="T11264" s="41">
        <v>0</v>
      </c>
      <c r="U11264" s="41">
        <v>0</v>
      </c>
      <c r="V11264" s="42" t="s">
        <v>113</v>
      </c>
      <c r="W11264" s="42">
        <v>2000</v>
      </c>
      <c r="X11264" s="42">
        <v>2000</v>
      </c>
    </row>
    <row r="11265" spans="1:24">
      <c r="A11265" s="27" t="s">
        <v>20418</v>
      </c>
      <c r="B11265" s="28" t="s">
        <v>19918</v>
      </c>
      <c r="C11265" s="27" t="s">
        <v>19931</v>
      </c>
      <c r="D11265" s="27" t="s">
        <v>230</v>
      </c>
      <c r="E11265" s="29">
        <v>40268</v>
      </c>
      <c r="F11265" s="27">
        <v>8</v>
      </c>
      <c r="G11265" s="18">
        <v>2000</v>
      </c>
      <c r="H11265" s="27">
        <f t="shared" si="350"/>
        <v>2000</v>
      </c>
      <c r="I11265" s="18">
        <v>1900</v>
      </c>
      <c r="J11265" s="27">
        <v>2000</v>
      </c>
      <c r="K11265" s="18">
        <f t="shared" si="351"/>
        <v>2000</v>
      </c>
      <c r="L11265" s="27">
        <v>1900</v>
      </c>
      <c r="M11265" s="36">
        <v>0</v>
      </c>
      <c r="T11265" s="41">
        <v>0</v>
      </c>
      <c r="U11265" s="41">
        <v>0</v>
      </c>
      <c r="V11265" s="42" t="s">
        <v>113</v>
      </c>
      <c r="W11265" s="42">
        <v>2000</v>
      </c>
      <c r="X11265" s="42">
        <v>2000</v>
      </c>
    </row>
    <row r="11266" spans="1:24">
      <c r="A11266" s="27" t="s">
        <v>20419</v>
      </c>
      <c r="B11266" s="28" t="s">
        <v>19918</v>
      </c>
      <c r="C11266" s="27" t="s">
        <v>20420</v>
      </c>
      <c r="D11266" s="27" t="s">
        <v>230</v>
      </c>
      <c r="E11266" s="29">
        <v>40268</v>
      </c>
      <c r="F11266" s="27">
        <v>8</v>
      </c>
      <c r="G11266" s="18">
        <v>2000</v>
      </c>
      <c r="H11266" s="27">
        <f t="shared" si="350"/>
        <v>2000</v>
      </c>
      <c r="I11266" s="18">
        <v>1900</v>
      </c>
      <c r="J11266" s="27">
        <v>2000</v>
      </c>
      <c r="K11266" s="18">
        <f t="shared" si="351"/>
        <v>2000</v>
      </c>
      <c r="L11266" s="27">
        <v>1900</v>
      </c>
      <c r="M11266" s="36">
        <v>0</v>
      </c>
      <c r="T11266" s="41">
        <v>0</v>
      </c>
      <c r="U11266" s="41">
        <v>0</v>
      </c>
      <c r="V11266" s="42" t="s">
        <v>113</v>
      </c>
      <c r="W11266" s="42">
        <v>2000</v>
      </c>
      <c r="X11266" s="42">
        <v>2000</v>
      </c>
    </row>
    <row r="11267" spans="1:24">
      <c r="A11267" s="27" t="s">
        <v>20421</v>
      </c>
      <c r="B11267" s="28" t="s">
        <v>19918</v>
      </c>
      <c r="C11267" s="27" t="s">
        <v>20422</v>
      </c>
      <c r="D11267" s="27" t="s">
        <v>230</v>
      </c>
      <c r="E11267" s="29">
        <v>40268</v>
      </c>
      <c r="F11267" s="27">
        <v>8</v>
      </c>
      <c r="G11267" s="18">
        <v>2000</v>
      </c>
      <c r="H11267" s="27">
        <f t="shared" si="350"/>
        <v>2000</v>
      </c>
      <c r="I11267" s="18">
        <v>1900</v>
      </c>
      <c r="J11267" s="27">
        <v>2000</v>
      </c>
      <c r="K11267" s="18">
        <f t="shared" si="351"/>
        <v>2000</v>
      </c>
      <c r="L11267" s="27">
        <v>1900</v>
      </c>
      <c r="M11267" s="36">
        <v>0</v>
      </c>
      <c r="T11267" s="41">
        <v>0</v>
      </c>
      <c r="U11267" s="41">
        <v>0</v>
      </c>
      <c r="V11267" s="42" t="s">
        <v>113</v>
      </c>
      <c r="W11267" s="42">
        <v>2000</v>
      </c>
      <c r="X11267" s="42">
        <v>2000</v>
      </c>
    </row>
    <row r="11268" spans="1:24">
      <c r="A11268" s="27" t="s">
        <v>20423</v>
      </c>
      <c r="B11268" s="28" t="s">
        <v>19918</v>
      </c>
      <c r="C11268" s="27" t="s">
        <v>20424</v>
      </c>
      <c r="D11268" s="27" t="s">
        <v>230</v>
      </c>
      <c r="E11268" s="29">
        <v>40268</v>
      </c>
      <c r="F11268" s="27">
        <v>8</v>
      </c>
      <c r="G11268" s="18">
        <v>2000</v>
      </c>
      <c r="H11268" s="27">
        <f t="shared" si="350"/>
        <v>2000</v>
      </c>
      <c r="I11268" s="18">
        <v>1900</v>
      </c>
      <c r="J11268" s="27">
        <v>2000</v>
      </c>
      <c r="K11268" s="18">
        <f t="shared" si="351"/>
        <v>2000</v>
      </c>
      <c r="L11268" s="27">
        <v>1900</v>
      </c>
      <c r="M11268" s="36">
        <v>0</v>
      </c>
      <c r="T11268" s="41">
        <v>0</v>
      </c>
      <c r="U11268" s="41">
        <v>0</v>
      </c>
      <c r="V11268" s="42" t="s">
        <v>113</v>
      </c>
      <c r="W11268" s="42">
        <v>2000</v>
      </c>
      <c r="X11268" s="42">
        <v>2000</v>
      </c>
    </row>
    <row r="11269" spans="1:24">
      <c r="A11269" s="27" t="s">
        <v>20425</v>
      </c>
      <c r="B11269" s="28" t="s">
        <v>19918</v>
      </c>
      <c r="C11269" s="27" t="s">
        <v>20426</v>
      </c>
      <c r="D11269" s="27" t="s">
        <v>230</v>
      </c>
      <c r="E11269" s="29">
        <v>40268</v>
      </c>
      <c r="F11269" s="27">
        <v>8</v>
      </c>
      <c r="G11269" s="18">
        <v>2000</v>
      </c>
      <c r="H11269" s="27">
        <f t="shared" si="350"/>
        <v>2000</v>
      </c>
      <c r="I11269" s="18">
        <v>1900</v>
      </c>
      <c r="J11269" s="27">
        <v>2000</v>
      </c>
      <c r="K11269" s="18">
        <f t="shared" si="351"/>
        <v>2000</v>
      </c>
      <c r="L11269" s="27">
        <v>1900</v>
      </c>
      <c r="M11269" s="36">
        <v>0</v>
      </c>
      <c r="T11269" s="41">
        <v>0</v>
      </c>
      <c r="U11269" s="41">
        <v>0</v>
      </c>
      <c r="V11269" s="42" t="s">
        <v>113</v>
      </c>
      <c r="W11269" s="42">
        <v>2000</v>
      </c>
      <c r="X11269" s="42">
        <v>2000</v>
      </c>
    </row>
    <row r="11270" spans="1:24">
      <c r="A11270" s="27" t="s">
        <v>20427</v>
      </c>
      <c r="B11270" s="28" t="s">
        <v>19918</v>
      </c>
      <c r="C11270" s="27" t="s">
        <v>20428</v>
      </c>
      <c r="D11270" s="27" t="s">
        <v>230</v>
      </c>
      <c r="E11270" s="29">
        <v>40268</v>
      </c>
      <c r="F11270" s="27">
        <v>8</v>
      </c>
      <c r="G11270" s="18">
        <v>2000</v>
      </c>
      <c r="H11270" s="27">
        <f t="shared" ref="H11270:H11333" si="352">IFERROR(IF(ROUND((G11270-I11270)/G11270,2)&lt;=0.05,G11270,0),0)</f>
        <v>2000</v>
      </c>
      <c r="I11270" s="18">
        <v>1900</v>
      </c>
      <c r="J11270" s="27">
        <v>2000</v>
      </c>
      <c r="K11270" s="18">
        <f t="shared" ref="K11270:K11333" si="353">IFERROR(IF(ROUND((J11270-L11270)/J11270,2)&lt;=0.05,J11270,0),0)</f>
        <v>2000</v>
      </c>
      <c r="L11270" s="27">
        <v>1900</v>
      </c>
      <c r="M11270" s="36">
        <v>0</v>
      </c>
      <c r="T11270" s="41">
        <v>0</v>
      </c>
      <c r="U11270" s="41">
        <v>0</v>
      </c>
      <c r="V11270" s="42" t="s">
        <v>113</v>
      </c>
      <c r="W11270" s="42">
        <v>2000</v>
      </c>
      <c r="X11270" s="42">
        <v>2000</v>
      </c>
    </row>
    <row r="11271" spans="1:24">
      <c r="A11271" s="27" t="s">
        <v>20429</v>
      </c>
      <c r="B11271" s="28" t="s">
        <v>19918</v>
      </c>
      <c r="C11271" s="27" t="s">
        <v>20430</v>
      </c>
      <c r="D11271" s="27" t="s">
        <v>112</v>
      </c>
      <c r="E11271" s="29">
        <v>40268</v>
      </c>
      <c r="F11271" s="27">
        <v>8</v>
      </c>
      <c r="G11271" s="18">
        <v>3200</v>
      </c>
      <c r="H11271" s="27">
        <f t="shared" si="352"/>
        <v>3200</v>
      </c>
      <c r="I11271" s="18">
        <v>3040</v>
      </c>
      <c r="J11271" s="27">
        <v>3200</v>
      </c>
      <c r="K11271" s="18">
        <f t="shared" si="353"/>
        <v>3200</v>
      </c>
      <c r="L11271" s="27">
        <v>3040</v>
      </c>
      <c r="M11271" s="36">
        <v>0</v>
      </c>
      <c r="T11271" s="41">
        <v>0</v>
      </c>
      <c r="U11271" s="41">
        <v>0</v>
      </c>
      <c r="V11271" s="42" t="s">
        <v>113</v>
      </c>
      <c r="W11271" s="42">
        <v>3200</v>
      </c>
      <c r="X11271" s="42">
        <v>3200</v>
      </c>
    </row>
    <row r="11272" spans="1:24">
      <c r="A11272" s="27" t="s">
        <v>20431</v>
      </c>
      <c r="B11272" s="28" t="s">
        <v>19918</v>
      </c>
      <c r="C11272" s="27" t="s">
        <v>20432</v>
      </c>
      <c r="D11272" s="27" t="s">
        <v>112</v>
      </c>
      <c r="E11272" s="29">
        <v>41271</v>
      </c>
      <c r="F11272" s="27">
        <v>8</v>
      </c>
      <c r="G11272" s="18">
        <v>20000</v>
      </c>
      <c r="H11272" s="27">
        <f t="shared" si="352"/>
        <v>0</v>
      </c>
      <c r="I11272" s="18">
        <v>13319.06</v>
      </c>
      <c r="J11272" s="27">
        <v>20000</v>
      </c>
      <c r="K11272" s="18">
        <f t="shared" si="353"/>
        <v>0</v>
      </c>
      <c r="L11272" s="27">
        <v>16159.53</v>
      </c>
      <c r="M11272" s="36">
        <v>2840.47</v>
      </c>
      <c r="T11272" s="41">
        <v>0</v>
      </c>
      <c r="U11272" s="41">
        <v>0</v>
      </c>
      <c r="V11272" s="42" t="s">
        <v>113</v>
      </c>
      <c r="W11272" s="42">
        <v>20000</v>
      </c>
      <c r="X11272" s="42">
        <v>20000</v>
      </c>
    </row>
    <row r="11273" spans="1:24">
      <c r="A11273" s="27" t="s">
        <v>20433</v>
      </c>
      <c r="B11273" s="28" t="s">
        <v>19918</v>
      </c>
      <c r="C11273" s="27" t="s">
        <v>20432</v>
      </c>
      <c r="D11273" s="27" t="s">
        <v>112</v>
      </c>
      <c r="E11273" s="29">
        <v>41271</v>
      </c>
      <c r="F11273" s="27">
        <v>8</v>
      </c>
      <c r="G11273" s="18">
        <v>20000</v>
      </c>
      <c r="H11273" s="27">
        <f t="shared" si="352"/>
        <v>0</v>
      </c>
      <c r="I11273" s="18">
        <v>13319.05</v>
      </c>
      <c r="J11273" s="27">
        <v>20000</v>
      </c>
      <c r="K11273" s="18">
        <f t="shared" si="353"/>
        <v>0</v>
      </c>
      <c r="L11273" s="27">
        <v>16159.53</v>
      </c>
      <c r="M11273" s="36">
        <v>2840.48</v>
      </c>
      <c r="T11273" s="41">
        <v>0</v>
      </c>
      <c r="U11273" s="41">
        <v>0</v>
      </c>
      <c r="V11273" s="42" t="s">
        <v>113</v>
      </c>
      <c r="W11273" s="42">
        <v>20000</v>
      </c>
      <c r="X11273" s="42">
        <v>20000</v>
      </c>
    </row>
    <row r="11274" spans="1:24">
      <c r="A11274" s="27" t="s">
        <v>20434</v>
      </c>
      <c r="B11274" s="28" t="s">
        <v>19918</v>
      </c>
      <c r="C11274" s="27" t="s">
        <v>20432</v>
      </c>
      <c r="D11274" s="27" t="s">
        <v>112</v>
      </c>
      <c r="E11274" s="29">
        <v>41271</v>
      </c>
      <c r="F11274" s="27">
        <v>8</v>
      </c>
      <c r="G11274" s="18">
        <v>20000</v>
      </c>
      <c r="H11274" s="27">
        <f t="shared" si="352"/>
        <v>0</v>
      </c>
      <c r="I11274" s="18">
        <v>13319.06</v>
      </c>
      <c r="J11274" s="27">
        <v>20000</v>
      </c>
      <c r="K11274" s="18">
        <f t="shared" si="353"/>
        <v>0</v>
      </c>
      <c r="L11274" s="27">
        <v>16159.53</v>
      </c>
      <c r="M11274" s="36">
        <v>2840.47</v>
      </c>
      <c r="T11274" s="41">
        <v>0</v>
      </c>
      <c r="U11274" s="41">
        <v>0</v>
      </c>
      <c r="V11274" s="42" t="s">
        <v>113</v>
      </c>
      <c r="W11274" s="42">
        <v>20000</v>
      </c>
      <c r="X11274" s="42">
        <v>20000</v>
      </c>
    </row>
    <row r="11275" spans="1:24">
      <c r="A11275" s="27" t="s">
        <v>20435</v>
      </c>
      <c r="B11275" s="28" t="s">
        <v>19918</v>
      </c>
      <c r="C11275" s="27" t="s">
        <v>20436</v>
      </c>
      <c r="D11275" s="27" t="s">
        <v>112</v>
      </c>
      <c r="E11275" s="29">
        <v>40268</v>
      </c>
      <c r="F11275" s="27">
        <v>8</v>
      </c>
      <c r="G11275" s="18">
        <v>3200</v>
      </c>
      <c r="H11275" s="27">
        <f t="shared" si="352"/>
        <v>3200</v>
      </c>
      <c r="I11275" s="18">
        <v>3040</v>
      </c>
      <c r="J11275" s="27">
        <v>3200</v>
      </c>
      <c r="K11275" s="18">
        <f t="shared" si="353"/>
        <v>3200</v>
      </c>
      <c r="L11275" s="27">
        <v>3040</v>
      </c>
      <c r="M11275" s="36">
        <v>0</v>
      </c>
      <c r="T11275" s="41">
        <v>0</v>
      </c>
      <c r="U11275" s="41">
        <v>0</v>
      </c>
      <c r="V11275" s="42" t="s">
        <v>113</v>
      </c>
      <c r="W11275" s="42">
        <v>3200</v>
      </c>
      <c r="X11275" s="42">
        <v>3200</v>
      </c>
    </row>
    <row r="11276" spans="1:24">
      <c r="A11276" s="27" t="s">
        <v>20437</v>
      </c>
      <c r="B11276" s="28" t="s">
        <v>19918</v>
      </c>
      <c r="C11276" s="27" t="s">
        <v>20438</v>
      </c>
      <c r="D11276" s="27" t="s">
        <v>112</v>
      </c>
      <c r="E11276" s="29">
        <v>40268</v>
      </c>
      <c r="F11276" s="27">
        <v>8</v>
      </c>
      <c r="G11276" s="18">
        <v>3200</v>
      </c>
      <c r="H11276" s="27">
        <f t="shared" si="352"/>
        <v>3200</v>
      </c>
      <c r="I11276" s="18">
        <v>3040</v>
      </c>
      <c r="J11276" s="27">
        <v>3200</v>
      </c>
      <c r="K11276" s="18">
        <f t="shared" si="353"/>
        <v>3200</v>
      </c>
      <c r="L11276" s="27">
        <v>3040</v>
      </c>
      <c r="M11276" s="36">
        <v>0</v>
      </c>
      <c r="T11276" s="41">
        <v>0</v>
      </c>
      <c r="U11276" s="41">
        <v>0</v>
      </c>
      <c r="V11276" s="42" t="s">
        <v>113</v>
      </c>
      <c r="W11276" s="42">
        <v>3200</v>
      </c>
      <c r="X11276" s="42">
        <v>3200</v>
      </c>
    </row>
    <row r="11277" spans="1:24">
      <c r="A11277" s="27" t="s">
        <v>20439</v>
      </c>
      <c r="B11277" s="28" t="s">
        <v>19918</v>
      </c>
      <c r="C11277" s="27" t="s">
        <v>20440</v>
      </c>
      <c r="D11277" s="27" t="s">
        <v>230</v>
      </c>
      <c r="E11277" s="29">
        <v>37226</v>
      </c>
      <c r="F11277" s="27">
        <v>8</v>
      </c>
      <c r="G11277" s="18">
        <v>2000</v>
      </c>
      <c r="H11277" s="27">
        <f t="shared" si="352"/>
        <v>2000</v>
      </c>
      <c r="I11277" s="18">
        <v>1900</v>
      </c>
      <c r="J11277" s="27">
        <v>2000</v>
      </c>
      <c r="K11277" s="18">
        <f t="shared" si="353"/>
        <v>2000</v>
      </c>
      <c r="L11277" s="27">
        <v>1900</v>
      </c>
      <c r="M11277" s="36">
        <v>0</v>
      </c>
      <c r="T11277" s="41">
        <v>0</v>
      </c>
      <c r="U11277" s="41">
        <v>0</v>
      </c>
      <c r="V11277" s="42" t="s">
        <v>113</v>
      </c>
      <c r="W11277" s="42">
        <v>2000</v>
      </c>
      <c r="X11277" s="42">
        <v>2000</v>
      </c>
    </row>
    <row r="11278" spans="1:24">
      <c r="A11278" s="27" t="s">
        <v>20441</v>
      </c>
      <c r="B11278" s="28" t="s">
        <v>19918</v>
      </c>
      <c r="C11278" s="27" t="s">
        <v>20442</v>
      </c>
      <c r="D11278" s="27" t="s">
        <v>230</v>
      </c>
      <c r="E11278" s="29">
        <v>37226</v>
      </c>
      <c r="F11278" s="27">
        <v>8</v>
      </c>
      <c r="G11278" s="18">
        <v>2000</v>
      </c>
      <c r="H11278" s="27">
        <f t="shared" si="352"/>
        <v>2000</v>
      </c>
      <c r="I11278" s="18">
        <v>1900</v>
      </c>
      <c r="J11278" s="27">
        <v>2000</v>
      </c>
      <c r="K11278" s="18">
        <f t="shared" si="353"/>
        <v>2000</v>
      </c>
      <c r="L11278" s="27">
        <v>1900</v>
      </c>
      <c r="M11278" s="36">
        <v>0</v>
      </c>
      <c r="T11278" s="41">
        <v>0</v>
      </c>
      <c r="U11278" s="41">
        <v>0</v>
      </c>
      <c r="V11278" s="42" t="s">
        <v>113</v>
      </c>
      <c r="W11278" s="42">
        <v>2000</v>
      </c>
      <c r="X11278" s="42">
        <v>2000</v>
      </c>
    </row>
    <row r="11279" spans="1:24">
      <c r="A11279" s="27" t="s">
        <v>20443</v>
      </c>
      <c r="B11279" s="28" t="s">
        <v>19918</v>
      </c>
      <c r="C11279" s="27" t="s">
        <v>20444</v>
      </c>
      <c r="D11279" s="27" t="s">
        <v>230</v>
      </c>
      <c r="E11279" s="29">
        <v>37226</v>
      </c>
      <c r="F11279" s="27">
        <v>8</v>
      </c>
      <c r="G11279" s="18">
        <v>2000</v>
      </c>
      <c r="H11279" s="27">
        <f t="shared" si="352"/>
        <v>2000</v>
      </c>
      <c r="I11279" s="18">
        <v>1900</v>
      </c>
      <c r="J11279" s="27">
        <v>2000</v>
      </c>
      <c r="K11279" s="18">
        <f t="shared" si="353"/>
        <v>2000</v>
      </c>
      <c r="L11279" s="27">
        <v>1900</v>
      </c>
      <c r="M11279" s="36">
        <v>0</v>
      </c>
      <c r="T11279" s="41">
        <v>0</v>
      </c>
      <c r="U11279" s="41">
        <v>0</v>
      </c>
      <c r="V11279" s="42" t="s">
        <v>113</v>
      </c>
      <c r="W11279" s="42">
        <v>2000</v>
      </c>
      <c r="X11279" s="42">
        <v>2000</v>
      </c>
    </row>
    <row r="11280" spans="1:24">
      <c r="A11280" s="27" t="s">
        <v>20445</v>
      </c>
      <c r="B11280" s="28" t="s">
        <v>19918</v>
      </c>
      <c r="C11280" s="27" t="s">
        <v>20446</v>
      </c>
      <c r="D11280" s="27" t="s">
        <v>230</v>
      </c>
      <c r="E11280" s="29">
        <v>37226</v>
      </c>
      <c r="F11280" s="27">
        <v>8</v>
      </c>
      <c r="G11280" s="18">
        <v>2000</v>
      </c>
      <c r="H11280" s="27">
        <f t="shared" si="352"/>
        <v>2000</v>
      </c>
      <c r="I11280" s="18">
        <v>1900</v>
      </c>
      <c r="J11280" s="27">
        <v>2000</v>
      </c>
      <c r="K11280" s="18">
        <f t="shared" si="353"/>
        <v>2000</v>
      </c>
      <c r="L11280" s="27">
        <v>1900</v>
      </c>
      <c r="M11280" s="36">
        <v>0</v>
      </c>
      <c r="T11280" s="41">
        <v>0</v>
      </c>
      <c r="U11280" s="41">
        <v>0</v>
      </c>
      <c r="V11280" s="42" t="s">
        <v>113</v>
      </c>
      <c r="W11280" s="42">
        <v>2000</v>
      </c>
      <c r="X11280" s="42">
        <v>2000</v>
      </c>
    </row>
    <row r="11281" spans="1:24">
      <c r="A11281" s="27" t="s">
        <v>20447</v>
      </c>
      <c r="B11281" s="28" t="s">
        <v>19918</v>
      </c>
      <c r="C11281" s="27" t="s">
        <v>20448</v>
      </c>
      <c r="D11281" s="27" t="s">
        <v>230</v>
      </c>
      <c r="E11281" s="29">
        <v>37226</v>
      </c>
      <c r="F11281" s="27">
        <v>8</v>
      </c>
      <c r="G11281" s="18">
        <v>2000</v>
      </c>
      <c r="H11281" s="27">
        <f t="shared" si="352"/>
        <v>2000</v>
      </c>
      <c r="I11281" s="18">
        <v>1900</v>
      </c>
      <c r="J11281" s="27">
        <v>2000</v>
      </c>
      <c r="K11281" s="18">
        <f t="shared" si="353"/>
        <v>2000</v>
      </c>
      <c r="L11281" s="27">
        <v>1900</v>
      </c>
      <c r="M11281" s="36">
        <v>0</v>
      </c>
      <c r="T11281" s="41">
        <v>0</v>
      </c>
      <c r="U11281" s="41">
        <v>0</v>
      </c>
      <c r="V11281" s="42" t="s">
        <v>113</v>
      </c>
      <c r="W11281" s="42">
        <v>2000</v>
      </c>
      <c r="X11281" s="42">
        <v>2000</v>
      </c>
    </row>
    <row r="11282" spans="1:24">
      <c r="A11282" s="27" t="s">
        <v>20449</v>
      </c>
      <c r="B11282" s="28" t="s">
        <v>19918</v>
      </c>
      <c r="C11282" s="27" t="s">
        <v>20450</v>
      </c>
      <c r="D11282" s="27" t="s">
        <v>230</v>
      </c>
      <c r="E11282" s="29">
        <v>37226</v>
      </c>
      <c r="F11282" s="27">
        <v>8</v>
      </c>
      <c r="G11282" s="18">
        <v>2000</v>
      </c>
      <c r="H11282" s="27">
        <f t="shared" si="352"/>
        <v>2000</v>
      </c>
      <c r="I11282" s="18">
        <v>1900</v>
      </c>
      <c r="J11282" s="27">
        <v>2000</v>
      </c>
      <c r="K11282" s="18">
        <f t="shared" si="353"/>
        <v>2000</v>
      </c>
      <c r="L11282" s="27">
        <v>1900</v>
      </c>
      <c r="M11282" s="36">
        <v>0</v>
      </c>
      <c r="T11282" s="41">
        <v>0</v>
      </c>
      <c r="U11282" s="41">
        <v>0</v>
      </c>
      <c r="V11282" s="42" t="s">
        <v>113</v>
      </c>
      <c r="W11282" s="42">
        <v>2000</v>
      </c>
      <c r="X11282" s="42">
        <v>2000</v>
      </c>
    </row>
    <row r="11283" spans="1:24">
      <c r="A11283" s="27" t="s">
        <v>20451</v>
      </c>
      <c r="B11283" s="28" t="s">
        <v>19918</v>
      </c>
      <c r="C11283" s="27" t="s">
        <v>20452</v>
      </c>
      <c r="D11283" s="27" t="s">
        <v>17578</v>
      </c>
      <c r="E11283" s="29">
        <v>40268</v>
      </c>
      <c r="F11283" s="27">
        <v>8</v>
      </c>
      <c r="G11283" s="18">
        <v>4000</v>
      </c>
      <c r="H11283" s="27">
        <f t="shared" si="352"/>
        <v>4000</v>
      </c>
      <c r="I11283" s="18">
        <v>3800</v>
      </c>
      <c r="J11283" s="27">
        <v>4000</v>
      </c>
      <c r="K11283" s="18">
        <f t="shared" si="353"/>
        <v>4000</v>
      </c>
      <c r="L11283" s="27">
        <v>3800</v>
      </c>
      <c r="M11283" s="36">
        <v>0</v>
      </c>
      <c r="T11283" s="41">
        <v>0</v>
      </c>
      <c r="U11283" s="41">
        <v>0</v>
      </c>
      <c r="V11283" s="42" t="s">
        <v>113</v>
      </c>
      <c r="W11283" s="42">
        <v>4000</v>
      </c>
      <c r="X11283" s="42">
        <v>4000</v>
      </c>
    </row>
    <row r="11284" spans="1:24">
      <c r="A11284" s="27" t="s">
        <v>20453</v>
      </c>
      <c r="B11284" s="28" t="s">
        <v>19918</v>
      </c>
      <c r="C11284" s="27" t="s">
        <v>20247</v>
      </c>
      <c r="D11284" s="27" t="s">
        <v>112</v>
      </c>
      <c r="E11284" s="29">
        <v>40156</v>
      </c>
      <c r="F11284" s="27">
        <v>8</v>
      </c>
      <c r="G11284" s="18">
        <v>4000</v>
      </c>
      <c r="H11284" s="27">
        <f t="shared" si="352"/>
        <v>4000</v>
      </c>
      <c r="I11284" s="18">
        <v>3800</v>
      </c>
      <c r="J11284" s="27">
        <v>4000</v>
      </c>
      <c r="K11284" s="18">
        <f t="shared" si="353"/>
        <v>4000</v>
      </c>
      <c r="L11284" s="27">
        <v>3800</v>
      </c>
      <c r="M11284" s="36">
        <v>0</v>
      </c>
      <c r="T11284" s="41">
        <v>0</v>
      </c>
      <c r="U11284" s="41">
        <v>0</v>
      </c>
      <c r="V11284" s="42" t="s">
        <v>113</v>
      </c>
      <c r="W11284" s="42">
        <v>4000</v>
      </c>
      <c r="X11284" s="42">
        <v>4000</v>
      </c>
    </row>
    <row r="11285" spans="1:24">
      <c r="A11285" s="27" t="s">
        <v>20454</v>
      </c>
      <c r="B11285" s="28" t="s">
        <v>19918</v>
      </c>
      <c r="C11285" s="27" t="s">
        <v>20252</v>
      </c>
      <c r="D11285" s="27" t="s">
        <v>112</v>
      </c>
      <c r="E11285" s="29">
        <v>40156</v>
      </c>
      <c r="F11285" s="27">
        <v>8</v>
      </c>
      <c r="G11285" s="18">
        <v>4000</v>
      </c>
      <c r="H11285" s="27">
        <f t="shared" si="352"/>
        <v>4000</v>
      </c>
      <c r="I11285" s="18">
        <v>3800</v>
      </c>
      <c r="J11285" s="27">
        <v>4000</v>
      </c>
      <c r="K11285" s="18">
        <f t="shared" si="353"/>
        <v>4000</v>
      </c>
      <c r="L11285" s="27">
        <v>3800</v>
      </c>
      <c r="M11285" s="36">
        <v>0</v>
      </c>
      <c r="T11285" s="41">
        <v>0</v>
      </c>
      <c r="U11285" s="41">
        <v>0</v>
      </c>
      <c r="V11285" s="42" t="s">
        <v>113</v>
      </c>
      <c r="W11285" s="42">
        <v>4000</v>
      </c>
      <c r="X11285" s="42">
        <v>4000</v>
      </c>
    </row>
    <row r="11286" spans="1:24">
      <c r="A11286" s="27" t="s">
        <v>20455</v>
      </c>
      <c r="B11286" s="28" t="s">
        <v>19918</v>
      </c>
      <c r="C11286" s="27" t="s">
        <v>20456</v>
      </c>
      <c r="D11286" s="27" t="s">
        <v>230</v>
      </c>
      <c r="E11286" s="29">
        <v>40169</v>
      </c>
      <c r="F11286" s="27">
        <v>8</v>
      </c>
      <c r="G11286" s="18">
        <v>2000</v>
      </c>
      <c r="H11286" s="27">
        <f t="shared" si="352"/>
        <v>2000</v>
      </c>
      <c r="I11286" s="18">
        <v>2000</v>
      </c>
      <c r="J11286" s="27">
        <v>2000</v>
      </c>
      <c r="K11286" s="18">
        <f t="shared" si="353"/>
        <v>2000</v>
      </c>
      <c r="L11286" s="27">
        <v>2000</v>
      </c>
      <c r="M11286" s="36">
        <v>0</v>
      </c>
      <c r="T11286" s="41">
        <v>0</v>
      </c>
      <c r="U11286" s="41">
        <v>0</v>
      </c>
      <c r="V11286" s="42" t="s">
        <v>113</v>
      </c>
      <c r="W11286" s="42">
        <v>2000</v>
      </c>
      <c r="X11286" s="42">
        <v>2000</v>
      </c>
    </row>
    <row r="11287" spans="1:24">
      <c r="A11287" s="27" t="s">
        <v>20457</v>
      </c>
      <c r="B11287" s="28" t="s">
        <v>19918</v>
      </c>
      <c r="C11287" s="27" t="s">
        <v>20458</v>
      </c>
      <c r="D11287" s="27" t="s">
        <v>230</v>
      </c>
      <c r="E11287" s="29">
        <v>40169</v>
      </c>
      <c r="F11287" s="27">
        <v>8</v>
      </c>
      <c r="G11287" s="18">
        <v>2000</v>
      </c>
      <c r="H11287" s="27">
        <f t="shared" si="352"/>
        <v>2000</v>
      </c>
      <c r="I11287" s="18">
        <v>2000</v>
      </c>
      <c r="J11287" s="27">
        <v>2000</v>
      </c>
      <c r="K11287" s="18">
        <f t="shared" si="353"/>
        <v>2000</v>
      </c>
      <c r="L11287" s="27">
        <v>2000</v>
      </c>
      <c r="M11287" s="36">
        <v>0</v>
      </c>
      <c r="T11287" s="41">
        <v>0</v>
      </c>
      <c r="U11287" s="41">
        <v>0</v>
      </c>
      <c r="V11287" s="42" t="s">
        <v>113</v>
      </c>
      <c r="W11287" s="42">
        <v>2000</v>
      </c>
      <c r="X11287" s="42">
        <v>2000</v>
      </c>
    </row>
    <row r="11288" spans="1:24">
      <c r="A11288" s="27" t="s">
        <v>20459</v>
      </c>
      <c r="B11288" s="28" t="s">
        <v>19918</v>
      </c>
      <c r="C11288" s="27" t="s">
        <v>20460</v>
      </c>
      <c r="D11288" s="27" t="s">
        <v>118</v>
      </c>
      <c r="E11288" s="29">
        <v>38200</v>
      </c>
      <c r="F11288" s="27">
        <v>8</v>
      </c>
      <c r="G11288" s="18">
        <v>3525</v>
      </c>
      <c r="H11288" s="27">
        <f t="shared" si="352"/>
        <v>3525</v>
      </c>
      <c r="I11288" s="18">
        <v>3348.75</v>
      </c>
      <c r="J11288" s="27">
        <v>3525</v>
      </c>
      <c r="K11288" s="18">
        <f t="shared" si="353"/>
        <v>3525</v>
      </c>
      <c r="L11288" s="27">
        <v>3348.75</v>
      </c>
      <c r="M11288" s="36">
        <v>0</v>
      </c>
      <c r="T11288" s="41">
        <v>0</v>
      </c>
      <c r="U11288" s="41">
        <v>0</v>
      </c>
      <c r="V11288" s="42" t="s">
        <v>113</v>
      </c>
      <c r="W11288" s="42">
        <v>3525</v>
      </c>
      <c r="X11288" s="42">
        <v>3525</v>
      </c>
    </row>
    <row r="11289" spans="1:24">
      <c r="A11289" s="27" t="s">
        <v>20461</v>
      </c>
      <c r="B11289" s="28" t="s">
        <v>19918</v>
      </c>
      <c r="C11289" s="27" t="s">
        <v>20462</v>
      </c>
      <c r="D11289" s="27" t="s">
        <v>118</v>
      </c>
      <c r="E11289" s="29">
        <v>40113</v>
      </c>
      <c r="F11289" s="27">
        <v>8</v>
      </c>
      <c r="G11289" s="18">
        <v>22751.86</v>
      </c>
      <c r="H11289" s="27">
        <f t="shared" si="352"/>
        <v>22751.86</v>
      </c>
      <c r="I11289" s="18">
        <v>21614.26</v>
      </c>
      <c r="J11289" s="27">
        <v>22751.86</v>
      </c>
      <c r="K11289" s="18">
        <f t="shared" si="353"/>
        <v>22751.86</v>
      </c>
      <c r="L11289" s="27">
        <v>21614.26</v>
      </c>
      <c r="M11289" s="36">
        <v>0</v>
      </c>
      <c r="T11289" s="41">
        <v>0</v>
      </c>
      <c r="U11289" s="41">
        <v>0</v>
      </c>
      <c r="V11289" s="42" t="s">
        <v>113</v>
      </c>
      <c r="W11289" s="42">
        <v>22751.86</v>
      </c>
      <c r="X11289" s="42">
        <v>22751.86</v>
      </c>
    </row>
    <row r="11290" spans="1:24">
      <c r="A11290" s="27" t="s">
        <v>20463</v>
      </c>
      <c r="B11290" s="28" t="s">
        <v>19918</v>
      </c>
      <c r="C11290" s="27" t="s">
        <v>20464</v>
      </c>
      <c r="D11290" s="27" t="s">
        <v>230</v>
      </c>
      <c r="E11290" s="29">
        <v>37226</v>
      </c>
      <c r="F11290" s="27">
        <v>8</v>
      </c>
      <c r="G11290" s="18">
        <v>2000</v>
      </c>
      <c r="H11290" s="27">
        <f t="shared" si="352"/>
        <v>2000</v>
      </c>
      <c r="I11290" s="18">
        <v>1900</v>
      </c>
      <c r="J11290" s="27">
        <v>2000</v>
      </c>
      <c r="K11290" s="18">
        <f t="shared" si="353"/>
        <v>2000</v>
      </c>
      <c r="L11290" s="27">
        <v>1900</v>
      </c>
      <c r="M11290" s="36">
        <v>0</v>
      </c>
      <c r="T11290" s="41">
        <v>0</v>
      </c>
      <c r="U11290" s="41">
        <v>0</v>
      </c>
      <c r="V11290" s="42" t="s">
        <v>113</v>
      </c>
      <c r="W11290" s="42">
        <v>2000</v>
      </c>
      <c r="X11290" s="42">
        <v>2000</v>
      </c>
    </row>
    <row r="11291" spans="1:24">
      <c r="A11291" s="27" t="s">
        <v>20465</v>
      </c>
      <c r="B11291" s="28" t="s">
        <v>19918</v>
      </c>
      <c r="C11291" s="27" t="s">
        <v>20466</v>
      </c>
      <c r="D11291" s="27" t="s">
        <v>230</v>
      </c>
      <c r="E11291" s="29">
        <v>40113</v>
      </c>
      <c r="F11291" s="27">
        <v>8</v>
      </c>
      <c r="G11291" s="18">
        <v>3000</v>
      </c>
      <c r="H11291" s="27">
        <f t="shared" si="352"/>
        <v>3000</v>
      </c>
      <c r="I11291" s="18">
        <v>2849.99</v>
      </c>
      <c r="J11291" s="27">
        <v>3000</v>
      </c>
      <c r="K11291" s="18">
        <f t="shared" si="353"/>
        <v>3000</v>
      </c>
      <c r="L11291" s="27">
        <v>2849.99</v>
      </c>
      <c r="M11291" s="36">
        <v>0</v>
      </c>
      <c r="T11291" s="41">
        <v>0</v>
      </c>
      <c r="U11291" s="41">
        <v>0</v>
      </c>
      <c r="V11291" s="42" t="s">
        <v>113</v>
      </c>
      <c r="W11291" s="42">
        <v>3000</v>
      </c>
      <c r="X11291" s="42">
        <v>3000</v>
      </c>
    </row>
    <row r="11292" spans="1:24">
      <c r="A11292" s="27" t="s">
        <v>20467</v>
      </c>
      <c r="B11292" s="28" t="s">
        <v>19918</v>
      </c>
      <c r="C11292" s="27" t="s">
        <v>20468</v>
      </c>
      <c r="D11292" s="27" t="s">
        <v>112</v>
      </c>
      <c r="E11292" s="29">
        <v>40113</v>
      </c>
      <c r="F11292" s="27">
        <v>8</v>
      </c>
      <c r="G11292" s="18">
        <v>3250</v>
      </c>
      <c r="H11292" s="27">
        <f t="shared" si="352"/>
        <v>3250</v>
      </c>
      <c r="I11292" s="18">
        <v>3087.51</v>
      </c>
      <c r="J11292" s="27">
        <v>3250</v>
      </c>
      <c r="K11292" s="18">
        <f t="shared" si="353"/>
        <v>3250</v>
      </c>
      <c r="L11292" s="27">
        <v>3087.51</v>
      </c>
      <c r="M11292" s="36">
        <v>0</v>
      </c>
      <c r="T11292" s="41">
        <v>0</v>
      </c>
      <c r="U11292" s="41">
        <v>0</v>
      </c>
      <c r="V11292" s="42" t="s">
        <v>113</v>
      </c>
      <c r="W11292" s="42">
        <v>3250</v>
      </c>
      <c r="X11292" s="42">
        <v>3250</v>
      </c>
    </row>
    <row r="11293" spans="1:24">
      <c r="A11293" s="27" t="s">
        <v>20469</v>
      </c>
      <c r="B11293" s="28" t="s">
        <v>19918</v>
      </c>
      <c r="C11293" s="27" t="s">
        <v>20470</v>
      </c>
      <c r="D11293" s="27" t="s">
        <v>112</v>
      </c>
      <c r="E11293" s="29">
        <v>40113</v>
      </c>
      <c r="F11293" s="27">
        <v>8</v>
      </c>
      <c r="G11293" s="18">
        <v>3250</v>
      </c>
      <c r="H11293" s="27">
        <f t="shared" si="352"/>
        <v>3250</v>
      </c>
      <c r="I11293" s="18">
        <v>3087.51</v>
      </c>
      <c r="J11293" s="27">
        <v>3250</v>
      </c>
      <c r="K11293" s="18">
        <f t="shared" si="353"/>
        <v>3250</v>
      </c>
      <c r="L11293" s="27">
        <v>3087.51</v>
      </c>
      <c r="M11293" s="36">
        <v>0</v>
      </c>
      <c r="T11293" s="41">
        <v>0</v>
      </c>
      <c r="U11293" s="41">
        <v>0</v>
      </c>
      <c r="V11293" s="42" t="s">
        <v>113</v>
      </c>
      <c r="W11293" s="42">
        <v>3250</v>
      </c>
      <c r="X11293" s="42">
        <v>3250</v>
      </c>
    </row>
    <row r="11294" spans="1:24">
      <c r="A11294" s="27" t="s">
        <v>20471</v>
      </c>
      <c r="B11294" s="28" t="s">
        <v>19918</v>
      </c>
      <c r="C11294" s="27" t="s">
        <v>20247</v>
      </c>
      <c r="D11294" s="27" t="s">
        <v>118</v>
      </c>
      <c r="E11294" s="29">
        <v>40113</v>
      </c>
      <c r="F11294" s="27">
        <v>8</v>
      </c>
      <c r="G11294" s="18">
        <v>22751.86</v>
      </c>
      <c r="H11294" s="27">
        <f t="shared" si="352"/>
        <v>22751.86</v>
      </c>
      <c r="I11294" s="18">
        <v>21614.26</v>
      </c>
      <c r="J11294" s="27">
        <v>22751.86</v>
      </c>
      <c r="K11294" s="18">
        <f t="shared" si="353"/>
        <v>22751.86</v>
      </c>
      <c r="L11294" s="27">
        <v>21614.26</v>
      </c>
      <c r="M11294" s="36">
        <v>0</v>
      </c>
      <c r="T11294" s="41">
        <v>0</v>
      </c>
      <c r="U11294" s="41">
        <v>0</v>
      </c>
      <c r="V11294" s="42" t="s">
        <v>113</v>
      </c>
      <c r="W11294" s="42">
        <v>22751.86</v>
      </c>
      <c r="X11294" s="42">
        <v>22751.86</v>
      </c>
    </row>
    <row r="11295" spans="1:24">
      <c r="A11295" s="27" t="s">
        <v>20472</v>
      </c>
      <c r="B11295" s="28" t="s">
        <v>19918</v>
      </c>
      <c r="C11295" s="27" t="s">
        <v>20473</v>
      </c>
      <c r="D11295" s="27" t="s">
        <v>230</v>
      </c>
      <c r="E11295" s="29">
        <v>40113</v>
      </c>
      <c r="F11295" s="27">
        <v>8</v>
      </c>
      <c r="G11295" s="18">
        <v>3000</v>
      </c>
      <c r="H11295" s="27">
        <f t="shared" si="352"/>
        <v>3000</v>
      </c>
      <c r="I11295" s="18">
        <v>2850</v>
      </c>
      <c r="J11295" s="27">
        <v>3000</v>
      </c>
      <c r="K11295" s="18">
        <f t="shared" si="353"/>
        <v>3000</v>
      </c>
      <c r="L11295" s="27">
        <v>2850</v>
      </c>
      <c r="M11295" s="36">
        <v>0</v>
      </c>
      <c r="T11295" s="41">
        <v>0</v>
      </c>
      <c r="U11295" s="41">
        <v>0</v>
      </c>
      <c r="V11295" s="42" t="s">
        <v>113</v>
      </c>
      <c r="W11295" s="42">
        <v>3000</v>
      </c>
      <c r="X11295" s="42">
        <v>3000</v>
      </c>
    </row>
    <row r="11296" spans="1:24">
      <c r="A11296" s="27" t="s">
        <v>20474</v>
      </c>
      <c r="B11296" s="28" t="s">
        <v>19918</v>
      </c>
      <c r="C11296" s="27" t="s">
        <v>20475</v>
      </c>
      <c r="D11296" s="27" t="s">
        <v>230</v>
      </c>
      <c r="E11296" s="29">
        <v>40113</v>
      </c>
      <c r="F11296" s="27">
        <v>8</v>
      </c>
      <c r="G11296" s="18">
        <v>2000</v>
      </c>
      <c r="H11296" s="27">
        <f t="shared" si="352"/>
        <v>2000</v>
      </c>
      <c r="I11296" s="18">
        <v>1900</v>
      </c>
      <c r="J11296" s="27">
        <v>2000</v>
      </c>
      <c r="K11296" s="18">
        <f t="shared" si="353"/>
        <v>2000</v>
      </c>
      <c r="L11296" s="27">
        <v>1900</v>
      </c>
      <c r="M11296" s="36">
        <v>0</v>
      </c>
      <c r="T11296" s="41">
        <v>0</v>
      </c>
      <c r="U11296" s="41">
        <v>0</v>
      </c>
      <c r="V11296" s="42" t="s">
        <v>113</v>
      </c>
      <c r="W11296" s="42">
        <v>2000</v>
      </c>
      <c r="X11296" s="42">
        <v>2000</v>
      </c>
    </row>
    <row r="11297" spans="1:24">
      <c r="A11297" s="27" t="s">
        <v>20476</v>
      </c>
      <c r="B11297" s="28" t="s">
        <v>19918</v>
      </c>
      <c r="C11297" s="27" t="s">
        <v>20477</v>
      </c>
      <c r="D11297" s="27" t="s">
        <v>220</v>
      </c>
      <c r="E11297" s="29">
        <v>38534</v>
      </c>
      <c r="F11297" s="27">
        <v>8</v>
      </c>
      <c r="G11297" s="18">
        <v>40000</v>
      </c>
      <c r="H11297" s="27">
        <f t="shared" si="352"/>
        <v>40000</v>
      </c>
      <c r="I11297" s="18">
        <v>38000</v>
      </c>
      <c r="J11297" s="27">
        <v>40000</v>
      </c>
      <c r="K11297" s="18">
        <f t="shared" si="353"/>
        <v>40000</v>
      </c>
      <c r="L11297" s="27">
        <v>38000</v>
      </c>
      <c r="M11297" s="36">
        <v>0</v>
      </c>
      <c r="T11297" s="41">
        <v>0</v>
      </c>
      <c r="U11297" s="41">
        <v>0</v>
      </c>
      <c r="V11297" s="42" t="s">
        <v>113</v>
      </c>
      <c r="W11297" s="42">
        <v>40000</v>
      </c>
      <c r="X11297" s="42">
        <v>40000</v>
      </c>
    </row>
    <row r="11298" spans="1:24">
      <c r="A11298" s="27" t="s">
        <v>20478</v>
      </c>
      <c r="B11298" s="28" t="s">
        <v>19918</v>
      </c>
      <c r="C11298" s="27" t="s">
        <v>20479</v>
      </c>
      <c r="D11298" s="27" t="s">
        <v>112</v>
      </c>
      <c r="E11298" s="29">
        <v>40113</v>
      </c>
      <c r="F11298" s="27">
        <v>8</v>
      </c>
      <c r="G11298" s="18">
        <v>3250</v>
      </c>
      <c r="H11298" s="27">
        <f t="shared" si="352"/>
        <v>3250</v>
      </c>
      <c r="I11298" s="18">
        <v>3087.51</v>
      </c>
      <c r="J11298" s="27">
        <v>3250</v>
      </c>
      <c r="K11298" s="18">
        <f t="shared" si="353"/>
        <v>3250</v>
      </c>
      <c r="L11298" s="27">
        <v>3087.51</v>
      </c>
      <c r="M11298" s="36">
        <v>0</v>
      </c>
      <c r="T11298" s="41">
        <v>0</v>
      </c>
      <c r="U11298" s="41">
        <v>0</v>
      </c>
      <c r="V11298" s="42" t="s">
        <v>113</v>
      </c>
      <c r="W11298" s="42">
        <v>3250</v>
      </c>
      <c r="X11298" s="42">
        <v>3250</v>
      </c>
    </row>
    <row r="11299" spans="1:24">
      <c r="A11299" s="27" t="s">
        <v>20480</v>
      </c>
      <c r="B11299" s="28" t="s">
        <v>19918</v>
      </c>
      <c r="C11299" s="27" t="s">
        <v>20481</v>
      </c>
      <c r="D11299" s="27" t="s">
        <v>230</v>
      </c>
      <c r="E11299" s="29">
        <v>37226</v>
      </c>
      <c r="F11299" s="27">
        <v>8</v>
      </c>
      <c r="G11299" s="18">
        <v>2000</v>
      </c>
      <c r="H11299" s="27">
        <f t="shared" si="352"/>
        <v>2000</v>
      </c>
      <c r="I11299" s="18">
        <v>1900</v>
      </c>
      <c r="J11299" s="27">
        <v>2000</v>
      </c>
      <c r="K11299" s="18">
        <f t="shared" si="353"/>
        <v>2000</v>
      </c>
      <c r="L11299" s="27">
        <v>1900</v>
      </c>
      <c r="M11299" s="36">
        <v>0</v>
      </c>
      <c r="T11299" s="41">
        <v>0</v>
      </c>
      <c r="U11299" s="41">
        <v>0</v>
      </c>
      <c r="V11299" s="42" t="s">
        <v>113</v>
      </c>
      <c r="W11299" s="42">
        <v>2000</v>
      </c>
      <c r="X11299" s="42">
        <v>2000</v>
      </c>
    </row>
    <row r="11300" spans="1:24">
      <c r="A11300" s="27" t="s">
        <v>20482</v>
      </c>
      <c r="B11300" s="28" t="s">
        <v>19918</v>
      </c>
      <c r="C11300" s="27" t="s">
        <v>20483</v>
      </c>
      <c r="D11300" s="27" t="s">
        <v>230</v>
      </c>
      <c r="E11300" s="29">
        <v>40113</v>
      </c>
      <c r="F11300" s="27">
        <v>8</v>
      </c>
      <c r="G11300" s="18">
        <v>2000</v>
      </c>
      <c r="H11300" s="27">
        <f t="shared" si="352"/>
        <v>2000</v>
      </c>
      <c r="I11300" s="18">
        <v>1900</v>
      </c>
      <c r="J11300" s="27">
        <v>2000</v>
      </c>
      <c r="K11300" s="18">
        <f t="shared" si="353"/>
        <v>2000</v>
      </c>
      <c r="L11300" s="27">
        <v>1900</v>
      </c>
      <c r="M11300" s="36">
        <v>0</v>
      </c>
      <c r="T11300" s="41">
        <v>0</v>
      </c>
      <c r="U11300" s="41">
        <v>0</v>
      </c>
      <c r="V11300" s="42" t="s">
        <v>113</v>
      </c>
      <c r="W11300" s="42">
        <v>2000</v>
      </c>
      <c r="X11300" s="42">
        <v>2000</v>
      </c>
    </row>
    <row r="11301" spans="1:24">
      <c r="A11301" s="27" t="s">
        <v>20484</v>
      </c>
      <c r="B11301" s="28" t="s">
        <v>19918</v>
      </c>
      <c r="C11301" s="27" t="s">
        <v>20485</v>
      </c>
      <c r="D11301" s="27" t="s">
        <v>17578</v>
      </c>
      <c r="E11301" s="29">
        <v>40113</v>
      </c>
      <c r="F11301" s="27">
        <v>8</v>
      </c>
      <c r="G11301" s="18">
        <v>20000</v>
      </c>
      <c r="H11301" s="27">
        <f t="shared" si="352"/>
        <v>20000</v>
      </c>
      <c r="I11301" s="18">
        <v>19000</v>
      </c>
      <c r="J11301" s="27">
        <v>20000</v>
      </c>
      <c r="K11301" s="18">
        <f t="shared" si="353"/>
        <v>20000</v>
      </c>
      <c r="L11301" s="27">
        <v>19000</v>
      </c>
      <c r="M11301" s="36">
        <v>0</v>
      </c>
      <c r="T11301" s="41">
        <v>0</v>
      </c>
      <c r="U11301" s="41">
        <v>0</v>
      </c>
      <c r="V11301" s="42" t="s">
        <v>113</v>
      </c>
      <c r="W11301" s="42">
        <v>20000</v>
      </c>
      <c r="X11301" s="42">
        <v>20000</v>
      </c>
    </row>
    <row r="11302" spans="1:24">
      <c r="A11302" s="27" t="s">
        <v>20486</v>
      </c>
      <c r="B11302" s="28" t="s">
        <v>19918</v>
      </c>
      <c r="C11302" s="27" t="s">
        <v>20487</v>
      </c>
      <c r="D11302" s="27" t="s">
        <v>118</v>
      </c>
      <c r="E11302" s="29">
        <v>40113</v>
      </c>
      <c r="F11302" s="27">
        <v>8</v>
      </c>
      <c r="G11302" s="18">
        <v>20000</v>
      </c>
      <c r="H11302" s="27">
        <f t="shared" si="352"/>
        <v>20000</v>
      </c>
      <c r="I11302" s="18">
        <v>18999.990000000002</v>
      </c>
      <c r="J11302" s="27">
        <v>20000</v>
      </c>
      <c r="K11302" s="18">
        <f t="shared" si="353"/>
        <v>20000</v>
      </c>
      <c r="L11302" s="27">
        <v>18999.990000000002</v>
      </c>
      <c r="M11302" s="36">
        <v>0</v>
      </c>
      <c r="T11302" s="41">
        <v>0</v>
      </c>
      <c r="U11302" s="41">
        <v>0</v>
      </c>
      <c r="V11302" s="42" t="s">
        <v>113</v>
      </c>
      <c r="W11302" s="42">
        <v>20000</v>
      </c>
      <c r="X11302" s="42">
        <v>20000</v>
      </c>
    </row>
    <row r="11303" spans="1:24">
      <c r="A11303" s="27" t="s">
        <v>20488</v>
      </c>
      <c r="B11303" s="28" t="s">
        <v>19918</v>
      </c>
      <c r="C11303" s="27" t="s">
        <v>20489</v>
      </c>
      <c r="D11303" s="27" t="s">
        <v>220</v>
      </c>
      <c r="E11303" s="29">
        <v>38534</v>
      </c>
      <c r="F11303" s="27">
        <v>8</v>
      </c>
      <c r="G11303" s="18">
        <v>40000</v>
      </c>
      <c r="H11303" s="27">
        <f t="shared" si="352"/>
        <v>40000</v>
      </c>
      <c r="I11303" s="18">
        <v>38000</v>
      </c>
      <c r="J11303" s="27">
        <v>40000</v>
      </c>
      <c r="K11303" s="18">
        <f t="shared" si="353"/>
        <v>40000</v>
      </c>
      <c r="L11303" s="27">
        <v>38000</v>
      </c>
      <c r="M11303" s="36">
        <v>0</v>
      </c>
      <c r="T11303" s="41">
        <v>0</v>
      </c>
      <c r="U11303" s="41">
        <v>0</v>
      </c>
      <c r="V11303" s="42" t="s">
        <v>113</v>
      </c>
      <c r="W11303" s="42">
        <v>40000</v>
      </c>
      <c r="X11303" s="42">
        <v>40000</v>
      </c>
    </row>
    <row r="11304" spans="1:24">
      <c r="A11304" s="27" t="s">
        <v>20490</v>
      </c>
      <c r="B11304" s="28" t="s">
        <v>19918</v>
      </c>
      <c r="C11304" s="27" t="s">
        <v>20491</v>
      </c>
      <c r="D11304" s="27" t="s">
        <v>230</v>
      </c>
      <c r="E11304" s="29">
        <v>40113</v>
      </c>
      <c r="F11304" s="27">
        <v>8</v>
      </c>
      <c r="G11304" s="18">
        <v>2000</v>
      </c>
      <c r="H11304" s="27">
        <f t="shared" si="352"/>
        <v>2000</v>
      </c>
      <c r="I11304" s="18">
        <v>1900</v>
      </c>
      <c r="J11304" s="27">
        <v>2000</v>
      </c>
      <c r="K11304" s="18">
        <f t="shared" si="353"/>
        <v>2000</v>
      </c>
      <c r="L11304" s="27">
        <v>1900</v>
      </c>
      <c r="M11304" s="36">
        <v>0</v>
      </c>
      <c r="T11304" s="41">
        <v>0</v>
      </c>
      <c r="U11304" s="41">
        <v>0</v>
      </c>
      <c r="V11304" s="42" t="s">
        <v>113</v>
      </c>
      <c r="W11304" s="42">
        <v>2000</v>
      </c>
      <c r="X11304" s="42">
        <v>2000</v>
      </c>
    </row>
    <row r="11305" spans="1:24">
      <c r="A11305" s="27" t="s">
        <v>20492</v>
      </c>
      <c r="B11305" s="28" t="s">
        <v>19918</v>
      </c>
      <c r="C11305" s="27" t="s">
        <v>20493</v>
      </c>
      <c r="D11305" s="27" t="s">
        <v>230</v>
      </c>
      <c r="E11305" s="29">
        <v>40113</v>
      </c>
      <c r="F11305" s="27">
        <v>8</v>
      </c>
      <c r="G11305" s="18">
        <v>2000</v>
      </c>
      <c r="H11305" s="27">
        <f t="shared" si="352"/>
        <v>2000</v>
      </c>
      <c r="I11305" s="18">
        <v>1900</v>
      </c>
      <c r="J11305" s="27">
        <v>2000</v>
      </c>
      <c r="K11305" s="18">
        <f t="shared" si="353"/>
        <v>2000</v>
      </c>
      <c r="L11305" s="27">
        <v>1900</v>
      </c>
      <c r="M11305" s="36">
        <v>0</v>
      </c>
      <c r="T11305" s="41">
        <v>0</v>
      </c>
      <c r="U11305" s="41">
        <v>0</v>
      </c>
      <c r="V11305" s="42" t="s">
        <v>113</v>
      </c>
      <c r="W11305" s="42">
        <v>2000</v>
      </c>
      <c r="X11305" s="42">
        <v>2000</v>
      </c>
    </row>
    <row r="11306" spans="1:24">
      <c r="A11306" s="27" t="s">
        <v>20494</v>
      </c>
      <c r="B11306" s="28" t="s">
        <v>19918</v>
      </c>
      <c r="C11306" s="27" t="s">
        <v>20495</v>
      </c>
      <c r="D11306" s="27" t="s">
        <v>230</v>
      </c>
      <c r="E11306" s="29">
        <v>40113</v>
      </c>
      <c r="F11306" s="27">
        <v>8</v>
      </c>
      <c r="G11306" s="18">
        <v>2000</v>
      </c>
      <c r="H11306" s="27">
        <f t="shared" si="352"/>
        <v>2000</v>
      </c>
      <c r="I11306" s="18">
        <v>1900</v>
      </c>
      <c r="J11306" s="27">
        <v>2000</v>
      </c>
      <c r="K11306" s="18">
        <f t="shared" si="353"/>
        <v>2000</v>
      </c>
      <c r="L11306" s="27">
        <v>1900</v>
      </c>
      <c r="M11306" s="36">
        <v>0</v>
      </c>
      <c r="T11306" s="41">
        <v>0</v>
      </c>
      <c r="U11306" s="41">
        <v>0</v>
      </c>
      <c r="V11306" s="42" t="s">
        <v>113</v>
      </c>
      <c r="W11306" s="42">
        <v>2000</v>
      </c>
      <c r="X11306" s="42">
        <v>2000</v>
      </c>
    </row>
    <row r="11307" spans="1:24">
      <c r="A11307" s="27" t="s">
        <v>20496</v>
      </c>
      <c r="B11307" s="28" t="s">
        <v>19918</v>
      </c>
      <c r="C11307" s="27" t="s">
        <v>20252</v>
      </c>
      <c r="D11307" s="27" t="s">
        <v>230</v>
      </c>
      <c r="E11307" s="29">
        <v>40113</v>
      </c>
      <c r="F11307" s="27">
        <v>8</v>
      </c>
      <c r="G11307" s="18">
        <v>22751.86</v>
      </c>
      <c r="H11307" s="27">
        <f t="shared" si="352"/>
        <v>22751.86</v>
      </c>
      <c r="I11307" s="18">
        <v>21614.26</v>
      </c>
      <c r="J11307" s="27">
        <v>22751.86</v>
      </c>
      <c r="K11307" s="18">
        <f t="shared" si="353"/>
        <v>22751.86</v>
      </c>
      <c r="L11307" s="27">
        <v>21614.26</v>
      </c>
      <c r="M11307" s="36">
        <v>0</v>
      </c>
      <c r="T11307" s="41">
        <v>0</v>
      </c>
      <c r="U11307" s="41">
        <v>0</v>
      </c>
      <c r="V11307" s="42" t="s">
        <v>113</v>
      </c>
      <c r="W11307" s="42">
        <v>22751.86</v>
      </c>
      <c r="X11307" s="42">
        <v>22751.86</v>
      </c>
    </row>
    <row r="11308" spans="1:24">
      <c r="A11308" s="27" t="s">
        <v>20497</v>
      </c>
      <c r="B11308" s="28" t="s">
        <v>19918</v>
      </c>
      <c r="C11308" s="27" t="s">
        <v>20291</v>
      </c>
      <c r="D11308" s="27" t="s">
        <v>112</v>
      </c>
      <c r="E11308" s="29">
        <v>40113</v>
      </c>
      <c r="F11308" s="27">
        <v>8</v>
      </c>
      <c r="G11308" s="18">
        <v>22751.86</v>
      </c>
      <c r="H11308" s="27">
        <f t="shared" si="352"/>
        <v>22751.86</v>
      </c>
      <c r="I11308" s="18">
        <v>21614.26</v>
      </c>
      <c r="J11308" s="27">
        <v>22751.86</v>
      </c>
      <c r="K11308" s="18">
        <f t="shared" si="353"/>
        <v>22751.86</v>
      </c>
      <c r="L11308" s="27">
        <v>21614.26</v>
      </c>
      <c r="M11308" s="36">
        <v>0</v>
      </c>
      <c r="T11308" s="41">
        <v>0</v>
      </c>
      <c r="U11308" s="41">
        <v>0</v>
      </c>
      <c r="V11308" s="42" t="s">
        <v>113</v>
      </c>
      <c r="W11308" s="42">
        <v>22751.86</v>
      </c>
      <c r="X11308" s="42">
        <v>22751.86</v>
      </c>
    </row>
    <row r="11309" spans="1:24">
      <c r="A11309" s="27" t="s">
        <v>20498</v>
      </c>
      <c r="B11309" s="28" t="s">
        <v>19918</v>
      </c>
      <c r="C11309" s="27" t="s">
        <v>20499</v>
      </c>
      <c r="D11309" s="27" t="s">
        <v>230</v>
      </c>
      <c r="E11309" s="29">
        <v>40113</v>
      </c>
      <c r="F11309" s="27">
        <v>8</v>
      </c>
      <c r="G11309" s="18">
        <v>2000</v>
      </c>
      <c r="H11309" s="27">
        <f t="shared" si="352"/>
        <v>2000</v>
      </c>
      <c r="I11309" s="18">
        <v>1900</v>
      </c>
      <c r="J11309" s="27">
        <v>2000</v>
      </c>
      <c r="K11309" s="18">
        <f t="shared" si="353"/>
        <v>2000</v>
      </c>
      <c r="L11309" s="27">
        <v>1900</v>
      </c>
      <c r="M11309" s="36">
        <v>0</v>
      </c>
      <c r="T11309" s="41">
        <v>0</v>
      </c>
      <c r="U11309" s="41">
        <v>0</v>
      </c>
      <c r="V11309" s="42" t="s">
        <v>113</v>
      </c>
      <c r="W11309" s="42">
        <v>2000</v>
      </c>
      <c r="X11309" s="42">
        <v>2000</v>
      </c>
    </row>
    <row r="11310" spans="1:24">
      <c r="A11310" s="27" t="s">
        <v>20500</v>
      </c>
      <c r="B11310" s="28" t="s">
        <v>19918</v>
      </c>
      <c r="C11310" s="27" t="s">
        <v>20501</v>
      </c>
      <c r="D11310" s="27" t="s">
        <v>230</v>
      </c>
      <c r="E11310" s="29">
        <v>40113</v>
      </c>
      <c r="F11310" s="27">
        <v>8</v>
      </c>
      <c r="G11310" s="18">
        <v>2000</v>
      </c>
      <c r="H11310" s="27">
        <f t="shared" si="352"/>
        <v>2000</v>
      </c>
      <c r="I11310" s="18">
        <v>1900</v>
      </c>
      <c r="J11310" s="27">
        <v>2000</v>
      </c>
      <c r="K11310" s="18">
        <f t="shared" si="353"/>
        <v>2000</v>
      </c>
      <c r="L11310" s="27">
        <v>1900</v>
      </c>
      <c r="M11310" s="36">
        <v>0</v>
      </c>
      <c r="T11310" s="41">
        <v>0</v>
      </c>
      <c r="U11310" s="41">
        <v>0</v>
      </c>
      <c r="V11310" s="42" t="s">
        <v>113</v>
      </c>
      <c r="W11310" s="42">
        <v>2000</v>
      </c>
      <c r="X11310" s="42">
        <v>2000</v>
      </c>
    </row>
    <row r="11311" spans="1:24">
      <c r="A11311" s="27" t="s">
        <v>20502</v>
      </c>
      <c r="B11311" s="28" t="s">
        <v>19918</v>
      </c>
      <c r="C11311" s="27" t="s">
        <v>20503</v>
      </c>
      <c r="D11311" s="27" t="s">
        <v>17578</v>
      </c>
      <c r="E11311" s="29">
        <v>40113</v>
      </c>
      <c r="F11311" s="27">
        <v>8</v>
      </c>
      <c r="G11311" s="18">
        <v>12751.86</v>
      </c>
      <c r="H11311" s="27">
        <f t="shared" si="352"/>
        <v>12751.86</v>
      </c>
      <c r="I11311" s="18">
        <v>12114.26</v>
      </c>
      <c r="J11311" s="27">
        <v>12751.86</v>
      </c>
      <c r="K11311" s="18">
        <f t="shared" si="353"/>
        <v>12751.86</v>
      </c>
      <c r="L11311" s="27">
        <v>12114.26</v>
      </c>
      <c r="M11311" s="36">
        <v>0</v>
      </c>
      <c r="T11311" s="41">
        <v>0</v>
      </c>
      <c r="U11311" s="41">
        <v>0</v>
      </c>
      <c r="V11311" s="42" t="s">
        <v>113</v>
      </c>
      <c r="W11311" s="42">
        <v>12751.86</v>
      </c>
      <c r="X11311" s="42">
        <v>12751.86</v>
      </c>
    </row>
    <row r="11312" spans="1:24">
      <c r="A11312" s="27" t="s">
        <v>20504</v>
      </c>
      <c r="B11312" s="28" t="s">
        <v>19918</v>
      </c>
      <c r="C11312" s="27" t="s">
        <v>20213</v>
      </c>
      <c r="D11312" s="27" t="s">
        <v>118</v>
      </c>
      <c r="E11312" s="29">
        <v>40113</v>
      </c>
      <c r="F11312" s="27">
        <v>8</v>
      </c>
      <c r="G11312" s="18">
        <v>22751.86</v>
      </c>
      <c r="H11312" s="27">
        <f t="shared" si="352"/>
        <v>22751.86</v>
      </c>
      <c r="I11312" s="18">
        <v>21614.26</v>
      </c>
      <c r="J11312" s="27">
        <v>22751.86</v>
      </c>
      <c r="K11312" s="18">
        <f t="shared" si="353"/>
        <v>22751.86</v>
      </c>
      <c r="L11312" s="27">
        <v>21614.26</v>
      </c>
      <c r="M11312" s="36">
        <v>0</v>
      </c>
      <c r="T11312" s="41">
        <v>0</v>
      </c>
      <c r="U11312" s="41">
        <v>0</v>
      </c>
      <c r="V11312" s="42" t="s">
        <v>113</v>
      </c>
      <c r="W11312" s="42">
        <v>22751.86</v>
      </c>
      <c r="X11312" s="42">
        <v>22751.86</v>
      </c>
    </row>
    <row r="11313" spans="1:24">
      <c r="A11313" s="27" t="s">
        <v>20505</v>
      </c>
      <c r="B11313" s="28" t="s">
        <v>19918</v>
      </c>
      <c r="C11313" s="27" t="s">
        <v>20506</v>
      </c>
      <c r="D11313" s="27" t="s">
        <v>118</v>
      </c>
      <c r="E11313" s="29">
        <v>40113</v>
      </c>
      <c r="F11313" s="27">
        <v>8</v>
      </c>
      <c r="G11313" s="18">
        <v>12751.86</v>
      </c>
      <c r="H11313" s="27">
        <f t="shared" si="352"/>
        <v>12751.86</v>
      </c>
      <c r="I11313" s="18">
        <v>12114.27</v>
      </c>
      <c r="J11313" s="27">
        <v>12751.86</v>
      </c>
      <c r="K11313" s="18">
        <f t="shared" si="353"/>
        <v>12751.86</v>
      </c>
      <c r="L11313" s="27">
        <v>12114.27</v>
      </c>
      <c r="M11313" s="36">
        <v>0</v>
      </c>
      <c r="T11313" s="41">
        <v>0</v>
      </c>
      <c r="U11313" s="41">
        <v>0</v>
      </c>
      <c r="V11313" s="42" t="s">
        <v>113</v>
      </c>
      <c r="W11313" s="42">
        <v>12751.86</v>
      </c>
      <c r="X11313" s="42">
        <v>12751.86</v>
      </c>
    </row>
    <row r="11314" spans="1:24">
      <c r="A11314" s="27" t="s">
        <v>20507</v>
      </c>
      <c r="B11314" s="28" t="s">
        <v>19918</v>
      </c>
      <c r="C11314" s="27" t="s">
        <v>20508</v>
      </c>
      <c r="D11314" s="27" t="s">
        <v>118</v>
      </c>
      <c r="E11314" s="29">
        <v>40113</v>
      </c>
      <c r="F11314" s="27">
        <v>8</v>
      </c>
      <c r="G11314" s="18">
        <v>22751.86</v>
      </c>
      <c r="H11314" s="27">
        <f t="shared" si="352"/>
        <v>22751.86</v>
      </c>
      <c r="I11314" s="18">
        <v>21614.26</v>
      </c>
      <c r="J11314" s="27">
        <v>22751.86</v>
      </c>
      <c r="K11314" s="18">
        <f t="shared" si="353"/>
        <v>22751.86</v>
      </c>
      <c r="L11314" s="27">
        <v>21614.26</v>
      </c>
      <c r="M11314" s="36">
        <v>0</v>
      </c>
      <c r="T11314" s="41">
        <v>0</v>
      </c>
      <c r="U11314" s="41">
        <v>0</v>
      </c>
      <c r="V11314" s="42" t="s">
        <v>113</v>
      </c>
      <c r="W11314" s="42">
        <v>22751.86</v>
      </c>
      <c r="X11314" s="42">
        <v>22751.86</v>
      </c>
    </row>
    <row r="11315" spans="1:24">
      <c r="A11315" s="27" t="s">
        <v>20509</v>
      </c>
      <c r="B11315" s="28" t="s">
        <v>19918</v>
      </c>
      <c r="C11315" s="27" t="s">
        <v>20510</v>
      </c>
      <c r="D11315" s="27" t="s">
        <v>220</v>
      </c>
      <c r="E11315" s="29">
        <v>40113</v>
      </c>
      <c r="F11315" s="27">
        <v>8</v>
      </c>
      <c r="G11315" s="18">
        <v>40000</v>
      </c>
      <c r="H11315" s="27">
        <f t="shared" si="352"/>
        <v>40000</v>
      </c>
      <c r="I11315" s="18">
        <v>38000</v>
      </c>
      <c r="J11315" s="27">
        <v>40000</v>
      </c>
      <c r="K11315" s="18">
        <f t="shared" si="353"/>
        <v>40000</v>
      </c>
      <c r="L11315" s="27">
        <v>38000</v>
      </c>
      <c r="M11315" s="36">
        <v>0</v>
      </c>
      <c r="T11315" s="41">
        <v>0</v>
      </c>
      <c r="U11315" s="41">
        <v>0</v>
      </c>
      <c r="V11315" s="42" t="s">
        <v>113</v>
      </c>
      <c r="W11315" s="42">
        <v>40000</v>
      </c>
      <c r="X11315" s="42">
        <v>40000</v>
      </c>
    </row>
    <row r="11316" spans="1:24">
      <c r="A11316" s="27" t="s">
        <v>20511</v>
      </c>
      <c r="B11316" s="28" t="s">
        <v>19918</v>
      </c>
      <c r="C11316" s="27" t="s">
        <v>20512</v>
      </c>
      <c r="D11316" s="27" t="s">
        <v>112</v>
      </c>
      <c r="E11316" s="29">
        <v>40113</v>
      </c>
      <c r="F11316" s="27">
        <v>8</v>
      </c>
      <c r="G11316" s="18">
        <v>3250</v>
      </c>
      <c r="H11316" s="27">
        <f t="shared" si="352"/>
        <v>3250</v>
      </c>
      <c r="I11316" s="18">
        <v>3087.51</v>
      </c>
      <c r="J11316" s="27">
        <v>3250</v>
      </c>
      <c r="K11316" s="18">
        <f t="shared" si="353"/>
        <v>3250</v>
      </c>
      <c r="L11316" s="27">
        <v>3087.51</v>
      </c>
      <c r="M11316" s="36">
        <v>0</v>
      </c>
      <c r="T11316" s="41">
        <v>0</v>
      </c>
      <c r="U11316" s="41">
        <v>0</v>
      </c>
      <c r="V11316" s="42" t="s">
        <v>113</v>
      </c>
      <c r="W11316" s="42">
        <v>3250</v>
      </c>
      <c r="X11316" s="42">
        <v>3250</v>
      </c>
    </row>
    <row r="11317" spans="1:24">
      <c r="A11317" s="27" t="s">
        <v>20513</v>
      </c>
      <c r="B11317" s="28" t="s">
        <v>19918</v>
      </c>
      <c r="C11317" s="27" t="s">
        <v>20514</v>
      </c>
      <c r="D11317" s="27" t="s">
        <v>118</v>
      </c>
      <c r="E11317" s="29">
        <v>40113</v>
      </c>
      <c r="F11317" s="27">
        <v>8</v>
      </c>
      <c r="G11317" s="18">
        <v>12751.86</v>
      </c>
      <c r="H11317" s="27">
        <f t="shared" si="352"/>
        <v>12751.86</v>
      </c>
      <c r="I11317" s="18">
        <v>12114.27</v>
      </c>
      <c r="J11317" s="27">
        <v>12751.86</v>
      </c>
      <c r="K11317" s="18">
        <f t="shared" si="353"/>
        <v>12751.86</v>
      </c>
      <c r="L11317" s="27">
        <v>12114.27</v>
      </c>
      <c r="M11317" s="36">
        <v>0</v>
      </c>
      <c r="T11317" s="41">
        <v>0</v>
      </c>
      <c r="U11317" s="41">
        <v>0</v>
      </c>
      <c r="V11317" s="42" t="s">
        <v>113</v>
      </c>
      <c r="W11317" s="42">
        <v>12751.86</v>
      </c>
      <c r="X11317" s="42">
        <v>12751.86</v>
      </c>
    </row>
    <row r="11318" spans="1:24">
      <c r="A11318" s="27" t="s">
        <v>20515</v>
      </c>
      <c r="B11318" s="28" t="s">
        <v>19918</v>
      </c>
      <c r="C11318" s="27" t="s">
        <v>20487</v>
      </c>
      <c r="D11318" s="27" t="s">
        <v>118</v>
      </c>
      <c r="E11318" s="29">
        <v>37591</v>
      </c>
      <c r="F11318" s="27">
        <v>8</v>
      </c>
      <c r="G11318" s="18">
        <v>2006.4</v>
      </c>
      <c r="H11318" s="27">
        <f t="shared" si="352"/>
        <v>2006.4</v>
      </c>
      <c r="I11318" s="18">
        <v>1906.08</v>
      </c>
      <c r="J11318" s="27">
        <v>2006.4</v>
      </c>
      <c r="K11318" s="18">
        <f t="shared" si="353"/>
        <v>2006.4</v>
      </c>
      <c r="L11318" s="27">
        <v>1906.08</v>
      </c>
      <c r="M11318" s="36">
        <v>0</v>
      </c>
      <c r="T11318" s="41">
        <v>0</v>
      </c>
      <c r="U11318" s="41">
        <v>0</v>
      </c>
      <c r="V11318" s="42" t="s">
        <v>113</v>
      </c>
      <c r="W11318" s="42">
        <v>2006.4</v>
      </c>
      <c r="X11318" s="42">
        <v>2006.4</v>
      </c>
    </row>
    <row r="11319" spans="1:24">
      <c r="A11319" s="27" t="s">
        <v>20516</v>
      </c>
      <c r="B11319" s="28" t="s">
        <v>19918</v>
      </c>
      <c r="C11319" s="27" t="s">
        <v>20245</v>
      </c>
      <c r="D11319" s="27" t="s">
        <v>112</v>
      </c>
      <c r="E11319" s="29">
        <v>40113</v>
      </c>
      <c r="F11319" s="27">
        <v>8</v>
      </c>
      <c r="G11319" s="18">
        <v>22751.86</v>
      </c>
      <c r="H11319" s="27">
        <f t="shared" si="352"/>
        <v>22751.86</v>
      </c>
      <c r="I11319" s="18">
        <v>21614.26</v>
      </c>
      <c r="J11319" s="27">
        <v>22751.86</v>
      </c>
      <c r="K11319" s="18">
        <f t="shared" si="353"/>
        <v>22751.86</v>
      </c>
      <c r="L11319" s="27">
        <v>21614.26</v>
      </c>
      <c r="M11319" s="36">
        <v>0</v>
      </c>
      <c r="T11319" s="41">
        <v>0</v>
      </c>
      <c r="U11319" s="41">
        <v>0</v>
      </c>
      <c r="V11319" s="42" t="s">
        <v>113</v>
      </c>
      <c r="W11319" s="42">
        <v>22751.86</v>
      </c>
      <c r="X11319" s="42">
        <v>22751.86</v>
      </c>
    </row>
    <row r="11320" spans="1:24">
      <c r="A11320" s="27" t="s">
        <v>20517</v>
      </c>
      <c r="B11320" s="28" t="s">
        <v>19918</v>
      </c>
      <c r="C11320" s="27" t="s">
        <v>20229</v>
      </c>
      <c r="D11320" s="27" t="s">
        <v>230</v>
      </c>
      <c r="E11320" s="29">
        <v>40113</v>
      </c>
      <c r="F11320" s="27">
        <v>8</v>
      </c>
      <c r="G11320" s="18">
        <v>22751.86</v>
      </c>
      <c r="H11320" s="27">
        <f t="shared" si="352"/>
        <v>22751.86</v>
      </c>
      <c r="I11320" s="18">
        <v>21614.27</v>
      </c>
      <c r="J11320" s="27">
        <v>22751.86</v>
      </c>
      <c r="K11320" s="18">
        <f t="shared" si="353"/>
        <v>22751.86</v>
      </c>
      <c r="L11320" s="27">
        <v>21614.27</v>
      </c>
      <c r="M11320" s="36">
        <v>0</v>
      </c>
      <c r="T11320" s="41">
        <v>0</v>
      </c>
      <c r="U11320" s="41">
        <v>0</v>
      </c>
      <c r="V11320" s="42" t="s">
        <v>113</v>
      </c>
      <c r="W11320" s="42">
        <v>22751.86</v>
      </c>
      <c r="X11320" s="42">
        <v>22751.86</v>
      </c>
    </row>
    <row r="11321" spans="1:24">
      <c r="A11321" s="27" t="s">
        <v>20518</v>
      </c>
      <c r="B11321" s="28" t="s">
        <v>19918</v>
      </c>
      <c r="C11321" s="27" t="s">
        <v>20519</v>
      </c>
      <c r="D11321" s="27" t="s">
        <v>118</v>
      </c>
      <c r="E11321" s="29">
        <v>38534</v>
      </c>
      <c r="F11321" s="27">
        <v>8</v>
      </c>
      <c r="G11321" s="18">
        <v>20000</v>
      </c>
      <c r="H11321" s="27">
        <f t="shared" si="352"/>
        <v>20000</v>
      </c>
      <c r="I11321" s="18">
        <v>19000</v>
      </c>
      <c r="J11321" s="27">
        <v>20000</v>
      </c>
      <c r="K11321" s="18">
        <f t="shared" si="353"/>
        <v>20000</v>
      </c>
      <c r="L11321" s="27">
        <v>19000</v>
      </c>
      <c r="M11321" s="36">
        <v>0</v>
      </c>
      <c r="T11321" s="41">
        <v>0</v>
      </c>
      <c r="U11321" s="41">
        <v>0</v>
      </c>
      <c r="V11321" s="42" t="s">
        <v>113</v>
      </c>
      <c r="W11321" s="42">
        <v>20000</v>
      </c>
      <c r="X11321" s="42">
        <v>20000</v>
      </c>
    </row>
    <row r="11322" spans="1:24">
      <c r="A11322" s="27" t="s">
        <v>20520</v>
      </c>
      <c r="B11322" s="28" t="s">
        <v>19918</v>
      </c>
      <c r="C11322" s="27" t="s">
        <v>20521</v>
      </c>
      <c r="D11322" s="27" t="s">
        <v>118</v>
      </c>
      <c r="E11322" s="29">
        <v>40113</v>
      </c>
      <c r="F11322" s="27">
        <v>8</v>
      </c>
      <c r="G11322" s="18">
        <v>32000</v>
      </c>
      <c r="H11322" s="27">
        <f t="shared" si="352"/>
        <v>32000</v>
      </c>
      <c r="I11322" s="18">
        <v>30399.99</v>
      </c>
      <c r="J11322" s="27">
        <v>32000</v>
      </c>
      <c r="K11322" s="18">
        <f t="shared" si="353"/>
        <v>32000</v>
      </c>
      <c r="L11322" s="27">
        <v>30399.99</v>
      </c>
      <c r="M11322" s="36">
        <v>0</v>
      </c>
      <c r="T11322" s="41">
        <v>0</v>
      </c>
      <c r="U11322" s="41">
        <v>0</v>
      </c>
      <c r="V11322" s="42" t="s">
        <v>113</v>
      </c>
      <c r="W11322" s="42">
        <v>32000</v>
      </c>
      <c r="X11322" s="42">
        <v>32000</v>
      </c>
    </row>
    <row r="11323" spans="1:24">
      <c r="A11323" s="27" t="s">
        <v>20522</v>
      </c>
      <c r="B11323" s="28" t="s">
        <v>19918</v>
      </c>
      <c r="C11323" s="27" t="s">
        <v>20523</v>
      </c>
      <c r="D11323" s="27" t="s">
        <v>230</v>
      </c>
      <c r="E11323" s="29">
        <v>37226</v>
      </c>
      <c r="F11323" s="27">
        <v>8</v>
      </c>
      <c r="G11323" s="18">
        <v>2000</v>
      </c>
      <c r="H11323" s="27">
        <f t="shared" si="352"/>
        <v>2000</v>
      </c>
      <c r="I11323" s="18">
        <v>1900</v>
      </c>
      <c r="J11323" s="27">
        <v>2000</v>
      </c>
      <c r="K11323" s="18">
        <f t="shared" si="353"/>
        <v>2000</v>
      </c>
      <c r="L11323" s="27">
        <v>1900</v>
      </c>
      <c r="M11323" s="36">
        <v>0</v>
      </c>
      <c r="T11323" s="41">
        <v>0</v>
      </c>
      <c r="U11323" s="41">
        <v>0</v>
      </c>
      <c r="V11323" s="42" t="s">
        <v>113</v>
      </c>
      <c r="W11323" s="42">
        <v>2000</v>
      </c>
      <c r="X11323" s="42">
        <v>2000</v>
      </c>
    </row>
    <row r="11324" spans="1:24">
      <c r="A11324" s="27" t="s">
        <v>20524</v>
      </c>
      <c r="B11324" s="28" t="s">
        <v>19918</v>
      </c>
      <c r="C11324" s="27" t="s">
        <v>20525</v>
      </c>
      <c r="D11324" s="27" t="s">
        <v>17578</v>
      </c>
      <c r="E11324" s="29">
        <v>40165</v>
      </c>
      <c r="F11324" s="27">
        <v>8</v>
      </c>
      <c r="G11324" s="18">
        <v>2000</v>
      </c>
      <c r="H11324" s="27">
        <f t="shared" si="352"/>
        <v>2000</v>
      </c>
      <c r="I11324" s="18">
        <v>1900</v>
      </c>
      <c r="J11324" s="27">
        <v>2000</v>
      </c>
      <c r="K11324" s="18">
        <f t="shared" si="353"/>
        <v>2000</v>
      </c>
      <c r="L11324" s="27">
        <v>1900</v>
      </c>
      <c r="M11324" s="36">
        <v>0</v>
      </c>
      <c r="T11324" s="41">
        <v>0</v>
      </c>
      <c r="U11324" s="41">
        <v>0</v>
      </c>
      <c r="V11324" s="42" t="s">
        <v>113</v>
      </c>
      <c r="W11324" s="42">
        <v>2000</v>
      </c>
      <c r="X11324" s="42">
        <v>2000</v>
      </c>
    </row>
    <row r="11325" spans="1:24">
      <c r="A11325" s="27" t="s">
        <v>20526</v>
      </c>
      <c r="B11325" s="28" t="s">
        <v>19918</v>
      </c>
      <c r="C11325" s="27" t="s">
        <v>20527</v>
      </c>
      <c r="D11325" s="27" t="s">
        <v>230</v>
      </c>
      <c r="E11325" s="29">
        <v>40113</v>
      </c>
      <c r="F11325" s="27">
        <v>8</v>
      </c>
      <c r="G11325" s="18">
        <v>3000</v>
      </c>
      <c r="H11325" s="27">
        <f t="shared" si="352"/>
        <v>3000</v>
      </c>
      <c r="I11325" s="18">
        <v>2850.01</v>
      </c>
      <c r="J11325" s="27">
        <v>3000</v>
      </c>
      <c r="K11325" s="18">
        <f t="shared" si="353"/>
        <v>3000</v>
      </c>
      <c r="L11325" s="27">
        <v>2850.01</v>
      </c>
      <c r="M11325" s="36">
        <v>0</v>
      </c>
      <c r="T11325" s="41">
        <v>0</v>
      </c>
      <c r="U11325" s="41">
        <v>0</v>
      </c>
      <c r="V11325" s="42" t="s">
        <v>113</v>
      </c>
      <c r="W11325" s="42">
        <v>3000</v>
      </c>
      <c r="X11325" s="42">
        <v>3000</v>
      </c>
    </row>
    <row r="11326" spans="1:24">
      <c r="A11326" s="27" t="s">
        <v>20528</v>
      </c>
      <c r="B11326" s="28" t="s">
        <v>19918</v>
      </c>
      <c r="C11326" s="27" t="s">
        <v>20529</v>
      </c>
      <c r="D11326" s="27" t="s">
        <v>230</v>
      </c>
      <c r="E11326" s="29">
        <v>40113</v>
      </c>
      <c r="F11326" s="27">
        <v>8</v>
      </c>
      <c r="G11326" s="18">
        <v>3000</v>
      </c>
      <c r="H11326" s="27">
        <f t="shared" si="352"/>
        <v>3000</v>
      </c>
      <c r="I11326" s="18">
        <v>2850</v>
      </c>
      <c r="J11326" s="27">
        <v>3000</v>
      </c>
      <c r="K11326" s="18">
        <f t="shared" si="353"/>
        <v>3000</v>
      </c>
      <c r="L11326" s="27">
        <v>2850</v>
      </c>
      <c r="M11326" s="36">
        <v>0</v>
      </c>
      <c r="T11326" s="41">
        <v>0</v>
      </c>
      <c r="U11326" s="41">
        <v>0</v>
      </c>
      <c r="V11326" s="42" t="s">
        <v>113</v>
      </c>
      <c r="W11326" s="42">
        <v>3000</v>
      </c>
      <c r="X11326" s="42">
        <v>3000</v>
      </c>
    </row>
    <row r="11327" spans="1:24">
      <c r="A11327" s="27" t="s">
        <v>20530</v>
      </c>
      <c r="B11327" s="28" t="s">
        <v>19918</v>
      </c>
      <c r="C11327" s="27" t="s">
        <v>20531</v>
      </c>
      <c r="D11327" s="27" t="s">
        <v>17578</v>
      </c>
      <c r="E11327" s="29">
        <v>40114</v>
      </c>
      <c r="F11327" s="27">
        <v>8</v>
      </c>
      <c r="G11327" s="18">
        <v>2000</v>
      </c>
      <c r="H11327" s="27">
        <f t="shared" si="352"/>
        <v>2000</v>
      </c>
      <c r="I11327" s="18">
        <v>1900</v>
      </c>
      <c r="J11327" s="27">
        <v>2000</v>
      </c>
      <c r="K11327" s="18">
        <f t="shared" si="353"/>
        <v>2000</v>
      </c>
      <c r="L11327" s="27">
        <v>1900</v>
      </c>
      <c r="M11327" s="36">
        <v>0</v>
      </c>
      <c r="T11327" s="41">
        <v>0</v>
      </c>
      <c r="U11327" s="41">
        <v>0</v>
      </c>
      <c r="V11327" s="42" t="s">
        <v>113</v>
      </c>
      <c r="W11327" s="42">
        <v>2000</v>
      </c>
      <c r="X11327" s="42">
        <v>2000</v>
      </c>
    </row>
    <row r="11328" spans="1:24">
      <c r="A11328" s="27" t="s">
        <v>20532</v>
      </c>
      <c r="B11328" s="28" t="s">
        <v>19918</v>
      </c>
      <c r="C11328" s="27" t="s">
        <v>20533</v>
      </c>
      <c r="D11328" s="27" t="s">
        <v>112</v>
      </c>
      <c r="E11328" s="29">
        <v>40268</v>
      </c>
      <c r="F11328" s="27">
        <v>8</v>
      </c>
      <c r="G11328" s="18">
        <v>6500</v>
      </c>
      <c r="H11328" s="27">
        <f t="shared" si="352"/>
        <v>6500</v>
      </c>
      <c r="I11328" s="18">
        <v>6175</v>
      </c>
      <c r="J11328" s="27">
        <v>6500</v>
      </c>
      <c r="K11328" s="18">
        <f t="shared" si="353"/>
        <v>6500</v>
      </c>
      <c r="L11328" s="27">
        <v>6175</v>
      </c>
      <c r="M11328" s="36">
        <v>0</v>
      </c>
      <c r="T11328" s="41">
        <v>0</v>
      </c>
      <c r="U11328" s="41">
        <v>0</v>
      </c>
      <c r="V11328" s="42" t="s">
        <v>113</v>
      </c>
      <c r="W11328" s="42">
        <v>6500</v>
      </c>
      <c r="X11328" s="42">
        <v>6500</v>
      </c>
    </row>
    <row r="11329" spans="1:24">
      <c r="A11329" s="27" t="s">
        <v>20534</v>
      </c>
      <c r="B11329" s="28" t="s">
        <v>19918</v>
      </c>
      <c r="C11329" s="27" t="s">
        <v>20535</v>
      </c>
      <c r="D11329" s="27" t="s">
        <v>112</v>
      </c>
      <c r="E11329" s="29">
        <v>40268</v>
      </c>
      <c r="F11329" s="27">
        <v>8</v>
      </c>
      <c r="G11329" s="18">
        <v>6500</v>
      </c>
      <c r="H11329" s="27">
        <f t="shared" si="352"/>
        <v>6500</v>
      </c>
      <c r="I11329" s="18">
        <v>6175</v>
      </c>
      <c r="J11329" s="27">
        <v>6500</v>
      </c>
      <c r="K11329" s="18">
        <f t="shared" si="353"/>
        <v>6500</v>
      </c>
      <c r="L11329" s="27">
        <v>6175</v>
      </c>
      <c r="M11329" s="36">
        <v>0</v>
      </c>
      <c r="T11329" s="41">
        <v>0</v>
      </c>
      <c r="U11329" s="41">
        <v>0</v>
      </c>
      <c r="V11329" s="42" t="s">
        <v>113</v>
      </c>
      <c r="W11329" s="42">
        <v>6500</v>
      </c>
      <c r="X11329" s="42">
        <v>6500</v>
      </c>
    </row>
    <row r="11330" spans="1:24">
      <c r="A11330" s="27" t="s">
        <v>20536</v>
      </c>
      <c r="B11330" s="28" t="s">
        <v>19918</v>
      </c>
      <c r="C11330" s="27" t="s">
        <v>20537</v>
      </c>
      <c r="D11330" s="27" t="s">
        <v>112</v>
      </c>
      <c r="E11330" s="29">
        <v>40268</v>
      </c>
      <c r="F11330" s="27">
        <v>8</v>
      </c>
      <c r="G11330" s="18">
        <v>6500</v>
      </c>
      <c r="H11330" s="27">
        <f t="shared" si="352"/>
        <v>6500</v>
      </c>
      <c r="I11330" s="18">
        <v>6175</v>
      </c>
      <c r="J11330" s="27">
        <v>6500</v>
      </c>
      <c r="K11330" s="18">
        <f t="shared" si="353"/>
        <v>6500</v>
      </c>
      <c r="L11330" s="27">
        <v>6175</v>
      </c>
      <c r="M11330" s="36">
        <v>0</v>
      </c>
      <c r="T11330" s="41">
        <v>0</v>
      </c>
      <c r="U11330" s="41">
        <v>0</v>
      </c>
      <c r="V11330" s="42" t="s">
        <v>113</v>
      </c>
      <c r="W11330" s="42">
        <v>6500</v>
      </c>
      <c r="X11330" s="42">
        <v>6500</v>
      </c>
    </row>
    <row r="11331" spans="1:24">
      <c r="A11331" s="27" t="s">
        <v>20538</v>
      </c>
      <c r="B11331" s="28" t="s">
        <v>19918</v>
      </c>
      <c r="C11331" s="27" t="s">
        <v>20539</v>
      </c>
      <c r="D11331" s="27" t="s">
        <v>112</v>
      </c>
      <c r="E11331" s="29">
        <v>40268</v>
      </c>
      <c r="F11331" s="27">
        <v>8</v>
      </c>
      <c r="G11331" s="18">
        <v>4000</v>
      </c>
      <c r="H11331" s="27">
        <f t="shared" si="352"/>
        <v>4000</v>
      </c>
      <c r="I11331" s="18">
        <v>3800</v>
      </c>
      <c r="J11331" s="27">
        <v>4000</v>
      </c>
      <c r="K11331" s="18">
        <f t="shared" si="353"/>
        <v>4000</v>
      </c>
      <c r="L11331" s="27">
        <v>3800</v>
      </c>
      <c r="M11331" s="36">
        <v>0</v>
      </c>
      <c r="T11331" s="41">
        <v>0</v>
      </c>
      <c r="U11331" s="41">
        <v>0</v>
      </c>
      <c r="V11331" s="42" t="s">
        <v>113</v>
      </c>
      <c r="W11331" s="42">
        <v>4000</v>
      </c>
      <c r="X11331" s="42">
        <v>4000</v>
      </c>
    </row>
    <row r="11332" spans="1:24">
      <c r="A11332" s="27" t="s">
        <v>20540</v>
      </c>
      <c r="B11332" s="28" t="s">
        <v>19918</v>
      </c>
      <c r="C11332" s="27" t="s">
        <v>20541</v>
      </c>
      <c r="D11332" s="27" t="s">
        <v>112</v>
      </c>
      <c r="E11332" s="29">
        <v>40268</v>
      </c>
      <c r="F11332" s="27">
        <v>8</v>
      </c>
      <c r="G11332" s="18">
        <v>4000</v>
      </c>
      <c r="H11332" s="27">
        <f t="shared" si="352"/>
        <v>4000</v>
      </c>
      <c r="I11332" s="18">
        <v>3800</v>
      </c>
      <c r="J11332" s="27">
        <v>4000</v>
      </c>
      <c r="K11332" s="18">
        <f t="shared" si="353"/>
        <v>4000</v>
      </c>
      <c r="L11332" s="27">
        <v>3800</v>
      </c>
      <c r="M11332" s="36">
        <v>0</v>
      </c>
      <c r="T11332" s="41">
        <v>0</v>
      </c>
      <c r="U11332" s="41">
        <v>0</v>
      </c>
      <c r="V11332" s="42" t="s">
        <v>113</v>
      </c>
      <c r="W11332" s="42">
        <v>4000</v>
      </c>
      <c r="X11332" s="42">
        <v>4000</v>
      </c>
    </row>
    <row r="11333" spans="1:24">
      <c r="A11333" s="27" t="s">
        <v>20542</v>
      </c>
      <c r="B11333" s="28" t="s">
        <v>19918</v>
      </c>
      <c r="C11333" s="27" t="s">
        <v>20543</v>
      </c>
      <c r="D11333" s="27" t="s">
        <v>112</v>
      </c>
      <c r="E11333" s="29">
        <v>40268</v>
      </c>
      <c r="F11333" s="27">
        <v>8</v>
      </c>
      <c r="G11333" s="18">
        <v>6500</v>
      </c>
      <c r="H11333" s="27">
        <f t="shared" si="352"/>
        <v>6500</v>
      </c>
      <c r="I11333" s="18">
        <v>6175</v>
      </c>
      <c r="J11333" s="27">
        <v>6500</v>
      </c>
      <c r="K11333" s="18">
        <f t="shared" si="353"/>
        <v>6500</v>
      </c>
      <c r="L11333" s="27">
        <v>6175</v>
      </c>
      <c r="M11333" s="36">
        <v>0</v>
      </c>
      <c r="T11333" s="41">
        <v>0</v>
      </c>
      <c r="U11333" s="41">
        <v>0</v>
      </c>
      <c r="V11333" s="42" t="s">
        <v>113</v>
      </c>
      <c r="W11333" s="42">
        <v>6500</v>
      </c>
      <c r="X11333" s="42">
        <v>6500</v>
      </c>
    </row>
    <row r="11334" spans="1:24">
      <c r="A11334" s="27" t="s">
        <v>20544</v>
      </c>
      <c r="B11334" s="28" t="s">
        <v>19918</v>
      </c>
      <c r="C11334" s="27" t="s">
        <v>20545</v>
      </c>
      <c r="D11334" s="27" t="s">
        <v>112</v>
      </c>
      <c r="E11334" s="29">
        <v>40268</v>
      </c>
      <c r="F11334" s="27">
        <v>8</v>
      </c>
      <c r="G11334" s="18">
        <v>6500</v>
      </c>
      <c r="H11334" s="27">
        <f t="shared" ref="H11334:H11397" si="354">IFERROR(IF(ROUND((G11334-I11334)/G11334,2)&lt;=0.05,G11334,0),0)</f>
        <v>6500</v>
      </c>
      <c r="I11334" s="18">
        <v>6175</v>
      </c>
      <c r="J11334" s="27">
        <v>6500</v>
      </c>
      <c r="K11334" s="18">
        <f t="shared" ref="K11334:K11397" si="355">IFERROR(IF(ROUND((J11334-L11334)/J11334,2)&lt;=0.05,J11334,0),0)</f>
        <v>6500</v>
      </c>
      <c r="L11334" s="27">
        <v>6175</v>
      </c>
      <c r="M11334" s="36">
        <v>0</v>
      </c>
      <c r="T11334" s="41">
        <v>0</v>
      </c>
      <c r="U11334" s="41">
        <v>0</v>
      </c>
      <c r="V11334" s="42" t="s">
        <v>113</v>
      </c>
      <c r="W11334" s="42">
        <v>6500</v>
      </c>
      <c r="X11334" s="42">
        <v>6500</v>
      </c>
    </row>
    <row r="11335" spans="1:24">
      <c r="A11335" s="27" t="s">
        <v>20546</v>
      </c>
      <c r="B11335" s="28" t="s">
        <v>19918</v>
      </c>
      <c r="C11335" s="27" t="s">
        <v>20547</v>
      </c>
      <c r="D11335" s="27" t="s">
        <v>112</v>
      </c>
      <c r="E11335" s="29">
        <v>40268</v>
      </c>
      <c r="F11335" s="27">
        <v>8</v>
      </c>
      <c r="G11335" s="18">
        <v>6500</v>
      </c>
      <c r="H11335" s="27">
        <f t="shared" si="354"/>
        <v>6500</v>
      </c>
      <c r="I11335" s="18">
        <v>6175</v>
      </c>
      <c r="J11335" s="27">
        <v>6500</v>
      </c>
      <c r="K11335" s="18">
        <f t="shared" si="355"/>
        <v>6500</v>
      </c>
      <c r="L11335" s="27">
        <v>6175</v>
      </c>
      <c r="M11335" s="36">
        <v>0</v>
      </c>
      <c r="T11335" s="41">
        <v>0</v>
      </c>
      <c r="U11335" s="41">
        <v>0</v>
      </c>
      <c r="V11335" s="42" t="s">
        <v>113</v>
      </c>
      <c r="W11335" s="42">
        <v>6500</v>
      </c>
      <c r="X11335" s="42">
        <v>6500</v>
      </c>
    </row>
    <row r="11336" spans="1:24">
      <c r="A11336" s="27" t="s">
        <v>20548</v>
      </c>
      <c r="B11336" s="28" t="s">
        <v>19918</v>
      </c>
      <c r="C11336" s="27" t="s">
        <v>20549</v>
      </c>
      <c r="D11336" s="27" t="s">
        <v>112</v>
      </c>
      <c r="E11336" s="29">
        <v>40268</v>
      </c>
      <c r="F11336" s="27">
        <v>8</v>
      </c>
      <c r="G11336" s="18">
        <v>6500</v>
      </c>
      <c r="H11336" s="27">
        <f t="shared" si="354"/>
        <v>6500</v>
      </c>
      <c r="I11336" s="18">
        <v>6175</v>
      </c>
      <c r="J11336" s="27">
        <v>6500</v>
      </c>
      <c r="K11336" s="18">
        <f t="shared" si="355"/>
        <v>6500</v>
      </c>
      <c r="L11336" s="27">
        <v>6175</v>
      </c>
      <c r="M11336" s="36">
        <v>0</v>
      </c>
      <c r="T11336" s="41">
        <v>0</v>
      </c>
      <c r="U11336" s="41">
        <v>0</v>
      </c>
      <c r="V11336" s="42" t="s">
        <v>113</v>
      </c>
      <c r="W11336" s="42">
        <v>6500</v>
      </c>
      <c r="X11336" s="42">
        <v>6500</v>
      </c>
    </row>
    <row r="11337" spans="1:24">
      <c r="A11337" s="27" t="s">
        <v>20550</v>
      </c>
      <c r="B11337" s="28" t="s">
        <v>19918</v>
      </c>
      <c r="C11337" s="27" t="s">
        <v>20551</v>
      </c>
      <c r="D11337" s="27" t="s">
        <v>112</v>
      </c>
      <c r="E11337" s="29">
        <v>40268</v>
      </c>
      <c r="F11337" s="27">
        <v>8</v>
      </c>
      <c r="G11337" s="18">
        <v>6500</v>
      </c>
      <c r="H11337" s="27">
        <f t="shared" si="354"/>
        <v>6500</v>
      </c>
      <c r="I11337" s="18">
        <v>6175</v>
      </c>
      <c r="J11337" s="27">
        <v>6500</v>
      </c>
      <c r="K11337" s="18">
        <f t="shared" si="355"/>
        <v>6500</v>
      </c>
      <c r="L11337" s="27">
        <v>6175</v>
      </c>
      <c r="M11337" s="36">
        <v>0</v>
      </c>
      <c r="T11337" s="41">
        <v>0</v>
      </c>
      <c r="U11337" s="41">
        <v>0</v>
      </c>
      <c r="V11337" s="42" t="s">
        <v>113</v>
      </c>
      <c r="W11337" s="42">
        <v>6500</v>
      </c>
      <c r="X11337" s="42">
        <v>6500</v>
      </c>
    </row>
    <row r="11338" spans="1:24">
      <c r="A11338" s="27" t="s">
        <v>20552</v>
      </c>
      <c r="B11338" s="28" t="s">
        <v>19918</v>
      </c>
      <c r="C11338" s="27" t="s">
        <v>20553</v>
      </c>
      <c r="D11338" s="27" t="s">
        <v>118</v>
      </c>
      <c r="E11338" s="29">
        <v>40543</v>
      </c>
      <c r="F11338" s="27">
        <v>8</v>
      </c>
      <c r="G11338" s="18">
        <v>12000</v>
      </c>
      <c r="H11338" s="27">
        <f t="shared" si="354"/>
        <v>12000</v>
      </c>
      <c r="I11338" s="18">
        <v>11400</v>
      </c>
      <c r="J11338" s="27">
        <v>12000</v>
      </c>
      <c r="K11338" s="18">
        <f t="shared" si="355"/>
        <v>12000</v>
      </c>
      <c r="L11338" s="27">
        <v>11400</v>
      </c>
      <c r="M11338" s="36">
        <v>0</v>
      </c>
      <c r="T11338" s="41">
        <v>0</v>
      </c>
      <c r="U11338" s="41">
        <v>0</v>
      </c>
      <c r="V11338" s="42" t="s">
        <v>113</v>
      </c>
      <c r="W11338" s="42">
        <v>12000</v>
      </c>
      <c r="X11338" s="42">
        <v>12000</v>
      </c>
    </row>
    <row r="11339" spans="1:24">
      <c r="A11339" s="27" t="s">
        <v>20554</v>
      </c>
      <c r="B11339" s="28" t="s">
        <v>19918</v>
      </c>
      <c r="C11339" s="27" t="s">
        <v>20555</v>
      </c>
      <c r="D11339" s="27" t="s">
        <v>230</v>
      </c>
      <c r="E11339" s="29">
        <v>40268</v>
      </c>
      <c r="F11339" s="27">
        <v>8</v>
      </c>
      <c r="G11339" s="18">
        <v>2000</v>
      </c>
      <c r="H11339" s="27">
        <f t="shared" si="354"/>
        <v>2000</v>
      </c>
      <c r="I11339" s="18">
        <v>1900</v>
      </c>
      <c r="J11339" s="27">
        <v>2000</v>
      </c>
      <c r="K11339" s="18">
        <f t="shared" si="355"/>
        <v>2000</v>
      </c>
      <c r="L11339" s="27">
        <v>1900</v>
      </c>
      <c r="M11339" s="36">
        <v>0</v>
      </c>
      <c r="T11339" s="41">
        <v>0</v>
      </c>
      <c r="U11339" s="41">
        <v>0</v>
      </c>
      <c r="V11339" s="42" t="s">
        <v>113</v>
      </c>
      <c r="W11339" s="42">
        <v>2000</v>
      </c>
      <c r="X11339" s="42">
        <v>2000</v>
      </c>
    </row>
    <row r="11340" spans="1:24">
      <c r="A11340" s="27" t="s">
        <v>20556</v>
      </c>
      <c r="B11340" s="28" t="s">
        <v>19918</v>
      </c>
      <c r="C11340" s="27" t="s">
        <v>20432</v>
      </c>
      <c r="D11340" s="27" t="s">
        <v>112</v>
      </c>
      <c r="E11340" s="29">
        <v>40268</v>
      </c>
      <c r="F11340" s="27">
        <v>8</v>
      </c>
      <c r="G11340" s="18">
        <v>6000</v>
      </c>
      <c r="H11340" s="27">
        <f t="shared" si="354"/>
        <v>6000</v>
      </c>
      <c r="I11340" s="18">
        <v>5700</v>
      </c>
      <c r="J11340" s="27">
        <v>6000</v>
      </c>
      <c r="K11340" s="18">
        <f t="shared" si="355"/>
        <v>6000</v>
      </c>
      <c r="L11340" s="27">
        <v>5700</v>
      </c>
      <c r="M11340" s="36">
        <v>0</v>
      </c>
      <c r="T11340" s="41">
        <v>0</v>
      </c>
      <c r="U11340" s="41">
        <v>0</v>
      </c>
      <c r="V11340" s="42" t="s">
        <v>113</v>
      </c>
      <c r="W11340" s="42">
        <v>6000</v>
      </c>
      <c r="X11340" s="42">
        <v>6000</v>
      </c>
    </row>
    <row r="11341" spans="1:24">
      <c r="A11341" s="27" t="s">
        <v>20557</v>
      </c>
      <c r="B11341" s="28" t="s">
        <v>19918</v>
      </c>
      <c r="C11341" s="27" t="s">
        <v>20558</v>
      </c>
      <c r="D11341" s="27" t="s">
        <v>112</v>
      </c>
      <c r="E11341" s="29">
        <v>40268</v>
      </c>
      <c r="F11341" s="27">
        <v>8</v>
      </c>
      <c r="G11341" s="18">
        <v>3250</v>
      </c>
      <c r="H11341" s="27">
        <f t="shared" si="354"/>
        <v>3250</v>
      </c>
      <c r="I11341" s="18">
        <v>3087.5</v>
      </c>
      <c r="J11341" s="27">
        <v>3250</v>
      </c>
      <c r="K11341" s="18">
        <f t="shared" si="355"/>
        <v>3250</v>
      </c>
      <c r="L11341" s="27">
        <v>3087.5</v>
      </c>
      <c r="M11341" s="36">
        <v>0</v>
      </c>
      <c r="T11341" s="41">
        <v>0</v>
      </c>
      <c r="U11341" s="41">
        <v>0</v>
      </c>
      <c r="V11341" s="42" t="s">
        <v>113</v>
      </c>
      <c r="W11341" s="42">
        <v>3250</v>
      </c>
      <c r="X11341" s="42">
        <v>3250</v>
      </c>
    </row>
    <row r="11342" spans="1:24">
      <c r="A11342" s="27" t="s">
        <v>20559</v>
      </c>
      <c r="B11342" s="28" t="s">
        <v>19918</v>
      </c>
      <c r="C11342" s="27" t="s">
        <v>20219</v>
      </c>
      <c r="D11342" s="27" t="s">
        <v>112</v>
      </c>
      <c r="E11342" s="29">
        <v>40156</v>
      </c>
      <c r="F11342" s="27">
        <v>8</v>
      </c>
      <c r="G11342" s="18">
        <v>4000</v>
      </c>
      <c r="H11342" s="27">
        <f t="shared" si="354"/>
        <v>4000</v>
      </c>
      <c r="I11342" s="18">
        <v>3800</v>
      </c>
      <c r="J11342" s="27">
        <v>4000</v>
      </c>
      <c r="K11342" s="18">
        <f t="shared" si="355"/>
        <v>4000</v>
      </c>
      <c r="L11342" s="27">
        <v>3800</v>
      </c>
      <c r="M11342" s="36">
        <v>0</v>
      </c>
      <c r="T11342" s="41">
        <v>0</v>
      </c>
      <c r="U11342" s="41">
        <v>0</v>
      </c>
      <c r="V11342" s="42" t="s">
        <v>113</v>
      </c>
      <c r="W11342" s="42">
        <v>4000</v>
      </c>
      <c r="X11342" s="42">
        <v>4000</v>
      </c>
    </row>
    <row r="11343" spans="1:24">
      <c r="A11343" s="27" t="s">
        <v>20560</v>
      </c>
      <c r="B11343" s="28" t="s">
        <v>19918</v>
      </c>
      <c r="C11343" s="27" t="s">
        <v>20561</v>
      </c>
      <c r="D11343" s="27" t="s">
        <v>230</v>
      </c>
      <c r="E11343" s="29">
        <v>40156</v>
      </c>
      <c r="F11343" s="27">
        <v>8</v>
      </c>
      <c r="G11343" s="18">
        <v>2000</v>
      </c>
      <c r="H11343" s="27">
        <f t="shared" si="354"/>
        <v>2000</v>
      </c>
      <c r="I11343" s="18">
        <v>1900</v>
      </c>
      <c r="J11343" s="27">
        <v>2000</v>
      </c>
      <c r="K11343" s="18">
        <f t="shared" si="355"/>
        <v>2000</v>
      </c>
      <c r="L11343" s="27">
        <v>1900</v>
      </c>
      <c r="M11343" s="36">
        <v>0</v>
      </c>
      <c r="T11343" s="41">
        <v>0</v>
      </c>
      <c r="U11343" s="41">
        <v>0</v>
      </c>
      <c r="V11343" s="42" t="s">
        <v>113</v>
      </c>
      <c r="W11343" s="42">
        <v>2000</v>
      </c>
      <c r="X11343" s="42">
        <v>2000</v>
      </c>
    </row>
    <row r="11344" spans="1:24">
      <c r="A11344" s="27" t="s">
        <v>20562</v>
      </c>
      <c r="B11344" s="28" t="s">
        <v>19918</v>
      </c>
      <c r="C11344" s="27" t="s">
        <v>20563</v>
      </c>
      <c r="D11344" s="27" t="s">
        <v>230</v>
      </c>
      <c r="E11344" s="29">
        <v>40543</v>
      </c>
      <c r="F11344" s="27">
        <v>8</v>
      </c>
      <c r="G11344" s="18">
        <v>2000</v>
      </c>
      <c r="H11344" s="27">
        <f t="shared" si="354"/>
        <v>2000</v>
      </c>
      <c r="I11344" s="18">
        <v>1900</v>
      </c>
      <c r="J11344" s="27">
        <v>2000</v>
      </c>
      <c r="K11344" s="18">
        <f t="shared" si="355"/>
        <v>2000</v>
      </c>
      <c r="L11344" s="27">
        <v>1900</v>
      </c>
      <c r="M11344" s="36">
        <v>0</v>
      </c>
      <c r="T11344" s="41">
        <v>0</v>
      </c>
      <c r="U11344" s="41">
        <v>0</v>
      </c>
      <c r="V11344" s="42" t="s">
        <v>113</v>
      </c>
      <c r="W11344" s="42">
        <v>2000</v>
      </c>
      <c r="X11344" s="42">
        <v>2000</v>
      </c>
    </row>
    <row r="11345" spans="1:24">
      <c r="A11345" s="27" t="s">
        <v>20564</v>
      </c>
      <c r="B11345" s="28" t="s">
        <v>19918</v>
      </c>
      <c r="C11345" s="27" t="s">
        <v>20565</v>
      </c>
      <c r="D11345" s="27" t="s">
        <v>230</v>
      </c>
      <c r="E11345" s="29">
        <v>40543</v>
      </c>
      <c r="F11345" s="27">
        <v>8</v>
      </c>
      <c r="G11345" s="18">
        <v>2000</v>
      </c>
      <c r="H11345" s="27">
        <f t="shared" si="354"/>
        <v>2000</v>
      </c>
      <c r="I11345" s="18">
        <v>1900</v>
      </c>
      <c r="J11345" s="27">
        <v>2000</v>
      </c>
      <c r="K11345" s="18">
        <f t="shared" si="355"/>
        <v>2000</v>
      </c>
      <c r="L11345" s="27">
        <v>1900</v>
      </c>
      <c r="M11345" s="36">
        <v>0</v>
      </c>
      <c r="T11345" s="41">
        <v>0</v>
      </c>
      <c r="U11345" s="41">
        <v>0</v>
      </c>
      <c r="V11345" s="42" t="s">
        <v>113</v>
      </c>
      <c r="W11345" s="42">
        <v>2000</v>
      </c>
      <c r="X11345" s="42">
        <v>2000</v>
      </c>
    </row>
    <row r="11346" spans="1:24">
      <c r="A11346" s="27" t="s">
        <v>20566</v>
      </c>
      <c r="B11346" s="28" t="s">
        <v>19918</v>
      </c>
      <c r="C11346" s="27" t="s">
        <v>20567</v>
      </c>
      <c r="D11346" s="27" t="s">
        <v>230</v>
      </c>
      <c r="E11346" s="29">
        <v>40543</v>
      </c>
      <c r="F11346" s="27">
        <v>8</v>
      </c>
      <c r="G11346" s="18">
        <v>2000</v>
      </c>
      <c r="H11346" s="27">
        <f t="shared" si="354"/>
        <v>2000</v>
      </c>
      <c r="I11346" s="18">
        <v>1900</v>
      </c>
      <c r="J11346" s="27">
        <v>2000</v>
      </c>
      <c r="K11346" s="18">
        <f t="shared" si="355"/>
        <v>2000</v>
      </c>
      <c r="L11346" s="27">
        <v>1900</v>
      </c>
      <c r="M11346" s="36">
        <v>0</v>
      </c>
      <c r="T11346" s="41">
        <v>0</v>
      </c>
      <c r="U11346" s="41">
        <v>0</v>
      </c>
      <c r="V11346" s="42" t="s">
        <v>113</v>
      </c>
      <c r="W11346" s="42">
        <v>2000</v>
      </c>
      <c r="X11346" s="42">
        <v>2000</v>
      </c>
    </row>
    <row r="11347" spans="1:24">
      <c r="A11347" s="27" t="s">
        <v>20568</v>
      </c>
      <c r="B11347" s="28" t="s">
        <v>19918</v>
      </c>
      <c r="C11347" s="27" t="s">
        <v>20569</v>
      </c>
      <c r="D11347" s="27" t="s">
        <v>118</v>
      </c>
      <c r="E11347" s="29">
        <v>40543</v>
      </c>
      <c r="F11347" s="27">
        <v>8</v>
      </c>
      <c r="G11347" s="18">
        <v>6000</v>
      </c>
      <c r="H11347" s="27">
        <f t="shared" si="354"/>
        <v>6000</v>
      </c>
      <c r="I11347" s="18">
        <v>5700</v>
      </c>
      <c r="J11347" s="27">
        <v>6000</v>
      </c>
      <c r="K11347" s="18">
        <f t="shared" si="355"/>
        <v>6000</v>
      </c>
      <c r="L11347" s="27">
        <v>5700</v>
      </c>
      <c r="M11347" s="36">
        <v>0</v>
      </c>
      <c r="T11347" s="41">
        <v>0</v>
      </c>
      <c r="U11347" s="41">
        <v>0</v>
      </c>
      <c r="V11347" s="42" t="s">
        <v>113</v>
      </c>
      <c r="W11347" s="42">
        <v>6000</v>
      </c>
      <c r="X11347" s="42">
        <v>6000</v>
      </c>
    </row>
    <row r="11348" spans="1:24">
      <c r="A11348" s="27" t="s">
        <v>20570</v>
      </c>
      <c r="B11348" s="28" t="s">
        <v>19918</v>
      </c>
      <c r="C11348" s="27" t="s">
        <v>20571</v>
      </c>
      <c r="D11348" s="27" t="s">
        <v>230</v>
      </c>
      <c r="E11348" s="29">
        <v>40543</v>
      </c>
      <c r="F11348" s="27">
        <v>8</v>
      </c>
      <c r="G11348" s="18">
        <v>2000</v>
      </c>
      <c r="H11348" s="27">
        <f t="shared" si="354"/>
        <v>2000</v>
      </c>
      <c r="I11348" s="18">
        <v>1900</v>
      </c>
      <c r="J11348" s="27">
        <v>2000</v>
      </c>
      <c r="K11348" s="18">
        <f t="shared" si="355"/>
        <v>2000</v>
      </c>
      <c r="L11348" s="27">
        <v>1900</v>
      </c>
      <c r="M11348" s="36">
        <v>0</v>
      </c>
      <c r="T11348" s="41">
        <v>0</v>
      </c>
      <c r="U11348" s="41">
        <v>0</v>
      </c>
      <c r="V11348" s="42" t="s">
        <v>113</v>
      </c>
      <c r="W11348" s="42">
        <v>2000</v>
      </c>
      <c r="X11348" s="42">
        <v>2000</v>
      </c>
    </row>
    <row r="11349" spans="1:24">
      <c r="A11349" s="27" t="s">
        <v>20572</v>
      </c>
      <c r="B11349" s="28" t="s">
        <v>19918</v>
      </c>
      <c r="C11349" s="27" t="s">
        <v>20573</v>
      </c>
      <c r="D11349" s="27" t="s">
        <v>230</v>
      </c>
      <c r="E11349" s="29">
        <v>40543</v>
      </c>
      <c r="F11349" s="27">
        <v>8</v>
      </c>
      <c r="G11349" s="18">
        <v>2000</v>
      </c>
      <c r="H11349" s="27">
        <f t="shared" si="354"/>
        <v>2000</v>
      </c>
      <c r="I11349" s="18">
        <v>1900</v>
      </c>
      <c r="J11349" s="27">
        <v>2000</v>
      </c>
      <c r="K11349" s="18">
        <f t="shared" si="355"/>
        <v>2000</v>
      </c>
      <c r="L11349" s="27">
        <v>1900</v>
      </c>
      <c r="M11349" s="36">
        <v>0</v>
      </c>
      <c r="T11349" s="41">
        <v>0</v>
      </c>
      <c r="U11349" s="41">
        <v>0</v>
      </c>
      <c r="V11349" s="42" t="s">
        <v>113</v>
      </c>
      <c r="W11349" s="42">
        <v>2000</v>
      </c>
      <c r="X11349" s="42">
        <v>2000</v>
      </c>
    </row>
    <row r="11350" spans="1:24">
      <c r="A11350" s="27" t="s">
        <v>20574</v>
      </c>
      <c r="B11350" s="28" t="s">
        <v>19918</v>
      </c>
      <c r="C11350" s="27" t="s">
        <v>20575</v>
      </c>
      <c r="D11350" s="27" t="s">
        <v>118</v>
      </c>
      <c r="E11350" s="29">
        <v>40543</v>
      </c>
      <c r="F11350" s="27">
        <v>8</v>
      </c>
      <c r="G11350" s="18">
        <v>6000</v>
      </c>
      <c r="H11350" s="27">
        <f t="shared" si="354"/>
        <v>6000</v>
      </c>
      <c r="I11350" s="18">
        <v>5700</v>
      </c>
      <c r="J11350" s="27">
        <v>6000</v>
      </c>
      <c r="K11350" s="18">
        <f t="shared" si="355"/>
        <v>6000</v>
      </c>
      <c r="L11350" s="27">
        <v>5700</v>
      </c>
      <c r="M11350" s="36">
        <v>0</v>
      </c>
      <c r="T11350" s="41">
        <v>0</v>
      </c>
      <c r="U11350" s="41">
        <v>0</v>
      </c>
      <c r="V11350" s="42" t="s">
        <v>113</v>
      </c>
      <c r="W11350" s="42">
        <v>6000</v>
      </c>
      <c r="X11350" s="42">
        <v>6000</v>
      </c>
    </row>
    <row r="11351" spans="1:24">
      <c r="A11351" s="27" t="s">
        <v>20576</v>
      </c>
      <c r="B11351" s="28" t="s">
        <v>19918</v>
      </c>
      <c r="C11351" s="27" t="s">
        <v>20577</v>
      </c>
      <c r="D11351" s="27" t="s">
        <v>230</v>
      </c>
      <c r="E11351" s="29">
        <v>40543</v>
      </c>
      <c r="F11351" s="27">
        <v>8</v>
      </c>
      <c r="G11351" s="18">
        <v>2000</v>
      </c>
      <c r="H11351" s="27">
        <f t="shared" si="354"/>
        <v>2000</v>
      </c>
      <c r="I11351" s="18">
        <v>1900</v>
      </c>
      <c r="J11351" s="27">
        <v>2000</v>
      </c>
      <c r="K11351" s="18">
        <f t="shared" si="355"/>
        <v>2000</v>
      </c>
      <c r="L11351" s="27">
        <v>1900</v>
      </c>
      <c r="M11351" s="36">
        <v>0</v>
      </c>
      <c r="T11351" s="41">
        <v>0</v>
      </c>
      <c r="U11351" s="41">
        <v>0</v>
      </c>
      <c r="V11351" s="42" t="s">
        <v>113</v>
      </c>
      <c r="W11351" s="42">
        <v>2000</v>
      </c>
      <c r="X11351" s="42">
        <v>2000</v>
      </c>
    </row>
    <row r="11352" spans="1:24">
      <c r="A11352" s="27" t="s">
        <v>20578</v>
      </c>
      <c r="B11352" s="28" t="s">
        <v>19918</v>
      </c>
      <c r="C11352" s="27" t="s">
        <v>20579</v>
      </c>
      <c r="D11352" s="27" t="s">
        <v>230</v>
      </c>
      <c r="E11352" s="29">
        <v>40543</v>
      </c>
      <c r="F11352" s="27">
        <v>8</v>
      </c>
      <c r="G11352" s="18">
        <v>2000</v>
      </c>
      <c r="H11352" s="27">
        <f t="shared" si="354"/>
        <v>2000</v>
      </c>
      <c r="I11352" s="18">
        <v>1900</v>
      </c>
      <c r="J11352" s="27">
        <v>2000</v>
      </c>
      <c r="K11352" s="18">
        <f t="shared" si="355"/>
        <v>2000</v>
      </c>
      <c r="L11352" s="27">
        <v>1900</v>
      </c>
      <c r="M11352" s="36">
        <v>0</v>
      </c>
      <c r="T11352" s="41">
        <v>0</v>
      </c>
      <c r="U11352" s="41">
        <v>0</v>
      </c>
      <c r="V11352" s="42" t="s">
        <v>113</v>
      </c>
      <c r="W11352" s="42">
        <v>2000</v>
      </c>
      <c r="X11352" s="42">
        <v>2000</v>
      </c>
    </row>
    <row r="11353" spans="1:24">
      <c r="A11353" s="27" t="s">
        <v>20580</v>
      </c>
      <c r="B11353" s="28" t="s">
        <v>19918</v>
      </c>
      <c r="C11353" s="27" t="s">
        <v>20581</v>
      </c>
      <c r="D11353" s="27" t="s">
        <v>230</v>
      </c>
      <c r="E11353" s="29">
        <v>40543</v>
      </c>
      <c r="F11353" s="27">
        <v>8</v>
      </c>
      <c r="G11353" s="18">
        <v>2000</v>
      </c>
      <c r="H11353" s="27">
        <f t="shared" si="354"/>
        <v>2000</v>
      </c>
      <c r="I11353" s="18">
        <v>1900</v>
      </c>
      <c r="J11353" s="27">
        <v>2000</v>
      </c>
      <c r="K11353" s="18">
        <f t="shared" si="355"/>
        <v>2000</v>
      </c>
      <c r="L11353" s="27">
        <v>1900</v>
      </c>
      <c r="M11353" s="36">
        <v>0</v>
      </c>
      <c r="T11353" s="41">
        <v>0</v>
      </c>
      <c r="U11353" s="41">
        <v>0</v>
      </c>
      <c r="V11353" s="42" t="s">
        <v>113</v>
      </c>
      <c r="W11353" s="42">
        <v>2000</v>
      </c>
      <c r="X11353" s="42">
        <v>2000</v>
      </c>
    </row>
    <row r="11354" spans="1:24">
      <c r="A11354" s="27" t="s">
        <v>20582</v>
      </c>
      <c r="B11354" s="28" t="s">
        <v>19918</v>
      </c>
      <c r="C11354" s="27" t="s">
        <v>20583</v>
      </c>
      <c r="D11354" s="27" t="s">
        <v>230</v>
      </c>
      <c r="E11354" s="29">
        <v>40543</v>
      </c>
      <c r="F11354" s="27">
        <v>8</v>
      </c>
      <c r="G11354" s="18">
        <v>2000</v>
      </c>
      <c r="H11354" s="27">
        <f t="shared" si="354"/>
        <v>2000</v>
      </c>
      <c r="I11354" s="18">
        <v>1900</v>
      </c>
      <c r="J11354" s="27">
        <v>2000</v>
      </c>
      <c r="K11354" s="18">
        <f t="shared" si="355"/>
        <v>2000</v>
      </c>
      <c r="L11354" s="27">
        <v>1900</v>
      </c>
      <c r="M11354" s="36">
        <v>0</v>
      </c>
      <c r="T11354" s="41">
        <v>0</v>
      </c>
      <c r="U11354" s="41">
        <v>0</v>
      </c>
      <c r="V11354" s="42" t="s">
        <v>113</v>
      </c>
      <c r="W11354" s="42">
        <v>2000</v>
      </c>
      <c r="X11354" s="42">
        <v>2000</v>
      </c>
    </row>
    <row r="11355" spans="1:24">
      <c r="A11355" s="27" t="s">
        <v>20584</v>
      </c>
      <c r="B11355" s="28" t="s">
        <v>19918</v>
      </c>
      <c r="C11355" s="27" t="s">
        <v>20426</v>
      </c>
      <c r="D11355" s="27" t="s">
        <v>230</v>
      </c>
      <c r="E11355" s="29">
        <v>40543</v>
      </c>
      <c r="F11355" s="27">
        <v>8</v>
      </c>
      <c r="G11355" s="18">
        <v>2000</v>
      </c>
      <c r="H11355" s="27">
        <f t="shared" si="354"/>
        <v>2000</v>
      </c>
      <c r="I11355" s="18">
        <v>1900</v>
      </c>
      <c r="J11355" s="27">
        <v>2000</v>
      </c>
      <c r="K11355" s="18">
        <f t="shared" si="355"/>
        <v>2000</v>
      </c>
      <c r="L11355" s="27">
        <v>1900</v>
      </c>
      <c r="M11355" s="36">
        <v>0</v>
      </c>
      <c r="T11355" s="41">
        <v>0</v>
      </c>
      <c r="U11355" s="41">
        <v>0</v>
      </c>
      <c r="V11355" s="42" t="s">
        <v>113</v>
      </c>
      <c r="W11355" s="42">
        <v>2000</v>
      </c>
      <c r="X11355" s="42">
        <v>2000</v>
      </c>
    </row>
    <row r="11356" spans="1:24">
      <c r="A11356" s="27" t="s">
        <v>20585</v>
      </c>
      <c r="B11356" s="28" t="s">
        <v>19918</v>
      </c>
      <c r="C11356" s="27" t="s">
        <v>20586</v>
      </c>
      <c r="D11356" s="27" t="s">
        <v>230</v>
      </c>
      <c r="E11356" s="29">
        <v>40543</v>
      </c>
      <c r="F11356" s="27">
        <v>8</v>
      </c>
      <c r="G11356" s="18">
        <v>2000</v>
      </c>
      <c r="H11356" s="27">
        <f t="shared" si="354"/>
        <v>2000</v>
      </c>
      <c r="I11356" s="18">
        <v>1900</v>
      </c>
      <c r="J11356" s="27">
        <v>2000</v>
      </c>
      <c r="K11356" s="18">
        <f t="shared" si="355"/>
        <v>2000</v>
      </c>
      <c r="L11356" s="27">
        <v>1900</v>
      </c>
      <c r="M11356" s="36">
        <v>0</v>
      </c>
      <c r="T11356" s="41">
        <v>0</v>
      </c>
      <c r="U11356" s="41">
        <v>0</v>
      </c>
      <c r="V11356" s="42" t="s">
        <v>113</v>
      </c>
      <c r="W11356" s="42">
        <v>2000</v>
      </c>
      <c r="X11356" s="42">
        <v>2000</v>
      </c>
    </row>
    <row r="11357" spans="1:24">
      <c r="A11357" s="27" t="s">
        <v>20587</v>
      </c>
      <c r="B11357" s="28" t="s">
        <v>19918</v>
      </c>
      <c r="C11357" s="27" t="s">
        <v>20588</v>
      </c>
      <c r="D11357" s="27" t="s">
        <v>118</v>
      </c>
      <c r="E11357" s="29">
        <v>40543</v>
      </c>
      <c r="F11357" s="27">
        <v>8</v>
      </c>
      <c r="G11357" s="18">
        <v>12000</v>
      </c>
      <c r="H11357" s="27">
        <f t="shared" si="354"/>
        <v>12000</v>
      </c>
      <c r="I11357" s="18">
        <v>11400</v>
      </c>
      <c r="J11357" s="27">
        <v>12000</v>
      </c>
      <c r="K11357" s="18">
        <f t="shared" si="355"/>
        <v>12000</v>
      </c>
      <c r="L11357" s="27">
        <v>11400</v>
      </c>
      <c r="M11357" s="36">
        <v>0</v>
      </c>
      <c r="T11357" s="41">
        <v>0</v>
      </c>
      <c r="U11357" s="41">
        <v>0</v>
      </c>
      <c r="V11357" s="42" t="s">
        <v>113</v>
      </c>
      <c r="W11357" s="42">
        <v>12000</v>
      </c>
      <c r="X11357" s="42">
        <v>12000</v>
      </c>
    </row>
    <row r="11358" spans="1:24">
      <c r="A11358" s="27" t="s">
        <v>20589</v>
      </c>
      <c r="B11358" s="28" t="s">
        <v>19918</v>
      </c>
      <c r="C11358" s="27" t="s">
        <v>20590</v>
      </c>
      <c r="D11358" s="27" t="s">
        <v>230</v>
      </c>
      <c r="E11358" s="29">
        <v>40543</v>
      </c>
      <c r="F11358" s="27">
        <v>8</v>
      </c>
      <c r="G11358" s="18">
        <v>2000</v>
      </c>
      <c r="H11358" s="27">
        <f t="shared" si="354"/>
        <v>2000</v>
      </c>
      <c r="I11358" s="18">
        <v>1900</v>
      </c>
      <c r="J11358" s="27">
        <v>2000</v>
      </c>
      <c r="K11358" s="18">
        <f t="shared" si="355"/>
        <v>2000</v>
      </c>
      <c r="L11358" s="27">
        <v>1900</v>
      </c>
      <c r="M11358" s="36">
        <v>0</v>
      </c>
      <c r="T11358" s="41">
        <v>0</v>
      </c>
      <c r="U11358" s="41">
        <v>0</v>
      </c>
      <c r="V11358" s="42" t="s">
        <v>113</v>
      </c>
      <c r="W11358" s="42">
        <v>2000</v>
      </c>
      <c r="X11358" s="42">
        <v>2000</v>
      </c>
    </row>
    <row r="11359" spans="1:24">
      <c r="A11359" s="27" t="s">
        <v>20591</v>
      </c>
      <c r="B11359" s="28" t="s">
        <v>19918</v>
      </c>
      <c r="C11359" s="27" t="s">
        <v>20395</v>
      </c>
      <c r="D11359" s="27" t="s">
        <v>230</v>
      </c>
      <c r="E11359" s="29">
        <v>40543</v>
      </c>
      <c r="F11359" s="27">
        <v>8</v>
      </c>
      <c r="G11359" s="18">
        <v>2000</v>
      </c>
      <c r="H11359" s="27">
        <f t="shared" si="354"/>
        <v>2000</v>
      </c>
      <c r="I11359" s="18">
        <v>1900</v>
      </c>
      <c r="J11359" s="27">
        <v>2000</v>
      </c>
      <c r="K11359" s="18">
        <f t="shared" si="355"/>
        <v>2000</v>
      </c>
      <c r="L11359" s="27">
        <v>1900</v>
      </c>
      <c r="M11359" s="36">
        <v>0</v>
      </c>
      <c r="T11359" s="41">
        <v>0</v>
      </c>
      <c r="U11359" s="41">
        <v>0</v>
      </c>
      <c r="V11359" s="42" t="s">
        <v>113</v>
      </c>
      <c r="W11359" s="42">
        <v>2000</v>
      </c>
      <c r="X11359" s="42">
        <v>2000</v>
      </c>
    </row>
    <row r="11360" spans="1:24">
      <c r="A11360" s="27" t="s">
        <v>20592</v>
      </c>
      <c r="B11360" s="28" t="s">
        <v>19918</v>
      </c>
      <c r="C11360" s="27" t="s">
        <v>20593</v>
      </c>
      <c r="D11360" s="27" t="s">
        <v>230</v>
      </c>
      <c r="E11360" s="29">
        <v>40543</v>
      </c>
      <c r="F11360" s="27">
        <v>8</v>
      </c>
      <c r="G11360" s="18">
        <v>2000</v>
      </c>
      <c r="H11360" s="27">
        <f t="shared" si="354"/>
        <v>2000</v>
      </c>
      <c r="I11360" s="18">
        <v>1900</v>
      </c>
      <c r="J11360" s="27">
        <v>2000</v>
      </c>
      <c r="K11360" s="18">
        <f t="shared" si="355"/>
        <v>2000</v>
      </c>
      <c r="L11360" s="27">
        <v>1900</v>
      </c>
      <c r="M11360" s="36">
        <v>0</v>
      </c>
      <c r="T11360" s="41">
        <v>0</v>
      </c>
      <c r="U11360" s="41">
        <v>0</v>
      </c>
      <c r="V11360" s="42" t="s">
        <v>113</v>
      </c>
      <c r="W11360" s="42">
        <v>2000</v>
      </c>
      <c r="X11360" s="42">
        <v>2000</v>
      </c>
    </row>
    <row r="11361" spans="1:24">
      <c r="A11361" s="27" t="s">
        <v>20594</v>
      </c>
      <c r="B11361" s="28" t="s">
        <v>19918</v>
      </c>
      <c r="C11361" s="27" t="s">
        <v>20595</v>
      </c>
      <c r="D11361" s="27" t="s">
        <v>112</v>
      </c>
      <c r="E11361" s="29">
        <v>40543</v>
      </c>
      <c r="F11361" s="27">
        <v>8</v>
      </c>
      <c r="G11361" s="18">
        <v>3250</v>
      </c>
      <c r="H11361" s="27">
        <f t="shared" si="354"/>
        <v>3250</v>
      </c>
      <c r="I11361" s="18">
        <v>3087.5</v>
      </c>
      <c r="J11361" s="27">
        <v>3250</v>
      </c>
      <c r="K11361" s="18">
        <f t="shared" si="355"/>
        <v>3250</v>
      </c>
      <c r="L11361" s="27">
        <v>3087.5</v>
      </c>
      <c r="M11361" s="36">
        <v>0</v>
      </c>
      <c r="T11361" s="41">
        <v>0</v>
      </c>
      <c r="U11361" s="41">
        <v>0</v>
      </c>
      <c r="V11361" s="42" t="s">
        <v>113</v>
      </c>
      <c r="W11361" s="42">
        <v>3250</v>
      </c>
      <c r="X11361" s="42">
        <v>3250</v>
      </c>
    </row>
    <row r="11362" spans="1:24">
      <c r="A11362" s="27" t="s">
        <v>20596</v>
      </c>
      <c r="B11362" s="28" t="s">
        <v>19918</v>
      </c>
      <c r="C11362" s="27" t="s">
        <v>20399</v>
      </c>
      <c r="D11362" s="27" t="s">
        <v>230</v>
      </c>
      <c r="E11362" s="29">
        <v>40543</v>
      </c>
      <c r="F11362" s="27">
        <v>8</v>
      </c>
      <c r="G11362" s="18">
        <v>2000</v>
      </c>
      <c r="H11362" s="27">
        <f t="shared" si="354"/>
        <v>2000</v>
      </c>
      <c r="I11362" s="18">
        <v>1900</v>
      </c>
      <c r="J11362" s="27">
        <v>2000</v>
      </c>
      <c r="K11362" s="18">
        <f t="shared" si="355"/>
        <v>2000</v>
      </c>
      <c r="L11362" s="27">
        <v>1900</v>
      </c>
      <c r="M11362" s="36">
        <v>0</v>
      </c>
      <c r="T11362" s="41">
        <v>0</v>
      </c>
      <c r="U11362" s="41">
        <v>0</v>
      </c>
      <c r="V11362" s="42" t="s">
        <v>113</v>
      </c>
      <c r="W11362" s="42">
        <v>2000</v>
      </c>
      <c r="X11362" s="42">
        <v>2000</v>
      </c>
    </row>
    <row r="11363" spans="1:24">
      <c r="A11363" s="27" t="s">
        <v>20597</v>
      </c>
      <c r="B11363" s="28" t="s">
        <v>19918</v>
      </c>
      <c r="C11363" s="27" t="s">
        <v>20598</v>
      </c>
      <c r="D11363" s="27" t="s">
        <v>112</v>
      </c>
      <c r="E11363" s="29">
        <v>40543</v>
      </c>
      <c r="F11363" s="27">
        <v>8</v>
      </c>
      <c r="G11363" s="18">
        <v>12000</v>
      </c>
      <c r="H11363" s="27">
        <f t="shared" si="354"/>
        <v>12000</v>
      </c>
      <c r="I11363" s="18">
        <v>11400</v>
      </c>
      <c r="J11363" s="27">
        <v>12000</v>
      </c>
      <c r="K11363" s="18">
        <f t="shared" si="355"/>
        <v>12000</v>
      </c>
      <c r="L11363" s="27">
        <v>11400</v>
      </c>
      <c r="M11363" s="36">
        <v>0</v>
      </c>
      <c r="T11363" s="41">
        <v>0</v>
      </c>
      <c r="U11363" s="41">
        <v>0</v>
      </c>
      <c r="V11363" s="42" t="s">
        <v>113</v>
      </c>
      <c r="W11363" s="42">
        <v>12000</v>
      </c>
      <c r="X11363" s="42">
        <v>12000</v>
      </c>
    </row>
    <row r="11364" spans="1:24">
      <c r="A11364" s="27" t="s">
        <v>20599</v>
      </c>
      <c r="B11364" s="28" t="s">
        <v>19918</v>
      </c>
      <c r="C11364" s="27" t="s">
        <v>20600</v>
      </c>
      <c r="D11364" s="27" t="s">
        <v>230</v>
      </c>
      <c r="E11364" s="29">
        <v>40543</v>
      </c>
      <c r="F11364" s="27">
        <v>8</v>
      </c>
      <c r="G11364" s="18">
        <v>6301</v>
      </c>
      <c r="H11364" s="27">
        <f t="shared" si="354"/>
        <v>6301</v>
      </c>
      <c r="I11364" s="18">
        <v>5985.95</v>
      </c>
      <c r="J11364" s="27">
        <v>6301</v>
      </c>
      <c r="K11364" s="18">
        <f t="shared" si="355"/>
        <v>6301</v>
      </c>
      <c r="L11364" s="27">
        <v>5985.95</v>
      </c>
      <c r="M11364" s="36">
        <v>0</v>
      </c>
      <c r="T11364" s="41">
        <v>0</v>
      </c>
      <c r="U11364" s="41">
        <v>0</v>
      </c>
      <c r="V11364" s="42" t="s">
        <v>113</v>
      </c>
      <c r="W11364" s="42">
        <v>6301</v>
      </c>
      <c r="X11364" s="42">
        <v>6301</v>
      </c>
    </row>
    <row r="11365" spans="1:24">
      <c r="A11365" s="27" t="s">
        <v>20601</v>
      </c>
      <c r="B11365" s="28" t="s">
        <v>19918</v>
      </c>
      <c r="C11365" s="27" t="s">
        <v>20602</v>
      </c>
      <c r="D11365" s="27" t="s">
        <v>230</v>
      </c>
      <c r="E11365" s="29">
        <v>40543</v>
      </c>
      <c r="F11365" s="27">
        <v>8</v>
      </c>
      <c r="G11365" s="18">
        <v>12000</v>
      </c>
      <c r="H11365" s="27">
        <f t="shared" si="354"/>
        <v>12000</v>
      </c>
      <c r="I11365" s="18">
        <v>11400</v>
      </c>
      <c r="J11365" s="27">
        <v>12000</v>
      </c>
      <c r="K11365" s="18">
        <f t="shared" si="355"/>
        <v>12000</v>
      </c>
      <c r="L11365" s="27">
        <v>11400</v>
      </c>
      <c r="M11365" s="36">
        <v>0</v>
      </c>
      <c r="T11365" s="41">
        <v>0</v>
      </c>
      <c r="U11365" s="41">
        <v>0</v>
      </c>
      <c r="V11365" s="42" t="s">
        <v>113</v>
      </c>
      <c r="W11365" s="42">
        <v>12000</v>
      </c>
      <c r="X11365" s="42">
        <v>12000</v>
      </c>
    </row>
    <row r="11366" spans="1:24">
      <c r="A11366" s="27" t="s">
        <v>20603</v>
      </c>
      <c r="B11366" s="28" t="s">
        <v>19918</v>
      </c>
      <c r="C11366" s="27" t="s">
        <v>20604</v>
      </c>
      <c r="D11366" s="27" t="s">
        <v>230</v>
      </c>
      <c r="E11366" s="29">
        <v>40543</v>
      </c>
      <c r="F11366" s="27">
        <v>8</v>
      </c>
      <c r="G11366" s="18">
        <v>6301</v>
      </c>
      <c r="H11366" s="27">
        <f t="shared" si="354"/>
        <v>6301</v>
      </c>
      <c r="I11366" s="18">
        <v>5985.95</v>
      </c>
      <c r="J11366" s="27">
        <v>6301</v>
      </c>
      <c r="K11366" s="18">
        <f t="shared" si="355"/>
        <v>6301</v>
      </c>
      <c r="L11366" s="27">
        <v>5985.95</v>
      </c>
      <c r="M11366" s="36">
        <v>0</v>
      </c>
      <c r="T11366" s="41">
        <v>0</v>
      </c>
      <c r="U11366" s="41">
        <v>0</v>
      </c>
      <c r="V11366" s="42" t="s">
        <v>113</v>
      </c>
      <c r="W11366" s="42">
        <v>6301</v>
      </c>
      <c r="X11366" s="42">
        <v>6301</v>
      </c>
    </row>
    <row r="11367" spans="1:24">
      <c r="A11367" s="27" t="s">
        <v>20605</v>
      </c>
      <c r="B11367" s="28" t="s">
        <v>19918</v>
      </c>
      <c r="C11367" s="27" t="s">
        <v>20606</v>
      </c>
      <c r="D11367" s="27" t="s">
        <v>230</v>
      </c>
      <c r="E11367" s="29">
        <v>40543</v>
      </c>
      <c r="F11367" s="27">
        <v>8</v>
      </c>
      <c r="G11367" s="18">
        <v>2000</v>
      </c>
      <c r="H11367" s="27">
        <f t="shared" si="354"/>
        <v>2000</v>
      </c>
      <c r="I11367" s="18">
        <v>1900</v>
      </c>
      <c r="J11367" s="27">
        <v>2000</v>
      </c>
      <c r="K11367" s="18">
        <f t="shared" si="355"/>
        <v>2000</v>
      </c>
      <c r="L11367" s="27">
        <v>1900</v>
      </c>
      <c r="M11367" s="36">
        <v>0</v>
      </c>
      <c r="T11367" s="41">
        <v>0</v>
      </c>
      <c r="U11367" s="41">
        <v>0</v>
      </c>
      <c r="V11367" s="42" t="s">
        <v>113</v>
      </c>
      <c r="W11367" s="42">
        <v>2000</v>
      </c>
      <c r="X11367" s="42">
        <v>2000</v>
      </c>
    </row>
    <row r="11368" spans="1:24">
      <c r="A11368" s="27" t="s">
        <v>20607</v>
      </c>
      <c r="B11368" s="28" t="s">
        <v>19918</v>
      </c>
      <c r="C11368" s="27" t="s">
        <v>20360</v>
      </c>
      <c r="D11368" s="27" t="s">
        <v>118</v>
      </c>
      <c r="E11368" s="29">
        <v>40543</v>
      </c>
      <c r="F11368" s="27">
        <v>8</v>
      </c>
      <c r="G11368" s="18">
        <v>12000</v>
      </c>
      <c r="H11368" s="27">
        <f t="shared" si="354"/>
        <v>12000</v>
      </c>
      <c r="I11368" s="18">
        <v>11400</v>
      </c>
      <c r="J11368" s="27">
        <v>12000</v>
      </c>
      <c r="K11368" s="18">
        <f t="shared" si="355"/>
        <v>12000</v>
      </c>
      <c r="L11368" s="27">
        <v>11400</v>
      </c>
      <c r="M11368" s="36">
        <v>0</v>
      </c>
      <c r="T11368" s="41">
        <v>0</v>
      </c>
      <c r="U11368" s="41">
        <v>0</v>
      </c>
      <c r="V11368" s="42" t="s">
        <v>113</v>
      </c>
      <c r="W11368" s="42">
        <v>12000</v>
      </c>
      <c r="X11368" s="42">
        <v>12000</v>
      </c>
    </row>
    <row r="11369" spans="1:24">
      <c r="A11369" s="27" t="s">
        <v>20608</v>
      </c>
      <c r="B11369" s="28" t="s">
        <v>19918</v>
      </c>
      <c r="C11369" s="27" t="s">
        <v>20609</v>
      </c>
      <c r="D11369" s="27" t="s">
        <v>112</v>
      </c>
      <c r="E11369" s="29">
        <v>40268</v>
      </c>
      <c r="F11369" s="27">
        <v>8</v>
      </c>
      <c r="G11369" s="18">
        <v>4000</v>
      </c>
      <c r="H11369" s="27">
        <f t="shared" si="354"/>
        <v>4000</v>
      </c>
      <c r="I11369" s="18">
        <v>3800</v>
      </c>
      <c r="J11369" s="27">
        <v>4000</v>
      </c>
      <c r="K11369" s="18">
        <f t="shared" si="355"/>
        <v>4000</v>
      </c>
      <c r="L11369" s="27">
        <v>3800</v>
      </c>
      <c r="M11369" s="36">
        <v>0</v>
      </c>
      <c r="T11369" s="41">
        <v>0</v>
      </c>
      <c r="U11369" s="41">
        <v>0</v>
      </c>
      <c r="V11369" s="42" t="s">
        <v>113</v>
      </c>
      <c r="W11369" s="42">
        <v>4000</v>
      </c>
      <c r="X11369" s="42">
        <v>4000</v>
      </c>
    </row>
    <row r="11370" spans="1:24">
      <c r="A11370" s="27" t="s">
        <v>20610</v>
      </c>
      <c r="B11370" s="28" t="s">
        <v>19918</v>
      </c>
      <c r="C11370" s="27" t="s">
        <v>20611</v>
      </c>
      <c r="D11370" s="27" t="s">
        <v>118</v>
      </c>
      <c r="E11370" s="29">
        <v>40543</v>
      </c>
      <c r="F11370" s="27">
        <v>8</v>
      </c>
      <c r="G11370" s="18">
        <v>12000</v>
      </c>
      <c r="H11370" s="27">
        <f t="shared" si="354"/>
        <v>12000</v>
      </c>
      <c r="I11370" s="18">
        <v>11400</v>
      </c>
      <c r="J11370" s="27">
        <v>12000</v>
      </c>
      <c r="K11370" s="18">
        <f t="shared" si="355"/>
        <v>12000</v>
      </c>
      <c r="L11370" s="27">
        <v>11400</v>
      </c>
      <c r="M11370" s="36">
        <v>0</v>
      </c>
      <c r="T11370" s="41">
        <v>0</v>
      </c>
      <c r="U11370" s="41">
        <v>0</v>
      </c>
      <c r="V11370" s="42" t="s">
        <v>113</v>
      </c>
      <c r="W11370" s="42">
        <v>12000</v>
      </c>
      <c r="X11370" s="42">
        <v>12000</v>
      </c>
    </row>
    <row r="11371" spans="1:24">
      <c r="A11371" s="27" t="s">
        <v>20612</v>
      </c>
      <c r="B11371" s="28" t="s">
        <v>19918</v>
      </c>
      <c r="C11371" s="27" t="s">
        <v>20613</v>
      </c>
      <c r="D11371" s="27" t="s">
        <v>112</v>
      </c>
      <c r="E11371" s="29">
        <v>40543</v>
      </c>
      <c r="F11371" s="27">
        <v>8</v>
      </c>
      <c r="G11371" s="18">
        <v>12000</v>
      </c>
      <c r="H11371" s="27">
        <f t="shared" si="354"/>
        <v>12000</v>
      </c>
      <c r="I11371" s="18">
        <v>11400</v>
      </c>
      <c r="J11371" s="27">
        <v>12000</v>
      </c>
      <c r="K11371" s="18">
        <f t="shared" si="355"/>
        <v>12000</v>
      </c>
      <c r="L11371" s="27">
        <v>11400</v>
      </c>
      <c r="M11371" s="36">
        <v>0</v>
      </c>
      <c r="T11371" s="41">
        <v>0</v>
      </c>
      <c r="U11371" s="41">
        <v>0</v>
      </c>
      <c r="V11371" s="42" t="s">
        <v>113</v>
      </c>
      <c r="W11371" s="42">
        <v>12000</v>
      </c>
      <c r="X11371" s="42">
        <v>12000</v>
      </c>
    </row>
    <row r="11372" spans="1:24">
      <c r="A11372" s="27" t="s">
        <v>20614</v>
      </c>
      <c r="B11372" s="28" t="s">
        <v>19918</v>
      </c>
      <c r="C11372" s="27" t="s">
        <v>20615</v>
      </c>
      <c r="D11372" s="27" t="s">
        <v>230</v>
      </c>
      <c r="E11372" s="29">
        <v>40543</v>
      </c>
      <c r="F11372" s="27">
        <v>8</v>
      </c>
      <c r="G11372" s="18">
        <v>12000</v>
      </c>
      <c r="H11372" s="27">
        <f t="shared" si="354"/>
        <v>12000</v>
      </c>
      <c r="I11372" s="18">
        <v>11400</v>
      </c>
      <c r="J11372" s="27">
        <v>12000</v>
      </c>
      <c r="K11372" s="18">
        <f t="shared" si="355"/>
        <v>12000</v>
      </c>
      <c r="L11372" s="27">
        <v>11400</v>
      </c>
      <c r="M11372" s="36">
        <v>0</v>
      </c>
      <c r="T11372" s="41">
        <v>0</v>
      </c>
      <c r="U11372" s="41">
        <v>0</v>
      </c>
      <c r="V11372" s="42" t="s">
        <v>113</v>
      </c>
      <c r="W11372" s="42">
        <v>12000</v>
      </c>
      <c r="X11372" s="42">
        <v>12000</v>
      </c>
    </row>
    <row r="11373" spans="1:24">
      <c r="A11373" s="27" t="s">
        <v>20616</v>
      </c>
      <c r="B11373" s="28" t="s">
        <v>19918</v>
      </c>
      <c r="C11373" s="27" t="s">
        <v>20617</v>
      </c>
      <c r="D11373" s="27" t="s">
        <v>230</v>
      </c>
      <c r="E11373" s="29">
        <v>40543</v>
      </c>
      <c r="F11373" s="27">
        <v>8</v>
      </c>
      <c r="G11373" s="18">
        <v>2000</v>
      </c>
      <c r="H11373" s="27">
        <f t="shared" si="354"/>
        <v>2000</v>
      </c>
      <c r="I11373" s="18">
        <v>1900</v>
      </c>
      <c r="J11373" s="27">
        <v>2000</v>
      </c>
      <c r="K11373" s="18">
        <f t="shared" si="355"/>
        <v>2000</v>
      </c>
      <c r="L11373" s="27">
        <v>1900</v>
      </c>
      <c r="M11373" s="36">
        <v>0</v>
      </c>
      <c r="T11373" s="41">
        <v>0</v>
      </c>
      <c r="U11373" s="41">
        <v>0</v>
      </c>
      <c r="V11373" s="42" t="s">
        <v>113</v>
      </c>
      <c r="W11373" s="42">
        <v>2000</v>
      </c>
      <c r="X11373" s="42">
        <v>2000</v>
      </c>
    </row>
    <row r="11374" spans="1:24">
      <c r="A11374" s="27" t="s">
        <v>20618</v>
      </c>
      <c r="B11374" s="28" t="s">
        <v>19918</v>
      </c>
      <c r="C11374" s="27" t="s">
        <v>20619</v>
      </c>
      <c r="D11374" s="27" t="s">
        <v>230</v>
      </c>
      <c r="E11374" s="29">
        <v>40543</v>
      </c>
      <c r="F11374" s="27">
        <v>8</v>
      </c>
      <c r="G11374" s="18">
        <v>2000</v>
      </c>
      <c r="H11374" s="27">
        <f t="shared" si="354"/>
        <v>2000</v>
      </c>
      <c r="I11374" s="18">
        <v>1900</v>
      </c>
      <c r="J11374" s="27">
        <v>2000</v>
      </c>
      <c r="K11374" s="18">
        <f t="shared" si="355"/>
        <v>2000</v>
      </c>
      <c r="L11374" s="27">
        <v>1900</v>
      </c>
      <c r="M11374" s="36">
        <v>0</v>
      </c>
      <c r="T11374" s="41">
        <v>0</v>
      </c>
      <c r="U11374" s="41">
        <v>0</v>
      </c>
      <c r="V11374" s="42" t="s">
        <v>113</v>
      </c>
      <c r="W11374" s="42">
        <v>2000</v>
      </c>
      <c r="X11374" s="42">
        <v>2000</v>
      </c>
    </row>
    <row r="11375" spans="1:24">
      <c r="A11375" s="27" t="s">
        <v>20620</v>
      </c>
      <c r="B11375" s="28" t="s">
        <v>19918</v>
      </c>
      <c r="C11375" s="27" t="s">
        <v>20621</v>
      </c>
      <c r="D11375" s="27" t="s">
        <v>118</v>
      </c>
      <c r="E11375" s="29">
        <v>40543</v>
      </c>
      <c r="F11375" s="27">
        <v>8</v>
      </c>
      <c r="G11375" s="18">
        <v>12000</v>
      </c>
      <c r="H11375" s="27">
        <f t="shared" si="354"/>
        <v>12000</v>
      </c>
      <c r="I11375" s="18">
        <v>11400</v>
      </c>
      <c r="J11375" s="27">
        <v>12000</v>
      </c>
      <c r="K11375" s="18">
        <f t="shared" si="355"/>
        <v>12000</v>
      </c>
      <c r="L11375" s="27">
        <v>11400</v>
      </c>
      <c r="M11375" s="36">
        <v>0</v>
      </c>
      <c r="T11375" s="41">
        <v>0</v>
      </c>
      <c r="U11375" s="41">
        <v>0</v>
      </c>
      <c r="V11375" s="42" t="s">
        <v>113</v>
      </c>
      <c r="W11375" s="42">
        <v>12000</v>
      </c>
      <c r="X11375" s="42">
        <v>12000</v>
      </c>
    </row>
    <row r="11376" spans="1:24">
      <c r="A11376" s="27" t="s">
        <v>20622</v>
      </c>
      <c r="B11376" s="28" t="s">
        <v>19918</v>
      </c>
      <c r="C11376" s="27" t="s">
        <v>20623</v>
      </c>
      <c r="D11376" s="27" t="s">
        <v>230</v>
      </c>
      <c r="E11376" s="29">
        <v>40543</v>
      </c>
      <c r="F11376" s="27">
        <v>8</v>
      </c>
      <c r="G11376" s="18">
        <v>2000</v>
      </c>
      <c r="H11376" s="27">
        <f t="shared" si="354"/>
        <v>2000</v>
      </c>
      <c r="I11376" s="18">
        <v>1900</v>
      </c>
      <c r="J11376" s="27">
        <v>2000</v>
      </c>
      <c r="K11376" s="18">
        <f t="shared" si="355"/>
        <v>2000</v>
      </c>
      <c r="L11376" s="27">
        <v>1900</v>
      </c>
      <c r="M11376" s="36">
        <v>0</v>
      </c>
      <c r="T11376" s="41">
        <v>0</v>
      </c>
      <c r="U11376" s="41">
        <v>0</v>
      </c>
      <c r="V11376" s="42" t="s">
        <v>113</v>
      </c>
      <c r="W11376" s="42">
        <v>2000</v>
      </c>
      <c r="X11376" s="42">
        <v>2000</v>
      </c>
    </row>
    <row r="11377" spans="1:24">
      <c r="A11377" s="27" t="s">
        <v>20624</v>
      </c>
      <c r="B11377" s="28" t="s">
        <v>19918</v>
      </c>
      <c r="C11377" s="27" t="s">
        <v>20625</v>
      </c>
      <c r="D11377" s="27" t="s">
        <v>112</v>
      </c>
      <c r="E11377" s="29">
        <v>40543</v>
      </c>
      <c r="F11377" s="27">
        <v>8</v>
      </c>
      <c r="G11377" s="18">
        <v>3250</v>
      </c>
      <c r="H11377" s="27">
        <f t="shared" si="354"/>
        <v>3250</v>
      </c>
      <c r="I11377" s="18">
        <v>3087.5</v>
      </c>
      <c r="J11377" s="27">
        <v>3250</v>
      </c>
      <c r="K11377" s="18">
        <f t="shared" si="355"/>
        <v>3250</v>
      </c>
      <c r="L11377" s="27">
        <v>3087.5</v>
      </c>
      <c r="M11377" s="36">
        <v>0</v>
      </c>
      <c r="T11377" s="41">
        <v>0</v>
      </c>
      <c r="U11377" s="41">
        <v>0</v>
      </c>
      <c r="V11377" s="42" t="s">
        <v>113</v>
      </c>
      <c r="W11377" s="42">
        <v>3250</v>
      </c>
      <c r="X11377" s="42">
        <v>3250</v>
      </c>
    </row>
    <row r="11378" spans="1:24">
      <c r="A11378" s="27" t="s">
        <v>20626</v>
      </c>
      <c r="B11378" s="28" t="s">
        <v>19918</v>
      </c>
      <c r="C11378" s="27" t="s">
        <v>20627</v>
      </c>
      <c r="D11378" s="27" t="s">
        <v>112</v>
      </c>
      <c r="E11378" s="29">
        <v>40543</v>
      </c>
      <c r="F11378" s="27">
        <v>8</v>
      </c>
      <c r="G11378" s="18">
        <v>3250</v>
      </c>
      <c r="H11378" s="27">
        <f t="shared" si="354"/>
        <v>3250</v>
      </c>
      <c r="I11378" s="18">
        <v>3087.5</v>
      </c>
      <c r="J11378" s="27">
        <v>3250</v>
      </c>
      <c r="K11378" s="18">
        <f t="shared" si="355"/>
        <v>3250</v>
      </c>
      <c r="L11378" s="27">
        <v>3087.5</v>
      </c>
      <c r="M11378" s="36">
        <v>0</v>
      </c>
      <c r="T11378" s="41">
        <v>0</v>
      </c>
      <c r="U11378" s="41">
        <v>0</v>
      </c>
      <c r="V11378" s="42" t="s">
        <v>113</v>
      </c>
      <c r="W11378" s="42">
        <v>3250</v>
      </c>
      <c r="X11378" s="42">
        <v>3250</v>
      </c>
    </row>
    <row r="11379" spans="1:24">
      <c r="A11379" s="27" t="s">
        <v>20628</v>
      </c>
      <c r="B11379" s="28" t="s">
        <v>19918</v>
      </c>
      <c r="C11379" s="27" t="s">
        <v>20629</v>
      </c>
      <c r="D11379" s="27" t="s">
        <v>112</v>
      </c>
      <c r="E11379" s="29">
        <v>40543</v>
      </c>
      <c r="F11379" s="27">
        <v>8</v>
      </c>
      <c r="G11379" s="18">
        <v>3250</v>
      </c>
      <c r="H11379" s="27">
        <f t="shared" si="354"/>
        <v>3250</v>
      </c>
      <c r="I11379" s="18">
        <v>3087.5</v>
      </c>
      <c r="J11379" s="27">
        <v>3250</v>
      </c>
      <c r="K11379" s="18">
        <f t="shared" si="355"/>
        <v>3250</v>
      </c>
      <c r="L11379" s="27">
        <v>3087.5</v>
      </c>
      <c r="M11379" s="36">
        <v>0</v>
      </c>
      <c r="T11379" s="41">
        <v>0</v>
      </c>
      <c r="U11379" s="41">
        <v>0</v>
      </c>
      <c r="V11379" s="42" t="s">
        <v>113</v>
      </c>
      <c r="W11379" s="42">
        <v>3250</v>
      </c>
      <c r="X11379" s="42">
        <v>3250</v>
      </c>
    </row>
    <row r="11380" spans="1:24">
      <c r="A11380" s="27" t="s">
        <v>20630</v>
      </c>
      <c r="B11380" s="28" t="s">
        <v>19918</v>
      </c>
      <c r="C11380" s="27" t="s">
        <v>20219</v>
      </c>
      <c r="D11380" s="27" t="s">
        <v>112</v>
      </c>
      <c r="E11380" s="29">
        <v>41271</v>
      </c>
      <c r="F11380" s="27">
        <v>8</v>
      </c>
      <c r="G11380" s="18">
        <v>20000</v>
      </c>
      <c r="H11380" s="27">
        <f t="shared" si="354"/>
        <v>0</v>
      </c>
      <c r="I11380" s="18">
        <v>13319.05</v>
      </c>
      <c r="J11380" s="27">
        <v>20000</v>
      </c>
      <c r="K11380" s="18">
        <f t="shared" si="355"/>
        <v>0</v>
      </c>
      <c r="L11380" s="27">
        <v>16159.53</v>
      </c>
      <c r="M11380" s="36">
        <v>2840.48</v>
      </c>
      <c r="T11380" s="41">
        <v>0</v>
      </c>
      <c r="U11380" s="41">
        <v>0</v>
      </c>
      <c r="V11380" s="42" t="s">
        <v>113</v>
      </c>
      <c r="W11380" s="42">
        <v>20000</v>
      </c>
      <c r="X11380" s="42">
        <v>20000</v>
      </c>
    </row>
    <row r="11381" spans="1:24">
      <c r="A11381" s="27" t="s">
        <v>20631</v>
      </c>
      <c r="B11381" s="28" t="s">
        <v>19918</v>
      </c>
      <c r="C11381" s="27" t="s">
        <v>20632</v>
      </c>
      <c r="D11381" s="27" t="s">
        <v>230</v>
      </c>
      <c r="E11381" s="29">
        <v>40165</v>
      </c>
      <c r="F11381" s="27">
        <v>8</v>
      </c>
      <c r="G11381" s="18">
        <v>3250</v>
      </c>
      <c r="H11381" s="27">
        <f t="shared" si="354"/>
        <v>3250</v>
      </c>
      <c r="I11381" s="18">
        <v>3203.28</v>
      </c>
      <c r="J11381" s="27">
        <v>3250</v>
      </c>
      <c r="K11381" s="18">
        <f t="shared" si="355"/>
        <v>3250</v>
      </c>
      <c r="L11381" s="27">
        <v>3203.28</v>
      </c>
      <c r="M11381" s="36">
        <v>0</v>
      </c>
      <c r="T11381" s="41">
        <v>0</v>
      </c>
      <c r="U11381" s="41">
        <v>0</v>
      </c>
      <c r="V11381" s="42" t="s">
        <v>113</v>
      </c>
      <c r="W11381" s="42">
        <v>3250</v>
      </c>
      <c r="X11381" s="42">
        <v>3250</v>
      </c>
    </row>
    <row r="11382" spans="1:24">
      <c r="A11382" s="27" t="s">
        <v>20633</v>
      </c>
      <c r="B11382" s="28" t="s">
        <v>19918</v>
      </c>
      <c r="C11382" s="27" t="s">
        <v>20634</v>
      </c>
      <c r="D11382" s="27" t="s">
        <v>118</v>
      </c>
      <c r="E11382" s="29">
        <v>37287</v>
      </c>
      <c r="F11382" s="27">
        <v>8</v>
      </c>
      <c r="G11382" s="18">
        <v>20000</v>
      </c>
      <c r="H11382" s="27">
        <f t="shared" si="354"/>
        <v>20000</v>
      </c>
      <c r="I11382" s="18">
        <v>19000</v>
      </c>
      <c r="J11382" s="27">
        <v>20000</v>
      </c>
      <c r="K11382" s="18">
        <f t="shared" si="355"/>
        <v>20000</v>
      </c>
      <c r="L11382" s="27">
        <v>19000</v>
      </c>
      <c r="M11382" s="36">
        <v>0</v>
      </c>
      <c r="T11382" s="41">
        <v>0</v>
      </c>
      <c r="U11382" s="41">
        <v>0</v>
      </c>
      <c r="V11382" s="42" t="s">
        <v>113</v>
      </c>
      <c r="W11382" s="42">
        <v>20000</v>
      </c>
      <c r="X11382" s="42">
        <v>20000</v>
      </c>
    </row>
    <row r="11383" spans="1:24">
      <c r="A11383" s="27" t="s">
        <v>20635</v>
      </c>
      <c r="B11383" s="28" t="s">
        <v>19918</v>
      </c>
      <c r="C11383" s="27" t="s">
        <v>20636</v>
      </c>
      <c r="D11383" s="27" t="s">
        <v>118</v>
      </c>
      <c r="E11383" s="29">
        <v>38534</v>
      </c>
      <c r="F11383" s="27">
        <v>8</v>
      </c>
      <c r="G11383" s="18">
        <v>20000</v>
      </c>
      <c r="H11383" s="27">
        <f t="shared" si="354"/>
        <v>20000</v>
      </c>
      <c r="I11383" s="18">
        <v>19000</v>
      </c>
      <c r="J11383" s="27">
        <v>20000</v>
      </c>
      <c r="K11383" s="18">
        <f t="shared" si="355"/>
        <v>20000</v>
      </c>
      <c r="L11383" s="27">
        <v>19000</v>
      </c>
      <c r="M11383" s="36">
        <v>0</v>
      </c>
      <c r="T11383" s="41">
        <v>0</v>
      </c>
      <c r="U11383" s="41">
        <v>0</v>
      </c>
      <c r="V11383" s="42" t="s">
        <v>113</v>
      </c>
      <c r="W11383" s="42">
        <v>20000</v>
      </c>
      <c r="X11383" s="42">
        <v>20000</v>
      </c>
    </row>
    <row r="11384" spans="1:24">
      <c r="A11384" s="27" t="s">
        <v>20637</v>
      </c>
      <c r="B11384" s="28" t="s">
        <v>19918</v>
      </c>
      <c r="C11384" s="27" t="s">
        <v>20638</v>
      </c>
      <c r="D11384" s="27" t="s">
        <v>118</v>
      </c>
      <c r="E11384" s="29">
        <v>38534</v>
      </c>
      <c r="F11384" s="27">
        <v>8</v>
      </c>
      <c r="G11384" s="18">
        <v>20000</v>
      </c>
      <c r="H11384" s="27">
        <f t="shared" si="354"/>
        <v>20000</v>
      </c>
      <c r="I11384" s="18">
        <v>19000</v>
      </c>
      <c r="J11384" s="27">
        <v>20000</v>
      </c>
      <c r="K11384" s="18">
        <f t="shared" si="355"/>
        <v>20000</v>
      </c>
      <c r="L11384" s="27">
        <v>19000</v>
      </c>
      <c r="M11384" s="36">
        <v>0</v>
      </c>
      <c r="T11384" s="41">
        <v>0</v>
      </c>
      <c r="U11384" s="41">
        <v>0</v>
      </c>
      <c r="V11384" s="42" t="s">
        <v>113</v>
      </c>
      <c r="W11384" s="42">
        <v>20000</v>
      </c>
      <c r="X11384" s="42">
        <v>20000</v>
      </c>
    </row>
    <row r="11385" spans="1:24">
      <c r="A11385" s="27" t="s">
        <v>20639</v>
      </c>
      <c r="B11385" s="28" t="s">
        <v>19918</v>
      </c>
      <c r="C11385" s="27" t="s">
        <v>20640</v>
      </c>
      <c r="D11385" s="27" t="s">
        <v>118</v>
      </c>
      <c r="E11385" s="29">
        <v>37287</v>
      </c>
      <c r="F11385" s="27">
        <v>8</v>
      </c>
      <c r="G11385" s="18">
        <v>20000</v>
      </c>
      <c r="H11385" s="27">
        <f t="shared" si="354"/>
        <v>20000</v>
      </c>
      <c r="I11385" s="18">
        <v>19000</v>
      </c>
      <c r="J11385" s="27">
        <v>20000</v>
      </c>
      <c r="K11385" s="18">
        <f t="shared" si="355"/>
        <v>20000</v>
      </c>
      <c r="L11385" s="27">
        <v>19000</v>
      </c>
      <c r="M11385" s="36">
        <v>0</v>
      </c>
      <c r="T11385" s="41">
        <v>0</v>
      </c>
      <c r="U11385" s="41">
        <v>0</v>
      </c>
      <c r="V11385" s="42" t="s">
        <v>113</v>
      </c>
      <c r="W11385" s="42">
        <v>20000</v>
      </c>
      <c r="X11385" s="42">
        <v>20000</v>
      </c>
    </row>
    <row r="11386" spans="1:24">
      <c r="A11386" s="27" t="s">
        <v>20641</v>
      </c>
      <c r="B11386" s="28" t="s">
        <v>19918</v>
      </c>
      <c r="C11386" s="27" t="s">
        <v>20362</v>
      </c>
      <c r="D11386" s="27" t="s">
        <v>118</v>
      </c>
      <c r="E11386" s="29">
        <v>40543</v>
      </c>
      <c r="F11386" s="27">
        <v>8</v>
      </c>
      <c r="G11386" s="18">
        <v>12000</v>
      </c>
      <c r="H11386" s="27">
        <f t="shared" si="354"/>
        <v>12000</v>
      </c>
      <c r="I11386" s="18">
        <v>11400</v>
      </c>
      <c r="J11386" s="27">
        <v>12000</v>
      </c>
      <c r="K11386" s="18">
        <f t="shared" si="355"/>
        <v>12000</v>
      </c>
      <c r="L11386" s="27">
        <v>11400</v>
      </c>
      <c r="M11386" s="36">
        <v>0</v>
      </c>
      <c r="T11386" s="41">
        <v>0</v>
      </c>
      <c r="U11386" s="41">
        <v>0</v>
      </c>
      <c r="V11386" s="42" t="s">
        <v>113</v>
      </c>
      <c r="W11386" s="42">
        <v>12000</v>
      </c>
      <c r="X11386" s="42">
        <v>12000</v>
      </c>
    </row>
    <row r="11387" spans="1:24">
      <c r="A11387" s="27" t="s">
        <v>20642</v>
      </c>
      <c r="B11387" s="28" t="s">
        <v>19918</v>
      </c>
      <c r="C11387" s="27" t="s">
        <v>20643</v>
      </c>
      <c r="D11387" s="27" t="s">
        <v>220</v>
      </c>
      <c r="E11387" s="29">
        <v>38534</v>
      </c>
      <c r="F11387" s="27">
        <v>8</v>
      </c>
      <c r="G11387" s="18">
        <v>40000</v>
      </c>
      <c r="H11387" s="27">
        <f t="shared" si="354"/>
        <v>40000</v>
      </c>
      <c r="I11387" s="18">
        <v>37999.99</v>
      </c>
      <c r="J11387" s="27">
        <v>40000</v>
      </c>
      <c r="K11387" s="18">
        <f t="shared" si="355"/>
        <v>40000</v>
      </c>
      <c r="L11387" s="27">
        <v>37999.99</v>
      </c>
      <c r="M11387" s="36">
        <v>0</v>
      </c>
      <c r="T11387" s="41">
        <v>0</v>
      </c>
      <c r="U11387" s="41">
        <v>0</v>
      </c>
      <c r="V11387" s="42" t="s">
        <v>113</v>
      </c>
      <c r="W11387" s="42">
        <v>40000</v>
      </c>
      <c r="X11387" s="42">
        <v>40000</v>
      </c>
    </row>
    <row r="11388" spans="1:24">
      <c r="A11388" s="27" t="s">
        <v>20644</v>
      </c>
      <c r="B11388" s="28" t="s">
        <v>19918</v>
      </c>
      <c r="C11388" s="27" t="s">
        <v>20645</v>
      </c>
      <c r="D11388" s="27" t="s">
        <v>230</v>
      </c>
      <c r="E11388" s="29">
        <v>37226</v>
      </c>
      <c r="F11388" s="27">
        <v>8</v>
      </c>
      <c r="G11388" s="18">
        <v>2000</v>
      </c>
      <c r="H11388" s="27">
        <f t="shared" si="354"/>
        <v>2000</v>
      </c>
      <c r="I11388" s="18">
        <v>1900</v>
      </c>
      <c r="J11388" s="27">
        <v>2000</v>
      </c>
      <c r="K11388" s="18">
        <f t="shared" si="355"/>
        <v>2000</v>
      </c>
      <c r="L11388" s="27">
        <v>1900</v>
      </c>
      <c r="M11388" s="36">
        <v>0</v>
      </c>
      <c r="T11388" s="41">
        <v>0</v>
      </c>
      <c r="U11388" s="41">
        <v>0</v>
      </c>
      <c r="V11388" s="42" t="s">
        <v>113</v>
      </c>
      <c r="W11388" s="42">
        <v>2000</v>
      </c>
      <c r="X11388" s="42">
        <v>2000</v>
      </c>
    </row>
    <row r="11389" spans="1:24">
      <c r="A11389" s="27" t="s">
        <v>20646</v>
      </c>
      <c r="B11389" s="28" t="s">
        <v>19918</v>
      </c>
      <c r="C11389" s="27" t="s">
        <v>20647</v>
      </c>
      <c r="D11389" s="27" t="s">
        <v>230</v>
      </c>
      <c r="E11389" s="29">
        <v>40543</v>
      </c>
      <c r="F11389" s="27">
        <v>8</v>
      </c>
      <c r="G11389" s="18">
        <v>2000</v>
      </c>
      <c r="H11389" s="27">
        <f t="shared" si="354"/>
        <v>2000</v>
      </c>
      <c r="I11389" s="18">
        <v>1900</v>
      </c>
      <c r="J11389" s="27">
        <v>2000</v>
      </c>
      <c r="K11389" s="18">
        <f t="shared" si="355"/>
        <v>2000</v>
      </c>
      <c r="L11389" s="27">
        <v>1900</v>
      </c>
      <c r="M11389" s="36">
        <v>0</v>
      </c>
      <c r="T11389" s="41">
        <v>0</v>
      </c>
      <c r="U11389" s="41">
        <v>0</v>
      </c>
      <c r="V11389" s="42" t="s">
        <v>113</v>
      </c>
      <c r="W11389" s="42">
        <v>2000</v>
      </c>
      <c r="X11389" s="42">
        <v>2000</v>
      </c>
    </row>
    <row r="11390" spans="1:24">
      <c r="A11390" s="27" t="s">
        <v>20648</v>
      </c>
      <c r="B11390" s="28" t="s">
        <v>19918</v>
      </c>
      <c r="C11390" s="27" t="s">
        <v>20606</v>
      </c>
      <c r="D11390" s="27" t="s">
        <v>230</v>
      </c>
      <c r="E11390" s="29">
        <v>37226</v>
      </c>
      <c r="F11390" s="27">
        <v>8</v>
      </c>
      <c r="G11390" s="18">
        <v>2000</v>
      </c>
      <c r="H11390" s="27">
        <f t="shared" si="354"/>
        <v>2000</v>
      </c>
      <c r="I11390" s="18">
        <v>1900</v>
      </c>
      <c r="J11390" s="27">
        <v>2000</v>
      </c>
      <c r="K11390" s="18">
        <f t="shared" si="355"/>
        <v>2000</v>
      </c>
      <c r="L11390" s="27">
        <v>1900</v>
      </c>
      <c r="M11390" s="36">
        <v>0</v>
      </c>
      <c r="T11390" s="41">
        <v>0</v>
      </c>
      <c r="U11390" s="41">
        <v>0</v>
      </c>
      <c r="V11390" s="42" t="s">
        <v>113</v>
      </c>
      <c r="W11390" s="42">
        <v>2000</v>
      </c>
      <c r="X11390" s="42">
        <v>2000</v>
      </c>
    </row>
    <row r="11391" spans="1:24">
      <c r="A11391" s="27" t="s">
        <v>20649</v>
      </c>
      <c r="B11391" s="28" t="s">
        <v>19918</v>
      </c>
      <c r="C11391" s="27" t="s">
        <v>20619</v>
      </c>
      <c r="D11391" s="27" t="s">
        <v>230</v>
      </c>
      <c r="E11391" s="29">
        <v>37226</v>
      </c>
      <c r="F11391" s="27">
        <v>8</v>
      </c>
      <c r="G11391" s="18">
        <v>2000</v>
      </c>
      <c r="H11391" s="27">
        <f t="shared" si="354"/>
        <v>2000</v>
      </c>
      <c r="I11391" s="18">
        <v>1900</v>
      </c>
      <c r="J11391" s="27">
        <v>2000</v>
      </c>
      <c r="K11391" s="18">
        <f t="shared" si="355"/>
        <v>2000</v>
      </c>
      <c r="L11391" s="27">
        <v>1900</v>
      </c>
      <c r="M11391" s="36">
        <v>0</v>
      </c>
      <c r="T11391" s="41">
        <v>0</v>
      </c>
      <c r="U11391" s="41">
        <v>0</v>
      </c>
      <c r="V11391" s="42" t="s">
        <v>113</v>
      </c>
      <c r="W11391" s="42">
        <v>2000</v>
      </c>
      <c r="X11391" s="42">
        <v>2000</v>
      </c>
    </row>
    <row r="11392" spans="1:24">
      <c r="A11392" s="27" t="s">
        <v>20650</v>
      </c>
      <c r="B11392" s="28" t="s">
        <v>19918</v>
      </c>
      <c r="C11392" s="27" t="s">
        <v>20022</v>
      </c>
      <c r="D11392" s="27" t="s">
        <v>17578</v>
      </c>
      <c r="E11392" s="29">
        <v>39813</v>
      </c>
      <c r="F11392" s="27">
        <v>8</v>
      </c>
      <c r="G11392" s="18">
        <v>4000</v>
      </c>
      <c r="H11392" s="27">
        <f t="shared" si="354"/>
        <v>4000</v>
      </c>
      <c r="I11392" s="18">
        <v>3800</v>
      </c>
      <c r="J11392" s="27">
        <v>4000</v>
      </c>
      <c r="K11392" s="18">
        <f t="shared" si="355"/>
        <v>4000</v>
      </c>
      <c r="L11392" s="27">
        <v>3800</v>
      </c>
      <c r="M11392" s="36">
        <v>0</v>
      </c>
      <c r="T11392" s="41">
        <v>0</v>
      </c>
      <c r="U11392" s="41">
        <v>0</v>
      </c>
      <c r="V11392" s="42" t="s">
        <v>113</v>
      </c>
      <c r="W11392" s="42">
        <v>4000</v>
      </c>
      <c r="X11392" s="42">
        <v>4000</v>
      </c>
    </row>
    <row r="11393" spans="1:24">
      <c r="A11393" s="27" t="s">
        <v>20651</v>
      </c>
      <c r="B11393" s="28" t="s">
        <v>19918</v>
      </c>
      <c r="C11393" s="27" t="s">
        <v>20145</v>
      </c>
      <c r="D11393" s="27" t="s">
        <v>17578</v>
      </c>
      <c r="E11393" s="29">
        <v>39813</v>
      </c>
      <c r="F11393" s="27">
        <v>8</v>
      </c>
      <c r="G11393" s="18">
        <v>452400</v>
      </c>
      <c r="H11393" s="27">
        <f t="shared" si="354"/>
        <v>0</v>
      </c>
      <c r="I11393" s="18">
        <v>19380</v>
      </c>
      <c r="J11393" s="27">
        <v>452400</v>
      </c>
      <c r="K11393" s="18">
        <f t="shared" si="355"/>
        <v>0</v>
      </c>
      <c r="L11393" s="27">
        <v>198930</v>
      </c>
      <c r="M11393" s="36">
        <v>179550</v>
      </c>
      <c r="T11393" s="41">
        <v>0</v>
      </c>
      <c r="U11393" s="41">
        <v>0</v>
      </c>
      <c r="V11393" s="42" t="s">
        <v>124</v>
      </c>
      <c r="W11393" s="42">
        <v>452400</v>
      </c>
      <c r="X11393" s="42">
        <v>452400</v>
      </c>
    </row>
    <row r="11394" spans="1:24">
      <c r="A11394" s="27" t="s">
        <v>20652</v>
      </c>
      <c r="B11394" s="28" t="s">
        <v>19918</v>
      </c>
      <c r="C11394" s="27" t="s">
        <v>19952</v>
      </c>
      <c r="D11394" s="27" t="s">
        <v>17578</v>
      </c>
      <c r="E11394" s="29">
        <v>39813</v>
      </c>
      <c r="F11394" s="27">
        <v>8</v>
      </c>
      <c r="G11394" s="18">
        <v>20400</v>
      </c>
      <c r="H11394" s="27">
        <f t="shared" si="354"/>
        <v>20400</v>
      </c>
      <c r="I11394" s="18">
        <v>19380</v>
      </c>
      <c r="J11394" s="27">
        <v>20400</v>
      </c>
      <c r="K11394" s="18">
        <f t="shared" si="355"/>
        <v>20400</v>
      </c>
      <c r="L11394" s="27">
        <v>19380</v>
      </c>
      <c r="M11394" s="36">
        <v>0</v>
      </c>
      <c r="T11394" s="41">
        <v>0</v>
      </c>
      <c r="U11394" s="41">
        <v>0</v>
      </c>
      <c r="V11394" s="42" t="s">
        <v>113</v>
      </c>
      <c r="W11394" s="42">
        <v>20400</v>
      </c>
      <c r="X11394" s="42">
        <v>20400</v>
      </c>
    </row>
    <row r="11395" spans="1:24">
      <c r="A11395" s="27" t="s">
        <v>20653</v>
      </c>
      <c r="B11395" s="28" t="s">
        <v>19918</v>
      </c>
      <c r="C11395" s="27" t="s">
        <v>19943</v>
      </c>
      <c r="D11395" s="27" t="s">
        <v>17578</v>
      </c>
      <c r="E11395" s="29">
        <v>39813</v>
      </c>
      <c r="F11395" s="27">
        <v>8</v>
      </c>
      <c r="G11395" s="18">
        <v>20400</v>
      </c>
      <c r="H11395" s="27">
        <f t="shared" si="354"/>
        <v>20400</v>
      </c>
      <c r="I11395" s="18">
        <v>19380</v>
      </c>
      <c r="J11395" s="27">
        <v>20400</v>
      </c>
      <c r="K11395" s="18">
        <f t="shared" si="355"/>
        <v>20400</v>
      </c>
      <c r="L11395" s="27">
        <v>19380</v>
      </c>
      <c r="M11395" s="36">
        <v>0</v>
      </c>
      <c r="T11395" s="41">
        <v>0</v>
      </c>
      <c r="U11395" s="41">
        <v>0</v>
      </c>
      <c r="V11395" s="42" t="s">
        <v>113</v>
      </c>
      <c r="W11395" s="42">
        <v>20400</v>
      </c>
      <c r="X11395" s="42">
        <v>20400</v>
      </c>
    </row>
    <row r="11396" spans="1:24">
      <c r="A11396" s="27" t="s">
        <v>20654</v>
      </c>
      <c r="B11396" s="28" t="s">
        <v>19918</v>
      </c>
      <c r="C11396" s="27" t="s">
        <v>20655</v>
      </c>
      <c r="D11396" s="27" t="s">
        <v>17578</v>
      </c>
      <c r="E11396" s="29">
        <v>41269</v>
      </c>
      <c r="F11396" s="27">
        <v>8</v>
      </c>
      <c r="G11396" s="18">
        <v>20000</v>
      </c>
      <c r="H11396" s="27">
        <f t="shared" si="354"/>
        <v>0</v>
      </c>
      <c r="I11396" s="18">
        <v>17179.21</v>
      </c>
      <c r="J11396" s="27">
        <v>20000</v>
      </c>
      <c r="K11396" s="18">
        <f t="shared" si="355"/>
        <v>0</v>
      </c>
      <c r="L11396" s="27">
        <v>18089.61</v>
      </c>
      <c r="M11396" s="36">
        <v>910.4</v>
      </c>
      <c r="T11396" s="41">
        <v>0</v>
      </c>
      <c r="U11396" s="41">
        <v>0</v>
      </c>
      <c r="V11396" s="42" t="s">
        <v>113</v>
      </c>
      <c r="W11396" s="42">
        <v>20000</v>
      </c>
      <c r="X11396" s="42">
        <v>20000</v>
      </c>
    </row>
    <row r="11397" spans="1:24">
      <c r="A11397" s="27" t="s">
        <v>20656</v>
      </c>
      <c r="B11397" s="28" t="s">
        <v>19918</v>
      </c>
      <c r="C11397" s="27" t="s">
        <v>20657</v>
      </c>
      <c r="D11397" s="27" t="s">
        <v>17578</v>
      </c>
      <c r="E11397" s="29">
        <v>40113</v>
      </c>
      <c r="F11397" s="27">
        <v>8</v>
      </c>
      <c r="G11397" s="18">
        <v>32073.46</v>
      </c>
      <c r="H11397" s="27">
        <f t="shared" si="354"/>
        <v>32073.46</v>
      </c>
      <c r="I11397" s="18">
        <v>30469.79</v>
      </c>
      <c r="J11397" s="27">
        <v>32073.46</v>
      </c>
      <c r="K11397" s="18">
        <f t="shared" si="355"/>
        <v>32073.46</v>
      </c>
      <c r="L11397" s="27">
        <v>30469.79</v>
      </c>
      <c r="M11397" s="36">
        <v>0</v>
      </c>
      <c r="T11397" s="41">
        <v>0</v>
      </c>
      <c r="U11397" s="41">
        <v>0</v>
      </c>
      <c r="V11397" s="42" t="s">
        <v>113</v>
      </c>
      <c r="W11397" s="42">
        <v>32073.46</v>
      </c>
      <c r="X11397" s="42">
        <v>32073.46</v>
      </c>
    </row>
    <row r="11398" spans="1:24">
      <c r="A11398" s="27" t="s">
        <v>20658</v>
      </c>
      <c r="B11398" s="28" t="s">
        <v>19918</v>
      </c>
      <c r="C11398" s="27" t="s">
        <v>20659</v>
      </c>
      <c r="D11398" s="27" t="s">
        <v>17578</v>
      </c>
      <c r="E11398" s="29">
        <v>40113</v>
      </c>
      <c r="F11398" s="27">
        <v>8</v>
      </c>
      <c r="G11398" s="18">
        <v>32073.46</v>
      </c>
      <c r="H11398" s="27">
        <f t="shared" ref="H11398:H11461" si="356">IFERROR(IF(ROUND((G11398-I11398)/G11398,2)&lt;=0.05,G11398,0),0)</f>
        <v>32073.46</v>
      </c>
      <c r="I11398" s="18">
        <v>30469.79</v>
      </c>
      <c r="J11398" s="27">
        <v>32073.46</v>
      </c>
      <c r="K11398" s="18">
        <f t="shared" ref="K11398:K11461" si="357">IFERROR(IF(ROUND((J11398-L11398)/J11398,2)&lt;=0.05,J11398,0),0)</f>
        <v>32073.46</v>
      </c>
      <c r="L11398" s="27">
        <v>30469.79</v>
      </c>
      <c r="M11398" s="36">
        <v>0</v>
      </c>
      <c r="T11398" s="41">
        <v>0</v>
      </c>
      <c r="U11398" s="41">
        <v>0</v>
      </c>
      <c r="V11398" s="42" t="s">
        <v>113</v>
      </c>
      <c r="W11398" s="42">
        <v>32073.46</v>
      </c>
      <c r="X11398" s="42">
        <v>32073.46</v>
      </c>
    </row>
    <row r="11399" spans="1:24">
      <c r="A11399" s="27" t="s">
        <v>20660</v>
      </c>
      <c r="B11399" s="28" t="s">
        <v>19918</v>
      </c>
      <c r="C11399" s="27" t="s">
        <v>20661</v>
      </c>
      <c r="D11399" s="27" t="s">
        <v>118</v>
      </c>
      <c r="E11399" s="29">
        <v>42704</v>
      </c>
      <c r="F11399" s="27">
        <v>8</v>
      </c>
      <c r="G11399" s="18">
        <v>55014.12</v>
      </c>
      <c r="H11399" s="27">
        <f t="shared" si="356"/>
        <v>0</v>
      </c>
      <c r="I11399" s="18">
        <v>13610.27</v>
      </c>
      <c r="J11399" s="27">
        <v>55014.12</v>
      </c>
      <c r="K11399" s="18">
        <f t="shared" si="357"/>
        <v>0</v>
      </c>
      <c r="L11399" s="27">
        <v>20143.2</v>
      </c>
      <c r="M11399" s="36">
        <v>6532.93</v>
      </c>
      <c r="T11399" s="41">
        <v>0</v>
      </c>
      <c r="U11399" s="41">
        <v>0</v>
      </c>
      <c r="V11399" s="42" t="s">
        <v>113</v>
      </c>
      <c r="W11399" s="42">
        <v>0</v>
      </c>
      <c r="X11399" s="42">
        <v>0</v>
      </c>
    </row>
    <row r="11400" spans="1:24">
      <c r="A11400" s="27" t="s">
        <v>20662</v>
      </c>
      <c r="B11400" s="28" t="s">
        <v>19918</v>
      </c>
      <c r="C11400" s="27" t="s">
        <v>20219</v>
      </c>
      <c r="D11400" s="27" t="s">
        <v>118</v>
      </c>
      <c r="E11400" s="29">
        <v>42704</v>
      </c>
      <c r="F11400" s="27">
        <v>8</v>
      </c>
      <c r="G11400" s="18">
        <v>36757.440000000002</v>
      </c>
      <c r="H11400" s="27">
        <f t="shared" si="356"/>
        <v>0</v>
      </c>
      <c r="I11400" s="18">
        <v>9093.65</v>
      </c>
      <c r="J11400" s="27">
        <v>36757.440000000002</v>
      </c>
      <c r="K11400" s="18">
        <f t="shared" si="357"/>
        <v>0</v>
      </c>
      <c r="L11400" s="27">
        <v>13458.59</v>
      </c>
      <c r="M11400" s="36">
        <v>4364.9399999999996</v>
      </c>
      <c r="T11400" s="41">
        <v>0</v>
      </c>
      <c r="U11400" s="41">
        <v>0</v>
      </c>
      <c r="V11400" s="42" t="s">
        <v>113</v>
      </c>
      <c r="W11400" s="42">
        <v>0</v>
      </c>
      <c r="X11400" s="42">
        <v>0</v>
      </c>
    </row>
    <row r="11401" spans="1:24">
      <c r="A11401" s="27" t="s">
        <v>20663</v>
      </c>
      <c r="B11401" s="28" t="s">
        <v>19918</v>
      </c>
      <c r="C11401" s="27" t="s">
        <v>20022</v>
      </c>
      <c r="D11401" s="27" t="s">
        <v>118</v>
      </c>
      <c r="E11401" s="29">
        <v>42704</v>
      </c>
      <c r="F11401" s="27">
        <v>8</v>
      </c>
      <c r="G11401" s="18">
        <v>36757.42</v>
      </c>
      <c r="H11401" s="27">
        <f t="shared" si="356"/>
        <v>0</v>
      </c>
      <c r="I11401" s="18">
        <v>9093.6299999999992</v>
      </c>
      <c r="J11401" s="27">
        <v>29621.15</v>
      </c>
      <c r="K11401" s="18">
        <f t="shared" si="357"/>
        <v>0</v>
      </c>
      <c r="L11401" s="27">
        <v>12312.75</v>
      </c>
      <c r="M11401" s="36">
        <v>3219.12</v>
      </c>
      <c r="N11401" s="18" t="s">
        <v>123</v>
      </c>
      <c r="O11401" s="19">
        <v>-7136.27</v>
      </c>
      <c r="T11401" s="41">
        <v>0</v>
      </c>
      <c r="U11401" s="41">
        <v>0</v>
      </c>
      <c r="V11401" s="42" t="s">
        <v>113</v>
      </c>
      <c r="W11401" s="42">
        <v>0</v>
      </c>
      <c r="X11401" s="42">
        <v>0</v>
      </c>
    </row>
    <row r="11402" spans="1:24">
      <c r="A11402" s="27" t="s">
        <v>20664</v>
      </c>
      <c r="B11402" s="28" t="s">
        <v>19918</v>
      </c>
      <c r="C11402" s="27" t="s">
        <v>20252</v>
      </c>
      <c r="D11402" s="27" t="s">
        <v>230</v>
      </c>
      <c r="E11402" s="29">
        <v>42704</v>
      </c>
      <c r="F11402" s="27">
        <v>8</v>
      </c>
      <c r="G11402" s="18">
        <v>36757.440000000002</v>
      </c>
      <c r="H11402" s="27">
        <f t="shared" si="356"/>
        <v>0</v>
      </c>
      <c r="I11402" s="18">
        <v>9093.65</v>
      </c>
      <c r="J11402" s="27">
        <v>36757.440000000002</v>
      </c>
      <c r="K11402" s="18">
        <f t="shared" si="357"/>
        <v>0</v>
      </c>
      <c r="L11402" s="27">
        <v>13458.59</v>
      </c>
      <c r="M11402" s="36">
        <v>4364.9399999999996</v>
      </c>
      <c r="T11402" s="41">
        <v>0</v>
      </c>
      <c r="U11402" s="41">
        <v>0</v>
      </c>
      <c r="V11402" s="42" t="s">
        <v>113</v>
      </c>
      <c r="W11402" s="42">
        <v>0</v>
      </c>
      <c r="X11402" s="42">
        <v>0</v>
      </c>
    </row>
    <row r="11403" spans="1:24">
      <c r="A11403" s="27" t="s">
        <v>20665</v>
      </c>
      <c r="B11403" s="28" t="s">
        <v>19918</v>
      </c>
      <c r="C11403" s="27" t="s">
        <v>20245</v>
      </c>
      <c r="D11403" s="27" t="s">
        <v>112</v>
      </c>
      <c r="E11403" s="29">
        <v>42704</v>
      </c>
      <c r="F11403" s="27">
        <v>8</v>
      </c>
      <c r="G11403" s="18">
        <v>36757.440000000002</v>
      </c>
      <c r="H11403" s="27">
        <f t="shared" si="356"/>
        <v>0</v>
      </c>
      <c r="I11403" s="18">
        <v>9093.65</v>
      </c>
      <c r="J11403" s="27">
        <v>36757.440000000002</v>
      </c>
      <c r="K11403" s="18">
        <f t="shared" si="357"/>
        <v>0</v>
      </c>
      <c r="L11403" s="27">
        <v>13458.59</v>
      </c>
      <c r="M11403" s="36">
        <v>4364.9399999999996</v>
      </c>
      <c r="T11403" s="41">
        <v>0</v>
      </c>
      <c r="U11403" s="41">
        <v>0</v>
      </c>
      <c r="V11403" s="42" t="s">
        <v>113</v>
      </c>
      <c r="W11403" s="42">
        <v>0</v>
      </c>
      <c r="X11403" s="42">
        <v>0</v>
      </c>
    </row>
    <row r="11404" spans="1:24">
      <c r="A11404" s="27" t="s">
        <v>20666</v>
      </c>
      <c r="B11404" s="28" t="s">
        <v>19918</v>
      </c>
      <c r="C11404" s="27" t="s">
        <v>20247</v>
      </c>
      <c r="D11404" s="27" t="s">
        <v>118</v>
      </c>
      <c r="E11404" s="29">
        <v>42704</v>
      </c>
      <c r="F11404" s="27">
        <v>8</v>
      </c>
      <c r="G11404" s="18">
        <v>36757.440000000002</v>
      </c>
      <c r="H11404" s="27">
        <f t="shared" si="356"/>
        <v>0</v>
      </c>
      <c r="I11404" s="18">
        <v>9093.65</v>
      </c>
      <c r="J11404" s="27">
        <v>36757.440000000002</v>
      </c>
      <c r="K11404" s="18">
        <f t="shared" si="357"/>
        <v>0</v>
      </c>
      <c r="L11404" s="27">
        <v>13458.59</v>
      </c>
      <c r="M11404" s="36">
        <v>4364.9399999999996</v>
      </c>
      <c r="T11404" s="41">
        <v>0</v>
      </c>
      <c r="U11404" s="41">
        <v>0</v>
      </c>
      <c r="V11404" s="42" t="s">
        <v>113</v>
      </c>
      <c r="W11404" s="42">
        <v>0</v>
      </c>
      <c r="X11404" s="42">
        <v>0</v>
      </c>
    </row>
    <row r="11405" spans="1:24">
      <c r="A11405" s="27" t="s">
        <v>20667</v>
      </c>
      <c r="B11405" s="28" t="s">
        <v>19918</v>
      </c>
      <c r="C11405" s="27" t="s">
        <v>20289</v>
      </c>
      <c r="D11405" s="27" t="s">
        <v>118</v>
      </c>
      <c r="E11405" s="29">
        <v>42704</v>
      </c>
      <c r="F11405" s="27">
        <v>8</v>
      </c>
      <c r="G11405" s="18">
        <v>36757.440000000002</v>
      </c>
      <c r="H11405" s="27">
        <f t="shared" si="356"/>
        <v>0</v>
      </c>
      <c r="I11405" s="18">
        <v>9093.65</v>
      </c>
      <c r="J11405" s="27">
        <v>36757.440000000002</v>
      </c>
      <c r="K11405" s="18">
        <f t="shared" si="357"/>
        <v>0</v>
      </c>
      <c r="L11405" s="27">
        <v>13458.59</v>
      </c>
      <c r="M11405" s="36">
        <v>4364.9399999999996</v>
      </c>
      <c r="T11405" s="41">
        <v>0</v>
      </c>
      <c r="U11405" s="41">
        <v>0</v>
      </c>
      <c r="V11405" s="42" t="s">
        <v>113</v>
      </c>
      <c r="W11405" s="42">
        <v>0</v>
      </c>
      <c r="X11405" s="42">
        <v>0</v>
      </c>
    </row>
    <row r="11406" spans="1:24">
      <c r="A11406" s="27" t="s">
        <v>20668</v>
      </c>
      <c r="B11406" s="28" t="s">
        <v>19918</v>
      </c>
      <c r="C11406" s="27" t="s">
        <v>20026</v>
      </c>
      <c r="D11406" s="27" t="s">
        <v>118</v>
      </c>
      <c r="E11406" s="29">
        <v>42704</v>
      </c>
      <c r="F11406" s="27">
        <v>8</v>
      </c>
      <c r="G11406" s="18">
        <v>36757.42</v>
      </c>
      <c r="H11406" s="27">
        <f t="shared" si="356"/>
        <v>0</v>
      </c>
      <c r="I11406" s="18">
        <v>9093.6299999999992</v>
      </c>
      <c r="J11406" s="27">
        <v>36757.42</v>
      </c>
      <c r="K11406" s="18">
        <f t="shared" si="357"/>
        <v>0</v>
      </c>
      <c r="L11406" s="27">
        <v>13458.57</v>
      </c>
      <c r="M11406" s="36">
        <v>4364.9399999999996</v>
      </c>
      <c r="T11406" s="41">
        <v>0</v>
      </c>
      <c r="U11406" s="41">
        <v>0</v>
      </c>
      <c r="V11406" s="42" t="s">
        <v>113</v>
      </c>
      <c r="W11406" s="42">
        <v>0</v>
      </c>
      <c r="X11406" s="42">
        <v>0</v>
      </c>
    </row>
    <row r="11407" spans="1:24">
      <c r="A11407" s="27" t="s">
        <v>20669</v>
      </c>
      <c r="B11407" s="28" t="s">
        <v>19918</v>
      </c>
      <c r="C11407" s="27" t="s">
        <v>20213</v>
      </c>
      <c r="D11407" s="27" t="s">
        <v>118</v>
      </c>
      <c r="E11407" s="29">
        <v>42704</v>
      </c>
      <c r="F11407" s="27">
        <v>8</v>
      </c>
      <c r="G11407" s="18">
        <v>36757.440000000002</v>
      </c>
      <c r="H11407" s="27">
        <f t="shared" si="356"/>
        <v>0</v>
      </c>
      <c r="I11407" s="18">
        <v>9093.65</v>
      </c>
      <c r="J11407" s="27">
        <v>36757.440000000002</v>
      </c>
      <c r="K11407" s="18">
        <f t="shared" si="357"/>
        <v>0</v>
      </c>
      <c r="L11407" s="27">
        <v>13458.59</v>
      </c>
      <c r="M11407" s="36">
        <v>4364.9399999999996</v>
      </c>
      <c r="T11407" s="41">
        <v>0</v>
      </c>
      <c r="U11407" s="41">
        <v>0</v>
      </c>
      <c r="V11407" s="42" t="s">
        <v>113</v>
      </c>
      <c r="W11407" s="42">
        <v>0</v>
      </c>
      <c r="X11407" s="42">
        <v>0</v>
      </c>
    </row>
    <row r="11408" spans="1:24">
      <c r="A11408" s="27" t="s">
        <v>20670</v>
      </c>
      <c r="B11408" s="28" t="s">
        <v>19918</v>
      </c>
      <c r="C11408" s="27" t="s">
        <v>20291</v>
      </c>
      <c r="D11408" s="27" t="s">
        <v>112</v>
      </c>
      <c r="E11408" s="29">
        <v>42704</v>
      </c>
      <c r="F11408" s="27">
        <v>8</v>
      </c>
      <c r="G11408" s="18">
        <v>36757.440000000002</v>
      </c>
      <c r="H11408" s="27">
        <f t="shared" si="356"/>
        <v>0</v>
      </c>
      <c r="I11408" s="18">
        <v>9093.65</v>
      </c>
      <c r="J11408" s="27">
        <v>36757.440000000002</v>
      </c>
      <c r="K11408" s="18">
        <f t="shared" si="357"/>
        <v>0</v>
      </c>
      <c r="L11408" s="27">
        <v>13458.59</v>
      </c>
      <c r="M11408" s="36">
        <v>4364.9399999999996</v>
      </c>
      <c r="T11408" s="41">
        <v>0</v>
      </c>
      <c r="U11408" s="41">
        <v>0</v>
      </c>
      <c r="V11408" s="42" t="s">
        <v>113</v>
      </c>
      <c r="W11408" s="42">
        <v>0</v>
      </c>
      <c r="X11408" s="42">
        <v>0</v>
      </c>
    </row>
    <row r="11409" spans="1:24">
      <c r="A11409" s="27" t="s">
        <v>20671</v>
      </c>
      <c r="B11409" s="28" t="s">
        <v>19918</v>
      </c>
      <c r="C11409" s="27" t="s">
        <v>20229</v>
      </c>
      <c r="D11409" s="27" t="s">
        <v>230</v>
      </c>
      <c r="E11409" s="29">
        <v>42704</v>
      </c>
      <c r="F11409" s="27">
        <v>8</v>
      </c>
      <c r="G11409" s="18">
        <v>36757.440000000002</v>
      </c>
      <c r="H11409" s="27">
        <f t="shared" si="356"/>
        <v>0</v>
      </c>
      <c r="I11409" s="18">
        <v>9093.65</v>
      </c>
      <c r="J11409" s="27">
        <v>36757.440000000002</v>
      </c>
      <c r="K11409" s="18">
        <f t="shared" si="357"/>
        <v>0</v>
      </c>
      <c r="L11409" s="27">
        <v>13458.59</v>
      </c>
      <c r="M11409" s="36">
        <v>4364.9399999999996</v>
      </c>
      <c r="T11409" s="41">
        <v>0</v>
      </c>
      <c r="U11409" s="41">
        <v>0</v>
      </c>
      <c r="V11409" s="42" t="s">
        <v>113</v>
      </c>
      <c r="W11409" s="42">
        <v>0</v>
      </c>
      <c r="X11409" s="42">
        <v>0</v>
      </c>
    </row>
    <row r="11410" spans="1:24">
      <c r="A11410" s="27" t="s">
        <v>20672</v>
      </c>
      <c r="B11410" s="28" t="s">
        <v>19918</v>
      </c>
      <c r="C11410" s="27" t="s">
        <v>20673</v>
      </c>
      <c r="D11410" s="27" t="s">
        <v>118</v>
      </c>
      <c r="E11410" s="29">
        <v>42704</v>
      </c>
      <c r="F11410" s="27">
        <v>8</v>
      </c>
      <c r="G11410" s="18">
        <v>63152.21</v>
      </c>
      <c r="H11410" s="27">
        <f t="shared" si="356"/>
        <v>0</v>
      </c>
      <c r="I11410" s="18">
        <v>15623.59</v>
      </c>
      <c r="J11410" s="27">
        <v>63152.21</v>
      </c>
      <c r="K11410" s="18">
        <f t="shared" si="357"/>
        <v>0</v>
      </c>
      <c r="L11410" s="27">
        <v>23122.92</v>
      </c>
      <c r="M11410" s="36">
        <v>7499.33</v>
      </c>
      <c r="T11410" s="41">
        <v>0</v>
      </c>
      <c r="U11410" s="41">
        <v>0</v>
      </c>
      <c r="V11410" s="42" t="s">
        <v>113</v>
      </c>
      <c r="W11410" s="42">
        <v>0</v>
      </c>
      <c r="X11410" s="42">
        <v>0</v>
      </c>
    </row>
    <row r="11411" spans="1:24">
      <c r="A11411" s="27" t="s">
        <v>20674</v>
      </c>
      <c r="B11411" s="28" t="s">
        <v>19918</v>
      </c>
      <c r="C11411" s="27" t="s">
        <v>20675</v>
      </c>
      <c r="D11411" s="27" t="s">
        <v>118</v>
      </c>
      <c r="E11411" s="29">
        <v>42704</v>
      </c>
      <c r="F11411" s="27">
        <v>8</v>
      </c>
      <c r="G11411" s="18">
        <v>98896.66</v>
      </c>
      <c r="H11411" s="27">
        <f t="shared" si="356"/>
        <v>0</v>
      </c>
      <c r="I11411" s="18">
        <v>24466.62</v>
      </c>
      <c r="J11411" s="27">
        <v>98896.66</v>
      </c>
      <c r="K11411" s="18">
        <f t="shared" si="357"/>
        <v>0</v>
      </c>
      <c r="L11411" s="27">
        <v>36210.6</v>
      </c>
      <c r="M11411" s="36">
        <v>11743.98</v>
      </c>
      <c r="T11411" s="41">
        <v>0</v>
      </c>
      <c r="U11411" s="41">
        <v>0</v>
      </c>
      <c r="V11411" s="42" t="s">
        <v>113</v>
      </c>
      <c r="W11411" s="42">
        <v>0</v>
      </c>
      <c r="X11411" s="42">
        <v>0</v>
      </c>
    </row>
    <row r="11412" spans="1:24">
      <c r="A11412" s="27" t="s">
        <v>20676</v>
      </c>
      <c r="B11412" s="28" t="s">
        <v>19918</v>
      </c>
      <c r="C11412" s="27" t="s">
        <v>20677</v>
      </c>
      <c r="D11412" s="27" t="s">
        <v>118</v>
      </c>
      <c r="E11412" s="29">
        <v>42704</v>
      </c>
      <c r="F11412" s="27">
        <v>8</v>
      </c>
      <c r="G11412" s="18">
        <v>99717.48</v>
      </c>
      <c r="H11412" s="27">
        <f t="shared" si="356"/>
        <v>0</v>
      </c>
      <c r="I11412" s="18">
        <v>24669.69</v>
      </c>
      <c r="J11412" s="27">
        <v>99717.48</v>
      </c>
      <c r="K11412" s="18">
        <f t="shared" si="357"/>
        <v>0</v>
      </c>
      <c r="L11412" s="27">
        <v>36511.14</v>
      </c>
      <c r="M11412" s="36">
        <v>11841.45</v>
      </c>
      <c r="T11412" s="41">
        <v>0</v>
      </c>
      <c r="U11412" s="41">
        <v>0</v>
      </c>
      <c r="V11412" s="42" t="s">
        <v>113</v>
      </c>
      <c r="W11412" s="42">
        <v>0</v>
      </c>
      <c r="X11412" s="42">
        <v>0</v>
      </c>
    </row>
    <row r="11413" spans="1:24">
      <c r="A11413" s="27" t="s">
        <v>20678</v>
      </c>
      <c r="B11413" s="28" t="s">
        <v>19918</v>
      </c>
      <c r="C11413" s="27" t="s">
        <v>20679</v>
      </c>
      <c r="D11413" s="27" t="s">
        <v>118</v>
      </c>
      <c r="E11413" s="29">
        <v>42704</v>
      </c>
      <c r="F11413" s="27">
        <v>8</v>
      </c>
      <c r="G11413" s="18">
        <v>98896.66</v>
      </c>
      <c r="H11413" s="27">
        <f t="shared" si="356"/>
        <v>0</v>
      </c>
      <c r="I11413" s="18">
        <v>24466.62</v>
      </c>
      <c r="J11413" s="27">
        <v>98896.66</v>
      </c>
      <c r="K11413" s="18">
        <f t="shared" si="357"/>
        <v>0</v>
      </c>
      <c r="L11413" s="27">
        <v>36210.6</v>
      </c>
      <c r="M11413" s="36">
        <v>11743.98</v>
      </c>
      <c r="T11413" s="41">
        <v>0</v>
      </c>
      <c r="U11413" s="41">
        <v>0</v>
      </c>
      <c r="V11413" s="42" t="s">
        <v>113</v>
      </c>
      <c r="W11413" s="42">
        <v>0</v>
      </c>
      <c r="X11413" s="42">
        <v>0</v>
      </c>
    </row>
    <row r="11414" spans="1:24">
      <c r="A11414" s="27" t="s">
        <v>20680</v>
      </c>
      <c r="B11414" s="28" t="s">
        <v>19918</v>
      </c>
      <c r="C11414" s="27" t="s">
        <v>20032</v>
      </c>
      <c r="D11414" s="27" t="s">
        <v>118</v>
      </c>
      <c r="E11414" s="29">
        <v>42704</v>
      </c>
      <c r="F11414" s="27">
        <v>8</v>
      </c>
      <c r="G11414" s="18">
        <v>153232.43</v>
      </c>
      <c r="H11414" s="27">
        <f t="shared" si="356"/>
        <v>0</v>
      </c>
      <c r="I11414" s="18">
        <v>37909.06</v>
      </c>
      <c r="J11414" s="27">
        <v>153232.43</v>
      </c>
      <c r="K11414" s="18">
        <f t="shared" si="357"/>
        <v>0</v>
      </c>
      <c r="L11414" s="27">
        <v>56105.41</v>
      </c>
      <c r="M11414" s="36">
        <v>18196.349999999999</v>
      </c>
      <c r="T11414" s="41">
        <v>0</v>
      </c>
      <c r="U11414" s="41">
        <v>0</v>
      </c>
      <c r="V11414" s="42" t="s">
        <v>113</v>
      </c>
      <c r="W11414" s="42">
        <v>0</v>
      </c>
      <c r="X11414" s="42">
        <v>0</v>
      </c>
    </row>
    <row r="11415" spans="1:24">
      <c r="A11415" s="27" t="s">
        <v>20681</v>
      </c>
      <c r="B11415" s="28" t="s">
        <v>19918</v>
      </c>
      <c r="C11415" s="27" t="s">
        <v>20682</v>
      </c>
      <c r="D11415" s="27" t="s">
        <v>118</v>
      </c>
      <c r="E11415" s="29">
        <v>42704</v>
      </c>
      <c r="F11415" s="27">
        <v>8</v>
      </c>
      <c r="G11415" s="18">
        <v>23063.85</v>
      </c>
      <c r="H11415" s="27">
        <f t="shared" si="356"/>
        <v>0</v>
      </c>
      <c r="I11415" s="18">
        <v>5705.9</v>
      </c>
      <c r="J11415" s="27">
        <v>23063.85</v>
      </c>
      <c r="K11415" s="18">
        <f t="shared" si="357"/>
        <v>0</v>
      </c>
      <c r="L11415" s="27">
        <v>8444.73</v>
      </c>
      <c r="M11415" s="36">
        <v>2738.83</v>
      </c>
      <c r="T11415" s="41">
        <v>0</v>
      </c>
      <c r="U11415" s="41">
        <v>0</v>
      </c>
      <c r="V11415" s="42" t="s">
        <v>113</v>
      </c>
      <c r="W11415" s="42">
        <v>0</v>
      </c>
      <c r="X11415" s="42">
        <v>0</v>
      </c>
    </row>
    <row r="11416" spans="1:24">
      <c r="A11416" s="27" t="s">
        <v>20683</v>
      </c>
      <c r="B11416" s="28" t="s">
        <v>19918</v>
      </c>
      <c r="C11416" s="27" t="s">
        <v>20684</v>
      </c>
      <c r="D11416" s="27" t="s">
        <v>230</v>
      </c>
      <c r="E11416" s="29">
        <v>42704</v>
      </c>
      <c r="F11416" s="27">
        <v>8</v>
      </c>
      <c r="G11416" s="18">
        <v>23063.85</v>
      </c>
      <c r="H11416" s="27">
        <f t="shared" si="356"/>
        <v>0</v>
      </c>
      <c r="I11416" s="18">
        <v>5705.9</v>
      </c>
      <c r="J11416" s="27">
        <v>23063.85</v>
      </c>
      <c r="K11416" s="18">
        <f t="shared" si="357"/>
        <v>0</v>
      </c>
      <c r="L11416" s="27">
        <v>8444.73</v>
      </c>
      <c r="M11416" s="36">
        <v>2738.83</v>
      </c>
      <c r="T11416" s="41">
        <v>0</v>
      </c>
      <c r="U11416" s="41">
        <v>0</v>
      </c>
      <c r="V11416" s="42" t="s">
        <v>113</v>
      </c>
      <c r="W11416" s="42">
        <v>0</v>
      </c>
      <c r="X11416" s="42">
        <v>0</v>
      </c>
    </row>
    <row r="11417" spans="1:24">
      <c r="A11417" s="27" t="s">
        <v>20685</v>
      </c>
      <c r="B11417" s="28" t="s">
        <v>19918</v>
      </c>
      <c r="C11417" s="27" t="s">
        <v>20686</v>
      </c>
      <c r="D11417" s="27" t="s">
        <v>230</v>
      </c>
      <c r="E11417" s="29">
        <v>42704</v>
      </c>
      <c r="F11417" s="27">
        <v>8</v>
      </c>
      <c r="G11417" s="18">
        <v>23063.85</v>
      </c>
      <c r="H11417" s="27">
        <f t="shared" si="356"/>
        <v>0</v>
      </c>
      <c r="I11417" s="18">
        <v>5705.9</v>
      </c>
      <c r="J11417" s="27">
        <v>23063.85</v>
      </c>
      <c r="K11417" s="18">
        <f t="shared" si="357"/>
        <v>0</v>
      </c>
      <c r="L11417" s="27">
        <v>8444.73</v>
      </c>
      <c r="M11417" s="36">
        <v>2738.83</v>
      </c>
      <c r="T11417" s="41">
        <v>0</v>
      </c>
      <c r="U11417" s="41">
        <v>0</v>
      </c>
      <c r="V11417" s="42" t="s">
        <v>113</v>
      </c>
      <c r="W11417" s="42">
        <v>0</v>
      </c>
      <c r="X11417" s="42">
        <v>0</v>
      </c>
    </row>
    <row r="11418" spans="1:24">
      <c r="A11418" s="27" t="s">
        <v>20687</v>
      </c>
      <c r="B11418" s="28" t="s">
        <v>19918</v>
      </c>
      <c r="C11418" s="27" t="s">
        <v>20688</v>
      </c>
      <c r="D11418" s="27" t="s">
        <v>118</v>
      </c>
      <c r="E11418" s="29">
        <v>42915</v>
      </c>
      <c r="F11418" s="27">
        <v>8</v>
      </c>
      <c r="G11418" s="18">
        <v>62515.18</v>
      </c>
      <c r="H11418" s="27">
        <f t="shared" si="356"/>
        <v>0</v>
      </c>
      <c r="I11418" s="18">
        <v>11135.52</v>
      </c>
      <c r="J11418" s="27">
        <v>62515.18</v>
      </c>
      <c r="K11418" s="18">
        <f t="shared" si="357"/>
        <v>0</v>
      </c>
      <c r="L11418" s="27">
        <v>18559.2</v>
      </c>
      <c r="M11418" s="36">
        <v>7423.68</v>
      </c>
      <c r="T11418" s="41">
        <v>0</v>
      </c>
      <c r="U11418" s="41">
        <v>0</v>
      </c>
      <c r="V11418" s="42" t="s">
        <v>113</v>
      </c>
      <c r="W11418" s="42">
        <v>0</v>
      </c>
      <c r="X11418" s="42">
        <v>0</v>
      </c>
    </row>
    <row r="11419" spans="1:24">
      <c r="A11419" s="27" t="s">
        <v>20689</v>
      </c>
      <c r="B11419" s="28" t="s">
        <v>19918</v>
      </c>
      <c r="C11419" s="27" t="s">
        <v>20688</v>
      </c>
      <c r="D11419" s="27" t="s">
        <v>118</v>
      </c>
      <c r="E11419" s="29">
        <v>42915</v>
      </c>
      <c r="F11419" s="27">
        <v>8</v>
      </c>
      <c r="G11419" s="18">
        <v>62515.18</v>
      </c>
      <c r="H11419" s="27">
        <f t="shared" si="356"/>
        <v>0</v>
      </c>
      <c r="I11419" s="18">
        <v>11135.52</v>
      </c>
      <c r="J11419" s="27">
        <v>62515.18</v>
      </c>
      <c r="K11419" s="18">
        <f t="shared" si="357"/>
        <v>0</v>
      </c>
      <c r="L11419" s="27">
        <v>18559.2</v>
      </c>
      <c r="M11419" s="36">
        <v>7423.68</v>
      </c>
      <c r="T11419" s="41">
        <v>0</v>
      </c>
      <c r="U11419" s="41">
        <v>0</v>
      </c>
      <c r="V11419" s="42" t="s">
        <v>113</v>
      </c>
      <c r="W11419" s="42">
        <v>0</v>
      </c>
      <c r="X11419" s="42">
        <v>0</v>
      </c>
    </row>
    <row r="11420" spans="1:24">
      <c r="A11420" s="27" t="s">
        <v>20690</v>
      </c>
      <c r="B11420" s="28" t="s">
        <v>19918</v>
      </c>
      <c r="C11420" s="27" t="s">
        <v>20691</v>
      </c>
      <c r="D11420" s="27" t="s">
        <v>118</v>
      </c>
      <c r="E11420" s="29">
        <v>42915</v>
      </c>
      <c r="F11420" s="27">
        <v>8</v>
      </c>
      <c r="G11420" s="18">
        <v>62515.18</v>
      </c>
      <c r="H11420" s="27">
        <f t="shared" si="356"/>
        <v>0</v>
      </c>
      <c r="I11420" s="18">
        <v>11135.52</v>
      </c>
      <c r="J11420" s="27">
        <v>62515.18</v>
      </c>
      <c r="K11420" s="18">
        <f t="shared" si="357"/>
        <v>0</v>
      </c>
      <c r="L11420" s="27">
        <v>18559.2</v>
      </c>
      <c r="M11420" s="36">
        <v>7423.68</v>
      </c>
      <c r="T11420" s="41">
        <v>0</v>
      </c>
      <c r="U11420" s="41">
        <v>0</v>
      </c>
      <c r="V11420" s="42" t="s">
        <v>113</v>
      </c>
      <c r="W11420" s="42">
        <v>0</v>
      </c>
      <c r="X11420" s="42">
        <v>0</v>
      </c>
    </row>
    <row r="11421" spans="1:24">
      <c r="A11421" s="27" t="s">
        <v>20692</v>
      </c>
      <c r="B11421" s="28" t="s">
        <v>19918</v>
      </c>
      <c r="C11421" s="27" t="s">
        <v>20693</v>
      </c>
      <c r="D11421" s="27" t="s">
        <v>230</v>
      </c>
      <c r="E11421" s="29">
        <v>42704</v>
      </c>
      <c r="F11421" s="27">
        <v>8</v>
      </c>
      <c r="G11421" s="18">
        <v>23063.85</v>
      </c>
      <c r="H11421" s="27">
        <f t="shared" si="356"/>
        <v>0</v>
      </c>
      <c r="I11421" s="18">
        <v>5705.9</v>
      </c>
      <c r="J11421" s="27">
        <v>23063.85</v>
      </c>
      <c r="K11421" s="18">
        <f t="shared" si="357"/>
        <v>0</v>
      </c>
      <c r="L11421" s="27">
        <v>8444.73</v>
      </c>
      <c r="M11421" s="36">
        <v>2738.83</v>
      </c>
      <c r="T11421" s="41">
        <v>0</v>
      </c>
      <c r="U11421" s="41">
        <v>0</v>
      </c>
      <c r="V11421" s="42" t="s">
        <v>113</v>
      </c>
      <c r="W11421" s="42">
        <v>0</v>
      </c>
      <c r="X11421" s="42">
        <v>0</v>
      </c>
    </row>
    <row r="11422" spans="1:24">
      <c r="A11422" s="27" t="s">
        <v>20694</v>
      </c>
      <c r="B11422" s="28" t="s">
        <v>19918</v>
      </c>
      <c r="C11422" s="27" t="s">
        <v>20695</v>
      </c>
      <c r="D11422" s="27" t="s">
        <v>230</v>
      </c>
      <c r="E11422" s="29">
        <v>42704</v>
      </c>
      <c r="F11422" s="27">
        <v>8</v>
      </c>
      <c r="G11422" s="18">
        <v>23063.85</v>
      </c>
      <c r="H11422" s="27">
        <f t="shared" si="356"/>
        <v>0</v>
      </c>
      <c r="I11422" s="18">
        <v>5705.9</v>
      </c>
      <c r="J11422" s="27">
        <v>23063.85</v>
      </c>
      <c r="K11422" s="18">
        <f t="shared" si="357"/>
        <v>0</v>
      </c>
      <c r="L11422" s="27">
        <v>8444.73</v>
      </c>
      <c r="M11422" s="36">
        <v>2738.83</v>
      </c>
      <c r="T11422" s="41">
        <v>0</v>
      </c>
      <c r="U11422" s="41">
        <v>0</v>
      </c>
      <c r="V11422" s="42" t="s">
        <v>113</v>
      </c>
      <c r="W11422" s="42">
        <v>0</v>
      </c>
      <c r="X11422" s="42">
        <v>0</v>
      </c>
    </row>
    <row r="11423" spans="1:24">
      <c r="A11423" s="27" t="s">
        <v>20696</v>
      </c>
      <c r="B11423" s="28" t="s">
        <v>19918</v>
      </c>
      <c r="C11423" s="27" t="s">
        <v>20697</v>
      </c>
      <c r="D11423" s="27" t="s">
        <v>230</v>
      </c>
      <c r="E11423" s="29">
        <v>42704</v>
      </c>
      <c r="F11423" s="27">
        <v>8</v>
      </c>
      <c r="G11423" s="18">
        <v>23063.85</v>
      </c>
      <c r="H11423" s="27">
        <f t="shared" si="356"/>
        <v>0</v>
      </c>
      <c r="I11423" s="18">
        <v>5705.9</v>
      </c>
      <c r="J11423" s="27">
        <v>23063.85</v>
      </c>
      <c r="K11423" s="18">
        <f t="shared" si="357"/>
        <v>0</v>
      </c>
      <c r="L11423" s="27">
        <v>8444.73</v>
      </c>
      <c r="M11423" s="36">
        <v>2738.83</v>
      </c>
      <c r="T11423" s="41">
        <v>0</v>
      </c>
      <c r="U11423" s="41">
        <v>0</v>
      </c>
      <c r="V11423" s="42" t="s">
        <v>113</v>
      </c>
      <c r="W11423" s="42">
        <v>0</v>
      </c>
      <c r="X11423" s="42">
        <v>0</v>
      </c>
    </row>
    <row r="11424" spans="1:24">
      <c r="A11424" s="27" t="s">
        <v>20698</v>
      </c>
      <c r="B11424" s="28" t="s">
        <v>19918</v>
      </c>
      <c r="C11424" s="27" t="s">
        <v>20699</v>
      </c>
      <c r="D11424" s="27" t="s">
        <v>230</v>
      </c>
      <c r="E11424" s="29">
        <v>42704</v>
      </c>
      <c r="F11424" s="27">
        <v>8</v>
      </c>
      <c r="G11424" s="18">
        <v>23063.85</v>
      </c>
      <c r="H11424" s="27">
        <f t="shared" si="356"/>
        <v>0</v>
      </c>
      <c r="I11424" s="18">
        <v>5705.9</v>
      </c>
      <c r="J11424" s="27">
        <v>23063.85</v>
      </c>
      <c r="K11424" s="18">
        <f t="shared" si="357"/>
        <v>0</v>
      </c>
      <c r="L11424" s="27">
        <v>8444.73</v>
      </c>
      <c r="M11424" s="36">
        <v>2738.83</v>
      </c>
      <c r="T11424" s="41">
        <v>0</v>
      </c>
      <c r="U11424" s="41">
        <v>0</v>
      </c>
      <c r="V11424" s="42" t="s">
        <v>113</v>
      </c>
      <c r="W11424" s="42">
        <v>0</v>
      </c>
      <c r="X11424" s="42">
        <v>0</v>
      </c>
    </row>
    <row r="11425" spans="1:24">
      <c r="A11425" s="27" t="s">
        <v>20700</v>
      </c>
      <c r="B11425" s="28" t="s">
        <v>19918</v>
      </c>
      <c r="C11425" s="27" t="s">
        <v>20701</v>
      </c>
      <c r="D11425" s="27" t="s">
        <v>230</v>
      </c>
      <c r="E11425" s="29">
        <v>42704</v>
      </c>
      <c r="F11425" s="27">
        <v>8</v>
      </c>
      <c r="G11425" s="18">
        <v>23063.85</v>
      </c>
      <c r="H11425" s="27">
        <f t="shared" si="356"/>
        <v>0</v>
      </c>
      <c r="I11425" s="18">
        <v>5705.9</v>
      </c>
      <c r="J11425" s="27">
        <v>23063.85</v>
      </c>
      <c r="K11425" s="18">
        <f t="shared" si="357"/>
        <v>0</v>
      </c>
      <c r="L11425" s="27">
        <v>8444.73</v>
      </c>
      <c r="M11425" s="36">
        <v>2738.83</v>
      </c>
      <c r="T11425" s="41">
        <v>0</v>
      </c>
      <c r="U11425" s="41">
        <v>0</v>
      </c>
      <c r="V11425" s="42" t="s">
        <v>113</v>
      </c>
      <c r="W11425" s="42">
        <v>0</v>
      </c>
      <c r="X11425" s="42">
        <v>0</v>
      </c>
    </row>
    <row r="11426" spans="1:24">
      <c r="A11426" s="27" t="s">
        <v>20702</v>
      </c>
      <c r="B11426" s="28" t="s">
        <v>19918</v>
      </c>
      <c r="C11426" s="27" t="s">
        <v>20703</v>
      </c>
      <c r="D11426" s="27" t="s">
        <v>230</v>
      </c>
      <c r="E11426" s="29">
        <v>42704</v>
      </c>
      <c r="F11426" s="27">
        <v>8</v>
      </c>
      <c r="G11426" s="18">
        <v>23063.85</v>
      </c>
      <c r="H11426" s="27">
        <f t="shared" si="356"/>
        <v>0</v>
      </c>
      <c r="I11426" s="18">
        <v>5705.9</v>
      </c>
      <c r="J11426" s="27">
        <v>23063.85</v>
      </c>
      <c r="K11426" s="18">
        <f t="shared" si="357"/>
        <v>0</v>
      </c>
      <c r="L11426" s="27">
        <v>8444.73</v>
      </c>
      <c r="M11426" s="36">
        <v>2738.83</v>
      </c>
      <c r="T11426" s="41">
        <v>0</v>
      </c>
      <c r="U11426" s="41">
        <v>0</v>
      </c>
      <c r="V11426" s="42" t="s">
        <v>113</v>
      </c>
      <c r="W11426" s="42">
        <v>0</v>
      </c>
      <c r="X11426" s="42">
        <v>0</v>
      </c>
    </row>
    <row r="11427" spans="1:24">
      <c r="A11427" s="27" t="s">
        <v>20704</v>
      </c>
      <c r="B11427" s="28" t="s">
        <v>19918</v>
      </c>
      <c r="C11427" s="27" t="s">
        <v>20705</v>
      </c>
      <c r="D11427" s="27" t="s">
        <v>230</v>
      </c>
      <c r="E11427" s="29">
        <v>42704</v>
      </c>
      <c r="F11427" s="27">
        <v>8</v>
      </c>
      <c r="G11427" s="18">
        <v>23063.85</v>
      </c>
      <c r="H11427" s="27">
        <f t="shared" si="356"/>
        <v>0</v>
      </c>
      <c r="I11427" s="18">
        <v>5705.9</v>
      </c>
      <c r="J11427" s="27">
        <v>23063.85</v>
      </c>
      <c r="K11427" s="18">
        <f t="shared" si="357"/>
        <v>0</v>
      </c>
      <c r="L11427" s="27">
        <v>8444.73</v>
      </c>
      <c r="M11427" s="36">
        <v>2738.83</v>
      </c>
      <c r="T11427" s="41">
        <v>0</v>
      </c>
      <c r="U11427" s="41">
        <v>0</v>
      </c>
      <c r="V11427" s="42" t="s">
        <v>113</v>
      </c>
      <c r="W11427" s="42">
        <v>0</v>
      </c>
      <c r="X11427" s="42">
        <v>0</v>
      </c>
    </row>
    <row r="11428" spans="1:24">
      <c r="A11428" s="27" t="s">
        <v>20706</v>
      </c>
      <c r="B11428" s="28" t="s">
        <v>19918</v>
      </c>
      <c r="C11428" s="27" t="s">
        <v>20707</v>
      </c>
      <c r="D11428" s="27" t="s">
        <v>230</v>
      </c>
      <c r="E11428" s="29">
        <v>42704</v>
      </c>
      <c r="F11428" s="27">
        <v>8</v>
      </c>
      <c r="G11428" s="18">
        <v>23063.85</v>
      </c>
      <c r="H11428" s="27">
        <f t="shared" si="356"/>
        <v>0</v>
      </c>
      <c r="I11428" s="18">
        <v>5705.9</v>
      </c>
      <c r="J11428" s="27">
        <v>23063.85</v>
      </c>
      <c r="K11428" s="18">
        <f t="shared" si="357"/>
        <v>0</v>
      </c>
      <c r="L11428" s="27">
        <v>8444.73</v>
      </c>
      <c r="M11428" s="36">
        <v>2738.83</v>
      </c>
      <c r="T11428" s="41">
        <v>0</v>
      </c>
      <c r="U11428" s="41">
        <v>0</v>
      </c>
      <c r="V11428" s="42" t="s">
        <v>113</v>
      </c>
      <c r="W11428" s="42">
        <v>0</v>
      </c>
      <c r="X11428" s="42">
        <v>0</v>
      </c>
    </row>
    <row r="11429" spans="1:24">
      <c r="A11429" s="27" t="s">
        <v>20708</v>
      </c>
      <c r="B11429" s="28" t="s">
        <v>19918</v>
      </c>
      <c r="C11429" s="27" t="s">
        <v>20709</v>
      </c>
      <c r="D11429" s="27" t="s">
        <v>230</v>
      </c>
      <c r="E11429" s="29">
        <v>42704</v>
      </c>
      <c r="F11429" s="27">
        <v>8</v>
      </c>
      <c r="G11429" s="18">
        <v>23063.85</v>
      </c>
      <c r="H11429" s="27">
        <f t="shared" si="356"/>
        <v>0</v>
      </c>
      <c r="I11429" s="18">
        <v>5705.9</v>
      </c>
      <c r="J11429" s="27">
        <v>23063.85</v>
      </c>
      <c r="K11429" s="18">
        <f t="shared" si="357"/>
        <v>0</v>
      </c>
      <c r="L11429" s="27">
        <v>8444.73</v>
      </c>
      <c r="M11429" s="36">
        <v>2738.83</v>
      </c>
      <c r="T11429" s="41">
        <v>0</v>
      </c>
      <c r="U11429" s="41">
        <v>0</v>
      </c>
      <c r="V11429" s="42" t="s">
        <v>113</v>
      </c>
      <c r="W11429" s="42">
        <v>0</v>
      </c>
      <c r="X11429" s="42">
        <v>0</v>
      </c>
    </row>
    <row r="11430" spans="1:24">
      <c r="A11430" s="27" t="s">
        <v>20710</v>
      </c>
      <c r="B11430" s="28" t="s">
        <v>19918</v>
      </c>
      <c r="C11430" s="27" t="s">
        <v>20711</v>
      </c>
      <c r="D11430" s="27" t="s">
        <v>230</v>
      </c>
      <c r="E11430" s="29">
        <v>42704</v>
      </c>
      <c r="F11430" s="27">
        <v>8</v>
      </c>
      <c r="G11430" s="18">
        <v>23063.85</v>
      </c>
      <c r="H11430" s="27">
        <f t="shared" si="356"/>
        <v>0</v>
      </c>
      <c r="I11430" s="18">
        <v>5705.9</v>
      </c>
      <c r="J11430" s="27">
        <v>23063.85</v>
      </c>
      <c r="K11430" s="18">
        <f t="shared" si="357"/>
        <v>0</v>
      </c>
      <c r="L11430" s="27">
        <v>8444.73</v>
      </c>
      <c r="M11430" s="36">
        <v>2738.83</v>
      </c>
      <c r="T11430" s="41">
        <v>0</v>
      </c>
      <c r="U11430" s="41">
        <v>0</v>
      </c>
      <c r="V11430" s="42" t="s">
        <v>113</v>
      </c>
      <c r="W11430" s="42">
        <v>0</v>
      </c>
      <c r="X11430" s="42">
        <v>0</v>
      </c>
    </row>
    <row r="11431" spans="1:24">
      <c r="A11431" s="27" t="s">
        <v>20712</v>
      </c>
      <c r="B11431" s="28" t="s">
        <v>19918</v>
      </c>
      <c r="C11431" s="27" t="s">
        <v>20713</v>
      </c>
      <c r="D11431" s="27" t="s">
        <v>230</v>
      </c>
      <c r="E11431" s="29">
        <v>42704</v>
      </c>
      <c r="F11431" s="27">
        <v>8</v>
      </c>
      <c r="G11431" s="18">
        <v>23063.85</v>
      </c>
      <c r="H11431" s="27">
        <f t="shared" si="356"/>
        <v>0</v>
      </c>
      <c r="I11431" s="18">
        <v>5705.9</v>
      </c>
      <c r="J11431" s="27">
        <v>23063.85</v>
      </c>
      <c r="K11431" s="18">
        <f t="shared" si="357"/>
        <v>0</v>
      </c>
      <c r="L11431" s="27">
        <v>8444.73</v>
      </c>
      <c r="M11431" s="36">
        <v>2738.83</v>
      </c>
      <c r="T11431" s="41">
        <v>0</v>
      </c>
      <c r="U11431" s="41">
        <v>0</v>
      </c>
      <c r="V11431" s="42" t="s">
        <v>113</v>
      </c>
      <c r="W11431" s="42">
        <v>0</v>
      </c>
      <c r="X11431" s="42">
        <v>0</v>
      </c>
    </row>
    <row r="11432" spans="1:24">
      <c r="A11432" s="27" t="s">
        <v>20714</v>
      </c>
      <c r="B11432" s="28" t="s">
        <v>19918</v>
      </c>
      <c r="C11432" s="27" t="s">
        <v>20715</v>
      </c>
      <c r="D11432" s="27" t="s">
        <v>230</v>
      </c>
      <c r="E11432" s="29">
        <v>42704</v>
      </c>
      <c r="F11432" s="27">
        <v>8</v>
      </c>
      <c r="G11432" s="18">
        <v>23063.85</v>
      </c>
      <c r="H11432" s="27">
        <f t="shared" si="356"/>
        <v>0</v>
      </c>
      <c r="I11432" s="18">
        <v>5705.9</v>
      </c>
      <c r="J11432" s="27">
        <v>23063.85</v>
      </c>
      <c r="K11432" s="18">
        <f t="shared" si="357"/>
        <v>0</v>
      </c>
      <c r="L11432" s="27">
        <v>8444.73</v>
      </c>
      <c r="M11432" s="36">
        <v>2738.83</v>
      </c>
      <c r="T11432" s="41">
        <v>0</v>
      </c>
      <c r="U11432" s="41">
        <v>0</v>
      </c>
      <c r="V11432" s="42" t="s">
        <v>113</v>
      </c>
      <c r="W11432" s="42">
        <v>0</v>
      </c>
      <c r="X11432" s="42">
        <v>0</v>
      </c>
    </row>
    <row r="11433" spans="1:24">
      <c r="A11433" s="27" t="s">
        <v>20716</v>
      </c>
      <c r="B11433" s="28" t="s">
        <v>19918</v>
      </c>
      <c r="C11433" s="27" t="s">
        <v>20717</v>
      </c>
      <c r="D11433" s="27" t="s">
        <v>230</v>
      </c>
      <c r="E11433" s="29">
        <v>42704</v>
      </c>
      <c r="F11433" s="27">
        <v>8</v>
      </c>
      <c r="G11433" s="18">
        <v>23063.85</v>
      </c>
      <c r="H11433" s="27">
        <f t="shared" si="356"/>
        <v>0</v>
      </c>
      <c r="I11433" s="18">
        <v>5705.9</v>
      </c>
      <c r="J11433" s="27">
        <v>23063.85</v>
      </c>
      <c r="K11433" s="18">
        <f t="shared" si="357"/>
        <v>0</v>
      </c>
      <c r="L11433" s="27">
        <v>8444.73</v>
      </c>
      <c r="M11433" s="36">
        <v>2738.83</v>
      </c>
      <c r="T11433" s="41">
        <v>0</v>
      </c>
      <c r="U11433" s="41">
        <v>0</v>
      </c>
      <c r="V11433" s="42" t="s">
        <v>113</v>
      </c>
      <c r="W11433" s="42">
        <v>0</v>
      </c>
      <c r="X11433" s="42">
        <v>0</v>
      </c>
    </row>
    <row r="11434" spans="1:24">
      <c r="A11434" s="27" t="s">
        <v>20718</v>
      </c>
      <c r="B11434" s="28" t="s">
        <v>19918</v>
      </c>
      <c r="C11434" s="27" t="s">
        <v>20719</v>
      </c>
      <c r="D11434" s="27" t="s">
        <v>230</v>
      </c>
      <c r="E11434" s="29">
        <v>42704</v>
      </c>
      <c r="F11434" s="27">
        <v>8</v>
      </c>
      <c r="G11434" s="18">
        <v>23063.85</v>
      </c>
      <c r="H11434" s="27">
        <f t="shared" si="356"/>
        <v>0</v>
      </c>
      <c r="I11434" s="18">
        <v>5705.9</v>
      </c>
      <c r="J11434" s="27">
        <v>23063.85</v>
      </c>
      <c r="K11434" s="18">
        <f t="shared" si="357"/>
        <v>0</v>
      </c>
      <c r="L11434" s="27">
        <v>8444.73</v>
      </c>
      <c r="M11434" s="36">
        <v>2738.83</v>
      </c>
      <c r="T11434" s="41">
        <v>0</v>
      </c>
      <c r="U11434" s="41">
        <v>0</v>
      </c>
      <c r="V11434" s="42" t="s">
        <v>113</v>
      </c>
      <c r="W11434" s="42">
        <v>0</v>
      </c>
      <c r="X11434" s="42">
        <v>0</v>
      </c>
    </row>
    <row r="11435" spans="1:24">
      <c r="A11435" s="27" t="s">
        <v>20720</v>
      </c>
      <c r="B11435" s="28" t="s">
        <v>19918</v>
      </c>
      <c r="C11435" s="27" t="s">
        <v>20721</v>
      </c>
      <c r="D11435" s="27" t="s">
        <v>230</v>
      </c>
      <c r="E11435" s="29">
        <v>42704</v>
      </c>
      <c r="F11435" s="27">
        <v>8</v>
      </c>
      <c r="G11435" s="18">
        <v>23063.85</v>
      </c>
      <c r="H11435" s="27">
        <f t="shared" si="356"/>
        <v>0</v>
      </c>
      <c r="I11435" s="18">
        <v>5705.9</v>
      </c>
      <c r="J11435" s="27">
        <v>23063.85</v>
      </c>
      <c r="K11435" s="18">
        <f t="shared" si="357"/>
        <v>0</v>
      </c>
      <c r="L11435" s="27">
        <v>8444.73</v>
      </c>
      <c r="M11435" s="36">
        <v>2738.83</v>
      </c>
      <c r="T11435" s="41">
        <v>0</v>
      </c>
      <c r="U11435" s="41">
        <v>0</v>
      </c>
      <c r="V11435" s="42" t="s">
        <v>113</v>
      </c>
      <c r="W11435" s="42">
        <v>0</v>
      </c>
      <c r="X11435" s="42">
        <v>0</v>
      </c>
    </row>
    <row r="11436" spans="1:24">
      <c r="A11436" s="27" t="s">
        <v>20722</v>
      </c>
      <c r="B11436" s="28" t="s">
        <v>19918</v>
      </c>
      <c r="C11436" s="27" t="s">
        <v>20723</v>
      </c>
      <c r="D11436" s="27" t="s">
        <v>230</v>
      </c>
      <c r="E11436" s="29">
        <v>42704</v>
      </c>
      <c r="F11436" s="27">
        <v>8</v>
      </c>
      <c r="G11436" s="18">
        <v>23063.85</v>
      </c>
      <c r="H11436" s="27">
        <f t="shared" si="356"/>
        <v>0</v>
      </c>
      <c r="I11436" s="18">
        <v>5705.9</v>
      </c>
      <c r="J11436" s="27">
        <v>23063.85</v>
      </c>
      <c r="K11436" s="18">
        <f t="shared" si="357"/>
        <v>0</v>
      </c>
      <c r="L11436" s="27">
        <v>8444.73</v>
      </c>
      <c r="M11436" s="36">
        <v>2738.83</v>
      </c>
      <c r="T11436" s="41">
        <v>0</v>
      </c>
      <c r="U11436" s="41">
        <v>0</v>
      </c>
      <c r="V11436" s="42" t="s">
        <v>113</v>
      </c>
      <c r="W11436" s="42">
        <v>0</v>
      </c>
      <c r="X11436" s="42">
        <v>0</v>
      </c>
    </row>
    <row r="11437" spans="1:24">
      <c r="A11437" s="27" t="s">
        <v>20724</v>
      </c>
      <c r="B11437" s="28" t="s">
        <v>19918</v>
      </c>
      <c r="C11437" s="27" t="s">
        <v>20725</v>
      </c>
      <c r="D11437" s="27" t="s">
        <v>230</v>
      </c>
      <c r="E11437" s="29">
        <v>42704</v>
      </c>
      <c r="F11437" s="27">
        <v>8</v>
      </c>
      <c r="G11437" s="18">
        <v>23063.85</v>
      </c>
      <c r="H11437" s="27">
        <f t="shared" si="356"/>
        <v>0</v>
      </c>
      <c r="I11437" s="18">
        <v>5705.9</v>
      </c>
      <c r="J11437" s="27">
        <v>23063.85</v>
      </c>
      <c r="K11437" s="18">
        <f t="shared" si="357"/>
        <v>0</v>
      </c>
      <c r="L11437" s="27">
        <v>8444.73</v>
      </c>
      <c r="M11437" s="36">
        <v>2738.83</v>
      </c>
      <c r="T11437" s="41">
        <v>0</v>
      </c>
      <c r="U11437" s="41">
        <v>0</v>
      </c>
      <c r="V11437" s="42" t="s">
        <v>113</v>
      </c>
      <c r="W11437" s="42">
        <v>0</v>
      </c>
      <c r="X11437" s="42">
        <v>0</v>
      </c>
    </row>
    <row r="11438" spans="1:24">
      <c r="A11438" s="27" t="s">
        <v>20726</v>
      </c>
      <c r="B11438" s="28" t="s">
        <v>19918</v>
      </c>
      <c r="C11438" s="27" t="s">
        <v>20727</v>
      </c>
      <c r="D11438" s="27" t="s">
        <v>230</v>
      </c>
      <c r="E11438" s="29">
        <v>42704</v>
      </c>
      <c r="F11438" s="27">
        <v>8</v>
      </c>
      <c r="G11438" s="18">
        <v>23063.85</v>
      </c>
      <c r="H11438" s="27">
        <f t="shared" si="356"/>
        <v>0</v>
      </c>
      <c r="I11438" s="18">
        <v>5705.9</v>
      </c>
      <c r="J11438" s="27">
        <v>23063.85</v>
      </c>
      <c r="K11438" s="18">
        <f t="shared" si="357"/>
        <v>0</v>
      </c>
      <c r="L11438" s="27">
        <v>8444.73</v>
      </c>
      <c r="M11438" s="36">
        <v>2738.83</v>
      </c>
      <c r="T11438" s="41">
        <v>0</v>
      </c>
      <c r="U11438" s="41">
        <v>0</v>
      </c>
      <c r="V11438" s="42" t="s">
        <v>113</v>
      </c>
      <c r="W11438" s="42">
        <v>0</v>
      </c>
      <c r="X11438" s="42">
        <v>0</v>
      </c>
    </row>
    <row r="11439" spans="1:24">
      <c r="A11439" s="27" t="s">
        <v>20728</v>
      </c>
      <c r="B11439" s="28" t="s">
        <v>19918</v>
      </c>
      <c r="C11439" s="27" t="s">
        <v>20729</v>
      </c>
      <c r="D11439" s="27" t="s">
        <v>230</v>
      </c>
      <c r="E11439" s="29">
        <v>42704</v>
      </c>
      <c r="F11439" s="27">
        <v>8</v>
      </c>
      <c r="G11439" s="18">
        <v>23063.85</v>
      </c>
      <c r="H11439" s="27">
        <f t="shared" si="356"/>
        <v>0</v>
      </c>
      <c r="I11439" s="18">
        <v>5705.9</v>
      </c>
      <c r="J11439" s="27">
        <v>23063.85</v>
      </c>
      <c r="K11439" s="18">
        <f t="shared" si="357"/>
        <v>0</v>
      </c>
      <c r="L11439" s="27">
        <v>8444.73</v>
      </c>
      <c r="M11439" s="36">
        <v>2738.83</v>
      </c>
      <c r="T11439" s="41">
        <v>0</v>
      </c>
      <c r="U11439" s="41">
        <v>0</v>
      </c>
      <c r="V11439" s="42" t="s">
        <v>113</v>
      </c>
      <c r="W11439" s="42">
        <v>0</v>
      </c>
      <c r="X11439" s="42">
        <v>0</v>
      </c>
    </row>
    <row r="11440" spans="1:24">
      <c r="A11440" s="27" t="s">
        <v>20730</v>
      </c>
      <c r="B11440" s="28" t="s">
        <v>19918</v>
      </c>
      <c r="C11440" s="27" t="s">
        <v>20731</v>
      </c>
      <c r="D11440" s="27" t="s">
        <v>230</v>
      </c>
      <c r="E11440" s="29">
        <v>42704</v>
      </c>
      <c r="F11440" s="27">
        <v>8</v>
      </c>
      <c r="G11440" s="18">
        <v>23063.85</v>
      </c>
      <c r="H11440" s="27">
        <f t="shared" si="356"/>
        <v>0</v>
      </c>
      <c r="I11440" s="18">
        <v>5705.9</v>
      </c>
      <c r="J11440" s="27">
        <v>23063.85</v>
      </c>
      <c r="K11440" s="18">
        <f t="shared" si="357"/>
        <v>0</v>
      </c>
      <c r="L11440" s="27">
        <v>8444.73</v>
      </c>
      <c r="M11440" s="36">
        <v>2738.83</v>
      </c>
      <c r="T11440" s="41">
        <v>0</v>
      </c>
      <c r="U11440" s="41">
        <v>0</v>
      </c>
      <c r="V11440" s="42" t="s">
        <v>113</v>
      </c>
      <c r="W11440" s="42">
        <v>0</v>
      </c>
      <c r="X11440" s="42">
        <v>0</v>
      </c>
    </row>
    <row r="11441" spans="1:24">
      <c r="A11441" s="27" t="s">
        <v>20732</v>
      </c>
      <c r="B11441" s="28" t="s">
        <v>19918</v>
      </c>
      <c r="C11441" s="27" t="s">
        <v>20733</v>
      </c>
      <c r="D11441" s="27" t="s">
        <v>230</v>
      </c>
      <c r="E11441" s="29">
        <v>42704</v>
      </c>
      <c r="F11441" s="27">
        <v>8</v>
      </c>
      <c r="G11441" s="18">
        <v>23063.85</v>
      </c>
      <c r="H11441" s="27">
        <f t="shared" si="356"/>
        <v>0</v>
      </c>
      <c r="I11441" s="18">
        <v>5705.9</v>
      </c>
      <c r="J11441" s="27">
        <v>23063.85</v>
      </c>
      <c r="K11441" s="18">
        <f t="shared" si="357"/>
        <v>0</v>
      </c>
      <c r="L11441" s="27">
        <v>8444.73</v>
      </c>
      <c r="M11441" s="36">
        <v>2738.83</v>
      </c>
      <c r="T11441" s="41">
        <v>0</v>
      </c>
      <c r="U11441" s="41">
        <v>0</v>
      </c>
      <c r="V11441" s="42" t="s">
        <v>113</v>
      </c>
      <c r="W11441" s="42">
        <v>0</v>
      </c>
      <c r="X11441" s="42">
        <v>0</v>
      </c>
    </row>
    <row r="11442" spans="1:24">
      <c r="A11442" s="27" t="s">
        <v>20734</v>
      </c>
      <c r="B11442" s="28" t="s">
        <v>19918</v>
      </c>
      <c r="C11442" s="27" t="s">
        <v>20735</v>
      </c>
      <c r="D11442" s="27" t="s">
        <v>230</v>
      </c>
      <c r="E11442" s="29">
        <v>42704</v>
      </c>
      <c r="F11442" s="27">
        <v>8</v>
      </c>
      <c r="G11442" s="18">
        <v>23063.85</v>
      </c>
      <c r="H11442" s="27">
        <f t="shared" si="356"/>
        <v>0</v>
      </c>
      <c r="I11442" s="18">
        <v>5705.9</v>
      </c>
      <c r="J11442" s="27">
        <v>23063.85</v>
      </c>
      <c r="K11442" s="18">
        <f t="shared" si="357"/>
        <v>0</v>
      </c>
      <c r="L11442" s="27">
        <v>8444.73</v>
      </c>
      <c r="M11442" s="36">
        <v>2738.83</v>
      </c>
      <c r="T11442" s="41">
        <v>0</v>
      </c>
      <c r="U11442" s="41">
        <v>0</v>
      </c>
      <c r="V11442" s="42" t="s">
        <v>113</v>
      </c>
      <c r="W11442" s="42">
        <v>0</v>
      </c>
      <c r="X11442" s="42">
        <v>0</v>
      </c>
    </row>
    <row r="11443" spans="1:24">
      <c r="A11443" s="27" t="s">
        <v>20736</v>
      </c>
      <c r="B11443" s="28" t="s">
        <v>19918</v>
      </c>
      <c r="C11443" s="27" t="s">
        <v>20737</v>
      </c>
      <c r="D11443" s="27" t="s">
        <v>230</v>
      </c>
      <c r="E11443" s="29">
        <v>42704</v>
      </c>
      <c r="F11443" s="27">
        <v>8</v>
      </c>
      <c r="G11443" s="18">
        <v>23063.85</v>
      </c>
      <c r="H11443" s="27">
        <f t="shared" si="356"/>
        <v>0</v>
      </c>
      <c r="I11443" s="18">
        <v>5705.9</v>
      </c>
      <c r="J11443" s="27">
        <v>23063.85</v>
      </c>
      <c r="K11443" s="18">
        <f t="shared" si="357"/>
        <v>0</v>
      </c>
      <c r="L11443" s="27">
        <v>8444.73</v>
      </c>
      <c r="M11443" s="36">
        <v>2738.83</v>
      </c>
      <c r="T11443" s="41">
        <v>0</v>
      </c>
      <c r="U11443" s="41">
        <v>0</v>
      </c>
      <c r="V11443" s="42" t="s">
        <v>113</v>
      </c>
      <c r="W11443" s="42">
        <v>0</v>
      </c>
      <c r="X11443" s="42">
        <v>0</v>
      </c>
    </row>
    <row r="11444" spans="1:24">
      <c r="A11444" s="27" t="s">
        <v>20738</v>
      </c>
      <c r="B11444" s="28" t="s">
        <v>19918</v>
      </c>
      <c r="C11444" s="27" t="s">
        <v>20739</v>
      </c>
      <c r="D11444" s="27" t="s">
        <v>230</v>
      </c>
      <c r="E11444" s="29">
        <v>42704</v>
      </c>
      <c r="F11444" s="27">
        <v>8</v>
      </c>
      <c r="G11444" s="18">
        <v>23063.85</v>
      </c>
      <c r="H11444" s="27">
        <f t="shared" si="356"/>
        <v>0</v>
      </c>
      <c r="I11444" s="18">
        <v>5705.9</v>
      </c>
      <c r="J11444" s="27">
        <v>23063.85</v>
      </c>
      <c r="K11444" s="18">
        <f t="shared" si="357"/>
        <v>0</v>
      </c>
      <c r="L11444" s="27">
        <v>8444.73</v>
      </c>
      <c r="M11444" s="36">
        <v>2738.83</v>
      </c>
      <c r="T11444" s="41">
        <v>0</v>
      </c>
      <c r="U11444" s="41">
        <v>0</v>
      </c>
      <c r="V11444" s="42" t="s">
        <v>113</v>
      </c>
      <c r="W11444" s="42">
        <v>0</v>
      </c>
      <c r="X11444" s="42">
        <v>0</v>
      </c>
    </row>
    <row r="11445" spans="1:24">
      <c r="A11445" s="27" t="s">
        <v>20740</v>
      </c>
      <c r="B11445" s="28" t="s">
        <v>19918</v>
      </c>
      <c r="C11445" s="27" t="s">
        <v>20741</v>
      </c>
      <c r="D11445" s="27" t="s">
        <v>230</v>
      </c>
      <c r="E11445" s="29">
        <v>42704</v>
      </c>
      <c r="F11445" s="27">
        <v>8</v>
      </c>
      <c r="G11445" s="18">
        <v>23063.85</v>
      </c>
      <c r="H11445" s="27">
        <f t="shared" si="356"/>
        <v>0</v>
      </c>
      <c r="I11445" s="18">
        <v>5705.9</v>
      </c>
      <c r="J11445" s="27">
        <v>23063.85</v>
      </c>
      <c r="K11445" s="18">
        <f t="shared" si="357"/>
        <v>0</v>
      </c>
      <c r="L11445" s="27">
        <v>8444.73</v>
      </c>
      <c r="M11445" s="36">
        <v>2738.83</v>
      </c>
      <c r="T11445" s="41">
        <v>0</v>
      </c>
      <c r="U11445" s="41">
        <v>0</v>
      </c>
      <c r="V11445" s="42" t="s">
        <v>113</v>
      </c>
      <c r="W11445" s="42">
        <v>0</v>
      </c>
      <c r="X11445" s="42">
        <v>0</v>
      </c>
    </row>
    <row r="11446" spans="1:24">
      <c r="A11446" s="27" t="s">
        <v>20742</v>
      </c>
      <c r="B11446" s="28" t="s">
        <v>19918</v>
      </c>
      <c r="C11446" s="27" t="s">
        <v>20743</v>
      </c>
      <c r="D11446" s="27" t="s">
        <v>112</v>
      </c>
      <c r="E11446" s="29">
        <v>42704</v>
      </c>
      <c r="F11446" s="27">
        <v>8</v>
      </c>
      <c r="G11446" s="18">
        <v>23063.85</v>
      </c>
      <c r="H11446" s="27">
        <f t="shared" si="356"/>
        <v>0</v>
      </c>
      <c r="I11446" s="18">
        <v>5705.9</v>
      </c>
      <c r="J11446" s="27">
        <v>23063.85</v>
      </c>
      <c r="K11446" s="18">
        <f t="shared" si="357"/>
        <v>0</v>
      </c>
      <c r="L11446" s="27">
        <v>8444.73</v>
      </c>
      <c r="M11446" s="36">
        <v>2738.83</v>
      </c>
      <c r="T11446" s="41">
        <v>0</v>
      </c>
      <c r="U11446" s="41">
        <v>0</v>
      </c>
      <c r="V11446" s="42" t="s">
        <v>113</v>
      </c>
      <c r="W11446" s="42">
        <v>0</v>
      </c>
      <c r="X11446" s="42">
        <v>0</v>
      </c>
    </row>
    <row r="11447" spans="1:24">
      <c r="A11447" s="27" t="s">
        <v>20744</v>
      </c>
      <c r="B11447" s="28" t="s">
        <v>19918</v>
      </c>
      <c r="C11447" s="27" t="s">
        <v>20745</v>
      </c>
      <c r="D11447" s="27" t="s">
        <v>112</v>
      </c>
      <c r="E11447" s="29">
        <v>42704</v>
      </c>
      <c r="F11447" s="27">
        <v>8</v>
      </c>
      <c r="G11447" s="18">
        <v>23063.85</v>
      </c>
      <c r="H11447" s="27">
        <f t="shared" si="356"/>
        <v>0</v>
      </c>
      <c r="I11447" s="18">
        <v>5705.9</v>
      </c>
      <c r="J11447" s="27">
        <v>23063.85</v>
      </c>
      <c r="K11447" s="18">
        <f t="shared" si="357"/>
        <v>0</v>
      </c>
      <c r="L11447" s="27">
        <v>8444.73</v>
      </c>
      <c r="M11447" s="36">
        <v>2738.83</v>
      </c>
      <c r="T11447" s="41">
        <v>0</v>
      </c>
      <c r="U11447" s="41">
        <v>0</v>
      </c>
      <c r="V11447" s="42" t="s">
        <v>113</v>
      </c>
      <c r="W11447" s="42">
        <v>0</v>
      </c>
      <c r="X11447" s="42">
        <v>0</v>
      </c>
    </row>
    <row r="11448" spans="1:24">
      <c r="A11448" s="27" t="s">
        <v>20746</v>
      </c>
      <c r="B11448" s="28" t="s">
        <v>19918</v>
      </c>
      <c r="C11448" s="27" t="s">
        <v>20747</v>
      </c>
      <c r="D11448" s="27" t="s">
        <v>112</v>
      </c>
      <c r="E11448" s="29">
        <v>42704</v>
      </c>
      <c r="F11448" s="27">
        <v>8</v>
      </c>
      <c r="G11448" s="18">
        <v>23063.85</v>
      </c>
      <c r="H11448" s="27">
        <f t="shared" si="356"/>
        <v>0</v>
      </c>
      <c r="I11448" s="18">
        <v>5705.9</v>
      </c>
      <c r="J11448" s="27">
        <v>23063.85</v>
      </c>
      <c r="K11448" s="18">
        <f t="shared" si="357"/>
        <v>0</v>
      </c>
      <c r="L11448" s="27">
        <v>8444.73</v>
      </c>
      <c r="M11448" s="36">
        <v>2738.83</v>
      </c>
      <c r="T11448" s="41">
        <v>0</v>
      </c>
      <c r="U11448" s="41">
        <v>0</v>
      </c>
      <c r="V11448" s="42" t="s">
        <v>113</v>
      </c>
      <c r="W11448" s="42">
        <v>0</v>
      </c>
      <c r="X11448" s="42">
        <v>0</v>
      </c>
    </row>
    <row r="11449" spans="1:24">
      <c r="A11449" s="27" t="s">
        <v>20748</v>
      </c>
      <c r="B11449" s="28" t="s">
        <v>19918</v>
      </c>
      <c r="C11449" s="27" t="s">
        <v>20749</v>
      </c>
      <c r="D11449" s="27" t="s">
        <v>112</v>
      </c>
      <c r="E11449" s="29">
        <v>42704</v>
      </c>
      <c r="F11449" s="27">
        <v>8</v>
      </c>
      <c r="G11449" s="18">
        <v>23063.85</v>
      </c>
      <c r="H11449" s="27">
        <f t="shared" si="356"/>
        <v>0</v>
      </c>
      <c r="I11449" s="18">
        <v>5705.9</v>
      </c>
      <c r="J11449" s="27">
        <v>23063.85</v>
      </c>
      <c r="K11449" s="18">
        <f t="shared" si="357"/>
        <v>0</v>
      </c>
      <c r="L11449" s="27">
        <v>8444.73</v>
      </c>
      <c r="M11449" s="36">
        <v>2738.83</v>
      </c>
      <c r="T11449" s="41">
        <v>0</v>
      </c>
      <c r="U11449" s="41">
        <v>0</v>
      </c>
      <c r="V11449" s="42" t="s">
        <v>113</v>
      </c>
      <c r="W11449" s="42">
        <v>0</v>
      </c>
      <c r="X11449" s="42">
        <v>0</v>
      </c>
    </row>
    <row r="11450" spans="1:24">
      <c r="A11450" s="27" t="s">
        <v>20750</v>
      </c>
      <c r="B11450" s="28" t="s">
        <v>19918</v>
      </c>
      <c r="C11450" s="27" t="s">
        <v>20751</v>
      </c>
      <c r="D11450" s="27" t="s">
        <v>112</v>
      </c>
      <c r="E11450" s="29">
        <v>42704</v>
      </c>
      <c r="F11450" s="27">
        <v>8</v>
      </c>
      <c r="G11450" s="18">
        <v>23063.85</v>
      </c>
      <c r="H11450" s="27">
        <f t="shared" si="356"/>
        <v>0</v>
      </c>
      <c r="I11450" s="18">
        <v>5705.9</v>
      </c>
      <c r="J11450" s="27">
        <v>23063.85</v>
      </c>
      <c r="K11450" s="18">
        <f t="shared" si="357"/>
        <v>0</v>
      </c>
      <c r="L11450" s="27">
        <v>8444.73</v>
      </c>
      <c r="M11450" s="36">
        <v>2738.83</v>
      </c>
      <c r="T11450" s="41">
        <v>0</v>
      </c>
      <c r="U11450" s="41">
        <v>0</v>
      </c>
      <c r="V11450" s="42" t="s">
        <v>113</v>
      </c>
      <c r="W11450" s="42">
        <v>0</v>
      </c>
      <c r="X11450" s="42">
        <v>0</v>
      </c>
    </row>
    <row r="11451" spans="1:24">
      <c r="A11451" s="27" t="s">
        <v>20752</v>
      </c>
      <c r="B11451" s="28" t="s">
        <v>19918</v>
      </c>
      <c r="C11451" s="27" t="s">
        <v>20753</v>
      </c>
      <c r="D11451" s="27" t="s">
        <v>112</v>
      </c>
      <c r="E11451" s="29">
        <v>42704</v>
      </c>
      <c r="F11451" s="27">
        <v>8</v>
      </c>
      <c r="G11451" s="18">
        <v>23063.85</v>
      </c>
      <c r="H11451" s="27">
        <f t="shared" si="356"/>
        <v>0</v>
      </c>
      <c r="I11451" s="18">
        <v>5705.9</v>
      </c>
      <c r="J11451" s="27">
        <v>23063.85</v>
      </c>
      <c r="K11451" s="18">
        <f t="shared" si="357"/>
        <v>0</v>
      </c>
      <c r="L11451" s="27">
        <v>8444.73</v>
      </c>
      <c r="M11451" s="36">
        <v>2738.83</v>
      </c>
      <c r="T11451" s="41">
        <v>0</v>
      </c>
      <c r="U11451" s="41">
        <v>0</v>
      </c>
      <c r="V11451" s="42" t="s">
        <v>113</v>
      </c>
      <c r="W11451" s="42">
        <v>0</v>
      </c>
      <c r="X11451" s="42">
        <v>0</v>
      </c>
    </row>
    <row r="11452" spans="1:24">
      <c r="A11452" s="27" t="s">
        <v>20754</v>
      </c>
      <c r="B11452" s="28" t="s">
        <v>19918</v>
      </c>
      <c r="C11452" s="27" t="s">
        <v>20755</v>
      </c>
      <c r="D11452" s="27" t="s">
        <v>112</v>
      </c>
      <c r="E11452" s="29">
        <v>43404</v>
      </c>
      <c r="F11452" s="27">
        <v>8</v>
      </c>
      <c r="G11452" s="18">
        <v>32239.24</v>
      </c>
      <c r="H11452" s="27">
        <f t="shared" si="356"/>
        <v>0</v>
      </c>
      <c r="I11452" s="18">
        <v>638.05999999999995</v>
      </c>
      <c r="J11452" s="27">
        <v>32239.24</v>
      </c>
      <c r="K11452" s="18">
        <f t="shared" si="357"/>
        <v>0</v>
      </c>
      <c r="L11452" s="27">
        <v>4466.47</v>
      </c>
      <c r="M11452" s="36">
        <v>3828.41</v>
      </c>
      <c r="T11452" s="41">
        <v>0</v>
      </c>
      <c r="U11452" s="41">
        <v>0</v>
      </c>
      <c r="V11452" s="42" t="s">
        <v>113</v>
      </c>
      <c r="W11452" s="42">
        <v>0</v>
      </c>
      <c r="X11452" s="42">
        <v>0</v>
      </c>
    </row>
    <row r="11453" spans="1:24">
      <c r="A11453" s="27" t="s">
        <v>20756</v>
      </c>
      <c r="B11453" s="28" t="s">
        <v>19918</v>
      </c>
      <c r="C11453" s="27" t="s">
        <v>20757</v>
      </c>
      <c r="D11453" s="27" t="s">
        <v>118</v>
      </c>
      <c r="E11453" s="29">
        <v>43770</v>
      </c>
      <c r="F11453" s="27">
        <v>8</v>
      </c>
      <c r="G11453" s="18">
        <v>0</v>
      </c>
      <c r="H11453" s="27">
        <f t="shared" si="356"/>
        <v>0</v>
      </c>
      <c r="I11453" s="18">
        <v>0</v>
      </c>
      <c r="J11453" s="27">
        <v>38924.33</v>
      </c>
      <c r="K11453" s="18">
        <f t="shared" si="357"/>
        <v>0</v>
      </c>
      <c r="L11453" s="27">
        <v>385.19</v>
      </c>
      <c r="M11453" s="36">
        <v>385.19</v>
      </c>
      <c r="N11453" s="18" t="s">
        <v>123</v>
      </c>
      <c r="O11453" s="19">
        <v>38924.33</v>
      </c>
      <c r="T11453" s="41">
        <v>0</v>
      </c>
      <c r="U11453" s="41">
        <v>0</v>
      </c>
      <c r="V11453" s="42" t="s">
        <v>113</v>
      </c>
      <c r="W11453" s="42">
        <v>0</v>
      </c>
      <c r="X11453" s="42">
        <v>0</v>
      </c>
    </row>
    <row r="11454" spans="1:24">
      <c r="A11454" s="27" t="s">
        <v>20758</v>
      </c>
      <c r="B11454" s="28" t="s">
        <v>19918</v>
      </c>
      <c r="C11454" s="27" t="s">
        <v>20759</v>
      </c>
      <c r="D11454" s="27" t="s">
        <v>118</v>
      </c>
      <c r="E11454" s="29">
        <v>43770</v>
      </c>
      <c r="F11454" s="27">
        <v>8</v>
      </c>
      <c r="G11454" s="18">
        <v>0</v>
      </c>
      <c r="H11454" s="27">
        <f t="shared" si="356"/>
        <v>0</v>
      </c>
      <c r="I11454" s="18">
        <v>0</v>
      </c>
      <c r="J11454" s="27">
        <v>38924.33</v>
      </c>
      <c r="K11454" s="18">
        <f t="shared" si="357"/>
        <v>0</v>
      </c>
      <c r="L11454" s="27">
        <v>385.19</v>
      </c>
      <c r="M11454" s="36">
        <v>385.19</v>
      </c>
      <c r="N11454" s="18" t="s">
        <v>123</v>
      </c>
      <c r="O11454" s="19">
        <v>38924.33</v>
      </c>
      <c r="T11454" s="41">
        <v>0</v>
      </c>
      <c r="U11454" s="41">
        <v>0</v>
      </c>
      <c r="V11454" s="42" t="s">
        <v>113</v>
      </c>
      <c r="W11454" s="42">
        <v>0</v>
      </c>
      <c r="X11454" s="42">
        <v>0</v>
      </c>
    </row>
    <row r="11455" spans="1:24">
      <c r="A11455" s="27" t="s">
        <v>20760</v>
      </c>
      <c r="B11455" s="28" t="s">
        <v>19918</v>
      </c>
      <c r="C11455" s="27" t="s">
        <v>20761</v>
      </c>
      <c r="D11455" s="27" t="s">
        <v>118</v>
      </c>
      <c r="E11455" s="29">
        <v>43770</v>
      </c>
      <c r="F11455" s="27">
        <v>8</v>
      </c>
      <c r="G11455" s="18">
        <v>0</v>
      </c>
      <c r="H11455" s="27">
        <f t="shared" si="356"/>
        <v>0</v>
      </c>
      <c r="I11455" s="18">
        <v>0</v>
      </c>
      <c r="J11455" s="27">
        <v>38924.33</v>
      </c>
      <c r="K11455" s="18">
        <f t="shared" si="357"/>
        <v>0</v>
      </c>
      <c r="L11455" s="27">
        <v>385.19</v>
      </c>
      <c r="M11455" s="36">
        <v>385.19</v>
      </c>
      <c r="N11455" s="18" t="s">
        <v>123</v>
      </c>
      <c r="O11455" s="19">
        <v>38924.33</v>
      </c>
      <c r="T11455" s="41">
        <v>0</v>
      </c>
      <c r="U11455" s="41">
        <v>0</v>
      </c>
      <c r="V11455" s="42" t="s">
        <v>113</v>
      </c>
      <c r="W11455" s="42">
        <v>0</v>
      </c>
      <c r="X11455" s="42">
        <v>0</v>
      </c>
    </row>
    <row r="11456" spans="1:24">
      <c r="A11456" s="27" t="s">
        <v>20762</v>
      </c>
      <c r="B11456" s="28" t="s">
        <v>19918</v>
      </c>
      <c r="C11456" s="27" t="s">
        <v>20763</v>
      </c>
      <c r="D11456" s="27" t="s">
        <v>118</v>
      </c>
      <c r="E11456" s="29">
        <v>43770</v>
      </c>
      <c r="F11456" s="27">
        <v>8</v>
      </c>
      <c r="G11456" s="18">
        <v>0</v>
      </c>
      <c r="H11456" s="27">
        <f t="shared" si="356"/>
        <v>0</v>
      </c>
      <c r="I11456" s="18">
        <v>0</v>
      </c>
      <c r="J11456" s="27">
        <v>38924.339999999997</v>
      </c>
      <c r="K11456" s="18">
        <f t="shared" si="357"/>
        <v>0</v>
      </c>
      <c r="L11456" s="27">
        <v>385.19</v>
      </c>
      <c r="M11456" s="36">
        <v>385.19</v>
      </c>
      <c r="N11456" s="18" t="s">
        <v>123</v>
      </c>
      <c r="O11456" s="19">
        <v>38924.339999999997</v>
      </c>
      <c r="T11456" s="41">
        <v>0</v>
      </c>
      <c r="U11456" s="41">
        <v>0</v>
      </c>
      <c r="V11456" s="42" t="s">
        <v>113</v>
      </c>
      <c r="W11456" s="42">
        <v>0</v>
      </c>
      <c r="X11456" s="42">
        <v>0</v>
      </c>
    </row>
    <row r="11457" spans="1:24">
      <c r="A11457" s="27" t="s">
        <v>20764</v>
      </c>
      <c r="B11457" s="28" t="s">
        <v>19918</v>
      </c>
      <c r="C11457" s="27" t="s">
        <v>20765</v>
      </c>
      <c r="D11457" s="27" t="s">
        <v>118</v>
      </c>
      <c r="E11457" s="29">
        <v>43770</v>
      </c>
      <c r="F11457" s="27">
        <v>8</v>
      </c>
      <c r="G11457" s="18">
        <v>0</v>
      </c>
      <c r="H11457" s="27">
        <f t="shared" si="356"/>
        <v>0</v>
      </c>
      <c r="I11457" s="18">
        <v>0</v>
      </c>
      <c r="J11457" s="27">
        <v>38924.339999999997</v>
      </c>
      <c r="K11457" s="18">
        <f t="shared" si="357"/>
        <v>0</v>
      </c>
      <c r="L11457" s="27">
        <v>385.19</v>
      </c>
      <c r="M11457" s="36">
        <v>385.19</v>
      </c>
      <c r="N11457" s="18" t="s">
        <v>123</v>
      </c>
      <c r="O11457" s="19">
        <v>38924.339999999997</v>
      </c>
      <c r="T11457" s="41">
        <v>0</v>
      </c>
      <c r="U11457" s="41">
        <v>0</v>
      </c>
      <c r="V11457" s="42" t="s">
        <v>113</v>
      </c>
      <c r="W11457" s="42">
        <v>0</v>
      </c>
      <c r="X11457" s="42">
        <v>0</v>
      </c>
    </row>
    <row r="11458" spans="1:24">
      <c r="A11458" s="27" t="s">
        <v>20766</v>
      </c>
      <c r="B11458" s="28" t="s">
        <v>19918</v>
      </c>
      <c r="C11458" s="27" t="s">
        <v>20767</v>
      </c>
      <c r="D11458" s="27" t="s">
        <v>118</v>
      </c>
      <c r="E11458" s="29">
        <v>43804</v>
      </c>
      <c r="F11458" s="27">
        <v>8</v>
      </c>
      <c r="G11458" s="18">
        <v>0</v>
      </c>
      <c r="H11458" s="27">
        <f t="shared" si="356"/>
        <v>0</v>
      </c>
      <c r="I11458" s="18">
        <v>0</v>
      </c>
      <c r="J11458" s="27">
        <v>79469.63</v>
      </c>
      <c r="K11458" s="18">
        <f t="shared" si="357"/>
        <v>0</v>
      </c>
      <c r="L11458" s="27">
        <v>0</v>
      </c>
      <c r="M11458" s="36">
        <v>0</v>
      </c>
      <c r="N11458" s="18" t="s">
        <v>123</v>
      </c>
      <c r="O11458" s="19">
        <v>79469.63</v>
      </c>
      <c r="T11458" s="41">
        <v>0</v>
      </c>
      <c r="U11458" s="41">
        <v>0</v>
      </c>
      <c r="V11458" s="42" t="s">
        <v>113</v>
      </c>
      <c r="W11458" s="42">
        <v>0</v>
      </c>
      <c r="X11458" s="42">
        <v>0</v>
      </c>
    </row>
    <row r="11459" spans="1:24">
      <c r="A11459" s="27" t="s">
        <v>20768</v>
      </c>
      <c r="B11459" s="28" t="s">
        <v>19918</v>
      </c>
      <c r="C11459" s="27" t="s">
        <v>20769</v>
      </c>
      <c r="D11459" s="27" t="s">
        <v>118</v>
      </c>
      <c r="E11459" s="29">
        <v>43804</v>
      </c>
      <c r="F11459" s="27">
        <v>8</v>
      </c>
      <c r="G11459" s="18">
        <v>0</v>
      </c>
      <c r="H11459" s="27">
        <f t="shared" si="356"/>
        <v>0</v>
      </c>
      <c r="I11459" s="18">
        <v>0</v>
      </c>
      <c r="J11459" s="27">
        <v>79469.63</v>
      </c>
      <c r="K11459" s="18">
        <f t="shared" si="357"/>
        <v>0</v>
      </c>
      <c r="L11459" s="27">
        <v>0</v>
      </c>
      <c r="M11459" s="36">
        <v>0</v>
      </c>
      <c r="N11459" s="18" t="s">
        <v>123</v>
      </c>
      <c r="O11459" s="19">
        <v>79469.63</v>
      </c>
      <c r="T11459" s="41">
        <v>0</v>
      </c>
      <c r="U11459" s="41">
        <v>0</v>
      </c>
      <c r="V11459" s="42" t="s">
        <v>113</v>
      </c>
      <c r="W11459" s="42">
        <v>0</v>
      </c>
      <c r="X11459" s="42">
        <v>0</v>
      </c>
    </row>
    <row r="11460" spans="1:24">
      <c r="A11460" s="27" t="s">
        <v>20770</v>
      </c>
      <c r="B11460" s="28" t="s">
        <v>19918</v>
      </c>
      <c r="C11460" s="27" t="s">
        <v>20771</v>
      </c>
      <c r="D11460" s="27" t="s">
        <v>20772</v>
      </c>
      <c r="E11460" s="29">
        <v>43799</v>
      </c>
      <c r="F11460" s="27">
        <v>8</v>
      </c>
      <c r="G11460" s="18">
        <v>0</v>
      </c>
      <c r="H11460" s="27">
        <f t="shared" si="356"/>
        <v>0</v>
      </c>
      <c r="I11460" s="18">
        <v>0</v>
      </c>
      <c r="J11460" s="27">
        <v>117922.52</v>
      </c>
      <c r="K11460" s="18">
        <f t="shared" si="357"/>
        <v>0</v>
      </c>
      <c r="L11460" s="27">
        <v>1166.94</v>
      </c>
      <c r="M11460" s="36">
        <v>1166.94</v>
      </c>
      <c r="N11460" s="18" t="s">
        <v>123</v>
      </c>
      <c r="O11460" s="19">
        <v>117922.52</v>
      </c>
      <c r="T11460" s="41">
        <v>0</v>
      </c>
      <c r="U11460" s="41">
        <v>0</v>
      </c>
      <c r="V11460" s="42" t="s">
        <v>113</v>
      </c>
      <c r="W11460" s="42">
        <v>0</v>
      </c>
      <c r="X11460" s="42">
        <v>0</v>
      </c>
    </row>
    <row r="11461" spans="1:24">
      <c r="A11461" s="27" t="s">
        <v>20773</v>
      </c>
      <c r="B11461" s="28" t="s">
        <v>19918</v>
      </c>
      <c r="C11461" s="27" t="s">
        <v>20774</v>
      </c>
      <c r="D11461" s="27" t="s">
        <v>17578</v>
      </c>
      <c r="E11461" s="29">
        <v>40268</v>
      </c>
      <c r="F11461" s="27">
        <v>8</v>
      </c>
      <c r="G11461" s="18">
        <v>25687.09</v>
      </c>
      <c r="H11461" s="27">
        <f t="shared" si="356"/>
        <v>25687.09</v>
      </c>
      <c r="I11461" s="18">
        <v>24402.74</v>
      </c>
      <c r="J11461" s="27">
        <v>25687.09</v>
      </c>
      <c r="K11461" s="18">
        <f t="shared" si="357"/>
        <v>25687.09</v>
      </c>
      <c r="L11461" s="27">
        <v>24402.74</v>
      </c>
      <c r="M11461" s="36">
        <v>0</v>
      </c>
      <c r="T11461" s="41">
        <v>0</v>
      </c>
      <c r="U11461" s="41">
        <v>0</v>
      </c>
      <c r="V11461" s="42" t="s">
        <v>113</v>
      </c>
      <c r="W11461" s="42">
        <v>25687.09</v>
      </c>
      <c r="X11461" s="42">
        <v>25687.09</v>
      </c>
    </row>
    <row r="11462" spans="1:24">
      <c r="A11462" s="27" t="s">
        <v>20775</v>
      </c>
      <c r="B11462" s="28" t="s">
        <v>19918</v>
      </c>
      <c r="C11462" s="27" t="s">
        <v>2163</v>
      </c>
      <c r="D11462" s="27" t="s">
        <v>17578</v>
      </c>
      <c r="E11462" s="29">
        <v>40268</v>
      </c>
      <c r="F11462" s="27">
        <v>8</v>
      </c>
      <c r="G11462" s="18">
        <v>25687.09</v>
      </c>
      <c r="H11462" s="27">
        <f t="shared" ref="H11462:H11525" si="358">IFERROR(IF(ROUND((G11462-I11462)/G11462,2)&lt;=0.05,G11462,0),0)</f>
        <v>25687.09</v>
      </c>
      <c r="I11462" s="18">
        <v>24402.74</v>
      </c>
      <c r="J11462" s="27">
        <v>25687.09</v>
      </c>
      <c r="K11462" s="18">
        <f t="shared" ref="K11462:K11525" si="359">IFERROR(IF(ROUND((J11462-L11462)/J11462,2)&lt;=0.05,J11462,0),0)</f>
        <v>25687.09</v>
      </c>
      <c r="L11462" s="27">
        <v>24402.74</v>
      </c>
      <c r="M11462" s="36">
        <v>0</v>
      </c>
      <c r="T11462" s="41">
        <v>0</v>
      </c>
      <c r="U11462" s="41">
        <v>0</v>
      </c>
      <c r="V11462" s="42" t="s">
        <v>113</v>
      </c>
      <c r="W11462" s="42">
        <v>25687.09</v>
      </c>
      <c r="X11462" s="42">
        <v>25687.09</v>
      </c>
    </row>
    <row r="11463" spans="1:24">
      <c r="A11463" s="27" t="s">
        <v>20776</v>
      </c>
      <c r="B11463" s="28" t="s">
        <v>19918</v>
      </c>
      <c r="C11463" s="27" t="s">
        <v>20777</v>
      </c>
      <c r="D11463" s="27" t="s">
        <v>17578</v>
      </c>
      <c r="E11463" s="29">
        <v>40268</v>
      </c>
      <c r="F11463" s="27">
        <v>8</v>
      </c>
      <c r="G11463" s="18">
        <v>25687.09</v>
      </c>
      <c r="H11463" s="27">
        <f t="shared" si="358"/>
        <v>25687.09</v>
      </c>
      <c r="I11463" s="18">
        <v>24402.74</v>
      </c>
      <c r="J11463" s="27">
        <v>25687.09</v>
      </c>
      <c r="K11463" s="18">
        <f t="shared" si="359"/>
        <v>25687.09</v>
      </c>
      <c r="L11463" s="27">
        <v>24402.74</v>
      </c>
      <c r="M11463" s="36">
        <v>0</v>
      </c>
      <c r="T11463" s="41">
        <v>0</v>
      </c>
      <c r="U11463" s="41">
        <v>0</v>
      </c>
      <c r="V11463" s="42" t="s">
        <v>113</v>
      </c>
      <c r="W11463" s="42">
        <v>25687.09</v>
      </c>
      <c r="X11463" s="42">
        <v>25687.09</v>
      </c>
    </row>
    <row r="11464" spans="1:24">
      <c r="A11464" s="27" t="s">
        <v>20778</v>
      </c>
      <c r="B11464" s="28" t="s">
        <v>19918</v>
      </c>
      <c r="C11464" s="27" t="s">
        <v>20779</v>
      </c>
      <c r="D11464" s="27" t="s">
        <v>17578</v>
      </c>
      <c r="E11464" s="29">
        <v>40268</v>
      </c>
      <c r="F11464" s="27">
        <v>8</v>
      </c>
      <c r="G11464" s="18">
        <v>25687.09</v>
      </c>
      <c r="H11464" s="27">
        <f t="shared" si="358"/>
        <v>25687.09</v>
      </c>
      <c r="I11464" s="18">
        <v>24402.74</v>
      </c>
      <c r="J11464" s="27">
        <v>25687.09</v>
      </c>
      <c r="K11464" s="18">
        <f t="shared" si="359"/>
        <v>25687.09</v>
      </c>
      <c r="L11464" s="27">
        <v>24402.74</v>
      </c>
      <c r="M11464" s="36">
        <v>0</v>
      </c>
      <c r="T11464" s="41">
        <v>0</v>
      </c>
      <c r="U11464" s="41">
        <v>0</v>
      </c>
      <c r="V11464" s="42" t="s">
        <v>113</v>
      </c>
      <c r="W11464" s="42">
        <v>25687.09</v>
      </c>
      <c r="X11464" s="42">
        <v>25687.09</v>
      </c>
    </row>
    <row r="11465" spans="1:24">
      <c r="A11465" s="27" t="s">
        <v>20780</v>
      </c>
      <c r="B11465" s="28" t="s">
        <v>19918</v>
      </c>
      <c r="C11465" s="27" t="s">
        <v>20781</v>
      </c>
      <c r="D11465" s="27" t="s">
        <v>17578</v>
      </c>
      <c r="E11465" s="29">
        <v>40268</v>
      </c>
      <c r="F11465" s="27">
        <v>8</v>
      </c>
      <c r="G11465" s="18">
        <v>25687.200000000001</v>
      </c>
      <c r="H11465" s="27">
        <f t="shared" si="358"/>
        <v>25687.200000000001</v>
      </c>
      <c r="I11465" s="18">
        <v>24402.84</v>
      </c>
      <c r="J11465" s="27">
        <v>25687.200000000001</v>
      </c>
      <c r="K11465" s="18">
        <f t="shared" si="359"/>
        <v>25687.200000000001</v>
      </c>
      <c r="L11465" s="27">
        <v>24402.84</v>
      </c>
      <c r="M11465" s="36">
        <v>0</v>
      </c>
      <c r="T11465" s="41">
        <v>0</v>
      </c>
      <c r="U11465" s="41">
        <v>0</v>
      </c>
      <c r="V11465" s="42" t="s">
        <v>113</v>
      </c>
      <c r="W11465" s="42">
        <v>25687.200000000001</v>
      </c>
      <c r="X11465" s="42">
        <v>25687.200000000001</v>
      </c>
    </row>
    <row r="11466" spans="1:24">
      <c r="A11466" s="27" t="s">
        <v>20782</v>
      </c>
      <c r="B11466" s="28" t="s">
        <v>19918</v>
      </c>
      <c r="C11466" s="27" t="s">
        <v>16577</v>
      </c>
      <c r="D11466" s="27" t="s">
        <v>17578</v>
      </c>
      <c r="E11466" s="29">
        <v>40268</v>
      </c>
      <c r="F11466" s="27">
        <v>8</v>
      </c>
      <c r="G11466" s="18">
        <v>36962.370000000003</v>
      </c>
      <c r="H11466" s="27">
        <f t="shared" si="358"/>
        <v>36962.370000000003</v>
      </c>
      <c r="I11466" s="18">
        <v>35114.25</v>
      </c>
      <c r="J11466" s="27">
        <v>36962.370000000003</v>
      </c>
      <c r="K11466" s="18">
        <f t="shared" si="359"/>
        <v>36962.370000000003</v>
      </c>
      <c r="L11466" s="27">
        <v>35114.25</v>
      </c>
      <c r="M11466" s="36">
        <v>0</v>
      </c>
      <c r="T11466" s="41">
        <v>0</v>
      </c>
      <c r="U11466" s="41">
        <v>0</v>
      </c>
      <c r="V11466" s="42" t="s">
        <v>113</v>
      </c>
      <c r="W11466" s="42">
        <v>36962.370000000003</v>
      </c>
      <c r="X11466" s="42">
        <v>36962.370000000003</v>
      </c>
    </row>
    <row r="11467" spans="1:24">
      <c r="A11467" s="27" t="s">
        <v>20783</v>
      </c>
      <c r="B11467" s="28" t="s">
        <v>19918</v>
      </c>
      <c r="C11467" s="27" t="s">
        <v>20784</v>
      </c>
      <c r="D11467" s="27" t="s">
        <v>17578</v>
      </c>
      <c r="E11467" s="29">
        <v>40543</v>
      </c>
      <c r="F11467" s="27">
        <v>8</v>
      </c>
      <c r="G11467" s="18">
        <v>9451.5300000000007</v>
      </c>
      <c r="H11467" s="27">
        <f t="shared" si="358"/>
        <v>9451.5300000000007</v>
      </c>
      <c r="I11467" s="18">
        <v>8978.9500000000007</v>
      </c>
      <c r="J11467" s="27">
        <v>9451.5300000000007</v>
      </c>
      <c r="K11467" s="18">
        <f t="shared" si="359"/>
        <v>9451.5300000000007</v>
      </c>
      <c r="L11467" s="27">
        <v>8978.9500000000007</v>
      </c>
      <c r="M11467" s="36">
        <v>0</v>
      </c>
      <c r="T11467" s="41">
        <v>0</v>
      </c>
      <c r="U11467" s="41">
        <v>0</v>
      </c>
      <c r="V11467" s="42" t="s">
        <v>113</v>
      </c>
      <c r="W11467" s="42">
        <v>9451.5300000000007</v>
      </c>
      <c r="X11467" s="42">
        <v>9451.5300000000007</v>
      </c>
    </row>
    <row r="11468" spans="1:24">
      <c r="A11468" s="27" t="s">
        <v>20785</v>
      </c>
      <c r="B11468" s="28" t="s">
        <v>19918</v>
      </c>
      <c r="C11468" s="27" t="s">
        <v>16577</v>
      </c>
      <c r="D11468" s="27" t="s">
        <v>17578</v>
      </c>
      <c r="E11468" s="29">
        <v>40543</v>
      </c>
      <c r="F11468" s="27">
        <v>8</v>
      </c>
      <c r="G11468" s="18">
        <v>9450.51</v>
      </c>
      <c r="H11468" s="27">
        <f t="shared" si="358"/>
        <v>9450.51</v>
      </c>
      <c r="I11468" s="18">
        <v>8977.98</v>
      </c>
      <c r="J11468" s="27">
        <v>0</v>
      </c>
      <c r="K11468" s="18">
        <f t="shared" si="359"/>
        <v>0</v>
      </c>
      <c r="L11468" s="27">
        <v>0</v>
      </c>
      <c r="M11468" s="36">
        <v>0</v>
      </c>
      <c r="Q11468" s="16" t="s">
        <v>19522</v>
      </c>
      <c r="R11468" s="16">
        <v>9450.51</v>
      </c>
      <c r="S11468" s="16">
        <v>8977.98</v>
      </c>
      <c r="T11468" s="41">
        <v>0</v>
      </c>
      <c r="U11468" s="41">
        <v>0</v>
      </c>
      <c r="V11468" s="42" t="s">
        <v>113</v>
      </c>
      <c r="W11468" s="42">
        <v>0</v>
      </c>
      <c r="X11468" s="42">
        <v>0</v>
      </c>
    </row>
    <row r="11469" spans="1:24">
      <c r="A11469" s="27" t="s">
        <v>20786</v>
      </c>
      <c r="B11469" s="28" t="s">
        <v>19918</v>
      </c>
      <c r="C11469" s="27" t="s">
        <v>20787</v>
      </c>
      <c r="D11469" s="27" t="s">
        <v>17578</v>
      </c>
      <c r="E11469" s="29">
        <v>40511</v>
      </c>
      <c r="F11469" s="27">
        <v>8</v>
      </c>
      <c r="G11469" s="18">
        <v>101232.62</v>
      </c>
      <c r="H11469" s="27">
        <f t="shared" si="358"/>
        <v>101232.62</v>
      </c>
      <c r="I11469" s="18">
        <v>96170.99</v>
      </c>
      <c r="J11469" s="27">
        <v>101232.62</v>
      </c>
      <c r="K11469" s="18">
        <f t="shared" si="359"/>
        <v>101232.62</v>
      </c>
      <c r="L11469" s="27">
        <v>96170.99</v>
      </c>
      <c r="M11469" s="36">
        <v>0</v>
      </c>
      <c r="T11469" s="41">
        <v>0</v>
      </c>
      <c r="U11469" s="41">
        <v>0</v>
      </c>
      <c r="V11469" s="42" t="s">
        <v>113</v>
      </c>
      <c r="W11469" s="42">
        <v>101232.62</v>
      </c>
      <c r="X11469" s="42">
        <v>101232.62</v>
      </c>
    </row>
    <row r="11470" spans="1:24">
      <c r="A11470" s="27" t="s">
        <v>20788</v>
      </c>
      <c r="B11470" s="28" t="s">
        <v>19918</v>
      </c>
      <c r="C11470" s="27" t="s">
        <v>20789</v>
      </c>
      <c r="D11470" s="27" t="s">
        <v>17578</v>
      </c>
      <c r="E11470" s="29">
        <v>40511</v>
      </c>
      <c r="F11470" s="27">
        <v>8</v>
      </c>
      <c r="G11470" s="18">
        <v>64460.77</v>
      </c>
      <c r="H11470" s="27">
        <f t="shared" si="358"/>
        <v>64460.77</v>
      </c>
      <c r="I11470" s="18">
        <v>61237.73</v>
      </c>
      <c r="J11470" s="27">
        <v>64460.77</v>
      </c>
      <c r="K11470" s="18">
        <f t="shared" si="359"/>
        <v>64460.77</v>
      </c>
      <c r="L11470" s="27">
        <v>61237.73</v>
      </c>
      <c r="M11470" s="36">
        <v>0</v>
      </c>
      <c r="T11470" s="41">
        <v>0</v>
      </c>
      <c r="U11470" s="41">
        <v>0</v>
      </c>
      <c r="V11470" s="42" t="s">
        <v>113</v>
      </c>
      <c r="W11470" s="42">
        <v>64460.77</v>
      </c>
      <c r="X11470" s="42">
        <v>64460.77</v>
      </c>
    </row>
    <row r="11471" spans="1:24">
      <c r="A11471" s="27" t="s">
        <v>20790</v>
      </c>
      <c r="B11471" s="28" t="s">
        <v>19918</v>
      </c>
      <c r="C11471" s="27" t="s">
        <v>20791</v>
      </c>
      <c r="D11471" s="27" t="s">
        <v>17578</v>
      </c>
      <c r="E11471" s="29">
        <v>40511</v>
      </c>
      <c r="F11471" s="27">
        <v>8</v>
      </c>
      <c r="G11471" s="18">
        <v>89322.92</v>
      </c>
      <c r="H11471" s="27">
        <f t="shared" si="358"/>
        <v>89322.92</v>
      </c>
      <c r="I11471" s="18">
        <v>84856.77</v>
      </c>
      <c r="J11471" s="27">
        <v>89322.92</v>
      </c>
      <c r="K11471" s="18">
        <f t="shared" si="359"/>
        <v>89322.92</v>
      </c>
      <c r="L11471" s="27">
        <v>84856.77</v>
      </c>
      <c r="M11471" s="36">
        <v>0</v>
      </c>
      <c r="T11471" s="41">
        <v>0</v>
      </c>
      <c r="U11471" s="41">
        <v>0</v>
      </c>
      <c r="V11471" s="42" t="s">
        <v>113</v>
      </c>
      <c r="W11471" s="42">
        <v>89322.92</v>
      </c>
      <c r="X11471" s="42">
        <v>89322.92</v>
      </c>
    </row>
    <row r="11472" spans="1:24">
      <c r="A11472" s="27" t="s">
        <v>20792</v>
      </c>
      <c r="B11472" s="28" t="s">
        <v>19918</v>
      </c>
      <c r="C11472" s="27" t="s">
        <v>20779</v>
      </c>
      <c r="D11472" s="27" t="s">
        <v>17578</v>
      </c>
      <c r="E11472" s="29">
        <v>40268</v>
      </c>
      <c r="F11472" s="27">
        <v>8</v>
      </c>
      <c r="G11472" s="18">
        <v>16658.79</v>
      </c>
      <c r="H11472" s="27">
        <f t="shared" si="358"/>
        <v>16658.79</v>
      </c>
      <c r="I11472" s="18">
        <v>15825.85</v>
      </c>
      <c r="J11472" s="27">
        <v>16658.79</v>
      </c>
      <c r="K11472" s="18">
        <f t="shared" si="359"/>
        <v>16658.79</v>
      </c>
      <c r="L11472" s="27">
        <v>15825.85</v>
      </c>
      <c r="M11472" s="36">
        <v>0</v>
      </c>
      <c r="T11472" s="41">
        <v>0</v>
      </c>
      <c r="U11472" s="41">
        <v>0</v>
      </c>
      <c r="V11472" s="42" t="s">
        <v>113</v>
      </c>
      <c r="W11472" s="42">
        <v>16658.79</v>
      </c>
      <c r="X11472" s="42">
        <v>16658.79</v>
      </c>
    </row>
    <row r="11473" spans="1:24">
      <c r="A11473" s="27" t="s">
        <v>20793</v>
      </c>
      <c r="B11473" s="28" t="s">
        <v>19918</v>
      </c>
      <c r="C11473" s="27" t="s">
        <v>20794</v>
      </c>
      <c r="D11473" s="27" t="s">
        <v>17578</v>
      </c>
      <c r="E11473" s="29">
        <v>40268</v>
      </c>
      <c r="F11473" s="27">
        <v>8</v>
      </c>
      <c r="G11473" s="18">
        <v>16658.79</v>
      </c>
      <c r="H11473" s="27">
        <f t="shared" si="358"/>
        <v>16658.79</v>
      </c>
      <c r="I11473" s="18">
        <v>15825.85</v>
      </c>
      <c r="J11473" s="27">
        <v>16658.79</v>
      </c>
      <c r="K11473" s="18">
        <f t="shared" si="359"/>
        <v>16658.79</v>
      </c>
      <c r="L11473" s="27">
        <v>15825.85</v>
      </c>
      <c r="M11473" s="36">
        <v>0</v>
      </c>
      <c r="T11473" s="41">
        <v>0</v>
      </c>
      <c r="U11473" s="41">
        <v>0</v>
      </c>
      <c r="V11473" s="42" t="s">
        <v>113</v>
      </c>
      <c r="W11473" s="42">
        <v>16658.79</v>
      </c>
      <c r="X11473" s="42">
        <v>16658.79</v>
      </c>
    </row>
    <row r="11474" spans="1:24">
      <c r="A11474" s="27" t="s">
        <v>20795</v>
      </c>
      <c r="B11474" s="28" t="s">
        <v>19918</v>
      </c>
      <c r="C11474" s="27" t="s">
        <v>2163</v>
      </c>
      <c r="D11474" s="27" t="s">
        <v>17578</v>
      </c>
      <c r="E11474" s="29">
        <v>40268</v>
      </c>
      <c r="F11474" s="27">
        <v>8</v>
      </c>
      <c r="G11474" s="18">
        <v>16658.689999999999</v>
      </c>
      <c r="H11474" s="27">
        <f t="shared" si="358"/>
        <v>16658.689999999999</v>
      </c>
      <c r="I11474" s="18">
        <v>15825.76</v>
      </c>
      <c r="J11474" s="27">
        <v>16658.689999999999</v>
      </c>
      <c r="K11474" s="18">
        <f t="shared" si="359"/>
        <v>16658.689999999999</v>
      </c>
      <c r="L11474" s="27">
        <v>15825.76</v>
      </c>
      <c r="M11474" s="36">
        <v>0</v>
      </c>
      <c r="T11474" s="41">
        <v>0</v>
      </c>
      <c r="U11474" s="41">
        <v>0</v>
      </c>
      <c r="V11474" s="42" t="s">
        <v>113</v>
      </c>
      <c r="W11474" s="42">
        <v>16658.689999999999</v>
      </c>
      <c r="X11474" s="42">
        <v>16658.689999999999</v>
      </c>
    </row>
    <row r="11475" spans="1:24">
      <c r="A11475" s="27" t="s">
        <v>20796</v>
      </c>
      <c r="B11475" s="28" t="s">
        <v>19918</v>
      </c>
      <c r="C11475" s="27" t="s">
        <v>20797</v>
      </c>
      <c r="D11475" s="27" t="s">
        <v>17578</v>
      </c>
      <c r="E11475" s="29">
        <v>40113</v>
      </c>
      <c r="F11475" s="27">
        <v>8</v>
      </c>
      <c r="G11475" s="18">
        <v>18959.87</v>
      </c>
      <c r="H11475" s="27">
        <f t="shared" si="358"/>
        <v>18959.87</v>
      </c>
      <c r="I11475" s="18">
        <v>18011.88</v>
      </c>
      <c r="J11475" s="27">
        <v>18959.87</v>
      </c>
      <c r="K11475" s="18">
        <f t="shared" si="359"/>
        <v>18959.87</v>
      </c>
      <c r="L11475" s="27">
        <v>18011.88</v>
      </c>
      <c r="M11475" s="36">
        <v>0</v>
      </c>
      <c r="T11475" s="41">
        <v>0</v>
      </c>
      <c r="U11475" s="41">
        <v>0</v>
      </c>
      <c r="V11475" s="42" t="s">
        <v>113</v>
      </c>
      <c r="W11475" s="42">
        <v>18959.87</v>
      </c>
      <c r="X11475" s="42">
        <v>18959.87</v>
      </c>
    </row>
    <row r="11476" spans="1:24">
      <c r="A11476" s="27" t="s">
        <v>20798</v>
      </c>
      <c r="B11476" s="28" t="s">
        <v>19918</v>
      </c>
      <c r="C11476" s="27" t="s">
        <v>20799</v>
      </c>
      <c r="D11476" s="27" t="s">
        <v>17578</v>
      </c>
      <c r="E11476" s="29">
        <v>40113</v>
      </c>
      <c r="F11476" s="27">
        <v>8</v>
      </c>
      <c r="G11476" s="18">
        <v>18959.88</v>
      </c>
      <c r="H11476" s="27">
        <f t="shared" si="358"/>
        <v>18959.88</v>
      </c>
      <c r="I11476" s="18">
        <v>18011.89</v>
      </c>
      <c r="J11476" s="27">
        <v>18959.88</v>
      </c>
      <c r="K11476" s="18">
        <f t="shared" si="359"/>
        <v>18959.88</v>
      </c>
      <c r="L11476" s="27">
        <v>18011.89</v>
      </c>
      <c r="M11476" s="36">
        <v>0</v>
      </c>
      <c r="T11476" s="41">
        <v>0</v>
      </c>
      <c r="U11476" s="41">
        <v>0</v>
      </c>
      <c r="V11476" s="42" t="s">
        <v>113</v>
      </c>
      <c r="W11476" s="42">
        <v>18959.88</v>
      </c>
      <c r="X11476" s="42">
        <v>18959.88</v>
      </c>
    </row>
    <row r="11477" spans="1:24">
      <c r="A11477" s="27" t="s">
        <v>20800</v>
      </c>
      <c r="B11477" s="28" t="s">
        <v>19918</v>
      </c>
      <c r="C11477" s="27" t="s">
        <v>19929</v>
      </c>
      <c r="D11477" s="27" t="s">
        <v>230</v>
      </c>
      <c r="E11477" s="29">
        <v>40156</v>
      </c>
      <c r="F11477" s="27">
        <v>8</v>
      </c>
      <c r="G11477" s="18">
        <v>3704.5</v>
      </c>
      <c r="H11477" s="27">
        <f t="shared" si="358"/>
        <v>3704.5</v>
      </c>
      <c r="I11477" s="18">
        <v>3704.5</v>
      </c>
      <c r="J11477" s="27">
        <v>3704.5</v>
      </c>
      <c r="K11477" s="18">
        <f t="shared" si="359"/>
        <v>3704.5</v>
      </c>
      <c r="L11477" s="27">
        <v>3704.5</v>
      </c>
      <c r="M11477" s="36">
        <v>0</v>
      </c>
      <c r="T11477" s="41">
        <v>0</v>
      </c>
      <c r="U11477" s="41">
        <v>0</v>
      </c>
      <c r="V11477" s="42" t="s">
        <v>113</v>
      </c>
      <c r="W11477" s="42">
        <v>3704.5</v>
      </c>
      <c r="X11477" s="42">
        <v>3704.5</v>
      </c>
    </row>
    <row r="11478" spans="1:24">
      <c r="A11478" s="27" t="s">
        <v>20801</v>
      </c>
      <c r="B11478" s="28" t="s">
        <v>19918</v>
      </c>
      <c r="C11478" s="27" t="s">
        <v>20784</v>
      </c>
      <c r="D11478" s="27" t="s">
        <v>230</v>
      </c>
      <c r="E11478" s="29">
        <v>37287</v>
      </c>
      <c r="F11478" s="27">
        <v>8</v>
      </c>
      <c r="G11478" s="18">
        <v>20000</v>
      </c>
      <c r="H11478" s="27">
        <f t="shared" si="358"/>
        <v>20000</v>
      </c>
      <c r="I11478" s="18">
        <v>19000</v>
      </c>
      <c r="J11478" s="27">
        <v>20000</v>
      </c>
      <c r="K11478" s="18">
        <f t="shared" si="359"/>
        <v>20000</v>
      </c>
      <c r="L11478" s="27">
        <v>19000</v>
      </c>
      <c r="M11478" s="36">
        <v>0</v>
      </c>
      <c r="T11478" s="41">
        <v>0</v>
      </c>
      <c r="U11478" s="41">
        <v>0</v>
      </c>
      <c r="V11478" s="42" t="s">
        <v>113</v>
      </c>
      <c r="W11478" s="42">
        <v>20000</v>
      </c>
      <c r="X11478" s="42">
        <v>20000</v>
      </c>
    </row>
    <row r="11479" spans="1:24">
      <c r="A11479" s="27" t="s">
        <v>20802</v>
      </c>
      <c r="B11479" s="28" t="s">
        <v>19918</v>
      </c>
      <c r="C11479" s="27" t="s">
        <v>20784</v>
      </c>
      <c r="D11479" s="27" t="s">
        <v>230</v>
      </c>
      <c r="E11479" s="29">
        <v>40083</v>
      </c>
      <c r="F11479" s="27">
        <v>8</v>
      </c>
      <c r="G11479" s="18">
        <v>18712</v>
      </c>
      <c r="H11479" s="27">
        <f t="shared" si="358"/>
        <v>18712</v>
      </c>
      <c r="I11479" s="18">
        <v>17776.400000000001</v>
      </c>
      <c r="J11479" s="27">
        <v>18712</v>
      </c>
      <c r="K11479" s="18">
        <f t="shared" si="359"/>
        <v>18712</v>
      </c>
      <c r="L11479" s="27">
        <v>17776.400000000001</v>
      </c>
      <c r="M11479" s="36">
        <v>0</v>
      </c>
      <c r="T11479" s="41">
        <v>0</v>
      </c>
      <c r="U11479" s="41">
        <v>0</v>
      </c>
      <c r="V11479" s="42" t="s">
        <v>113</v>
      </c>
      <c r="W11479" s="42">
        <v>18712</v>
      </c>
      <c r="X11479" s="42">
        <v>18712</v>
      </c>
    </row>
    <row r="11480" spans="1:24">
      <c r="A11480" s="27" t="s">
        <v>20803</v>
      </c>
      <c r="B11480" s="28" t="s">
        <v>19918</v>
      </c>
      <c r="C11480" s="27" t="s">
        <v>20804</v>
      </c>
      <c r="D11480" s="27" t="s">
        <v>230</v>
      </c>
      <c r="E11480" s="29">
        <v>40083</v>
      </c>
      <c r="F11480" s="27">
        <v>8</v>
      </c>
      <c r="G11480" s="18">
        <v>18712</v>
      </c>
      <c r="H11480" s="27">
        <f t="shared" si="358"/>
        <v>18712</v>
      </c>
      <c r="I11480" s="18">
        <v>17776.400000000001</v>
      </c>
      <c r="J11480" s="27">
        <v>18712</v>
      </c>
      <c r="K11480" s="18">
        <f t="shared" si="359"/>
        <v>18712</v>
      </c>
      <c r="L11480" s="27">
        <v>17776.400000000001</v>
      </c>
      <c r="M11480" s="36">
        <v>0</v>
      </c>
      <c r="T11480" s="41">
        <v>0</v>
      </c>
      <c r="U11480" s="41">
        <v>0</v>
      </c>
      <c r="V11480" s="42" t="s">
        <v>113</v>
      </c>
      <c r="W11480" s="42">
        <v>18712</v>
      </c>
      <c r="X11480" s="42">
        <v>18712</v>
      </c>
    </row>
    <row r="11481" spans="1:24">
      <c r="A11481" s="27" t="s">
        <v>20805</v>
      </c>
      <c r="B11481" s="28" t="s">
        <v>19918</v>
      </c>
      <c r="C11481" s="27" t="s">
        <v>20779</v>
      </c>
      <c r="D11481" s="27" t="s">
        <v>230</v>
      </c>
      <c r="E11481" s="29">
        <v>37742</v>
      </c>
      <c r="F11481" s="27">
        <v>8</v>
      </c>
      <c r="G11481" s="18">
        <v>1200</v>
      </c>
      <c r="H11481" s="27">
        <f t="shared" si="358"/>
        <v>1200</v>
      </c>
      <c r="I11481" s="18">
        <v>1200</v>
      </c>
      <c r="J11481" s="27">
        <v>1200</v>
      </c>
      <c r="K11481" s="18">
        <f t="shared" si="359"/>
        <v>1200</v>
      </c>
      <c r="L11481" s="27">
        <v>1200</v>
      </c>
      <c r="M11481" s="36">
        <v>0</v>
      </c>
      <c r="T11481" s="41">
        <v>0</v>
      </c>
      <c r="U11481" s="41">
        <v>0</v>
      </c>
      <c r="V11481" s="42" t="s">
        <v>113</v>
      </c>
      <c r="W11481" s="42">
        <v>1200</v>
      </c>
      <c r="X11481" s="42">
        <v>1200</v>
      </c>
    </row>
    <row r="11482" spans="1:24">
      <c r="A11482" s="27" t="s">
        <v>20806</v>
      </c>
      <c r="B11482" s="28" t="s">
        <v>19918</v>
      </c>
      <c r="C11482" s="27" t="s">
        <v>20794</v>
      </c>
      <c r="D11482" s="27" t="s">
        <v>230</v>
      </c>
      <c r="E11482" s="29">
        <v>37742</v>
      </c>
      <c r="F11482" s="27">
        <v>8</v>
      </c>
      <c r="G11482" s="18">
        <v>2000</v>
      </c>
      <c r="H11482" s="27">
        <f t="shared" si="358"/>
        <v>2000</v>
      </c>
      <c r="I11482" s="18">
        <v>2000</v>
      </c>
      <c r="J11482" s="27">
        <v>2000</v>
      </c>
      <c r="K11482" s="18">
        <f t="shared" si="359"/>
        <v>2000</v>
      </c>
      <c r="L11482" s="27">
        <v>2000</v>
      </c>
      <c r="M11482" s="36">
        <v>0</v>
      </c>
      <c r="T11482" s="41">
        <v>0</v>
      </c>
      <c r="U11482" s="41">
        <v>0</v>
      </c>
      <c r="V11482" s="42" t="s">
        <v>113</v>
      </c>
      <c r="W11482" s="42">
        <v>2000</v>
      </c>
      <c r="X11482" s="42">
        <v>2000</v>
      </c>
    </row>
    <row r="11483" spans="1:24">
      <c r="A11483" s="27" t="s">
        <v>20807</v>
      </c>
      <c r="B11483" s="28" t="s">
        <v>19918</v>
      </c>
      <c r="C11483" s="27" t="s">
        <v>20808</v>
      </c>
      <c r="D11483" s="27" t="s">
        <v>230</v>
      </c>
      <c r="E11483" s="29">
        <v>40543</v>
      </c>
      <c r="F11483" s="27">
        <v>8</v>
      </c>
      <c r="G11483" s="18">
        <v>9451.5</v>
      </c>
      <c r="H11483" s="27">
        <f t="shared" si="358"/>
        <v>9451.5</v>
      </c>
      <c r="I11483" s="18">
        <v>8978.92</v>
      </c>
      <c r="J11483" s="27">
        <v>9451.5</v>
      </c>
      <c r="K11483" s="18">
        <f t="shared" si="359"/>
        <v>9451.5</v>
      </c>
      <c r="L11483" s="27">
        <v>8978.92</v>
      </c>
      <c r="M11483" s="36">
        <v>0</v>
      </c>
      <c r="T11483" s="41">
        <v>0</v>
      </c>
      <c r="U11483" s="41">
        <v>0</v>
      </c>
      <c r="V11483" s="42" t="s">
        <v>113</v>
      </c>
      <c r="W11483" s="42">
        <v>9451.5</v>
      </c>
      <c r="X11483" s="42">
        <v>9451.5</v>
      </c>
    </row>
    <row r="11484" spans="1:24">
      <c r="A11484" s="27" t="s">
        <v>20809</v>
      </c>
      <c r="B11484" s="28" t="s">
        <v>19918</v>
      </c>
      <c r="C11484" s="27" t="s">
        <v>20810</v>
      </c>
      <c r="D11484" s="27" t="s">
        <v>17578</v>
      </c>
      <c r="E11484" s="29">
        <v>40543</v>
      </c>
      <c r="F11484" s="27">
        <v>8</v>
      </c>
      <c r="G11484" s="18">
        <v>18000</v>
      </c>
      <c r="H11484" s="27">
        <f t="shared" si="358"/>
        <v>18000</v>
      </c>
      <c r="I11484" s="18">
        <v>17100</v>
      </c>
      <c r="J11484" s="27">
        <v>18000</v>
      </c>
      <c r="K11484" s="18">
        <f t="shared" si="359"/>
        <v>18000</v>
      </c>
      <c r="L11484" s="27">
        <v>17100</v>
      </c>
      <c r="M11484" s="36">
        <v>0</v>
      </c>
      <c r="T11484" s="41">
        <v>0</v>
      </c>
      <c r="U11484" s="41">
        <v>0</v>
      </c>
      <c r="V11484" s="42" t="s">
        <v>113</v>
      </c>
      <c r="W11484" s="42">
        <v>18000</v>
      </c>
      <c r="X11484" s="42">
        <v>18000</v>
      </c>
    </row>
    <row r="11485" spans="1:24">
      <c r="A11485" s="27" t="s">
        <v>20811</v>
      </c>
      <c r="B11485" s="28" t="s">
        <v>19918</v>
      </c>
      <c r="C11485" s="27" t="s">
        <v>20812</v>
      </c>
      <c r="D11485" s="27" t="s">
        <v>230</v>
      </c>
      <c r="E11485" s="29">
        <v>40543</v>
      </c>
      <c r="F11485" s="27">
        <v>8</v>
      </c>
      <c r="G11485" s="18">
        <v>12000</v>
      </c>
      <c r="H11485" s="27">
        <f t="shared" si="358"/>
        <v>12000</v>
      </c>
      <c r="I11485" s="18">
        <v>11400</v>
      </c>
      <c r="J11485" s="27">
        <v>12000</v>
      </c>
      <c r="K11485" s="18">
        <f t="shared" si="359"/>
        <v>12000</v>
      </c>
      <c r="L11485" s="27">
        <v>11400</v>
      </c>
      <c r="M11485" s="36">
        <v>0</v>
      </c>
      <c r="T11485" s="41">
        <v>0</v>
      </c>
      <c r="U11485" s="41">
        <v>0</v>
      </c>
      <c r="V11485" s="42" t="s">
        <v>113</v>
      </c>
      <c r="W11485" s="42">
        <v>12000</v>
      </c>
      <c r="X11485" s="42">
        <v>12000</v>
      </c>
    </row>
    <row r="11486" spans="1:24">
      <c r="A11486" s="27" t="s">
        <v>20813</v>
      </c>
      <c r="B11486" s="28" t="s">
        <v>19918</v>
      </c>
      <c r="C11486" s="27" t="s">
        <v>2167</v>
      </c>
      <c r="D11486" s="27" t="s">
        <v>230</v>
      </c>
      <c r="E11486" s="29">
        <v>40543</v>
      </c>
      <c r="F11486" s="27">
        <v>8</v>
      </c>
      <c r="G11486" s="18">
        <v>12000</v>
      </c>
      <c r="H11486" s="27">
        <f t="shared" si="358"/>
        <v>12000</v>
      </c>
      <c r="I11486" s="18">
        <v>11400</v>
      </c>
      <c r="J11486" s="27">
        <v>12000</v>
      </c>
      <c r="K11486" s="18">
        <f t="shared" si="359"/>
        <v>12000</v>
      </c>
      <c r="L11486" s="27">
        <v>11400</v>
      </c>
      <c r="M11486" s="36">
        <v>0</v>
      </c>
      <c r="T11486" s="41">
        <v>0</v>
      </c>
      <c r="U11486" s="41">
        <v>0</v>
      </c>
      <c r="V11486" s="42" t="s">
        <v>113</v>
      </c>
      <c r="W11486" s="42">
        <v>12000</v>
      </c>
      <c r="X11486" s="42">
        <v>12000</v>
      </c>
    </row>
    <row r="11487" spans="1:24">
      <c r="A11487" s="27" t="s">
        <v>20814</v>
      </c>
      <c r="B11487" s="28" t="s">
        <v>19918</v>
      </c>
      <c r="C11487" s="27" t="s">
        <v>19948</v>
      </c>
      <c r="D11487" s="27" t="s">
        <v>230</v>
      </c>
      <c r="E11487" s="29">
        <v>40543</v>
      </c>
      <c r="F11487" s="27">
        <v>8</v>
      </c>
      <c r="G11487" s="18">
        <v>12000</v>
      </c>
      <c r="H11487" s="27">
        <f t="shared" si="358"/>
        <v>12000</v>
      </c>
      <c r="I11487" s="18">
        <v>11400</v>
      </c>
      <c r="J11487" s="27">
        <v>12000</v>
      </c>
      <c r="K11487" s="18">
        <f t="shared" si="359"/>
        <v>12000</v>
      </c>
      <c r="L11487" s="27">
        <v>11400</v>
      </c>
      <c r="M11487" s="36">
        <v>0</v>
      </c>
      <c r="T11487" s="41">
        <v>0</v>
      </c>
      <c r="U11487" s="41">
        <v>0</v>
      </c>
      <c r="V11487" s="42" t="s">
        <v>113</v>
      </c>
      <c r="W11487" s="42">
        <v>12000</v>
      </c>
      <c r="X11487" s="42">
        <v>12000</v>
      </c>
    </row>
    <row r="11488" spans="1:24">
      <c r="A11488" s="27" t="s">
        <v>20815</v>
      </c>
      <c r="B11488" s="28" t="s">
        <v>19918</v>
      </c>
      <c r="C11488" s="27" t="s">
        <v>19950</v>
      </c>
      <c r="D11488" s="27" t="s">
        <v>230</v>
      </c>
      <c r="E11488" s="29">
        <v>40543</v>
      </c>
      <c r="F11488" s="27">
        <v>8</v>
      </c>
      <c r="G11488" s="18">
        <v>12000</v>
      </c>
      <c r="H11488" s="27">
        <f t="shared" si="358"/>
        <v>12000</v>
      </c>
      <c r="I11488" s="18">
        <v>11400</v>
      </c>
      <c r="J11488" s="27">
        <v>12000</v>
      </c>
      <c r="K11488" s="18">
        <f t="shared" si="359"/>
        <v>12000</v>
      </c>
      <c r="L11488" s="27">
        <v>11400</v>
      </c>
      <c r="M11488" s="36">
        <v>0</v>
      </c>
      <c r="T11488" s="41">
        <v>0</v>
      </c>
      <c r="U11488" s="41">
        <v>0</v>
      </c>
      <c r="V11488" s="42" t="s">
        <v>113</v>
      </c>
      <c r="W11488" s="42">
        <v>12000</v>
      </c>
      <c r="X11488" s="42">
        <v>12000</v>
      </c>
    </row>
    <row r="11489" spans="1:24">
      <c r="A11489" s="27" t="s">
        <v>20816</v>
      </c>
      <c r="B11489" s="28" t="s">
        <v>19918</v>
      </c>
      <c r="C11489" s="27" t="s">
        <v>20804</v>
      </c>
      <c r="D11489" s="27" t="s">
        <v>230</v>
      </c>
      <c r="E11489" s="29">
        <v>40543</v>
      </c>
      <c r="F11489" s="27">
        <v>8</v>
      </c>
      <c r="G11489" s="18">
        <v>9451.5</v>
      </c>
      <c r="H11489" s="27">
        <f t="shared" si="358"/>
        <v>9451.5</v>
      </c>
      <c r="I11489" s="18">
        <v>8978.92</v>
      </c>
      <c r="J11489" s="27">
        <v>9451.5</v>
      </c>
      <c r="K11489" s="18">
        <f t="shared" si="359"/>
        <v>9451.5</v>
      </c>
      <c r="L11489" s="27">
        <v>8978.92</v>
      </c>
      <c r="M11489" s="36">
        <v>0</v>
      </c>
      <c r="T11489" s="41">
        <v>0</v>
      </c>
      <c r="U11489" s="41">
        <v>0</v>
      </c>
      <c r="V11489" s="42" t="s">
        <v>113</v>
      </c>
      <c r="W11489" s="42">
        <v>9451.5</v>
      </c>
      <c r="X11489" s="42">
        <v>9451.5</v>
      </c>
    </row>
    <row r="11490" spans="1:24">
      <c r="A11490" s="27" t="s">
        <v>20817</v>
      </c>
      <c r="B11490" s="28" t="s">
        <v>19918</v>
      </c>
      <c r="C11490" s="27" t="s">
        <v>20818</v>
      </c>
      <c r="D11490" s="27" t="s">
        <v>17578</v>
      </c>
      <c r="E11490" s="29">
        <v>37287</v>
      </c>
      <c r="F11490" s="27">
        <v>8</v>
      </c>
      <c r="G11490" s="18">
        <v>7800</v>
      </c>
      <c r="H11490" s="27">
        <f t="shared" si="358"/>
        <v>7800</v>
      </c>
      <c r="I11490" s="18">
        <v>7410</v>
      </c>
      <c r="J11490" s="27">
        <v>7800</v>
      </c>
      <c r="K11490" s="18">
        <f t="shared" si="359"/>
        <v>7800</v>
      </c>
      <c r="L11490" s="27">
        <v>7410</v>
      </c>
      <c r="M11490" s="36">
        <v>0</v>
      </c>
      <c r="T11490" s="41">
        <v>0</v>
      </c>
      <c r="U11490" s="41">
        <v>0</v>
      </c>
      <c r="V11490" s="42" t="s">
        <v>113</v>
      </c>
      <c r="W11490" s="42">
        <v>7800</v>
      </c>
      <c r="X11490" s="42">
        <v>7800</v>
      </c>
    </row>
    <row r="11491" spans="1:24">
      <c r="A11491" s="27" t="s">
        <v>20819</v>
      </c>
      <c r="B11491" s="28" t="s">
        <v>19918</v>
      </c>
      <c r="C11491" s="27" t="s">
        <v>16577</v>
      </c>
      <c r="D11491" s="27" t="s">
        <v>17578</v>
      </c>
      <c r="E11491" s="29">
        <v>37287</v>
      </c>
      <c r="F11491" s="27">
        <v>8</v>
      </c>
      <c r="G11491" s="18">
        <v>32121.73</v>
      </c>
      <c r="H11491" s="27">
        <f t="shared" si="358"/>
        <v>32121.73</v>
      </c>
      <c r="I11491" s="18">
        <v>30515.64</v>
      </c>
      <c r="J11491" s="27">
        <v>32121.73</v>
      </c>
      <c r="K11491" s="18">
        <f t="shared" si="359"/>
        <v>32121.73</v>
      </c>
      <c r="L11491" s="27">
        <v>30515.64</v>
      </c>
      <c r="M11491" s="36">
        <v>0</v>
      </c>
      <c r="T11491" s="41">
        <v>0</v>
      </c>
      <c r="U11491" s="41">
        <v>0</v>
      </c>
      <c r="V11491" s="42" t="s">
        <v>113</v>
      </c>
      <c r="W11491" s="42">
        <v>32121.73</v>
      </c>
      <c r="X11491" s="42">
        <v>32121.73</v>
      </c>
    </row>
    <row r="11492" spans="1:24">
      <c r="A11492" s="27" t="s">
        <v>20820</v>
      </c>
      <c r="B11492" s="28" t="s">
        <v>19918</v>
      </c>
      <c r="C11492" s="27" t="s">
        <v>19665</v>
      </c>
      <c r="D11492" s="27" t="s">
        <v>17578</v>
      </c>
      <c r="E11492" s="29">
        <v>37287</v>
      </c>
      <c r="F11492" s="27">
        <v>8</v>
      </c>
      <c r="G11492" s="18">
        <v>10247.41</v>
      </c>
      <c r="H11492" s="27">
        <f t="shared" si="358"/>
        <v>10247.41</v>
      </c>
      <c r="I11492" s="18">
        <v>9735.0400000000009</v>
      </c>
      <c r="J11492" s="27">
        <v>10247.41</v>
      </c>
      <c r="K11492" s="18">
        <f t="shared" si="359"/>
        <v>10247.41</v>
      </c>
      <c r="L11492" s="27">
        <v>9735.0400000000009</v>
      </c>
      <c r="M11492" s="36">
        <v>0</v>
      </c>
      <c r="T11492" s="41">
        <v>0</v>
      </c>
      <c r="U11492" s="41">
        <v>0</v>
      </c>
      <c r="V11492" s="42" t="s">
        <v>113</v>
      </c>
      <c r="W11492" s="42">
        <v>10247.41</v>
      </c>
      <c r="X11492" s="42">
        <v>10247.41</v>
      </c>
    </row>
    <row r="11493" spans="1:24">
      <c r="A11493" s="27" t="s">
        <v>20821</v>
      </c>
      <c r="B11493" s="28" t="s">
        <v>19918</v>
      </c>
      <c r="C11493" s="27" t="s">
        <v>20822</v>
      </c>
      <c r="D11493" s="27" t="s">
        <v>17578</v>
      </c>
      <c r="E11493" s="29">
        <v>37287</v>
      </c>
      <c r="F11493" s="27">
        <v>8</v>
      </c>
      <c r="G11493" s="18">
        <v>2200</v>
      </c>
      <c r="H11493" s="27">
        <f t="shared" si="358"/>
        <v>2200</v>
      </c>
      <c r="I11493" s="18">
        <v>2200</v>
      </c>
      <c r="J11493" s="27">
        <v>2200</v>
      </c>
      <c r="K11493" s="18">
        <f t="shared" si="359"/>
        <v>2200</v>
      </c>
      <c r="L11493" s="27">
        <v>2200</v>
      </c>
      <c r="M11493" s="36">
        <v>0</v>
      </c>
      <c r="T11493" s="41">
        <v>0</v>
      </c>
      <c r="U11493" s="41">
        <v>0</v>
      </c>
      <c r="V11493" s="42" t="s">
        <v>113</v>
      </c>
      <c r="W11493" s="42">
        <v>2200</v>
      </c>
      <c r="X11493" s="42">
        <v>2200</v>
      </c>
    </row>
    <row r="11494" spans="1:24">
      <c r="A11494" s="27" t="s">
        <v>20823</v>
      </c>
      <c r="B11494" s="28" t="s">
        <v>19918</v>
      </c>
      <c r="C11494" s="27" t="s">
        <v>20824</v>
      </c>
      <c r="D11494" s="27" t="s">
        <v>17578</v>
      </c>
      <c r="E11494" s="29">
        <v>37287</v>
      </c>
      <c r="F11494" s="27">
        <v>8</v>
      </c>
      <c r="G11494" s="18">
        <v>2800</v>
      </c>
      <c r="H11494" s="27">
        <f t="shared" si="358"/>
        <v>2800</v>
      </c>
      <c r="I11494" s="18">
        <v>2800</v>
      </c>
      <c r="J11494" s="27">
        <v>2800</v>
      </c>
      <c r="K11494" s="18">
        <f t="shared" si="359"/>
        <v>2800</v>
      </c>
      <c r="L11494" s="27">
        <v>2800</v>
      </c>
      <c r="M11494" s="36">
        <v>0</v>
      </c>
      <c r="T11494" s="41">
        <v>0</v>
      </c>
      <c r="U11494" s="41">
        <v>0</v>
      </c>
      <c r="V11494" s="42" t="s">
        <v>113</v>
      </c>
      <c r="W11494" s="42">
        <v>2800</v>
      </c>
      <c r="X11494" s="42">
        <v>2800</v>
      </c>
    </row>
    <row r="11495" spans="1:24">
      <c r="A11495" s="27" t="s">
        <v>20825</v>
      </c>
      <c r="B11495" s="28" t="s">
        <v>19918</v>
      </c>
      <c r="C11495" s="27" t="s">
        <v>20826</v>
      </c>
      <c r="D11495" s="27" t="s">
        <v>17578</v>
      </c>
      <c r="E11495" s="29">
        <v>37287</v>
      </c>
      <c r="F11495" s="27">
        <v>8</v>
      </c>
      <c r="G11495" s="18">
        <v>2800</v>
      </c>
      <c r="H11495" s="27">
        <f t="shared" si="358"/>
        <v>2800</v>
      </c>
      <c r="I11495" s="18">
        <v>2800</v>
      </c>
      <c r="J11495" s="27">
        <v>2800</v>
      </c>
      <c r="K11495" s="18">
        <f t="shared" si="359"/>
        <v>2800</v>
      </c>
      <c r="L11495" s="27">
        <v>2800</v>
      </c>
      <c r="M11495" s="36">
        <v>0</v>
      </c>
      <c r="T11495" s="41">
        <v>0</v>
      </c>
      <c r="U11495" s="41">
        <v>0</v>
      </c>
      <c r="V11495" s="42" t="s">
        <v>113</v>
      </c>
      <c r="W11495" s="42">
        <v>2800</v>
      </c>
      <c r="X11495" s="42">
        <v>2800</v>
      </c>
    </row>
    <row r="11496" spans="1:24">
      <c r="A11496" s="27" t="s">
        <v>20827</v>
      </c>
      <c r="B11496" s="28" t="s">
        <v>19918</v>
      </c>
      <c r="C11496" s="27" t="s">
        <v>20812</v>
      </c>
      <c r="D11496" s="27" t="s">
        <v>17578</v>
      </c>
      <c r="E11496" s="29">
        <v>37287</v>
      </c>
      <c r="F11496" s="27">
        <v>8</v>
      </c>
      <c r="G11496" s="18">
        <v>17925.03</v>
      </c>
      <c r="H11496" s="27">
        <f t="shared" si="358"/>
        <v>17925.03</v>
      </c>
      <c r="I11496" s="18">
        <v>17028.78</v>
      </c>
      <c r="J11496" s="27">
        <v>17925.03</v>
      </c>
      <c r="K11496" s="18">
        <f t="shared" si="359"/>
        <v>17925.03</v>
      </c>
      <c r="L11496" s="27">
        <v>17028.78</v>
      </c>
      <c r="M11496" s="36">
        <v>0</v>
      </c>
      <c r="T11496" s="41">
        <v>0</v>
      </c>
      <c r="U11496" s="41">
        <v>0</v>
      </c>
      <c r="V11496" s="42" t="s">
        <v>113</v>
      </c>
      <c r="W11496" s="42">
        <v>17925.03</v>
      </c>
      <c r="X11496" s="42">
        <v>17925.03</v>
      </c>
    </row>
    <row r="11497" spans="1:24">
      <c r="A11497" s="27" t="s">
        <v>20828</v>
      </c>
      <c r="B11497" s="28" t="s">
        <v>19918</v>
      </c>
      <c r="C11497" s="27" t="s">
        <v>2167</v>
      </c>
      <c r="D11497" s="27" t="s">
        <v>17578</v>
      </c>
      <c r="E11497" s="29">
        <v>37287</v>
      </c>
      <c r="F11497" s="27">
        <v>8</v>
      </c>
      <c r="G11497" s="18">
        <v>17170.27</v>
      </c>
      <c r="H11497" s="27">
        <f t="shared" si="358"/>
        <v>17170.27</v>
      </c>
      <c r="I11497" s="18">
        <v>16311.76</v>
      </c>
      <c r="J11497" s="27">
        <v>17170.27</v>
      </c>
      <c r="K11497" s="18">
        <f t="shared" si="359"/>
        <v>17170.27</v>
      </c>
      <c r="L11497" s="27">
        <v>16311.76</v>
      </c>
      <c r="M11497" s="36">
        <v>0</v>
      </c>
      <c r="T11497" s="41">
        <v>0</v>
      </c>
      <c r="U11497" s="41">
        <v>0</v>
      </c>
      <c r="V11497" s="42" t="s">
        <v>113</v>
      </c>
      <c r="W11497" s="42">
        <v>17170.27</v>
      </c>
      <c r="X11497" s="42">
        <v>17170.27</v>
      </c>
    </row>
    <row r="11498" spans="1:24">
      <c r="A11498" s="27" t="s">
        <v>20829</v>
      </c>
      <c r="B11498" s="28" t="s">
        <v>19918</v>
      </c>
      <c r="C11498" s="27" t="s">
        <v>19948</v>
      </c>
      <c r="D11498" s="27" t="s">
        <v>17578</v>
      </c>
      <c r="E11498" s="29">
        <v>37287</v>
      </c>
      <c r="F11498" s="27">
        <v>8</v>
      </c>
      <c r="G11498" s="18">
        <v>13585.13</v>
      </c>
      <c r="H11498" s="27">
        <f t="shared" si="358"/>
        <v>13585.13</v>
      </c>
      <c r="I11498" s="18">
        <v>12905.87</v>
      </c>
      <c r="J11498" s="27">
        <v>13585.13</v>
      </c>
      <c r="K11498" s="18">
        <f t="shared" si="359"/>
        <v>13585.13</v>
      </c>
      <c r="L11498" s="27">
        <v>12905.87</v>
      </c>
      <c r="M11498" s="36">
        <v>0</v>
      </c>
      <c r="T11498" s="41">
        <v>0</v>
      </c>
      <c r="U11498" s="41">
        <v>0</v>
      </c>
      <c r="V11498" s="42" t="s">
        <v>113</v>
      </c>
      <c r="W11498" s="42">
        <v>13585.13</v>
      </c>
      <c r="X11498" s="42">
        <v>13585.13</v>
      </c>
    </row>
    <row r="11499" spans="1:24">
      <c r="A11499" s="27" t="s">
        <v>20830</v>
      </c>
      <c r="B11499" s="28" t="s">
        <v>19918</v>
      </c>
      <c r="C11499" s="27" t="s">
        <v>19950</v>
      </c>
      <c r="D11499" s="27" t="s">
        <v>17578</v>
      </c>
      <c r="E11499" s="29">
        <v>37287</v>
      </c>
      <c r="F11499" s="27">
        <v>8</v>
      </c>
      <c r="G11499" s="18">
        <v>23022.27</v>
      </c>
      <c r="H11499" s="27">
        <f t="shared" si="358"/>
        <v>23022.27</v>
      </c>
      <c r="I11499" s="18">
        <v>21871.16</v>
      </c>
      <c r="J11499" s="27">
        <v>23022.27</v>
      </c>
      <c r="K11499" s="18">
        <f t="shared" si="359"/>
        <v>23022.27</v>
      </c>
      <c r="L11499" s="27">
        <v>21871.16</v>
      </c>
      <c r="M11499" s="36">
        <v>0</v>
      </c>
      <c r="T11499" s="41">
        <v>0</v>
      </c>
      <c r="U11499" s="41">
        <v>0</v>
      </c>
      <c r="V11499" s="42" t="s">
        <v>113</v>
      </c>
      <c r="W11499" s="42">
        <v>23022.27</v>
      </c>
      <c r="X11499" s="42">
        <v>23022.27</v>
      </c>
    </row>
    <row r="11500" spans="1:24">
      <c r="A11500" s="27" t="s">
        <v>20831</v>
      </c>
      <c r="B11500" s="28" t="s">
        <v>19918</v>
      </c>
      <c r="C11500" s="27" t="s">
        <v>19945</v>
      </c>
      <c r="D11500" s="27" t="s">
        <v>230</v>
      </c>
      <c r="E11500" s="29">
        <v>40268</v>
      </c>
      <c r="F11500" s="27">
        <v>8</v>
      </c>
      <c r="G11500" s="18">
        <v>27107.87</v>
      </c>
      <c r="H11500" s="27">
        <f t="shared" si="358"/>
        <v>27107.87</v>
      </c>
      <c r="I11500" s="18">
        <v>25752.48</v>
      </c>
      <c r="J11500" s="27">
        <v>27107.87</v>
      </c>
      <c r="K11500" s="18">
        <f t="shared" si="359"/>
        <v>27107.87</v>
      </c>
      <c r="L11500" s="27">
        <v>25752.48</v>
      </c>
      <c r="M11500" s="36">
        <v>0</v>
      </c>
      <c r="T11500" s="41">
        <v>0</v>
      </c>
      <c r="U11500" s="41">
        <v>0</v>
      </c>
      <c r="V11500" s="42" t="s">
        <v>113</v>
      </c>
      <c r="W11500" s="42">
        <v>27107.87</v>
      </c>
      <c r="X11500" s="42">
        <v>27107.87</v>
      </c>
    </row>
    <row r="11501" spans="1:24">
      <c r="A11501" s="27" t="s">
        <v>20832</v>
      </c>
      <c r="B11501" s="28" t="s">
        <v>19918</v>
      </c>
      <c r="C11501" s="27" t="s">
        <v>2167</v>
      </c>
      <c r="D11501" s="27" t="s">
        <v>230</v>
      </c>
      <c r="E11501" s="29">
        <v>40268</v>
      </c>
      <c r="F11501" s="27">
        <v>8</v>
      </c>
      <c r="G11501" s="18">
        <v>16658.79</v>
      </c>
      <c r="H11501" s="27">
        <f t="shared" si="358"/>
        <v>16658.79</v>
      </c>
      <c r="I11501" s="18">
        <v>15825.85</v>
      </c>
      <c r="J11501" s="27">
        <v>16658.79</v>
      </c>
      <c r="K11501" s="18">
        <f t="shared" si="359"/>
        <v>16658.79</v>
      </c>
      <c r="L11501" s="27">
        <v>15825.85</v>
      </c>
      <c r="M11501" s="36">
        <v>0</v>
      </c>
      <c r="T11501" s="41">
        <v>0</v>
      </c>
      <c r="U11501" s="41">
        <v>0</v>
      </c>
      <c r="V11501" s="42" t="s">
        <v>113</v>
      </c>
      <c r="W11501" s="42">
        <v>16658.79</v>
      </c>
      <c r="X11501" s="42">
        <v>16658.79</v>
      </c>
    </row>
    <row r="11502" spans="1:24">
      <c r="A11502" s="27" t="s">
        <v>20833</v>
      </c>
      <c r="B11502" s="28" t="s">
        <v>19918</v>
      </c>
      <c r="C11502" s="27" t="s">
        <v>19948</v>
      </c>
      <c r="D11502" s="27" t="s">
        <v>230</v>
      </c>
      <c r="E11502" s="29">
        <v>40268</v>
      </c>
      <c r="F11502" s="27">
        <v>8</v>
      </c>
      <c r="G11502" s="18">
        <v>25687.09</v>
      </c>
      <c r="H11502" s="27">
        <f t="shared" si="358"/>
        <v>25687.09</v>
      </c>
      <c r="I11502" s="18">
        <v>24402.74</v>
      </c>
      <c r="J11502" s="27">
        <v>25687.09</v>
      </c>
      <c r="K11502" s="18">
        <f t="shared" si="359"/>
        <v>25687.09</v>
      </c>
      <c r="L11502" s="27">
        <v>24402.74</v>
      </c>
      <c r="M11502" s="36">
        <v>0</v>
      </c>
      <c r="T11502" s="41">
        <v>0</v>
      </c>
      <c r="U11502" s="41">
        <v>0</v>
      </c>
      <c r="V11502" s="42" t="s">
        <v>113</v>
      </c>
      <c r="W11502" s="42">
        <v>25687.09</v>
      </c>
      <c r="X11502" s="42">
        <v>25687.09</v>
      </c>
    </row>
    <row r="11503" spans="1:24">
      <c r="A11503" s="27" t="s">
        <v>20834</v>
      </c>
      <c r="B11503" s="28" t="s">
        <v>19918</v>
      </c>
      <c r="C11503" s="27" t="s">
        <v>19950</v>
      </c>
      <c r="D11503" s="27" t="s">
        <v>230</v>
      </c>
      <c r="E11503" s="29">
        <v>40268</v>
      </c>
      <c r="F11503" s="27">
        <v>8</v>
      </c>
      <c r="G11503" s="18">
        <v>69453.759999999995</v>
      </c>
      <c r="H11503" s="27">
        <f t="shared" si="358"/>
        <v>69453.759999999995</v>
      </c>
      <c r="I11503" s="18">
        <v>65981.070000000007</v>
      </c>
      <c r="J11503" s="27">
        <v>69453.759999999995</v>
      </c>
      <c r="K11503" s="18">
        <f t="shared" si="359"/>
        <v>69453.759999999995</v>
      </c>
      <c r="L11503" s="27">
        <v>65981.070000000007</v>
      </c>
      <c r="M11503" s="36">
        <v>0</v>
      </c>
      <c r="T11503" s="41">
        <v>0</v>
      </c>
      <c r="U11503" s="41">
        <v>0</v>
      </c>
      <c r="V11503" s="42" t="s">
        <v>113</v>
      </c>
      <c r="W11503" s="42">
        <v>69453.759999999995</v>
      </c>
      <c r="X11503" s="42">
        <v>69453.759999999995</v>
      </c>
    </row>
    <row r="11504" spans="1:24">
      <c r="A11504" s="27" t="s">
        <v>20835</v>
      </c>
      <c r="B11504" s="28" t="s">
        <v>19918</v>
      </c>
      <c r="C11504" s="27" t="s">
        <v>20836</v>
      </c>
      <c r="D11504" s="27" t="s">
        <v>230</v>
      </c>
      <c r="E11504" s="29">
        <v>41269</v>
      </c>
      <c r="F11504" s="27">
        <v>8</v>
      </c>
      <c r="G11504" s="18">
        <v>107502.02</v>
      </c>
      <c r="H11504" s="27">
        <f t="shared" si="358"/>
        <v>0</v>
      </c>
      <c r="I11504" s="18">
        <v>71994.289999999994</v>
      </c>
      <c r="J11504" s="27">
        <v>107502.02</v>
      </c>
      <c r="K11504" s="18">
        <f t="shared" si="359"/>
        <v>0</v>
      </c>
      <c r="L11504" s="27">
        <v>87060.61</v>
      </c>
      <c r="M11504" s="36">
        <v>15066.32</v>
      </c>
      <c r="T11504" s="41">
        <v>0</v>
      </c>
      <c r="U11504" s="41">
        <v>0</v>
      </c>
      <c r="V11504" s="42" t="s">
        <v>113</v>
      </c>
      <c r="W11504" s="42">
        <v>107502.02</v>
      </c>
      <c r="X11504" s="42">
        <v>107502.02</v>
      </c>
    </row>
    <row r="11505" spans="1:24">
      <c r="A11505" s="27" t="s">
        <v>20837</v>
      </c>
      <c r="B11505" s="28" t="s">
        <v>19918</v>
      </c>
      <c r="C11505" s="27" t="s">
        <v>20838</v>
      </c>
      <c r="D11505" s="27" t="s">
        <v>230</v>
      </c>
      <c r="E11505" s="29">
        <v>41269</v>
      </c>
      <c r="F11505" s="27">
        <v>8</v>
      </c>
      <c r="G11505" s="18">
        <v>107502.02</v>
      </c>
      <c r="H11505" s="27">
        <f t="shared" si="358"/>
        <v>0</v>
      </c>
      <c r="I11505" s="18">
        <v>71994.289999999994</v>
      </c>
      <c r="J11505" s="27">
        <v>107502.02</v>
      </c>
      <c r="K11505" s="18">
        <f t="shared" si="359"/>
        <v>0</v>
      </c>
      <c r="L11505" s="27">
        <v>87060.61</v>
      </c>
      <c r="M11505" s="36">
        <v>15066.32</v>
      </c>
      <c r="T11505" s="41">
        <v>0</v>
      </c>
      <c r="U11505" s="41">
        <v>0</v>
      </c>
      <c r="V11505" s="42" t="s">
        <v>113</v>
      </c>
      <c r="W11505" s="42">
        <v>107502.02</v>
      </c>
      <c r="X11505" s="42">
        <v>107502.02</v>
      </c>
    </row>
    <row r="11506" spans="1:24">
      <c r="A11506" s="27" t="s">
        <v>20839</v>
      </c>
      <c r="B11506" s="28" t="s">
        <v>19918</v>
      </c>
      <c r="C11506" s="27" t="s">
        <v>20840</v>
      </c>
      <c r="D11506" s="27" t="s">
        <v>230</v>
      </c>
      <c r="E11506" s="29">
        <v>41269</v>
      </c>
      <c r="F11506" s="27">
        <v>8</v>
      </c>
      <c r="G11506" s="18">
        <v>107502.02</v>
      </c>
      <c r="H11506" s="27">
        <f t="shared" si="358"/>
        <v>0</v>
      </c>
      <c r="I11506" s="18">
        <v>71994.289999999994</v>
      </c>
      <c r="J11506" s="27">
        <v>107502.02</v>
      </c>
      <c r="K11506" s="18">
        <f t="shared" si="359"/>
        <v>0</v>
      </c>
      <c r="L11506" s="27">
        <v>87060.61</v>
      </c>
      <c r="M11506" s="36">
        <v>15066.32</v>
      </c>
      <c r="T11506" s="41">
        <v>0</v>
      </c>
      <c r="U11506" s="41">
        <v>0</v>
      </c>
      <c r="V11506" s="42" t="s">
        <v>113</v>
      </c>
      <c r="W11506" s="42">
        <v>107502.02</v>
      </c>
      <c r="X11506" s="42">
        <v>107502.02</v>
      </c>
    </row>
    <row r="11507" spans="1:24">
      <c r="A11507" s="27" t="s">
        <v>20841</v>
      </c>
      <c r="B11507" s="28" t="s">
        <v>19918</v>
      </c>
      <c r="C11507" s="27" t="s">
        <v>20842</v>
      </c>
      <c r="D11507" s="27" t="s">
        <v>230</v>
      </c>
      <c r="E11507" s="29">
        <v>41269</v>
      </c>
      <c r="F11507" s="27">
        <v>8</v>
      </c>
      <c r="G11507" s="18">
        <v>107502.02</v>
      </c>
      <c r="H11507" s="27">
        <f t="shared" si="358"/>
        <v>0</v>
      </c>
      <c r="I11507" s="18">
        <v>71994.289999999994</v>
      </c>
      <c r="J11507" s="27">
        <v>107502.02</v>
      </c>
      <c r="K11507" s="18">
        <f t="shared" si="359"/>
        <v>0</v>
      </c>
      <c r="L11507" s="27">
        <v>87060.61</v>
      </c>
      <c r="M11507" s="36">
        <v>15066.32</v>
      </c>
      <c r="T11507" s="41">
        <v>0</v>
      </c>
      <c r="U11507" s="41">
        <v>0</v>
      </c>
      <c r="V11507" s="42" t="s">
        <v>113</v>
      </c>
      <c r="W11507" s="42">
        <v>107502.02</v>
      </c>
      <c r="X11507" s="42">
        <v>107502.02</v>
      </c>
    </row>
    <row r="11508" spans="1:24">
      <c r="A11508" s="27" t="s">
        <v>20843</v>
      </c>
      <c r="B11508" s="28" t="s">
        <v>19918</v>
      </c>
      <c r="C11508" s="27" t="s">
        <v>20844</v>
      </c>
      <c r="D11508" s="27" t="s">
        <v>230</v>
      </c>
      <c r="E11508" s="29">
        <v>41269</v>
      </c>
      <c r="F11508" s="27">
        <v>8</v>
      </c>
      <c r="G11508" s="18">
        <v>107502.02</v>
      </c>
      <c r="H11508" s="27">
        <f t="shared" si="358"/>
        <v>0</v>
      </c>
      <c r="I11508" s="18">
        <v>71994.3</v>
      </c>
      <c r="J11508" s="27">
        <v>107502.02</v>
      </c>
      <c r="K11508" s="18">
        <f t="shared" si="359"/>
        <v>0</v>
      </c>
      <c r="L11508" s="27">
        <v>87060.61</v>
      </c>
      <c r="M11508" s="36">
        <v>15066.31</v>
      </c>
      <c r="T11508" s="41">
        <v>0</v>
      </c>
      <c r="U11508" s="41">
        <v>0</v>
      </c>
      <c r="V11508" s="42" t="s">
        <v>113</v>
      </c>
      <c r="W11508" s="42">
        <v>107502.02</v>
      </c>
      <c r="X11508" s="42">
        <v>107502.02</v>
      </c>
    </row>
    <row r="11509" spans="1:24">
      <c r="A11509" s="27" t="s">
        <v>20845</v>
      </c>
      <c r="B11509" s="28" t="s">
        <v>19918</v>
      </c>
      <c r="C11509" s="27" t="s">
        <v>20846</v>
      </c>
      <c r="D11509" s="27" t="s">
        <v>230</v>
      </c>
      <c r="E11509" s="29">
        <v>41269</v>
      </c>
      <c r="F11509" s="27">
        <v>8</v>
      </c>
      <c r="G11509" s="18">
        <v>107502.02</v>
      </c>
      <c r="H11509" s="27">
        <f t="shared" si="358"/>
        <v>0</v>
      </c>
      <c r="I11509" s="18">
        <v>71994.289999999994</v>
      </c>
      <c r="J11509" s="27">
        <v>107502.02</v>
      </c>
      <c r="K11509" s="18">
        <f t="shared" si="359"/>
        <v>0</v>
      </c>
      <c r="L11509" s="27">
        <v>87060.61</v>
      </c>
      <c r="M11509" s="36">
        <v>15066.32</v>
      </c>
      <c r="T11509" s="41">
        <v>0</v>
      </c>
      <c r="U11509" s="41">
        <v>0</v>
      </c>
      <c r="V11509" s="42" t="s">
        <v>113</v>
      </c>
      <c r="W11509" s="42">
        <v>107502.02</v>
      </c>
      <c r="X11509" s="42">
        <v>107502.02</v>
      </c>
    </row>
    <row r="11510" spans="1:24">
      <c r="A11510" s="27" t="s">
        <v>20847</v>
      </c>
      <c r="B11510" s="28" t="s">
        <v>19918</v>
      </c>
      <c r="C11510" s="27" t="s">
        <v>20848</v>
      </c>
      <c r="D11510" s="27" t="s">
        <v>230</v>
      </c>
      <c r="E11510" s="29">
        <v>41269</v>
      </c>
      <c r="F11510" s="27">
        <v>8</v>
      </c>
      <c r="G11510" s="18">
        <v>107502.02</v>
      </c>
      <c r="H11510" s="27">
        <f t="shared" si="358"/>
        <v>0</v>
      </c>
      <c r="I11510" s="18">
        <v>71994.3</v>
      </c>
      <c r="J11510" s="27">
        <v>107502.02</v>
      </c>
      <c r="K11510" s="18">
        <f t="shared" si="359"/>
        <v>0</v>
      </c>
      <c r="L11510" s="27">
        <v>87060.61</v>
      </c>
      <c r="M11510" s="36">
        <v>15066.31</v>
      </c>
      <c r="T11510" s="41">
        <v>0</v>
      </c>
      <c r="U11510" s="41">
        <v>0</v>
      </c>
      <c r="V11510" s="42" t="s">
        <v>113</v>
      </c>
      <c r="W11510" s="42">
        <v>107502.02</v>
      </c>
      <c r="X11510" s="42">
        <v>107502.02</v>
      </c>
    </row>
    <row r="11511" spans="1:24">
      <c r="A11511" s="27" t="s">
        <v>20849</v>
      </c>
      <c r="B11511" s="28" t="s">
        <v>19918</v>
      </c>
      <c r="C11511" s="27" t="s">
        <v>20850</v>
      </c>
      <c r="D11511" s="27" t="s">
        <v>230</v>
      </c>
      <c r="E11511" s="29">
        <v>41269</v>
      </c>
      <c r="F11511" s="27">
        <v>8</v>
      </c>
      <c r="G11511" s="18">
        <v>107502.02</v>
      </c>
      <c r="H11511" s="27">
        <f t="shared" si="358"/>
        <v>0</v>
      </c>
      <c r="I11511" s="18">
        <v>71994.289999999994</v>
      </c>
      <c r="J11511" s="27">
        <v>107502.02</v>
      </c>
      <c r="K11511" s="18">
        <f t="shared" si="359"/>
        <v>0</v>
      </c>
      <c r="L11511" s="27">
        <v>87060.61</v>
      </c>
      <c r="M11511" s="36">
        <v>15066.32</v>
      </c>
      <c r="T11511" s="41">
        <v>0</v>
      </c>
      <c r="U11511" s="41">
        <v>0</v>
      </c>
      <c r="V11511" s="42" t="s">
        <v>113</v>
      </c>
      <c r="W11511" s="42">
        <v>107502.02</v>
      </c>
      <c r="X11511" s="42">
        <v>107502.02</v>
      </c>
    </row>
    <row r="11512" spans="1:24">
      <c r="A11512" s="27" t="s">
        <v>20851</v>
      </c>
      <c r="B11512" s="28" t="s">
        <v>19918</v>
      </c>
      <c r="C11512" s="27" t="s">
        <v>19768</v>
      </c>
      <c r="D11512" s="27" t="s">
        <v>230</v>
      </c>
      <c r="E11512" s="29">
        <v>41270</v>
      </c>
      <c r="F11512" s="27">
        <v>8</v>
      </c>
      <c r="G11512" s="18">
        <v>133994.19</v>
      </c>
      <c r="H11512" s="27">
        <f t="shared" si="358"/>
        <v>0</v>
      </c>
      <c r="I11512" s="18">
        <v>90166.93</v>
      </c>
      <c r="J11512" s="27">
        <v>133994.19</v>
      </c>
      <c r="K11512" s="18">
        <f t="shared" si="359"/>
        <v>0</v>
      </c>
      <c r="L11512" s="27">
        <v>108730.71</v>
      </c>
      <c r="M11512" s="36">
        <v>18563.78</v>
      </c>
      <c r="T11512" s="41">
        <v>0</v>
      </c>
      <c r="U11512" s="41">
        <v>0</v>
      </c>
      <c r="V11512" s="42" t="s">
        <v>113</v>
      </c>
      <c r="W11512" s="42">
        <v>133994.19</v>
      </c>
      <c r="X11512" s="42">
        <v>133994.19</v>
      </c>
    </row>
    <row r="11513" spans="1:24">
      <c r="A11513" s="27" t="s">
        <v>20852</v>
      </c>
      <c r="B11513" s="28" t="s">
        <v>19918</v>
      </c>
      <c r="C11513" s="27" t="s">
        <v>20853</v>
      </c>
      <c r="D11513" s="27" t="s">
        <v>230</v>
      </c>
      <c r="E11513" s="29">
        <v>41270</v>
      </c>
      <c r="F11513" s="27">
        <v>8</v>
      </c>
      <c r="G11513" s="18">
        <v>133994.19</v>
      </c>
      <c r="H11513" s="27">
        <f t="shared" si="358"/>
        <v>0</v>
      </c>
      <c r="I11513" s="18">
        <v>90166.93</v>
      </c>
      <c r="J11513" s="27">
        <v>133994.19</v>
      </c>
      <c r="K11513" s="18">
        <f t="shared" si="359"/>
        <v>0</v>
      </c>
      <c r="L11513" s="27">
        <v>108730.71</v>
      </c>
      <c r="M11513" s="36">
        <v>18563.78</v>
      </c>
      <c r="T11513" s="41">
        <v>0</v>
      </c>
      <c r="U11513" s="41">
        <v>0</v>
      </c>
      <c r="V11513" s="42" t="s">
        <v>113</v>
      </c>
      <c r="W11513" s="42">
        <v>133994.19</v>
      </c>
      <c r="X11513" s="42">
        <v>133994.19</v>
      </c>
    </row>
    <row r="11514" spans="1:24">
      <c r="A11514" s="27" t="s">
        <v>20854</v>
      </c>
      <c r="B11514" s="28" t="s">
        <v>19918</v>
      </c>
      <c r="C11514" s="27" t="s">
        <v>20855</v>
      </c>
      <c r="D11514" s="27" t="s">
        <v>118</v>
      </c>
      <c r="E11514" s="29">
        <v>41270</v>
      </c>
      <c r="F11514" s="27">
        <v>8</v>
      </c>
      <c r="G11514" s="18">
        <v>138054.63</v>
      </c>
      <c r="H11514" s="27">
        <f t="shared" si="358"/>
        <v>0</v>
      </c>
      <c r="I11514" s="18">
        <v>92899.27</v>
      </c>
      <c r="J11514" s="27">
        <v>138054.63</v>
      </c>
      <c r="K11514" s="18">
        <f t="shared" si="359"/>
        <v>0</v>
      </c>
      <c r="L11514" s="27">
        <v>112025.59</v>
      </c>
      <c r="M11514" s="36">
        <v>19126.32</v>
      </c>
      <c r="T11514" s="41">
        <v>0</v>
      </c>
      <c r="U11514" s="41">
        <v>0</v>
      </c>
      <c r="V11514" s="42" t="s">
        <v>113</v>
      </c>
      <c r="W11514" s="42">
        <v>138054.63</v>
      </c>
      <c r="X11514" s="42">
        <v>138054.63</v>
      </c>
    </row>
    <row r="11515" spans="1:24">
      <c r="A11515" s="27" t="s">
        <v>20856</v>
      </c>
      <c r="B11515" s="28" t="s">
        <v>19918</v>
      </c>
      <c r="C11515" s="27" t="s">
        <v>2163</v>
      </c>
      <c r="D11515" s="27" t="s">
        <v>230</v>
      </c>
      <c r="E11515" s="29">
        <v>41270</v>
      </c>
      <c r="F11515" s="27">
        <v>8</v>
      </c>
      <c r="G11515" s="18">
        <v>73915.199999999997</v>
      </c>
      <c r="H11515" s="27">
        <f t="shared" si="358"/>
        <v>0</v>
      </c>
      <c r="I11515" s="18">
        <v>49738.77</v>
      </c>
      <c r="J11515" s="27">
        <v>73915.199999999997</v>
      </c>
      <c r="K11515" s="18">
        <f t="shared" si="359"/>
        <v>0</v>
      </c>
      <c r="L11515" s="27">
        <v>59979.11</v>
      </c>
      <c r="M11515" s="36">
        <v>10240.34</v>
      </c>
      <c r="T11515" s="41">
        <v>0</v>
      </c>
      <c r="U11515" s="41">
        <v>0</v>
      </c>
      <c r="V11515" s="42" t="s">
        <v>113</v>
      </c>
      <c r="W11515" s="42">
        <v>73915.199999999997</v>
      </c>
      <c r="X11515" s="42">
        <v>73915.199999999997</v>
      </c>
    </row>
    <row r="11516" spans="1:24">
      <c r="A11516" s="27" t="s">
        <v>20857</v>
      </c>
      <c r="B11516" s="28" t="s">
        <v>19918</v>
      </c>
      <c r="C11516" s="27" t="s">
        <v>2167</v>
      </c>
      <c r="D11516" s="27" t="s">
        <v>230</v>
      </c>
      <c r="E11516" s="29">
        <v>41270</v>
      </c>
      <c r="F11516" s="27">
        <v>8</v>
      </c>
      <c r="G11516" s="18">
        <v>9239.4</v>
      </c>
      <c r="H11516" s="27">
        <f t="shared" si="358"/>
        <v>0</v>
      </c>
      <c r="I11516" s="18">
        <v>6217.34</v>
      </c>
      <c r="J11516" s="27">
        <v>9239.4</v>
      </c>
      <c r="K11516" s="18">
        <f t="shared" si="359"/>
        <v>0</v>
      </c>
      <c r="L11516" s="27">
        <v>7497.39</v>
      </c>
      <c r="M11516" s="36">
        <v>1280.05</v>
      </c>
      <c r="T11516" s="41">
        <v>0</v>
      </c>
      <c r="U11516" s="41">
        <v>0</v>
      </c>
      <c r="V11516" s="42" t="s">
        <v>113</v>
      </c>
      <c r="W11516" s="42">
        <v>9239.4</v>
      </c>
      <c r="X11516" s="42">
        <v>9239.4</v>
      </c>
    </row>
    <row r="11517" spans="1:24">
      <c r="A11517" s="27" t="s">
        <v>20858</v>
      </c>
      <c r="B11517" s="28" t="s">
        <v>19918</v>
      </c>
      <c r="C11517" s="27" t="s">
        <v>20859</v>
      </c>
      <c r="D11517" s="27" t="s">
        <v>230</v>
      </c>
      <c r="E11517" s="29">
        <v>41270</v>
      </c>
      <c r="F11517" s="27">
        <v>8</v>
      </c>
      <c r="G11517" s="18">
        <v>9239.4</v>
      </c>
      <c r="H11517" s="27">
        <f t="shared" si="358"/>
        <v>0</v>
      </c>
      <c r="I11517" s="18">
        <v>6217.34</v>
      </c>
      <c r="J11517" s="27">
        <v>9239.4</v>
      </c>
      <c r="K11517" s="18">
        <f t="shared" si="359"/>
        <v>0</v>
      </c>
      <c r="L11517" s="27">
        <v>7497.39</v>
      </c>
      <c r="M11517" s="36">
        <v>1280.05</v>
      </c>
      <c r="T11517" s="41">
        <v>0</v>
      </c>
      <c r="U11517" s="41">
        <v>0</v>
      </c>
      <c r="V11517" s="42" t="s">
        <v>113</v>
      </c>
      <c r="W11517" s="42">
        <v>9239.4</v>
      </c>
      <c r="X11517" s="42">
        <v>9239.4</v>
      </c>
    </row>
    <row r="11518" spans="1:24">
      <c r="A11518" s="27" t="s">
        <v>20860</v>
      </c>
      <c r="B11518" s="28" t="s">
        <v>19918</v>
      </c>
      <c r="C11518" s="27" t="s">
        <v>20861</v>
      </c>
      <c r="D11518" s="27" t="s">
        <v>118</v>
      </c>
      <c r="E11518" s="29">
        <v>41270</v>
      </c>
      <c r="F11518" s="27">
        <v>8</v>
      </c>
      <c r="G11518" s="18">
        <v>36957.589999999997</v>
      </c>
      <c r="H11518" s="27">
        <f t="shared" si="358"/>
        <v>0</v>
      </c>
      <c r="I11518" s="18">
        <v>24869.38</v>
      </c>
      <c r="J11518" s="27">
        <v>36957.589999999997</v>
      </c>
      <c r="K11518" s="18">
        <f t="shared" si="359"/>
        <v>0</v>
      </c>
      <c r="L11518" s="27">
        <v>29989.55</v>
      </c>
      <c r="M11518" s="36">
        <v>5120.17</v>
      </c>
      <c r="T11518" s="41">
        <v>0</v>
      </c>
      <c r="U11518" s="41">
        <v>0</v>
      </c>
      <c r="V11518" s="42" t="s">
        <v>113</v>
      </c>
      <c r="W11518" s="42">
        <v>36957.589999999997</v>
      </c>
      <c r="X11518" s="42">
        <v>36957.589999999997</v>
      </c>
    </row>
    <row r="11519" spans="1:24">
      <c r="A11519" s="27" t="s">
        <v>20862</v>
      </c>
      <c r="B11519" s="28" t="s">
        <v>19918</v>
      </c>
      <c r="C11519" s="27" t="s">
        <v>20863</v>
      </c>
      <c r="D11519" s="27" t="s">
        <v>17578</v>
      </c>
      <c r="E11519" s="29">
        <v>42001</v>
      </c>
      <c r="F11519" s="27">
        <v>8</v>
      </c>
      <c r="G11519" s="18">
        <v>173273.96</v>
      </c>
      <c r="H11519" s="27">
        <f t="shared" si="358"/>
        <v>0</v>
      </c>
      <c r="I11519" s="18">
        <v>82305.119999999995</v>
      </c>
      <c r="J11519" s="27">
        <v>173273.96</v>
      </c>
      <c r="K11519" s="18">
        <f t="shared" si="359"/>
        <v>0</v>
      </c>
      <c r="L11519" s="27">
        <v>102881.41</v>
      </c>
      <c r="M11519" s="36">
        <v>20576.29</v>
      </c>
      <c r="T11519" s="41">
        <v>0</v>
      </c>
      <c r="U11519" s="41">
        <v>0</v>
      </c>
      <c r="V11519" s="42" t="s">
        <v>113</v>
      </c>
      <c r="W11519" s="42">
        <v>0</v>
      </c>
      <c r="X11519" s="42">
        <v>0</v>
      </c>
    </row>
    <row r="11520" spans="1:24">
      <c r="A11520" s="27" t="s">
        <v>20864</v>
      </c>
      <c r="B11520" s="28" t="s">
        <v>19918</v>
      </c>
      <c r="C11520" s="27" t="s">
        <v>2163</v>
      </c>
      <c r="D11520" s="27" t="s">
        <v>17558</v>
      </c>
      <c r="E11520" s="29">
        <v>41269</v>
      </c>
      <c r="F11520" s="27">
        <v>8</v>
      </c>
      <c r="G11520" s="18">
        <v>320935.09999999998</v>
      </c>
      <c r="H11520" s="27">
        <f t="shared" si="358"/>
        <v>0</v>
      </c>
      <c r="I11520" s="18">
        <v>214930.81</v>
      </c>
      <c r="J11520" s="27">
        <v>320935.09999999998</v>
      </c>
      <c r="K11520" s="18">
        <f t="shared" si="359"/>
        <v>0</v>
      </c>
      <c r="L11520" s="27">
        <v>259909.58</v>
      </c>
      <c r="M11520" s="36">
        <v>44978.77</v>
      </c>
      <c r="T11520" s="41">
        <v>0</v>
      </c>
      <c r="U11520" s="41">
        <v>0</v>
      </c>
      <c r="V11520" s="42" t="s">
        <v>113</v>
      </c>
      <c r="W11520" s="42">
        <v>320935.09999999998</v>
      </c>
      <c r="X11520" s="42">
        <v>320935.09999999998</v>
      </c>
    </row>
    <row r="11521" spans="1:24">
      <c r="A11521" s="27" t="s">
        <v>20865</v>
      </c>
      <c r="B11521" s="28" t="s">
        <v>19918</v>
      </c>
      <c r="C11521" s="27" t="s">
        <v>20859</v>
      </c>
      <c r="D11521" s="27" t="s">
        <v>17558</v>
      </c>
      <c r="E11521" s="29">
        <v>41269</v>
      </c>
      <c r="F11521" s="27">
        <v>8</v>
      </c>
      <c r="G11521" s="18">
        <v>320839.17</v>
      </c>
      <c r="H11521" s="27">
        <f t="shared" si="358"/>
        <v>0</v>
      </c>
      <c r="I11521" s="18">
        <v>214866.56</v>
      </c>
      <c r="J11521" s="27">
        <v>320839.17</v>
      </c>
      <c r="K11521" s="18">
        <f t="shared" si="359"/>
        <v>0</v>
      </c>
      <c r="L11521" s="27">
        <v>259831.89</v>
      </c>
      <c r="M11521" s="36">
        <v>44965.33</v>
      </c>
      <c r="T11521" s="41">
        <v>0</v>
      </c>
      <c r="U11521" s="41">
        <v>0</v>
      </c>
      <c r="V11521" s="42" t="s">
        <v>113</v>
      </c>
      <c r="W11521" s="42">
        <v>320839.17</v>
      </c>
      <c r="X11521" s="42">
        <v>320839.17</v>
      </c>
    </row>
    <row r="11522" spans="1:24">
      <c r="A11522" s="27" t="s">
        <v>20866</v>
      </c>
      <c r="B11522" s="28" t="s">
        <v>19918</v>
      </c>
      <c r="C11522" s="27" t="s">
        <v>2167</v>
      </c>
      <c r="D11522" s="27" t="s">
        <v>17558</v>
      </c>
      <c r="E11522" s="29">
        <v>41269</v>
      </c>
      <c r="F11522" s="27">
        <v>8</v>
      </c>
      <c r="G11522" s="18">
        <v>320839.51</v>
      </c>
      <c r="H11522" s="27">
        <f t="shared" si="358"/>
        <v>0</v>
      </c>
      <c r="I11522" s="18">
        <v>214866.79</v>
      </c>
      <c r="J11522" s="27">
        <v>320839.51</v>
      </c>
      <c r="K11522" s="18">
        <f t="shared" si="359"/>
        <v>0</v>
      </c>
      <c r="L11522" s="27">
        <v>259832.16</v>
      </c>
      <c r="M11522" s="36">
        <v>44965.37</v>
      </c>
      <c r="T11522" s="41">
        <v>0</v>
      </c>
      <c r="U11522" s="41">
        <v>0</v>
      </c>
      <c r="V11522" s="42" t="s">
        <v>113</v>
      </c>
      <c r="W11522" s="42">
        <v>320839.51</v>
      </c>
      <c r="X11522" s="42">
        <v>320839.51</v>
      </c>
    </row>
    <row r="11523" spans="1:24">
      <c r="A11523" s="27" t="s">
        <v>20867</v>
      </c>
      <c r="B11523" s="28" t="s">
        <v>19918</v>
      </c>
      <c r="C11523" s="27" t="s">
        <v>20774</v>
      </c>
      <c r="D11523" s="27" t="s">
        <v>17578</v>
      </c>
      <c r="E11523" s="29">
        <v>40169</v>
      </c>
      <c r="F11523" s="27">
        <v>8</v>
      </c>
      <c r="G11523" s="18">
        <v>166600</v>
      </c>
      <c r="H11523" s="27">
        <f t="shared" si="358"/>
        <v>166600</v>
      </c>
      <c r="I11523" s="18">
        <v>158270</v>
      </c>
      <c r="J11523" s="27">
        <v>166600</v>
      </c>
      <c r="K11523" s="18">
        <f t="shared" si="359"/>
        <v>166600</v>
      </c>
      <c r="L11523" s="27">
        <v>158270</v>
      </c>
      <c r="M11523" s="36">
        <v>0</v>
      </c>
      <c r="T11523" s="41">
        <v>0</v>
      </c>
      <c r="U11523" s="41">
        <v>0</v>
      </c>
      <c r="V11523" s="42" t="s">
        <v>113</v>
      </c>
      <c r="W11523" s="42">
        <v>166600</v>
      </c>
      <c r="X11523" s="42">
        <v>166600</v>
      </c>
    </row>
    <row r="11524" spans="1:24">
      <c r="A11524" s="27" t="s">
        <v>20868</v>
      </c>
      <c r="B11524" s="28" t="s">
        <v>19918</v>
      </c>
      <c r="C11524" s="27" t="s">
        <v>16577</v>
      </c>
      <c r="D11524" s="27" t="s">
        <v>17578</v>
      </c>
      <c r="E11524" s="29">
        <v>40169</v>
      </c>
      <c r="F11524" s="27">
        <v>8</v>
      </c>
      <c r="G11524" s="18">
        <v>18722</v>
      </c>
      <c r="H11524" s="27">
        <f t="shared" si="358"/>
        <v>18722</v>
      </c>
      <c r="I11524" s="18">
        <v>17785.900000000001</v>
      </c>
      <c r="J11524" s="27">
        <v>18722</v>
      </c>
      <c r="K11524" s="18">
        <f t="shared" si="359"/>
        <v>18722</v>
      </c>
      <c r="L11524" s="27">
        <v>17785.900000000001</v>
      </c>
      <c r="M11524" s="36">
        <v>0</v>
      </c>
      <c r="T11524" s="41">
        <v>0</v>
      </c>
      <c r="U11524" s="41">
        <v>0</v>
      </c>
      <c r="V11524" s="42" t="s">
        <v>113</v>
      </c>
      <c r="W11524" s="42">
        <v>18722</v>
      </c>
      <c r="X11524" s="42">
        <v>18722</v>
      </c>
    </row>
    <row r="11525" spans="1:24">
      <c r="A11525" s="27" t="s">
        <v>20869</v>
      </c>
      <c r="B11525" s="28" t="s">
        <v>19918</v>
      </c>
      <c r="C11525" s="27" t="s">
        <v>16577</v>
      </c>
      <c r="D11525" s="27" t="s">
        <v>17578</v>
      </c>
      <c r="E11525" s="29">
        <v>40156</v>
      </c>
      <c r="F11525" s="27">
        <v>8</v>
      </c>
      <c r="G11525" s="18">
        <v>7409</v>
      </c>
      <c r="H11525" s="27">
        <f t="shared" si="358"/>
        <v>7409</v>
      </c>
      <c r="I11525" s="18">
        <v>7038.55</v>
      </c>
      <c r="J11525" s="27">
        <v>7409</v>
      </c>
      <c r="K11525" s="18">
        <f t="shared" si="359"/>
        <v>7409</v>
      </c>
      <c r="L11525" s="27">
        <v>7038.55</v>
      </c>
      <c r="M11525" s="36">
        <v>0</v>
      </c>
      <c r="T11525" s="41">
        <v>0</v>
      </c>
      <c r="U11525" s="41">
        <v>0</v>
      </c>
      <c r="V11525" s="42" t="s">
        <v>113</v>
      </c>
      <c r="W11525" s="42">
        <v>7409</v>
      </c>
      <c r="X11525" s="42">
        <v>7409</v>
      </c>
    </row>
    <row r="11526" spans="1:24">
      <c r="A11526" s="27" t="s">
        <v>20870</v>
      </c>
      <c r="B11526" s="28" t="s">
        <v>19918</v>
      </c>
      <c r="C11526" s="27" t="s">
        <v>2167</v>
      </c>
      <c r="D11526" s="27" t="s">
        <v>17578</v>
      </c>
      <c r="E11526" s="29">
        <v>38534</v>
      </c>
      <c r="F11526" s="27">
        <v>8</v>
      </c>
      <c r="G11526" s="18">
        <v>24055.1</v>
      </c>
      <c r="H11526" s="27">
        <f t="shared" ref="H11526:H11589" si="360">IFERROR(IF(ROUND((G11526-I11526)/G11526,2)&lt;=0.05,G11526,0),0)</f>
        <v>24055.1</v>
      </c>
      <c r="I11526" s="18">
        <v>22852.34</v>
      </c>
      <c r="J11526" s="27">
        <v>24055.1</v>
      </c>
      <c r="K11526" s="18">
        <f t="shared" ref="K11526:K11589" si="361">IFERROR(IF(ROUND((J11526-L11526)/J11526,2)&lt;=0.05,J11526,0),0)</f>
        <v>24055.1</v>
      </c>
      <c r="L11526" s="27">
        <v>22852.34</v>
      </c>
      <c r="M11526" s="36">
        <v>0</v>
      </c>
      <c r="T11526" s="41">
        <v>0</v>
      </c>
      <c r="U11526" s="41">
        <v>0</v>
      </c>
      <c r="V11526" s="42" t="s">
        <v>113</v>
      </c>
      <c r="W11526" s="42">
        <v>24055.1</v>
      </c>
      <c r="X11526" s="42">
        <v>24055.1</v>
      </c>
    </row>
    <row r="11527" spans="1:24">
      <c r="A11527" s="27" t="s">
        <v>20871</v>
      </c>
      <c r="B11527" s="28" t="s">
        <v>19918</v>
      </c>
      <c r="C11527" s="27" t="s">
        <v>2163</v>
      </c>
      <c r="D11527" s="27" t="s">
        <v>17578</v>
      </c>
      <c r="E11527" s="29">
        <v>38534</v>
      </c>
      <c r="F11527" s="27">
        <v>8</v>
      </c>
      <c r="G11527" s="18">
        <v>24055.1</v>
      </c>
      <c r="H11527" s="27">
        <f t="shared" si="360"/>
        <v>24055.1</v>
      </c>
      <c r="I11527" s="18">
        <v>22852.34</v>
      </c>
      <c r="J11527" s="27">
        <v>24055.1</v>
      </c>
      <c r="K11527" s="18">
        <f t="shared" si="361"/>
        <v>24055.1</v>
      </c>
      <c r="L11527" s="27">
        <v>22852.34</v>
      </c>
      <c r="M11527" s="36">
        <v>0</v>
      </c>
      <c r="T11527" s="41">
        <v>0</v>
      </c>
      <c r="U11527" s="41">
        <v>0</v>
      </c>
      <c r="V11527" s="42" t="s">
        <v>113</v>
      </c>
      <c r="W11527" s="42">
        <v>24055.1</v>
      </c>
      <c r="X11527" s="42">
        <v>24055.1</v>
      </c>
    </row>
    <row r="11528" spans="1:24">
      <c r="A11528" s="27" t="s">
        <v>20872</v>
      </c>
      <c r="B11528" s="28" t="s">
        <v>19918</v>
      </c>
      <c r="C11528" s="27" t="s">
        <v>2163</v>
      </c>
      <c r="D11528" s="27" t="s">
        <v>17578</v>
      </c>
      <c r="E11528" s="29">
        <v>40169</v>
      </c>
      <c r="F11528" s="27">
        <v>8</v>
      </c>
      <c r="G11528" s="18">
        <v>59523.8</v>
      </c>
      <c r="H11528" s="27">
        <f t="shared" si="360"/>
        <v>59523.8</v>
      </c>
      <c r="I11528" s="18">
        <v>56547.61</v>
      </c>
      <c r="J11528" s="27">
        <v>59523.8</v>
      </c>
      <c r="K11528" s="18">
        <f t="shared" si="361"/>
        <v>59523.8</v>
      </c>
      <c r="L11528" s="27">
        <v>56547.61</v>
      </c>
      <c r="M11528" s="36">
        <v>0</v>
      </c>
      <c r="T11528" s="41">
        <v>0</v>
      </c>
      <c r="U11528" s="41">
        <v>0</v>
      </c>
      <c r="V11528" s="42" t="s">
        <v>113</v>
      </c>
      <c r="W11528" s="42">
        <v>59523.8</v>
      </c>
      <c r="X11528" s="42">
        <v>59523.8</v>
      </c>
    </row>
    <row r="11529" spans="1:24">
      <c r="A11529" s="27" t="s">
        <v>20873</v>
      </c>
      <c r="B11529" s="28" t="s">
        <v>19918</v>
      </c>
      <c r="C11529" s="27" t="s">
        <v>20779</v>
      </c>
      <c r="D11529" s="27" t="s">
        <v>17578</v>
      </c>
      <c r="E11529" s="29">
        <v>40169</v>
      </c>
      <c r="F11529" s="27">
        <v>8</v>
      </c>
      <c r="G11529" s="18">
        <v>59523.8</v>
      </c>
      <c r="H11529" s="27">
        <f t="shared" si="360"/>
        <v>59523.8</v>
      </c>
      <c r="I11529" s="18">
        <v>56547.61</v>
      </c>
      <c r="J11529" s="27">
        <v>59523.8</v>
      </c>
      <c r="K11529" s="18">
        <f t="shared" si="361"/>
        <v>59523.8</v>
      </c>
      <c r="L11529" s="27">
        <v>56547.61</v>
      </c>
      <c r="M11529" s="36">
        <v>0</v>
      </c>
      <c r="T11529" s="41">
        <v>0</v>
      </c>
      <c r="U11529" s="41">
        <v>0</v>
      </c>
      <c r="V11529" s="42" t="s">
        <v>113</v>
      </c>
      <c r="W11529" s="42">
        <v>59523.8</v>
      </c>
      <c r="X11529" s="42">
        <v>59523.8</v>
      </c>
    </row>
    <row r="11530" spans="1:24">
      <c r="A11530" s="27" t="s">
        <v>20874</v>
      </c>
      <c r="B11530" s="28" t="s">
        <v>19918</v>
      </c>
      <c r="C11530" s="27" t="s">
        <v>20875</v>
      </c>
      <c r="D11530" s="27" t="s">
        <v>17578</v>
      </c>
      <c r="E11530" s="29">
        <v>38534</v>
      </c>
      <c r="F11530" s="27">
        <v>8</v>
      </c>
      <c r="G11530" s="18">
        <v>24055.1</v>
      </c>
      <c r="H11530" s="27">
        <f t="shared" si="360"/>
        <v>24055.1</v>
      </c>
      <c r="I11530" s="18">
        <v>22852.34</v>
      </c>
      <c r="J11530" s="27">
        <v>24055.1</v>
      </c>
      <c r="K11530" s="18">
        <f t="shared" si="361"/>
        <v>24055.1</v>
      </c>
      <c r="L11530" s="27">
        <v>22852.34</v>
      </c>
      <c r="M11530" s="36">
        <v>0</v>
      </c>
      <c r="T11530" s="41">
        <v>0</v>
      </c>
      <c r="U11530" s="41">
        <v>0</v>
      </c>
      <c r="V11530" s="42" t="s">
        <v>113</v>
      </c>
      <c r="W11530" s="42">
        <v>24055.1</v>
      </c>
      <c r="X11530" s="42">
        <v>24055.1</v>
      </c>
    </row>
    <row r="11531" spans="1:24">
      <c r="A11531" s="27" t="s">
        <v>20876</v>
      </c>
      <c r="B11531" s="28" t="s">
        <v>19918</v>
      </c>
      <c r="C11531" s="27" t="s">
        <v>16577</v>
      </c>
      <c r="D11531" s="27" t="s">
        <v>17578</v>
      </c>
      <c r="E11531" s="29">
        <v>40114</v>
      </c>
      <c r="F11531" s="27">
        <v>8</v>
      </c>
      <c r="G11531" s="18">
        <v>30437.01</v>
      </c>
      <c r="H11531" s="27">
        <f t="shared" si="360"/>
        <v>30437.01</v>
      </c>
      <c r="I11531" s="18">
        <v>28915.16</v>
      </c>
      <c r="J11531" s="27">
        <v>30437.01</v>
      </c>
      <c r="K11531" s="18">
        <f t="shared" si="361"/>
        <v>30437.01</v>
      </c>
      <c r="L11531" s="27">
        <v>28915.16</v>
      </c>
      <c r="M11531" s="36">
        <v>0</v>
      </c>
      <c r="T11531" s="41">
        <v>0</v>
      </c>
      <c r="U11531" s="41">
        <v>0</v>
      </c>
      <c r="V11531" s="42" t="s">
        <v>113</v>
      </c>
      <c r="W11531" s="42">
        <v>30437.01</v>
      </c>
      <c r="X11531" s="42">
        <v>30437.01</v>
      </c>
    </row>
    <row r="11532" spans="1:24">
      <c r="A11532" s="27" t="s">
        <v>20877</v>
      </c>
      <c r="B11532" s="28" t="s">
        <v>19918</v>
      </c>
      <c r="C11532" s="27" t="s">
        <v>20808</v>
      </c>
      <c r="D11532" s="27" t="s">
        <v>17578</v>
      </c>
      <c r="E11532" s="29">
        <v>39692</v>
      </c>
      <c r="F11532" s="27">
        <v>8</v>
      </c>
      <c r="G11532" s="18">
        <v>19789.38</v>
      </c>
      <c r="H11532" s="27">
        <f t="shared" si="360"/>
        <v>19789.38</v>
      </c>
      <c r="I11532" s="18">
        <v>18799.91</v>
      </c>
      <c r="J11532" s="27">
        <v>19789.38</v>
      </c>
      <c r="K11532" s="18">
        <f t="shared" si="361"/>
        <v>19789.38</v>
      </c>
      <c r="L11532" s="27">
        <v>18799.91</v>
      </c>
      <c r="M11532" s="36">
        <v>0</v>
      </c>
      <c r="T11532" s="41">
        <v>0</v>
      </c>
      <c r="U11532" s="41">
        <v>0</v>
      </c>
      <c r="V11532" s="42" t="s">
        <v>113</v>
      </c>
      <c r="W11532" s="42">
        <v>19789.38</v>
      </c>
      <c r="X11532" s="42">
        <v>19789.38</v>
      </c>
    </row>
    <row r="11533" spans="1:24">
      <c r="A11533" s="27" t="s">
        <v>20878</v>
      </c>
      <c r="B11533" s="28" t="s">
        <v>19918</v>
      </c>
      <c r="C11533" s="27" t="s">
        <v>20879</v>
      </c>
      <c r="D11533" s="27" t="s">
        <v>17578</v>
      </c>
      <c r="E11533" s="29">
        <v>39692</v>
      </c>
      <c r="F11533" s="27">
        <v>8</v>
      </c>
      <c r="G11533" s="18">
        <v>19789.38</v>
      </c>
      <c r="H11533" s="27">
        <f t="shared" si="360"/>
        <v>19789.38</v>
      </c>
      <c r="I11533" s="18">
        <v>18799.91</v>
      </c>
      <c r="J11533" s="27">
        <v>19789.38</v>
      </c>
      <c r="K11533" s="18">
        <f t="shared" si="361"/>
        <v>19789.38</v>
      </c>
      <c r="L11533" s="27">
        <v>18799.91</v>
      </c>
      <c r="M11533" s="36">
        <v>0</v>
      </c>
      <c r="T11533" s="41">
        <v>0</v>
      </c>
      <c r="U11533" s="41">
        <v>0</v>
      </c>
      <c r="V11533" s="42" t="s">
        <v>113</v>
      </c>
      <c r="W11533" s="42">
        <v>19789.38</v>
      </c>
      <c r="X11533" s="42">
        <v>19789.38</v>
      </c>
    </row>
    <row r="11534" spans="1:24">
      <c r="A11534" s="27" t="s">
        <v>20880</v>
      </c>
      <c r="B11534" s="28" t="s">
        <v>19918</v>
      </c>
      <c r="C11534" s="27" t="s">
        <v>16577</v>
      </c>
      <c r="D11534" s="27" t="s">
        <v>17578</v>
      </c>
      <c r="E11534" s="29">
        <v>40165</v>
      </c>
      <c r="F11534" s="27">
        <v>8</v>
      </c>
      <c r="G11534" s="18">
        <v>12135.47</v>
      </c>
      <c r="H11534" s="27">
        <f t="shared" si="360"/>
        <v>12135.47</v>
      </c>
      <c r="I11534" s="18">
        <v>11528.7</v>
      </c>
      <c r="J11534" s="27">
        <v>12135.47</v>
      </c>
      <c r="K11534" s="18">
        <f t="shared" si="361"/>
        <v>12135.47</v>
      </c>
      <c r="L11534" s="27">
        <v>11528.7</v>
      </c>
      <c r="M11534" s="36">
        <v>0</v>
      </c>
      <c r="T11534" s="41">
        <v>0</v>
      </c>
      <c r="U11534" s="41">
        <v>0</v>
      </c>
      <c r="V11534" s="42" t="s">
        <v>113</v>
      </c>
      <c r="W11534" s="42">
        <v>12135.47</v>
      </c>
      <c r="X11534" s="42">
        <v>12135.47</v>
      </c>
    </row>
    <row r="11535" spans="1:24">
      <c r="A11535" s="27" t="s">
        <v>20881</v>
      </c>
      <c r="B11535" s="28" t="s">
        <v>19918</v>
      </c>
      <c r="C11535" s="27" t="s">
        <v>16577</v>
      </c>
      <c r="D11535" s="27" t="s">
        <v>17578</v>
      </c>
      <c r="E11535" s="29">
        <v>40165</v>
      </c>
      <c r="F11535" s="27">
        <v>8</v>
      </c>
      <c r="G11535" s="18">
        <v>9661.35</v>
      </c>
      <c r="H11535" s="27">
        <f t="shared" si="360"/>
        <v>9661.35</v>
      </c>
      <c r="I11535" s="18">
        <v>9178.2800000000007</v>
      </c>
      <c r="J11535" s="27">
        <v>9661.35</v>
      </c>
      <c r="K11535" s="18">
        <f t="shared" si="361"/>
        <v>9661.35</v>
      </c>
      <c r="L11535" s="27">
        <v>9178.2800000000007</v>
      </c>
      <c r="M11535" s="36">
        <v>0</v>
      </c>
      <c r="T11535" s="41">
        <v>0</v>
      </c>
      <c r="U11535" s="41">
        <v>0</v>
      </c>
      <c r="V11535" s="42" t="s">
        <v>113</v>
      </c>
      <c r="W11535" s="42">
        <v>9661.35</v>
      </c>
      <c r="X11535" s="42">
        <v>9661.35</v>
      </c>
    </row>
    <row r="11536" spans="1:24">
      <c r="A11536" s="27" t="s">
        <v>20882</v>
      </c>
      <c r="B11536" s="28" t="s">
        <v>19918</v>
      </c>
      <c r="C11536" s="27" t="s">
        <v>2167</v>
      </c>
      <c r="D11536" s="27" t="s">
        <v>17578</v>
      </c>
      <c r="E11536" s="29">
        <v>40169</v>
      </c>
      <c r="F11536" s="27">
        <v>8</v>
      </c>
      <c r="G11536" s="18">
        <v>59523.8</v>
      </c>
      <c r="H11536" s="27">
        <f t="shared" si="360"/>
        <v>59523.8</v>
      </c>
      <c r="I11536" s="18">
        <v>56547.61</v>
      </c>
      <c r="J11536" s="27">
        <v>59523.8</v>
      </c>
      <c r="K11536" s="18">
        <f t="shared" si="361"/>
        <v>59523.8</v>
      </c>
      <c r="L11536" s="27">
        <v>56547.61</v>
      </c>
      <c r="M11536" s="36">
        <v>0</v>
      </c>
      <c r="T11536" s="41">
        <v>0</v>
      </c>
      <c r="U11536" s="41">
        <v>0</v>
      </c>
      <c r="V11536" s="42" t="s">
        <v>113</v>
      </c>
      <c r="W11536" s="42">
        <v>59523.8</v>
      </c>
      <c r="X11536" s="42">
        <v>59523.8</v>
      </c>
    </row>
    <row r="11537" spans="1:24">
      <c r="A11537" s="27" t="s">
        <v>20883</v>
      </c>
      <c r="B11537" s="28" t="s">
        <v>19918</v>
      </c>
      <c r="C11537" s="27" t="s">
        <v>19753</v>
      </c>
      <c r="D11537" s="27" t="s">
        <v>17578</v>
      </c>
      <c r="E11537" s="29">
        <v>37287</v>
      </c>
      <c r="F11537" s="27">
        <v>8</v>
      </c>
      <c r="G11537" s="18">
        <v>2090.7399999999998</v>
      </c>
      <c r="H11537" s="27">
        <f t="shared" si="360"/>
        <v>2090.7399999999998</v>
      </c>
      <c r="I11537" s="18">
        <v>2090.7399999999998</v>
      </c>
      <c r="J11537" s="27">
        <v>2090.7399999999998</v>
      </c>
      <c r="K11537" s="18">
        <f t="shared" si="361"/>
        <v>2090.7399999999998</v>
      </c>
      <c r="L11537" s="27">
        <v>2090.7399999999998</v>
      </c>
      <c r="M11537" s="36">
        <v>0</v>
      </c>
      <c r="T11537" s="41">
        <v>0</v>
      </c>
      <c r="U11537" s="41">
        <v>0</v>
      </c>
      <c r="V11537" s="42" t="s">
        <v>113</v>
      </c>
      <c r="W11537" s="42">
        <v>2090.7399999999998</v>
      </c>
      <c r="X11537" s="42">
        <v>2090.7399999999998</v>
      </c>
    </row>
    <row r="11538" spans="1:24">
      <c r="A11538" s="27" t="s">
        <v>20884</v>
      </c>
      <c r="B11538" s="28" t="s">
        <v>19918</v>
      </c>
      <c r="C11538" s="27" t="s">
        <v>19755</v>
      </c>
      <c r="D11538" s="27" t="s">
        <v>17578</v>
      </c>
      <c r="E11538" s="29">
        <v>37287</v>
      </c>
      <c r="F11538" s="27">
        <v>8</v>
      </c>
      <c r="G11538" s="18">
        <v>2091.7399999999998</v>
      </c>
      <c r="H11538" s="27">
        <f t="shared" si="360"/>
        <v>2091.7399999999998</v>
      </c>
      <c r="I11538" s="18">
        <v>2091.7399999999998</v>
      </c>
      <c r="J11538" s="27">
        <v>2091.7399999999998</v>
      </c>
      <c r="K11538" s="18">
        <f t="shared" si="361"/>
        <v>2091.7399999999998</v>
      </c>
      <c r="L11538" s="27">
        <v>2091.7399999999998</v>
      </c>
      <c r="M11538" s="36">
        <v>0</v>
      </c>
      <c r="T11538" s="41">
        <v>0</v>
      </c>
      <c r="U11538" s="41">
        <v>0</v>
      </c>
      <c r="V11538" s="42" t="s">
        <v>113</v>
      </c>
      <c r="W11538" s="42">
        <v>2091.7399999999998</v>
      </c>
      <c r="X11538" s="42">
        <v>2091.7399999999998</v>
      </c>
    </row>
    <row r="11539" spans="1:24">
      <c r="A11539" s="27" t="s">
        <v>20885</v>
      </c>
      <c r="B11539" s="28" t="s">
        <v>19918</v>
      </c>
      <c r="C11539" s="27" t="s">
        <v>19757</v>
      </c>
      <c r="D11539" s="27" t="s">
        <v>17578</v>
      </c>
      <c r="E11539" s="29">
        <v>37287</v>
      </c>
      <c r="F11539" s="27">
        <v>8</v>
      </c>
      <c r="G11539" s="18">
        <v>2092.7399999999998</v>
      </c>
      <c r="H11539" s="27">
        <f t="shared" si="360"/>
        <v>2092.7399999999998</v>
      </c>
      <c r="I11539" s="18">
        <v>2092.7399999999998</v>
      </c>
      <c r="J11539" s="27">
        <v>2092.7399999999998</v>
      </c>
      <c r="K11539" s="18">
        <f t="shared" si="361"/>
        <v>2092.7399999999998</v>
      </c>
      <c r="L11539" s="27">
        <v>2092.7399999999998</v>
      </c>
      <c r="M11539" s="36">
        <v>0</v>
      </c>
      <c r="T11539" s="41">
        <v>0</v>
      </c>
      <c r="U11539" s="41">
        <v>0</v>
      </c>
      <c r="V11539" s="42" t="s">
        <v>113</v>
      </c>
      <c r="W11539" s="42">
        <v>2092.7399999999998</v>
      </c>
      <c r="X11539" s="42">
        <v>2092.7399999999998</v>
      </c>
    </row>
    <row r="11540" spans="1:24">
      <c r="A11540" s="27" t="s">
        <v>20886</v>
      </c>
      <c r="B11540" s="28" t="s">
        <v>19918</v>
      </c>
      <c r="C11540" s="27" t="s">
        <v>20887</v>
      </c>
      <c r="D11540" s="27" t="s">
        <v>17578</v>
      </c>
      <c r="E11540" s="29">
        <v>37287</v>
      </c>
      <c r="F11540" s="27">
        <v>8</v>
      </c>
      <c r="G11540" s="18">
        <v>28320</v>
      </c>
      <c r="H11540" s="27">
        <f t="shared" si="360"/>
        <v>28320</v>
      </c>
      <c r="I11540" s="18">
        <v>26904</v>
      </c>
      <c r="J11540" s="27">
        <v>28320</v>
      </c>
      <c r="K11540" s="18">
        <f t="shared" si="361"/>
        <v>28320</v>
      </c>
      <c r="L11540" s="27">
        <v>26904</v>
      </c>
      <c r="M11540" s="36">
        <v>0</v>
      </c>
      <c r="T11540" s="41">
        <v>0</v>
      </c>
      <c r="U11540" s="41">
        <v>0</v>
      </c>
      <c r="V11540" s="42" t="s">
        <v>113</v>
      </c>
      <c r="W11540" s="42">
        <v>28320</v>
      </c>
      <c r="X11540" s="42">
        <v>28320</v>
      </c>
    </row>
    <row r="11541" spans="1:24">
      <c r="A11541" s="27" t="s">
        <v>20888</v>
      </c>
      <c r="B11541" s="28" t="s">
        <v>19918</v>
      </c>
      <c r="C11541" s="27" t="s">
        <v>20889</v>
      </c>
      <c r="D11541" s="27" t="s">
        <v>17578</v>
      </c>
      <c r="E11541" s="29">
        <v>37287</v>
      </c>
      <c r="F11541" s="27">
        <v>8</v>
      </c>
      <c r="G11541" s="18">
        <v>28320</v>
      </c>
      <c r="H11541" s="27">
        <f t="shared" si="360"/>
        <v>28320</v>
      </c>
      <c r="I11541" s="18">
        <v>26904</v>
      </c>
      <c r="J11541" s="27">
        <v>28320</v>
      </c>
      <c r="K11541" s="18">
        <f t="shared" si="361"/>
        <v>28320</v>
      </c>
      <c r="L11541" s="27">
        <v>26904</v>
      </c>
      <c r="M11541" s="36">
        <v>0</v>
      </c>
      <c r="T11541" s="41">
        <v>0</v>
      </c>
      <c r="U11541" s="41">
        <v>0</v>
      </c>
      <c r="V11541" s="42" t="s">
        <v>113</v>
      </c>
      <c r="W11541" s="42">
        <v>28320</v>
      </c>
      <c r="X11541" s="42">
        <v>28320</v>
      </c>
    </row>
    <row r="11542" spans="1:24">
      <c r="A11542" s="27" t="s">
        <v>20890</v>
      </c>
      <c r="B11542" s="28" t="s">
        <v>19918</v>
      </c>
      <c r="C11542" s="27" t="s">
        <v>20891</v>
      </c>
      <c r="D11542" s="27" t="s">
        <v>17578</v>
      </c>
      <c r="E11542" s="29">
        <v>37287</v>
      </c>
      <c r="F11542" s="27">
        <v>8</v>
      </c>
      <c r="G11542" s="18">
        <v>28320</v>
      </c>
      <c r="H11542" s="27">
        <f t="shared" si="360"/>
        <v>28320</v>
      </c>
      <c r="I11542" s="18">
        <v>26904</v>
      </c>
      <c r="J11542" s="27">
        <v>28320</v>
      </c>
      <c r="K11542" s="18">
        <f t="shared" si="361"/>
        <v>28320</v>
      </c>
      <c r="L11542" s="27">
        <v>26904</v>
      </c>
      <c r="M11542" s="36">
        <v>0</v>
      </c>
      <c r="T11542" s="41">
        <v>0</v>
      </c>
      <c r="U11542" s="41">
        <v>0</v>
      </c>
      <c r="V11542" s="42" t="s">
        <v>113</v>
      </c>
      <c r="W11542" s="42">
        <v>28320</v>
      </c>
      <c r="X11542" s="42">
        <v>28320</v>
      </c>
    </row>
    <row r="11543" spans="1:24">
      <c r="A11543" s="27" t="s">
        <v>20892</v>
      </c>
      <c r="B11543" s="28" t="s">
        <v>19918</v>
      </c>
      <c r="C11543" s="27" t="s">
        <v>20893</v>
      </c>
      <c r="D11543" s="27" t="s">
        <v>17578</v>
      </c>
      <c r="E11543" s="29">
        <v>37287</v>
      </c>
      <c r="F11543" s="27">
        <v>8</v>
      </c>
      <c r="G11543" s="18">
        <v>28320</v>
      </c>
      <c r="H11543" s="27">
        <f t="shared" si="360"/>
        <v>28320</v>
      </c>
      <c r="I11543" s="18">
        <v>26904</v>
      </c>
      <c r="J11543" s="27">
        <v>28320</v>
      </c>
      <c r="K11543" s="18">
        <f t="shared" si="361"/>
        <v>28320</v>
      </c>
      <c r="L11543" s="27">
        <v>26904</v>
      </c>
      <c r="M11543" s="36">
        <v>0</v>
      </c>
      <c r="T11543" s="41">
        <v>0</v>
      </c>
      <c r="U11543" s="41">
        <v>0</v>
      </c>
      <c r="V11543" s="42" t="s">
        <v>113</v>
      </c>
      <c r="W11543" s="42">
        <v>28320</v>
      </c>
      <c r="X11543" s="42">
        <v>28320</v>
      </c>
    </row>
    <row r="11544" spans="1:24">
      <c r="A11544" s="27" t="s">
        <v>20894</v>
      </c>
      <c r="B11544" s="28" t="s">
        <v>19918</v>
      </c>
      <c r="C11544" s="27" t="s">
        <v>20895</v>
      </c>
      <c r="D11544" s="27" t="s">
        <v>17578</v>
      </c>
      <c r="E11544" s="29">
        <v>37287</v>
      </c>
      <c r="F11544" s="27">
        <v>8</v>
      </c>
      <c r="G11544" s="18">
        <v>2089.7399999999998</v>
      </c>
      <c r="H11544" s="27">
        <f t="shared" si="360"/>
        <v>2089.7399999999998</v>
      </c>
      <c r="I11544" s="18">
        <v>2089.7399999999998</v>
      </c>
      <c r="J11544" s="27">
        <v>2089.7399999999998</v>
      </c>
      <c r="K11544" s="18">
        <f t="shared" si="361"/>
        <v>2089.7399999999998</v>
      </c>
      <c r="L11544" s="27">
        <v>2089.7399999999998</v>
      </c>
      <c r="M11544" s="36">
        <v>0</v>
      </c>
      <c r="T11544" s="41">
        <v>0</v>
      </c>
      <c r="U11544" s="41">
        <v>0</v>
      </c>
      <c r="V11544" s="42" t="s">
        <v>113</v>
      </c>
      <c r="W11544" s="42">
        <v>2089.7399999999998</v>
      </c>
      <c r="X11544" s="42">
        <v>2089.7399999999998</v>
      </c>
    </row>
    <row r="11545" spans="1:24">
      <c r="A11545" s="27" t="s">
        <v>20896</v>
      </c>
      <c r="B11545" s="28" t="s">
        <v>19918</v>
      </c>
      <c r="C11545" s="27" t="s">
        <v>20897</v>
      </c>
      <c r="D11545" s="27" t="s">
        <v>17578</v>
      </c>
      <c r="E11545" s="29">
        <v>37287</v>
      </c>
      <c r="F11545" s="27">
        <v>8</v>
      </c>
      <c r="G11545" s="18">
        <v>28320</v>
      </c>
      <c r="H11545" s="27">
        <f t="shared" si="360"/>
        <v>28320</v>
      </c>
      <c r="I11545" s="18">
        <v>26904</v>
      </c>
      <c r="J11545" s="27">
        <v>28320</v>
      </c>
      <c r="K11545" s="18">
        <f t="shared" si="361"/>
        <v>28320</v>
      </c>
      <c r="L11545" s="27">
        <v>26904</v>
      </c>
      <c r="M11545" s="36">
        <v>0</v>
      </c>
      <c r="T11545" s="41">
        <v>0</v>
      </c>
      <c r="U11545" s="41">
        <v>0</v>
      </c>
      <c r="V11545" s="42" t="s">
        <v>113</v>
      </c>
      <c r="W11545" s="42">
        <v>28320</v>
      </c>
      <c r="X11545" s="42">
        <v>28320</v>
      </c>
    </row>
    <row r="11546" spans="1:24">
      <c r="A11546" s="27" t="s">
        <v>20898</v>
      </c>
      <c r="B11546" s="28" t="s">
        <v>19918</v>
      </c>
      <c r="C11546" s="27" t="s">
        <v>20899</v>
      </c>
      <c r="D11546" s="27" t="s">
        <v>17578</v>
      </c>
      <c r="E11546" s="29">
        <v>37287</v>
      </c>
      <c r="F11546" s="27">
        <v>8</v>
      </c>
      <c r="G11546" s="18">
        <v>28320</v>
      </c>
      <c r="H11546" s="27">
        <f t="shared" si="360"/>
        <v>28320</v>
      </c>
      <c r="I11546" s="18">
        <v>26904</v>
      </c>
      <c r="J11546" s="27">
        <v>28320</v>
      </c>
      <c r="K11546" s="18">
        <f t="shared" si="361"/>
        <v>28320</v>
      </c>
      <c r="L11546" s="27">
        <v>26904</v>
      </c>
      <c r="M11546" s="36">
        <v>0</v>
      </c>
      <c r="T11546" s="41">
        <v>0</v>
      </c>
      <c r="U11546" s="41">
        <v>0</v>
      </c>
      <c r="V11546" s="42" t="s">
        <v>113</v>
      </c>
      <c r="W11546" s="42">
        <v>28320</v>
      </c>
      <c r="X11546" s="42">
        <v>28320</v>
      </c>
    </row>
    <row r="11547" spans="1:24">
      <c r="A11547" s="27" t="s">
        <v>20900</v>
      </c>
      <c r="B11547" s="28" t="s">
        <v>19918</v>
      </c>
      <c r="C11547" s="27" t="s">
        <v>20901</v>
      </c>
      <c r="D11547" s="27" t="s">
        <v>17578</v>
      </c>
      <c r="E11547" s="29">
        <v>37287</v>
      </c>
      <c r="F11547" s="27">
        <v>8</v>
      </c>
      <c r="G11547" s="18">
        <v>28320</v>
      </c>
      <c r="H11547" s="27">
        <f t="shared" si="360"/>
        <v>28320</v>
      </c>
      <c r="I11547" s="18">
        <v>26904</v>
      </c>
      <c r="J11547" s="27">
        <v>28320</v>
      </c>
      <c r="K11547" s="18">
        <f t="shared" si="361"/>
        <v>28320</v>
      </c>
      <c r="L11547" s="27">
        <v>26904</v>
      </c>
      <c r="M11547" s="36">
        <v>0</v>
      </c>
      <c r="T11547" s="41">
        <v>0</v>
      </c>
      <c r="U11547" s="41">
        <v>0</v>
      </c>
      <c r="V11547" s="42" t="s">
        <v>113</v>
      </c>
      <c r="W11547" s="42">
        <v>28320</v>
      </c>
      <c r="X11547" s="42">
        <v>28320</v>
      </c>
    </row>
    <row r="11548" spans="1:24">
      <c r="A11548" s="27" t="s">
        <v>20902</v>
      </c>
      <c r="B11548" s="28" t="s">
        <v>19918</v>
      </c>
      <c r="C11548" s="27" t="s">
        <v>20903</v>
      </c>
      <c r="D11548" s="27" t="s">
        <v>17578</v>
      </c>
      <c r="E11548" s="29">
        <v>37287</v>
      </c>
      <c r="F11548" s="27">
        <v>8</v>
      </c>
      <c r="G11548" s="18">
        <v>28320</v>
      </c>
      <c r="H11548" s="27">
        <f t="shared" si="360"/>
        <v>28320</v>
      </c>
      <c r="I11548" s="18">
        <v>26904</v>
      </c>
      <c r="J11548" s="27">
        <v>28320</v>
      </c>
      <c r="K11548" s="18">
        <f t="shared" si="361"/>
        <v>28320</v>
      </c>
      <c r="L11548" s="27">
        <v>26904</v>
      </c>
      <c r="M11548" s="36">
        <v>0</v>
      </c>
      <c r="T11548" s="41">
        <v>0</v>
      </c>
      <c r="U11548" s="41">
        <v>0</v>
      </c>
      <c r="V11548" s="42" t="s">
        <v>113</v>
      </c>
      <c r="W11548" s="42">
        <v>28320</v>
      </c>
      <c r="X11548" s="42">
        <v>28320</v>
      </c>
    </row>
    <row r="11549" spans="1:24">
      <c r="A11549" s="27" t="s">
        <v>20904</v>
      </c>
      <c r="B11549" s="28" t="s">
        <v>19918</v>
      </c>
      <c r="C11549" s="27" t="s">
        <v>20905</v>
      </c>
      <c r="D11549" s="27" t="s">
        <v>17578</v>
      </c>
      <c r="E11549" s="29">
        <v>37287</v>
      </c>
      <c r="F11549" s="27">
        <v>8</v>
      </c>
      <c r="G11549" s="18">
        <v>28320</v>
      </c>
      <c r="H11549" s="27">
        <f t="shared" si="360"/>
        <v>28320</v>
      </c>
      <c r="I11549" s="18">
        <v>26904</v>
      </c>
      <c r="J11549" s="27">
        <v>28320</v>
      </c>
      <c r="K11549" s="18">
        <f t="shared" si="361"/>
        <v>28320</v>
      </c>
      <c r="L11549" s="27">
        <v>26904</v>
      </c>
      <c r="M11549" s="36">
        <v>0</v>
      </c>
      <c r="T11549" s="41">
        <v>0</v>
      </c>
      <c r="U11549" s="41">
        <v>0</v>
      </c>
      <c r="V11549" s="42" t="s">
        <v>113</v>
      </c>
      <c r="W11549" s="42">
        <v>28320</v>
      </c>
      <c r="X11549" s="42">
        <v>28320</v>
      </c>
    </row>
    <row r="11550" spans="1:24">
      <c r="A11550" s="27" t="s">
        <v>20906</v>
      </c>
      <c r="B11550" s="28" t="s">
        <v>19918</v>
      </c>
      <c r="C11550" s="27" t="s">
        <v>20907</v>
      </c>
      <c r="D11550" s="27" t="s">
        <v>17578</v>
      </c>
      <c r="E11550" s="29">
        <v>37287</v>
      </c>
      <c r="F11550" s="27">
        <v>8</v>
      </c>
      <c r="G11550" s="18">
        <v>2088.7399999999998</v>
      </c>
      <c r="H11550" s="27">
        <f t="shared" si="360"/>
        <v>2088.7399999999998</v>
      </c>
      <c r="I11550" s="18">
        <v>2088.7399999999998</v>
      </c>
      <c r="J11550" s="27">
        <v>2088.7399999999998</v>
      </c>
      <c r="K11550" s="18">
        <f t="shared" si="361"/>
        <v>2088.7399999999998</v>
      </c>
      <c r="L11550" s="27">
        <v>2088.7399999999998</v>
      </c>
      <c r="M11550" s="36">
        <v>0</v>
      </c>
      <c r="T11550" s="41">
        <v>0</v>
      </c>
      <c r="U11550" s="41">
        <v>0</v>
      </c>
      <c r="V11550" s="42" t="s">
        <v>113</v>
      </c>
      <c r="W11550" s="42">
        <v>2088.7399999999998</v>
      </c>
      <c r="X11550" s="42">
        <v>2088.7399999999998</v>
      </c>
    </row>
    <row r="11551" spans="1:24">
      <c r="A11551" s="27" t="s">
        <v>20908</v>
      </c>
      <c r="B11551" s="28" t="s">
        <v>19918</v>
      </c>
      <c r="C11551" s="27" t="s">
        <v>20909</v>
      </c>
      <c r="D11551" s="27" t="s">
        <v>17578</v>
      </c>
      <c r="E11551" s="29">
        <v>42369</v>
      </c>
      <c r="F11551" s="27">
        <v>8</v>
      </c>
      <c r="G11551" s="18">
        <v>100427.5</v>
      </c>
      <c r="H11551" s="27">
        <f t="shared" si="360"/>
        <v>0</v>
      </c>
      <c r="I11551" s="18">
        <v>36153.9</v>
      </c>
      <c r="J11551" s="27">
        <v>100427.5</v>
      </c>
      <c r="K11551" s="18">
        <f t="shared" si="361"/>
        <v>0</v>
      </c>
      <c r="L11551" s="27">
        <v>48205.2</v>
      </c>
      <c r="M11551" s="36">
        <v>12051.3</v>
      </c>
      <c r="T11551" s="41">
        <v>0</v>
      </c>
      <c r="U11551" s="41">
        <v>0</v>
      </c>
      <c r="V11551" s="42" t="s">
        <v>113</v>
      </c>
      <c r="W11551" s="42">
        <v>0</v>
      </c>
      <c r="X11551" s="42">
        <v>0</v>
      </c>
    </row>
    <row r="11552" spans="1:24">
      <c r="A11552" s="27" t="s">
        <v>20910</v>
      </c>
      <c r="B11552" s="28" t="s">
        <v>19918</v>
      </c>
      <c r="C11552" s="27" t="s">
        <v>20911</v>
      </c>
      <c r="D11552" s="27" t="s">
        <v>17578</v>
      </c>
      <c r="E11552" s="29">
        <v>42369</v>
      </c>
      <c r="F11552" s="27">
        <v>8</v>
      </c>
      <c r="G11552" s="18">
        <v>373607.58</v>
      </c>
      <c r="H11552" s="27">
        <f t="shared" si="360"/>
        <v>0</v>
      </c>
      <c r="I11552" s="18">
        <v>134498.73000000001</v>
      </c>
      <c r="J11552" s="27">
        <v>373607.58</v>
      </c>
      <c r="K11552" s="18">
        <f t="shared" si="361"/>
        <v>0</v>
      </c>
      <c r="L11552" s="27">
        <v>179331.64</v>
      </c>
      <c r="M11552" s="36">
        <v>44832.91</v>
      </c>
      <c r="T11552" s="41">
        <v>0</v>
      </c>
      <c r="U11552" s="41">
        <v>0</v>
      </c>
      <c r="V11552" s="42" t="s">
        <v>113</v>
      </c>
      <c r="W11552" s="42">
        <v>0</v>
      </c>
      <c r="X11552" s="42">
        <v>0</v>
      </c>
    </row>
    <row r="11553" spans="1:24">
      <c r="A11553" s="27" t="s">
        <v>20912</v>
      </c>
      <c r="B11553" s="28" t="s">
        <v>19918</v>
      </c>
      <c r="C11553" s="27" t="s">
        <v>20913</v>
      </c>
      <c r="D11553" s="27" t="s">
        <v>17578</v>
      </c>
      <c r="E11553" s="29">
        <v>40169</v>
      </c>
      <c r="F11553" s="27">
        <v>8</v>
      </c>
      <c r="G11553" s="18">
        <v>61467.02</v>
      </c>
      <c r="H11553" s="27">
        <f t="shared" si="360"/>
        <v>61467.02</v>
      </c>
      <c r="I11553" s="18">
        <v>58393.67</v>
      </c>
      <c r="J11553" s="27">
        <v>61467.02</v>
      </c>
      <c r="K11553" s="18">
        <f t="shared" si="361"/>
        <v>61467.02</v>
      </c>
      <c r="L11553" s="27">
        <v>58393.67</v>
      </c>
      <c r="M11553" s="36">
        <v>0</v>
      </c>
      <c r="T11553" s="41">
        <v>0</v>
      </c>
      <c r="U11553" s="41">
        <v>0</v>
      </c>
      <c r="V11553" s="42" t="s">
        <v>113</v>
      </c>
      <c r="W11553" s="42">
        <v>61467.02</v>
      </c>
      <c r="X11553" s="42">
        <v>61467.02</v>
      </c>
    </row>
    <row r="11554" spans="1:24">
      <c r="A11554" s="27" t="s">
        <v>20914</v>
      </c>
      <c r="B11554" s="28" t="s">
        <v>19918</v>
      </c>
      <c r="C11554" s="27" t="s">
        <v>20915</v>
      </c>
      <c r="D11554" s="27" t="s">
        <v>17578</v>
      </c>
      <c r="E11554" s="29">
        <v>42488</v>
      </c>
      <c r="F11554" s="27">
        <v>8</v>
      </c>
      <c r="G11554" s="18">
        <v>19204.46</v>
      </c>
      <c r="H11554" s="27">
        <f t="shared" si="360"/>
        <v>0</v>
      </c>
      <c r="I11554" s="18">
        <v>6081.41</v>
      </c>
      <c r="J11554" s="27">
        <v>19204.46</v>
      </c>
      <c r="K11554" s="18">
        <f t="shared" si="361"/>
        <v>0</v>
      </c>
      <c r="L11554" s="27">
        <v>8361.94</v>
      </c>
      <c r="M11554" s="36">
        <v>2280.5300000000002</v>
      </c>
      <c r="T11554" s="41">
        <v>0</v>
      </c>
      <c r="U11554" s="41">
        <v>0</v>
      </c>
      <c r="V11554" s="42" t="s">
        <v>113</v>
      </c>
      <c r="W11554" s="42">
        <v>0</v>
      </c>
      <c r="X11554" s="42">
        <v>0</v>
      </c>
    </row>
    <row r="11555" spans="1:24">
      <c r="A11555" s="27" t="s">
        <v>20916</v>
      </c>
      <c r="B11555" s="28" t="s">
        <v>19918</v>
      </c>
      <c r="C11555" s="27" t="s">
        <v>20915</v>
      </c>
      <c r="D11555" s="27" t="s">
        <v>17578</v>
      </c>
      <c r="E11555" s="29">
        <v>42488</v>
      </c>
      <c r="F11555" s="27">
        <v>8</v>
      </c>
      <c r="G11555" s="18">
        <v>157318.74</v>
      </c>
      <c r="H11555" s="27">
        <f t="shared" si="360"/>
        <v>0</v>
      </c>
      <c r="I11555" s="18">
        <v>49817.599999999999</v>
      </c>
      <c r="J11555" s="27">
        <v>157318.74</v>
      </c>
      <c r="K11555" s="18">
        <f t="shared" si="361"/>
        <v>0</v>
      </c>
      <c r="L11555" s="27">
        <v>68499.199999999997</v>
      </c>
      <c r="M11555" s="36">
        <v>18681.599999999999</v>
      </c>
      <c r="T11555" s="41">
        <v>0</v>
      </c>
      <c r="U11555" s="41">
        <v>0</v>
      </c>
      <c r="V11555" s="42" t="s">
        <v>113</v>
      </c>
      <c r="W11555" s="42">
        <v>0</v>
      </c>
      <c r="X11555" s="42">
        <v>0</v>
      </c>
    </row>
    <row r="11556" spans="1:24">
      <c r="A11556" s="27" t="s">
        <v>20917</v>
      </c>
      <c r="B11556" s="28" t="s">
        <v>19918</v>
      </c>
      <c r="C11556" s="27" t="s">
        <v>20918</v>
      </c>
      <c r="D11556" s="27" t="s">
        <v>17578</v>
      </c>
      <c r="E11556" s="29">
        <v>37591</v>
      </c>
      <c r="F11556" s="27">
        <v>8</v>
      </c>
      <c r="G11556" s="18">
        <v>22743.98</v>
      </c>
      <c r="H11556" s="27">
        <f t="shared" si="360"/>
        <v>22743.98</v>
      </c>
      <c r="I11556" s="18">
        <v>21606.78</v>
      </c>
      <c r="J11556" s="27">
        <v>22743.98</v>
      </c>
      <c r="K11556" s="18">
        <f t="shared" si="361"/>
        <v>22743.98</v>
      </c>
      <c r="L11556" s="27">
        <v>21606.78</v>
      </c>
      <c r="M11556" s="36">
        <v>0</v>
      </c>
      <c r="T11556" s="41">
        <v>0</v>
      </c>
      <c r="U11556" s="41">
        <v>0</v>
      </c>
      <c r="V11556" s="42" t="s">
        <v>113</v>
      </c>
      <c r="W11556" s="42">
        <v>22743.98</v>
      </c>
      <c r="X11556" s="42">
        <v>22743.98</v>
      </c>
    </row>
    <row r="11557" spans="1:24">
      <c r="A11557" s="27" t="s">
        <v>20919</v>
      </c>
      <c r="B11557" s="28" t="s">
        <v>19918</v>
      </c>
      <c r="C11557" s="27" t="s">
        <v>20920</v>
      </c>
      <c r="D11557" s="27" t="s">
        <v>17578</v>
      </c>
      <c r="E11557" s="29">
        <v>37591</v>
      </c>
      <c r="F11557" s="27">
        <v>8</v>
      </c>
      <c r="G11557" s="18">
        <v>41544.71</v>
      </c>
      <c r="H11557" s="27">
        <f t="shared" si="360"/>
        <v>41544.71</v>
      </c>
      <c r="I11557" s="18">
        <v>39467.47</v>
      </c>
      <c r="J11557" s="27">
        <v>41544.71</v>
      </c>
      <c r="K11557" s="18">
        <f t="shared" si="361"/>
        <v>41544.71</v>
      </c>
      <c r="L11557" s="27">
        <v>39467.47</v>
      </c>
      <c r="M11557" s="36">
        <v>0</v>
      </c>
      <c r="T11557" s="41">
        <v>0</v>
      </c>
      <c r="U11557" s="41">
        <v>0</v>
      </c>
      <c r="V11557" s="42" t="s">
        <v>113</v>
      </c>
      <c r="W11557" s="42">
        <v>41544.71</v>
      </c>
      <c r="X11557" s="42">
        <v>41544.71</v>
      </c>
    </row>
    <row r="11558" spans="1:24">
      <c r="A11558" s="27" t="s">
        <v>20921</v>
      </c>
      <c r="B11558" s="28" t="s">
        <v>19918</v>
      </c>
      <c r="C11558" s="27" t="s">
        <v>20922</v>
      </c>
      <c r="D11558" s="27" t="s">
        <v>17578</v>
      </c>
      <c r="E11558" s="29">
        <v>37591</v>
      </c>
      <c r="F11558" s="27">
        <v>8</v>
      </c>
      <c r="G11558" s="18">
        <v>25545.02</v>
      </c>
      <c r="H11558" s="27">
        <f t="shared" si="360"/>
        <v>25545.02</v>
      </c>
      <c r="I11558" s="18">
        <v>24267.77</v>
      </c>
      <c r="J11558" s="27">
        <v>25545.02</v>
      </c>
      <c r="K11558" s="18">
        <f t="shared" si="361"/>
        <v>25545.02</v>
      </c>
      <c r="L11558" s="27">
        <v>24267.77</v>
      </c>
      <c r="M11558" s="36">
        <v>0</v>
      </c>
      <c r="T11558" s="41">
        <v>0</v>
      </c>
      <c r="U11558" s="41">
        <v>0</v>
      </c>
      <c r="V11558" s="42" t="s">
        <v>113</v>
      </c>
      <c r="W11558" s="42">
        <v>25545.02</v>
      </c>
      <c r="X11558" s="42">
        <v>25545.02</v>
      </c>
    </row>
    <row r="11559" spans="1:24">
      <c r="A11559" s="27" t="s">
        <v>20923</v>
      </c>
      <c r="B11559" s="28" t="s">
        <v>19918</v>
      </c>
      <c r="C11559" s="27" t="s">
        <v>20924</v>
      </c>
      <c r="D11559" s="27" t="s">
        <v>17578</v>
      </c>
      <c r="E11559" s="29">
        <v>40169</v>
      </c>
      <c r="F11559" s="27">
        <v>8</v>
      </c>
      <c r="G11559" s="18">
        <v>166600</v>
      </c>
      <c r="H11559" s="27">
        <f t="shared" si="360"/>
        <v>166600</v>
      </c>
      <c r="I11559" s="18">
        <v>158270</v>
      </c>
      <c r="J11559" s="27">
        <v>166600</v>
      </c>
      <c r="K11559" s="18">
        <f t="shared" si="361"/>
        <v>166600</v>
      </c>
      <c r="L11559" s="27">
        <v>158270</v>
      </c>
      <c r="M11559" s="36">
        <v>0</v>
      </c>
      <c r="T11559" s="41">
        <v>0</v>
      </c>
      <c r="U11559" s="41">
        <v>0</v>
      </c>
      <c r="V11559" s="42" t="s">
        <v>113</v>
      </c>
      <c r="W11559" s="42">
        <v>166600</v>
      </c>
      <c r="X11559" s="42">
        <v>166600</v>
      </c>
    </row>
    <row r="11560" spans="1:24">
      <c r="A11560" s="27" t="s">
        <v>20925</v>
      </c>
      <c r="B11560" s="28" t="s">
        <v>19918</v>
      </c>
      <c r="C11560" s="27" t="s">
        <v>20918</v>
      </c>
      <c r="D11560" s="27" t="s">
        <v>17578</v>
      </c>
      <c r="E11560" s="29">
        <v>40169</v>
      </c>
      <c r="F11560" s="27">
        <v>8</v>
      </c>
      <c r="G11560" s="18">
        <v>56343.32</v>
      </c>
      <c r="H11560" s="27">
        <f t="shared" si="360"/>
        <v>56343.32</v>
      </c>
      <c r="I11560" s="18">
        <v>53526.15</v>
      </c>
      <c r="J11560" s="27">
        <v>56343.32</v>
      </c>
      <c r="K11560" s="18">
        <f t="shared" si="361"/>
        <v>56343.32</v>
      </c>
      <c r="L11560" s="27">
        <v>53526.15</v>
      </c>
      <c r="M11560" s="36">
        <v>0</v>
      </c>
      <c r="T11560" s="41">
        <v>0</v>
      </c>
      <c r="U11560" s="41">
        <v>0</v>
      </c>
      <c r="V11560" s="42" t="s">
        <v>113</v>
      </c>
      <c r="W11560" s="42">
        <v>56343.32</v>
      </c>
      <c r="X11560" s="42">
        <v>56343.32</v>
      </c>
    </row>
    <row r="11561" spans="1:24">
      <c r="A11561" s="27" t="s">
        <v>20926</v>
      </c>
      <c r="B11561" s="28" t="s">
        <v>19918</v>
      </c>
      <c r="C11561" s="27" t="s">
        <v>20927</v>
      </c>
      <c r="D11561" s="27" t="s">
        <v>17578</v>
      </c>
      <c r="E11561" s="29">
        <v>37226</v>
      </c>
      <c r="F11561" s="27">
        <v>8</v>
      </c>
      <c r="G11561" s="18">
        <v>7080.59</v>
      </c>
      <c r="H11561" s="27">
        <f t="shared" si="360"/>
        <v>7080.59</v>
      </c>
      <c r="I11561" s="18">
        <v>6726.56</v>
      </c>
      <c r="J11561" s="27">
        <v>7080.59</v>
      </c>
      <c r="K11561" s="18">
        <f t="shared" si="361"/>
        <v>7080.59</v>
      </c>
      <c r="L11561" s="27">
        <v>6726.56</v>
      </c>
      <c r="M11561" s="36">
        <v>0</v>
      </c>
      <c r="T11561" s="41">
        <v>0</v>
      </c>
      <c r="U11561" s="41">
        <v>0</v>
      </c>
      <c r="V11561" s="42" t="s">
        <v>113</v>
      </c>
      <c r="W11561" s="42">
        <v>7080.59</v>
      </c>
      <c r="X11561" s="42">
        <v>7080.59</v>
      </c>
    </row>
    <row r="11562" spans="1:24">
      <c r="A11562" s="27" t="s">
        <v>20928</v>
      </c>
      <c r="B11562" s="28" t="s">
        <v>19918</v>
      </c>
      <c r="C11562" s="27" t="s">
        <v>20929</v>
      </c>
      <c r="D11562" s="27" t="s">
        <v>17578</v>
      </c>
      <c r="E11562" s="29">
        <v>38534</v>
      </c>
      <c r="F11562" s="27">
        <v>8</v>
      </c>
      <c r="G11562" s="18">
        <v>20672.349999999999</v>
      </c>
      <c r="H11562" s="27">
        <f t="shared" si="360"/>
        <v>20672.349999999999</v>
      </c>
      <c r="I11562" s="18">
        <v>19638.73</v>
      </c>
      <c r="J11562" s="27">
        <v>20672.349999999999</v>
      </c>
      <c r="K11562" s="18">
        <f t="shared" si="361"/>
        <v>20672.349999999999</v>
      </c>
      <c r="L11562" s="27">
        <v>19638.73</v>
      </c>
      <c r="M11562" s="36">
        <v>0</v>
      </c>
      <c r="T11562" s="41">
        <v>0</v>
      </c>
      <c r="U11562" s="41">
        <v>0</v>
      </c>
      <c r="V11562" s="42" t="s">
        <v>113</v>
      </c>
      <c r="W11562" s="42">
        <v>20672.349999999999</v>
      </c>
      <c r="X11562" s="42">
        <v>20672.349999999999</v>
      </c>
    </row>
    <row r="11563" spans="1:24">
      <c r="A11563" s="27" t="s">
        <v>20930</v>
      </c>
      <c r="B11563" s="28" t="s">
        <v>19918</v>
      </c>
      <c r="C11563" s="27" t="s">
        <v>20920</v>
      </c>
      <c r="D11563" s="27" t="s">
        <v>17578</v>
      </c>
      <c r="E11563" s="29">
        <v>40169</v>
      </c>
      <c r="F11563" s="27">
        <v>8</v>
      </c>
      <c r="G11563" s="18">
        <v>56343.32</v>
      </c>
      <c r="H11563" s="27">
        <f t="shared" si="360"/>
        <v>56343.32</v>
      </c>
      <c r="I11563" s="18">
        <v>53526.15</v>
      </c>
      <c r="J11563" s="27">
        <v>56343.32</v>
      </c>
      <c r="K11563" s="18">
        <f t="shared" si="361"/>
        <v>56343.32</v>
      </c>
      <c r="L11563" s="27">
        <v>53526.15</v>
      </c>
      <c r="M11563" s="36">
        <v>0</v>
      </c>
      <c r="T11563" s="41">
        <v>0</v>
      </c>
      <c r="U11563" s="41">
        <v>0</v>
      </c>
      <c r="V11563" s="42" t="s">
        <v>113</v>
      </c>
      <c r="W11563" s="42">
        <v>56343.32</v>
      </c>
      <c r="X11563" s="42">
        <v>56343.32</v>
      </c>
    </row>
    <row r="11564" spans="1:24">
      <c r="A11564" s="27" t="s">
        <v>20931</v>
      </c>
      <c r="B11564" s="28" t="s">
        <v>19918</v>
      </c>
      <c r="C11564" s="27" t="s">
        <v>20932</v>
      </c>
      <c r="D11564" s="27" t="s">
        <v>17578</v>
      </c>
      <c r="E11564" s="29">
        <v>37226</v>
      </c>
      <c r="F11564" s="27">
        <v>8</v>
      </c>
      <c r="G11564" s="18">
        <v>35329.75</v>
      </c>
      <c r="H11564" s="27">
        <f t="shared" si="360"/>
        <v>35329.75</v>
      </c>
      <c r="I11564" s="18">
        <v>33563.26</v>
      </c>
      <c r="J11564" s="27">
        <v>35329.75</v>
      </c>
      <c r="K11564" s="18">
        <f t="shared" si="361"/>
        <v>35329.75</v>
      </c>
      <c r="L11564" s="27">
        <v>33563.26</v>
      </c>
      <c r="M11564" s="36">
        <v>0</v>
      </c>
      <c r="T11564" s="41">
        <v>0</v>
      </c>
      <c r="U11564" s="41">
        <v>0</v>
      </c>
      <c r="V11564" s="42" t="s">
        <v>113</v>
      </c>
      <c r="W11564" s="42">
        <v>35329.75</v>
      </c>
      <c r="X11564" s="42">
        <v>35329.75</v>
      </c>
    </row>
    <row r="11565" spans="1:24">
      <c r="A11565" s="27" t="s">
        <v>20933</v>
      </c>
      <c r="B11565" s="28" t="s">
        <v>19918</v>
      </c>
      <c r="C11565" s="27" t="s">
        <v>20934</v>
      </c>
      <c r="D11565" s="27" t="s">
        <v>17578</v>
      </c>
      <c r="E11565" s="29">
        <v>37226</v>
      </c>
      <c r="F11565" s="27">
        <v>8</v>
      </c>
      <c r="G11565" s="18">
        <v>94956.67</v>
      </c>
      <c r="H11565" s="27">
        <f t="shared" si="360"/>
        <v>94956.67</v>
      </c>
      <c r="I11565" s="18">
        <v>90208.84</v>
      </c>
      <c r="J11565" s="27">
        <v>94956.67</v>
      </c>
      <c r="K11565" s="18">
        <f t="shared" si="361"/>
        <v>94956.67</v>
      </c>
      <c r="L11565" s="27">
        <v>90208.84</v>
      </c>
      <c r="M11565" s="36">
        <v>0</v>
      </c>
      <c r="T11565" s="41">
        <v>0</v>
      </c>
      <c r="U11565" s="41">
        <v>0</v>
      </c>
      <c r="V11565" s="42" t="s">
        <v>113</v>
      </c>
      <c r="W11565" s="42">
        <v>94956.67</v>
      </c>
      <c r="X11565" s="42">
        <v>94956.67</v>
      </c>
    </row>
    <row r="11566" spans="1:24">
      <c r="A11566" s="27" t="s">
        <v>20935</v>
      </c>
      <c r="B11566" s="28" t="s">
        <v>19918</v>
      </c>
      <c r="C11566" s="27" t="s">
        <v>20936</v>
      </c>
      <c r="D11566" s="27" t="s">
        <v>17578</v>
      </c>
      <c r="E11566" s="29">
        <v>38534</v>
      </c>
      <c r="F11566" s="27">
        <v>8</v>
      </c>
      <c r="G11566" s="18">
        <v>88452.59</v>
      </c>
      <c r="H11566" s="27">
        <f t="shared" si="360"/>
        <v>88452.59</v>
      </c>
      <c r="I11566" s="18">
        <v>84029.96</v>
      </c>
      <c r="J11566" s="27">
        <v>88452.59</v>
      </c>
      <c r="K11566" s="18">
        <f t="shared" si="361"/>
        <v>88452.59</v>
      </c>
      <c r="L11566" s="27">
        <v>84029.96</v>
      </c>
      <c r="M11566" s="36">
        <v>0</v>
      </c>
      <c r="T11566" s="41">
        <v>0</v>
      </c>
      <c r="U11566" s="41">
        <v>0</v>
      </c>
      <c r="V11566" s="42" t="s">
        <v>113</v>
      </c>
      <c r="W11566" s="42">
        <v>88452.59</v>
      </c>
      <c r="X11566" s="42">
        <v>88452.59</v>
      </c>
    </row>
    <row r="11567" spans="1:24">
      <c r="A11567" s="27" t="s">
        <v>20937</v>
      </c>
      <c r="B11567" s="28" t="s">
        <v>19918</v>
      </c>
      <c r="C11567" s="27" t="s">
        <v>20938</v>
      </c>
      <c r="D11567" s="27" t="s">
        <v>17578</v>
      </c>
      <c r="E11567" s="29">
        <v>37591</v>
      </c>
      <c r="F11567" s="27">
        <v>8</v>
      </c>
      <c r="G11567" s="18">
        <v>7799.2</v>
      </c>
      <c r="H11567" s="27">
        <f t="shared" si="360"/>
        <v>7799.2</v>
      </c>
      <c r="I11567" s="18">
        <v>7409.24</v>
      </c>
      <c r="J11567" s="27">
        <v>7799.2</v>
      </c>
      <c r="K11567" s="18">
        <f t="shared" si="361"/>
        <v>7799.2</v>
      </c>
      <c r="L11567" s="27">
        <v>7409.24</v>
      </c>
      <c r="M11567" s="36">
        <v>0</v>
      </c>
      <c r="T11567" s="41">
        <v>0</v>
      </c>
      <c r="U11567" s="41">
        <v>0</v>
      </c>
      <c r="V11567" s="42" t="s">
        <v>113</v>
      </c>
      <c r="W11567" s="42">
        <v>7799.2</v>
      </c>
      <c r="X11567" s="42">
        <v>7799.2</v>
      </c>
    </row>
    <row r="11568" spans="1:24">
      <c r="A11568" s="27" t="s">
        <v>20939</v>
      </c>
      <c r="B11568" s="28" t="s">
        <v>19918</v>
      </c>
      <c r="C11568" s="27" t="s">
        <v>20922</v>
      </c>
      <c r="D11568" s="27" t="s">
        <v>17578</v>
      </c>
      <c r="E11568" s="29">
        <v>40169</v>
      </c>
      <c r="F11568" s="27">
        <v>8</v>
      </c>
      <c r="G11568" s="18">
        <v>56343.32</v>
      </c>
      <c r="H11568" s="27">
        <f t="shared" si="360"/>
        <v>56343.32</v>
      </c>
      <c r="I11568" s="18">
        <v>53526.15</v>
      </c>
      <c r="J11568" s="27">
        <v>56343.32</v>
      </c>
      <c r="K11568" s="18">
        <f t="shared" si="361"/>
        <v>56343.32</v>
      </c>
      <c r="L11568" s="27">
        <v>53526.15</v>
      </c>
      <c r="M11568" s="36">
        <v>0</v>
      </c>
      <c r="T11568" s="41">
        <v>0</v>
      </c>
      <c r="U11568" s="41">
        <v>0</v>
      </c>
      <c r="V11568" s="42" t="s">
        <v>113</v>
      </c>
      <c r="W11568" s="42">
        <v>56343.32</v>
      </c>
      <c r="X11568" s="42">
        <v>56343.32</v>
      </c>
    </row>
    <row r="11569" spans="1:24">
      <c r="A11569" s="27" t="s">
        <v>20940</v>
      </c>
      <c r="B11569" s="28" t="s">
        <v>19918</v>
      </c>
      <c r="C11569" s="27" t="s">
        <v>20941</v>
      </c>
      <c r="D11569" s="27" t="s">
        <v>17578</v>
      </c>
      <c r="E11569" s="29">
        <v>35826</v>
      </c>
      <c r="F11569" s="27">
        <v>8</v>
      </c>
      <c r="G11569" s="18">
        <v>56343.32</v>
      </c>
      <c r="H11569" s="27">
        <f t="shared" si="360"/>
        <v>56343.32</v>
      </c>
      <c r="I11569" s="18">
        <v>53526.15</v>
      </c>
      <c r="J11569" s="27">
        <v>56343.32</v>
      </c>
      <c r="K11569" s="18">
        <f t="shared" si="361"/>
        <v>56343.32</v>
      </c>
      <c r="L11569" s="27">
        <v>53526.15</v>
      </c>
      <c r="M11569" s="36">
        <v>0</v>
      </c>
      <c r="T11569" s="41">
        <v>0</v>
      </c>
      <c r="U11569" s="41">
        <v>0</v>
      </c>
      <c r="V11569" s="42" t="s">
        <v>113</v>
      </c>
      <c r="W11569" s="42">
        <v>56343.32</v>
      </c>
      <c r="X11569" s="42">
        <v>56343.32</v>
      </c>
    </row>
    <row r="11570" spans="1:24">
      <c r="A11570" s="27" t="s">
        <v>20942</v>
      </c>
      <c r="B11570" s="28" t="s">
        <v>19918</v>
      </c>
      <c r="C11570" s="27" t="s">
        <v>20943</v>
      </c>
      <c r="D11570" s="27" t="s">
        <v>17578</v>
      </c>
      <c r="E11570" s="29">
        <v>37226</v>
      </c>
      <c r="F11570" s="27">
        <v>8</v>
      </c>
      <c r="G11570" s="18">
        <v>57219.34</v>
      </c>
      <c r="H11570" s="27">
        <f t="shared" si="360"/>
        <v>57219.34</v>
      </c>
      <c r="I11570" s="18">
        <v>54358.37</v>
      </c>
      <c r="J11570" s="27">
        <v>57219.34</v>
      </c>
      <c r="K11570" s="18">
        <f t="shared" si="361"/>
        <v>57219.34</v>
      </c>
      <c r="L11570" s="27">
        <v>54358.37</v>
      </c>
      <c r="M11570" s="36">
        <v>0</v>
      </c>
      <c r="T11570" s="41">
        <v>0</v>
      </c>
      <c r="U11570" s="41">
        <v>0</v>
      </c>
      <c r="V11570" s="42" t="s">
        <v>113</v>
      </c>
      <c r="W11570" s="42">
        <v>57219.34</v>
      </c>
      <c r="X11570" s="42">
        <v>57219.34</v>
      </c>
    </row>
    <row r="11571" spans="1:24">
      <c r="A11571" s="27" t="s">
        <v>20944</v>
      </c>
      <c r="B11571" s="28" t="s">
        <v>19918</v>
      </c>
      <c r="C11571" s="27" t="s">
        <v>20945</v>
      </c>
      <c r="D11571" s="27" t="s">
        <v>17578</v>
      </c>
      <c r="E11571" s="29">
        <v>40169</v>
      </c>
      <c r="F11571" s="27">
        <v>8</v>
      </c>
      <c r="G11571" s="18">
        <v>269918.45</v>
      </c>
      <c r="H11571" s="27">
        <f t="shared" si="360"/>
        <v>269918.45</v>
      </c>
      <c r="I11571" s="18">
        <v>256422.52</v>
      </c>
      <c r="J11571" s="27">
        <v>269918.45</v>
      </c>
      <c r="K11571" s="18">
        <f t="shared" si="361"/>
        <v>269918.45</v>
      </c>
      <c r="L11571" s="27">
        <v>256422.52</v>
      </c>
      <c r="M11571" s="36">
        <v>0</v>
      </c>
      <c r="T11571" s="41">
        <v>0</v>
      </c>
      <c r="U11571" s="41">
        <v>0</v>
      </c>
      <c r="V11571" s="42" t="s">
        <v>113</v>
      </c>
      <c r="W11571" s="42">
        <v>269918.45</v>
      </c>
      <c r="X11571" s="42">
        <v>269918.45</v>
      </c>
    </row>
    <row r="11572" spans="1:24">
      <c r="A11572" s="27" t="s">
        <v>20946</v>
      </c>
      <c r="B11572" s="28" t="s">
        <v>19918</v>
      </c>
      <c r="C11572" s="27" t="s">
        <v>20938</v>
      </c>
      <c r="D11572" s="27" t="s">
        <v>17578</v>
      </c>
      <c r="E11572" s="29">
        <v>40169</v>
      </c>
      <c r="F11572" s="27">
        <v>8</v>
      </c>
      <c r="G11572" s="18">
        <v>56343.42</v>
      </c>
      <c r="H11572" s="27">
        <f t="shared" si="360"/>
        <v>56343.42</v>
      </c>
      <c r="I11572" s="18">
        <v>53526.25</v>
      </c>
      <c r="J11572" s="27">
        <v>56343.42</v>
      </c>
      <c r="K11572" s="18">
        <f t="shared" si="361"/>
        <v>56343.42</v>
      </c>
      <c r="L11572" s="27">
        <v>53526.25</v>
      </c>
      <c r="M11572" s="36">
        <v>0</v>
      </c>
      <c r="T11572" s="41">
        <v>0</v>
      </c>
      <c r="U11572" s="41">
        <v>0</v>
      </c>
      <c r="V11572" s="42" t="s">
        <v>113</v>
      </c>
      <c r="W11572" s="42">
        <v>56343.42</v>
      </c>
      <c r="X11572" s="42">
        <v>56343.42</v>
      </c>
    </row>
    <row r="11573" spans="1:24">
      <c r="A11573" s="27" t="s">
        <v>20947</v>
      </c>
      <c r="B11573" s="28" t="s">
        <v>19918</v>
      </c>
      <c r="C11573" s="27" t="s">
        <v>20948</v>
      </c>
      <c r="D11573" s="27" t="s">
        <v>17578</v>
      </c>
      <c r="E11573" s="29">
        <v>38534</v>
      </c>
      <c r="F11573" s="27">
        <v>8</v>
      </c>
      <c r="G11573" s="18">
        <v>8770.09</v>
      </c>
      <c r="H11573" s="27">
        <f t="shared" si="360"/>
        <v>8770.09</v>
      </c>
      <c r="I11573" s="18">
        <v>8331.59</v>
      </c>
      <c r="J11573" s="27">
        <v>8770.09</v>
      </c>
      <c r="K11573" s="18">
        <f t="shared" si="361"/>
        <v>8770.09</v>
      </c>
      <c r="L11573" s="27">
        <v>8331.59</v>
      </c>
      <c r="M11573" s="36">
        <v>0</v>
      </c>
      <c r="T11573" s="41">
        <v>0</v>
      </c>
      <c r="U11573" s="41">
        <v>0</v>
      </c>
      <c r="V11573" s="42" t="s">
        <v>113</v>
      </c>
      <c r="W11573" s="42">
        <v>8770.09</v>
      </c>
      <c r="X11573" s="42">
        <v>8770.09</v>
      </c>
    </row>
    <row r="11574" spans="1:24">
      <c r="A11574" s="27" t="s">
        <v>20949</v>
      </c>
      <c r="B11574" s="28" t="s">
        <v>19918</v>
      </c>
      <c r="C11574" s="27" t="s">
        <v>20918</v>
      </c>
      <c r="D11574" s="27" t="s">
        <v>17578</v>
      </c>
      <c r="E11574" s="29">
        <v>39692</v>
      </c>
      <c r="F11574" s="27">
        <v>8</v>
      </c>
      <c r="G11574" s="18">
        <v>26371.68</v>
      </c>
      <c r="H11574" s="27">
        <f t="shared" si="360"/>
        <v>26371.68</v>
      </c>
      <c r="I11574" s="18">
        <v>25053.1</v>
      </c>
      <c r="J11574" s="27">
        <v>26371.68</v>
      </c>
      <c r="K11574" s="18">
        <f t="shared" si="361"/>
        <v>26371.68</v>
      </c>
      <c r="L11574" s="27">
        <v>25053.1</v>
      </c>
      <c r="M11574" s="36">
        <v>0</v>
      </c>
      <c r="T11574" s="41">
        <v>0</v>
      </c>
      <c r="U11574" s="41">
        <v>0</v>
      </c>
      <c r="V11574" s="42" t="s">
        <v>113</v>
      </c>
      <c r="W11574" s="42">
        <v>26371.68</v>
      </c>
      <c r="X11574" s="42">
        <v>26371.68</v>
      </c>
    </row>
    <row r="11575" spans="1:24">
      <c r="A11575" s="27" t="s">
        <v>20950</v>
      </c>
      <c r="B11575" s="28" t="s">
        <v>19918</v>
      </c>
      <c r="C11575" s="27" t="s">
        <v>20920</v>
      </c>
      <c r="D11575" s="27" t="s">
        <v>17578</v>
      </c>
      <c r="E11575" s="29">
        <v>39692</v>
      </c>
      <c r="F11575" s="27">
        <v>8</v>
      </c>
      <c r="G11575" s="18">
        <v>17589.91</v>
      </c>
      <c r="H11575" s="27">
        <f t="shared" si="360"/>
        <v>17589.91</v>
      </c>
      <c r="I11575" s="18">
        <v>16710.41</v>
      </c>
      <c r="J11575" s="27">
        <v>17589.91</v>
      </c>
      <c r="K11575" s="18">
        <f t="shared" si="361"/>
        <v>17589.91</v>
      </c>
      <c r="L11575" s="27">
        <v>16710.41</v>
      </c>
      <c r="M11575" s="36">
        <v>0</v>
      </c>
      <c r="T11575" s="41">
        <v>0</v>
      </c>
      <c r="U11575" s="41">
        <v>0</v>
      </c>
      <c r="V11575" s="42" t="s">
        <v>113</v>
      </c>
      <c r="W11575" s="42">
        <v>17589.91</v>
      </c>
      <c r="X11575" s="42">
        <v>17589.91</v>
      </c>
    </row>
    <row r="11576" spans="1:24">
      <c r="A11576" s="27" t="s">
        <v>20951</v>
      </c>
      <c r="B11576" s="28" t="s">
        <v>19918</v>
      </c>
      <c r="C11576" s="27" t="s">
        <v>20952</v>
      </c>
      <c r="D11576" s="27" t="s">
        <v>17578</v>
      </c>
      <c r="E11576" s="29">
        <v>40113</v>
      </c>
      <c r="F11576" s="27">
        <v>8</v>
      </c>
      <c r="G11576" s="18">
        <v>86704.44</v>
      </c>
      <c r="H11576" s="27">
        <f t="shared" si="360"/>
        <v>86704.44</v>
      </c>
      <c r="I11576" s="18">
        <v>82369.22</v>
      </c>
      <c r="J11576" s="27">
        <v>86704.44</v>
      </c>
      <c r="K11576" s="18">
        <f t="shared" si="361"/>
        <v>86704.44</v>
      </c>
      <c r="L11576" s="27">
        <v>82369.22</v>
      </c>
      <c r="M11576" s="36">
        <v>0</v>
      </c>
      <c r="T11576" s="41">
        <v>0</v>
      </c>
      <c r="U11576" s="41">
        <v>0</v>
      </c>
      <c r="V11576" s="42" t="s">
        <v>113</v>
      </c>
      <c r="W11576" s="42">
        <v>86704.44</v>
      </c>
      <c r="X11576" s="42">
        <v>86704.44</v>
      </c>
    </row>
    <row r="11577" spans="1:24">
      <c r="A11577" s="27" t="s">
        <v>20953</v>
      </c>
      <c r="B11577" s="28" t="s">
        <v>19918</v>
      </c>
      <c r="C11577" s="27" t="s">
        <v>20922</v>
      </c>
      <c r="D11577" s="27" t="s">
        <v>17578</v>
      </c>
      <c r="E11577" s="29">
        <v>38534</v>
      </c>
      <c r="F11577" s="27">
        <v>8</v>
      </c>
      <c r="G11577" s="18">
        <v>100347.19</v>
      </c>
      <c r="H11577" s="27">
        <f t="shared" si="360"/>
        <v>100347.19</v>
      </c>
      <c r="I11577" s="18">
        <v>95329.83</v>
      </c>
      <c r="J11577" s="27">
        <v>100347.19</v>
      </c>
      <c r="K11577" s="18">
        <f t="shared" si="361"/>
        <v>100347.19</v>
      </c>
      <c r="L11577" s="27">
        <v>95329.83</v>
      </c>
      <c r="M11577" s="36">
        <v>0</v>
      </c>
      <c r="T11577" s="41">
        <v>0</v>
      </c>
      <c r="U11577" s="41">
        <v>0</v>
      </c>
      <c r="V11577" s="42" t="s">
        <v>113</v>
      </c>
      <c r="W11577" s="42">
        <v>100347.19</v>
      </c>
      <c r="X11577" s="42">
        <v>100347.19</v>
      </c>
    </row>
    <row r="11578" spans="1:24">
      <c r="A11578" s="27" t="s">
        <v>20954</v>
      </c>
      <c r="B11578" s="28" t="s">
        <v>19918</v>
      </c>
      <c r="C11578" s="27" t="s">
        <v>20955</v>
      </c>
      <c r="D11578" s="27" t="s">
        <v>17578</v>
      </c>
      <c r="E11578" s="29">
        <v>40113</v>
      </c>
      <c r="F11578" s="27">
        <v>8</v>
      </c>
      <c r="G11578" s="18">
        <v>57154.2</v>
      </c>
      <c r="H11578" s="27">
        <f t="shared" si="360"/>
        <v>57154.2</v>
      </c>
      <c r="I11578" s="18">
        <v>54296.49</v>
      </c>
      <c r="J11578" s="27">
        <v>57154.2</v>
      </c>
      <c r="K11578" s="18">
        <f t="shared" si="361"/>
        <v>57154.2</v>
      </c>
      <c r="L11578" s="27">
        <v>54296.49</v>
      </c>
      <c r="M11578" s="36">
        <v>0</v>
      </c>
      <c r="T11578" s="41">
        <v>0</v>
      </c>
      <c r="U11578" s="41">
        <v>0</v>
      </c>
      <c r="V11578" s="42" t="s">
        <v>113</v>
      </c>
      <c r="W11578" s="42">
        <v>57154.2</v>
      </c>
      <c r="X11578" s="42">
        <v>57154.2</v>
      </c>
    </row>
    <row r="11579" spans="1:24">
      <c r="A11579" s="27" t="s">
        <v>20956</v>
      </c>
      <c r="B11579" s="28" t="s">
        <v>19918</v>
      </c>
      <c r="C11579" s="27" t="s">
        <v>20957</v>
      </c>
      <c r="D11579" s="27" t="s">
        <v>17578</v>
      </c>
      <c r="E11579" s="29">
        <v>38534</v>
      </c>
      <c r="F11579" s="27">
        <v>8</v>
      </c>
      <c r="G11579" s="18">
        <v>238045.21</v>
      </c>
      <c r="H11579" s="27">
        <f t="shared" si="360"/>
        <v>238045.21</v>
      </c>
      <c r="I11579" s="18">
        <v>226142.95</v>
      </c>
      <c r="J11579" s="27">
        <v>238045.21</v>
      </c>
      <c r="K11579" s="18">
        <f t="shared" si="361"/>
        <v>238045.21</v>
      </c>
      <c r="L11579" s="27">
        <v>226142.95</v>
      </c>
      <c r="M11579" s="36">
        <v>0</v>
      </c>
      <c r="T11579" s="41">
        <v>0</v>
      </c>
      <c r="U11579" s="41">
        <v>0</v>
      </c>
      <c r="V11579" s="42" t="s">
        <v>113</v>
      </c>
      <c r="W11579" s="42">
        <v>238045.21</v>
      </c>
      <c r="X11579" s="42">
        <v>238045.21</v>
      </c>
    </row>
    <row r="11580" spans="1:24">
      <c r="A11580" s="27" t="s">
        <v>20958</v>
      </c>
      <c r="B11580" s="28" t="s">
        <v>19918</v>
      </c>
      <c r="C11580" s="27" t="s">
        <v>20918</v>
      </c>
      <c r="D11580" s="27" t="s">
        <v>17578</v>
      </c>
      <c r="E11580" s="29">
        <v>38534</v>
      </c>
      <c r="F11580" s="27">
        <v>8</v>
      </c>
      <c r="G11580" s="18">
        <v>100347.19</v>
      </c>
      <c r="H11580" s="27">
        <f t="shared" si="360"/>
        <v>100347.19</v>
      </c>
      <c r="I11580" s="18">
        <v>95329.83</v>
      </c>
      <c r="J11580" s="27">
        <v>100347.19</v>
      </c>
      <c r="K11580" s="18">
        <f t="shared" si="361"/>
        <v>100347.19</v>
      </c>
      <c r="L11580" s="27">
        <v>95329.83</v>
      </c>
      <c r="M11580" s="36">
        <v>0</v>
      </c>
      <c r="T11580" s="41">
        <v>0</v>
      </c>
      <c r="U11580" s="41">
        <v>0</v>
      </c>
      <c r="V11580" s="42" t="s">
        <v>113</v>
      </c>
      <c r="W11580" s="42">
        <v>100347.19</v>
      </c>
      <c r="X11580" s="42">
        <v>100347.19</v>
      </c>
    </row>
    <row r="11581" spans="1:24">
      <c r="A11581" s="27" t="s">
        <v>20959</v>
      </c>
      <c r="B11581" s="28" t="s">
        <v>19918</v>
      </c>
      <c r="C11581" s="27" t="s">
        <v>20920</v>
      </c>
      <c r="D11581" s="27" t="s">
        <v>17578</v>
      </c>
      <c r="E11581" s="29">
        <v>38534</v>
      </c>
      <c r="F11581" s="27">
        <v>8</v>
      </c>
      <c r="G11581" s="18">
        <v>185424.69</v>
      </c>
      <c r="H11581" s="27">
        <f t="shared" si="360"/>
        <v>185424.69</v>
      </c>
      <c r="I11581" s="18">
        <v>176153.46</v>
      </c>
      <c r="J11581" s="27">
        <v>185424.69</v>
      </c>
      <c r="K11581" s="18">
        <f t="shared" si="361"/>
        <v>185424.69</v>
      </c>
      <c r="L11581" s="27">
        <v>176153.46</v>
      </c>
      <c r="M11581" s="36">
        <v>0</v>
      </c>
      <c r="T11581" s="41">
        <v>0</v>
      </c>
      <c r="U11581" s="41">
        <v>0</v>
      </c>
      <c r="V11581" s="42" t="s">
        <v>113</v>
      </c>
      <c r="W11581" s="42">
        <v>185424.69</v>
      </c>
      <c r="X11581" s="42">
        <v>185424.69</v>
      </c>
    </row>
    <row r="11582" spans="1:24">
      <c r="A11582" s="27" t="s">
        <v>20960</v>
      </c>
      <c r="B11582" s="28" t="s">
        <v>19918</v>
      </c>
      <c r="C11582" s="27" t="s">
        <v>20938</v>
      </c>
      <c r="D11582" s="27" t="s">
        <v>17578</v>
      </c>
      <c r="E11582" s="29">
        <v>38534</v>
      </c>
      <c r="F11582" s="27">
        <v>8</v>
      </c>
      <c r="G11582" s="18">
        <v>8770.09</v>
      </c>
      <c r="H11582" s="27">
        <f t="shared" si="360"/>
        <v>8770.09</v>
      </c>
      <c r="I11582" s="18">
        <v>8331.59</v>
      </c>
      <c r="J11582" s="27">
        <v>8770.09</v>
      </c>
      <c r="K11582" s="18">
        <f t="shared" si="361"/>
        <v>8770.09</v>
      </c>
      <c r="L11582" s="27">
        <v>8331.59</v>
      </c>
      <c r="M11582" s="36">
        <v>0</v>
      </c>
      <c r="T11582" s="41">
        <v>0</v>
      </c>
      <c r="U11582" s="41">
        <v>0</v>
      </c>
      <c r="V11582" s="42" t="s">
        <v>113</v>
      </c>
      <c r="W11582" s="42">
        <v>8770.09</v>
      </c>
      <c r="X11582" s="42">
        <v>8770.09</v>
      </c>
    </row>
    <row r="11583" spans="1:24">
      <c r="A11583" s="27" t="s">
        <v>20961</v>
      </c>
      <c r="B11583" s="28" t="s">
        <v>19918</v>
      </c>
      <c r="C11583" s="27" t="s">
        <v>20962</v>
      </c>
      <c r="D11583" s="27" t="s">
        <v>17578</v>
      </c>
      <c r="E11583" s="29">
        <v>40169</v>
      </c>
      <c r="F11583" s="27">
        <v>8</v>
      </c>
      <c r="G11583" s="18">
        <v>166600</v>
      </c>
      <c r="H11583" s="27">
        <f t="shared" si="360"/>
        <v>166600</v>
      </c>
      <c r="I11583" s="18">
        <v>158270</v>
      </c>
      <c r="J11583" s="27">
        <v>166600</v>
      </c>
      <c r="K11583" s="18">
        <f t="shared" si="361"/>
        <v>166600</v>
      </c>
      <c r="L11583" s="27">
        <v>158270</v>
      </c>
      <c r="M11583" s="36">
        <v>0</v>
      </c>
      <c r="T11583" s="41">
        <v>0</v>
      </c>
      <c r="U11583" s="41">
        <v>0</v>
      </c>
      <c r="V11583" s="42" t="s">
        <v>113</v>
      </c>
      <c r="W11583" s="42">
        <v>166600</v>
      </c>
      <c r="X11583" s="42">
        <v>166600</v>
      </c>
    </row>
    <row r="11584" spans="1:24">
      <c r="A11584" s="27" t="s">
        <v>20963</v>
      </c>
      <c r="B11584" s="28" t="s">
        <v>19918</v>
      </c>
      <c r="C11584" s="27" t="s">
        <v>20964</v>
      </c>
      <c r="D11584" s="27" t="s">
        <v>17578</v>
      </c>
      <c r="E11584" s="29">
        <v>40169</v>
      </c>
      <c r="F11584" s="27">
        <v>8</v>
      </c>
      <c r="G11584" s="18">
        <v>79968</v>
      </c>
      <c r="H11584" s="27">
        <f t="shared" si="360"/>
        <v>79968</v>
      </c>
      <c r="I11584" s="18">
        <v>75969.600000000006</v>
      </c>
      <c r="J11584" s="27">
        <v>79968</v>
      </c>
      <c r="K11584" s="18">
        <f t="shared" si="361"/>
        <v>79968</v>
      </c>
      <c r="L11584" s="27">
        <v>75969.600000000006</v>
      </c>
      <c r="M11584" s="36">
        <v>0</v>
      </c>
      <c r="T11584" s="41">
        <v>0</v>
      </c>
      <c r="U11584" s="41">
        <v>0</v>
      </c>
      <c r="V11584" s="42" t="s">
        <v>113</v>
      </c>
      <c r="W11584" s="42">
        <v>79968</v>
      </c>
      <c r="X11584" s="42">
        <v>79968</v>
      </c>
    </row>
    <row r="11585" spans="1:24">
      <c r="A11585" s="27" t="s">
        <v>20965</v>
      </c>
      <c r="B11585" s="28" t="s">
        <v>19918</v>
      </c>
      <c r="C11585" s="27" t="s">
        <v>20966</v>
      </c>
      <c r="D11585" s="27" t="s">
        <v>17578</v>
      </c>
      <c r="E11585" s="29">
        <v>40169</v>
      </c>
      <c r="F11585" s="27">
        <v>8</v>
      </c>
      <c r="G11585" s="18">
        <v>43968</v>
      </c>
      <c r="H11585" s="27">
        <f t="shared" si="360"/>
        <v>43968</v>
      </c>
      <c r="I11585" s="18">
        <v>41769.599999999999</v>
      </c>
      <c r="J11585" s="27">
        <v>43968</v>
      </c>
      <c r="K11585" s="18">
        <f t="shared" si="361"/>
        <v>43968</v>
      </c>
      <c r="L11585" s="27">
        <v>41769.599999999999</v>
      </c>
      <c r="M11585" s="36">
        <v>0</v>
      </c>
      <c r="T11585" s="41">
        <v>0</v>
      </c>
      <c r="U11585" s="41">
        <v>0</v>
      </c>
      <c r="V11585" s="42" t="s">
        <v>113</v>
      </c>
      <c r="W11585" s="42">
        <v>43968</v>
      </c>
      <c r="X11585" s="42">
        <v>43968</v>
      </c>
    </row>
    <row r="11586" spans="1:24">
      <c r="A11586" s="27" t="s">
        <v>20967</v>
      </c>
      <c r="B11586" s="28" t="s">
        <v>19918</v>
      </c>
      <c r="C11586" s="27" t="s">
        <v>20968</v>
      </c>
      <c r="D11586" s="27" t="s">
        <v>17578</v>
      </c>
      <c r="E11586" s="29">
        <v>40169</v>
      </c>
      <c r="F11586" s="27">
        <v>8</v>
      </c>
      <c r="G11586" s="18">
        <v>60456</v>
      </c>
      <c r="H11586" s="27">
        <f t="shared" si="360"/>
        <v>60456</v>
      </c>
      <c r="I11586" s="18">
        <v>57433.2</v>
      </c>
      <c r="J11586" s="27">
        <v>60456</v>
      </c>
      <c r="K11586" s="18">
        <f t="shared" si="361"/>
        <v>60456</v>
      </c>
      <c r="L11586" s="27">
        <v>57433.2</v>
      </c>
      <c r="M11586" s="36">
        <v>0</v>
      </c>
      <c r="T11586" s="41">
        <v>0</v>
      </c>
      <c r="U11586" s="41">
        <v>0</v>
      </c>
      <c r="V11586" s="42" t="s">
        <v>113</v>
      </c>
      <c r="W11586" s="42">
        <v>60456</v>
      </c>
      <c r="X11586" s="42">
        <v>60456</v>
      </c>
    </row>
    <row r="11587" spans="1:24">
      <c r="A11587" s="27" t="s">
        <v>20969</v>
      </c>
      <c r="B11587" s="28" t="s">
        <v>19918</v>
      </c>
      <c r="C11587" s="27" t="s">
        <v>20970</v>
      </c>
      <c r="D11587" s="27" t="s">
        <v>17578</v>
      </c>
      <c r="E11587" s="29">
        <v>35826</v>
      </c>
      <c r="F11587" s="27">
        <v>8</v>
      </c>
      <c r="G11587" s="18">
        <v>25292.74</v>
      </c>
      <c r="H11587" s="27">
        <f t="shared" si="360"/>
        <v>25292.74</v>
      </c>
      <c r="I11587" s="18">
        <v>24028.1</v>
      </c>
      <c r="J11587" s="27">
        <v>25292.74</v>
      </c>
      <c r="K11587" s="18">
        <f t="shared" si="361"/>
        <v>25292.74</v>
      </c>
      <c r="L11587" s="27">
        <v>24028.1</v>
      </c>
      <c r="M11587" s="36">
        <v>0</v>
      </c>
      <c r="T11587" s="41">
        <v>0</v>
      </c>
      <c r="U11587" s="41">
        <v>0</v>
      </c>
      <c r="V11587" s="42" t="s">
        <v>113</v>
      </c>
      <c r="W11587" s="42">
        <v>25292.74</v>
      </c>
      <c r="X11587" s="42">
        <v>25292.74</v>
      </c>
    </row>
    <row r="11588" spans="1:24">
      <c r="A11588" s="27" t="s">
        <v>20971</v>
      </c>
      <c r="B11588" s="28" t="s">
        <v>19918</v>
      </c>
      <c r="C11588" s="27" t="s">
        <v>20972</v>
      </c>
      <c r="D11588" s="27" t="s">
        <v>17578</v>
      </c>
      <c r="E11588" s="29">
        <v>35826</v>
      </c>
      <c r="F11588" s="27">
        <v>8</v>
      </c>
      <c r="G11588" s="18">
        <v>81396</v>
      </c>
      <c r="H11588" s="27">
        <f t="shared" si="360"/>
        <v>81396</v>
      </c>
      <c r="I11588" s="18">
        <v>77326.2</v>
      </c>
      <c r="J11588" s="27">
        <v>81396</v>
      </c>
      <c r="K11588" s="18">
        <f t="shared" si="361"/>
        <v>81396</v>
      </c>
      <c r="L11588" s="27">
        <v>77326.2</v>
      </c>
      <c r="M11588" s="36">
        <v>0</v>
      </c>
      <c r="T11588" s="41">
        <v>0</v>
      </c>
      <c r="U11588" s="41">
        <v>0</v>
      </c>
      <c r="V11588" s="42" t="s">
        <v>113</v>
      </c>
      <c r="W11588" s="42">
        <v>81396</v>
      </c>
      <c r="X11588" s="42">
        <v>81396</v>
      </c>
    </row>
    <row r="11589" spans="1:24">
      <c r="A11589" s="27" t="s">
        <v>20973</v>
      </c>
      <c r="B11589" s="28" t="s">
        <v>19918</v>
      </c>
      <c r="C11589" s="27" t="s">
        <v>20974</v>
      </c>
      <c r="D11589" s="27" t="s">
        <v>17578</v>
      </c>
      <c r="E11589" s="29">
        <v>40156</v>
      </c>
      <c r="F11589" s="27">
        <v>8</v>
      </c>
      <c r="G11589" s="18">
        <v>3704.5</v>
      </c>
      <c r="H11589" s="27">
        <f t="shared" si="360"/>
        <v>3704.5</v>
      </c>
      <c r="I11589" s="18">
        <v>3704.5</v>
      </c>
      <c r="J11589" s="27">
        <v>3704.5</v>
      </c>
      <c r="K11589" s="18">
        <f t="shared" si="361"/>
        <v>3704.5</v>
      </c>
      <c r="L11589" s="27">
        <v>3704.5</v>
      </c>
      <c r="M11589" s="36">
        <v>0</v>
      </c>
      <c r="T11589" s="41">
        <v>0</v>
      </c>
      <c r="U11589" s="41">
        <v>0</v>
      </c>
      <c r="V11589" s="42" t="s">
        <v>113</v>
      </c>
      <c r="W11589" s="42">
        <v>3704.5</v>
      </c>
      <c r="X11589" s="42">
        <v>3704.5</v>
      </c>
    </row>
    <row r="11590" spans="1:24">
      <c r="A11590" s="27" t="s">
        <v>20975</v>
      </c>
      <c r="B11590" s="28" t="s">
        <v>19918</v>
      </c>
      <c r="C11590" s="27" t="s">
        <v>20976</v>
      </c>
      <c r="D11590" s="27" t="s">
        <v>17578</v>
      </c>
      <c r="E11590" s="29">
        <v>25508</v>
      </c>
      <c r="F11590" s="27">
        <v>8</v>
      </c>
      <c r="G11590" s="18">
        <v>989</v>
      </c>
      <c r="H11590" s="27">
        <f t="shared" ref="H11590:H11653" si="362">IFERROR(IF(ROUND((G11590-I11590)/G11590,2)&lt;=0.05,G11590,0),0)</f>
        <v>989</v>
      </c>
      <c r="I11590" s="18">
        <v>989</v>
      </c>
      <c r="J11590" s="27">
        <v>989</v>
      </c>
      <c r="K11590" s="18">
        <f t="shared" ref="K11590:K11653" si="363">IFERROR(IF(ROUND((J11590-L11590)/J11590,2)&lt;=0.05,J11590,0),0)</f>
        <v>989</v>
      </c>
      <c r="L11590" s="27">
        <v>989</v>
      </c>
      <c r="M11590" s="36">
        <v>0</v>
      </c>
      <c r="T11590" s="41">
        <v>0</v>
      </c>
      <c r="U11590" s="41">
        <v>0</v>
      </c>
      <c r="V11590" s="42" t="s">
        <v>113</v>
      </c>
      <c r="W11590" s="42">
        <v>989</v>
      </c>
      <c r="X11590" s="42">
        <v>989</v>
      </c>
    </row>
    <row r="11591" spans="1:24">
      <c r="A11591" s="27" t="s">
        <v>20977</v>
      </c>
      <c r="B11591" s="28" t="s">
        <v>19918</v>
      </c>
      <c r="C11591" s="27" t="s">
        <v>20978</v>
      </c>
      <c r="D11591" s="27" t="s">
        <v>17578</v>
      </c>
      <c r="E11591" s="29">
        <v>40156</v>
      </c>
      <c r="F11591" s="27">
        <v>8</v>
      </c>
      <c r="G11591" s="18">
        <v>7409</v>
      </c>
      <c r="H11591" s="27">
        <f t="shared" si="362"/>
        <v>7409</v>
      </c>
      <c r="I11591" s="18">
        <v>7038.55</v>
      </c>
      <c r="J11591" s="27">
        <v>7409</v>
      </c>
      <c r="K11591" s="18">
        <f t="shared" si="363"/>
        <v>7409</v>
      </c>
      <c r="L11591" s="27">
        <v>7038.55</v>
      </c>
      <c r="M11591" s="36">
        <v>0</v>
      </c>
      <c r="T11591" s="41">
        <v>0</v>
      </c>
      <c r="U11591" s="41">
        <v>0</v>
      </c>
      <c r="V11591" s="42" t="s">
        <v>113</v>
      </c>
      <c r="W11591" s="42">
        <v>7409</v>
      </c>
      <c r="X11591" s="42">
        <v>7409</v>
      </c>
    </row>
    <row r="11592" spans="1:24">
      <c r="A11592" s="27" t="s">
        <v>20979</v>
      </c>
      <c r="B11592" s="28" t="s">
        <v>19918</v>
      </c>
      <c r="C11592" s="27" t="s">
        <v>20980</v>
      </c>
      <c r="D11592" s="27" t="s">
        <v>17578</v>
      </c>
      <c r="E11592" s="29">
        <v>40268</v>
      </c>
      <c r="F11592" s="27">
        <v>8</v>
      </c>
      <c r="G11592" s="18">
        <v>76307.23</v>
      </c>
      <c r="H11592" s="27">
        <f t="shared" si="362"/>
        <v>76307.23</v>
      </c>
      <c r="I11592" s="18">
        <v>72491.87</v>
      </c>
      <c r="J11592" s="27">
        <v>76307.23</v>
      </c>
      <c r="K11592" s="18">
        <f t="shared" si="363"/>
        <v>76307.23</v>
      </c>
      <c r="L11592" s="27">
        <v>72491.87</v>
      </c>
      <c r="M11592" s="36">
        <v>0</v>
      </c>
      <c r="T11592" s="41">
        <v>0</v>
      </c>
      <c r="U11592" s="41">
        <v>0</v>
      </c>
      <c r="V11592" s="42" t="s">
        <v>113</v>
      </c>
      <c r="W11592" s="42">
        <v>76307.23</v>
      </c>
      <c r="X11592" s="42">
        <v>76307.23</v>
      </c>
    </row>
    <row r="11593" spans="1:24">
      <c r="A11593" s="27" t="s">
        <v>20981</v>
      </c>
      <c r="B11593" s="28" t="s">
        <v>19918</v>
      </c>
      <c r="C11593" s="27" t="s">
        <v>20887</v>
      </c>
      <c r="D11593" s="27" t="s">
        <v>17578</v>
      </c>
      <c r="E11593" s="29">
        <v>40268</v>
      </c>
      <c r="F11593" s="27">
        <v>8</v>
      </c>
      <c r="G11593" s="18">
        <v>51725.74</v>
      </c>
      <c r="H11593" s="27">
        <f t="shared" si="362"/>
        <v>51725.74</v>
      </c>
      <c r="I11593" s="18">
        <v>49139.45</v>
      </c>
      <c r="J11593" s="27">
        <v>51725.74</v>
      </c>
      <c r="K11593" s="18">
        <f t="shared" si="363"/>
        <v>51725.74</v>
      </c>
      <c r="L11593" s="27">
        <v>49139.45</v>
      </c>
      <c r="M11593" s="36">
        <v>0</v>
      </c>
      <c r="T11593" s="41">
        <v>0</v>
      </c>
      <c r="U11593" s="41">
        <v>0</v>
      </c>
      <c r="V11593" s="42" t="s">
        <v>113</v>
      </c>
      <c r="W11593" s="42">
        <v>51725.74</v>
      </c>
      <c r="X11593" s="42">
        <v>51725.74</v>
      </c>
    </row>
    <row r="11594" spans="1:24">
      <c r="A11594" s="27" t="s">
        <v>20982</v>
      </c>
      <c r="B11594" s="28" t="s">
        <v>19918</v>
      </c>
      <c r="C11594" s="27" t="s">
        <v>20983</v>
      </c>
      <c r="D11594" s="27" t="s">
        <v>17578</v>
      </c>
      <c r="E11594" s="29">
        <v>40268</v>
      </c>
      <c r="F11594" s="27">
        <v>8</v>
      </c>
      <c r="G11594" s="18">
        <v>42345.88</v>
      </c>
      <c r="H11594" s="27">
        <f t="shared" si="362"/>
        <v>42345.88</v>
      </c>
      <c r="I11594" s="18">
        <v>40228.589999999997</v>
      </c>
      <c r="J11594" s="27">
        <v>42345.88</v>
      </c>
      <c r="K11594" s="18">
        <f t="shared" si="363"/>
        <v>42345.88</v>
      </c>
      <c r="L11594" s="27">
        <v>40228.589999999997</v>
      </c>
      <c r="M11594" s="36">
        <v>0</v>
      </c>
      <c r="T11594" s="41">
        <v>0</v>
      </c>
      <c r="U11594" s="41">
        <v>0</v>
      </c>
      <c r="V11594" s="42" t="s">
        <v>113</v>
      </c>
      <c r="W11594" s="42">
        <v>42345.88</v>
      </c>
      <c r="X11594" s="42">
        <v>42345.88</v>
      </c>
    </row>
    <row r="11595" spans="1:24">
      <c r="A11595" s="27" t="s">
        <v>20984</v>
      </c>
      <c r="B11595" s="28" t="s">
        <v>19918</v>
      </c>
      <c r="C11595" s="27" t="s">
        <v>20985</v>
      </c>
      <c r="D11595" s="27" t="s">
        <v>17578</v>
      </c>
      <c r="E11595" s="29">
        <v>40268</v>
      </c>
      <c r="F11595" s="27">
        <v>8</v>
      </c>
      <c r="G11595" s="18">
        <v>25687.09</v>
      </c>
      <c r="H11595" s="27">
        <f t="shared" si="362"/>
        <v>25687.09</v>
      </c>
      <c r="I11595" s="18">
        <v>24402.74</v>
      </c>
      <c r="J11595" s="27">
        <v>25687.09</v>
      </c>
      <c r="K11595" s="18">
        <f t="shared" si="363"/>
        <v>25687.09</v>
      </c>
      <c r="L11595" s="27">
        <v>24402.74</v>
      </c>
      <c r="M11595" s="36">
        <v>0</v>
      </c>
      <c r="T11595" s="41">
        <v>0</v>
      </c>
      <c r="U11595" s="41">
        <v>0</v>
      </c>
      <c r="V11595" s="42" t="s">
        <v>113</v>
      </c>
      <c r="W11595" s="42">
        <v>25687.09</v>
      </c>
      <c r="X11595" s="42">
        <v>25687.09</v>
      </c>
    </row>
    <row r="11596" spans="1:24">
      <c r="A11596" s="27" t="s">
        <v>20986</v>
      </c>
      <c r="B11596" s="28" t="s">
        <v>19918</v>
      </c>
      <c r="C11596" s="27" t="s">
        <v>20987</v>
      </c>
      <c r="D11596" s="27" t="s">
        <v>17578</v>
      </c>
      <c r="E11596" s="29">
        <v>40268</v>
      </c>
      <c r="F11596" s="27">
        <v>8</v>
      </c>
      <c r="G11596" s="18">
        <v>107691.45</v>
      </c>
      <c r="H11596" s="27">
        <f t="shared" si="362"/>
        <v>107691.45</v>
      </c>
      <c r="I11596" s="18">
        <v>102306.88</v>
      </c>
      <c r="J11596" s="27">
        <v>107691.45</v>
      </c>
      <c r="K11596" s="18">
        <f t="shared" si="363"/>
        <v>107691.45</v>
      </c>
      <c r="L11596" s="27">
        <v>102306.88</v>
      </c>
      <c r="M11596" s="36">
        <v>0</v>
      </c>
      <c r="T11596" s="41">
        <v>0</v>
      </c>
      <c r="U11596" s="41">
        <v>0</v>
      </c>
      <c r="V11596" s="42" t="s">
        <v>113</v>
      </c>
      <c r="W11596" s="42">
        <v>107691.45</v>
      </c>
      <c r="X11596" s="42">
        <v>107691.45</v>
      </c>
    </row>
    <row r="11597" spans="1:24">
      <c r="A11597" s="27" t="s">
        <v>20988</v>
      </c>
      <c r="B11597" s="28" t="s">
        <v>19918</v>
      </c>
      <c r="C11597" s="27" t="s">
        <v>20918</v>
      </c>
      <c r="D11597" s="27" t="s">
        <v>17578</v>
      </c>
      <c r="E11597" s="29">
        <v>40268</v>
      </c>
      <c r="F11597" s="27">
        <v>8</v>
      </c>
      <c r="G11597" s="18">
        <v>69415.45</v>
      </c>
      <c r="H11597" s="27">
        <f t="shared" si="362"/>
        <v>69415.45</v>
      </c>
      <c r="I11597" s="18">
        <v>65944.679999999993</v>
      </c>
      <c r="J11597" s="27">
        <v>69415.45</v>
      </c>
      <c r="K11597" s="18">
        <f t="shared" si="363"/>
        <v>69415.45</v>
      </c>
      <c r="L11597" s="27">
        <v>65944.679999999993</v>
      </c>
      <c r="M11597" s="36">
        <v>0</v>
      </c>
      <c r="T11597" s="41">
        <v>0</v>
      </c>
      <c r="U11597" s="41">
        <v>0</v>
      </c>
      <c r="V11597" s="42" t="s">
        <v>113</v>
      </c>
      <c r="W11597" s="42">
        <v>69415.45</v>
      </c>
      <c r="X11597" s="42">
        <v>69415.45</v>
      </c>
    </row>
    <row r="11598" spans="1:24">
      <c r="A11598" s="27" t="s">
        <v>20989</v>
      </c>
      <c r="B11598" s="28" t="s">
        <v>19918</v>
      </c>
      <c r="C11598" s="27" t="s">
        <v>20990</v>
      </c>
      <c r="D11598" s="27" t="s">
        <v>17578</v>
      </c>
      <c r="E11598" s="29">
        <v>40268</v>
      </c>
      <c r="F11598" s="27">
        <v>8</v>
      </c>
      <c r="G11598" s="18">
        <v>115691.45</v>
      </c>
      <c r="H11598" s="27">
        <f t="shared" si="362"/>
        <v>115691.45</v>
      </c>
      <c r="I11598" s="18">
        <v>109906.88</v>
      </c>
      <c r="J11598" s="27">
        <v>115691.45</v>
      </c>
      <c r="K11598" s="18">
        <f t="shared" si="363"/>
        <v>115691.45</v>
      </c>
      <c r="L11598" s="27">
        <v>109906.88</v>
      </c>
      <c r="M11598" s="36">
        <v>0</v>
      </c>
      <c r="T11598" s="41">
        <v>0</v>
      </c>
      <c r="U11598" s="41">
        <v>0</v>
      </c>
      <c r="V11598" s="42" t="s">
        <v>113</v>
      </c>
      <c r="W11598" s="42">
        <v>115691.45</v>
      </c>
      <c r="X11598" s="42">
        <v>115691.45</v>
      </c>
    </row>
    <row r="11599" spans="1:24">
      <c r="A11599" s="27" t="s">
        <v>20991</v>
      </c>
      <c r="B11599" s="28" t="s">
        <v>19918</v>
      </c>
      <c r="C11599" s="27" t="s">
        <v>20992</v>
      </c>
      <c r="D11599" s="27" t="s">
        <v>17578</v>
      </c>
      <c r="E11599" s="29">
        <v>40268</v>
      </c>
      <c r="F11599" s="27">
        <v>8</v>
      </c>
      <c r="G11599" s="18">
        <v>115691.45</v>
      </c>
      <c r="H11599" s="27">
        <f t="shared" si="362"/>
        <v>115691.45</v>
      </c>
      <c r="I11599" s="18">
        <v>109906.88</v>
      </c>
      <c r="J11599" s="27">
        <v>115691.45</v>
      </c>
      <c r="K11599" s="18">
        <f t="shared" si="363"/>
        <v>115691.45</v>
      </c>
      <c r="L11599" s="27">
        <v>109906.88</v>
      </c>
      <c r="M11599" s="36">
        <v>0</v>
      </c>
      <c r="T11599" s="41">
        <v>0</v>
      </c>
      <c r="U11599" s="41">
        <v>0</v>
      </c>
      <c r="V11599" s="42" t="s">
        <v>113</v>
      </c>
      <c r="W11599" s="42">
        <v>115691.45</v>
      </c>
      <c r="X11599" s="42">
        <v>115691.45</v>
      </c>
    </row>
    <row r="11600" spans="1:24">
      <c r="A11600" s="27" t="s">
        <v>20993</v>
      </c>
      <c r="B11600" s="28" t="s">
        <v>19918</v>
      </c>
      <c r="C11600" s="27" t="s">
        <v>20985</v>
      </c>
      <c r="D11600" s="27" t="s">
        <v>17578</v>
      </c>
      <c r="E11600" s="29">
        <v>40268</v>
      </c>
      <c r="F11600" s="27">
        <v>8</v>
      </c>
      <c r="G11600" s="18">
        <v>24581.85</v>
      </c>
      <c r="H11600" s="27">
        <f t="shared" si="362"/>
        <v>24581.85</v>
      </c>
      <c r="I11600" s="18">
        <v>23352.76</v>
      </c>
      <c r="J11600" s="27">
        <v>24581.85</v>
      </c>
      <c r="K11600" s="18">
        <f t="shared" si="363"/>
        <v>24581.85</v>
      </c>
      <c r="L11600" s="27">
        <v>23352.76</v>
      </c>
      <c r="M11600" s="36">
        <v>0</v>
      </c>
      <c r="T11600" s="41">
        <v>0</v>
      </c>
      <c r="U11600" s="41">
        <v>0</v>
      </c>
      <c r="V11600" s="42" t="s">
        <v>113</v>
      </c>
      <c r="W11600" s="42">
        <v>24581.85</v>
      </c>
      <c r="X11600" s="42">
        <v>24581.85</v>
      </c>
    </row>
    <row r="11601" spans="1:24">
      <c r="A11601" s="27" t="s">
        <v>20994</v>
      </c>
      <c r="B11601" s="28" t="s">
        <v>19918</v>
      </c>
      <c r="C11601" s="27" t="s">
        <v>20995</v>
      </c>
      <c r="D11601" s="27" t="s">
        <v>17578</v>
      </c>
      <c r="E11601" s="29">
        <v>40268</v>
      </c>
      <c r="F11601" s="27">
        <v>8</v>
      </c>
      <c r="G11601" s="18">
        <v>24581.85</v>
      </c>
      <c r="H11601" s="27">
        <f t="shared" si="362"/>
        <v>24581.85</v>
      </c>
      <c r="I11601" s="18">
        <v>23352.76</v>
      </c>
      <c r="J11601" s="27">
        <v>24581.85</v>
      </c>
      <c r="K11601" s="18">
        <f t="shared" si="363"/>
        <v>24581.85</v>
      </c>
      <c r="L11601" s="27">
        <v>23352.76</v>
      </c>
      <c r="M11601" s="36">
        <v>0</v>
      </c>
      <c r="T11601" s="41">
        <v>0</v>
      </c>
      <c r="U11601" s="41">
        <v>0</v>
      </c>
      <c r="V11601" s="42" t="s">
        <v>113</v>
      </c>
      <c r="W11601" s="42">
        <v>24581.85</v>
      </c>
      <c r="X11601" s="42">
        <v>24581.85</v>
      </c>
    </row>
    <row r="11602" spans="1:24">
      <c r="A11602" s="27" t="s">
        <v>20996</v>
      </c>
      <c r="B11602" s="28" t="s">
        <v>19918</v>
      </c>
      <c r="C11602" s="27" t="s">
        <v>20997</v>
      </c>
      <c r="D11602" s="27" t="s">
        <v>17578</v>
      </c>
      <c r="E11602" s="29">
        <v>40268</v>
      </c>
      <c r="F11602" s="27">
        <v>8</v>
      </c>
      <c r="G11602" s="18">
        <v>3849.46</v>
      </c>
      <c r="H11602" s="27">
        <f t="shared" si="362"/>
        <v>3849.46</v>
      </c>
      <c r="I11602" s="18">
        <v>3849.46</v>
      </c>
      <c r="J11602" s="27">
        <v>3849.46</v>
      </c>
      <c r="K11602" s="18">
        <f t="shared" si="363"/>
        <v>3849.46</v>
      </c>
      <c r="L11602" s="27">
        <v>3849.46</v>
      </c>
      <c r="M11602" s="36">
        <v>0</v>
      </c>
      <c r="T11602" s="41">
        <v>0</v>
      </c>
      <c r="U11602" s="41">
        <v>0</v>
      </c>
      <c r="V11602" s="42" t="s">
        <v>113</v>
      </c>
      <c r="W11602" s="42">
        <v>3849.46</v>
      </c>
      <c r="X11602" s="42">
        <v>3849.46</v>
      </c>
    </row>
    <row r="11603" spans="1:24">
      <c r="A11603" s="27" t="s">
        <v>20998</v>
      </c>
      <c r="B11603" s="28" t="s">
        <v>19918</v>
      </c>
      <c r="C11603" s="27" t="s">
        <v>20999</v>
      </c>
      <c r="D11603" s="27" t="s">
        <v>17578</v>
      </c>
      <c r="E11603" s="29">
        <v>40268</v>
      </c>
      <c r="F11603" s="27">
        <v>8</v>
      </c>
      <c r="G11603" s="18">
        <v>22715.33</v>
      </c>
      <c r="H11603" s="27">
        <f t="shared" si="362"/>
        <v>22715.33</v>
      </c>
      <c r="I11603" s="18">
        <v>21579.56</v>
      </c>
      <c r="J11603" s="27">
        <v>22715.33</v>
      </c>
      <c r="K11603" s="18">
        <f t="shared" si="363"/>
        <v>22715.33</v>
      </c>
      <c r="L11603" s="27">
        <v>21579.56</v>
      </c>
      <c r="M11603" s="36">
        <v>0</v>
      </c>
      <c r="T11603" s="41">
        <v>0</v>
      </c>
      <c r="U11603" s="41">
        <v>0</v>
      </c>
      <c r="V11603" s="42" t="s">
        <v>113</v>
      </c>
      <c r="W11603" s="42">
        <v>22715.33</v>
      </c>
      <c r="X11603" s="42">
        <v>22715.33</v>
      </c>
    </row>
    <row r="11604" spans="1:24">
      <c r="A11604" s="27" t="s">
        <v>21000</v>
      </c>
      <c r="B11604" s="28" t="s">
        <v>19918</v>
      </c>
      <c r="C11604" s="27" t="s">
        <v>21001</v>
      </c>
      <c r="D11604" s="27" t="s">
        <v>17578</v>
      </c>
      <c r="E11604" s="29">
        <v>40268</v>
      </c>
      <c r="F11604" s="27">
        <v>8</v>
      </c>
      <c r="G11604" s="18">
        <v>24581.85</v>
      </c>
      <c r="H11604" s="27">
        <f t="shared" si="362"/>
        <v>24581.85</v>
      </c>
      <c r="I11604" s="18">
        <v>23352.76</v>
      </c>
      <c r="J11604" s="27">
        <v>24581.85</v>
      </c>
      <c r="K11604" s="18">
        <f t="shared" si="363"/>
        <v>24581.85</v>
      </c>
      <c r="L11604" s="27">
        <v>23352.76</v>
      </c>
      <c r="M11604" s="36">
        <v>0</v>
      </c>
      <c r="T11604" s="41">
        <v>0</v>
      </c>
      <c r="U11604" s="41">
        <v>0</v>
      </c>
      <c r="V11604" s="42" t="s">
        <v>113</v>
      </c>
      <c r="W11604" s="42">
        <v>24581.85</v>
      </c>
      <c r="X11604" s="42">
        <v>24581.85</v>
      </c>
    </row>
    <row r="11605" spans="1:24">
      <c r="A11605" s="27" t="s">
        <v>21002</v>
      </c>
      <c r="B11605" s="28" t="s">
        <v>19918</v>
      </c>
      <c r="C11605" s="27" t="s">
        <v>19929</v>
      </c>
      <c r="D11605" s="27" t="s">
        <v>17578</v>
      </c>
      <c r="E11605" s="29">
        <v>40543</v>
      </c>
      <c r="F11605" s="27">
        <v>8</v>
      </c>
      <c r="G11605" s="18">
        <v>4903.03</v>
      </c>
      <c r="H11605" s="27">
        <f t="shared" si="362"/>
        <v>4903.03</v>
      </c>
      <c r="I11605" s="18">
        <v>4657.88</v>
      </c>
      <c r="J11605" s="27">
        <v>4903.03</v>
      </c>
      <c r="K11605" s="18">
        <f t="shared" si="363"/>
        <v>4903.03</v>
      </c>
      <c r="L11605" s="27">
        <v>4657.88</v>
      </c>
      <c r="M11605" s="36">
        <v>0</v>
      </c>
      <c r="T11605" s="41">
        <v>0</v>
      </c>
      <c r="U11605" s="41">
        <v>0</v>
      </c>
      <c r="V11605" s="42" t="s">
        <v>113</v>
      </c>
      <c r="W11605" s="42">
        <v>4903.03</v>
      </c>
      <c r="X11605" s="42">
        <v>4903.03</v>
      </c>
    </row>
    <row r="11606" spans="1:24">
      <c r="A11606" s="27" t="s">
        <v>21003</v>
      </c>
      <c r="B11606" s="28" t="s">
        <v>19918</v>
      </c>
      <c r="C11606" s="27" t="s">
        <v>21004</v>
      </c>
      <c r="D11606" s="27" t="s">
        <v>17578</v>
      </c>
      <c r="E11606" s="29">
        <v>40543</v>
      </c>
      <c r="F11606" s="27">
        <v>8</v>
      </c>
      <c r="G11606" s="18">
        <v>4903.03</v>
      </c>
      <c r="H11606" s="27">
        <f t="shared" si="362"/>
        <v>4903.03</v>
      </c>
      <c r="I11606" s="18">
        <v>4657.88</v>
      </c>
      <c r="J11606" s="27">
        <v>4903.03</v>
      </c>
      <c r="K11606" s="18">
        <f t="shared" si="363"/>
        <v>4903.03</v>
      </c>
      <c r="L11606" s="27">
        <v>4657.88</v>
      </c>
      <c r="M11606" s="36">
        <v>0</v>
      </c>
      <c r="T11606" s="41">
        <v>0</v>
      </c>
      <c r="U11606" s="41">
        <v>0</v>
      </c>
      <c r="V11606" s="42" t="s">
        <v>113</v>
      </c>
      <c r="W11606" s="42">
        <v>4903.03</v>
      </c>
      <c r="X11606" s="42">
        <v>4903.03</v>
      </c>
    </row>
    <row r="11607" spans="1:24">
      <c r="A11607" s="27" t="s">
        <v>21005</v>
      </c>
      <c r="B11607" s="28" t="s">
        <v>19918</v>
      </c>
      <c r="C11607" s="27" t="s">
        <v>20924</v>
      </c>
      <c r="D11607" s="27" t="s">
        <v>17578</v>
      </c>
      <c r="E11607" s="29">
        <v>40543</v>
      </c>
      <c r="F11607" s="27">
        <v>8</v>
      </c>
      <c r="G11607" s="18">
        <v>18903.03</v>
      </c>
      <c r="H11607" s="27">
        <f t="shared" si="362"/>
        <v>18903.03</v>
      </c>
      <c r="I11607" s="18">
        <v>17957.88</v>
      </c>
      <c r="J11607" s="27">
        <v>18903.03</v>
      </c>
      <c r="K11607" s="18">
        <f t="shared" si="363"/>
        <v>18903.03</v>
      </c>
      <c r="L11607" s="27">
        <v>17957.88</v>
      </c>
      <c r="M11607" s="36">
        <v>0</v>
      </c>
      <c r="T11607" s="41">
        <v>0</v>
      </c>
      <c r="U11607" s="41">
        <v>0</v>
      </c>
      <c r="V11607" s="42" t="s">
        <v>113</v>
      </c>
      <c r="W11607" s="42">
        <v>18903.03</v>
      </c>
      <c r="X11607" s="42">
        <v>18903.03</v>
      </c>
    </row>
    <row r="11608" spans="1:24">
      <c r="A11608" s="27" t="s">
        <v>21006</v>
      </c>
      <c r="B11608" s="28" t="s">
        <v>19918</v>
      </c>
      <c r="C11608" s="27" t="s">
        <v>20962</v>
      </c>
      <c r="D11608" s="27" t="s">
        <v>17578</v>
      </c>
      <c r="E11608" s="29">
        <v>40543</v>
      </c>
      <c r="F11608" s="27">
        <v>8</v>
      </c>
      <c r="G11608" s="18">
        <v>18903.03</v>
      </c>
      <c r="H11608" s="27">
        <f t="shared" si="362"/>
        <v>18903.03</v>
      </c>
      <c r="I11608" s="18">
        <v>17957.88</v>
      </c>
      <c r="J11608" s="27">
        <v>18903.03</v>
      </c>
      <c r="K11608" s="18">
        <f t="shared" si="363"/>
        <v>18903.03</v>
      </c>
      <c r="L11608" s="27">
        <v>17957.88</v>
      </c>
      <c r="M11608" s="36">
        <v>0</v>
      </c>
      <c r="T11608" s="41">
        <v>0</v>
      </c>
      <c r="U11608" s="41">
        <v>0</v>
      </c>
      <c r="V11608" s="42" t="s">
        <v>113</v>
      </c>
      <c r="W11608" s="42">
        <v>18903.03</v>
      </c>
      <c r="X11608" s="42">
        <v>18903.03</v>
      </c>
    </row>
    <row r="11609" spans="1:24">
      <c r="A11609" s="27" t="s">
        <v>21007</v>
      </c>
      <c r="B11609" s="28" t="s">
        <v>19918</v>
      </c>
      <c r="C11609" s="27" t="s">
        <v>21008</v>
      </c>
      <c r="D11609" s="27" t="s">
        <v>17578</v>
      </c>
      <c r="E11609" s="29">
        <v>40543</v>
      </c>
      <c r="F11609" s="27">
        <v>8</v>
      </c>
      <c r="G11609" s="18">
        <v>5903.03</v>
      </c>
      <c r="H11609" s="27">
        <f t="shared" si="362"/>
        <v>5903.03</v>
      </c>
      <c r="I11609" s="18">
        <v>5607.88</v>
      </c>
      <c r="J11609" s="27">
        <v>5903.03</v>
      </c>
      <c r="K11609" s="18">
        <f t="shared" si="363"/>
        <v>5903.03</v>
      </c>
      <c r="L11609" s="27">
        <v>5607.88</v>
      </c>
      <c r="M11609" s="36">
        <v>0</v>
      </c>
      <c r="T11609" s="41">
        <v>0</v>
      </c>
      <c r="U11609" s="41">
        <v>0</v>
      </c>
      <c r="V11609" s="42" t="s">
        <v>113</v>
      </c>
      <c r="W11609" s="42">
        <v>5903.03</v>
      </c>
      <c r="X11609" s="42">
        <v>5903.03</v>
      </c>
    </row>
    <row r="11610" spans="1:24">
      <c r="A11610" s="27" t="s">
        <v>21009</v>
      </c>
      <c r="B11610" s="28" t="s">
        <v>19918</v>
      </c>
      <c r="C11610" s="27" t="s">
        <v>21010</v>
      </c>
      <c r="D11610" s="27" t="s">
        <v>17578</v>
      </c>
      <c r="E11610" s="29">
        <v>40543</v>
      </c>
      <c r="F11610" s="27">
        <v>8</v>
      </c>
      <c r="G11610" s="18">
        <v>6903.03</v>
      </c>
      <c r="H11610" s="27">
        <f t="shared" si="362"/>
        <v>6903.03</v>
      </c>
      <c r="I11610" s="18">
        <v>6557.88</v>
      </c>
      <c r="J11610" s="27">
        <v>6903.03</v>
      </c>
      <c r="K11610" s="18">
        <f t="shared" si="363"/>
        <v>6903.03</v>
      </c>
      <c r="L11610" s="27">
        <v>6557.88</v>
      </c>
      <c r="M11610" s="36">
        <v>0</v>
      </c>
      <c r="T11610" s="41">
        <v>0</v>
      </c>
      <c r="U11610" s="41">
        <v>0</v>
      </c>
      <c r="V11610" s="42" t="s">
        <v>113</v>
      </c>
      <c r="W11610" s="42">
        <v>6903.03</v>
      </c>
      <c r="X11610" s="42">
        <v>6903.03</v>
      </c>
    </row>
    <row r="11611" spans="1:24">
      <c r="A11611" s="27" t="s">
        <v>21011</v>
      </c>
      <c r="B11611" s="28" t="s">
        <v>19918</v>
      </c>
      <c r="C11611" s="27" t="s">
        <v>21012</v>
      </c>
      <c r="D11611" s="27" t="s">
        <v>17578</v>
      </c>
      <c r="E11611" s="29">
        <v>40543</v>
      </c>
      <c r="F11611" s="27">
        <v>8</v>
      </c>
      <c r="G11611" s="18">
        <v>18903.03</v>
      </c>
      <c r="H11611" s="27">
        <f t="shared" si="362"/>
        <v>18903.03</v>
      </c>
      <c r="I11611" s="18">
        <v>17957.88</v>
      </c>
      <c r="J11611" s="27">
        <v>18903.03</v>
      </c>
      <c r="K11611" s="18">
        <f t="shared" si="363"/>
        <v>18903.03</v>
      </c>
      <c r="L11611" s="27">
        <v>17957.88</v>
      </c>
      <c r="M11611" s="36">
        <v>0</v>
      </c>
      <c r="T11611" s="41">
        <v>0</v>
      </c>
      <c r="U11611" s="41">
        <v>0</v>
      </c>
      <c r="V11611" s="42" t="s">
        <v>113</v>
      </c>
      <c r="W11611" s="42">
        <v>18903.03</v>
      </c>
      <c r="X11611" s="42">
        <v>18903.03</v>
      </c>
    </row>
    <row r="11612" spans="1:24">
      <c r="A11612" s="27" t="s">
        <v>21013</v>
      </c>
      <c r="B11612" s="28" t="s">
        <v>19918</v>
      </c>
      <c r="C11612" s="27" t="s">
        <v>21014</v>
      </c>
      <c r="D11612" s="27" t="s">
        <v>17578</v>
      </c>
      <c r="E11612" s="29">
        <v>40543</v>
      </c>
      <c r="F11612" s="27">
        <v>8</v>
      </c>
      <c r="G11612" s="18">
        <v>18903.03</v>
      </c>
      <c r="H11612" s="27">
        <f t="shared" si="362"/>
        <v>18903.03</v>
      </c>
      <c r="I11612" s="18">
        <v>17957.88</v>
      </c>
      <c r="J11612" s="27">
        <v>18903.03</v>
      </c>
      <c r="K11612" s="18">
        <f t="shared" si="363"/>
        <v>18903.03</v>
      </c>
      <c r="L11612" s="27">
        <v>17957.88</v>
      </c>
      <c r="M11612" s="36">
        <v>0</v>
      </c>
      <c r="T11612" s="41">
        <v>0</v>
      </c>
      <c r="U11612" s="41">
        <v>0</v>
      </c>
      <c r="V11612" s="42" t="s">
        <v>113</v>
      </c>
      <c r="W11612" s="42">
        <v>18903.03</v>
      </c>
      <c r="X11612" s="42">
        <v>18903.03</v>
      </c>
    </row>
    <row r="11613" spans="1:24">
      <c r="A11613" s="27" t="s">
        <v>21015</v>
      </c>
      <c r="B11613" s="28" t="s">
        <v>19918</v>
      </c>
      <c r="C11613" s="27" t="s">
        <v>20889</v>
      </c>
      <c r="D11613" s="27" t="s">
        <v>17578</v>
      </c>
      <c r="E11613" s="29">
        <v>40543</v>
      </c>
      <c r="F11613" s="27">
        <v>8</v>
      </c>
      <c r="G11613" s="18">
        <v>14903.03</v>
      </c>
      <c r="H11613" s="27">
        <f t="shared" si="362"/>
        <v>14903.03</v>
      </c>
      <c r="I11613" s="18">
        <v>14157.88</v>
      </c>
      <c r="J11613" s="27">
        <v>14903.03</v>
      </c>
      <c r="K11613" s="18">
        <f t="shared" si="363"/>
        <v>14903.03</v>
      </c>
      <c r="L11613" s="27">
        <v>14157.88</v>
      </c>
      <c r="M11613" s="36">
        <v>0</v>
      </c>
      <c r="T11613" s="41">
        <v>0</v>
      </c>
      <c r="U11613" s="41">
        <v>0</v>
      </c>
      <c r="V11613" s="42" t="s">
        <v>113</v>
      </c>
      <c r="W11613" s="42">
        <v>14903.03</v>
      </c>
      <c r="X11613" s="42">
        <v>14903.03</v>
      </c>
    </row>
    <row r="11614" spans="1:24">
      <c r="A11614" s="27" t="s">
        <v>21016</v>
      </c>
      <c r="B11614" s="28" t="s">
        <v>19918</v>
      </c>
      <c r="C11614" s="27" t="s">
        <v>20887</v>
      </c>
      <c r="D11614" s="27" t="s">
        <v>17578</v>
      </c>
      <c r="E11614" s="29">
        <v>40543</v>
      </c>
      <c r="F11614" s="27">
        <v>8</v>
      </c>
      <c r="G11614" s="18">
        <v>18903.03</v>
      </c>
      <c r="H11614" s="27">
        <f t="shared" si="362"/>
        <v>18903.03</v>
      </c>
      <c r="I11614" s="18">
        <v>17957.88</v>
      </c>
      <c r="J11614" s="27">
        <v>18903.03</v>
      </c>
      <c r="K11614" s="18">
        <f t="shared" si="363"/>
        <v>18903.03</v>
      </c>
      <c r="L11614" s="27">
        <v>17957.88</v>
      </c>
      <c r="M11614" s="36">
        <v>0</v>
      </c>
      <c r="T11614" s="41">
        <v>0</v>
      </c>
      <c r="U11614" s="41">
        <v>0</v>
      </c>
      <c r="V11614" s="42" t="s">
        <v>113</v>
      </c>
      <c r="W11614" s="42">
        <v>18903.03</v>
      </c>
      <c r="X11614" s="42">
        <v>18903.03</v>
      </c>
    </row>
    <row r="11615" spans="1:24">
      <c r="A11615" s="27" t="s">
        <v>21017</v>
      </c>
      <c r="B11615" s="28" t="s">
        <v>19918</v>
      </c>
      <c r="C11615" s="27" t="s">
        <v>19757</v>
      </c>
      <c r="D11615" s="27" t="s">
        <v>17578</v>
      </c>
      <c r="E11615" s="29">
        <v>40543</v>
      </c>
      <c r="F11615" s="27">
        <v>8</v>
      </c>
      <c r="G11615" s="18">
        <v>18903.03</v>
      </c>
      <c r="H11615" s="27">
        <f t="shared" si="362"/>
        <v>18903.03</v>
      </c>
      <c r="I11615" s="18">
        <v>17957.88</v>
      </c>
      <c r="J11615" s="27">
        <v>18903.03</v>
      </c>
      <c r="K11615" s="18">
        <f t="shared" si="363"/>
        <v>18903.03</v>
      </c>
      <c r="L11615" s="27">
        <v>17957.88</v>
      </c>
      <c r="M11615" s="36">
        <v>0</v>
      </c>
      <c r="T11615" s="41">
        <v>0</v>
      </c>
      <c r="U11615" s="41">
        <v>0</v>
      </c>
      <c r="V11615" s="42" t="s">
        <v>113</v>
      </c>
      <c r="W11615" s="42">
        <v>18903.03</v>
      </c>
      <c r="X11615" s="42">
        <v>18903.03</v>
      </c>
    </row>
    <row r="11616" spans="1:24">
      <c r="A11616" s="27" t="s">
        <v>21018</v>
      </c>
      <c r="B11616" s="28" t="s">
        <v>19918</v>
      </c>
      <c r="C11616" s="27" t="s">
        <v>19755</v>
      </c>
      <c r="D11616" s="27" t="s">
        <v>17578</v>
      </c>
      <c r="E11616" s="29">
        <v>40543</v>
      </c>
      <c r="F11616" s="27">
        <v>8</v>
      </c>
      <c r="G11616" s="18">
        <v>18903.03</v>
      </c>
      <c r="H11616" s="27">
        <f t="shared" si="362"/>
        <v>18903.03</v>
      </c>
      <c r="I11616" s="18">
        <v>17957.88</v>
      </c>
      <c r="J11616" s="27">
        <v>18903.03</v>
      </c>
      <c r="K11616" s="18">
        <f t="shared" si="363"/>
        <v>18903.03</v>
      </c>
      <c r="L11616" s="27">
        <v>17957.88</v>
      </c>
      <c r="M11616" s="36">
        <v>0</v>
      </c>
      <c r="T11616" s="41">
        <v>0</v>
      </c>
      <c r="U11616" s="41">
        <v>0</v>
      </c>
      <c r="V11616" s="42" t="s">
        <v>113</v>
      </c>
      <c r="W11616" s="42">
        <v>18903.03</v>
      </c>
      <c r="X11616" s="42">
        <v>18903.03</v>
      </c>
    </row>
    <row r="11617" spans="1:24">
      <c r="A11617" s="27" t="s">
        <v>21019</v>
      </c>
      <c r="B11617" s="28" t="s">
        <v>19918</v>
      </c>
      <c r="C11617" s="27" t="s">
        <v>19753</v>
      </c>
      <c r="D11617" s="27" t="s">
        <v>17578</v>
      </c>
      <c r="E11617" s="29">
        <v>40543</v>
      </c>
      <c r="F11617" s="27">
        <v>8</v>
      </c>
      <c r="G11617" s="18">
        <v>18903.03</v>
      </c>
      <c r="H11617" s="27">
        <f t="shared" si="362"/>
        <v>18903.03</v>
      </c>
      <c r="I11617" s="18">
        <v>17957.88</v>
      </c>
      <c r="J11617" s="27">
        <v>18903.03</v>
      </c>
      <c r="K11617" s="18">
        <f t="shared" si="363"/>
        <v>18903.03</v>
      </c>
      <c r="L11617" s="27">
        <v>17957.88</v>
      </c>
      <c r="M11617" s="36">
        <v>0</v>
      </c>
      <c r="T11617" s="41">
        <v>0</v>
      </c>
      <c r="U11617" s="41">
        <v>0</v>
      </c>
      <c r="V11617" s="42" t="s">
        <v>113</v>
      </c>
      <c r="W11617" s="42">
        <v>18903.03</v>
      </c>
      <c r="X11617" s="42">
        <v>18903.03</v>
      </c>
    </row>
    <row r="11618" spans="1:24">
      <c r="A11618" s="27" t="s">
        <v>21020</v>
      </c>
      <c r="B11618" s="28" t="s">
        <v>19918</v>
      </c>
      <c r="C11618" s="27" t="s">
        <v>21021</v>
      </c>
      <c r="D11618" s="27" t="s">
        <v>17578</v>
      </c>
      <c r="E11618" s="29">
        <v>40543</v>
      </c>
      <c r="F11618" s="27">
        <v>8</v>
      </c>
      <c r="G11618" s="18">
        <v>18903.03</v>
      </c>
      <c r="H11618" s="27">
        <f t="shared" si="362"/>
        <v>18903.03</v>
      </c>
      <c r="I11618" s="18">
        <v>17957.88</v>
      </c>
      <c r="J11618" s="27">
        <v>18903.03</v>
      </c>
      <c r="K11618" s="18">
        <f t="shared" si="363"/>
        <v>18903.03</v>
      </c>
      <c r="L11618" s="27">
        <v>17957.88</v>
      </c>
      <c r="M11618" s="36">
        <v>0</v>
      </c>
      <c r="T11618" s="41">
        <v>0</v>
      </c>
      <c r="U11618" s="41">
        <v>0</v>
      </c>
      <c r="V11618" s="42" t="s">
        <v>113</v>
      </c>
      <c r="W11618" s="42">
        <v>18903.03</v>
      </c>
      <c r="X11618" s="42">
        <v>18903.03</v>
      </c>
    </row>
    <row r="11619" spans="1:24">
      <c r="A11619" s="27" t="s">
        <v>21022</v>
      </c>
      <c r="B11619" s="28" t="s">
        <v>19918</v>
      </c>
      <c r="C11619" s="27" t="s">
        <v>21023</v>
      </c>
      <c r="D11619" s="27" t="s">
        <v>17578</v>
      </c>
      <c r="E11619" s="29">
        <v>40543</v>
      </c>
      <c r="F11619" s="27">
        <v>8</v>
      </c>
      <c r="G11619" s="18">
        <v>18903.03</v>
      </c>
      <c r="H11619" s="27">
        <f t="shared" si="362"/>
        <v>18903.03</v>
      </c>
      <c r="I11619" s="18">
        <v>17957.88</v>
      </c>
      <c r="J11619" s="27">
        <v>18903.03</v>
      </c>
      <c r="K11619" s="18">
        <f t="shared" si="363"/>
        <v>18903.03</v>
      </c>
      <c r="L11619" s="27">
        <v>17957.88</v>
      </c>
      <c r="M11619" s="36">
        <v>0</v>
      </c>
      <c r="T11619" s="41">
        <v>0</v>
      </c>
      <c r="U11619" s="41">
        <v>0</v>
      </c>
      <c r="V11619" s="42" t="s">
        <v>113</v>
      </c>
      <c r="W11619" s="42">
        <v>18903.03</v>
      </c>
      <c r="X11619" s="42">
        <v>18903.03</v>
      </c>
    </row>
    <row r="11620" spans="1:24">
      <c r="A11620" s="27" t="s">
        <v>21024</v>
      </c>
      <c r="B11620" s="28" t="s">
        <v>19918</v>
      </c>
      <c r="C11620" s="27" t="s">
        <v>20918</v>
      </c>
      <c r="D11620" s="27" t="s">
        <v>17578</v>
      </c>
      <c r="E11620" s="29">
        <v>40543</v>
      </c>
      <c r="F11620" s="27">
        <v>8</v>
      </c>
      <c r="G11620" s="18">
        <v>12602.03</v>
      </c>
      <c r="H11620" s="27">
        <f t="shared" si="362"/>
        <v>12602.03</v>
      </c>
      <c r="I11620" s="18">
        <v>11971.93</v>
      </c>
      <c r="J11620" s="27">
        <v>12602.03</v>
      </c>
      <c r="K11620" s="18">
        <f t="shared" si="363"/>
        <v>12602.03</v>
      </c>
      <c r="L11620" s="27">
        <v>11971.93</v>
      </c>
      <c r="M11620" s="36">
        <v>0</v>
      </c>
      <c r="T11620" s="41">
        <v>0</v>
      </c>
      <c r="U11620" s="41">
        <v>0</v>
      </c>
      <c r="V11620" s="42" t="s">
        <v>113</v>
      </c>
      <c r="W11620" s="42">
        <v>12602.03</v>
      </c>
      <c r="X11620" s="42">
        <v>12602.03</v>
      </c>
    </row>
    <row r="11621" spans="1:24">
      <c r="A11621" s="27" t="s">
        <v>21025</v>
      </c>
      <c r="B11621" s="28" t="s">
        <v>19918</v>
      </c>
      <c r="C11621" s="27" t="s">
        <v>20920</v>
      </c>
      <c r="D11621" s="27" t="s">
        <v>17578</v>
      </c>
      <c r="E11621" s="29">
        <v>40543</v>
      </c>
      <c r="F11621" s="27">
        <v>8</v>
      </c>
      <c r="G11621" s="18">
        <v>12602.03</v>
      </c>
      <c r="H11621" s="27">
        <f t="shared" si="362"/>
        <v>12602.03</v>
      </c>
      <c r="I11621" s="18">
        <v>11971.93</v>
      </c>
      <c r="J11621" s="27">
        <v>12602.03</v>
      </c>
      <c r="K11621" s="18">
        <f t="shared" si="363"/>
        <v>12602.03</v>
      </c>
      <c r="L11621" s="27">
        <v>11971.93</v>
      </c>
      <c r="M11621" s="36">
        <v>0</v>
      </c>
      <c r="T11621" s="41">
        <v>0</v>
      </c>
      <c r="U11621" s="41">
        <v>0</v>
      </c>
      <c r="V11621" s="42" t="s">
        <v>113</v>
      </c>
      <c r="W11621" s="42">
        <v>12602.03</v>
      </c>
      <c r="X11621" s="42">
        <v>12602.03</v>
      </c>
    </row>
    <row r="11622" spans="1:24">
      <c r="A11622" s="27" t="s">
        <v>21026</v>
      </c>
      <c r="B11622" s="28" t="s">
        <v>19918</v>
      </c>
      <c r="C11622" s="27" t="s">
        <v>21027</v>
      </c>
      <c r="D11622" s="27" t="s">
        <v>17578</v>
      </c>
      <c r="E11622" s="29">
        <v>40268</v>
      </c>
      <c r="F11622" s="27">
        <v>8</v>
      </c>
      <c r="G11622" s="18">
        <v>16658.79</v>
      </c>
      <c r="H11622" s="27">
        <f t="shared" si="362"/>
        <v>16658.79</v>
      </c>
      <c r="I11622" s="18">
        <v>15825.85</v>
      </c>
      <c r="J11622" s="27">
        <v>16658.79</v>
      </c>
      <c r="K11622" s="18">
        <f t="shared" si="363"/>
        <v>16658.79</v>
      </c>
      <c r="L11622" s="27">
        <v>15825.85</v>
      </c>
      <c r="M11622" s="36">
        <v>0</v>
      </c>
      <c r="T11622" s="41">
        <v>0</v>
      </c>
      <c r="U11622" s="41">
        <v>0</v>
      </c>
      <c r="V11622" s="42" t="s">
        <v>113</v>
      </c>
      <c r="W11622" s="42">
        <v>16658.79</v>
      </c>
      <c r="X11622" s="42">
        <v>16658.79</v>
      </c>
    </row>
    <row r="11623" spans="1:24">
      <c r="A11623" s="27" t="s">
        <v>21028</v>
      </c>
      <c r="B11623" s="28" t="s">
        <v>19918</v>
      </c>
      <c r="C11623" s="27" t="s">
        <v>21029</v>
      </c>
      <c r="D11623" s="27" t="s">
        <v>17578</v>
      </c>
      <c r="E11623" s="29">
        <v>40543</v>
      </c>
      <c r="F11623" s="27">
        <v>8</v>
      </c>
      <c r="G11623" s="18">
        <v>356954.44</v>
      </c>
      <c r="H11623" s="27">
        <f t="shared" si="362"/>
        <v>356954.44</v>
      </c>
      <c r="I11623" s="18">
        <v>339106.72</v>
      </c>
      <c r="J11623" s="27">
        <v>356954.44</v>
      </c>
      <c r="K11623" s="18">
        <f t="shared" si="363"/>
        <v>356954.44</v>
      </c>
      <c r="L11623" s="27">
        <v>339106.72</v>
      </c>
      <c r="M11623" s="36">
        <v>0</v>
      </c>
      <c r="T11623" s="41">
        <v>0</v>
      </c>
      <c r="U11623" s="41">
        <v>0</v>
      </c>
      <c r="V11623" s="42" t="s">
        <v>113</v>
      </c>
      <c r="W11623" s="42">
        <v>356954.44</v>
      </c>
      <c r="X11623" s="42">
        <v>356954.44</v>
      </c>
    </row>
    <row r="11624" spans="1:24">
      <c r="A11624" s="27" t="s">
        <v>21030</v>
      </c>
      <c r="B11624" s="28" t="s">
        <v>19918</v>
      </c>
      <c r="C11624" s="27" t="s">
        <v>21031</v>
      </c>
      <c r="D11624" s="27" t="s">
        <v>17578</v>
      </c>
      <c r="E11624" s="29">
        <v>40543</v>
      </c>
      <c r="F11624" s="27">
        <v>8</v>
      </c>
      <c r="G11624" s="18">
        <v>4141603.56</v>
      </c>
      <c r="H11624" s="27">
        <f t="shared" si="362"/>
        <v>4141603.56</v>
      </c>
      <c r="I11624" s="18">
        <v>3934523.38</v>
      </c>
      <c r="J11624" s="27">
        <v>4141603.56</v>
      </c>
      <c r="K11624" s="18">
        <f t="shared" si="363"/>
        <v>4141603.56</v>
      </c>
      <c r="L11624" s="27">
        <v>3934523.38</v>
      </c>
      <c r="M11624" s="36">
        <v>0</v>
      </c>
      <c r="T11624" s="41">
        <v>0</v>
      </c>
      <c r="U11624" s="41">
        <v>0</v>
      </c>
      <c r="V11624" s="42" t="s">
        <v>113</v>
      </c>
      <c r="W11624" s="42">
        <v>4141603.56</v>
      </c>
      <c r="X11624" s="42">
        <v>4141603.56</v>
      </c>
    </row>
    <row r="11625" spans="1:24">
      <c r="A11625" s="27" t="s">
        <v>21032</v>
      </c>
      <c r="B11625" s="28" t="s">
        <v>19918</v>
      </c>
      <c r="C11625" s="27" t="s">
        <v>21033</v>
      </c>
      <c r="D11625" s="27" t="s">
        <v>17578</v>
      </c>
      <c r="E11625" s="29">
        <v>40871</v>
      </c>
      <c r="F11625" s="27">
        <v>8</v>
      </c>
      <c r="G11625" s="18">
        <v>721552.84</v>
      </c>
      <c r="H11625" s="27">
        <f t="shared" si="362"/>
        <v>0</v>
      </c>
      <c r="I11625" s="18">
        <v>604518.14</v>
      </c>
      <c r="J11625" s="27">
        <v>721552.84</v>
      </c>
      <c r="K11625" s="18">
        <f t="shared" si="363"/>
        <v>721552.84</v>
      </c>
      <c r="L11625" s="27">
        <v>685475.2</v>
      </c>
      <c r="M11625" s="36">
        <v>80957.06</v>
      </c>
      <c r="T11625" s="41">
        <v>0</v>
      </c>
      <c r="U11625" s="41">
        <v>0</v>
      </c>
      <c r="V11625" s="42" t="s">
        <v>113</v>
      </c>
      <c r="W11625" s="42">
        <v>721552.84</v>
      </c>
      <c r="X11625" s="42">
        <v>721552.84</v>
      </c>
    </row>
    <row r="11626" spans="1:24">
      <c r="A11626" s="27" t="s">
        <v>21034</v>
      </c>
      <c r="B11626" s="28" t="s">
        <v>19918</v>
      </c>
      <c r="C11626" s="27" t="s">
        <v>21035</v>
      </c>
      <c r="D11626" s="27" t="s">
        <v>17578</v>
      </c>
      <c r="E11626" s="29">
        <v>41086</v>
      </c>
      <c r="F11626" s="27">
        <v>8</v>
      </c>
      <c r="G11626" s="18">
        <v>29487.18</v>
      </c>
      <c r="H11626" s="27">
        <f t="shared" si="362"/>
        <v>0</v>
      </c>
      <c r="I11626" s="18">
        <v>22760.41</v>
      </c>
      <c r="J11626" s="27">
        <v>29487.18</v>
      </c>
      <c r="K11626" s="18">
        <f t="shared" si="363"/>
        <v>0</v>
      </c>
      <c r="L11626" s="27">
        <v>26262.02</v>
      </c>
      <c r="M11626" s="36">
        <v>3501.61</v>
      </c>
      <c r="T11626" s="41">
        <v>0</v>
      </c>
      <c r="U11626" s="41">
        <v>0</v>
      </c>
      <c r="V11626" s="42" t="s">
        <v>113</v>
      </c>
      <c r="W11626" s="42">
        <v>29487.18</v>
      </c>
      <c r="X11626" s="42">
        <v>29487.18</v>
      </c>
    </row>
    <row r="11627" spans="1:24">
      <c r="A11627" s="27" t="s">
        <v>21036</v>
      </c>
      <c r="B11627" s="28" t="s">
        <v>19918</v>
      </c>
      <c r="C11627" s="27" t="s">
        <v>21037</v>
      </c>
      <c r="D11627" s="27" t="s">
        <v>17578</v>
      </c>
      <c r="E11627" s="29">
        <v>41086</v>
      </c>
      <c r="F11627" s="27">
        <v>8</v>
      </c>
      <c r="G11627" s="18">
        <v>38461.54</v>
      </c>
      <c r="H11627" s="27">
        <f t="shared" si="362"/>
        <v>0</v>
      </c>
      <c r="I11627" s="18">
        <v>29687.5</v>
      </c>
      <c r="J11627" s="27">
        <v>38461.54</v>
      </c>
      <c r="K11627" s="18">
        <f t="shared" si="363"/>
        <v>0</v>
      </c>
      <c r="L11627" s="27">
        <v>34254.81</v>
      </c>
      <c r="M11627" s="36">
        <v>4567.3100000000004</v>
      </c>
      <c r="T11627" s="41">
        <v>0</v>
      </c>
      <c r="U11627" s="41">
        <v>0</v>
      </c>
      <c r="V11627" s="42" t="s">
        <v>113</v>
      </c>
      <c r="W11627" s="42">
        <v>38461.54</v>
      </c>
      <c r="X11627" s="42">
        <v>38461.54</v>
      </c>
    </row>
    <row r="11628" spans="1:24">
      <c r="A11628" s="27" t="s">
        <v>21038</v>
      </c>
      <c r="B11628" s="28" t="s">
        <v>19918</v>
      </c>
      <c r="C11628" s="27" t="s">
        <v>21039</v>
      </c>
      <c r="D11628" s="27" t="s">
        <v>17578</v>
      </c>
      <c r="E11628" s="29">
        <v>41086</v>
      </c>
      <c r="F11628" s="27">
        <v>8</v>
      </c>
      <c r="G11628" s="18">
        <v>29487.18</v>
      </c>
      <c r="H11628" s="27">
        <f t="shared" si="362"/>
        <v>0</v>
      </c>
      <c r="I11628" s="18">
        <v>22760.41</v>
      </c>
      <c r="J11628" s="27">
        <v>29487.18</v>
      </c>
      <c r="K11628" s="18">
        <f t="shared" si="363"/>
        <v>0</v>
      </c>
      <c r="L11628" s="27">
        <v>26262.02</v>
      </c>
      <c r="M11628" s="36">
        <v>3501.61</v>
      </c>
      <c r="T11628" s="41">
        <v>0</v>
      </c>
      <c r="U11628" s="41">
        <v>0</v>
      </c>
      <c r="V11628" s="42" t="s">
        <v>113</v>
      </c>
      <c r="W11628" s="42">
        <v>29487.18</v>
      </c>
      <c r="X11628" s="42">
        <v>29487.18</v>
      </c>
    </row>
    <row r="11629" spans="1:24">
      <c r="A11629" s="27" t="s">
        <v>21040</v>
      </c>
      <c r="B11629" s="28" t="s">
        <v>19918</v>
      </c>
      <c r="C11629" s="27" t="s">
        <v>21041</v>
      </c>
      <c r="D11629" s="27" t="s">
        <v>17578</v>
      </c>
      <c r="E11629" s="29">
        <v>41086</v>
      </c>
      <c r="F11629" s="27">
        <v>8</v>
      </c>
      <c r="G11629" s="18">
        <v>29487.18</v>
      </c>
      <c r="H11629" s="27">
        <f t="shared" si="362"/>
        <v>0</v>
      </c>
      <c r="I11629" s="18">
        <v>22760.41</v>
      </c>
      <c r="J11629" s="27">
        <v>29487.18</v>
      </c>
      <c r="K11629" s="18">
        <f t="shared" si="363"/>
        <v>0</v>
      </c>
      <c r="L11629" s="27">
        <v>26262.02</v>
      </c>
      <c r="M11629" s="36">
        <v>3501.61</v>
      </c>
      <c r="T11629" s="41">
        <v>0</v>
      </c>
      <c r="U11629" s="41">
        <v>0</v>
      </c>
      <c r="V11629" s="42" t="s">
        <v>113</v>
      </c>
      <c r="W11629" s="42">
        <v>29487.18</v>
      </c>
      <c r="X11629" s="42">
        <v>29487.18</v>
      </c>
    </row>
    <row r="11630" spans="1:24">
      <c r="A11630" s="27" t="s">
        <v>21042</v>
      </c>
      <c r="B11630" s="28" t="s">
        <v>19918</v>
      </c>
      <c r="C11630" s="27" t="s">
        <v>21043</v>
      </c>
      <c r="D11630" s="27" t="s">
        <v>17578</v>
      </c>
      <c r="E11630" s="29">
        <v>41086</v>
      </c>
      <c r="F11630" s="27">
        <v>8</v>
      </c>
      <c r="G11630" s="18">
        <v>29487.18</v>
      </c>
      <c r="H11630" s="27">
        <f t="shared" si="362"/>
        <v>0</v>
      </c>
      <c r="I11630" s="18">
        <v>22760.41</v>
      </c>
      <c r="J11630" s="27">
        <v>29487.18</v>
      </c>
      <c r="K11630" s="18">
        <f t="shared" si="363"/>
        <v>0</v>
      </c>
      <c r="L11630" s="27">
        <v>26262.02</v>
      </c>
      <c r="M11630" s="36">
        <v>3501.61</v>
      </c>
      <c r="T11630" s="41">
        <v>0</v>
      </c>
      <c r="U11630" s="41">
        <v>0</v>
      </c>
      <c r="V11630" s="42" t="s">
        <v>113</v>
      </c>
      <c r="W11630" s="42">
        <v>29487.18</v>
      </c>
      <c r="X11630" s="42">
        <v>29487.18</v>
      </c>
    </row>
    <row r="11631" spans="1:24">
      <c r="A11631" s="27" t="s">
        <v>21044</v>
      </c>
      <c r="B11631" s="28" t="s">
        <v>19918</v>
      </c>
      <c r="C11631" s="27" t="s">
        <v>21045</v>
      </c>
      <c r="D11631" s="27" t="s">
        <v>17578</v>
      </c>
      <c r="E11631" s="29">
        <v>41086</v>
      </c>
      <c r="F11631" s="27">
        <v>8</v>
      </c>
      <c r="G11631" s="18">
        <v>29487.18</v>
      </c>
      <c r="H11631" s="27">
        <f t="shared" si="362"/>
        <v>0</v>
      </c>
      <c r="I11631" s="18">
        <v>22760.41</v>
      </c>
      <c r="J11631" s="27">
        <v>29487.18</v>
      </c>
      <c r="K11631" s="18">
        <f t="shared" si="363"/>
        <v>0</v>
      </c>
      <c r="L11631" s="27">
        <v>26262.02</v>
      </c>
      <c r="M11631" s="36">
        <v>3501.61</v>
      </c>
      <c r="T11631" s="41">
        <v>0</v>
      </c>
      <c r="U11631" s="41">
        <v>0</v>
      </c>
      <c r="V11631" s="42" t="s">
        <v>113</v>
      </c>
      <c r="W11631" s="42">
        <v>29487.18</v>
      </c>
      <c r="X11631" s="42">
        <v>29487.18</v>
      </c>
    </row>
    <row r="11632" spans="1:24">
      <c r="A11632" s="27" t="s">
        <v>21046</v>
      </c>
      <c r="B11632" s="28" t="s">
        <v>19918</v>
      </c>
      <c r="C11632" s="27" t="s">
        <v>21047</v>
      </c>
      <c r="D11632" s="27" t="s">
        <v>17578</v>
      </c>
      <c r="E11632" s="29">
        <v>41086</v>
      </c>
      <c r="F11632" s="27">
        <v>8</v>
      </c>
      <c r="G11632" s="18">
        <v>29487.18</v>
      </c>
      <c r="H11632" s="27">
        <f t="shared" si="362"/>
        <v>0</v>
      </c>
      <c r="I11632" s="18">
        <v>22760.41</v>
      </c>
      <c r="J11632" s="27">
        <v>29487.18</v>
      </c>
      <c r="K11632" s="18">
        <f t="shared" si="363"/>
        <v>0</v>
      </c>
      <c r="L11632" s="27">
        <v>26262.02</v>
      </c>
      <c r="M11632" s="36">
        <v>3501.61</v>
      </c>
      <c r="T11632" s="41">
        <v>0</v>
      </c>
      <c r="U11632" s="41">
        <v>0</v>
      </c>
      <c r="V11632" s="42" t="s">
        <v>113</v>
      </c>
      <c r="W11632" s="42">
        <v>29487.18</v>
      </c>
      <c r="X11632" s="42">
        <v>29487.18</v>
      </c>
    </row>
    <row r="11633" spans="1:24">
      <c r="A11633" s="27" t="s">
        <v>21048</v>
      </c>
      <c r="B11633" s="28" t="s">
        <v>19918</v>
      </c>
      <c r="C11633" s="27" t="s">
        <v>21049</v>
      </c>
      <c r="D11633" s="27" t="s">
        <v>17578</v>
      </c>
      <c r="E11633" s="29">
        <v>41177</v>
      </c>
      <c r="F11633" s="27">
        <v>8</v>
      </c>
      <c r="G11633" s="18">
        <v>14529.91</v>
      </c>
      <c r="H11633" s="27">
        <f t="shared" si="362"/>
        <v>0</v>
      </c>
      <c r="I11633" s="18">
        <v>10783.92</v>
      </c>
      <c r="J11633" s="27">
        <v>14529.91</v>
      </c>
      <c r="K11633" s="18">
        <f t="shared" si="363"/>
        <v>0</v>
      </c>
      <c r="L11633" s="27">
        <v>12509.34</v>
      </c>
      <c r="M11633" s="36">
        <v>1725.42</v>
      </c>
      <c r="T11633" s="41">
        <v>0</v>
      </c>
      <c r="U11633" s="41">
        <v>0</v>
      </c>
      <c r="V11633" s="42" t="s">
        <v>113</v>
      </c>
      <c r="W11633" s="42">
        <v>14529.91</v>
      </c>
      <c r="X11633" s="42">
        <v>14529.91</v>
      </c>
    </row>
    <row r="11634" spans="1:24">
      <c r="A11634" s="27" t="s">
        <v>21050</v>
      </c>
      <c r="B11634" s="28" t="s">
        <v>19918</v>
      </c>
      <c r="C11634" s="27" t="s">
        <v>21051</v>
      </c>
      <c r="D11634" s="27" t="s">
        <v>17578</v>
      </c>
      <c r="E11634" s="29">
        <v>41177</v>
      </c>
      <c r="F11634" s="27">
        <v>8</v>
      </c>
      <c r="G11634" s="18">
        <v>2735.04</v>
      </c>
      <c r="H11634" s="27">
        <f t="shared" si="362"/>
        <v>2735.04</v>
      </c>
      <c r="I11634" s="18">
        <v>2735.04</v>
      </c>
      <c r="J11634" s="27">
        <v>2735.04</v>
      </c>
      <c r="K11634" s="18">
        <f t="shared" si="363"/>
        <v>2735.04</v>
      </c>
      <c r="L11634" s="27">
        <v>2735.04</v>
      </c>
      <c r="M11634" s="36">
        <v>0</v>
      </c>
      <c r="T11634" s="41">
        <v>0</v>
      </c>
      <c r="U11634" s="41">
        <v>0</v>
      </c>
      <c r="V11634" s="42" t="s">
        <v>113</v>
      </c>
      <c r="W11634" s="42">
        <v>2735.04</v>
      </c>
      <c r="X11634" s="42">
        <v>2735.04</v>
      </c>
    </row>
    <row r="11635" spans="1:24">
      <c r="A11635" s="27" t="s">
        <v>21052</v>
      </c>
      <c r="B11635" s="28" t="s">
        <v>19918</v>
      </c>
      <c r="C11635" s="27" t="s">
        <v>21053</v>
      </c>
      <c r="D11635" s="27" t="s">
        <v>17578</v>
      </c>
      <c r="E11635" s="29">
        <v>41177</v>
      </c>
      <c r="F11635" s="27">
        <v>8</v>
      </c>
      <c r="G11635" s="18">
        <v>1367.52</v>
      </c>
      <c r="H11635" s="27">
        <f t="shared" si="362"/>
        <v>1367.52</v>
      </c>
      <c r="I11635" s="18">
        <v>1367.52</v>
      </c>
      <c r="J11635" s="27">
        <v>1367.52</v>
      </c>
      <c r="K11635" s="18">
        <f t="shared" si="363"/>
        <v>1367.52</v>
      </c>
      <c r="L11635" s="27">
        <v>1367.52</v>
      </c>
      <c r="M11635" s="36">
        <v>0</v>
      </c>
      <c r="T11635" s="41">
        <v>0</v>
      </c>
      <c r="U11635" s="41">
        <v>0</v>
      </c>
      <c r="V11635" s="42" t="s">
        <v>113</v>
      </c>
      <c r="W11635" s="42">
        <v>1367.52</v>
      </c>
      <c r="X11635" s="42">
        <v>1367.52</v>
      </c>
    </row>
    <row r="11636" spans="1:24">
      <c r="A11636" s="27" t="s">
        <v>21054</v>
      </c>
      <c r="B11636" s="28" t="s">
        <v>19918</v>
      </c>
      <c r="C11636" s="27" t="s">
        <v>21055</v>
      </c>
      <c r="D11636" s="27" t="s">
        <v>17578</v>
      </c>
      <c r="E11636" s="29">
        <v>41177</v>
      </c>
      <c r="F11636" s="27">
        <v>8</v>
      </c>
      <c r="G11636" s="18">
        <v>1196.58</v>
      </c>
      <c r="H11636" s="27">
        <f t="shared" si="362"/>
        <v>1196.58</v>
      </c>
      <c r="I11636" s="18">
        <v>1196.58</v>
      </c>
      <c r="J11636" s="27">
        <v>1196.58</v>
      </c>
      <c r="K11636" s="18">
        <f t="shared" si="363"/>
        <v>1196.58</v>
      </c>
      <c r="L11636" s="27">
        <v>1196.58</v>
      </c>
      <c r="M11636" s="36">
        <v>0</v>
      </c>
      <c r="T11636" s="41">
        <v>0</v>
      </c>
      <c r="U11636" s="41">
        <v>0</v>
      </c>
      <c r="V11636" s="42" t="s">
        <v>113</v>
      </c>
      <c r="W11636" s="42">
        <v>1196.58</v>
      </c>
      <c r="X11636" s="42">
        <v>1196.58</v>
      </c>
    </row>
    <row r="11637" spans="1:24">
      <c r="A11637" s="27" t="s">
        <v>21056</v>
      </c>
      <c r="B11637" s="28" t="s">
        <v>19918</v>
      </c>
      <c r="C11637" s="27" t="s">
        <v>21049</v>
      </c>
      <c r="D11637" s="27" t="s">
        <v>17578</v>
      </c>
      <c r="E11637" s="29">
        <v>41177</v>
      </c>
      <c r="F11637" s="27">
        <v>8</v>
      </c>
      <c r="G11637" s="18">
        <v>14529.91</v>
      </c>
      <c r="H11637" s="27">
        <f t="shared" si="362"/>
        <v>0</v>
      </c>
      <c r="I11637" s="18">
        <v>10783.92</v>
      </c>
      <c r="J11637" s="27">
        <v>14529.91</v>
      </c>
      <c r="K11637" s="18">
        <f t="shared" si="363"/>
        <v>0</v>
      </c>
      <c r="L11637" s="27">
        <v>12509.34</v>
      </c>
      <c r="M11637" s="36">
        <v>1725.42</v>
      </c>
      <c r="T11637" s="41">
        <v>0</v>
      </c>
      <c r="U11637" s="41">
        <v>0</v>
      </c>
      <c r="V11637" s="42" t="s">
        <v>113</v>
      </c>
      <c r="W11637" s="42">
        <v>14529.91</v>
      </c>
      <c r="X11637" s="42">
        <v>14529.91</v>
      </c>
    </row>
    <row r="11638" spans="1:24">
      <c r="A11638" s="27" t="s">
        <v>21057</v>
      </c>
      <c r="B11638" s="28" t="s">
        <v>19918</v>
      </c>
      <c r="C11638" s="27" t="s">
        <v>21051</v>
      </c>
      <c r="D11638" s="27" t="s">
        <v>17578</v>
      </c>
      <c r="E11638" s="29">
        <v>41177</v>
      </c>
      <c r="F11638" s="27">
        <v>8</v>
      </c>
      <c r="G11638" s="18">
        <v>2735.04</v>
      </c>
      <c r="H11638" s="27">
        <f t="shared" si="362"/>
        <v>2735.04</v>
      </c>
      <c r="I11638" s="18">
        <v>2735.04</v>
      </c>
      <c r="J11638" s="27">
        <v>2735.04</v>
      </c>
      <c r="K11638" s="18">
        <f t="shared" si="363"/>
        <v>2735.04</v>
      </c>
      <c r="L11638" s="27">
        <v>2735.04</v>
      </c>
      <c r="M11638" s="36">
        <v>0</v>
      </c>
      <c r="T11638" s="41">
        <v>0</v>
      </c>
      <c r="U11638" s="41">
        <v>0</v>
      </c>
      <c r="V11638" s="42" t="s">
        <v>113</v>
      </c>
      <c r="W11638" s="42">
        <v>2735.04</v>
      </c>
      <c r="X11638" s="42">
        <v>2735.04</v>
      </c>
    </row>
    <row r="11639" spans="1:24">
      <c r="A11639" s="27" t="s">
        <v>21058</v>
      </c>
      <c r="B11639" s="28" t="s">
        <v>19918</v>
      </c>
      <c r="C11639" s="27" t="s">
        <v>21053</v>
      </c>
      <c r="D11639" s="27" t="s">
        <v>17578</v>
      </c>
      <c r="E11639" s="29">
        <v>41177</v>
      </c>
      <c r="F11639" s="27">
        <v>8</v>
      </c>
      <c r="G11639" s="18">
        <v>1367.52</v>
      </c>
      <c r="H11639" s="27">
        <f t="shared" si="362"/>
        <v>1367.52</v>
      </c>
      <c r="I11639" s="18">
        <v>1367.52</v>
      </c>
      <c r="J11639" s="27">
        <v>1367.52</v>
      </c>
      <c r="K11639" s="18">
        <f t="shared" si="363"/>
        <v>1367.52</v>
      </c>
      <c r="L11639" s="27">
        <v>1367.52</v>
      </c>
      <c r="M11639" s="36">
        <v>0</v>
      </c>
      <c r="T11639" s="41">
        <v>0</v>
      </c>
      <c r="U11639" s="41">
        <v>0</v>
      </c>
      <c r="V11639" s="42" t="s">
        <v>113</v>
      </c>
      <c r="W11639" s="42">
        <v>1367.52</v>
      </c>
      <c r="X11639" s="42">
        <v>1367.52</v>
      </c>
    </row>
    <row r="11640" spans="1:24">
      <c r="A11640" s="27" t="s">
        <v>21059</v>
      </c>
      <c r="B11640" s="28" t="s">
        <v>19918</v>
      </c>
      <c r="C11640" s="27" t="s">
        <v>21055</v>
      </c>
      <c r="D11640" s="27" t="s">
        <v>17578</v>
      </c>
      <c r="E11640" s="29">
        <v>41177</v>
      </c>
      <c r="F11640" s="27">
        <v>8</v>
      </c>
      <c r="G11640" s="18">
        <v>1196.58</v>
      </c>
      <c r="H11640" s="27">
        <f t="shared" si="362"/>
        <v>1196.58</v>
      </c>
      <c r="I11640" s="18">
        <v>1196.58</v>
      </c>
      <c r="J11640" s="27">
        <v>1196.58</v>
      </c>
      <c r="K11640" s="18">
        <f t="shared" si="363"/>
        <v>1196.58</v>
      </c>
      <c r="L11640" s="27">
        <v>1196.58</v>
      </c>
      <c r="M11640" s="36">
        <v>0</v>
      </c>
      <c r="T11640" s="41">
        <v>0</v>
      </c>
      <c r="U11640" s="41">
        <v>0</v>
      </c>
      <c r="V11640" s="42" t="s">
        <v>113</v>
      </c>
      <c r="W11640" s="42">
        <v>1196.58</v>
      </c>
      <c r="X11640" s="42">
        <v>1196.58</v>
      </c>
    </row>
    <row r="11641" spans="1:24">
      <c r="A11641" s="27" t="s">
        <v>21060</v>
      </c>
      <c r="B11641" s="28" t="s">
        <v>19918</v>
      </c>
      <c r="C11641" s="27" t="s">
        <v>21049</v>
      </c>
      <c r="D11641" s="27" t="s">
        <v>17578</v>
      </c>
      <c r="E11641" s="29">
        <v>41177</v>
      </c>
      <c r="F11641" s="27">
        <v>8</v>
      </c>
      <c r="G11641" s="18">
        <v>14529.91</v>
      </c>
      <c r="H11641" s="27">
        <f t="shared" si="362"/>
        <v>0</v>
      </c>
      <c r="I11641" s="18">
        <v>10783.92</v>
      </c>
      <c r="J11641" s="27">
        <v>14529.91</v>
      </c>
      <c r="K11641" s="18">
        <f t="shared" si="363"/>
        <v>0</v>
      </c>
      <c r="L11641" s="27">
        <v>12509.34</v>
      </c>
      <c r="M11641" s="36">
        <v>1725.42</v>
      </c>
      <c r="T11641" s="41">
        <v>0</v>
      </c>
      <c r="U11641" s="41">
        <v>0</v>
      </c>
      <c r="V11641" s="42" t="s">
        <v>113</v>
      </c>
      <c r="W11641" s="42">
        <v>14529.91</v>
      </c>
      <c r="X11641" s="42">
        <v>14529.91</v>
      </c>
    </row>
    <row r="11642" spans="1:24">
      <c r="A11642" s="27" t="s">
        <v>21061</v>
      </c>
      <c r="B11642" s="28" t="s">
        <v>19918</v>
      </c>
      <c r="C11642" s="27" t="s">
        <v>21051</v>
      </c>
      <c r="D11642" s="27" t="s">
        <v>17578</v>
      </c>
      <c r="E11642" s="29">
        <v>41177</v>
      </c>
      <c r="F11642" s="27">
        <v>8</v>
      </c>
      <c r="G11642" s="18">
        <v>2735.04</v>
      </c>
      <c r="H11642" s="27">
        <f t="shared" si="362"/>
        <v>2735.04</v>
      </c>
      <c r="I11642" s="18">
        <v>2735.04</v>
      </c>
      <c r="J11642" s="27">
        <v>2735.04</v>
      </c>
      <c r="K11642" s="18">
        <f t="shared" si="363"/>
        <v>2735.04</v>
      </c>
      <c r="L11642" s="27">
        <v>2735.04</v>
      </c>
      <c r="M11642" s="36">
        <v>0</v>
      </c>
      <c r="T11642" s="41">
        <v>0</v>
      </c>
      <c r="U11642" s="41">
        <v>0</v>
      </c>
      <c r="V11642" s="42" t="s">
        <v>113</v>
      </c>
      <c r="W11642" s="42">
        <v>2735.04</v>
      </c>
      <c r="X11642" s="42">
        <v>2735.04</v>
      </c>
    </row>
    <row r="11643" spans="1:24">
      <c r="A11643" s="27" t="s">
        <v>21062</v>
      </c>
      <c r="B11643" s="28" t="s">
        <v>19918</v>
      </c>
      <c r="C11643" s="27" t="s">
        <v>21053</v>
      </c>
      <c r="D11643" s="27" t="s">
        <v>17578</v>
      </c>
      <c r="E11643" s="29">
        <v>41177</v>
      </c>
      <c r="F11643" s="27">
        <v>8</v>
      </c>
      <c r="G11643" s="18">
        <v>1367.52</v>
      </c>
      <c r="H11643" s="27">
        <f t="shared" si="362"/>
        <v>1367.52</v>
      </c>
      <c r="I11643" s="18">
        <v>1367.52</v>
      </c>
      <c r="J11643" s="27">
        <v>1367.52</v>
      </c>
      <c r="K11643" s="18">
        <f t="shared" si="363"/>
        <v>1367.52</v>
      </c>
      <c r="L11643" s="27">
        <v>1367.52</v>
      </c>
      <c r="M11643" s="36">
        <v>0</v>
      </c>
      <c r="T11643" s="41">
        <v>0</v>
      </c>
      <c r="U11643" s="41">
        <v>0</v>
      </c>
      <c r="V11643" s="42" t="s">
        <v>113</v>
      </c>
      <c r="W11643" s="42">
        <v>1367.52</v>
      </c>
      <c r="X11643" s="42">
        <v>1367.52</v>
      </c>
    </row>
    <row r="11644" spans="1:24">
      <c r="A11644" s="27" t="s">
        <v>21063</v>
      </c>
      <c r="B11644" s="28" t="s">
        <v>19918</v>
      </c>
      <c r="C11644" s="27" t="s">
        <v>21055</v>
      </c>
      <c r="D11644" s="27" t="s">
        <v>17578</v>
      </c>
      <c r="E11644" s="29">
        <v>41177</v>
      </c>
      <c r="F11644" s="27">
        <v>8</v>
      </c>
      <c r="G11644" s="18">
        <v>1196.58</v>
      </c>
      <c r="H11644" s="27">
        <f t="shared" si="362"/>
        <v>1196.58</v>
      </c>
      <c r="I11644" s="18">
        <v>1196.58</v>
      </c>
      <c r="J11644" s="27">
        <v>1196.58</v>
      </c>
      <c r="K11644" s="18">
        <f t="shared" si="363"/>
        <v>1196.58</v>
      </c>
      <c r="L11644" s="27">
        <v>1196.58</v>
      </c>
      <c r="M11644" s="36">
        <v>0</v>
      </c>
      <c r="T11644" s="41">
        <v>0</v>
      </c>
      <c r="U11644" s="41">
        <v>0</v>
      </c>
      <c r="V11644" s="42" t="s">
        <v>113</v>
      </c>
      <c r="W11644" s="42">
        <v>1196.58</v>
      </c>
      <c r="X11644" s="42">
        <v>1196.58</v>
      </c>
    </row>
    <row r="11645" spans="1:24">
      <c r="A11645" s="27" t="s">
        <v>21064</v>
      </c>
      <c r="B11645" s="28" t="s">
        <v>19918</v>
      </c>
      <c r="C11645" s="27" t="s">
        <v>21049</v>
      </c>
      <c r="D11645" s="27" t="s">
        <v>17578</v>
      </c>
      <c r="E11645" s="29">
        <v>41177</v>
      </c>
      <c r="F11645" s="27">
        <v>8</v>
      </c>
      <c r="G11645" s="18">
        <v>14529.91</v>
      </c>
      <c r="H11645" s="27">
        <f t="shared" si="362"/>
        <v>0</v>
      </c>
      <c r="I11645" s="18">
        <v>10783.92</v>
      </c>
      <c r="J11645" s="27">
        <v>14529.91</v>
      </c>
      <c r="K11645" s="18">
        <f t="shared" si="363"/>
        <v>0</v>
      </c>
      <c r="L11645" s="27">
        <v>12509.34</v>
      </c>
      <c r="M11645" s="36">
        <v>1725.42</v>
      </c>
      <c r="T11645" s="41">
        <v>0</v>
      </c>
      <c r="U11645" s="41">
        <v>0</v>
      </c>
      <c r="V11645" s="42" t="s">
        <v>113</v>
      </c>
      <c r="W11645" s="42">
        <v>14529.91</v>
      </c>
      <c r="X11645" s="42">
        <v>14529.91</v>
      </c>
    </row>
    <row r="11646" spans="1:24">
      <c r="A11646" s="27" t="s">
        <v>21065</v>
      </c>
      <c r="B11646" s="28" t="s">
        <v>19918</v>
      </c>
      <c r="C11646" s="27" t="s">
        <v>21051</v>
      </c>
      <c r="D11646" s="27" t="s">
        <v>17578</v>
      </c>
      <c r="E11646" s="29">
        <v>41177</v>
      </c>
      <c r="F11646" s="27">
        <v>8</v>
      </c>
      <c r="G11646" s="18">
        <v>2735.04</v>
      </c>
      <c r="H11646" s="27">
        <f t="shared" si="362"/>
        <v>2735.04</v>
      </c>
      <c r="I11646" s="18">
        <v>2735.04</v>
      </c>
      <c r="J11646" s="27">
        <v>2735.04</v>
      </c>
      <c r="K11646" s="18">
        <f t="shared" si="363"/>
        <v>2735.04</v>
      </c>
      <c r="L11646" s="27">
        <v>2735.04</v>
      </c>
      <c r="M11646" s="36">
        <v>0</v>
      </c>
      <c r="T11646" s="41">
        <v>0</v>
      </c>
      <c r="U11646" s="41">
        <v>0</v>
      </c>
      <c r="V11646" s="42" t="s">
        <v>113</v>
      </c>
      <c r="W11646" s="42">
        <v>2735.04</v>
      </c>
      <c r="X11646" s="42">
        <v>2735.04</v>
      </c>
    </row>
    <row r="11647" spans="1:24">
      <c r="A11647" s="27" t="s">
        <v>21066</v>
      </c>
      <c r="B11647" s="28" t="s">
        <v>19918</v>
      </c>
      <c r="C11647" s="27" t="s">
        <v>21053</v>
      </c>
      <c r="D11647" s="27" t="s">
        <v>17578</v>
      </c>
      <c r="E11647" s="29">
        <v>41177</v>
      </c>
      <c r="F11647" s="27">
        <v>8</v>
      </c>
      <c r="G11647" s="18">
        <v>1367.52</v>
      </c>
      <c r="H11647" s="27">
        <f t="shared" si="362"/>
        <v>1367.52</v>
      </c>
      <c r="I11647" s="18">
        <v>1367.52</v>
      </c>
      <c r="J11647" s="27">
        <v>1367.52</v>
      </c>
      <c r="K11647" s="18">
        <f t="shared" si="363"/>
        <v>1367.52</v>
      </c>
      <c r="L11647" s="27">
        <v>1367.52</v>
      </c>
      <c r="M11647" s="36">
        <v>0</v>
      </c>
      <c r="T11647" s="41">
        <v>0</v>
      </c>
      <c r="U11647" s="41">
        <v>0</v>
      </c>
      <c r="V11647" s="42" t="s">
        <v>113</v>
      </c>
      <c r="W11647" s="42">
        <v>1367.52</v>
      </c>
      <c r="X11647" s="42">
        <v>1367.52</v>
      </c>
    </row>
    <row r="11648" spans="1:24">
      <c r="A11648" s="27" t="s">
        <v>21067</v>
      </c>
      <c r="B11648" s="28" t="s">
        <v>19918</v>
      </c>
      <c r="C11648" s="27" t="s">
        <v>21055</v>
      </c>
      <c r="D11648" s="27" t="s">
        <v>17578</v>
      </c>
      <c r="E11648" s="29">
        <v>41177</v>
      </c>
      <c r="F11648" s="27">
        <v>8</v>
      </c>
      <c r="G11648" s="18">
        <v>1196.58</v>
      </c>
      <c r="H11648" s="27">
        <f t="shared" si="362"/>
        <v>1196.58</v>
      </c>
      <c r="I11648" s="18">
        <v>1196.58</v>
      </c>
      <c r="J11648" s="27">
        <v>1196.58</v>
      </c>
      <c r="K11648" s="18">
        <f t="shared" si="363"/>
        <v>1196.58</v>
      </c>
      <c r="L11648" s="27">
        <v>1196.58</v>
      </c>
      <c r="M11648" s="36">
        <v>0</v>
      </c>
      <c r="T11648" s="41">
        <v>0</v>
      </c>
      <c r="U11648" s="41">
        <v>0</v>
      </c>
      <c r="V11648" s="42" t="s">
        <v>113</v>
      </c>
      <c r="W11648" s="42">
        <v>1196.58</v>
      </c>
      <c r="X11648" s="42">
        <v>1196.58</v>
      </c>
    </row>
    <row r="11649" spans="1:24">
      <c r="A11649" s="27" t="s">
        <v>21068</v>
      </c>
      <c r="B11649" s="28" t="s">
        <v>19918</v>
      </c>
      <c r="C11649" s="27" t="s">
        <v>21049</v>
      </c>
      <c r="D11649" s="27" t="s">
        <v>17578</v>
      </c>
      <c r="E11649" s="29">
        <v>41177</v>
      </c>
      <c r="F11649" s="27">
        <v>8</v>
      </c>
      <c r="G11649" s="18">
        <v>14529.91</v>
      </c>
      <c r="H11649" s="27">
        <f t="shared" si="362"/>
        <v>0</v>
      </c>
      <c r="I11649" s="18">
        <v>10783.92</v>
      </c>
      <c r="J11649" s="27">
        <v>14529.91</v>
      </c>
      <c r="K11649" s="18">
        <f t="shared" si="363"/>
        <v>0</v>
      </c>
      <c r="L11649" s="27">
        <v>12509.34</v>
      </c>
      <c r="M11649" s="36">
        <v>1725.42</v>
      </c>
      <c r="T11649" s="41">
        <v>0</v>
      </c>
      <c r="U11649" s="41">
        <v>0</v>
      </c>
      <c r="V11649" s="42" t="s">
        <v>113</v>
      </c>
      <c r="W11649" s="42">
        <v>14529.91</v>
      </c>
      <c r="X11649" s="42">
        <v>14529.91</v>
      </c>
    </row>
    <row r="11650" spans="1:24">
      <c r="A11650" s="27" t="s">
        <v>21069</v>
      </c>
      <c r="B11650" s="28" t="s">
        <v>19918</v>
      </c>
      <c r="C11650" s="27" t="s">
        <v>21051</v>
      </c>
      <c r="D11650" s="27" t="s">
        <v>17578</v>
      </c>
      <c r="E11650" s="29">
        <v>41177</v>
      </c>
      <c r="F11650" s="27">
        <v>8</v>
      </c>
      <c r="G11650" s="18">
        <v>2735.04</v>
      </c>
      <c r="H11650" s="27">
        <f t="shared" si="362"/>
        <v>2735.04</v>
      </c>
      <c r="I11650" s="18">
        <v>2735.04</v>
      </c>
      <c r="J11650" s="27">
        <v>2735.04</v>
      </c>
      <c r="K11650" s="18">
        <f t="shared" si="363"/>
        <v>2735.04</v>
      </c>
      <c r="L11650" s="27">
        <v>2735.04</v>
      </c>
      <c r="M11650" s="36">
        <v>0</v>
      </c>
      <c r="T11650" s="41">
        <v>0</v>
      </c>
      <c r="U11650" s="41">
        <v>0</v>
      </c>
      <c r="V11650" s="42" t="s">
        <v>113</v>
      </c>
      <c r="W11650" s="42">
        <v>2735.04</v>
      </c>
      <c r="X11650" s="42">
        <v>2735.04</v>
      </c>
    </row>
    <row r="11651" spans="1:24">
      <c r="A11651" s="27" t="s">
        <v>21070</v>
      </c>
      <c r="B11651" s="28" t="s">
        <v>19918</v>
      </c>
      <c r="C11651" s="27" t="s">
        <v>21053</v>
      </c>
      <c r="D11651" s="27" t="s">
        <v>17578</v>
      </c>
      <c r="E11651" s="29">
        <v>41177</v>
      </c>
      <c r="F11651" s="27">
        <v>8</v>
      </c>
      <c r="G11651" s="18">
        <v>1367.52</v>
      </c>
      <c r="H11651" s="27">
        <f t="shared" si="362"/>
        <v>1367.52</v>
      </c>
      <c r="I11651" s="18">
        <v>1367.52</v>
      </c>
      <c r="J11651" s="27">
        <v>1367.52</v>
      </c>
      <c r="K11651" s="18">
        <f t="shared" si="363"/>
        <v>1367.52</v>
      </c>
      <c r="L11651" s="27">
        <v>1367.52</v>
      </c>
      <c r="M11651" s="36">
        <v>0</v>
      </c>
      <c r="T11651" s="41">
        <v>0</v>
      </c>
      <c r="U11651" s="41">
        <v>0</v>
      </c>
      <c r="V11651" s="42" t="s">
        <v>113</v>
      </c>
      <c r="W11651" s="42">
        <v>1367.52</v>
      </c>
      <c r="X11651" s="42">
        <v>1367.52</v>
      </c>
    </row>
    <row r="11652" spans="1:24">
      <c r="A11652" s="27" t="s">
        <v>21071</v>
      </c>
      <c r="B11652" s="28" t="s">
        <v>19918</v>
      </c>
      <c r="C11652" s="27" t="s">
        <v>21055</v>
      </c>
      <c r="D11652" s="27" t="s">
        <v>17578</v>
      </c>
      <c r="E11652" s="29">
        <v>41177</v>
      </c>
      <c r="F11652" s="27">
        <v>8</v>
      </c>
      <c r="G11652" s="18">
        <v>1196.58</v>
      </c>
      <c r="H11652" s="27">
        <f t="shared" si="362"/>
        <v>1196.58</v>
      </c>
      <c r="I11652" s="18">
        <v>1196.58</v>
      </c>
      <c r="J11652" s="27">
        <v>1196.58</v>
      </c>
      <c r="K11652" s="18">
        <f t="shared" si="363"/>
        <v>1196.58</v>
      </c>
      <c r="L11652" s="27">
        <v>1196.58</v>
      </c>
      <c r="M11652" s="36">
        <v>0</v>
      </c>
      <c r="T11652" s="41">
        <v>0</v>
      </c>
      <c r="U11652" s="41">
        <v>0</v>
      </c>
      <c r="V11652" s="42" t="s">
        <v>113</v>
      </c>
      <c r="W11652" s="42">
        <v>1196.58</v>
      </c>
      <c r="X11652" s="42">
        <v>1196.58</v>
      </c>
    </row>
    <row r="11653" spans="1:24">
      <c r="A11653" s="27" t="s">
        <v>21072</v>
      </c>
      <c r="B11653" s="28" t="s">
        <v>19918</v>
      </c>
      <c r="C11653" s="27" t="s">
        <v>21049</v>
      </c>
      <c r="D11653" s="27" t="s">
        <v>17578</v>
      </c>
      <c r="E11653" s="29">
        <v>41177</v>
      </c>
      <c r="F11653" s="27">
        <v>8</v>
      </c>
      <c r="G11653" s="18">
        <v>14529.91</v>
      </c>
      <c r="H11653" s="27">
        <f t="shared" si="362"/>
        <v>0</v>
      </c>
      <c r="I11653" s="18">
        <v>10783.92</v>
      </c>
      <c r="J11653" s="27">
        <v>14529.91</v>
      </c>
      <c r="K11653" s="18">
        <f t="shared" si="363"/>
        <v>0</v>
      </c>
      <c r="L11653" s="27">
        <v>12509.34</v>
      </c>
      <c r="M11653" s="36">
        <v>1725.42</v>
      </c>
      <c r="T11653" s="41">
        <v>0</v>
      </c>
      <c r="U11653" s="41">
        <v>0</v>
      </c>
      <c r="V11653" s="42" t="s">
        <v>113</v>
      </c>
      <c r="W11653" s="42">
        <v>14529.91</v>
      </c>
      <c r="X11653" s="42">
        <v>14529.91</v>
      </c>
    </row>
    <row r="11654" spans="1:24">
      <c r="A11654" s="27" t="s">
        <v>21073</v>
      </c>
      <c r="B11654" s="28" t="s">
        <v>19918</v>
      </c>
      <c r="C11654" s="27" t="s">
        <v>21051</v>
      </c>
      <c r="D11654" s="27" t="s">
        <v>17578</v>
      </c>
      <c r="E11654" s="29">
        <v>41177</v>
      </c>
      <c r="F11654" s="27">
        <v>8</v>
      </c>
      <c r="G11654" s="18">
        <v>2735.04</v>
      </c>
      <c r="H11654" s="27">
        <f t="shared" ref="H11654:H11717" si="364">IFERROR(IF(ROUND((G11654-I11654)/G11654,2)&lt;=0.05,G11654,0),0)</f>
        <v>2735.04</v>
      </c>
      <c r="I11654" s="18">
        <v>2735.04</v>
      </c>
      <c r="J11654" s="27">
        <v>2735.04</v>
      </c>
      <c r="K11654" s="18">
        <f t="shared" ref="K11654:K11717" si="365">IFERROR(IF(ROUND((J11654-L11654)/J11654,2)&lt;=0.05,J11654,0),0)</f>
        <v>2735.04</v>
      </c>
      <c r="L11654" s="27">
        <v>2735.04</v>
      </c>
      <c r="M11654" s="36">
        <v>0</v>
      </c>
      <c r="T11654" s="41">
        <v>0</v>
      </c>
      <c r="U11654" s="41">
        <v>0</v>
      </c>
      <c r="V11654" s="42" t="s">
        <v>113</v>
      </c>
      <c r="W11654" s="42">
        <v>2735.04</v>
      </c>
      <c r="X11654" s="42">
        <v>2735.04</v>
      </c>
    </row>
    <row r="11655" spans="1:24">
      <c r="A11655" s="27" t="s">
        <v>21074</v>
      </c>
      <c r="B11655" s="28" t="s">
        <v>19918</v>
      </c>
      <c r="C11655" s="27" t="s">
        <v>21053</v>
      </c>
      <c r="D11655" s="27" t="s">
        <v>17578</v>
      </c>
      <c r="E11655" s="29">
        <v>41177</v>
      </c>
      <c r="F11655" s="27">
        <v>8</v>
      </c>
      <c r="G11655" s="18">
        <v>1367.52</v>
      </c>
      <c r="H11655" s="27">
        <f t="shared" si="364"/>
        <v>1367.52</v>
      </c>
      <c r="I11655" s="18">
        <v>1367.52</v>
      </c>
      <c r="J11655" s="27">
        <v>1367.52</v>
      </c>
      <c r="K11655" s="18">
        <f t="shared" si="365"/>
        <v>1367.52</v>
      </c>
      <c r="L11655" s="27">
        <v>1367.52</v>
      </c>
      <c r="M11655" s="36">
        <v>0</v>
      </c>
      <c r="T11655" s="41">
        <v>0</v>
      </c>
      <c r="U11655" s="41">
        <v>0</v>
      </c>
      <c r="V11655" s="42" t="s">
        <v>113</v>
      </c>
      <c r="W11655" s="42">
        <v>1367.52</v>
      </c>
      <c r="X11655" s="42">
        <v>1367.52</v>
      </c>
    </row>
    <row r="11656" spans="1:24">
      <c r="A11656" s="27" t="s">
        <v>21075</v>
      </c>
      <c r="B11656" s="28" t="s">
        <v>19918</v>
      </c>
      <c r="C11656" s="27" t="s">
        <v>21055</v>
      </c>
      <c r="D11656" s="27" t="s">
        <v>17578</v>
      </c>
      <c r="E11656" s="29">
        <v>41177</v>
      </c>
      <c r="F11656" s="27">
        <v>8</v>
      </c>
      <c r="G11656" s="18">
        <v>1196.58</v>
      </c>
      <c r="H11656" s="27">
        <f t="shared" si="364"/>
        <v>1196.58</v>
      </c>
      <c r="I11656" s="18">
        <v>1196.58</v>
      </c>
      <c r="J11656" s="27">
        <v>1196.58</v>
      </c>
      <c r="K11656" s="18">
        <f t="shared" si="365"/>
        <v>1196.58</v>
      </c>
      <c r="L11656" s="27">
        <v>1196.58</v>
      </c>
      <c r="M11656" s="36">
        <v>0</v>
      </c>
      <c r="T11656" s="41">
        <v>0</v>
      </c>
      <c r="U11656" s="41">
        <v>0</v>
      </c>
      <c r="V11656" s="42" t="s">
        <v>113</v>
      </c>
      <c r="W11656" s="42">
        <v>1196.58</v>
      </c>
      <c r="X11656" s="42">
        <v>1196.58</v>
      </c>
    </row>
    <row r="11657" spans="1:24">
      <c r="A11657" s="27" t="s">
        <v>21076</v>
      </c>
      <c r="B11657" s="28" t="s">
        <v>19918</v>
      </c>
      <c r="C11657" s="27" t="s">
        <v>21049</v>
      </c>
      <c r="D11657" s="27" t="s">
        <v>17578</v>
      </c>
      <c r="E11657" s="29">
        <v>41177</v>
      </c>
      <c r="F11657" s="27">
        <v>8</v>
      </c>
      <c r="G11657" s="18">
        <v>14529.91</v>
      </c>
      <c r="H11657" s="27">
        <f t="shared" si="364"/>
        <v>0</v>
      </c>
      <c r="I11657" s="18">
        <v>10783.92</v>
      </c>
      <c r="J11657" s="27">
        <v>14529.91</v>
      </c>
      <c r="K11657" s="18">
        <f t="shared" si="365"/>
        <v>0</v>
      </c>
      <c r="L11657" s="27">
        <v>12509.34</v>
      </c>
      <c r="M11657" s="36">
        <v>1725.42</v>
      </c>
      <c r="T11657" s="41">
        <v>0</v>
      </c>
      <c r="U11657" s="41">
        <v>0</v>
      </c>
      <c r="V11657" s="42" t="s">
        <v>113</v>
      </c>
      <c r="W11657" s="42">
        <v>14529.91</v>
      </c>
      <c r="X11657" s="42">
        <v>14529.91</v>
      </c>
    </row>
    <row r="11658" spans="1:24">
      <c r="A11658" s="27" t="s">
        <v>21077</v>
      </c>
      <c r="B11658" s="28" t="s">
        <v>19918</v>
      </c>
      <c r="C11658" s="27" t="s">
        <v>21051</v>
      </c>
      <c r="D11658" s="27" t="s">
        <v>17578</v>
      </c>
      <c r="E11658" s="29">
        <v>41177</v>
      </c>
      <c r="F11658" s="27">
        <v>8</v>
      </c>
      <c r="G11658" s="18">
        <v>2735.04</v>
      </c>
      <c r="H11658" s="27">
        <f t="shared" si="364"/>
        <v>2735.04</v>
      </c>
      <c r="I11658" s="18">
        <v>2735.04</v>
      </c>
      <c r="J11658" s="27">
        <v>2735.04</v>
      </c>
      <c r="K11658" s="18">
        <f t="shared" si="365"/>
        <v>2735.04</v>
      </c>
      <c r="L11658" s="27">
        <v>2735.04</v>
      </c>
      <c r="M11658" s="36">
        <v>0</v>
      </c>
      <c r="T11658" s="41">
        <v>0</v>
      </c>
      <c r="U11658" s="41">
        <v>0</v>
      </c>
      <c r="V11658" s="42" t="s">
        <v>113</v>
      </c>
      <c r="W11658" s="42">
        <v>2735.04</v>
      </c>
      <c r="X11658" s="42">
        <v>2735.04</v>
      </c>
    </row>
    <row r="11659" spans="1:24">
      <c r="A11659" s="27" t="s">
        <v>21078</v>
      </c>
      <c r="B11659" s="28" t="s">
        <v>19918</v>
      </c>
      <c r="C11659" s="27" t="s">
        <v>21053</v>
      </c>
      <c r="D11659" s="27" t="s">
        <v>17578</v>
      </c>
      <c r="E11659" s="29">
        <v>41177</v>
      </c>
      <c r="F11659" s="27">
        <v>8</v>
      </c>
      <c r="G11659" s="18">
        <v>1367.52</v>
      </c>
      <c r="H11659" s="27">
        <f t="shared" si="364"/>
        <v>1367.52</v>
      </c>
      <c r="I11659" s="18">
        <v>1367.52</v>
      </c>
      <c r="J11659" s="27">
        <v>1367.52</v>
      </c>
      <c r="K11659" s="18">
        <f t="shared" si="365"/>
        <v>1367.52</v>
      </c>
      <c r="L11659" s="27">
        <v>1367.52</v>
      </c>
      <c r="M11659" s="36">
        <v>0</v>
      </c>
      <c r="T11659" s="41">
        <v>0</v>
      </c>
      <c r="U11659" s="41">
        <v>0</v>
      </c>
      <c r="V11659" s="42" t="s">
        <v>113</v>
      </c>
      <c r="W11659" s="42">
        <v>1367.52</v>
      </c>
      <c r="X11659" s="42">
        <v>1367.52</v>
      </c>
    </row>
    <row r="11660" spans="1:24">
      <c r="A11660" s="27" t="s">
        <v>21079</v>
      </c>
      <c r="B11660" s="28" t="s">
        <v>19918</v>
      </c>
      <c r="C11660" s="27" t="s">
        <v>21055</v>
      </c>
      <c r="D11660" s="27" t="s">
        <v>17578</v>
      </c>
      <c r="E11660" s="29">
        <v>41177</v>
      </c>
      <c r="F11660" s="27">
        <v>8</v>
      </c>
      <c r="G11660" s="18">
        <v>1196.58</v>
      </c>
      <c r="H11660" s="27">
        <f t="shared" si="364"/>
        <v>1196.58</v>
      </c>
      <c r="I11660" s="18">
        <v>1196.58</v>
      </c>
      <c r="J11660" s="27">
        <v>1196.58</v>
      </c>
      <c r="K11660" s="18">
        <f t="shared" si="365"/>
        <v>1196.58</v>
      </c>
      <c r="L11660" s="27">
        <v>1196.58</v>
      </c>
      <c r="M11660" s="36">
        <v>0</v>
      </c>
      <c r="T11660" s="41">
        <v>0</v>
      </c>
      <c r="U11660" s="41">
        <v>0</v>
      </c>
      <c r="V11660" s="42" t="s">
        <v>113</v>
      </c>
      <c r="W11660" s="42">
        <v>1196.58</v>
      </c>
      <c r="X11660" s="42">
        <v>1196.58</v>
      </c>
    </row>
    <row r="11661" spans="1:24">
      <c r="A11661" s="27" t="s">
        <v>21080</v>
      </c>
      <c r="B11661" s="28" t="s">
        <v>19918</v>
      </c>
      <c r="C11661" s="27" t="s">
        <v>21049</v>
      </c>
      <c r="D11661" s="27" t="s">
        <v>17578</v>
      </c>
      <c r="E11661" s="29">
        <v>41177</v>
      </c>
      <c r="F11661" s="27">
        <v>8</v>
      </c>
      <c r="G11661" s="18">
        <v>14529.91</v>
      </c>
      <c r="H11661" s="27">
        <f t="shared" si="364"/>
        <v>0</v>
      </c>
      <c r="I11661" s="18">
        <v>10783.92</v>
      </c>
      <c r="J11661" s="27">
        <v>14529.91</v>
      </c>
      <c r="K11661" s="18">
        <f t="shared" si="365"/>
        <v>0</v>
      </c>
      <c r="L11661" s="27">
        <v>12509.34</v>
      </c>
      <c r="M11661" s="36">
        <v>1725.42</v>
      </c>
      <c r="T11661" s="41">
        <v>0</v>
      </c>
      <c r="U11661" s="41">
        <v>0</v>
      </c>
      <c r="V11661" s="42" t="s">
        <v>113</v>
      </c>
      <c r="W11661" s="42">
        <v>14529.91</v>
      </c>
      <c r="X11661" s="42">
        <v>14529.91</v>
      </c>
    </row>
    <row r="11662" spans="1:24">
      <c r="A11662" s="27" t="s">
        <v>21081</v>
      </c>
      <c r="B11662" s="28" t="s">
        <v>19918</v>
      </c>
      <c r="C11662" s="27" t="s">
        <v>21051</v>
      </c>
      <c r="D11662" s="27" t="s">
        <v>17578</v>
      </c>
      <c r="E11662" s="29">
        <v>41177</v>
      </c>
      <c r="F11662" s="27">
        <v>8</v>
      </c>
      <c r="G11662" s="18">
        <v>2735.04</v>
      </c>
      <c r="H11662" s="27">
        <f t="shared" si="364"/>
        <v>2735.04</v>
      </c>
      <c r="I11662" s="18">
        <v>2735.04</v>
      </c>
      <c r="J11662" s="27">
        <v>2735.04</v>
      </c>
      <c r="K11662" s="18">
        <f t="shared" si="365"/>
        <v>2735.04</v>
      </c>
      <c r="L11662" s="27">
        <v>2735.04</v>
      </c>
      <c r="M11662" s="36">
        <v>0</v>
      </c>
      <c r="T11662" s="41">
        <v>0</v>
      </c>
      <c r="U11662" s="41">
        <v>0</v>
      </c>
      <c r="V11662" s="42" t="s">
        <v>113</v>
      </c>
      <c r="W11662" s="42">
        <v>2735.04</v>
      </c>
      <c r="X11662" s="42">
        <v>2735.04</v>
      </c>
    </row>
    <row r="11663" spans="1:24">
      <c r="A11663" s="27" t="s">
        <v>21082</v>
      </c>
      <c r="B11663" s="28" t="s">
        <v>19918</v>
      </c>
      <c r="C11663" s="27" t="s">
        <v>21053</v>
      </c>
      <c r="D11663" s="27" t="s">
        <v>17578</v>
      </c>
      <c r="E11663" s="29">
        <v>41177</v>
      </c>
      <c r="F11663" s="27">
        <v>8</v>
      </c>
      <c r="G11663" s="18">
        <v>1367.52</v>
      </c>
      <c r="H11663" s="27">
        <f t="shared" si="364"/>
        <v>1367.52</v>
      </c>
      <c r="I11663" s="18">
        <v>1367.52</v>
      </c>
      <c r="J11663" s="27">
        <v>1367.52</v>
      </c>
      <c r="K11663" s="18">
        <f t="shared" si="365"/>
        <v>1367.52</v>
      </c>
      <c r="L11663" s="27">
        <v>1367.52</v>
      </c>
      <c r="M11663" s="36">
        <v>0</v>
      </c>
      <c r="T11663" s="41">
        <v>0</v>
      </c>
      <c r="U11663" s="41">
        <v>0</v>
      </c>
      <c r="V11663" s="42" t="s">
        <v>113</v>
      </c>
      <c r="W11663" s="42">
        <v>1367.52</v>
      </c>
      <c r="X11663" s="42">
        <v>1367.52</v>
      </c>
    </row>
    <row r="11664" spans="1:24">
      <c r="A11664" s="27" t="s">
        <v>21083</v>
      </c>
      <c r="B11664" s="28" t="s">
        <v>19918</v>
      </c>
      <c r="C11664" s="27" t="s">
        <v>21055</v>
      </c>
      <c r="D11664" s="27" t="s">
        <v>17578</v>
      </c>
      <c r="E11664" s="29">
        <v>41177</v>
      </c>
      <c r="F11664" s="27">
        <v>8</v>
      </c>
      <c r="G11664" s="18">
        <v>1196.58</v>
      </c>
      <c r="H11664" s="27">
        <f t="shared" si="364"/>
        <v>1196.58</v>
      </c>
      <c r="I11664" s="18">
        <v>1196.58</v>
      </c>
      <c r="J11664" s="27">
        <v>1196.58</v>
      </c>
      <c r="K11664" s="18">
        <f t="shared" si="365"/>
        <v>1196.58</v>
      </c>
      <c r="L11664" s="27">
        <v>1196.58</v>
      </c>
      <c r="M11664" s="36">
        <v>0</v>
      </c>
      <c r="T11664" s="41">
        <v>0</v>
      </c>
      <c r="U11664" s="41">
        <v>0</v>
      </c>
      <c r="V11664" s="42" t="s">
        <v>113</v>
      </c>
      <c r="W11664" s="42">
        <v>1196.58</v>
      </c>
      <c r="X11664" s="42">
        <v>1196.58</v>
      </c>
    </row>
    <row r="11665" spans="1:24">
      <c r="A11665" s="27" t="s">
        <v>21084</v>
      </c>
      <c r="B11665" s="28" t="s">
        <v>19918</v>
      </c>
      <c r="C11665" s="27" t="s">
        <v>21049</v>
      </c>
      <c r="D11665" s="27" t="s">
        <v>17578</v>
      </c>
      <c r="E11665" s="29">
        <v>41177</v>
      </c>
      <c r="F11665" s="27">
        <v>8</v>
      </c>
      <c r="G11665" s="18">
        <v>14529.91</v>
      </c>
      <c r="H11665" s="27">
        <f t="shared" si="364"/>
        <v>0</v>
      </c>
      <c r="I11665" s="18">
        <v>10783.92</v>
      </c>
      <c r="J11665" s="27">
        <v>14529.91</v>
      </c>
      <c r="K11665" s="18">
        <f t="shared" si="365"/>
        <v>0</v>
      </c>
      <c r="L11665" s="27">
        <v>12509.34</v>
      </c>
      <c r="M11665" s="36">
        <v>1725.42</v>
      </c>
      <c r="T11665" s="41">
        <v>0</v>
      </c>
      <c r="U11665" s="41">
        <v>0</v>
      </c>
      <c r="V11665" s="42" t="s">
        <v>113</v>
      </c>
      <c r="W11665" s="42">
        <v>14529.91</v>
      </c>
      <c r="X11665" s="42">
        <v>14529.91</v>
      </c>
    </row>
    <row r="11666" spans="1:24">
      <c r="A11666" s="27" t="s">
        <v>21085</v>
      </c>
      <c r="B11666" s="28" t="s">
        <v>19918</v>
      </c>
      <c r="C11666" s="27" t="s">
        <v>21051</v>
      </c>
      <c r="D11666" s="27" t="s">
        <v>17578</v>
      </c>
      <c r="E11666" s="29">
        <v>41177</v>
      </c>
      <c r="F11666" s="27">
        <v>8</v>
      </c>
      <c r="G11666" s="18">
        <v>2735.04</v>
      </c>
      <c r="H11666" s="27">
        <f t="shared" si="364"/>
        <v>2735.04</v>
      </c>
      <c r="I11666" s="18">
        <v>2735.04</v>
      </c>
      <c r="J11666" s="27">
        <v>2735.04</v>
      </c>
      <c r="K11666" s="18">
        <f t="shared" si="365"/>
        <v>2735.04</v>
      </c>
      <c r="L11666" s="27">
        <v>2735.04</v>
      </c>
      <c r="M11666" s="36">
        <v>0</v>
      </c>
      <c r="T11666" s="41">
        <v>0</v>
      </c>
      <c r="U11666" s="41">
        <v>0</v>
      </c>
      <c r="V11666" s="42" t="s">
        <v>113</v>
      </c>
      <c r="W11666" s="42">
        <v>2735.04</v>
      </c>
      <c r="X11666" s="42">
        <v>2735.04</v>
      </c>
    </row>
    <row r="11667" spans="1:24">
      <c r="A11667" s="27" t="s">
        <v>21086</v>
      </c>
      <c r="B11667" s="28" t="s">
        <v>19918</v>
      </c>
      <c r="C11667" s="27" t="s">
        <v>21053</v>
      </c>
      <c r="D11667" s="27" t="s">
        <v>17578</v>
      </c>
      <c r="E11667" s="29">
        <v>41177</v>
      </c>
      <c r="F11667" s="27">
        <v>8</v>
      </c>
      <c r="G11667" s="18">
        <v>1367.52</v>
      </c>
      <c r="H11667" s="27">
        <f t="shared" si="364"/>
        <v>1367.52</v>
      </c>
      <c r="I11667" s="18">
        <v>1367.52</v>
      </c>
      <c r="J11667" s="27">
        <v>1367.52</v>
      </c>
      <c r="K11667" s="18">
        <f t="shared" si="365"/>
        <v>1367.52</v>
      </c>
      <c r="L11667" s="27">
        <v>1367.52</v>
      </c>
      <c r="M11667" s="36">
        <v>0</v>
      </c>
      <c r="T11667" s="41">
        <v>0</v>
      </c>
      <c r="U11667" s="41">
        <v>0</v>
      </c>
      <c r="V11667" s="42" t="s">
        <v>113</v>
      </c>
      <c r="W11667" s="42">
        <v>1367.52</v>
      </c>
      <c r="X11667" s="42">
        <v>1367.52</v>
      </c>
    </row>
    <row r="11668" spans="1:24">
      <c r="A11668" s="27" t="s">
        <v>21087</v>
      </c>
      <c r="B11668" s="28" t="s">
        <v>19918</v>
      </c>
      <c r="C11668" s="27" t="s">
        <v>21055</v>
      </c>
      <c r="D11668" s="27" t="s">
        <v>17578</v>
      </c>
      <c r="E11668" s="29">
        <v>41177</v>
      </c>
      <c r="F11668" s="27">
        <v>8</v>
      </c>
      <c r="G11668" s="18">
        <v>1196.58</v>
      </c>
      <c r="H11668" s="27">
        <f t="shared" si="364"/>
        <v>1196.58</v>
      </c>
      <c r="I11668" s="18">
        <v>1196.58</v>
      </c>
      <c r="J11668" s="27">
        <v>1196.58</v>
      </c>
      <c r="K11668" s="18">
        <f t="shared" si="365"/>
        <v>1196.58</v>
      </c>
      <c r="L11668" s="27">
        <v>1196.58</v>
      </c>
      <c r="M11668" s="36">
        <v>0</v>
      </c>
      <c r="T11668" s="41">
        <v>0</v>
      </c>
      <c r="U11668" s="41">
        <v>0</v>
      </c>
      <c r="V11668" s="42" t="s">
        <v>113</v>
      </c>
      <c r="W11668" s="42">
        <v>1196.58</v>
      </c>
      <c r="X11668" s="42">
        <v>1196.58</v>
      </c>
    </row>
    <row r="11669" spans="1:24">
      <c r="A11669" s="27" t="s">
        <v>21088</v>
      </c>
      <c r="B11669" s="28" t="s">
        <v>19918</v>
      </c>
      <c r="C11669" s="27" t="s">
        <v>21089</v>
      </c>
      <c r="D11669" s="27" t="s">
        <v>17578</v>
      </c>
      <c r="E11669" s="29">
        <v>41177</v>
      </c>
      <c r="F11669" s="27">
        <v>8</v>
      </c>
      <c r="G11669" s="18">
        <v>17606.84</v>
      </c>
      <c r="H11669" s="27">
        <f t="shared" si="364"/>
        <v>0</v>
      </c>
      <c r="I11669" s="18">
        <v>13067.57</v>
      </c>
      <c r="J11669" s="27">
        <v>17606.84</v>
      </c>
      <c r="K11669" s="18">
        <f t="shared" si="365"/>
        <v>0</v>
      </c>
      <c r="L11669" s="27">
        <v>15158.39</v>
      </c>
      <c r="M11669" s="36">
        <v>2090.8200000000002</v>
      </c>
      <c r="T11669" s="41">
        <v>0</v>
      </c>
      <c r="U11669" s="41">
        <v>0</v>
      </c>
      <c r="V11669" s="42" t="s">
        <v>113</v>
      </c>
      <c r="W11669" s="42">
        <v>17606.84</v>
      </c>
      <c r="X11669" s="42">
        <v>17606.84</v>
      </c>
    </row>
    <row r="11670" spans="1:24">
      <c r="A11670" s="27" t="s">
        <v>21090</v>
      </c>
      <c r="B11670" s="28" t="s">
        <v>19918</v>
      </c>
      <c r="C11670" s="27" t="s">
        <v>21091</v>
      </c>
      <c r="D11670" s="27" t="s">
        <v>17578</v>
      </c>
      <c r="E11670" s="29">
        <v>41177</v>
      </c>
      <c r="F11670" s="27">
        <v>8</v>
      </c>
      <c r="G11670" s="18">
        <v>5897.5</v>
      </c>
      <c r="H11670" s="27">
        <f t="shared" si="364"/>
        <v>0</v>
      </c>
      <c r="I11670" s="18">
        <v>4377.05</v>
      </c>
      <c r="J11670" s="27">
        <v>5897.5</v>
      </c>
      <c r="K11670" s="18">
        <f t="shared" si="365"/>
        <v>0</v>
      </c>
      <c r="L11670" s="27">
        <v>5077.38</v>
      </c>
      <c r="M11670" s="36">
        <v>700.33</v>
      </c>
      <c r="T11670" s="41">
        <v>0</v>
      </c>
      <c r="U11670" s="41">
        <v>0</v>
      </c>
      <c r="V11670" s="42" t="s">
        <v>113</v>
      </c>
      <c r="W11670" s="42">
        <v>5897.5</v>
      </c>
      <c r="X11670" s="42">
        <v>5897.5</v>
      </c>
    </row>
    <row r="11671" spans="1:24">
      <c r="A11671" s="27" t="s">
        <v>21092</v>
      </c>
      <c r="B11671" s="28" t="s">
        <v>19918</v>
      </c>
      <c r="C11671" s="27" t="s">
        <v>21093</v>
      </c>
      <c r="D11671" s="27" t="s">
        <v>17578</v>
      </c>
      <c r="E11671" s="29">
        <v>41177</v>
      </c>
      <c r="F11671" s="27">
        <v>8</v>
      </c>
      <c r="G11671" s="18">
        <v>4957.26</v>
      </c>
      <c r="H11671" s="27">
        <f t="shared" si="364"/>
        <v>4957.26</v>
      </c>
      <c r="I11671" s="18">
        <v>4957.26</v>
      </c>
      <c r="J11671" s="27">
        <v>4957.26</v>
      </c>
      <c r="K11671" s="18">
        <f t="shared" si="365"/>
        <v>4957.26</v>
      </c>
      <c r="L11671" s="27">
        <v>4957.26</v>
      </c>
      <c r="M11671" s="36">
        <v>0</v>
      </c>
      <c r="T11671" s="41">
        <v>0</v>
      </c>
      <c r="U11671" s="41">
        <v>0</v>
      </c>
      <c r="V11671" s="42" t="s">
        <v>113</v>
      </c>
      <c r="W11671" s="42">
        <v>4957.26</v>
      </c>
      <c r="X11671" s="42">
        <v>4957.26</v>
      </c>
    </row>
    <row r="11672" spans="1:24">
      <c r="A11672" s="27" t="s">
        <v>21094</v>
      </c>
      <c r="B11672" s="28" t="s">
        <v>19918</v>
      </c>
      <c r="C11672" s="27" t="s">
        <v>21095</v>
      </c>
      <c r="D11672" s="27" t="s">
        <v>17578</v>
      </c>
      <c r="E11672" s="29">
        <v>41177</v>
      </c>
      <c r="F11672" s="27">
        <v>8</v>
      </c>
      <c r="G11672" s="18">
        <v>8547.0400000000009</v>
      </c>
      <c r="H11672" s="27">
        <f t="shared" si="364"/>
        <v>0</v>
      </c>
      <c r="I11672" s="18">
        <v>6343.5</v>
      </c>
      <c r="J11672" s="27">
        <v>8547.0400000000009</v>
      </c>
      <c r="K11672" s="18">
        <f t="shared" si="365"/>
        <v>0</v>
      </c>
      <c r="L11672" s="27">
        <v>7358.47</v>
      </c>
      <c r="M11672" s="36">
        <v>1014.97</v>
      </c>
      <c r="T11672" s="41">
        <v>0</v>
      </c>
      <c r="U11672" s="41">
        <v>0</v>
      </c>
      <c r="V11672" s="42" t="s">
        <v>113</v>
      </c>
      <c r="W11672" s="42">
        <v>8547.0400000000009</v>
      </c>
      <c r="X11672" s="42">
        <v>8547.0400000000009</v>
      </c>
    </row>
    <row r="11673" spans="1:24">
      <c r="A11673" s="27" t="s">
        <v>21096</v>
      </c>
      <c r="B11673" s="28" t="s">
        <v>19918</v>
      </c>
      <c r="C11673" s="27" t="s">
        <v>21049</v>
      </c>
      <c r="D11673" s="27" t="s">
        <v>17578</v>
      </c>
      <c r="E11673" s="29">
        <v>41177</v>
      </c>
      <c r="F11673" s="27">
        <v>8</v>
      </c>
      <c r="G11673" s="18">
        <v>29059.83</v>
      </c>
      <c r="H11673" s="27">
        <f t="shared" si="364"/>
        <v>0</v>
      </c>
      <c r="I11673" s="18">
        <v>21567.84</v>
      </c>
      <c r="J11673" s="27">
        <v>29059.83</v>
      </c>
      <c r="K11673" s="18">
        <f t="shared" si="365"/>
        <v>0</v>
      </c>
      <c r="L11673" s="27">
        <v>25018.7</v>
      </c>
      <c r="M11673" s="36">
        <v>3450.86</v>
      </c>
      <c r="T11673" s="41">
        <v>0</v>
      </c>
      <c r="U11673" s="41">
        <v>0</v>
      </c>
      <c r="V11673" s="42" t="s">
        <v>113</v>
      </c>
      <c r="W11673" s="42">
        <v>29059.83</v>
      </c>
      <c r="X11673" s="42">
        <v>29059.83</v>
      </c>
    </row>
    <row r="11674" spans="1:24">
      <c r="A11674" s="27" t="s">
        <v>21097</v>
      </c>
      <c r="B11674" s="28" t="s">
        <v>19918</v>
      </c>
      <c r="C11674" s="27" t="s">
        <v>21051</v>
      </c>
      <c r="D11674" s="27" t="s">
        <v>17578</v>
      </c>
      <c r="E11674" s="29">
        <v>41177</v>
      </c>
      <c r="F11674" s="27">
        <v>8</v>
      </c>
      <c r="G11674" s="18">
        <v>5470.09</v>
      </c>
      <c r="H11674" s="27">
        <f t="shared" si="364"/>
        <v>0</v>
      </c>
      <c r="I11674" s="18">
        <v>4059.83</v>
      </c>
      <c r="J11674" s="27">
        <v>5470.09</v>
      </c>
      <c r="K11674" s="18">
        <f t="shared" si="365"/>
        <v>0</v>
      </c>
      <c r="L11674" s="27">
        <v>4709.41</v>
      </c>
      <c r="M11674" s="36">
        <v>649.58000000000004</v>
      </c>
      <c r="T11674" s="41">
        <v>0</v>
      </c>
      <c r="U11674" s="41">
        <v>0</v>
      </c>
      <c r="V11674" s="42" t="s">
        <v>113</v>
      </c>
      <c r="W11674" s="42">
        <v>5470.09</v>
      </c>
      <c r="X11674" s="42">
        <v>5470.09</v>
      </c>
    </row>
    <row r="11675" spans="1:24">
      <c r="A11675" s="27" t="s">
        <v>21098</v>
      </c>
      <c r="B11675" s="28" t="s">
        <v>19918</v>
      </c>
      <c r="C11675" s="27" t="s">
        <v>21053</v>
      </c>
      <c r="D11675" s="27" t="s">
        <v>17578</v>
      </c>
      <c r="E11675" s="29">
        <v>41177</v>
      </c>
      <c r="F11675" s="27">
        <v>8</v>
      </c>
      <c r="G11675" s="18">
        <v>2735.04</v>
      </c>
      <c r="H11675" s="27">
        <f t="shared" si="364"/>
        <v>2735.04</v>
      </c>
      <c r="I11675" s="18">
        <v>2735.04</v>
      </c>
      <c r="J11675" s="27">
        <v>2735.04</v>
      </c>
      <c r="K11675" s="18">
        <f t="shared" si="365"/>
        <v>2735.04</v>
      </c>
      <c r="L11675" s="27">
        <v>2735.04</v>
      </c>
      <c r="M11675" s="36">
        <v>0</v>
      </c>
      <c r="T11675" s="41">
        <v>0</v>
      </c>
      <c r="U11675" s="41">
        <v>0</v>
      </c>
      <c r="V11675" s="42" t="s">
        <v>113</v>
      </c>
      <c r="W11675" s="42">
        <v>2735.04</v>
      </c>
      <c r="X11675" s="42">
        <v>2735.04</v>
      </c>
    </row>
    <row r="11676" spans="1:24">
      <c r="A11676" s="27" t="s">
        <v>21099</v>
      </c>
      <c r="B11676" s="28" t="s">
        <v>19918</v>
      </c>
      <c r="C11676" s="27" t="s">
        <v>21055</v>
      </c>
      <c r="D11676" s="27" t="s">
        <v>17578</v>
      </c>
      <c r="E11676" s="29">
        <v>41177</v>
      </c>
      <c r="F11676" s="27">
        <v>8</v>
      </c>
      <c r="G11676" s="18">
        <v>2393.16</v>
      </c>
      <c r="H11676" s="27">
        <f t="shared" si="364"/>
        <v>2393.16</v>
      </c>
      <c r="I11676" s="18">
        <v>2393.16</v>
      </c>
      <c r="J11676" s="27">
        <v>2393.16</v>
      </c>
      <c r="K11676" s="18">
        <f t="shared" si="365"/>
        <v>2393.16</v>
      </c>
      <c r="L11676" s="27">
        <v>2393.16</v>
      </c>
      <c r="M11676" s="36">
        <v>0</v>
      </c>
      <c r="T11676" s="41">
        <v>0</v>
      </c>
      <c r="U11676" s="41">
        <v>0</v>
      </c>
      <c r="V11676" s="42" t="s">
        <v>113</v>
      </c>
      <c r="W11676" s="42">
        <v>2393.16</v>
      </c>
      <c r="X11676" s="42">
        <v>2393.16</v>
      </c>
    </row>
    <row r="11677" spans="1:24">
      <c r="A11677" s="27" t="s">
        <v>21100</v>
      </c>
      <c r="B11677" s="28" t="s">
        <v>19918</v>
      </c>
      <c r="C11677" s="27" t="s">
        <v>21101</v>
      </c>
      <c r="D11677" s="27" t="s">
        <v>17578</v>
      </c>
      <c r="E11677" s="29">
        <v>41215</v>
      </c>
      <c r="F11677" s="27">
        <v>8</v>
      </c>
      <c r="G11677" s="18">
        <v>1957559.71</v>
      </c>
      <c r="H11677" s="27">
        <f t="shared" si="364"/>
        <v>0</v>
      </c>
      <c r="I11677" s="18">
        <v>1411889</v>
      </c>
      <c r="J11677" s="27">
        <v>1957559.71</v>
      </c>
      <c r="K11677" s="18">
        <f t="shared" si="365"/>
        <v>0</v>
      </c>
      <c r="L11677" s="27">
        <v>1645519.98</v>
      </c>
      <c r="M11677" s="36">
        <v>233630.98</v>
      </c>
      <c r="T11677" s="41">
        <v>0</v>
      </c>
      <c r="U11677" s="41">
        <v>0</v>
      </c>
      <c r="V11677" s="42" t="s">
        <v>113</v>
      </c>
      <c r="W11677" s="42">
        <v>1957559.71</v>
      </c>
      <c r="X11677" s="42">
        <v>1957559.71</v>
      </c>
    </row>
    <row r="11678" spans="1:24">
      <c r="A11678" s="27" t="s">
        <v>21102</v>
      </c>
      <c r="B11678" s="28" t="s">
        <v>19918</v>
      </c>
      <c r="C11678" s="27" t="s">
        <v>21103</v>
      </c>
      <c r="D11678" s="27" t="s">
        <v>17578</v>
      </c>
      <c r="E11678" s="29">
        <v>41264</v>
      </c>
      <c r="F11678" s="27">
        <v>8</v>
      </c>
      <c r="G11678" s="18">
        <v>7692.31</v>
      </c>
      <c r="H11678" s="27">
        <f t="shared" si="364"/>
        <v>0</v>
      </c>
      <c r="I11678" s="18">
        <v>5480.76</v>
      </c>
      <c r="J11678" s="27">
        <v>7692.31</v>
      </c>
      <c r="K11678" s="18">
        <f t="shared" si="365"/>
        <v>0</v>
      </c>
      <c r="L11678" s="27">
        <v>6394.23</v>
      </c>
      <c r="M11678" s="36">
        <v>913.47</v>
      </c>
      <c r="T11678" s="41">
        <v>0</v>
      </c>
      <c r="U11678" s="41">
        <v>0</v>
      </c>
      <c r="V11678" s="42" t="s">
        <v>113</v>
      </c>
      <c r="W11678" s="42">
        <v>7692.31</v>
      </c>
      <c r="X11678" s="42">
        <v>7692.31</v>
      </c>
    </row>
    <row r="11679" spans="1:24">
      <c r="A11679" s="27" t="s">
        <v>21104</v>
      </c>
      <c r="B11679" s="28" t="s">
        <v>19918</v>
      </c>
      <c r="C11679" s="27" t="s">
        <v>21105</v>
      </c>
      <c r="D11679" s="27" t="s">
        <v>17578</v>
      </c>
      <c r="E11679" s="29">
        <v>41264</v>
      </c>
      <c r="F11679" s="27">
        <v>8</v>
      </c>
      <c r="G11679" s="18">
        <v>21282.05</v>
      </c>
      <c r="H11679" s="27">
        <f t="shared" si="364"/>
        <v>0</v>
      </c>
      <c r="I11679" s="18">
        <v>15163.46</v>
      </c>
      <c r="J11679" s="27">
        <v>21282.05</v>
      </c>
      <c r="K11679" s="18">
        <f t="shared" si="365"/>
        <v>0</v>
      </c>
      <c r="L11679" s="27">
        <v>17690.71</v>
      </c>
      <c r="M11679" s="36">
        <v>2527.25</v>
      </c>
      <c r="T11679" s="41">
        <v>0</v>
      </c>
      <c r="U11679" s="41">
        <v>0</v>
      </c>
      <c r="V11679" s="42" t="s">
        <v>113</v>
      </c>
      <c r="W11679" s="42">
        <v>21282.05</v>
      </c>
      <c r="X11679" s="42">
        <v>21282.05</v>
      </c>
    </row>
    <row r="11680" spans="1:24">
      <c r="A11680" s="27" t="s">
        <v>21106</v>
      </c>
      <c r="B11680" s="28" t="s">
        <v>19918</v>
      </c>
      <c r="C11680" s="27" t="s">
        <v>21107</v>
      </c>
      <c r="D11680" s="27" t="s">
        <v>17578</v>
      </c>
      <c r="E11680" s="29">
        <v>41267</v>
      </c>
      <c r="F11680" s="27">
        <v>8</v>
      </c>
      <c r="G11680" s="18">
        <v>55555.56</v>
      </c>
      <c r="H11680" s="27">
        <f t="shared" si="364"/>
        <v>0</v>
      </c>
      <c r="I11680" s="18">
        <v>39583.33</v>
      </c>
      <c r="J11680" s="27">
        <v>55555.56</v>
      </c>
      <c r="K11680" s="18">
        <f t="shared" si="365"/>
        <v>0</v>
      </c>
      <c r="L11680" s="27">
        <v>46180.56</v>
      </c>
      <c r="M11680" s="36">
        <v>6597.23</v>
      </c>
      <c r="T11680" s="41">
        <v>0</v>
      </c>
      <c r="U11680" s="41">
        <v>0</v>
      </c>
      <c r="V11680" s="42" t="s">
        <v>113</v>
      </c>
      <c r="W11680" s="42">
        <v>55555.56</v>
      </c>
      <c r="X11680" s="42">
        <v>55555.56</v>
      </c>
    </row>
    <row r="11681" spans="1:24">
      <c r="A11681" s="27" t="s">
        <v>21108</v>
      </c>
      <c r="B11681" s="28" t="s">
        <v>19918</v>
      </c>
      <c r="C11681" s="27" t="s">
        <v>21109</v>
      </c>
      <c r="D11681" s="27" t="s">
        <v>17578</v>
      </c>
      <c r="E11681" s="29">
        <v>41264</v>
      </c>
      <c r="F11681" s="27">
        <v>8</v>
      </c>
      <c r="G11681" s="18">
        <v>3038.46</v>
      </c>
      <c r="H11681" s="27">
        <f t="shared" si="364"/>
        <v>3038.46</v>
      </c>
      <c r="I11681" s="18">
        <v>3038.46</v>
      </c>
      <c r="J11681" s="27">
        <v>3038.46</v>
      </c>
      <c r="K11681" s="18">
        <f t="shared" si="365"/>
        <v>3038.46</v>
      </c>
      <c r="L11681" s="27">
        <v>3038.46</v>
      </c>
      <c r="M11681" s="36">
        <v>0</v>
      </c>
      <c r="T11681" s="41">
        <v>0</v>
      </c>
      <c r="U11681" s="41">
        <v>0</v>
      </c>
      <c r="V11681" s="42" t="s">
        <v>113</v>
      </c>
      <c r="W11681" s="42">
        <v>3038.46</v>
      </c>
      <c r="X11681" s="42">
        <v>3038.46</v>
      </c>
    </row>
    <row r="11682" spans="1:24">
      <c r="A11682" s="27" t="s">
        <v>21110</v>
      </c>
      <c r="B11682" s="28" t="s">
        <v>19918</v>
      </c>
      <c r="C11682" s="27" t="s">
        <v>21111</v>
      </c>
      <c r="D11682" s="27" t="s">
        <v>17578</v>
      </c>
      <c r="E11682" s="29">
        <v>41264</v>
      </c>
      <c r="F11682" s="27">
        <v>8</v>
      </c>
      <c r="G11682" s="18">
        <v>15824.79</v>
      </c>
      <c r="H11682" s="27">
        <f t="shared" si="364"/>
        <v>0</v>
      </c>
      <c r="I11682" s="18">
        <v>11275.16</v>
      </c>
      <c r="J11682" s="27">
        <v>15824.79</v>
      </c>
      <c r="K11682" s="18">
        <f t="shared" si="365"/>
        <v>0</v>
      </c>
      <c r="L11682" s="27">
        <v>13154.36</v>
      </c>
      <c r="M11682" s="36">
        <v>1879.2</v>
      </c>
      <c r="T11682" s="41">
        <v>0</v>
      </c>
      <c r="U11682" s="41">
        <v>0</v>
      </c>
      <c r="V11682" s="42" t="s">
        <v>113</v>
      </c>
      <c r="W11682" s="42">
        <v>15824.79</v>
      </c>
      <c r="X11682" s="42">
        <v>15824.79</v>
      </c>
    </row>
    <row r="11683" spans="1:24">
      <c r="A11683" s="27" t="s">
        <v>21112</v>
      </c>
      <c r="B11683" s="28" t="s">
        <v>19918</v>
      </c>
      <c r="C11683" s="27" t="s">
        <v>21113</v>
      </c>
      <c r="D11683" s="27" t="s">
        <v>17578</v>
      </c>
      <c r="E11683" s="29">
        <v>41264</v>
      </c>
      <c r="F11683" s="27">
        <v>8</v>
      </c>
      <c r="G11683" s="18">
        <v>3376.07</v>
      </c>
      <c r="H11683" s="27">
        <f t="shared" si="364"/>
        <v>3376.07</v>
      </c>
      <c r="I11683" s="18">
        <v>3376.07</v>
      </c>
      <c r="J11683" s="27">
        <v>3376.07</v>
      </c>
      <c r="K11683" s="18">
        <f t="shared" si="365"/>
        <v>3376.07</v>
      </c>
      <c r="L11683" s="27">
        <v>3376.07</v>
      </c>
      <c r="M11683" s="36">
        <v>0</v>
      </c>
      <c r="T11683" s="41">
        <v>0</v>
      </c>
      <c r="U11683" s="41">
        <v>0</v>
      </c>
      <c r="V11683" s="42" t="s">
        <v>113</v>
      </c>
      <c r="W11683" s="42">
        <v>3376.07</v>
      </c>
      <c r="X11683" s="42">
        <v>3376.07</v>
      </c>
    </row>
    <row r="11684" spans="1:24">
      <c r="A11684" s="27" t="s">
        <v>21114</v>
      </c>
      <c r="B11684" s="28" t="s">
        <v>19918</v>
      </c>
      <c r="C11684" s="27" t="s">
        <v>21113</v>
      </c>
      <c r="D11684" s="27" t="s">
        <v>17578</v>
      </c>
      <c r="E11684" s="29">
        <v>41264</v>
      </c>
      <c r="F11684" s="27">
        <v>8</v>
      </c>
      <c r="G11684" s="18">
        <v>4829.0600000000004</v>
      </c>
      <c r="H11684" s="27">
        <f t="shared" si="364"/>
        <v>4829.0600000000004</v>
      </c>
      <c r="I11684" s="18">
        <v>4829.0600000000004</v>
      </c>
      <c r="J11684" s="27">
        <v>4829.0600000000004</v>
      </c>
      <c r="K11684" s="18">
        <f t="shared" si="365"/>
        <v>4829.0600000000004</v>
      </c>
      <c r="L11684" s="27">
        <v>4829.0600000000004</v>
      </c>
      <c r="M11684" s="36">
        <v>0</v>
      </c>
      <c r="T11684" s="41">
        <v>0</v>
      </c>
      <c r="U11684" s="41">
        <v>0</v>
      </c>
      <c r="V11684" s="42" t="s">
        <v>113</v>
      </c>
      <c r="W11684" s="42">
        <v>4829.0600000000004</v>
      </c>
      <c r="X11684" s="42">
        <v>4829.0600000000004</v>
      </c>
    </row>
    <row r="11685" spans="1:24">
      <c r="A11685" s="27" t="s">
        <v>21115</v>
      </c>
      <c r="B11685" s="28" t="s">
        <v>19918</v>
      </c>
      <c r="C11685" s="27" t="s">
        <v>21116</v>
      </c>
      <c r="D11685" s="27" t="s">
        <v>17578</v>
      </c>
      <c r="E11685" s="29">
        <v>41264</v>
      </c>
      <c r="F11685" s="27">
        <v>8</v>
      </c>
      <c r="G11685" s="18">
        <v>3205.13</v>
      </c>
      <c r="H11685" s="27">
        <f t="shared" si="364"/>
        <v>3205.13</v>
      </c>
      <c r="I11685" s="18">
        <v>3205.13</v>
      </c>
      <c r="J11685" s="27">
        <v>3205.13</v>
      </c>
      <c r="K11685" s="18">
        <f t="shared" si="365"/>
        <v>3205.13</v>
      </c>
      <c r="L11685" s="27">
        <v>3205.13</v>
      </c>
      <c r="M11685" s="36">
        <v>0</v>
      </c>
      <c r="T11685" s="41">
        <v>0</v>
      </c>
      <c r="U11685" s="41">
        <v>0</v>
      </c>
      <c r="V11685" s="42" t="s">
        <v>113</v>
      </c>
      <c r="W11685" s="42">
        <v>3205.13</v>
      </c>
      <c r="X11685" s="42">
        <v>3205.13</v>
      </c>
    </row>
    <row r="11686" spans="1:24">
      <c r="A11686" s="27" t="s">
        <v>21117</v>
      </c>
      <c r="B11686" s="28" t="s">
        <v>19918</v>
      </c>
      <c r="C11686" s="27" t="s">
        <v>21118</v>
      </c>
      <c r="D11686" s="27" t="s">
        <v>17578</v>
      </c>
      <c r="E11686" s="29">
        <v>41264</v>
      </c>
      <c r="F11686" s="27">
        <v>8</v>
      </c>
      <c r="G11686" s="18">
        <v>2435.89</v>
      </c>
      <c r="H11686" s="27">
        <f t="shared" si="364"/>
        <v>2435.89</v>
      </c>
      <c r="I11686" s="18">
        <v>2435.89</v>
      </c>
      <c r="J11686" s="27">
        <v>2435.89</v>
      </c>
      <c r="K11686" s="18">
        <f t="shared" si="365"/>
        <v>2435.89</v>
      </c>
      <c r="L11686" s="27">
        <v>2435.89</v>
      </c>
      <c r="M11686" s="36">
        <v>0</v>
      </c>
      <c r="T11686" s="41">
        <v>0</v>
      </c>
      <c r="U11686" s="41">
        <v>0</v>
      </c>
      <c r="V11686" s="42" t="s">
        <v>113</v>
      </c>
      <c r="W11686" s="42">
        <v>2435.89</v>
      </c>
      <c r="X11686" s="42">
        <v>2435.89</v>
      </c>
    </row>
    <row r="11687" spans="1:24">
      <c r="A11687" s="27" t="s">
        <v>21119</v>
      </c>
      <c r="B11687" s="28" t="s">
        <v>19918</v>
      </c>
      <c r="C11687" s="27" t="s">
        <v>21118</v>
      </c>
      <c r="D11687" s="27" t="s">
        <v>17578</v>
      </c>
      <c r="E11687" s="29">
        <v>41264</v>
      </c>
      <c r="F11687" s="27">
        <v>8</v>
      </c>
      <c r="G11687" s="18">
        <v>2435.9</v>
      </c>
      <c r="H11687" s="27">
        <f t="shared" si="364"/>
        <v>2435.9</v>
      </c>
      <c r="I11687" s="18">
        <v>2435.9</v>
      </c>
      <c r="J11687" s="27">
        <v>2435.9</v>
      </c>
      <c r="K11687" s="18">
        <f t="shared" si="365"/>
        <v>2435.9</v>
      </c>
      <c r="L11687" s="27">
        <v>2435.9</v>
      </c>
      <c r="M11687" s="36">
        <v>0</v>
      </c>
      <c r="T11687" s="41">
        <v>0</v>
      </c>
      <c r="U11687" s="41">
        <v>0</v>
      </c>
      <c r="V11687" s="42" t="s">
        <v>113</v>
      </c>
      <c r="W11687" s="42">
        <v>2435.9</v>
      </c>
      <c r="X11687" s="42">
        <v>2435.9</v>
      </c>
    </row>
    <row r="11688" spans="1:24">
      <c r="A11688" s="27" t="s">
        <v>21120</v>
      </c>
      <c r="B11688" s="28" t="s">
        <v>19918</v>
      </c>
      <c r="C11688" s="27" t="s">
        <v>21103</v>
      </c>
      <c r="D11688" s="27" t="s">
        <v>17578</v>
      </c>
      <c r="E11688" s="29">
        <v>41264</v>
      </c>
      <c r="F11688" s="27">
        <v>8</v>
      </c>
      <c r="G11688" s="18">
        <v>7692.31</v>
      </c>
      <c r="H11688" s="27">
        <f t="shared" si="364"/>
        <v>0</v>
      </c>
      <c r="I11688" s="18">
        <v>5480.76</v>
      </c>
      <c r="J11688" s="27">
        <v>7692.31</v>
      </c>
      <c r="K11688" s="18">
        <f t="shared" si="365"/>
        <v>0</v>
      </c>
      <c r="L11688" s="27">
        <v>6394.23</v>
      </c>
      <c r="M11688" s="36">
        <v>913.47</v>
      </c>
      <c r="T11688" s="41">
        <v>0</v>
      </c>
      <c r="U11688" s="41">
        <v>0</v>
      </c>
      <c r="V11688" s="42" t="s">
        <v>113</v>
      </c>
      <c r="W11688" s="42">
        <v>7692.31</v>
      </c>
      <c r="X11688" s="42">
        <v>7692.31</v>
      </c>
    </row>
    <row r="11689" spans="1:24">
      <c r="A11689" s="27" t="s">
        <v>21121</v>
      </c>
      <c r="B11689" s="28" t="s">
        <v>19918</v>
      </c>
      <c r="C11689" s="27" t="s">
        <v>21103</v>
      </c>
      <c r="D11689" s="27" t="s">
        <v>17578</v>
      </c>
      <c r="E11689" s="29">
        <v>41264</v>
      </c>
      <c r="F11689" s="27">
        <v>8</v>
      </c>
      <c r="G11689" s="18">
        <v>7692.31</v>
      </c>
      <c r="H11689" s="27">
        <f t="shared" si="364"/>
        <v>0</v>
      </c>
      <c r="I11689" s="18">
        <v>5480.76</v>
      </c>
      <c r="J11689" s="27">
        <v>7692.31</v>
      </c>
      <c r="K11689" s="18">
        <f t="shared" si="365"/>
        <v>0</v>
      </c>
      <c r="L11689" s="27">
        <v>6394.23</v>
      </c>
      <c r="M11689" s="36">
        <v>913.47</v>
      </c>
      <c r="T11689" s="41">
        <v>0</v>
      </c>
      <c r="U11689" s="41">
        <v>0</v>
      </c>
      <c r="V11689" s="42" t="s">
        <v>113</v>
      </c>
      <c r="W11689" s="42">
        <v>7692.31</v>
      </c>
      <c r="X11689" s="42">
        <v>7692.31</v>
      </c>
    </row>
    <row r="11690" spans="1:24">
      <c r="A11690" s="27" t="s">
        <v>21122</v>
      </c>
      <c r="B11690" s="28" t="s">
        <v>19918</v>
      </c>
      <c r="C11690" s="27" t="s">
        <v>21103</v>
      </c>
      <c r="D11690" s="27" t="s">
        <v>17578</v>
      </c>
      <c r="E11690" s="29">
        <v>41264</v>
      </c>
      <c r="F11690" s="27">
        <v>8</v>
      </c>
      <c r="G11690" s="18">
        <v>7692.31</v>
      </c>
      <c r="H11690" s="27">
        <f t="shared" si="364"/>
        <v>0</v>
      </c>
      <c r="I11690" s="18">
        <v>5480.76</v>
      </c>
      <c r="J11690" s="27">
        <v>7692.31</v>
      </c>
      <c r="K11690" s="18">
        <f t="shared" si="365"/>
        <v>0</v>
      </c>
      <c r="L11690" s="27">
        <v>6394.23</v>
      </c>
      <c r="M11690" s="36">
        <v>913.47</v>
      </c>
      <c r="T11690" s="41">
        <v>0</v>
      </c>
      <c r="U11690" s="41">
        <v>0</v>
      </c>
      <c r="V11690" s="42" t="s">
        <v>113</v>
      </c>
      <c r="W11690" s="42">
        <v>7692.31</v>
      </c>
      <c r="X11690" s="42">
        <v>7692.31</v>
      </c>
    </row>
    <row r="11691" spans="1:24">
      <c r="A11691" s="27" t="s">
        <v>21123</v>
      </c>
      <c r="B11691" s="28" t="s">
        <v>19918</v>
      </c>
      <c r="C11691" s="27" t="s">
        <v>21109</v>
      </c>
      <c r="D11691" s="27" t="s">
        <v>17578</v>
      </c>
      <c r="E11691" s="29">
        <v>41264</v>
      </c>
      <c r="F11691" s="27">
        <v>8</v>
      </c>
      <c r="G11691" s="18">
        <v>3038.46</v>
      </c>
      <c r="H11691" s="27">
        <f t="shared" si="364"/>
        <v>3038.46</v>
      </c>
      <c r="I11691" s="18">
        <v>3038.46</v>
      </c>
      <c r="J11691" s="27">
        <v>3038.46</v>
      </c>
      <c r="K11691" s="18">
        <f t="shared" si="365"/>
        <v>3038.46</v>
      </c>
      <c r="L11691" s="27">
        <v>3038.46</v>
      </c>
      <c r="M11691" s="36">
        <v>0</v>
      </c>
      <c r="T11691" s="41">
        <v>0</v>
      </c>
      <c r="U11691" s="41">
        <v>0</v>
      </c>
      <c r="V11691" s="42" t="s">
        <v>113</v>
      </c>
      <c r="W11691" s="42">
        <v>3038.46</v>
      </c>
      <c r="X11691" s="42">
        <v>3038.46</v>
      </c>
    </row>
    <row r="11692" spans="1:24">
      <c r="A11692" s="27" t="s">
        <v>21124</v>
      </c>
      <c r="B11692" s="28" t="s">
        <v>19918</v>
      </c>
      <c r="C11692" s="27" t="s">
        <v>21125</v>
      </c>
      <c r="D11692" s="27" t="s">
        <v>17578</v>
      </c>
      <c r="E11692" s="29">
        <v>42369</v>
      </c>
      <c r="F11692" s="27">
        <v>8</v>
      </c>
      <c r="G11692" s="18">
        <v>44930.22</v>
      </c>
      <c r="H11692" s="27">
        <f t="shared" si="364"/>
        <v>0</v>
      </c>
      <c r="I11692" s="18">
        <v>16001.44</v>
      </c>
      <c r="J11692" s="27">
        <v>44930.22</v>
      </c>
      <c r="K11692" s="18">
        <f t="shared" si="365"/>
        <v>0</v>
      </c>
      <c r="L11692" s="27">
        <v>21337.89</v>
      </c>
      <c r="M11692" s="36">
        <v>5336.45</v>
      </c>
      <c r="T11692" s="41">
        <v>0</v>
      </c>
      <c r="U11692" s="41">
        <v>0</v>
      </c>
      <c r="V11692" s="42" t="s">
        <v>113</v>
      </c>
      <c r="W11692" s="42">
        <v>0</v>
      </c>
      <c r="X11692" s="42">
        <v>0</v>
      </c>
    </row>
    <row r="11693" spans="1:24">
      <c r="A11693" s="27" t="s">
        <v>21126</v>
      </c>
      <c r="B11693" s="28" t="s">
        <v>19918</v>
      </c>
      <c r="C11693" s="27" t="s">
        <v>21127</v>
      </c>
      <c r="D11693" s="27" t="s">
        <v>17578</v>
      </c>
      <c r="E11693" s="29">
        <v>42369</v>
      </c>
      <c r="F11693" s="27">
        <v>8</v>
      </c>
      <c r="G11693" s="18">
        <v>44871.79</v>
      </c>
      <c r="H11693" s="27">
        <f t="shared" si="364"/>
        <v>0</v>
      </c>
      <c r="I11693" s="18">
        <v>15985.58</v>
      </c>
      <c r="J11693" s="27">
        <v>44871.79</v>
      </c>
      <c r="K11693" s="18">
        <f t="shared" si="365"/>
        <v>0</v>
      </c>
      <c r="L11693" s="27">
        <v>21314.1</v>
      </c>
      <c r="M11693" s="36">
        <v>5328.52</v>
      </c>
      <c r="T11693" s="41">
        <v>0</v>
      </c>
      <c r="U11693" s="41">
        <v>0</v>
      </c>
      <c r="V11693" s="42" t="s">
        <v>113</v>
      </c>
      <c r="W11693" s="42">
        <v>0</v>
      </c>
      <c r="X11693" s="42">
        <v>0</v>
      </c>
    </row>
    <row r="11694" spans="1:24">
      <c r="A11694" s="27" t="s">
        <v>21128</v>
      </c>
      <c r="B11694" s="28" t="s">
        <v>19918</v>
      </c>
      <c r="C11694" s="27" t="s">
        <v>21129</v>
      </c>
      <c r="D11694" s="27" t="s">
        <v>17578</v>
      </c>
      <c r="E11694" s="29">
        <v>42613</v>
      </c>
      <c r="F11694" s="27">
        <v>8</v>
      </c>
      <c r="G11694" s="18">
        <v>36000</v>
      </c>
      <c r="H11694" s="27">
        <f t="shared" si="364"/>
        <v>0</v>
      </c>
      <c r="I11694" s="18">
        <v>12112.5</v>
      </c>
      <c r="J11694" s="27">
        <v>36000</v>
      </c>
      <c r="K11694" s="18">
        <f t="shared" si="365"/>
        <v>0</v>
      </c>
      <c r="L11694" s="27">
        <v>16387.5</v>
      </c>
      <c r="M11694" s="36">
        <v>4275</v>
      </c>
      <c r="T11694" s="41">
        <v>0</v>
      </c>
      <c r="U11694" s="41">
        <v>0</v>
      </c>
      <c r="V11694" s="42" t="s">
        <v>113</v>
      </c>
      <c r="W11694" s="42">
        <v>0</v>
      </c>
      <c r="X11694" s="42">
        <v>0</v>
      </c>
    </row>
    <row r="11695" spans="1:24">
      <c r="A11695" s="27" t="s">
        <v>21130</v>
      </c>
      <c r="B11695" s="28" t="s">
        <v>19918</v>
      </c>
      <c r="C11695" s="27" t="s">
        <v>21131</v>
      </c>
      <c r="D11695" s="27" t="s">
        <v>17578</v>
      </c>
      <c r="E11695" s="29">
        <v>42613</v>
      </c>
      <c r="F11695" s="27">
        <v>8</v>
      </c>
      <c r="G11695" s="18">
        <v>24000</v>
      </c>
      <c r="H11695" s="27">
        <f t="shared" si="364"/>
        <v>0</v>
      </c>
      <c r="I11695" s="18">
        <v>8075</v>
      </c>
      <c r="J11695" s="27">
        <v>24000</v>
      </c>
      <c r="K11695" s="18">
        <f t="shared" si="365"/>
        <v>0</v>
      </c>
      <c r="L11695" s="27">
        <v>10925</v>
      </c>
      <c r="M11695" s="36">
        <v>2850</v>
      </c>
      <c r="T11695" s="41">
        <v>0</v>
      </c>
      <c r="U11695" s="41">
        <v>0</v>
      </c>
      <c r="V11695" s="42" t="s">
        <v>113</v>
      </c>
      <c r="W11695" s="42">
        <v>0</v>
      </c>
      <c r="X11695" s="42">
        <v>0</v>
      </c>
    </row>
    <row r="11696" spans="1:24">
      <c r="A11696" s="27" t="s">
        <v>21132</v>
      </c>
      <c r="B11696" s="28" t="s">
        <v>19918</v>
      </c>
      <c r="C11696" s="27" t="s">
        <v>21133</v>
      </c>
      <c r="D11696" s="27" t="s">
        <v>17578</v>
      </c>
      <c r="E11696" s="29">
        <v>42613</v>
      </c>
      <c r="F11696" s="27">
        <v>8</v>
      </c>
      <c r="G11696" s="18">
        <v>509.95</v>
      </c>
      <c r="H11696" s="27">
        <f t="shared" si="364"/>
        <v>0</v>
      </c>
      <c r="I11696" s="18">
        <v>171.58</v>
      </c>
      <c r="J11696" s="27">
        <v>509.95</v>
      </c>
      <c r="K11696" s="18">
        <f t="shared" si="365"/>
        <v>0</v>
      </c>
      <c r="L11696" s="27">
        <v>232.14</v>
      </c>
      <c r="M11696" s="36">
        <v>60.56</v>
      </c>
      <c r="T11696" s="41">
        <v>0</v>
      </c>
      <c r="U11696" s="41">
        <v>0</v>
      </c>
      <c r="V11696" s="42" t="s">
        <v>113</v>
      </c>
      <c r="W11696" s="42">
        <v>0</v>
      </c>
      <c r="X11696" s="42">
        <v>0</v>
      </c>
    </row>
    <row r="11697" spans="1:24">
      <c r="A11697" s="27" t="s">
        <v>21134</v>
      </c>
      <c r="B11697" s="28" t="s">
        <v>19918</v>
      </c>
      <c r="C11697" s="27" t="s">
        <v>21135</v>
      </c>
      <c r="D11697" s="27" t="s">
        <v>17578</v>
      </c>
      <c r="E11697" s="29">
        <v>42613</v>
      </c>
      <c r="F11697" s="27">
        <v>8</v>
      </c>
      <c r="G11697" s="18">
        <v>6320.3</v>
      </c>
      <c r="H11697" s="27">
        <f t="shared" si="364"/>
        <v>0</v>
      </c>
      <c r="I11697" s="18">
        <v>2126.52</v>
      </c>
      <c r="J11697" s="27">
        <v>6320.3</v>
      </c>
      <c r="K11697" s="18">
        <f t="shared" si="365"/>
        <v>0</v>
      </c>
      <c r="L11697" s="27">
        <v>2877.05</v>
      </c>
      <c r="M11697" s="36">
        <v>750.53</v>
      </c>
      <c r="T11697" s="41">
        <v>0</v>
      </c>
      <c r="U11697" s="41">
        <v>0</v>
      </c>
      <c r="V11697" s="42" t="s">
        <v>113</v>
      </c>
      <c r="W11697" s="42">
        <v>0</v>
      </c>
      <c r="X11697" s="42">
        <v>0</v>
      </c>
    </row>
    <row r="11698" spans="1:24">
      <c r="A11698" s="27" t="s">
        <v>21136</v>
      </c>
      <c r="B11698" s="28" t="s">
        <v>19918</v>
      </c>
      <c r="C11698" s="27" t="s">
        <v>21137</v>
      </c>
      <c r="D11698" s="27" t="s">
        <v>17578</v>
      </c>
      <c r="E11698" s="29">
        <v>42613</v>
      </c>
      <c r="F11698" s="27">
        <v>8</v>
      </c>
      <c r="G11698" s="18">
        <v>36000</v>
      </c>
      <c r="H11698" s="27">
        <f t="shared" si="364"/>
        <v>0</v>
      </c>
      <c r="I11698" s="18">
        <v>12112.5</v>
      </c>
      <c r="J11698" s="27">
        <v>36000</v>
      </c>
      <c r="K11698" s="18">
        <f t="shared" si="365"/>
        <v>0</v>
      </c>
      <c r="L11698" s="27">
        <v>16387.5</v>
      </c>
      <c r="M11698" s="36">
        <v>4275</v>
      </c>
      <c r="T11698" s="41">
        <v>0</v>
      </c>
      <c r="U11698" s="41">
        <v>0</v>
      </c>
      <c r="V11698" s="42" t="s">
        <v>113</v>
      </c>
      <c r="W11698" s="42">
        <v>0</v>
      </c>
      <c r="X11698" s="42">
        <v>0</v>
      </c>
    </row>
    <row r="11699" spans="1:24">
      <c r="A11699" s="27" t="s">
        <v>21138</v>
      </c>
      <c r="B11699" s="28" t="s">
        <v>19918</v>
      </c>
      <c r="C11699" s="27" t="s">
        <v>21139</v>
      </c>
      <c r="D11699" s="27" t="s">
        <v>17578</v>
      </c>
      <c r="E11699" s="29">
        <v>42613</v>
      </c>
      <c r="F11699" s="27">
        <v>8</v>
      </c>
      <c r="G11699" s="18">
        <v>24000</v>
      </c>
      <c r="H11699" s="27">
        <f t="shared" si="364"/>
        <v>0</v>
      </c>
      <c r="I11699" s="18">
        <v>8075</v>
      </c>
      <c r="J11699" s="27">
        <v>24000</v>
      </c>
      <c r="K11699" s="18">
        <f t="shared" si="365"/>
        <v>0</v>
      </c>
      <c r="L11699" s="27">
        <v>10925</v>
      </c>
      <c r="M11699" s="36">
        <v>2850</v>
      </c>
      <c r="T11699" s="41">
        <v>0</v>
      </c>
      <c r="U11699" s="41">
        <v>0</v>
      </c>
      <c r="V11699" s="42" t="s">
        <v>113</v>
      </c>
      <c r="W11699" s="42">
        <v>0</v>
      </c>
      <c r="X11699" s="42">
        <v>0</v>
      </c>
    </row>
    <row r="11700" spans="1:24">
      <c r="A11700" s="27" t="s">
        <v>21140</v>
      </c>
      <c r="B11700" s="28" t="s">
        <v>19918</v>
      </c>
      <c r="C11700" s="27" t="s">
        <v>21141</v>
      </c>
      <c r="D11700" s="27" t="s">
        <v>17578</v>
      </c>
      <c r="E11700" s="29">
        <v>42613</v>
      </c>
      <c r="F11700" s="27">
        <v>8</v>
      </c>
      <c r="G11700" s="18">
        <v>424.96</v>
      </c>
      <c r="H11700" s="27">
        <f t="shared" si="364"/>
        <v>0</v>
      </c>
      <c r="I11700" s="18">
        <v>142.97</v>
      </c>
      <c r="J11700" s="27">
        <v>424.96</v>
      </c>
      <c r="K11700" s="18">
        <f t="shared" si="365"/>
        <v>0</v>
      </c>
      <c r="L11700" s="27">
        <v>193.44</v>
      </c>
      <c r="M11700" s="36">
        <v>50.47</v>
      </c>
      <c r="T11700" s="41">
        <v>0</v>
      </c>
      <c r="U11700" s="41">
        <v>0</v>
      </c>
      <c r="V11700" s="42" t="s">
        <v>113</v>
      </c>
      <c r="W11700" s="42">
        <v>0</v>
      </c>
      <c r="X11700" s="42">
        <v>0</v>
      </c>
    </row>
    <row r="11701" spans="1:24">
      <c r="A11701" s="27" t="s">
        <v>21142</v>
      </c>
      <c r="B11701" s="28" t="s">
        <v>19918</v>
      </c>
      <c r="C11701" s="27" t="s">
        <v>21143</v>
      </c>
      <c r="D11701" s="27" t="s">
        <v>17578</v>
      </c>
      <c r="E11701" s="29">
        <v>42613</v>
      </c>
      <c r="F11701" s="27">
        <v>8</v>
      </c>
      <c r="G11701" s="18">
        <v>4604.79</v>
      </c>
      <c r="H11701" s="27">
        <f t="shared" si="364"/>
        <v>0</v>
      </c>
      <c r="I11701" s="18">
        <v>1549.32</v>
      </c>
      <c r="J11701" s="27">
        <v>4604.79</v>
      </c>
      <c r="K11701" s="18">
        <f t="shared" si="365"/>
        <v>0</v>
      </c>
      <c r="L11701" s="27">
        <v>2096.14</v>
      </c>
      <c r="M11701" s="36">
        <v>546.82000000000005</v>
      </c>
      <c r="T11701" s="41">
        <v>0</v>
      </c>
      <c r="U11701" s="41">
        <v>0</v>
      </c>
      <c r="V11701" s="42" t="s">
        <v>113</v>
      </c>
      <c r="W11701" s="42">
        <v>0</v>
      </c>
      <c r="X11701" s="42">
        <v>0</v>
      </c>
    </row>
    <row r="11702" spans="1:24">
      <c r="A11702" s="27" t="s">
        <v>21144</v>
      </c>
      <c r="B11702" s="28" t="s">
        <v>19918</v>
      </c>
      <c r="C11702" s="27" t="s">
        <v>20974</v>
      </c>
      <c r="D11702" s="27" t="s">
        <v>17578</v>
      </c>
      <c r="E11702" s="29">
        <v>35795</v>
      </c>
      <c r="F11702" s="27">
        <v>8</v>
      </c>
      <c r="G11702" s="18">
        <v>30000</v>
      </c>
      <c r="H11702" s="27">
        <f t="shared" si="364"/>
        <v>30000</v>
      </c>
      <c r="I11702" s="18">
        <v>28500</v>
      </c>
      <c r="J11702" s="27">
        <v>30000</v>
      </c>
      <c r="K11702" s="18">
        <f t="shared" si="365"/>
        <v>30000</v>
      </c>
      <c r="L11702" s="27">
        <v>28500</v>
      </c>
      <c r="M11702" s="36">
        <v>0</v>
      </c>
      <c r="T11702" s="41">
        <v>0</v>
      </c>
      <c r="U11702" s="41">
        <v>0</v>
      </c>
      <c r="V11702" s="42" t="s">
        <v>113</v>
      </c>
      <c r="W11702" s="42">
        <v>30000</v>
      </c>
      <c r="X11702" s="42">
        <v>30000</v>
      </c>
    </row>
    <row r="11703" spans="1:24">
      <c r="A11703" s="27" t="s">
        <v>21145</v>
      </c>
      <c r="B11703" s="28" t="s">
        <v>19918</v>
      </c>
      <c r="C11703" s="27" t="s">
        <v>20978</v>
      </c>
      <c r="D11703" s="27" t="s">
        <v>17578</v>
      </c>
      <c r="E11703" s="29">
        <v>35795</v>
      </c>
      <c r="F11703" s="27">
        <v>8</v>
      </c>
      <c r="G11703" s="18">
        <v>30000</v>
      </c>
      <c r="H11703" s="27">
        <f t="shared" si="364"/>
        <v>30000</v>
      </c>
      <c r="I11703" s="18">
        <v>28500</v>
      </c>
      <c r="J11703" s="27">
        <v>30000</v>
      </c>
      <c r="K11703" s="18">
        <f t="shared" si="365"/>
        <v>30000</v>
      </c>
      <c r="L11703" s="27">
        <v>28500</v>
      </c>
      <c r="M11703" s="36">
        <v>0</v>
      </c>
      <c r="T11703" s="41">
        <v>0</v>
      </c>
      <c r="U11703" s="41">
        <v>0</v>
      </c>
      <c r="V11703" s="42" t="s">
        <v>113</v>
      </c>
      <c r="W11703" s="42">
        <v>30000</v>
      </c>
      <c r="X11703" s="42">
        <v>30000</v>
      </c>
    </row>
    <row r="11704" spans="1:24">
      <c r="A11704" s="27" t="s">
        <v>21146</v>
      </c>
      <c r="B11704" s="28" t="s">
        <v>19918</v>
      </c>
      <c r="C11704" s="27" t="s">
        <v>21147</v>
      </c>
      <c r="D11704" s="27" t="s">
        <v>17578</v>
      </c>
      <c r="E11704" s="29">
        <v>35795</v>
      </c>
      <c r="F11704" s="27">
        <v>8</v>
      </c>
      <c r="G11704" s="18">
        <v>30000</v>
      </c>
      <c r="H11704" s="27">
        <f t="shared" si="364"/>
        <v>30000</v>
      </c>
      <c r="I11704" s="18">
        <v>28500</v>
      </c>
      <c r="J11704" s="27">
        <v>30000</v>
      </c>
      <c r="K11704" s="18">
        <f t="shared" si="365"/>
        <v>30000</v>
      </c>
      <c r="L11704" s="27">
        <v>28500</v>
      </c>
      <c r="M11704" s="36">
        <v>0</v>
      </c>
      <c r="T11704" s="41">
        <v>0</v>
      </c>
      <c r="U11704" s="41">
        <v>0</v>
      </c>
      <c r="V11704" s="42" t="s">
        <v>113</v>
      </c>
      <c r="W11704" s="42">
        <v>30000</v>
      </c>
      <c r="X11704" s="42">
        <v>30000</v>
      </c>
    </row>
    <row r="11705" spans="1:24">
      <c r="A11705" s="27" t="s">
        <v>21148</v>
      </c>
      <c r="B11705" s="28" t="s">
        <v>19918</v>
      </c>
      <c r="C11705" s="27" t="s">
        <v>21149</v>
      </c>
      <c r="D11705" s="27" t="s">
        <v>17578</v>
      </c>
      <c r="E11705" s="29">
        <v>39813</v>
      </c>
      <c r="F11705" s="27">
        <v>8</v>
      </c>
      <c r="G11705" s="18">
        <v>20400</v>
      </c>
      <c r="H11705" s="27">
        <f t="shared" si="364"/>
        <v>20400</v>
      </c>
      <c r="I11705" s="18">
        <v>19380</v>
      </c>
      <c r="J11705" s="27">
        <v>20400</v>
      </c>
      <c r="K11705" s="18">
        <f t="shared" si="365"/>
        <v>20400</v>
      </c>
      <c r="L11705" s="27">
        <v>19380</v>
      </c>
      <c r="M11705" s="36">
        <v>0</v>
      </c>
      <c r="T11705" s="41">
        <v>0</v>
      </c>
      <c r="U11705" s="41">
        <v>0</v>
      </c>
      <c r="V11705" s="42" t="s">
        <v>113</v>
      </c>
      <c r="W11705" s="42">
        <v>20400</v>
      </c>
      <c r="X11705" s="42">
        <v>20400</v>
      </c>
    </row>
    <row r="11706" spans="1:24">
      <c r="A11706" s="27" t="s">
        <v>21150</v>
      </c>
      <c r="B11706" s="28" t="s">
        <v>19918</v>
      </c>
      <c r="C11706" s="27" t="s">
        <v>21147</v>
      </c>
      <c r="D11706" s="27" t="s">
        <v>17578</v>
      </c>
      <c r="E11706" s="29">
        <v>39813</v>
      </c>
      <c r="F11706" s="27">
        <v>8</v>
      </c>
      <c r="G11706" s="18">
        <v>20400</v>
      </c>
      <c r="H11706" s="27">
        <f t="shared" si="364"/>
        <v>20400</v>
      </c>
      <c r="I11706" s="18">
        <v>19380</v>
      </c>
      <c r="J11706" s="27">
        <v>20400</v>
      </c>
      <c r="K11706" s="18">
        <f t="shared" si="365"/>
        <v>20400</v>
      </c>
      <c r="L11706" s="27">
        <v>19380</v>
      </c>
      <c r="M11706" s="36">
        <v>0</v>
      </c>
      <c r="T11706" s="41">
        <v>0</v>
      </c>
      <c r="U11706" s="41">
        <v>0</v>
      </c>
      <c r="V11706" s="42" t="s">
        <v>113</v>
      </c>
      <c r="W11706" s="42">
        <v>20400</v>
      </c>
      <c r="X11706" s="42">
        <v>20400</v>
      </c>
    </row>
    <row r="11707" spans="1:24">
      <c r="A11707" s="27" t="s">
        <v>21151</v>
      </c>
      <c r="B11707" s="28" t="s">
        <v>19918</v>
      </c>
      <c r="C11707" s="27" t="s">
        <v>20995</v>
      </c>
      <c r="D11707" s="27" t="s">
        <v>17578</v>
      </c>
      <c r="E11707" s="29">
        <v>39813</v>
      </c>
      <c r="F11707" s="27">
        <v>8</v>
      </c>
      <c r="G11707" s="18">
        <v>20400</v>
      </c>
      <c r="H11707" s="27">
        <f t="shared" si="364"/>
        <v>20400</v>
      </c>
      <c r="I11707" s="18">
        <v>19380</v>
      </c>
      <c r="J11707" s="27">
        <v>20400</v>
      </c>
      <c r="K11707" s="18">
        <f t="shared" si="365"/>
        <v>20400</v>
      </c>
      <c r="L11707" s="27">
        <v>19380</v>
      </c>
      <c r="M11707" s="36">
        <v>0</v>
      </c>
      <c r="T11707" s="41">
        <v>0</v>
      </c>
      <c r="U11707" s="41">
        <v>0</v>
      </c>
      <c r="V11707" s="42" t="s">
        <v>113</v>
      </c>
      <c r="W11707" s="42">
        <v>20400</v>
      </c>
      <c r="X11707" s="42">
        <v>20400</v>
      </c>
    </row>
    <row r="11708" spans="1:24">
      <c r="A11708" s="27" t="s">
        <v>21152</v>
      </c>
      <c r="B11708" s="28" t="s">
        <v>19918</v>
      </c>
      <c r="C11708" s="27" t="s">
        <v>20974</v>
      </c>
      <c r="D11708" s="27" t="s">
        <v>17578</v>
      </c>
      <c r="E11708" s="29">
        <v>39813</v>
      </c>
      <c r="F11708" s="27">
        <v>8</v>
      </c>
      <c r="G11708" s="18">
        <v>54000</v>
      </c>
      <c r="H11708" s="27">
        <f t="shared" si="364"/>
        <v>54000</v>
      </c>
      <c r="I11708" s="18">
        <v>51300</v>
      </c>
      <c r="J11708" s="27">
        <v>54000</v>
      </c>
      <c r="K11708" s="18">
        <f t="shared" si="365"/>
        <v>54000</v>
      </c>
      <c r="L11708" s="27">
        <v>51300</v>
      </c>
      <c r="M11708" s="36">
        <v>0</v>
      </c>
      <c r="T11708" s="41">
        <v>0</v>
      </c>
      <c r="U11708" s="41">
        <v>0</v>
      </c>
      <c r="V11708" s="42" t="s">
        <v>113</v>
      </c>
      <c r="W11708" s="42">
        <v>54000</v>
      </c>
      <c r="X11708" s="42">
        <v>54000</v>
      </c>
    </row>
    <row r="11709" spans="1:24">
      <c r="A11709" s="27" t="s">
        <v>21153</v>
      </c>
      <c r="B11709" s="28" t="s">
        <v>19918</v>
      </c>
      <c r="C11709" s="27" t="s">
        <v>20978</v>
      </c>
      <c r="D11709" s="27" t="s">
        <v>17578</v>
      </c>
      <c r="E11709" s="29">
        <v>39813</v>
      </c>
      <c r="F11709" s="27">
        <v>8</v>
      </c>
      <c r="G11709" s="18">
        <v>54000</v>
      </c>
      <c r="H11709" s="27">
        <f t="shared" si="364"/>
        <v>54000</v>
      </c>
      <c r="I11709" s="18">
        <v>51300</v>
      </c>
      <c r="J11709" s="27">
        <v>54000</v>
      </c>
      <c r="K11709" s="18">
        <f t="shared" si="365"/>
        <v>54000</v>
      </c>
      <c r="L11709" s="27">
        <v>51300</v>
      </c>
      <c r="M11709" s="36">
        <v>0</v>
      </c>
      <c r="T11709" s="41">
        <v>0</v>
      </c>
      <c r="U11709" s="41">
        <v>0</v>
      </c>
      <c r="V11709" s="42" t="s">
        <v>113</v>
      </c>
      <c r="W11709" s="42">
        <v>54000</v>
      </c>
      <c r="X11709" s="42">
        <v>54000</v>
      </c>
    </row>
    <row r="11710" spans="1:24">
      <c r="A11710" s="27" t="s">
        <v>21154</v>
      </c>
      <c r="B11710" s="28" t="s">
        <v>19918</v>
      </c>
      <c r="C11710" s="27" t="s">
        <v>21155</v>
      </c>
      <c r="D11710" s="27" t="s">
        <v>17578</v>
      </c>
      <c r="E11710" s="29">
        <v>39813</v>
      </c>
      <c r="F11710" s="27">
        <v>8</v>
      </c>
      <c r="G11710" s="18">
        <v>20400</v>
      </c>
      <c r="H11710" s="27">
        <f t="shared" si="364"/>
        <v>20400</v>
      </c>
      <c r="I11710" s="18">
        <v>19380</v>
      </c>
      <c r="J11710" s="27">
        <v>20400</v>
      </c>
      <c r="K11710" s="18">
        <f t="shared" si="365"/>
        <v>20400</v>
      </c>
      <c r="L11710" s="27">
        <v>19380</v>
      </c>
      <c r="M11710" s="36">
        <v>0</v>
      </c>
      <c r="T11710" s="41">
        <v>0</v>
      </c>
      <c r="U11710" s="41">
        <v>0</v>
      </c>
      <c r="V11710" s="42" t="s">
        <v>113</v>
      </c>
      <c r="W11710" s="42">
        <v>20400</v>
      </c>
      <c r="X11710" s="42">
        <v>20400</v>
      </c>
    </row>
    <row r="11711" spans="1:24">
      <c r="A11711" s="27" t="s">
        <v>21156</v>
      </c>
      <c r="B11711" s="28" t="s">
        <v>19918</v>
      </c>
      <c r="C11711" s="27" t="s">
        <v>21157</v>
      </c>
      <c r="D11711" s="27" t="s">
        <v>17578</v>
      </c>
      <c r="E11711" s="29">
        <v>39813</v>
      </c>
      <c r="F11711" s="27">
        <v>8</v>
      </c>
      <c r="G11711" s="18">
        <v>54000</v>
      </c>
      <c r="H11711" s="27">
        <f t="shared" si="364"/>
        <v>54000</v>
      </c>
      <c r="I11711" s="18">
        <v>51300</v>
      </c>
      <c r="J11711" s="27">
        <v>54000</v>
      </c>
      <c r="K11711" s="18">
        <f t="shared" si="365"/>
        <v>54000</v>
      </c>
      <c r="L11711" s="27">
        <v>51300</v>
      </c>
      <c r="M11711" s="36">
        <v>0</v>
      </c>
      <c r="T11711" s="41">
        <v>0</v>
      </c>
      <c r="U11711" s="41">
        <v>0</v>
      </c>
      <c r="V11711" s="42" t="s">
        <v>113</v>
      </c>
      <c r="W11711" s="42">
        <v>54000</v>
      </c>
      <c r="X11711" s="42">
        <v>54000</v>
      </c>
    </row>
    <row r="11712" spans="1:24">
      <c r="A11712" s="27" t="s">
        <v>21158</v>
      </c>
      <c r="B11712" s="28" t="s">
        <v>19918</v>
      </c>
      <c r="C11712" s="27" t="s">
        <v>21159</v>
      </c>
      <c r="D11712" s="27" t="s">
        <v>17578</v>
      </c>
      <c r="E11712" s="29">
        <v>39813</v>
      </c>
      <c r="F11712" s="27">
        <v>8</v>
      </c>
      <c r="G11712" s="18">
        <v>54000</v>
      </c>
      <c r="H11712" s="27">
        <f t="shared" si="364"/>
        <v>54000</v>
      </c>
      <c r="I11712" s="18">
        <v>51300</v>
      </c>
      <c r="J11712" s="27">
        <v>54000</v>
      </c>
      <c r="K11712" s="18">
        <f t="shared" si="365"/>
        <v>54000</v>
      </c>
      <c r="L11712" s="27">
        <v>51300</v>
      </c>
      <c r="M11712" s="36">
        <v>0</v>
      </c>
      <c r="T11712" s="41">
        <v>0</v>
      </c>
      <c r="U11712" s="41">
        <v>0</v>
      </c>
      <c r="V11712" s="42" t="s">
        <v>113</v>
      </c>
      <c r="W11712" s="42">
        <v>54000</v>
      </c>
      <c r="X11712" s="42">
        <v>54000</v>
      </c>
    </row>
    <row r="11713" spans="1:24">
      <c r="A11713" s="27" t="s">
        <v>21160</v>
      </c>
      <c r="B11713" s="28" t="s">
        <v>19918</v>
      </c>
      <c r="C11713" s="27" t="s">
        <v>20995</v>
      </c>
      <c r="D11713" s="27" t="s">
        <v>17578</v>
      </c>
      <c r="E11713" s="29">
        <v>39813</v>
      </c>
      <c r="F11713" s="27">
        <v>8</v>
      </c>
      <c r="G11713" s="18">
        <v>20400</v>
      </c>
      <c r="H11713" s="27">
        <f t="shared" si="364"/>
        <v>20400</v>
      </c>
      <c r="I11713" s="18">
        <v>19380</v>
      </c>
      <c r="J11713" s="27">
        <v>20400</v>
      </c>
      <c r="K11713" s="18">
        <f t="shared" si="365"/>
        <v>20400</v>
      </c>
      <c r="L11713" s="27">
        <v>19380</v>
      </c>
      <c r="M11713" s="36">
        <v>0</v>
      </c>
      <c r="T11713" s="41">
        <v>0</v>
      </c>
      <c r="U11713" s="41">
        <v>0</v>
      </c>
      <c r="V11713" s="42" t="s">
        <v>113</v>
      </c>
      <c r="W11713" s="42">
        <v>20400</v>
      </c>
      <c r="X11713" s="42">
        <v>20400</v>
      </c>
    </row>
    <row r="11714" spans="1:24">
      <c r="A11714" s="27" t="s">
        <v>21161</v>
      </c>
      <c r="B11714" s="28" t="s">
        <v>19918</v>
      </c>
      <c r="C11714" s="27" t="s">
        <v>21162</v>
      </c>
      <c r="D11714" s="27" t="s">
        <v>17578</v>
      </c>
      <c r="E11714" s="29">
        <v>40268</v>
      </c>
      <c r="F11714" s="27">
        <v>8</v>
      </c>
      <c r="G11714" s="18">
        <v>46276</v>
      </c>
      <c r="H11714" s="27">
        <f t="shared" si="364"/>
        <v>46276</v>
      </c>
      <c r="I11714" s="18">
        <v>43962.2</v>
      </c>
      <c r="J11714" s="27">
        <v>46276</v>
      </c>
      <c r="K11714" s="18">
        <f t="shared" si="365"/>
        <v>46276</v>
      </c>
      <c r="L11714" s="27">
        <v>43962.2</v>
      </c>
      <c r="M11714" s="36">
        <v>0</v>
      </c>
      <c r="T11714" s="41">
        <v>0</v>
      </c>
      <c r="U11714" s="41">
        <v>0</v>
      </c>
      <c r="V11714" s="42" t="s">
        <v>113</v>
      </c>
      <c r="W11714" s="42">
        <v>46276</v>
      </c>
      <c r="X11714" s="42">
        <v>46276</v>
      </c>
    </row>
    <row r="11715" spans="1:24">
      <c r="A11715" s="27" t="s">
        <v>21163</v>
      </c>
      <c r="B11715" s="28" t="s">
        <v>19918</v>
      </c>
      <c r="C11715" s="27" t="s">
        <v>21164</v>
      </c>
      <c r="D11715" s="27" t="s">
        <v>17578</v>
      </c>
      <c r="E11715" s="29">
        <v>40113</v>
      </c>
      <c r="F11715" s="27">
        <v>8</v>
      </c>
      <c r="G11715" s="18">
        <v>32073.46</v>
      </c>
      <c r="H11715" s="27">
        <f t="shared" si="364"/>
        <v>32073.46</v>
      </c>
      <c r="I11715" s="18">
        <v>30469.79</v>
      </c>
      <c r="J11715" s="27">
        <v>32073.46</v>
      </c>
      <c r="K11715" s="18">
        <f t="shared" si="365"/>
        <v>32073.46</v>
      </c>
      <c r="L11715" s="27">
        <v>30469.79</v>
      </c>
      <c r="M11715" s="36">
        <v>0</v>
      </c>
      <c r="T11715" s="41">
        <v>0</v>
      </c>
      <c r="U11715" s="41">
        <v>0</v>
      </c>
      <c r="V11715" s="42" t="s">
        <v>113</v>
      </c>
      <c r="W11715" s="42">
        <v>32073.46</v>
      </c>
      <c r="X11715" s="42">
        <v>32073.46</v>
      </c>
    </row>
    <row r="11716" spans="1:24">
      <c r="A11716" s="27" t="s">
        <v>21165</v>
      </c>
      <c r="B11716" s="28" t="s">
        <v>19918</v>
      </c>
      <c r="C11716" s="27" t="s">
        <v>21166</v>
      </c>
      <c r="D11716" s="27" t="s">
        <v>17578</v>
      </c>
      <c r="E11716" s="29">
        <v>40113</v>
      </c>
      <c r="F11716" s="27">
        <v>8</v>
      </c>
      <c r="G11716" s="18">
        <v>32073.46</v>
      </c>
      <c r="H11716" s="27">
        <f t="shared" si="364"/>
        <v>32073.46</v>
      </c>
      <c r="I11716" s="18">
        <v>30469.79</v>
      </c>
      <c r="J11716" s="27">
        <v>32073.46</v>
      </c>
      <c r="K11716" s="18">
        <f t="shared" si="365"/>
        <v>32073.46</v>
      </c>
      <c r="L11716" s="27">
        <v>30469.79</v>
      </c>
      <c r="M11716" s="36">
        <v>0</v>
      </c>
      <c r="T11716" s="41">
        <v>0</v>
      </c>
      <c r="U11716" s="41">
        <v>0</v>
      </c>
      <c r="V11716" s="42" t="s">
        <v>113</v>
      </c>
      <c r="W11716" s="42">
        <v>32073.46</v>
      </c>
      <c r="X11716" s="42">
        <v>32073.46</v>
      </c>
    </row>
    <row r="11717" spans="1:24">
      <c r="A11717" s="27" t="s">
        <v>21167</v>
      </c>
      <c r="B11717" s="28" t="s">
        <v>19918</v>
      </c>
      <c r="C11717" s="27" t="s">
        <v>21168</v>
      </c>
      <c r="D11717" s="27" t="s">
        <v>17578</v>
      </c>
      <c r="E11717" s="29">
        <v>40113</v>
      </c>
      <c r="F11717" s="27">
        <v>8</v>
      </c>
      <c r="G11717" s="18">
        <v>32073.46</v>
      </c>
      <c r="H11717" s="27">
        <f t="shared" si="364"/>
        <v>32073.46</v>
      </c>
      <c r="I11717" s="18">
        <v>30469.78</v>
      </c>
      <c r="J11717" s="27">
        <v>32073.46</v>
      </c>
      <c r="K11717" s="18">
        <f t="shared" si="365"/>
        <v>32073.46</v>
      </c>
      <c r="L11717" s="27">
        <v>30469.78</v>
      </c>
      <c r="M11717" s="36">
        <v>0</v>
      </c>
      <c r="T11717" s="41">
        <v>0</v>
      </c>
      <c r="U11717" s="41">
        <v>0</v>
      </c>
      <c r="V11717" s="42" t="s">
        <v>113</v>
      </c>
      <c r="W11717" s="42">
        <v>32073.46</v>
      </c>
      <c r="X11717" s="42">
        <v>32073.46</v>
      </c>
    </row>
    <row r="11718" spans="1:24">
      <c r="A11718" s="27" t="s">
        <v>21169</v>
      </c>
      <c r="B11718" s="28" t="s">
        <v>19918</v>
      </c>
      <c r="C11718" s="27" t="s">
        <v>21170</v>
      </c>
      <c r="D11718" s="27" t="s">
        <v>17578</v>
      </c>
      <c r="E11718" s="29">
        <v>40113</v>
      </c>
      <c r="F11718" s="27">
        <v>8</v>
      </c>
      <c r="G11718" s="18">
        <v>32073.46</v>
      </c>
      <c r="H11718" s="27">
        <f t="shared" ref="H11718:H11781" si="366">IFERROR(IF(ROUND((G11718-I11718)/G11718,2)&lt;=0.05,G11718,0),0)</f>
        <v>32073.46</v>
      </c>
      <c r="I11718" s="18">
        <v>30469.79</v>
      </c>
      <c r="J11718" s="27">
        <v>32073.46</v>
      </c>
      <c r="K11718" s="18">
        <f t="shared" ref="K11718:K11781" si="367">IFERROR(IF(ROUND((J11718-L11718)/J11718,2)&lt;=0.05,J11718,0),0)</f>
        <v>32073.46</v>
      </c>
      <c r="L11718" s="27">
        <v>30469.79</v>
      </c>
      <c r="M11718" s="36">
        <v>0</v>
      </c>
      <c r="T11718" s="41">
        <v>0</v>
      </c>
      <c r="U11718" s="41">
        <v>0</v>
      </c>
      <c r="V11718" s="42" t="s">
        <v>113</v>
      </c>
      <c r="W11718" s="42">
        <v>32073.46</v>
      </c>
      <c r="X11718" s="42">
        <v>32073.46</v>
      </c>
    </row>
    <row r="11719" spans="1:24">
      <c r="A11719" s="27" t="s">
        <v>21171</v>
      </c>
      <c r="B11719" s="28" t="s">
        <v>19918</v>
      </c>
      <c r="C11719" s="27" t="s">
        <v>21172</v>
      </c>
      <c r="D11719" s="27" t="s">
        <v>118</v>
      </c>
      <c r="E11719" s="29">
        <v>42704</v>
      </c>
      <c r="F11719" s="27">
        <v>8</v>
      </c>
      <c r="G11719" s="18">
        <v>157020.85999999999</v>
      </c>
      <c r="H11719" s="27">
        <f t="shared" si="366"/>
        <v>0</v>
      </c>
      <c r="I11719" s="18">
        <v>38846.31</v>
      </c>
      <c r="J11719" s="27">
        <v>157020.85999999999</v>
      </c>
      <c r="K11719" s="18">
        <f t="shared" si="367"/>
        <v>0</v>
      </c>
      <c r="L11719" s="27">
        <v>57492.54</v>
      </c>
      <c r="M11719" s="36">
        <v>18646.23</v>
      </c>
      <c r="T11719" s="41">
        <v>0</v>
      </c>
      <c r="U11719" s="41">
        <v>0</v>
      </c>
      <c r="V11719" s="42" t="s">
        <v>113</v>
      </c>
      <c r="W11719" s="42">
        <v>0</v>
      </c>
      <c r="X11719" s="42">
        <v>0</v>
      </c>
    </row>
    <row r="11720" spans="1:24">
      <c r="A11720" s="27" t="s">
        <v>21173</v>
      </c>
      <c r="B11720" s="28" t="s">
        <v>19918</v>
      </c>
      <c r="C11720" s="27" t="s">
        <v>21174</v>
      </c>
      <c r="D11720" s="27" t="s">
        <v>118</v>
      </c>
      <c r="E11720" s="29">
        <v>42704</v>
      </c>
      <c r="F11720" s="27">
        <v>8</v>
      </c>
      <c r="G11720" s="18">
        <v>4582.5200000000004</v>
      </c>
      <c r="H11720" s="27">
        <f t="shared" si="366"/>
        <v>0</v>
      </c>
      <c r="I11720" s="18">
        <v>1133.69</v>
      </c>
      <c r="J11720" s="27">
        <v>4582.5200000000004</v>
      </c>
      <c r="K11720" s="18">
        <f t="shared" si="367"/>
        <v>0</v>
      </c>
      <c r="L11720" s="27">
        <v>1677.86</v>
      </c>
      <c r="M11720" s="36">
        <v>544.16999999999996</v>
      </c>
      <c r="T11720" s="41">
        <v>0</v>
      </c>
      <c r="U11720" s="41">
        <v>0</v>
      </c>
      <c r="V11720" s="42" t="s">
        <v>113</v>
      </c>
      <c r="W11720" s="42">
        <v>0</v>
      </c>
      <c r="X11720" s="42">
        <v>0</v>
      </c>
    </row>
    <row r="11721" spans="1:24">
      <c r="A11721" s="27" t="s">
        <v>21175</v>
      </c>
      <c r="B11721" s="28" t="s">
        <v>19918</v>
      </c>
      <c r="C11721" s="27" t="s">
        <v>21174</v>
      </c>
      <c r="D11721" s="27" t="s">
        <v>118</v>
      </c>
      <c r="E11721" s="29">
        <v>42704</v>
      </c>
      <c r="F11721" s="27">
        <v>8</v>
      </c>
      <c r="G11721" s="18">
        <v>4582.5200000000004</v>
      </c>
      <c r="H11721" s="27">
        <f t="shared" si="366"/>
        <v>0</v>
      </c>
      <c r="I11721" s="18">
        <v>1133.69</v>
      </c>
      <c r="J11721" s="27">
        <v>4582.5200000000004</v>
      </c>
      <c r="K11721" s="18">
        <f t="shared" si="367"/>
        <v>0</v>
      </c>
      <c r="L11721" s="27">
        <v>1677.86</v>
      </c>
      <c r="M11721" s="36">
        <v>544.16999999999996</v>
      </c>
      <c r="T11721" s="41">
        <v>0</v>
      </c>
      <c r="U11721" s="41">
        <v>0</v>
      </c>
      <c r="V11721" s="42" t="s">
        <v>113</v>
      </c>
      <c r="W11721" s="42">
        <v>0</v>
      </c>
      <c r="X11721" s="42">
        <v>0</v>
      </c>
    </row>
    <row r="11722" spans="1:24">
      <c r="A11722" s="27" t="s">
        <v>21176</v>
      </c>
      <c r="B11722" s="28" t="s">
        <v>19918</v>
      </c>
      <c r="C11722" s="27" t="s">
        <v>21174</v>
      </c>
      <c r="D11722" s="27" t="s">
        <v>118</v>
      </c>
      <c r="E11722" s="29">
        <v>42704</v>
      </c>
      <c r="F11722" s="27">
        <v>8</v>
      </c>
      <c r="G11722" s="18">
        <v>7588.7</v>
      </c>
      <c r="H11722" s="27">
        <f t="shared" si="366"/>
        <v>0</v>
      </c>
      <c r="I11722" s="18">
        <v>1877.42</v>
      </c>
      <c r="J11722" s="27">
        <v>7588.7</v>
      </c>
      <c r="K11722" s="18">
        <f t="shared" si="367"/>
        <v>0</v>
      </c>
      <c r="L11722" s="27">
        <v>2778.58</v>
      </c>
      <c r="M11722" s="36">
        <v>901.16</v>
      </c>
      <c r="T11722" s="41">
        <v>0</v>
      </c>
      <c r="U11722" s="41">
        <v>0</v>
      </c>
      <c r="V11722" s="42" t="s">
        <v>113</v>
      </c>
      <c r="W11722" s="42">
        <v>0</v>
      </c>
      <c r="X11722" s="42">
        <v>0</v>
      </c>
    </row>
    <row r="11723" spans="1:24">
      <c r="A11723" s="27" t="s">
        <v>21177</v>
      </c>
      <c r="B11723" s="28" t="s">
        <v>19918</v>
      </c>
      <c r="C11723" s="27" t="s">
        <v>20861</v>
      </c>
      <c r="D11723" s="27" t="s">
        <v>118</v>
      </c>
      <c r="E11723" s="29">
        <v>42704</v>
      </c>
      <c r="F11723" s="27">
        <v>8</v>
      </c>
      <c r="G11723" s="18">
        <v>66239.070000000007</v>
      </c>
      <c r="H11723" s="27">
        <f t="shared" si="366"/>
        <v>0</v>
      </c>
      <c r="I11723" s="18">
        <v>16387.27</v>
      </c>
      <c r="J11723" s="27">
        <v>66239.070000000007</v>
      </c>
      <c r="K11723" s="18">
        <f t="shared" si="367"/>
        <v>0</v>
      </c>
      <c r="L11723" s="27">
        <v>24253.16</v>
      </c>
      <c r="M11723" s="36">
        <v>7865.89</v>
      </c>
      <c r="T11723" s="41">
        <v>0</v>
      </c>
      <c r="U11723" s="41">
        <v>0</v>
      </c>
      <c r="V11723" s="42" t="s">
        <v>113</v>
      </c>
      <c r="W11723" s="42">
        <v>0</v>
      </c>
      <c r="X11723" s="42">
        <v>0</v>
      </c>
    </row>
    <row r="11724" spans="1:24">
      <c r="A11724" s="27" t="s">
        <v>21178</v>
      </c>
      <c r="B11724" s="28" t="s">
        <v>19918</v>
      </c>
      <c r="C11724" s="27" t="s">
        <v>21179</v>
      </c>
      <c r="D11724" s="27" t="s">
        <v>230</v>
      </c>
      <c r="E11724" s="29">
        <v>42704</v>
      </c>
      <c r="F11724" s="27">
        <v>8</v>
      </c>
      <c r="G11724" s="18">
        <v>23063.85</v>
      </c>
      <c r="H11724" s="27">
        <f t="shared" si="366"/>
        <v>0</v>
      </c>
      <c r="I11724" s="18">
        <v>5705.9</v>
      </c>
      <c r="J11724" s="27">
        <v>23063.85</v>
      </c>
      <c r="K11724" s="18">
        <f t="shared" si="367"/>
        <v>0</v>
      </c>
      <c r="L11724" s="27">
        <v>8444.73</v>
      </c>
      <c r="M11724" s="36">
        <v>2738.83</v>
      </c>
      <c r="T11724" s="41">
        <v>0</v>
      </c>
      <c r="U11724" s="41">
        <v>0</v>
      </c>
      <c r="V11724" s="42" t="s">
        <v>113</v>
      </c>
      <c r="W11724" s="42">
        <v>0</v>
      </c>
      <c r="X11724" s="42">
        <v>0</v>
      </c>
    </row>
    <row r="11725" spans="1:24">
      <c r="A11725" s="27" t="s">
        <v>21180</v>
      </c>
      <c r="B11725" s="28" t="s">
        <v>19918</v>
      </c>
      <c r="C11725" s="27" t="s">
        <v>21181</v>
      </c>
      <c r="D11725" s="27" t="s">
        <v>230</v>
      </c>
      <c r="E11725" s="29">
        <v>42704</v>
      </c>
      <c r="F11725" s="27">
        <v>8</v>
      </c>
      <c r="G11725" s="18">
        <v>23063.85</v>
      </c>
      <c r="H11725" s="27">
        <f t="shared" si="366"/>
        <v>0</v>
      </c>
      <c r="I11725" s="18">
        <v>5705.9</v>
      </c>
      <c r="J11725" s="27">
        <v>23063.85</v>
      </c>
      <c r="K11725" s="18">
        <f t="shared" si="367"/>
        <v>0</v>
      </c>
      <c r="L11725" s="27">
        <v>8444.73</v>
      </c>
      <c r="M11725" s="36">
        <v>2738.83</v>
      </c>
      <c r="T11725" s="41">
        <v>0</v>
      </c>
      <c r="U11725" s="41">
        <v>0</v>
      </c>
      <c r="V11725" s="42" t="s">
        <v>113</v>
      </c>
      <c r="W11725" s="42">
        <v>0</v>
      </c>
      <c r="X11725" s="42">
        <v>0</v>
      </c>
    </row>
    <row r="11726" spans="1:24">
      <c r="A11726" s="27" t="s">
        <v>21182</v>
      </c>
      <c r="B11726" s="28" t="s">
        <v>19918</v>
      </c>
      <c r="C11726" s="27" t="s">
        <v>21183</v>
      </c>
      <c r="D11726" s="27" t="s">
        <v>230</v>
      </c>
      <c r="E11726" s="29">
        <v>42704</v>
      </c>
      <c r="F11726" s="27">
        <v>8</v>
      </c>
      <c r="G11726" s="18">
        <v>23063.85</v>
      </c>
      <c r="H11726" s="27">
        <f t="shared" si="366"/>
        <v>0</v>
      </c>
      <c r="I11726" s="18">
        <v>5705.9</v>
      </c>
      <c r="J11726" s="27">
        <v>23063.85</v>
      </c>
      <c r="K11726" s="18">
        <f t="shared" si="367"/>
        <v>0</v>
      </c>
      <c r="L11726" s="27">
        <v>8444.73</v>
      </c>
      <c r="M11726" s="36">
        <v>2738.83</v>
      </c>
      <c r="T11726" s="41">
        <v>0</v>
      </c>
      <c r="U11726" s="41">
        <v>0</v>
      </c>
      <c r="V11726" s="42" t="s">
        <v>113</v>
      </c>
      <c r="W11726" s="42">
        <v>0</v>
      </c>
      <c r="X11726" s="42">
        <v>0</v>
      </c>
    </row>
    <row r="11727" spans="1:24">
      <c r="A11727" s="27" t="s">
        <v>21184</v>
      </c>
      <c r="B11727" s="28" t="s">
        <v>19918</v>
      </c>
      <c r="C11727" s="27" t="s">
        <v>21185</v>
      </c>
      <c r="D11727" s="27" t="s">
        <v>112</v>
      </c>
      <c r="E11727" s="29">
        <v>42704</v>
      </c>
      <c r="F11727" s="27">
        <v>8</v>
      </c>
      <c r="G11727" s="18">
        <v>23063.85</v>
      </c>
      <c r="H11727" s="27">
        <f t="shared" si="366"/>
        <v>0</v>
      </c>
      <c r="I11727" s="18">
        <v>5705.9</v>
      </c>
      <c r="J11727" s="27">
        <v>23063.85</v>
      </c>
      <c r="K11727" s="18">
        <f t="shared" si="367"/>
        <v>0</v>
      </c>
      <c r="L11727" s="27">
        <v>8444.73</v>
      </c>
      <c r="M11727" s="36">
        <v>2738.83</v>
      </c>
      <c r="T11727" s="41">
        <v>0</v>
      </c>
      <c r="U11727" s="41">
        <v>0</v>
      </c>
      <c r="V11727" s="42" t="s">
        <v>113</v>
      </c>
      <c r="W11727" s="42">
        <v>0</v>
      </c>
      <c r="X11727" s="42">
        <v>0</v>
      </c>
    </row>
    <row r="11728" spans="1:24">
      <c r="A11728" s="27" t="s">
        <v>21186</v>
      </c>
      <c r="B11728" s="28" t="s">
        <v>19918</v>
      </c>
      <c r="C11728" s="27" t="s">
        <v>21187</v>
      </c>
      <c r="D11728" s="27" t="s">
        <v>17578</v>
      </c>
      <c r="E11728" s="29">
        <v>43101</v>
      </c>
      <c r="F11728" s="27">
        <v>8</v>
      </c>
      <c r="G11728" s="18">
        <v>112818.47</v>
      </c>
      <c r="H11728" s="27">
        <f t="shared" si="366"/>
        <v>0</v>
      </c>
      <c r="I11728" s="18">
        <v>7540.8</v>
      </c>
      <c r="J11728" s="27">
        <v>112818.47</v>
      </c>
      <c r="K11728" s="18">
        <f t="shared" si="367"/>
        <v>0</v>
      </c>
      <c r="L11728" s="27">
        <v>21607.16</v>
      </c>
      <c r="M11728" s="36">
        <v>14066.36</v>
      </c>
      <c r="T11728" s="41">
        <v>0</v>
      </c>
      <c r="U11728" s="41">
        <v>0</v>
      </c>
      <c r="V11728" s="42" t="s">
        <v>113</v>
      </c>
      <c r="W11728" s="42">
        <v>0</v>
      </c>
      <c r="X11728" s="42">
        <v>0</v>
      </c>
    </row>
    <row r="11729" spans="1:24">
      <c r="A11729" s="27" t="s">
        <v>21188</v>
      </c>
      <c r="B11729" s="28" t="s">
        <v>19918</v>
      </c>
      <c r="C11729" s="27" t="s">
        <v>21189</v>
      </c>
      <c r="D11729" s="27" t="s">
        <v>17578</v>
      </c>
      <c r="E11729" s="29">
        <v>25508</v>
      </c>
      <c r="F11729" s="27">
        <v>8</v>
      </c>
      <c r="G11729" s="18">
        <v>989</v>
      </c>
      <c r="H11729" s="27">
        <f t="shared" si="366"/>
        <v>989</v>
      </c>
      <c r="I11729" s="18">
        <v>989</v>
      </c>
      <c r="J11729" s="27">
        <v>989</v>
      </c>
      <c r="K11729" s="18">
        <f t="shared" si="367"/>
        <v>989</v>
      </c>
      <c r="L11729" s="27">
        <v>989</v>
      </c>
      <c r="M11729" s="36">
        <v>0</v>
      </c>
      <c r="T11729" s="41">
        <v>0</v>
      </c>
      <c r="U11729" s="41">
        <v>0</v>
      </c>
      <c r="V11729" s="42" t="s">
        <v>113</v>
      </c>
      <c r="W11729" s="42">
        <v>989</v>
      </c>
      <c r="X11729" s="42">
        <v>989</v>
      </c>
    </row>
    <row r="11730" spans="1:24">
      <c r="A11730" s="27" t="s">
        <v>21190</v>
      </c>
      <c r="B11730" s="28" t="s">
        <v>19918</v>
      </c>
      <c r="C11730" s="27" t="s">
        <v>21191</v>
      </c>
      <c r="D11730" s="27" t="s">
        <v>17578</v>
      </c>
      <c r="E11730" s="29">
        <v>42975</v>
      </c>
      <c r="F11730" s="27">
        <v>8</v>
      </c>
      <c r="G11730" s="18">
        <v>104297.31</v>
      </c>
      <c r="H11730" s="27">
        <f t="shared" si="366"/>
        <v>0</v>
      </c>
      <c r="I11730" s="18">
        <v>16513.740000000002</v>
      </c>
      <c r="J11730" s="27">
        <v>104297.31</v>
      </c>
      <c r="K11730" s="18">
        <f t="shared" si="367"/>
        <v>0</v>
      </c>
      <c r="L11730" s="27">
        <v>28899.05</v>
      </c>
      <c r="M11730" s="36">
        <v>12385.31</v>
      </c>
      <c r="T11730" s="41">
        <v>0</v>
      </c>
      <c r="U11730" s="41">
        <v>0</v>
      </c>
      <c r="V11730" s="42" t="s">
        <v>113</v>
      </c>
      <c r="W11730" s="42">
        <v>0</v>
      </c>
      <c r="X11730" s="42">
        <v>0</v>
      </c>
    </row>
    <row r="11731" spans="1:24">
      <c r="A11731" s="27" t="s">
        <v>21192</v>
      </c>
      <c r="B11731" s="28" t="s">
        <v>19918</v>
      </c>
      <c r="C11731" s="27" t="s">
        <v>21193</v>
      </c>
      <c r="D11731" s="27" t="s">
        <v>17578</v>
      </c>
      <c r="E11731" s="29">
        <v>42736</v>
      </c>
      <c r="F11731" s="27">
        <v>8</v>
      </c>
      <c r="G11731" s="18">
        <v>59120.97</v>
      </c>
      <c r="H11731" s="27">
        <f t="shared" si="366"/>
        <v>0</v>
      </c>
      <c r="I11731" s="18">
        <v>13456.18</v>
      </c>
      <c r="J11731" s="27">
        <v>59120.97</v>
      </c>
      <c r="K11731" s="18">
        <f t="shared" si="367"/>
        <v>0</v>
      </c>
      <c r="L11731" s="27">
        <v>20476.79</v>
      </c>
      <c r="M11731" s="36">
        <v>7020.61</v>
      </c>
      <c r="T11731" s="41">
        <v>0</v>
      </c>
      <c r="U11731" s="41">
        <v>0</v>
      </c>
      <c r="V11731" s="42" t="s">
        <v>113</v>
      </c>
      <c r="W11731" s="42">
        <v>0</v>
      </c>
      <c r="X11731" s="42">
        <v>0</v>
      </c>
    </row>
    <row r="11732" spans="1:24">
      <c r="A11732" s="27" t="s">
        <v>21194</v>
      </c>
      <c r="B11732" s="28" t="s">
        <v>19918</v>
      </c>
      <c r="C11732" s="27" t="s">
        <v>21195</v>
      </c>
      <c r="D11732" s="27" t="s">
        <v>230</v>
      </c>
      <c r="E11732" s="29">
        <v>43069</v>
      </c>
      <c r="F11732" s="27">
        <v>8</v>
      </c>
      <c r="G11732" s="18">
        <v>51793.43</v>
      </c>
      <c r="H11732" s="27">
        <f t="shared" si="366"/>
        <v>0</v>
      </c>
      <c r="I11732" s="18">
        <v>6663.01</v>
      </c>
      <c r="J11732" s="27">
        <v>51793.43</v>
      </c>
      <c r="K11732" s="18">
        <f t="shared" si="367"/>
        <v>0</v>
      </c>
      <c r="L11732" s="27">
        <v>12813.48</v>
      </c>
      <c r="M11732" s="36">
        <v>6150.47</v>
      </c>
      <c r="T11732" s="41">
        <v>0</v>
      </c>
      <c r="U11732" s="41">
        <v>0</v>
      </c>
      <c r="V11732" s="42" t="s">
        <v>113</v>
      </c>
      <c r="W11732" s="42">
        <v>0</v>
      </c>
      <c r="X11732" s="42">
        <v>0</v>
      </c>
    </row>
    <row r="11733" spans="1:24">
      <c r="A11733" s="27" t="s">
        <v>21196</v>
      </c>
      <c r="B11733" s="28" t="s">
        <v>19918</v>
      </c>
      <c r="C11733" s="27" t="s">
        <v>21197</v>
      </c>
      <c r="D11733" s="27" t="s">
        <v>230</v>
      </c>
      <c r="E11733" s="29">
        <v>42704</v>
      </c>
      <c r="F11733" s="27">
        <v>8</v>
      </c>
      <c r="G11733" s="18">
        <v>23063.85</v>
      </c>
      <c r="H11733" s="27">
        <f t="shared" si="366"/>
        <v>0</v>
      </c>
      <c r="I11733" s="18">
        <v>5705.9</v>
      </c>
      <c r="J11733" s="27">
        <v>23063.85</v>
      </c>
      <c r="K11733" s="18">
        <f t="shared" si="367"/>
        <v>0</v>
      </c>
      <c r="L11733" s="27">
        <v>8444.73</v>
      </c>
      <c r="M11733" s="36">
        <v>2738.83</v>
      </c>
      <c r="T11733" s="41">
        <v>0</v>
      </c>
      <c r="U11733" s="41">
        <v>0</v>
      </c>
      <c r="V11733" s="42" t="s">
        <v>113</v>
      </c>
      <c r="W11733" s="42">
        <v>0</v>
      </c>
      <c r="X11733" s="42">
        <v>0</v>
      </c>
    </row>
    <row r="11734" spans="1:24">
      <c r="A11734" s="27" t="s">
        <v>21198</v>
      </c>
      <c r="B11734" s="28" t="s">
        <v>19918</v>
      </c>
      <c r="C11734" s="27" t="s">
        <v>21199</v>
      </c>
      <c r="D11734" s="27" t="s">
        <v>17578</v>
      </c>
      <c r="E11734" s="29">
        <v>42704</v>
      </c>
      <c r="F11734" s="27">
        <v>8</v>
      </c>
      <c r="G11734" s="18">
        <v>23063.85</v>
      </c>
      <c r="H11734" s="27">
        <f t="shared" si="366"/>
        <v>0</v>
      </c>
      <c r="I11734" s="18">
        <v>5705.9</v>
      </c>
      <c r="J11734" s="27">
        <v>23063.85</v>
      </c>
      <c r="K11734" s="18">
        <f t="shared" si="367"/>
        <v>0</v>
      </c>
      <c r="L11734" s="27">
        <v>8444.73</v>
      </c>
      <c r="M11734" s="36">
        <v>2738.83</v>
      </c>
      <c r="T11734" s="41">
        <v>0</v>
      </c>
      <c r="U11734" s="41">
        <v>0</v>
      </c>
      <c r="V11734" s="42" t="s">
        <v>113</v>
      </c>
      <c r="W11734" s="42">
        <v>0</v>
      </c>
      <c r="X11734" s="42">
        <v>0</v>
      </c>
    </row>
    <row r="11735" spans="1:24">
      <c r="A11735" s="27" t="s">
        <v>21200</v>
      </c>
      <c r="B11735" s="28" t="s">
        <v>19918</v>
      </c>
      <c r="C11735" s="27" t="s">
        <v>21201</v>
      </c>
      <c r="D11735" s="27" t="s">
        <v>17578</v>
      </c>
      <c r="E11735" s="29">
        <v>42704</v>
      </c>
      <c r="F11735" s="27">
        <v>8</v>
      </c>
      <c r="G11735" s="18">
        <v>23063.85</v>
      </c>
      <c r="H11735" s="27">
        <f t="shared" si="366"/>
        <v>0</v>
      </c>
      <c r="I11735" s="18">
        <v>5705.9</v>
      </c>
      <c r="J11735" s="27">
        <v>23063.85</v>
      </c>
      <c r="K11735" s="18">
        <f t="shared" si="367"/>
        <v>0</v>
      </c>
      <c r="L11735" s="27">
        <v>8444.73</v>
      </c>
      <c r="M11735" s="36">
        <v>2738.83</v>
      </c>
      <c r="T11735" s="41">
        <v>0</v>
      </c>
      <c r="U11735" s="41">
        <v>0</v>
      </c>
      <c r="V11735" s="42" t="s">
        <v>113</v>
      </c>
      <c r="W11735" s="42">
        <v>0</v>
      </c>
      <c r="X11735" s="42">
        <v>0</v>
      </c>
    </row>
    <row r="11736" spans="1:24">
      <c r="A11736" s="27" t="s">
        <v>21202</v>
      </c>
      <c r="B11736" s="28" t="s">
        <v>19918</v>
      </c>
      <c r="C11736" s="27" t="s">
        <v>21203</v>
      </c>
      <c r="D11736" s="27" t="s">
        <v>17578</v>
      </c>
      <c r="E11736" s="29">
        <v>42704</v>
      </c>
      <c r="F11736" s="27">
        <v>8</v>
      </c>
      <c r="G11736" s="18">
        <v>23063.85</v>
      </c>
      <c r="H11736" s="27">
        <f t="shared" si="366"/>
        <v>0</v>
      </c>
      <c r="I11736" s="18">
        <v>5705.9</v>
      </c>
      <c r="J11736" s="27">
        <v>23063.85</v>
      </c>
      <c r="K11736" s="18">
        <f t="shared" si="367"/>
        <v>0</v>
      </c>
      <c r="L11736" s="27">
        <v>8444.73</v>
      </c>
      <c r="M11736" s="36">
        <v>2738.83</v>
      </c>
      <c r="T11736" s="41">
        <v>0</v>
      </c>
      <c r="U11736" s="41">
        <v>0</v>
      </c>
      <c r="V11736" s="42" t="s">
        <v>113</v>
      </c>
      <c r="W11736" s="42">
        <v>0</v>
      </c>
      <c r="X11736" s="42">
        <v>0</v>
      </c>
    </row>
    <row r="11737" spans="1:24">
      <c r="A11737" s="27" t="s">
        <v>21204</v>
      </c>
      <c r="B11737" s="28" t="s">
        <v>19918</v>
      </c>
      <c r="C11737" s="27" t="s">
        <v>21205</v>
      </c>
      <c r="D11737" s="27" t="s">
        <v>17578</v>
      </c>
      <c r="E11737" s="29">
        <v>42704</v>
      </c>
      <c r="F11737" s="27">
        <v>8</v>
      </c>
      <c r="G11737" s="18">
        <v>23063.85</v>
      </c>
      <c r="H11737" s="27">
        <f t="shared" si="366"/>
        <v>0</v>
      </c>
      <c r="I11737" s="18">
        <v>5705.9</v>
      </c>
      <c r="J11737" s="27">
        <v>23063.85</v>
      </c>
      <c r="K11737" s="18">
        <f t="shared" si="367"/>
        <v>0</v>
      </c>
      <c r="L11737" s="27">
        <v>8444.73</v>
      </c>
      <c r="M11737" s="36">
        <v>2738.83</v>
      </c>
      <c r="T11737" s="41">
        <v>0</v>
      </c>
      <c r="U11737" s="41">
        <v>0</v>
      </c>
      <c r="V11737" s="42" t="s">
        <v>113</v>
      </c>
      <c r="W11737" s="42">
        <v>0</v>
      </c>
      <c r="X11737" s="42">
        <v>0</v>
      </c>
    </row>
    <row r="11738" spans="1:24">
      <c r="A11738" s="27" t="s">
        <v>21206</v>
      </c>
      <c r="B11738" s="28" t="s">
        <v>19918</v>
      </c>
      <c r="C11738" s="27" t="s">
        <v>21207</v>
      </c>
      <c r="D11738" s="27" t="s">
        <v>17578</v>
      </c>
      <c r="E11738" s="29">
        <v>42704</v>
      </c>
      <c r="F11738" s="27">
        <v>8</v>
      </c>
      <c r="G11738" s="18">
        <v>23063.85</v>
      </c>
      <c r="H11738" s="27">
        <f t="shared" si="366"/>
        <v>0</v>
      </c>
      <c r="I11738" s="18">
        <v>5705.9</v>
      </c>
      <c r="J11738" s="27">
        <v>23063.85</v>
      </c>
      <c r="K11738" s="18">
        <f t="shared" si="367"/>
        <v>0</v>
      </c>
      <c r="L11738" s="27">
        <v>8444.73</v>
      </c>
      <c r="M11738" s="36">
        <v>2738.83</v>
      </c>
      <c r="T11738" s="41">
        <v>0</v>
      </c>
      <c r="U11738" s="41">
        <v>0</v>
      </c>
      <c r="V11738" s="42" t="s">
        <v>113</v>
      </c>
      <c r="W11738" s="42">
        <v>0</v>
      </c>
      <c r="X11738" s="42">
        <v>0</v>
      </c>
    </row>
    <row r="11739" spans="1:24">
      <c r="A11739" s="27" t="s">
        <v>21208</v>
      </c>
      <c r="B11739" s="28" t="s">
        <v>19918</v>
      </c>
      <c r="C11739" s="27" t="s">
        <v>21209</v>
      </c>
      <c r="D11739" s="27" t="s">
        <v>17578</v>
      </c>
      <c r="E11739" s="29">
        <v>42704</v>
      </c>
      <c r="F11739" s="27">
        <v>8</v>
      </c>
      <c r="G11739" s="18">
        <v>23063.85</v>
      </c>
      <c r="H11739" s="27">
        <f t="shared" si="366"/>
        <v>0</v>
      </c>
      <c r="I11739" s="18">
        <v>5705.9</v>
      </c>
      <c r="J11739" s="27">
        <v>23063.85</v>
      </c>
      <c r="K11739" s="18">
        <f t="shared" si="367"/>
        <v>0</v>
      </c>
      <c r="L11739" s="27">
        <v>8444.73</v>
      </c>
      <c r="M11739" s="36">
        <v>2738.83</v>
      </c>
      <c r="T11739" s="41">
        <v>0</v>
      </c>
      <c r="U11739" s="41">
        <v>0</v>
      </c>
      <c r="V11739" s="42" t="s">
        <v>113</v>
      </c>
      <c r="W11739" s="42">
        <v>0</v>
      </c>
      <c r="X11739" s="42">
        <v>0</v>
      </c>
    </row>
    <row r="11740" spans="1:24">
      <c r="A11740" s="27" t="s">
        <v>21210</v>
      </c>
      <c r="B11740" s="28" t="s">
        <v>19918</v>
      </c>
      <c r="C11740" s="27" t="s">
        <v>21211</v>
      </c>
      <c r="D11740" s="27" t="s">
        <v>17578</v>
      </c>
      <c r="E11740" s="29">
        <v>42704</v>
      </c>
      <c r="F11740" s="27">
        <v>8</v>
      </c>
      <c r="G11740" s="18">
        <v>23063.85</v>
      </c>
      <c r="H11740" s="27">
        <f t="shared" si="366"/>
        <v>0</v>
      </c>
      <c r="I11740" s="18">
        <v>5705.9</v>
      </c>
      <c r="J11740" s="27">
        <v>23063.85</v>
      </c>
      <c r="K11740" s="18">
        <f t="shared" si="367"/>
        <v>0</v>
      </c>
      <c r="L11740" s="27">
        <v>8444.73</v>
      </c>
      <c r="M11740" s="36">
        <v>2738.83</v>
      </c>
      <c r="T11740" s="41">
        <v>0</v>
      </c>
      <c r="U11740" s="41">
        <v>0</v>
      </c>
      <c r="V11740" s="42" t="s">
        <v>113</v>
      </c>
      <c r="W11740" s="42">
        <v>0</v>
      </c>
      <c r="X11740" s="42">
        <v>0</v>
      </c>
    </row>
    <row r="11741" spans="1:24">
      <c r="A11741" s="27" t="s">
        <v>21212</v>
      </c>
      <c r="B11741" s="28" t="s">
        <v>19918</v>
      </c>
      <c r="C11741" s="27" t="s">
        <v>21213</v>
      </c>
      <c r="D11741" s="27" t="s">
        <v>17578</v>
      </c>
      <c r="E11741" s="29">
        <v>42704</v>
      </c>
      <c r="F11741" s="27">
        <v>8</v>
      </c>
      <c r="G11741" s="18">
        <v>23063.85</v>
      </c>
      <c r="H11741" s="27">
        <f t="shared" si="366"/>
        <v>0</v>
      </c>
      <c r="I11741" s="18">
        <v>5705.89</v>
      </c>
      <c r="J11741" s="27">
        <v>23063.85</v>
      </c>
      <c r="K11741" s="18">
        <f t="shared" si="367"/>
        <v>0</v>
      </c>
      <c r="L11741" s="27">
        <v>8444.7199999999993</v>
      </c>
      <c r="M11741" s="36">
        <v>2738.83</v>
      </c>
      <c r="T11741" s="41">
        <v>0</v>
      </c>
      <c r="U11741" s="41">
        <v>0</v>
      </c>
      <c r="V11741" s="42" t="s">
        <v>113</v>
      </c>
      <c r="W11741" s="42">
        <v>0</v>
      </c>
      <c r="X11741" s="42">
        <v>0</v>
      </c>
    </row>
    <row r="11742" spans="1:24">
      <c r="A11742" s="27" t="s">
        <v>21214</v>
      </c>
      <c r="B11742" s="28" t="s">
        <v>19918</v>
      </c>
      <c r="C11742" s="27" t="s">
        <v>21215</v>
      </c>
      <c r="D11742" s="27" t="s">
        <v>17578</v>
      </c>
      <c r="E11742" s="29">
        <v>42704</v>
      </c>
      <c r="F11742" s="27">
        <v>8</v>
      </c>
      <c r="G11742" s="18">
        <v>23063.85</v>
      </c>
      <c r="H11742" s="27">
        <f t="shared" si="366"/>
        <v>0</v>
      </c>
      <c r="I11742" s="18">
        <v>5705.9</v>
      </c>
      <c r="J11742" s="27">
        <v>23063.85</v>
      </c>
      <c r="K11742" s="18">
        <f t="shared" si="367"/>
        <v>0</v>
      </c>
      <c r="L11742" s="27">
        <v>8444.73</v>
      </c>
      <c r="M11742" s="36">
        <v>2738.83</v>
      </c>
      <c r="T11742" s="41">
        <v>0</v>
      </c>
      <c r="U11742" s="41">
        <v>0</v>
      </c>
      <c r="V11742" s="42" t="s">
        <v>113</v>
      </c>
      <c r="W11742" s="42">
        <v>0</v>
      </c>
      <c r="X11742" s="42">
        <v>0</v>
      </c>
    </row>
    <row r="11743" spans="1:24">
      <c r="A11743" s="27" t="s">
        <v>21216</v>
      </c>
      <c r="B11743" s="28" t="s">
        <v>19918</v>
      </c>
      <c r="C11743" s="27" t="s">
        <v>21217</v>
      </c>
      <c r="D11743" s="27" t="s">
        <v>17578</v>
      </c>
      <c r="E11743" s="29">
        <v>42704</v>
      </c>
      <c r="F11743" s="27">
        <v>8</v>
      </c>
      <c r="G11743" s="18">
        <v>23063.85</v>
      </c>
      <c r="H11743" s="27">
        <f t="shared" si="366"/>
        <v>0</v>
      </c>
      <c r="I11743" s="18">
        <v>5705.89</v>
      </c>
      <c r="J11743" s="27">
        <v>23063.85</v>
      </c>
      <c r="K11743" s="18">
        <f t="shared" si="367"/>
        <v>0</v>
      </c>
      <c r="L11743" s="27">
        <v>8444.7199999999993</v>
      </c>
      <c r="M11743" s="36">
        <v>2738.83</v>
      </c>
      <c r="T11743" s="41">
        <v>0</v>
      </c>
      <c r="U11743" s="41">
        <v>0</v>
      </c>
      <c r="V11743" s="42" t="s">
        <v>113</v>
      </c>
      <c r="W11743" s="42">
        <v>0</v>
      </c>
      <c r="X11743" s="42">
        <v>0</v>
      </c>
    </row>
    <row r="11744" spans="1:24">
      <c r="A11744" s="27" t="s">
        <v>21218</v>
      </c>
      <c r="B11744" s="28" t="s">
        <v>19918</v>
      </c>
      <c r="C11744" s="27" t="s">
        <v>21219</v>
      </c>
      <c r="D11744" s="27" t="s">
        <v>17578</v>
      </c>
      <c r="E11744" s="29">
        <v>42704</v>
      </c>
      <c r="F11744" s="27">
        <v>8</v>
      </c>
      <c r="G11744" s="18">
        <v>23063.85</v>
      </c>
      <c r="H11744" s="27">
        <f t="shared" si="366"/>
        <v>0</v>
      </c>
      <c r="I11744" s="18">
        <v>5705.9</v>
      </c>
      <c r="J11744" s="27">
        <v>23063.85</v>
      </c>
      <c r="K11744" s="18">
        <f t="shared" si="367"/>
        <v>0</v>
      </c>
      <c r="L11744" s="27">
        <v>8444.73</v>
      </c>
      <c r="M11744" s="36">
        <v>2738.83</v>
      </c>
      <c r="T11744" s="41">
        <v>0</v>
      </c>
      <c r="U11744" s="41">
        <v>0</v>
      </c>
      <c r="V11744" s="42" t="s">
        <v>113</v>
      </c>
      <c r="W11744" s="42">
        <v>0</v>
      </c>
      <c r="X11744" s="42">
        <v>0</v>
      </c>
    </row>
    <row r="11745" spans="1:24">
      <c r="A11745" s="27" t="s">
        <v>21220</v>
      </c>
      <c r="B11745" s="28" t="s">
        <v>19918</v>
      </c>
      <c r="C11745" s="27" t="s">
        <v>21221</v>
      </c>
      <c r="D11745" s="27" t="s">
        <v>17578</v>
      </c>
      <c r="E11745" s="29">
        <v>42704</v>
      </c>
      <c r="F11745" s="27">
        <v>8</v>
      </c>
      <c r="G11745" s="18">
        <v>23063.85</v>
      </c>
      <c r="H11745" s="27">
        <f t="shared" si="366"/>
        <v>0</v>
      </c>
      <c r="I11745" s="18">
        <v>5705.89</v>
      </c>
      <c r="J11745" s="27">
        <v>23063.85</v>
      </c>
      <c r="K11745" s="18">
        <f t="shared" si="367"/>
        <v>0</v>
      </c>
      <c r="L11745" s="27">
        <v>8444.7199999999993</v>
      </c>
      <c r="M11745" s="36">
        <v>2738.83</v>
      </c>
      <c r="T11745" s="41">
        <v>0</v>
      </c>
      <c r="U11745" s="41">
        <v>0</v>
      </c>
      <c r="V11745" s="42" t="s">
        <v>113</v>
      </c>
      <c r="W11745" s="42">
        <v>0</v>
      </c>
      <c r="X11745" s="42">
        <v>0</v>
      </c>
    </row>
    <row r="11746" spans="1:24">
      <c r="A11746" s="27" t="s">
        <v>21222</v>
      </c>
      <c r="B11746" s="28" t="s">
        <v>19918</v>
      </c>
      <c r="C11746" s="27" t="s">
        <v>21223</v>
      </c>
      <c r="D11746" s="27" t="s">
        <v>17578</v>
      </c>
      <c r="E11746" s="29">
        <v>42704</v>
      </c>
      <c r="F11746" s="27">
        <v>8</v>
      </c>
      <c r="G11746" s="18">
        <v>23063.85</v>
      </c>
      <c r="H11746" s="27">
        <f t="shared" si="366"/>
        <v>0</v>
      </c>
      <c r="I11746" s="18">
        <v>5705.9</v>
      </c>
      <c r="J11746" s="27">
        <v>23063.85</v>
      </c>
      <c r="K11746" s="18">
        <f t="shared" si="367"/>
        <v>0</v>
      </c>
      <c r="L11746" s="27">
        <v>8444.73</v>
      </c>
      <c r="M11746" s="36">
        <v>2738.83</v>
      </c>
      <c r="T11746" s="41">
        <v>0</v>
      </c>
      <c r="U11746" s="41">
        <v>0</v>
      </c>
      <c r="V11746" s="42" t="s">
        <v>113</v>
      </c>
      <c r="W11746" s="42">
        <v>0</v>
      </c>
      <c r="X11746" s="42">
        <v>0</v>
      </c>
    </row>
    <row r="11747" spans="1:24">
      <c r="A11747" s="27" t="s">
        <v>21224</v>
      </c>
      <c r="B11747" s="28" t="s">
        <v>19918</v>
      </c>
      <c r="C11747" s="27" t="s">
        <v>21225</v>
      </c>
      <c r="D11747" s="27" t="s">
        <v>17578</v>
      </c>
      <c r="E11747" s="29">
        <v>42704</v>
      </c>
      <c r="F11747" s="27">
        <v>8</v>
      </c>
      <c r="G11747" s="18">
        <v>23063.85</v>
      </c>
      <c r="H11747" s="27">
        <f t="shared" si="366"/>
        <v>0</v>
      </c>
      <c r="I11747" s="18">
        <v>5705.89</v>
      </c>
      <c r="J11747" s="27">
        <v>23063.85</v>
      </c>
      <c r="K11747" s="18">
        <f t="shared" si="367"/>
        <v>0</v>
      </c>
      <c r="L11747" s="27">
        <v>8444.7199999999993</v>
      </c>
      <c r="M11747" s="36">
        <v>2738.83</v>
      </c>
      <c r="T11747" s="41">
        <v>0</v>
      </c>
      <c r="U11747" s="41">
        <v>0</v>
      </c>
      <c r="V11747" s="42" t="s">
        <v>113</v>
      </c>
      <c r="W11747" s="42">
        <v>0</v>
      </c>
      <c r="X11747" s="42">
        <v>0</v>
      </c>
    </row>
    <row r="11748" spans="1:24">
      <c r="A11748" s="27" t="s">
        <v>21226</v>
      </c>
      <c r="B11748" s="28" t="s">
        <v>19918</v>
      </c>
      <c r="C11748" s="27" t="s">
        <v>21227</v>
      </c>
      <c r="D11748" s="27" t="s">
        <v>17578</v>
      </c>
      <c r="E11748" s="29">
        <v>42704</v>
      </c>
      <c r="F11748" s="27">
        <v>8</v>
      </c>
      <c r="G11748" s="18">
        <v>23063.85</v>
      </c>
      <c r="H11748" s="27">
        <f t="shared" si="366"/>
        <v>0</v>
      </c>
      <c r="I11748" s="18">
        <v>5705.9</v>
      </c>
      <c r="J11748" s="27">
        <v>23063.85</v>
      </c>
      <c r="K11748" s="18">
        <f t="shared" si="367"/>
        <v>0</v>
      </c>
      <c r="L11748" s="27">
        <v>8444.73</v>
      </c>
      <c r="M11748" s="36">
        <v>2738.83</v>
      </c>
      <c r="T11748" s="41">
        <v>0</v>
      </c>
      <c r="U11748" s="41">
        <v>0</v>
      </c>
      <c r="V11748" s="42" t="s">
        <v>113</v>
      </c>
      <c r="W11748" s="42">
        <v>0</v>
      </c>
      <c r="X11748" s="42">
        <v>0</v>
      </c>
    </row>
    <row r="11749" spans="1:24">
      <c r="A11749" s="27" t="s">
        <v>21228</v>
      </c>
      <c r="B11749" s="28" t="s">
        <v>19918</v>
      </c>
      <c r="C11749" s="27" t="s">
        <v>21229</v>
      </c>
      <c r="D11749" s="27" t="s">
        <v>17578</v>
      </c>
      <c r="E11749" s="29">
        <v>42704</v>
      </c>
      <c r="F11749" s="27">
        <v>8</v>
      </c>
      <c r="G11749" s="18">
        <v>23063.85</v>
      </c>
      <c r="H11749" s="27">
        <f t="shared" si="366"/>
        <v>0</v>
      </c>
      <c r="I11749" s="18">
        <v>5705.89</v>
      </c>
      <c r="J11749" s="27">
        <v>23063.85</v>
      </c>
      <c r="K11749" s="18">
        <f t="shared" si="367"/>
        <v>0</v>
      </c>
      <c r="L11749" s="27">
        <v>8444.7199999999993</v>
      </c>
      <c r="M11749" s="36">
        <v>2738.83</v>
      </c>
      <c r="T11749" s="41">
        <v>0</v>
      </c>
      <c r="U11749" s="41">
        <v>0</v>
      </c>
      <c r="V11749" s="42" t="s">
        <v>113</v>
      </c>
      <c r="W11749" s="42">
        <v>0</v>
      </c>
      <c r="X11749" s="42">
        <v>0</v>
      </c>
    </row>
    <row r="11750" spans="1:24">
      <c r="A11750" s="27" t="s">
        <v>21230</v>
      </c>
      <c r="B11750" s="28" t="s">
        <v>19918</v>
      </c>
      <c r="C11750" s="27" t="s">
        <v>21231</v>
      </c>
      <c r="D11750" s="27" t="s">
        <v>17578</v>
      </c>
      <c r="E11750" s="29">
        <v>42704</v>
      </c>
      <c r="F11750" s="27">
        <v>8</v>
      </c>
      <c r="G11750" s="18">
        <v>23063.85</v>
      </c>
      <c r="H11750" s="27">
        <f t="shared" si="366"/>
        <v>0</v>
      </c>
      <c r="I11750" s="18">
        <v>5705.9</v>
      </c>
      <c r="J11750" s="27">
        <v>23063.85</v>
      </c>
      <c r="K11750" s="18">
        <f t="shared" si="367"/>
        <v>0</v>
      </c>
      <c r="L11750" s="27">
        <v>8444.73</v>
      </c>
      <c r="M11750" s="36">
        <v>2738.83</v>
      </c>
      <c r="T11750" s="41">
        <v>0</v>
      </c>
      <c r="U11750" s="41">
        <v>0</v>
      </c>
      <c r="V11750" s="42" t="s">
        <v>113</v>
      </c>
      <c r="W11750" s="42">
        <v>0</v>
      </c>
      <c r="X11750" s="42">
        <v>0</v>
      </c>
    </row>
    <row r="11751" spans="1:24">
      <c r="A11751" s="27" t="s">
        <v>21232</v>
      </c>
      <c r="B11751" s="28" t="s">
        <v>19918</v>
      </c>
      <c r="C11751" s="27" t="s">
        <v>21233</v>
      </c>
      <c r="D11751" s="27" t="s">
        <v>17578</v>
      </c>
      <c r="E11751" s="29">
        <v>42704</v>
      </c>
      <c r="F11751" s="27">
        <v>8</v>
      </c>
      <c r="G11751" s="18">
        <v>23063.85</v>
      </c>
      <c r="H11751" s="27">
        <f t="shared" si="366"/>
        <v>0</v>
      </c>
      <c r="I11751" s="18">
        <v>5705.89</v>
      </c>
      <c r="J11751" s="27">
        <v>23063.85</v>
      </c>
      <c r="K11751" s="18">
        <f t="shared" si="367"/>
        <v>0</v>
      </c>
      <c r="L11751" s="27">
        <v>8444.7199999999993</v>
      </c>
      <c r="M11751" s="36">
        <v>2738.83</v>
      </c>
      <c r="T11751" s="41">
        <v>0</v>
      </c>
      <c r="U11751" s="41">
        <v>0</v>
      </c>
      <c r="V11751" s="42" t="s">
        <v>113</v>
      </c>
      <c r="W11751" s="42">
        <v>0</v>
      </c>
      <c r="X11751" s="42">
        <v>0</v>
      </c>
    </row>
    <row r="11752" spans="1:24">
      <c r="A11752" s="27" t="s">
        <v>21234</v>
      </c>
      <c r="B11752" s="28" t="s">
        <v>19918</v>
      </c>
      <c r="C11752" s="27" t="s">
        <v>21235</v>
      </c>
      <c r="D11752" s="27" t="s">
        <v>17578</v>
      </c>
      <c r="E11752" s="29">
        <v>42704</v>
      </c>
      <c r="F11752" s="27">
        <v>8</v>
      </c>
      <c r="G11752" s="18">
        <v>23063.85</v>
      </c>
      <c r="H11752" s="27">
        <f t="shared" si="366"/>
        <v>0</v>
      </c>
      <c r="I11752" s="18">
        <v>5705.9</v>
      </c>
      <c r="J11752" s="27">
        <v>23063.85</v>
      </c>
      <c r="K11752" s="18">
        <f t="shared" si="367"/>
        <v>0</v>
      </c>
      <c r="L11752" s="27">
        <v>8444.73</v>
      </c>
      <c r="M11752" s="36">
        <v>2738.83</v>
      </c>
      <c r="T11752" s="41">
        <v>0</v>
      </c>
      <c r="U11752" s="41">
        <v>0</v>
      </c>
      <c r="V11752" s="42" t="s">
        <v>113</v>
      </c>
      <c r="W11752" s="42">
        <v>0</v>
      </c>
      <c r="X11752" s="42">
        <v>0</v>
      </c>
    </row>
    <row r="11753" spans="1:24">
      <c r="A11753" s="27" t="s">
        <v>21236</v>
      </c>
      <c r="B11753" s="28" t="s">
        <v>19918</v>
      </c>
      <c r="C11753" s="27" t="s">
        <v>21237</v>
      </c>
      <c r="D11753" s="27" t="s">
        <v>17578</v>
      </c>
      <c r="E11753" s="29">
        <v>42704</v>
      </c>
      <c r="F11753" s="27">
        <v>8</v>
      </c>
      <c r="G11753" s="18">
        <v>23063.85</v>
      </c>
      <c r="H11753" s="27">
        <f t="shared" si="366"/>
        <v>0</v>
      </c>
      <c r="I11753" s="18">
        <v>5705.89</v>
      </c>
      <c r="J11753" s="27">
        <v>23063.85</v>
      </c>
      <c r="K11753" s="18">
        <f t="shared" si="367"/>
        <v>0</v>
      </c>
      <c r="L11753" s="27">
        <v>8444.7199999999993</v>
      </c>
      <c r="M11753" s="36">
        <v>2738.83</v>
      </c>
      <c r="T11753" s="41">
        <v>0</v>
      </c>
      <c r="U11753" s="41">
        <v>0</v>
      </c>
      <c r="V11753" s="42" t="s">
        <v>113</v>
      </c>
      <c r="W11753" s="42">
        <v>0</v>
      </c>
      <c r="X11753" s="42">
        <v>0</v>
      </c>
    </row>
    <row r="11754" spans="1:24">
      <c r="A11754" s="27" t="s">
        <v>21238</v>
      </c>
      <c r="B11754" s="28" t="s">
        <v>19918</v>
      </c>
      <c r="C11754" s="27" t="s">
        <v>21239</v>
      </c>
      <c r="D11754" s="27" t="s">
        <v>17578</v>
      </c>
      <c r="E11754" s="29">
        <v>42704</v>
      </c>
      <c r="F11754" s="27">
        <v>8</v>
      </c>
      <c r="G11754" s="18">
        <v>23063.85</v>
      </c>
      <c r="H11754" s="27">
        <f t="shared" si="366"/>
        <v>0</v>
      </c>
      <c r="I11754" s="18">
        <v>5705.9</v>
      </c>
      <c r="J11754" s="27">
        <v>23063.85</v>
      </c>
      <c r="K11754" s="18">
        <f t="shared" si="367"/>
        <v>0</v>
      </c>
      <c r="L11754" s="27">
        <v>8444.73</v>
      </c>
      <c r="M11754" s="36">
        <v>2738.83</v>
      </c>
      <c r="T11754" s="41">
        <v>0</v>
      </c>
      <c r="U11754" s="41">
        <v>0</v>
      </c>
      <c r="V11754" s="42" t="s">
        <v>113</v>
      </c>
      <c r="W11754" s="42">
        <v>0</v>
      </c>
      <c r="X11754" s="42">
        <v>0</v>
      </c>
    </row>
    <row r="11755" spans="1:24">
      <c r="A11755" s="27" t="s">
        <v>21240</v>
      </c>
      <c r="B11755" s="28" t="s">
        <v>19918</v>
      </c>
      <c r="C11755" s="27" t="s">
        <v>21241</v>
      </c>
      <c r="D11755" s="27" t="s">
        <v>17578</v>
      </c>
      <c r="E11755" s="29">
        <v>42704</v>
      </c>
      <c r="F11755" s="27">
        <v>8</v>
      </c>
      <c r="G11755" s="18">
        <v>23063.85</v>
      </c>
      <c r="H11755" s="27">
        <f t="shared" si="366"/>
        <v>0</v>
      </c>
      <c r="I11755" s="18">
        <v>5705.89</v>
      </c>
      <c r="J11755" s="27">
        <v>23063.85</v>
      </c>
      <c r="K11755" s="18">
        <f t="shared" si="367"/>
        <v>0</v>
      </c>
      <c r="L11755" s="27">
        <v>8444.7199999999993</v>
      </c>
      <c r="M11755" s="36">
        <v>2738.83</v>
      </c>
      <c r="T11755" s="41">
        <v>0</v>
      </c>
      <c r="U11755" s="41">
        <v>0</v>
      </c>
      <c r="V11755" s="42" t="s">
        <v>113</v>
      </c>
      <c r="W11755" s="42">
        <v>0</v>
      </c>
      <c r="X11755" s="42">
        <v>0</v>
      </c>
    </row>
    <row r="11756" spans="1:24">
      <c r="A11756" s="27" t="s">
        <v>21242</v>
      </c>
      <c r="B11756" s="28" t="s">
        <v>19918</v>
      </c>
      <c r="C11756" s="27" t="s">
        <v>21243</v>
      </c>
      <c r="D11756" s="27" t="s">
        <v>17578</v>
      </c>
      <c r="E11756" s="29">
        <v>43413</v>
      </c>
      <c r="F11756" s="27">
        <v>8</v>
      </c>
      <c r="G11756" s="18">
        <v>48462.11</v>
      </c>
      <c r="H11756" s="27">
        <f t="shared" si="366"/>
        <v>0</v>
      </c>
      <c r="I11756" s="18">
        <v>479.57</v>
      </c>
      <c r="J11756" s="27">
        <v>48462.11</v>
      </c>
      <c r="K11756" s="18">
        <f t="shared" si="367"/>
        <v>0</v>
      </c>
      <c r="L11756" s="27">
        <v>6234.45</v>
      </c>
      <c r="M11756" s="36">
        <v>5754.88</v>
      </c>
      <c r="T11756" s="41">
        <v>0</v>
      </c>
      <c r="U11756" s="41">
        <v>0</v>
      </c>
      <c r="V11756" s="42" t="s">
        <v>113</v>
      </c>
      <c r="W11756" s="42">
        <v>0</v>
      </c>
      <c r="X11756" s="42">
        <v>0</v>
      </c>
    </row>
    <row r="11757" spans="1:24">
      <c r="A11757" s="27" t="s">
        <v>21244</v>
      </c>
      <c r="B11757" s="28" t="s">
        <v>19918</v>
      </c>
      <c r="C11757" s="27" t="s">
        <v>21245</v>
      </c>
      <c r="D11757" s="27" t="s">
        <v>17578</v>
      </c>
      <c r="E11757" s="29">
        <v>43465</v>
      </c>
      <c r="F11757" s="27">
        <v>8</v>
      </c>
      <c r="G11757" s="18">
        <v>32700</v>
      </c>
      <c r="H11757" s="27">
        <f t="shared" si="366"/>
        <v>0</v>
      </c>
      <c r="I11757" s="18">
        <v>0</v>
      </c>
      <c r="J11757" s="27">
        <v>32700</v>
      </c>
      <c r="K11757" s="18">
        <f t="shared" si="367"/>
        <v>0</v>
      </c>
      <c r="L11757" s="27">
        <v>3883.13</v>
      </c>
      <c r="M11757" s="36">
        <v>3883.13</v>
      </c>
      <c r="T11757" s="41">
        <v>0</v>
      </c>
      <c r="U11757" s="41">
        <v>0</v>
      </c>
      <c r="V11757" s="42" t="s">
        <v>113</v>
      </c>
      <c r="W11757" s="42">
        <v>0</v>
      </c>
      <c r="X11757" s="42">
        <v>0</v>
      </c>
    </row>
    <row r="11758" spans="1:24">
      <c r="A11758" s="27" t="s">
        <v>21246</v>
      </c>
      <c r="B11758" s="28" t="s">
        <v>19918</v>
      </c>
      <c r="C11758" s="27" t="s">
        <v>21247</v>
      </c>
      <c r="D11758" s="27" t="s">
        <v>17578</v>
      </c>
      <c r="E11758" s="29">
        <v>43465</v>
      </c>
      <c r="F11758" s="27">
        <v>8</v>
      </c>
      <c r="G11758" s="18">
        <v>19620</v>
      </c>
      <c r="H11758" s="27">
        <f t="shared" si="366"/>
        <v>0</v>
      </c>
      <c r="I11758" s="18">
        <v>0</v>
      </c>
      <c r="J11758" s="27">
        <v>19620</v>
      </c>
      <c r="K11758" s="18">
        <f t="shared" si="367"/>
        <v>0</v>
      </c>
      <c r="L11758" s="27">
        <v>2329.88</v>
      </c>
      <c r="M11758" s="36">
        <v>2329.88</v>
      </c>
      <c r="T11758" s="41">
        <v>0</v>
      </c>
      <c r="U11758" s="41">
        <v>0</v>
      </c>
      <c r="V11758" s="42" t="s">
        <v>113</v>
      </c>
      <c r="W11758" s="42">
        <v>0</v>
      </c>
      <c r="X11758" s="42">
        <v>0</v>
      </c>
    </row>
    <row r="11759" spans="1:24">
      <c r="A11759" s="27" t="s">
        <v>21248</v>
      </c>
      <c r="B11759" s="28" t="s">
        <v>19918</v>
      </c>
      <c r="C11759" s="27" t="s">
        <v>21249</v>
      </c>
      <c r="D11759" s="27" t="s">
        <v>17578</v>
      </c>
      <c r="E11759" s="29">
        <v>43465</v>
      </c>
      <c r="F11759" s="27">
        <v>8</v>
      </c>
      <c r="G11759" s="18">
        <v>22890</v>
      </c>
      <c r="H11759" s="27">
        <f t="shared" si="366"/>
        <v>0</v>
      </c>
      <c r="I11759" s="18">
        <v>0</v>
      </c>
      <c r="J11759" s="27">
        <v>22890</v>
      </c>
      <c r="K11759" s="18">
        <f t="shared" si="367"/>
        <v>0</v>
      </c>
      <c r="L11759" s="27">
        <v>2718.19</v>
      </c>
      <c r="M11759" s="36">
        <v>2718.19</v>
      </c>
      <c r="T11759" s="41">
        <v>0</v>
      </c>
      <c r="U11759" s="41">
        <v>0</v>
      </c>
      <c r="V11759" s="42" t="s">
        <v>113</v>
      </c>
      <c r="W11759" s="42">
        <v>0</v>
      </c>
      <c r="X11759" s="42">
        <v>0</v>
      </c>
    </row>
    <row r="11760" spans="1:24">
      <c r="A11760" s="27" t="s">
        <v>21250</v>
      </c>
      <c r="B11760" s="28" t="s">
        <v>19918</v>
      </c>
      <c r="C11760" s="27" t="s">
        <v>21251</v>
      </c>
      <c r="D11760" s="27" t="s">
        <v>17578</v>
      </c>
      <c r="E11760" s="29">
        <v>43465</v>
      </c>
      <c r="F11760" s="27">
        <v>8</v>
      </c>
      <c r="G11760" s="18">
        <v>9810</v>
      </c>
      <c r="H11760" s="27">
        <f t="shared" si="366"/>
        <v>0</v>
      </c>
      <c r="I11760" s="18">
        <v>0</v>
      </c>
      <c r="J11760" s="27">
        <v>9810</v>
      </c>
      <c r="K11760" s="18">
        <f t="shared" si="367"/>
        <v>0</v>
      </c>
      <c r="L11760" s="27">
        <v>1164.94</v>
      </c>
      <c r="M11760" s="36">
        <v>1164.94</v>
      </c>
      <c r="T11760" s="41">
        <v>0</v>
      </c>
      <c r="U11760" s="41">
        <v>0</v>
      </c>
      <c r="V11760" s="42" t="s">
        <v>113</v>
      </c>
      <c r="W11760" s="42">
        <v>0</v>
      </c>
      <c r="X11760" s="42">
        <v>0</v>
      </c>
    </row>
    <row r="11761" spans="1:24">
      <c r="A11761" s="27" t="s">
        <v>21252</v>
      </c>
      <c r="B11761" s="28" t="s">
        <v>19918</v>
      </c>
      <c r="C11761" s="27" t="s">
        <v>21253</v>
      </c>
      <c r="D11761" s="27" t="s">
        <v>17578</v>
      </c>
      <c r="E11761" s="29">
        <v>43465</v>
      </c>
      <c r="F11761" s="27">
        <v>8</v>
      </c>
      <c r="G11761" s="18">
        <v>9810</v>
      </c>
      <c r="H11761" s="27">
        <f t="shared" si="366"/>
        <v>0</v>
      </c>
      <c r="I11761" s="18">
        <v>0</v>
      </c>
      <c r="J11761" s="27">
        <v>9810</v>
      </c>
      <c r="K11761" s="18">
        <f t="shared" si="367"/>
        <v>0</v>
      </c>
      <c r="L11761" s="27">
        <v>1164.94</v>
      </c>
      <c r="M11761" s="36">
        <v>1164.94</v>
      </c>
      <c r="T11761" s="41">
        <v>0</v>
      </c>
      <c r="U11761" s="41">
        <v>0</v>
      </c>
      <c r="V11761" s="42" t="s">
        <v>113</v>
      </c>
      <c r="W11761" s="42">
        <v>0</v>
      </c>
      <c r="X11761" s="42">
        <v>0</v>
      </c>
    </row>
    <row r="11762" spans="1:24">
      <c r="A11762" s="27" t="s">
        <v>21254</v>
      </c>
      <c r="B11762" s="28" t="s">
        <v>19918</v>
      </c>
      <c r="C11762" s="27" t="s">
        <v>21255</v>
      </c>
      <c r="D11762" s="27" t="s">
        <v>17578</v>
      </c>
      <c r="E11762" s="29">
        <v>43465</v>
      </c>
      <c r="F11762" s="27">
        <v>8</v>
      </c>
      <c r="G11762" s="18">
        <v>9810</v>
      </c>
      <c r="H11762" s="27">
        <f t="shared" si="366"/>
        <v>0</v>
      </c>
      <c r="I11762" s="18">
        <v>0</v>
      </c>
      <c r="J11762" s="27">
        <v>9810</v>
      </c>
      <c r="K11762" s="18">
        <f t="shared" si="367"/>
        <v>0</v>
      </c>
      <c r="L11762" s="27">
        <v>1164.94</v>
      </c>
      <c r="M11762" s="36">
        <v>1164.94</v>
      </c>
      <c r="T11762" s="41">
        <v>0</v>
      </c>
      <c r="U11762" s="41">
        <v>0</v>
      </c>
      <c r="V11762" s="42" t="s">
        <v>113</v>
      </c>
      <c r="W11762" s="42">
        <v>0</v>
      </c>
      <c r="X11762" s="42">
        <v>0</v>
      </c>
    </row>
    <row r="11763" spans="1:24">
      <c r="A11763" s="27" t="s">
        <v>21256</v>
      </c>
      <c r="B11763" s="28" t="s">
        <v>19918</v>
      </c>
      <c r="C11763" s="27" t="s">
        <v>21257</v>
      </c>
      <c r="D11763" s="27" t="s">
        <v>17578</v>
      </c>
      <c r="E11763" s="29">
        <v>43465</v>
      </c>
      <c r="F11763" s="27">
        <v>8</v>
      </c>
      <c r="G11763" s="18">
        <v>9810</v>
      </c>
      <c r="H11763" s="27">
        <f t="shared" si="366"/>
        <v>0</v>
      </c>
      <c r="I11763" s="18">
        <v>0</v>
      </c>
      <c r="J11763" s="27">
        <v>9810</v>
      </c>
      <c r="K11763" s="18">
        <f t="shared" si="367"/>
        <v>0</v>
      </c>
      <c r="L11763" s="27">
        <v>1164.94</v>
      </c>
      <c r="M11763" s="36">
        <v>1164.94</v>
      </c>
      <c r="T11763" s="41">
        <v>0</v>
      </c>
      <c r="U11763" s="41">
        <v>0</v>
      </c>
      <c r="V11763" s="42" t="s">
        <v>113</v>
      </c>
      <c r="W11763" s="42">
        <v>0</v>
      </c>
      <c r="X11763" s="42">
        <v>0</v>
      </c>
    </row>
    <row r="11764" spans="1:24">
      <c r="A11764" s="27" t="s">
        <v>21258</v>
      </c>
      <c r="B11764" s="28" t="s">
        <v>19918</v>
      </c>
      <c r="C11764" s="27" t="s">
        <v>21259</v>
      </c>
      <c r="D11764" s="27" t="s">
        <v>17578</v>
      </c>
      <c r="E11764" s="29">
        <v>43465</v>
      </c>
      <c r="F11764" s="27">
        <v>8</v>
      </c>
      <c r="G11764" s="18">
        <v>32700</v>
      </c>
      <c r="H11764" s="27">
        <f t="shared" si="366"/>
        <v>0</v>
      </c>
      <c r="I11764" s="18">
        <v>0</v>
      </c>
      <c r="J11764" s="27">
        <v>32700</v>
      </c>
      <c r="K11764" s="18">
        <f t="shared" si="367"/>
        <v>0</v>
      </c>
      <c r="L11764" s="27">
        <v>3883.13</v>
      </c>
      <c r="M11764" s="36">
        <v>3883.13</v>
      </c>
      <c r="T11764" s="41">
        <v>0</v>
      </c>
      <c r="U11764" s="41">
        <v>0</v>
      </c>
      <c r="V11764" s="42" t="s">
        <v>113</v>
      </c>
      <c r="W11764" s="42">
        <v>0</v>
      </c>
      <c r="X11764" s="42">
        <v>0</v>
      </c>
    </row>
    <row r="11765" spans="1:24">
      <c r="A11765" s="27" t="s">
        <v>21260</v>
      </c>
      <c r="B11765" s="28" t="s">
        <v>19918</v>
      </c>
      <c r="C11765" s="27" t="s">
        <v>21261</v>
      </c>
      <c r="D11765" s="27" t="s">
        <v>17578</v>
      </c>
      <c r="E11765" s="29">
        <v>43465</v>
      </c>
      <c r="F11765" s="27">
        <v>8</v>
      </c>
      <c r="G11765" s="18">
        <v>19620</v>
      </c>
      <c r="H11765" s="27">
        <f t="shared" si="366"/>
        <v>0</v>
      </c>
      <c r="I11765" s="18">
        <v>0</v>
      </c>
      <c r="J11765" s="27">
        <v>19620</v>
      </c>
      <c r="K11765" s="18">
        <f t="shared" si="367"/>
        <v>0</v>
      </c>
      <c r="L11765" s="27">
        <v>2329.88</v>
      </c>
      <c r="M11765" s="36">
        <v>2329.88</v>
      </c>
      <c r="T11765" s="41">
        <v>0</v>
      </c>
      <c r="U11765" s="41">
        <v>0</v>
      </c>
      <c r="V11765" s="42" t="s">
        <v>113</v>
      </c>
      <c r="W11765" s="42">
        <v>0</v>
      </c>
      <c r="X11765" s="42">
        <v>0</v>
      </c>
    </row>
    <row r="11766" spans="1:24">
      <c r="A11766" s="27" t="s">
        <v>21262</v>
      </c>
      <c r="B11766" s="28" t="s">
        <v>19918</v>
      </c>
      <c r="C11766" s="27" t="s">
        <v>21263</v>
      </c>
      <c r="D11766" s="27" t="s">
        <v>17578</v>
      </c>
      <c r="E11766" s="29">
        <v>43465</v>
      </c>
      <c r="F11766" s="27">
        <v>8</v>
      </c>
      <c r="G11766" s="18">
        <v>22890</v>
      </c>
      <c r="H11766" s="27">
        <f t="shared" si="366"/>
        <v>0</v>
      </c>
      <c r="I11766" s="18">
        <v>0</v>
      </c>
      <c r="J11766" s="27">
        <v>22890</v>
      </c>
      <c r="K11766" s="18">
        <f t="shared" si="367"/>
        <v>0</v>
      </c>
      <c r="L11766" s="27">
        <v>2718.19</v>
      </c>
      <c r="M11766" s="36">
        <v>2718.19</v>
      </c>
      <c r="T11766" s="41">
        <v>0</v>
      </c>
      <c r="U11766" s="41">
        <v>0</v>
      </c>
      <c r="V11766" s="42" t="s">
        <v>113</v>
      </c>
      <c r="W11766" s="42">
        <v>0</v>
      </c>
      <c r="X11766" s="42">
        <v>0</v>
      </c>
    </row>
    <row r="11767" spans="1:24">
      <c r="A11767" s="27" t="s">
        <v>21264</v>
      </c>
      <c r="B11767" s="28" t="s">
        <v>19918</v>
      </c>
      <c r="C11767" s="27" t="s">
        <v>21265</v>
      </c>
      <c r="D11767" s="27" t="s">
        <v>17578</v>
      </c>
      <c r="E11767" s="29">
        <v>43465</v>
      </c>
      <c r="F11767" s="27">
        <v>8</v>
      </c>
      <c r="G11767" s="18">
        <v>9810</v>
      </c>
      <c r="H11767" s="27">
        <f t="shared" si="366"/>
        <v>0</v>
      </c>
      <c r="I11767" s="18">
        <v>0</v>
      </c>
      <c r="J11767" s="27">
        <v>9810</v>
      </c>
      <c r="K11767" s="18">
        <f t="shared" si="367"/>
        <v>0</v>
      </c>
      <c r="L11767" s="27">
        <v>1164.94</v>
      </c>
      <c r="M11767" s="36">
        <v>1164.94</v>
      </c>
      <c r="T11767" s="41">
        <v>0</v>
      </c>
      <c r="U11767" s="41">
        <v>0</v>
      </c>
      <c r="V11767" s="42" t="s">
        <v>113</v>
      </c>
      <c r="W11767" s="42">
        <v>0</v>
      </c>
      <c r="X11767" s="42">
        <v>0</v>
      </c>
    </row>
    <row r="11768" spans="1:24">
      <c r="A11768" s="27" t="s">
        <v>21266</v>
      </c>
      <c r="B11768" s="28" t="s">
        <v>19918</v>
      </c>
      <c r="C11768" s="27" t="s">
        <v>21267</v>
      </c>
      <c r="D11768" s="27" t="s">
        <v>17578</v>
      </c>
      <c r="E11768" s="29">
        <v>43465</v>
      </c>
      <c r="F11768" s="27">
        <v>8</v>
      </c>
      <c r="G11768" s="18">
        <v>9810</v>
      </c>
      <c r="H11768" s="27">
        <f t="shared" si="366"/>
        <v>0</v>
      </c>
      <c r="I11768" s="18">
        <v>0</v>
      </c>
      <c r="J11768" s="27">
        <v>9810</v>
      </c>
      <c r="K11768" s="18">
        <f t="shared" si="367"/>
        <v>0</v>
      </c>
      <c r="L11768" s="27">
        <v>1164.94</v>
      </c>
      <c r="M11768" s="36">
        <v>1164.94</v>
      </c>
      <c r="T11768" s="41">
        <v>0</v>
      </c>
      <c r="U11768" s="41">
        <v>0</v>
      </c>
      <c r="V11768" s="42" t="s">
        <v>113</v>
      </c>
      <c r="W11768" s="42">
        <v>0</v>
      </c>
      <c r="X11768" s="42">
        <v>0</v>
      </c>
    </row>
    <row r="11769" spans="1:24">
      <c r="A11769" s="27" t="s">
        <v>21268</v>
      </c>
      <c r="B11769" s="28" t="s">
        <v>19918</v>
      </c>
      <c r="C11769" s="27" t="s">
        <v>21269</v>
      </c>
      <c r="D11769" s="27" t="s">
        <v>17578</v>
      </c>
      <c r="E11769" s="29">
        <v>43465</v>
      </c>
      <c r="F11769" s="27">
        <v>8</v>
      </c>
      <c r="G11769" s="18">
        <v>9810</v>
      </c>
      <c r="H11769" s="27">
        <f t="shared" si="366"/>
        <v>0</v>
      </c>
      <c r="I11769" s="18">
        <v>0</v>
      </c>
      <c r="J11769" s="27">
        <v>9810</v>
      </c>
      <c r="K11769" s="18">
        <f t="shared" si="367"/>
        <v>0</v>
      </c>
      <c r="L11769" s="27">
        <v>1164.94</v>
      </c>
      <c r="M11769" s="36">
        <v>1164.94</v>
      </c>
      <c r="T11769" s="41">
        <v>0</v>
      </c>
      <c r="U11769" s="41">
        <v>0</v>
      </c>
      <c r="V11769" s="42" t="s">
        <v>113</v>
      </c>
      <c r="W11769" s="42">
        <v>0</v>
      </c>
      <c r="X11769" s="42">
        <v>0</v>
      </c>
    </row>
    <row r="11770" spans="1:24">
      <c r="A11770" s="27" t="s">
        <v>21270</v>
      </c>
      <c r="B11770" s="28" t="s">
        <v>19918</v>
      </c>
      <c r="C11770" s="27" t="s">
        <v>21271</v>
      </c>
      <c r="D11770" s="27" t="s">
        <v>17578</v>
      </c>
      <c r="E11770" s="29">
        <v>43465</v>
      </c>
      <c r="F11770" s="27">
        <v>8</v>
      </c>
      <c r="G11770" s="18">
        <v>9810</v>
      </c>
      <c r="H11770" s="27">
        <f t="shared" si="366"/>
        <v>0</v>
      </c>
      <c r="I11770" s="18">
        <v>0</v>
      </c>
      <c r="J11770" s="27">
        <v>9810</v>
      </c>
      <c r="K11770" s="18">
        <f t="shared" si="367"/>
        <v>0</v>
      </c>
      <c r="L11770" s="27">
        <v>1164.94</v>
      </c>
      <c r="M11770" s="36">
        <v>1164.94</v>
      </c>
      <c r="T11770" s="41">
        <v>0</v>
      </c>
      <c r="U11770" s="41">
        <v>0</v>
      </c>
      <c r="V11770" s="42" t="s">
        <v>113</v>
      </c>
      <c r="W11770" s="42">
        <v>0</v>
      </c>
      <c r="X11770" s="42">
        <v>0</v>
      </c>
    </row>
    <row r="11771" spans="1:24">
      <c r="A11771" s="27" t="s">
        <v>21272</v>
      </c>
      <c r="B11771" s="28" t="s">
        <v>19918</v>
      </c>
      <c r="C11771" s="27" t="s">
        <v>21273</v>
      </c>
      <c r="D11771" s="27" t="s">
        <v>17578</v>
      </c>
      <c r="E11771" s="29">
        <v>43465</v>
      </c>
      <c r="F11771" s="27">
        <v>8</v>
      </c>
      <c r="G11771" s="18">
        <v>32700</v>
      </c>
      <c r="H11771" s="27">
        <f t="shared" si="366"/>
        <v>0</v>
      </c>
      <c r="I11771" s="18">
        <v>0</v>
      </c>
      <c r="J11771" s="27">
        <v>32700</v>
      </c>
      <c r="K11771" s="18">
        <f t="shared" si="367"/>
        <v>0</v>
      </c>
      <c r="L11771" s="27">
        <v>3883.13</v>
      </c>
      <c r="M11771" s="36">
        <v>3883.13</v>
      </c>
      <c r="T11771" s="41">
        <v>0</v>
      </c>
      <c r="U11771" s="41">
        <v>0</v>
      </c>
      <c r="V11771" s="42" t="s">
        <v>113</v>
      </c>
      <c r="W11771" s="42">
        <v>0</v>
      </c>
      <c r="X11771" s="42">
        <v>0</v>
      </c>
    </row>
    <row r="11772" spans="1:24">
      <c r="A11772" s="27" t="s">
        <v>21274</v>
      </c>
      <c r="B11772" s="28" t="s">
        <v>19918</v>
      </c>
      <c r="C11772" s="27" t="s">
        <v>21275</v>
      </c>
      <c r="D11772" s="27" t="s">
        <v>17578</v>
      </c>
      <c r="E11772" s="29">
        <v>43465</v>
      </c>
      <c r="F11772" s="27">
        <v>8</v>
      </c>
      <c r="G11772" s="18">
        <v>16350</v>
      </c>
      <c r="H11772" s="27">
        <f t="shared" si="366"/>
        <v>0</v>
      </c>
      <c r="I11772" s="18">
        <v>0</v>
      </c>
      <c r="J11772" s="27">
        <v>16350</v>
      </c>
      <c r="K11772" s="18">
        <f t="shared" si="367"/>
        <v>0</v>
      </c>
      <c r="L11772" s="27">
        <v>1941.56</v>
      </c>
      <c r="M11772" s="36">
        <v>1941.56</v>
      </c>
      <c r="T11772" s="41">
        <v>0</v>
      </c>
      <c r="U11772" s="41">
        <v>0</v>
      </c>
      <c r="V11772" s="42" t="s">
        <v>113</v>
      </c>
      <c r="W11772" s="42">
        <v>0</v>
      </c>
      <c r="X11772" s="42">
        <v>0</v>
      </c>
    </row>
    <row r="11773" spans="1:24">
      <c r="A11773" s="27" t="s">
        <v>21276</v>
      </c>
      <c r="B11773" s="28" t="s">
        <v>19918</v>
      </c>
      <c r="C11773" s="27" t="s">
        <v>21277</v>
      </c>
      <c r="D11773" s="27" t="s">
        <v>17578</v>
      </c>
      <c r="E11773" s="29">
        <v>43465</v>
      </c>
      <c r="F11773" s="27">
        <v>8</v>
      </c>
      <c r="G11773" s="18">
        <v>19620</v>
      </c>
      <c r="H11773" s="27">
        <f t="shared" si="366"/>
        <v>0</v>
      </c>
      <c r="I11773" s="18">
        <v>0</v>
      </c>
      <c r="J11773" s="27">
        <v>19620</v>
      </c>
      <c r="K11773" s="18">
        <f t="shared" si="367"/>
        <v>0</v>
      </c>
      <c r="L11773" s="27">
        <v>2329.88</v>
      </c>
      <c r="M11773" s="36">
        <v>2329.88</v>
      </c>
      <c r="T11773" s="41">
        <v>0</v>
      </c>
      <c r="U11773" s="41">
        <v>0</v>
      </c>
      <c r="V11773" s="42" t="s">
        <v>113</v>
      </c>
      <c r="W11773" s="42">
        <v>0</v>
      </c>
      <c r="X11773" s="42">
        <v>0</v>
      </c>
    </row>
    <row r="11774" spans="1:24">
      <c r="A11774" s="27" t="s">
        <v>21278</v>
      </c>
      <c r="B11774" s="28" t="s">
        <v>19918</v>
      </c>
      <c r="C11774" s="27" t="s">
        <v>21279</v>
      </c>
      <c r="D11774" s="27" t="s">
        <v>17578</v>
      </c>
      <c r="E11774" s="29">
        <v>43465</v>
      </c>
      <c r="F11774" s="27">
        <v>8</v>
      </c>
      <c r="G11774" s="18">
        <v>9810</v>
      </c>
      <c r="H11774" s="27">
        <f t="shared" si="366"/>
        <v>0</v>
      </c>
      <c r="I11774" s="18">
        <v>0</v>
      </c>
      <c r="J11774" s="27">
        <v>9810</v>
      </c>
      <c r="K11774" s="18">
        <f t="shared" si="367"/>
        <v>0</v>
      </c>
      <c r="L11774" s="27">
        <v>1164.94</v>
      </c>
      <c r="M11774" s="36">
        <v>1164.94</v>
      </c>
      <c r="T11774" s="41">
        <v>0</v>
      </c>
      <c r="U11774" s="41">
        <v>0</v>
      </c>
      <c r="V11774" s="42" t="s">
        <v>113</v>
      </c>
      <c r="W11774" s="42">
        <v>0</v>
      </c>
      <c r="X11774" s="42">
        <v>0</v>
      </c>
    </row>
    <row r="11775" spans="1:24">
      <c r="A11775" s="27" t="s">
        <v>21280</v>
      </c>
      <c r="B11775" s="28" t="s">
        <v>19918</v>
      </c>
      <c r="C11775" s="27" t="s">
        <v>21281</v>
      </c>
      <c r="D11775" s="27" t="s">
        <v>17578</v>
      </c>
      <c r="E11775" s="29">
        <v>43465</v>
      </c>
      <c r="F11775" s="27">
        <v>8</v>
      </c>
      <c r="G11775" s="18">
        <v>9810</v>
      </c>
      <c r="H11775" s="27">
        <f t="shared" si="366"/>
        <v>0</v>
      </c>
      <c r="I11775" s="18">
        <v>0</v>
      </c>
      <c r="J11775" s="27">
        <v>9810</v>
      </c>
      <c r="K11775" s="18">
        <f t="shared" si="367"/>
        <v>0</v>
      </c>
      <c r="L11775" s="27">
        <v>1164.94</v>
      </c>
      <c r="M11775" s="36">
        <v>1164.94</v>
      </c>
      <c r="T11775" s="41">
        <v>0</v>
      </c>
      <c r="U11775" s="41">
        <v>0</v>
      </c>
      <c r="V11775" s="42" t="s">
        <v>113</v>
      </c>
      <c r="W11775" s="42">
        <v>0</v>
      </c>
      <c r="X11775" s="42">
        <v>0</v>
      </c>
    </row>
    <row r="11776" spans="1:24">
      <c r="A11776" s="27" t="s">
        <v>21282</v>
      </c>
      <c r="B11776" s="28" t="s">
        <v>19918</v>
      </c>
      <c r="C11776" s="27" t="s">
        <v>21283</v>
      </c>
      <c r="D11776" s="27" t="s">
        <v>17578</v>
      </c>
      <c r="E11776" s="29">
        <v>43465</v>
      </c>
      <c r="F11776" s="27">
        <v>8</v>
      </c>
      <c r="G11776" s="18">
        <v>9810</v>
      </c>
      <c r="H11776" s="27">
        <f t="shared" si="366"/>
        <v>0</v>
      </c>
      <c r="I11776" s="18">
        <v>0</v>
      </c>
      <c r="J11776" s="27">
        <v>9810</v>
      </c>
      <c r="K11776" s="18">
        <f t="shared" si="367"/>
        <v>0</v>
      </c>
      <c r="L11776" s="27">
        <v>1164.94</v>
      </c>
      <c r="M11776" s="36">
        <v>1164.94</v>
      </c>
      <c r="T11776" s="41">
        <v>0</v>
      </c>
      <c r="U11776" s="41">
        <v>0</v>
      </c>
      <c r="V11776" s="42" t="s">
        <v>113</v>
      </c>
      <c r="W11776" s="42">
        <v>0</v>
      </c>
      <c r="X11776" s="42">
        <v>0</v>
      </c>
    </row>
    <row r="11777" spans="1:24">
      <c r="A11777" s="27" t="s">
        <v>21284</v>
      </c>
      <c r="B11777" s="28" t="s">
        <v>19918</v>
      </c>
      <c r="C11777" s="27" t="s">
        <v>21285</v>
      </c>
      <c r="D11777" s="27" t="s">
        <v>17578</v>
      </c>
      <c r="E11777" s="29">
        <v>43755</v>
      </c>
      <c r="F11777" s="27">
        <v>8</v>
      </c>
      <c r="G11777" s="18">
        <v>0</v>
      </c>
      <c r="H11777" s="27">
        <f t="shared" si="366"/>
        <v>0</v>
      </c>
      <c r="I11777" s="18">
        <v>0</v>
      </c>
      <c r="J11777" s="27">
        <v>4000</v>
      </c>
      <c r="K11777" s="18">
        <f t="shared" si="367"/>
        <v>0</v>
      </c>
      <c r="L11777" s="27">
        <v>79.17</v>
      </c>
      <c r="M11777" s="36">
        <v>79.17</v>
      </c>
      <c r="N11777" s="18" t="s">
        <v>14637</v>
      </c>
      <c r="O11777" s="19">
        <v>4000</v>
      </c>
      <c r="T11777" s="41">
        <v>0</v>
      </c>
      <c r="U11777" s="41">
        <v>0</v>
      </c>
      <c r="V11777" s="42" t="s">
        <v>113</v>
      </c>
      <c r="W11777" s="42">
        <v>0</v>
      </c>
      <c r="X11777" s="42">
        <v>0</v>
      </c>
    </row>
    <row r="11778" spans="1:24">
      <c r="A11778" s="27" t="s">
        <v>21286</v>
      </c>
      <c r="B11778" s="28" t="s">
        <v>19918</v>
      </c>
      <c r="C11778" s="27" t="s">
        <v>21287</v>
      </c>
      <c r="D11778" s="27" t="s">
        <v>17578</v>
      </c>
      <c r="E11778" s="29">
        <v>43755</v>
      </c>
      <c r="F11778" s="27">
        <v>8</v>
      </c>
      <c r="G11778" s="18">
        <v>0</v>
      </c>
      <c r="H11778" s="27">
        <f t="shared" si="366"/>
        <v>0</v>
      </c>
      <c r="I11778" s="18">
        <v>0</v>
      </c>
      <c r="J11778" s="27">
        <v>4000</v>
      </c>
      <c r="K11778" s="18">
        <f t="shared" si="367"/>
        <v>0</v>
      </c>
      <c r="L11778" s="27">
        <v>79.17</v>
      </c>
      <c r="M11778" s="36">
        <v>79.17</v>
      </c>
      <c r="N11778" s="18" t="s">
        <v>14637</v>
      </c>
      <c r="O11778" s="19">
        <v>4000</v>
      </c>
      <c r="T11778" s="41">
        <v>0</v>
      </c>
      <c r="U11778" s="41">
        <v>0</v>
      </c>
      <c r="V11778" s="42" t="s">
        <v>113</v>
      </c>
      <c r="W11778" s="42">
        <v>0</v>
      </c>
      <c r="X11778" s="42">
        <v>0</v>
      </c>
    </row>
    <row r="11779" spans="1:24">
      <c r="A11779" s="27" t="s">
        <v>21288</v>
      </c>
      <c r="B11779" s="28" t="s">
        <v>19918</v>
      </c>
      <c r="C11779" s="27" t="s">
        <v>21289</v>
      </c>
      <c r="D11779" s="27" t="s">
        <v>17578</v>
      </c>
      <c r="E11779" s="29">
        <v>43755</v>
      </c>
      <c r="F11779" s="27">
        <v>8</v>
      </c>
      <c r="G11779" s="18">
        <v>0</v>
      </c>
      <c r="H11779" s="27">
        <f t="shared" si="366"/>
        <v>0</v>
      </c>
      <c r="I11779" s="18">
        <v>0</v>
      </c>
      <c r="J11779" s="27">
        <v>4000</v>
      </c>
      <c r="K11779" s="18">
        <f t="shared" si="367"/>
        <v>0</v>
      </c>
      <c r="L11779" s="27">
        <v>79.17</v>
      </c>
      <c r="M11779" s="36">
        <v>79.17</v>
      </c>
      <c r="N11779" s="18" t="s">
        <v>14637</v>
      </c>
      <c r="O11779" s="19">
        <v>4000</v>
      </c>
      <c r="T11779" s="41">
        <v>0</v>
      </c>
      <c r="U11779" s="41">
        <v>0</v>
      </c>
      <c r="V11779" s="42" t="s">
        <v>113</v>
      </c>
      <c r="W11779" s="42">
        <v>0</v>
      </c>
      <c r="X11779" s="42">
        <v>0</v>
      </c>
    </row>
    <row r="11780" spans="1:24">
      <c r="A11780" s="27" t="s">
        <v>21290</v>
      </c>
      <c r="B11780" s="28" t="s">
        <v>19918</v>
      </c>
      <c r="C11780" s="27" t="s">
        <v>21291</v>
      </c>
      <c r="D11780" s="27" t="s">
        <v>17578</v>
      </c>
      <c r="E11780" s="29">
        <v>43755</v>
      </c>
      <c r="F11780" s="27">
        <v>8</v>
      </c>
      <c r="G11780" s="18">
        <v>0</v>
      </c>
      <c r="H11780" s="27">
        <f t="shared" si="366"/>
        <v>0</v>
      </c>
      <c r="I11780" s="18">
        <v>0</v>
      </c>
      <c r="J11780" s="27">
        <v>4000</v>
      </c>
      <c r="K11780" s="18">
        <f t="shared" si="367"/>
        <v>0</v>
      </c>
      <c r="L11780" s="27">
        <v>79.17</v>
      </c>
      <c r="M11780" s="36">
        <v>79.17</v>
      </c>
      <c r="N11780" s="18" t="s">
        <v>14637</v>
      </c>
      <c r="O11780" s="19">
        <v>4000</v>
      </c>
      <c r="T11780" s="41">
        <v>0</v>
      </c>
      <c r="U11780" s="41">
        <v>0</v>
      </c>
      <c r="V11780" s="42" t="s">
        <v>113</v>
      </c>
      <c r="W11780" s="42">
        <v>0</v>
      </c>
      <c r="X11780" s="42">
        <v>0</v>
      </c>
    </row>
    <row r="11781" spans="1:24">
      <c r="A11781" s="27" t="s">
        <v>21292</v>
      </c>
      <c r="B11781" s="28" t="s">
        <v>19918</v>
      </c>
      <c r="C11781" s="27" t="s">
        <v>21293</v>
      </c>
      <c r="D11781" s="27" t="s">
        <v>17578</v>
      </c>
      <c r="E11781" s="29">
        <v>43755</v>
      </c>
      <c r="F11781" s="27">
        <v>8</v>
      </c>
      <c r="G11781" s="18">
        <v>0</v>
      </c>
      <c r="H11781" s="27">
        <f t="shared" si="366"/>
        <v>0</v>
      </c>
      <c r="I11781" s="18">
        <v>0</v>
      </c>
      <c r="J11781" s="27">
        <v>4000</v>
      </c>
      <c r="K11781" s="18">
        <f t="shared" si="367"/>
        <v>0</v>
      </c>
      <c r="L11781" s="27">
        <v>79.17</v>
      </c>
      <c r="M11781" s="36">
        <v>79.17</v>
      </c>
      <c r="N11781" s="18" t="s">
        <v>14637</v>
      </c>
      <c r="O11781" s="19">
        <v>4000</v>
      </c>
      <c r="T11781" s="41">
        <v>0</v>
      </c>
      <c r="U11781" s="41">
        <v>0</v>
      </c>
      <c r="V11781" s="42" t="s">
        <v>113</v>
      </c>
      <c r="W11781" s="42">
        <v>0</v>
      </c>
      <c r="X11781" s="42">
        <v>0</v>
      </c>
    </row>
    <row r="11782" spans="1:24">
      <c r="A11782" s="27" t="s">
        <v>21294</v>
      </c>
      <c r="B11782" s="28" t="s">
        <v>19918</v>
      </c>
      <c r="C11782" s="27" t="s">
        <v>21295</v>
      </c>
      <c r="D11782" s="27" t="s">
        <v>17578</v>
      </c>
      <c r="E11782" s="29">
        <v>43755</v>
      </c>
      <c r="F11782" s="27">
        <v>8</v>
      </c>
      <c r="G11782" s="18">
        <v>0</v>
      </c>
      <c r="H11782" s="27">
        <f t="shared" ref="H11782:H11845" si="368">IFERROR(IF(ROUND((G11782-I11782)/G11782,2)&lt;=0.05,G11782,0),0)</f>
        <v>0</v>
      </c>
      <c r="I11782" s="18">
        <v>0</v>
      </c>
      <c r="J11782" s="27">
        <v>4000</v>
      </c>
      <c r="K11782" s="18">
        <f t="shared" ref="K11782:K11845" si="369">IFERROR(IF(ROUND((J11782-L11782)/J11782,2)&lt;=0.05,J11782,0),0)</f>
        <v>0</v>
      </c>
      <c r="L11782" s="27">
        <v>79.17</v>
      </c>
      <c r="M11782" s="36">
        <v>79.17</v>
      </c>
      <c r="N11782" s="18" t="s">
        <v>14637</v>
      </c>
      <c r="O11782" s="19">
        <v>4000</v>
      </c>
      <c r="T11782" s="41">
        <v>0</v>
      </c>
      <c r="U11782" s="41">
        <v>0</v>
      </c>
      <c r="V11782" s="42" t="s">
        <v>113</v>
      </c>
      <c r="W11782" s="42">
        <v>0</v>
      </c>
      <c r="X11782" s="42">
        <v>0</v>
      </c>
    </row>
    <row r="11783" spans="1:24">
      <c r="A11783" s="27" t="s">
        <v>21296</v>
      </c>
      <c r="B11783" s="28" t="s">
        <v>19918</v>
      </c>
      <c r="C11783" s="27" t="s">
        <v>21297</v>
      </c>
      <c r="D11783" s="27" t="s">
        <v>17578</v>
      </c>
      <c r="E11783" s="29">
        <v>43755</v>
      </c>
      <c r="F11783" s="27">
        <v>8</v>
      </c>
      <c r="G11783" s="18">
        <v>0</v>
      </c>
      <c r="H11783" s="27">
        <f t="shared" si="368"/>
        <v>0</v>
      </c>
      <c r="I11783" s="18">
        <v>0</v>
      </c>
      <c r="J11783" s="27">
        <v>4000</v>
      </c>
      <c r="K11783" s="18">
        <f t="shared" si="369"/>
        <v>0</v>
      </c>
      <c r="L11783" s="27">
        <v>79.17</v>
      </c>
      <c r="M11783" s="36">
        <v>79.17</v>
      </c>
      <c r="N11783" s="18" t="s">
        <v>14637</v>
      </c>
      <c r="O11783" s="19">
        <v>4000</v>
      </c>
      <c r="T11783" s="41">
        <v>0</v>
      </c>
      <c r="U11783" s="41">
        <v>0</v>
      </c>
      <c r="V11783" s="42" t="s">
        <v>113</v>
      </c>
      <c r="W11783" s="42">
        <v>0</v>
      </c>
      <c r="X11783" s="42">
        <v>0</v>
      </c>
    </row>
    <row r="11784" spans="1:24">
      <c r="A11784" s="27" t="s">
        <v>21298</v>
      </c>
      <c r="B11784" s="28" t="s">
        <v>19918</v>
      </c>
      <c r="C11784" s="27" t="s">
        <v>21299</v>
      </c>
      <c r="D11784" s="27" t="s">
        <v>17578</v>
      </c>
      <c r="E11784" s="29">
        <v>43755</v>
      </c>
      <c r="F11784" s="27">
        <v>8</v>
      </c>
      <c r="G11784" s="18">
        <v>0</v>
      </c>
      <c r="H11784" s="27">
        <f t="shared" si="368"/>
        <v>0</v>
      </c>
      <c r="I11784" s="18">
        <v>0</v>
      </c>
      <c r="J11784" s="27">
        <v>4000</v>
      </c>
      <c r="K11784" s="18">
        <f t="shared" si="369"/>
        <v>0</v>
      </c>
      <c r="L11784" s="27">
        <v>79.17</v>
      </c>
      <c r="M11784" s="36">
        <v>79.17</v>
      </c>
      <c r="N11784" s="18" t="s">
        <v>14637</v>
      </c>
      <c r="O11784" s="19">
        <v>4000</v>
      </c>
      <c r="T11784" s="41">
        <v>0</v>
      </c>
      <c r="U11784" s="41">
        <v>0</v>
      </c>
      <c r="V11784" s="42" t="s">
        <v>113</v>
      </c>
      <c r="W11784" s="42">
        <v>0</v>
      </c>
      <c r="X11784" s="42">
        <v>0</v>
      </c>
    </row>
    <row r="11785" spans="1:24">
      <c r="A11785" s="27" t="s">
        <v>21300</v>
      </c>
      <c r="B11785" s="28" t="s">
        <v>19918</v>
      </c>
      <c r="C11785" s="27" t="s">
        <v>21301</v>
      </c>
      <c r="D11785" s="27" t="s">
        <v>17578</v>
      </c>
      <c r="E11785" s="29">
        <v>43755</v>
      </c>
      <c r="F11785" s="27">
        <v>8</v>
      </c>
      <c r="G11785" s="18">
        <v>0</v>
      </c>
      <c r="H11785" s="27">
        <f t="shared" si="368"/>
        <v>0</v>
      </c>
      <c r="I11785" s="18">
        <v>0</v>
      </c>
      <c r="J11785" s="27">
        <v>4000</v>
      </c>
      <c r="K11785" s="18">
        <f t="shared" si="369"/>
        <v>0</v>
      </c>
      <c r="L11785" s="27">
        <v>79.17</v>
      </c>
      <c r="M11785" s="36">
        <v>79.17</v>
      </c>
      <c r="N11785" s="18" t="s">
        <v>14637</v>
      </c>
      <c r="O11785" s="19">
        <v>4000</v>
      </c>
      <c r="T11785" s="41">
        <v>0</v>
      </c>
      <c r="U11785" s="41">
        <v>0</v>
      </c>
      <c r="V11785" s="42" t="s">
        <v>113</v>
      </c>
      <c r="W11785" s="42">
        <v>0</v>
      </c>
      <c r="X11785" s="42">
        <v>0</v>
      </c>
    </row>
    <row r="11786" spans="1:24">
      <c r="A11786" s="27" t="s">
        <v>21302</v>
      </c>
      <c r="B11786" s="28" t="s">
        <v>19918</v>
      </c>
      <c r="C11786" s="27" t="s">
        <v>21303</v>
      </c>
      <c r="D11786" s="27" t="s">
        <v>17578</v>
      </c>
      <c r="E11786" s="29">
        <v>43755</v>
      </c>
      <c r="F11786" s="27">
        <v>8</v>
      </c>
      <c r="G11786" s="18">
        <v>0</v>
      </c>
      <c r="H11786" s="27">
        <f t="shared" si="368"/>
        <v>0</v>
      </c>
      <c r="I11786" s="18">
        <v>0</v>
      </c>
      <c r="J11786" s="27">
        <v>4000</v>
      </c>
      <c r="K11786" s="18">
        <f t="shared" si="369"/>
        <v>0</v>
      </c>
      <c r="L11786" s="27">
        <v>79.17</v>
      </c>
      <c r="M11786" s="36">
        <v>79.17</v>
      </c>
      <c r="N11786" s="18" t="s">
        <v>14637</v>
      </c>
      <c r="O11786" s="19">
        <v>4000</v>
      </c>
      <c r="T11786" s="41">
        <v>0</v>
      </c>
      <c r="U11786" s="41">
        <v>0</v>
      </c>
      <c r="V11786" s="42" t="s">
        <v>113</v>
      </c>
      <c r="W11786" s="42">
        <v>0</v>
      </c>
      <c r="X11786" s="42">
        <v>0</v>
      </c>
    </row>
    <row r="11787" spans="1:24">
      <c r="A11787" s="27" t="s">
        <v>21304</v>
      </c>
      <c r="B11787" s="28" t="s">
        <v>19918</v>
      </c>
      <c r="C11787" s="27" t="s">
        <v>21305</v>
      </c>
      <c r="D11787" s="27" t="s">
        <v>220</v>
      </c>
      <c r="E11787" s="29">
        <v>41269</v>
      </c>
      <c r="F11787" s="27">
        <v>8</v>
      </c>
      <c r="G11787" s="18">
        <v>0</v>
      </c>
      <c r="H11787" s="27">
        <f t="shared" si="368"/>
        <v>0</v>
      </c>
      <c r="I11787" s="18">
        <v>0</v>
      </c>
      <c r="J11787" s="27">
        <v>248086.5</v>
      </c>
      <c r="K11787" s="18">
        <f t="shared" si="369"/>
        <v>0</v>
      </c>
      <c r="L11787" s="27">
        <v>146680.35999999999</v>
      </c>
      <c r="M11787" s="36">
        <v>22250.45</v>
      </c>
      <c r="N11787" s="18" t="s">
        <v>21306</v>
      </c>
      <c r="O11787" s="19">
        <v>248086.5</v>
      </c>
      <c r="P11787" s="47">
        <v>124429.91</v>
      </c>
      <c r="T11787" s="41">
        <v>0</v>
      </c>
      <c r="U11787" s="41">
        <v>0</v>
      </c>
      <c r="V11787" s="42" t="s">
        <v>113</v>
      </c>
      <c r="W11787" s="42">
        <v>248086.5</v>
      </c>
      <c r="X11787" s="42">
        <v>248086.5</v>
      </c>
    </row>
    <row r="11788" spans="1:24">
      <c r="A11788" s="27" t="s">
        <v>21307</v>
      </c>
      <c r="B11788" s="28" t="s">
        <v>19918</v>
      </c>
      <c r="C11788" s="27" t="s">
        <v>21308</v>
      </c>
      <c r="D11788" s="27" t="s">
        <v>220</v>
      </c>
      <c r="E11788" s="29">
        <v>41269</v>
      </c>
      <c r="F11788" s="27">
        <v>8</v>
      </c>
      <c r="G11788" s="18">
        <v>0</v>
      </c>
      <c r="H11788" s="27">
        <f t="shared" si="368"/>
        <v>0</v>
      </c>
      <c r="I11788" s="18">
        <v>0</v>
      </c>
      <c r="J11788" s="27">
        <v>248086.5</v>
      </c>
      <c r="K11788" s="18">
        <f t="shared" si="369"/>
        <v>0</v>
      </c>
      <c r="L11788" s="27">
        <v>146680.35999999999</v>
      </c>
      <c r="M11788" s="36">
        <v>22250.45</v>
      </c>
      <c r="N11788" s="18" t="s">
        <v>21306</v>
      </c>
      <c r="O11788" s="19">
        <v>248086.5</v>
      </c>
      <c r="P11788" s="47">
        <v>124429.91</v>
      </c>
      <c r="T11788" s="41">
        <v>0</v>
      </c>
      <c r="U11788" s="41">
        <v>0</v>
      </c>
      <c r="V11788" s="42" t="s">
        <v>113</v>
      </c>
      <c r="W11788" s="42">
        <v>248086.5</v>
      </c>
      <c r="X11788" s="42">
        <v>248086.5</v>
      </c>
    </row>
    <row r="11789" spans="1:24">
      <c r="A11789" s="27" t="s">
        <v>21309</v>
      </c>
      <c r="B11789" s="28" t="s">
        <v>19918</v>
      </c>
      <c r="C11789" s="27" t="s">
        <v>21305</v>
      </c>
      <c r="D11789" s="27" t="s">
        <v>220</v>
      </c>
      <c r="E11789" s="29">
        <v>38534</v>
      </c>
      <c r="F11789" s="27">
        <v>8</v>
      </c>
      <c r="G11789" s="18">
        <v>0</v>
      </c>
      <c r="H11789" s="27">
        <f t="shared" si="368"/>
        <v>0</v>
      </c>
      <c r="I11789" s="18">
        <v>0</v>
      </c>
      <c r="J11789" s="27">
        <v>76018.559999999998</v>
      </c>
      <c r="K11789" s="18">
        <f t="shared" si="369"/>
        <v>76018.559999999998</v>
      </c>
      <c r="L11789" s="27">
        <v>72217.63</v>
      </c>
      <c r="M11789" s="36">
        <v>0</v>
      </c>
      <c r="N11789" s="18" t="s">
        <v>21306</v>
      </c>
      <c r="O11789" s="19">
        <v>76018.559999999998</v>
      </c>
      <c r="P11789" s="47">
        <v>72217.63</v>
      </c>
      <c r="T11789" s="41">
        <v>0</v>
      </c>
      <c r="U11789" s="41">
        <v>0</v>
      </c>
      <c r="V11789" s="42" t="s">
        <v>113</v>
      </c>
      <c r="W11789" s="42">
        <v>76018.559999999998</v>
      </c>
      <c r="X11789" s="42">
        <v>76018.559999999998</v>
      </c>
    </row>
    <row r="11790" spans="1:24">
      <c r="A11790" s="27" t="s">
        <v>21310</v>
      </c>
      <c r="B11790" s="28" t="s">
        <v>19918</v>
      </c>
      <c r="C11790" s="27" t="s">
        <v>21308</v>
      </c>
      <c r="D11790" s="27" t="s">
        <v>17558</v>
      </c>
      <c r="E11790" s="29">
        <v>38534</v>
      </c>
      <c r="F11790" s="27">
        <v>8</v>
      </c>
      <c r="G11790" s="18">
        <v>0</v>
      </c>
      <c r="H11790" s="27">
        <f t="shared" si="368"/>
        <v>0</v>
      </c>
      <c r="I11790" s="18">
        <v>0</v>
      </c>
      <c r="J11790" s="27">
        <v>76018.559999999998</v>
      </c>
      <c r="K11790" s="18">
        <f t="shared" si="369"/>
        <v>76018.559999999998</v>
      </c>
      <c r="L11790" s="27">
        <v>72217.63</v>
      </c>
      <c r="M11790" s="36">
        <v>0</v>
      </c>
      <c r="N11790" s="18" t="s">
        <v>21306</v>
      </c>
      <c r="O11790" s="19">
        <v>76018.559999999998</v>
      </c>
      <c r="P11790" s="47">
        <v>72217.63</v>
      </c>
      <c r="T11790" s="41">
        <v>0</v>
      </c>
      <c r="U11790" s="41">
        <v>0</v>
      </c>
      <c r="V11790" s="42" t="s">
        <v>113</v>
      </c>
      <c r="W11790" s="42">
        <v>76018.559999999998</v>
      </c>
      <c r="X11790" s="42">
        <v>76018.559999999998</v>
      </c>
    </row>
    <row r="11791" spans="1:24">
      <c r="A11791" s="27" t="s">
        <v>21311</v>
      </c>
      <c r="B11791" s="28" t="s">
        <v>19918</v>
      </c>
      <c r="C11791" s="27" t="s">
        <v>21312</v>
      </c>
      <c r="D11791" s="27" t="s">
        <v>20772</v>
      </c>
      <c r="E11791" s="29">
        <v>43789</v>
      </c>
      <c r="F11791" s="27">
        <v>8</v>
      </c>
      <c r="G11791" s="18">
        <v>0</v>
      </c>
      <c r="H11791" s="27">
        <f t="shared" si="368"/>
        <v>0</v>
      </c>
      <c r="I11791" s="18">
        <v>0</v>
      </c>
      <c r="J11791" s="27">
        <v>1104757</v>
      </c>
      <c r="K11791" s="18">
        <f t="shared" si="369"/>
        <v>0</v>
      </c>
      <c r="L11791" s="27">
        <v>10932.49</v>
      </c>
      <c r="M11791" s="36">
        <v>10932.49</v>
      </c>
      <c r="N11791" s="18" t="s">
        <v>123</v>
      </c>
      <c r="O11791" s="19">
        <v>1104757</v>
      </c>
      <c r="T11791" s="41">
        <v>0</v>
      </c>
      <c r="U11791" s="41">
        <v>0</v>
      </c>
      <c r="V11791" s="42" t="s">
        <v>113</v>
      </c>
      <c r="W11791" s="42">
        <v>0</v>
      </c>
      <c r="X11791" s="42">
        <v>0</v>
      </c>
    </row>
    <row r="11792" spans="1:24">
      <c r="A11792" s="27" t="s">
        <v>21313</v>
      </c>
      <c r="B11792" s="28" t="s">
        <v>19918</v>
      </c>
      <c r="C11792" s="27" t="s">
        <v>21305</v>
      </c>
      <c r="D11792" s="27" t="s">
        <v>220</v>
      </c>
      <c r="E11792" s="29">
        <v>43794</v>
      </c>
      <c r="F11792" s="27">
        <v>8</v>
      </c>
      <c r="G11792" s="18">
        <v>0</v>
      </c>
      <c r="H11792" s="27">
        <f t="shared" si="368"/>
        <v>0</v>
      </c>
      <c r="I11792" s="18">
        <v>0</v>
      </c>
      <c r="J11792" s="27">
        <v>97849.56</v>
      </c>
      <c r="K11792" s="18">
        <f t="shared" si="369"/>
        <v>0</v>
      </c>
      <c r="L11792" s="27">
        <v>968.3</v>
      </c>
      <c r="M11792" s="36">
        <v>968.3</v>
      </c>
      <c r="N11792" s="18" t="s">
        <v>123</v>
      </c>
      <c r="O11792" s="19">
        <v>97849.56</v>
      </c>
      <c r="T11792" s="41">
        <v>0</v>
      </c>
      <c r="U11792" s="41">
        <v>0</v>
      </c>
      <c r="V11792" s="42" t="s">
        <v>113</v>
      </c>
      <c r="W11792" s="42">
        <v>0</v>
      </c>
      <c r="X11792" s="42">
        <v>0</v>
      </c>
    </row>
    <row r="11793" spans="1:24">
      <c r="A11793" s="27" t="s">
        <v>21314</v>
      </c>
      <c r="B11793" s="28" t="s">
        <v>19918</v>
      </c>
      <c r="C11793" s="27" t="s">
        <v>21315</v>
      </c>
      <c r="D11793" s="27" t="s">
        <v>20772</v>
      </c>
      <c r="E11793" s="29">
        <v>43830</v>
      </c>
      <c r="F11793" s="27">
        <v>8</v>
      </c>
      <c r="G11793" s="18">
        <v>0</v>
      </c>
      <c r="H11793" s="27">
        <f t="shared" si="368"/>
        <v>0</v>
      </c>
      <c r="I11793" s="18">
        <v>0</v>
      </c>
      <c r="J11793" s="27">
        <v>63705.120000000003</v>
      </c>
      <c r="K11793" s="18">
        <f t="shared" si="369"/>
        <v>0</v>
      </c>
      <c r="L11793" s="27">
        <v>0</v>
      </c>
      <c r="M11793" s="36">
        <v>0</v>
      </c>
      <c r="N11793" s="18" t="s">
        <v>123</v>
      </c>
      <c r="O11793" s="19">
        <v>63705.120000000003</v>
      </c>
      <c r="T11793" s="41">
        <v>0</v>
      </c>
      <c r="U11793" s="41">
        <v>0</v>
      </c>
      <c r="V11793" s="42" t="s">
        <v>113</v>
      </c>
      <c r="W11793" s="42">
        <v>0</v>
      </c>
      <c r="X11793" s="42">
        <v>0</v>
      </c>
    </row>
    <row r="11794" spans="1:24">
      <c r="A11794" s="27" t="s">
        <v>21316</v>
      </c>
      <c r="B11794" s="28" t="s">
        <v>19918</v>
      </c>
      <c r="C11794" s="27" t="s">
        <v>21317</v>
      </c>
      <c r="D11794" s="27" t="s">
        <v>20772</v>
      </c>
      <c r="E11794" s="29">
        <v>43830</v>
      </c>
      <c r="F11794" s="27">
        <v>8</v>
      </c>
      <c r="G11794" s="18">
        <v>0</v>
      </c>
      <c r="H11794" s="27">
        <f t="shared" si="368"/>
        <v>0</v>
      </c>
      <c r="I11794" s="18">
        <v>0</v>
      </c>
      <c r="J11794" s="27">
        <v>63274.68</v>
      </c>
      <c r="K11794" s="18">
        <f t="shared" si="369"/>
        <v>0</v>
      </c>
      <c r="L11794" s="27">
        <v>0</v>
      </c>
      <c r="M11794" s="36">
        <v>0</v>
      </c>
      <c r="N11794" s="18" t="s">
        <v>123</v>
      </c>
      <c r="O11794" s="19">
        <v>63274.68</v>
      </c>
      <c r="T11794" s="41">
        <v>0</v>
      </c>
      <c r="U11794" s="41">
        <v>0</v>
      </c>
      <c r="V11794" s="42" t="s">
        <v>113</v>
      </c>
      <c r="W11794" s="42">
        <v>0</v>
      </c>
      <c r="X11794" s="42">
        <v>0</v>
      </c>
    </row>
    <row r="11795" spans="1:24">
      <c r="A11795" s="27" t="s">
        <v>21318</v>
      </c>
      <c r="B11795" s="28" t="s">
        <v>19918</v>
      </c>
      <c r="C11795" s="27" t="s">
        <v>21319</v>
      </c>
      <c r="D11795" s="27" t="s">
        <v>20772</v>
      </c>
      <c r="E11795" s="29">
        <v>43830</v>
      </c>
      <c r="F11795" s="27">
        <v>8</v>
      </c>
      <c r="G11795" s="18">
        <v>0</v>
      </c>
      <c r="H11795" s="27">
        <f t="shared" si="368"/>
        <v>0</v>
      </c>
      <c r="I11795" s="18">
        <v>0</v>
      </c>
      <c r="J11795" s="27">
        <v>63274.68</v>
      </c>
      <c r="K11795" s="18">
        <f t="shared" si="369"/>
        <v>0</v>
      </c>
      <c r="L11795" s="27">
        <v>0</v>
      </c>
      <c r="M11795" s="36">
        <v>0</v>
      </c>
      <c r="N11795" s="18" t="s">
        <v>123</v>
      </c>
      <c r="O11795" s="19">
        <v>63274.68</v>
      </c>
      <c r="T11795" s="41">
        <v>0</v>
      </c>
      <c r="U11795" s="41">
        <v>0</v>
      </c>
      <c r="V11795" s="42" t="s">
        <v>113</v>
      </c>
      <c r="W11795" s="42">
        <v>0</v>
      </c>
      <c r="X11795" s="42">
        <v>0</v>
      </c>
    </row>
    <row r="11796" spans="1:24">
      <c r="A11796" s="27" t="s">
        <v>21320</v>
      </c>
      <c r="B11796" s="28" t="s">
        <v>19918</v>
      </c>
      <c r="C11796" s="27" t="s">
        <v>21321</v>
      </c>
      <c r="D11796" s="27" t="s">
        <v>20772</v>
      </c>
      <c r="E11796" s="29">
        <v>43830</v>
      </c>
      <c r="F11796" s="27">
        <v>8</v>
      </c>
      <c r="G11796" s="18">
        <v>0</v>
      </c>
      <c r="H11796" s="27">
        <f t="shared" si="368"/>
        <v>0</v>
      </c>
      <c r="I11796" s="18">
        <v>0</v>
      </c>
      <c r="J11796" s="27">
        <v>63274.68</v>
      </c>
      <c r="K11796" s="18">
        <f t="shared" si="369"/>
        <v>0</v>
      </c>
      <c r="L11796" s="27">
        <v>0</v>
      </c>
      <c r="M11796" s="36">
        <v>0</v>
      </c>
      <c r="N11796" s="18" t="s">
        <v>123</v>
      </c>
      <c r="O11796" s="19">
        <v>63274.68</v>
      </c>
      <c r="T11796" s="41">
        <v>0</v>
      </c>
      <c r="U11796" s="41">
        <v>0</v>
      </c>
      <c r="V11796" s="42" t="s">
        <v>113</v>
      </c>
      <c r="W11796" s="42">
        <v>0</v>
      </c>
      <c r="X11796" s="42">
        <v>0</v>
      </c>
    </row>
    <row r="11797" spans="1:24">
      <c r="A11797" s="27" t="s">
        <v>21322</v>
      </c>
      <c r="B11797" s="28" t="s">
        <v>19918</v>
      </c>
      <c r="C11797" s="27" t="s">
        <v>21323</v>
      </c>
      <c r="D11797" s="27" t="s">
        <v>20772</v>
      </c>
      <c r="E11797" s="29">
        <v>43830</v>
      </c>
      <c r="F11797" s="27">
        <v>8</v>
      </c>
      <c r="G11797" s="18">
        <v>0</v>
      </c>
      <c r="H11797" s="27">
        <f t="shared" si="368"/>
        <v>0</v>
      </c>
      <c r="I11797" s="18">
        <v>0</v>
      </c>
      <c r="J11797" s="27">
        <v>63274.68</v>
      </c>
      <c r="K11797" s="18">
        <f t="shared" si="369"/>
        <v>0</v>
      </c>
      <c r="L11797" s="27">
        <v>0</v>
      </c>
      <c r="M11797" s="36">
        <v>0</v>
      </c>
      <c r="N11797" s="18" t="s">
        <v>123</v>
      </c>
      <c r="O11797" s="19">
        <v>63274.68</v>
      </c>
      <c r="T11797" s="41">
        <v>0</v>
      </c>
      <c r="U11797" s="41">
        <v>0</v>
      </c>
      <c r="V11797" s="42" t="s">
        <v>113</v>
      </c>
      <c r="W11797" s="42">
        <v>0</v>
      </c>
      <c r="X11797" s="42">
        <v>0</v>
      </c>
    </row>
    <row r="11798" spans="1:24">
      <c r="A11798" s="27" t="s">
        <v>21324</v>
      </c>
      <c r="B11798" s="28" t="s">
        <v>19918</v>
      </c>
      <c r="C11798" s="27" t="s">
        <v>21325</v>
      </c>
      <c r="D11798" s="27" t="s">
        <v>20772</v>
      </c>
      <c r="E11798" s="29">
        <v>43830</v>
      </c>
      <c r="F11798" s="27">
        <v>8</v>
      </c>
      <c r="G11798" s="18">
        <v>0</v>
      </c>
      <c r="H11798" s="27">
        <f t="shared" si="368"/>
        <v>0</v>
      </c>
      <c r="I11798" s="18">
        <v>0</v>
      </c>
      <c r="J11798" s="27">
        <v>63274.68</v>
      </c>
      <c r="K11798" s="18">
        <f t="shared" si="369"/>
        <v>0</v>
      </c>
      <c r="L11798" s="27">
        <v>0</v>
      </c>
      <c r="M11798" s="36">
        <v>0</v>
      </c>
      <c r="N11798" s="18" t="s">
        <v>123</v>
      </c>
      <c r="O11798" s="19">
        <v>63274.68</v>
      </c>
      <c r="T11798" s="41">
        <v>0</v>
      </c>
      <c r="U11798" s="41">
        <v>0</v>
      </c>
      <c r="V11798" s="42" t="s">
        <v>113</v>
      </c>
      <c r="W11798" s="42">
        <v>0</v>
      </c>
      <c r="X11798" s="42">
        <v>0</v>
      </c>
    </row>
    <row r="11799" spans="1:24">
      <c r="A11799" s="27" t="s">
        <v>21326</v>
      </c>
      <c r="B11799" s="28" t="s">
        <v>19918</v>
      </c>
      <c r="C11799" s="27" t="s">
        <v>21327</v>
      </c>
      <c r="D11799" s="27" t="s">
        <v>20772</v>
      </c>
      <c r="E11799" s="29">
        <v>43830</v>
      </c>
      <c r="F11799" s="27">
        <v>8</v>
      </c>
      <c r="G11799" s="18">
        <v>0</v>
      </c>
      <c r="H11799" s="27">
        <f t="shared" si="368"/>
        <v>0</v>
      </c>
      <c r="I11799" s="18">
        <v>0</v>
      </c>
      <c r="J11799" s="27">
        <v>63274.68</v>
      </c>
      <c r="K11799" s="18">
        <f t="shared" si="369"/>
        <v>0</v>
      </c>
      <c r="L11799" s="27">
        <v>0</v>
      </c>
      <c r="M11799" s="36">
        <v>0</v>
      </c>
      <c r="N11799" s="18" t="s">
        <v>123</v>
      </c>
      <c r="O11799" s="19">
        <v>63274.68</v>
      </c>
      <c r="T11799" s="41">
        <v>0</v>
      </c>
      <c r="U11799" s="41">
        <v>0</v>
      </c>
      <c r="V11799" s="42" t="s">
        <v>113</v>
      </c>
      <c r="W11799" s="42">
        <v>0</v>
      </c>
      <c r="X11799" s="42">
        <v>0</v>
      </c>
    </row>
    <row r="11800" spans="1:24">
      <c r="A11800" s="27" t="s">
        <v>21328</v>
      </c>
      <c r="B11800" s="28" t="s">
        <v>19918</v>
      </c>
      <c r="C11800" s="27" t="s">
        <v>21329</v>
      </c>
      <c r="D11800" s="27" t="s">
        <v>20772</v>
      </c>
      <c r="E11800" s="29">
        <v>43830</v>
      </c>
      <c r="F11800" s="27">
        <v>8</v>
      </c>
      <c r="G11800" s="18">
        <v>0</v>
      </c>
      <c r="H11800" s="27">
        <f t="shared" si="368"/>
        <v>0</v>
      </c>
      <c r="I11800" s="18">
        <v>0</v>
      </c>
      <c r="J11800" s="27">
        <v>63274.68</v>
      </c>
      <c r="K11800" s="18">
        <f t="shared" si="369"/>
        <v>0</v>
      </c>
      <c r="L11800" s="27">
        <v>0</v>
      </c>
      <c r="M11800" s="36">
        <v>0</v>
      </c>
      <c r="N11800" s="18" t="s">
        <v>123</v>
      </c>
      <c r="O11800" s="19">
        <v>63274.68</v>
      </c>
      <c r="T11800" s="41">
        <v>0</v>
      </c>
      <c r="U11800" s="41">
        <v>0</v>
      </c>
      <c r="V11800" s="42" t="s">
        <v>113</v>
      </c>
      <c r="W11800" s="42">
        <v>0</v>
      </c>
      <c r="X11800" s="42">
        <v>0</v>
      </c>
    </row>
    <row r="11801" spans="1:24">
      <c r="A11801" s="27" t="s">
        <v>21330</v>
      </c>
      <c r="B11801" s="28" t="s">
        <v>19918</v>
      </c>
      <c r="C11801" s="27" t="s">
        <v>21331</v>
      </c>
      <c r="D11801" s="27" t="s">
        <v>20772</v>
      </c>
      <c r="E11801" s="29">
        <v>43830</v>
      </c>
      <c r="F11801" s="27">
        <v>8</v>
      </c>
      <c r="G11801" s="18">
        <v>0</v>
      </c>
      <c r="H11801" s="27">
        <f t="shared" si="368"/>
        <v>0</v>
      </c>
      <c r="I11801" s="18">
        <v>0</v>
      </c>
      <c r="J11801" s="27">
        <v>63274.68</v>
      </c>
      <c r="K11801" s="18">
        <f t="shared" si="369"/>
        <v>0</v>
      </c>
      <c r="L11801" s="27">
        <v>0</v>
      </c>
      <c r="M11801" s="36">
        <v>0</v>
      </c>
      <c r="N11801" s="18" t="s">
        <v>123</v>
      </c>
      <c r="O11801" s="19">
        <v>63274.68</v>
      </c>
      <c r="T11801" s="41">
        <v>0</v>
      </c>
      <c r="U11801" s="41">
        <v>0</v>
      </c>
      <c r="V11801" s="42" t="s">
        <v>113</v>
      </c>
      <c r="W11801" s="42">
        <v>0</v>
      </c>
      <c r="X11801" s="42">
        <v>0</v>
      </c>
    </row>
    <row r="11802" spans="1:24">
      <c r="A11802" s="27" t="s">
        <v>21332</v>
      </c>
      <c r="B11802" s="28" t="s">
        <v>19918</v>
      </c>
      <c r="C11802" s="27" t="s">
        <v>21333</v>
      </c>
      <c r="D11802" s="27" t="s">
        <v>20772</v>
      </c>
      <c r="E11802" s="29">
        <v>43830</v>
      </c>
      <c r="F11802" s="27">
        <v>8</v>
      </c>
      <c r="G11802" s="18">
        <v>0</v>
      </c>
      <c r="H11802" s="27">
        <f t="shared" si="368"/>
        <v>0</v>
      </c>
      <c r="I11802" s="18">
        <v>0</v>
      </c>
      <c r="J11802" s="27">
        <v>63274.68</v>
      </c>
      <c r="K11802" s="18">
        <f t="shared" si="369"/>
        <v>0</v>
      </c>
      <c r="L11802" s="27">
        <v>0</v>
      </c>
      <c r="M11802" s="36">
        <v>0</v>
      </c>
      <c r="N11802" s="18" t="s">
        <v>123</v>
      </c>
      <c r="O11802" s="19">
        <v>63274.68</v>
      </c>
      <c r="T11802" s="41">
        <v>0</v>
      </c>
      <c r="U11802" s="41">
        <v>0</v>
      </c>
      <c r="V11802" s="42" t="s">
        <v>113</v>
      </c>
      <c r="W11802" s="42">
        <v>0</v>
      </c>
      <c r="X11802" s="42">
        <v>0</v>
      </c>
    </row>
    <row r="11803" spans="1:24">
      <c r="A11803" s="27" t="s">
        <v>21334</v>
      </c>
      <c r="B11803" s="28" t="s">
        <v>19918</v>
      </c>
      <c r="C11803" s="27" t="s">
        <v>21335</v>
      </c>
      <c r="D11803" s="27" t="s">
        <v>20772</v>
      </c>
      <c r="E11803" s="29">
        <v>43830</v>
      </c>
      <c r="F11803" s="27">
        <v>8</v>
      </c>
      <c r="G11803" s="18">
        <v>0</v>
      </c>
      <c r="H11803" s="27">
        <f t="shared" si="368"/>
        <v>0</v>
      </c>
      <c r="I11803" s="18">
        <v>0</v>
      </c>
      <c r="J11803" s="27">
        <v>63274.68</v>
      </c>
      <c r="K11803" s="18">
        <f t="shared" si="369"/>
        <v>0</v>
      </c>
      <c r="L11803" s="27">
        <v>0</v>
      </c>
      <c r="M11803" s="36">
        <v>0</v>
      </c>
      <c r="N11803" s="18" t="s">
        <v>123</v>
      </c>
      <c r="O11803" s="19">
        <v>63274.68</v>
      </c>
      <c r="T11803" s="41">
        <v>0</v>
      </c>
      <c r="U11803" s="41">
        <v>0</v>
      </c>
      <c r="V11803" s="42" t="s">
        <v>113</v>
      </c>
      <c r="W11803" s="42">
        <v>0</v>
      </c>
      <c r="X11803" s="42">
        <v>0</v>
      </c>
    </row>
    <row r="11804" spans="1:24">
      <c r="A11804" s="27" t="s">
        <v>21336</v>
      </c>
      <c r="B11804" s="28" t="s">
        <v>19918</v>
      </c>
      <c r="C11804" s="27" t="s">
        <v>21337</v>
      </c>
      <c r="D11804" s="27" t="s">
        <v>20772</v>
      </c>
      <c r="E11804" s="29">
        <v>43830</v>
      </c>
      <c r="F11804" s="27">
        <v>8</v>
      </c>
      <c r="G11804" s="18">
        <v>0</v>
      </c>
      <c r="H11804" s="27">
        <f t="shared" si="368"/>
        <v>0</v>
      </c>
      <c r="I11804" s="18">
        <v>0</v>
      </c>
      <c r="J11804" s="27">
        <v>63274.68</v>
      </c>
      <c r="K11804" s="18">
        <f t="shared" si="369"/>
        <v>0</v>
      </c>
      <c r="L11804" s="27">
        <v>0</v>
      </c>
      <c r="M11804" s="36">
        <v>0</v>
      </c>
      <c r="N11804" s="18" t="s">
        <v>123</v>
      </c>
      <c r="O11804" s="19">
        <v>63274.68</v>
      </c>
      <c r="T11804" s="41">
        <v>0</v>
      </c>
      <c r="U11804" s="41">
        <v>0</v>
      </c>
      <c r="V11804" s="42" t="s">
        <v>113</v>
      </c>
      <c r="W11804" s="42">
        <v>0</v>
      </c>
      <c r="X11804" s="42">
        <v>0</v>
      </c>
    </row>
    <row r="11805" spans="1:24">
      <c r="A11805" s="27" t="s">
        <v>21338</v>
      </c>
      <c r="B11805" s="28" t="s">
        <v>19918</v>
      </c>
      <c r="C11805" s="27" t="s">
        <v>21339</v>
      </c>
      <c r="D11805" s="27" t="s">
        <v>20772</v>
      </c>
      <c r="E11805" s="29">
        <v>43830</v>
      </c>
      <c r="F11805" s="27">
        <v>8</v>
      </c>
      <c r="G11805" s="18">
        <v>0</v>
      </c>
      <c r="H11805" s="27">
        <f t="shared" si="368"/>
        <v>0</v>
      </c>
      <c r="I11805" s="18">
        <v>0</v>
      </c>
      <c r="J11805" s="27">
        <v>63274.68</v>
      </c>
      <c r="K11805" s="18">
        <f t="shared" si="369"/>
        <v>0</v>
      </c>
      <c r="L11805" s="27">
        <v>0</v>
      </c>
      <c r="M11805" s="36">
        <v>0</v>
      </c>
      <c r="N11805" s="18" t="s">
        <v>123</v>
      </c>
      <c r="O11805" s="19">
        <v>63274.68</v>
      </c>
      <c r="T11805" s="41">
        <v>0</v>
      </c>
      <c r="U11805" s="41">
        <v>0</v>
      </c>
      <c r="V11805" s="42" t="s">
        <v>113</v>
      </c>
      <c r="W11805" s="42">
        <v>0</v>
      </c>
      <c r="X11805" s="42">
        <v>0</v>
      </c>
    </row>
    <row r="11806" spans="1:24">
      <c r="A11806" s="27" t="s">
        <v>21340</v>
      </c>
      <c r="B11806" s="28" t="s">
        <v>19918</v>
      </c>
      <c r="C11806" s="27" t="s">
        <v>21341</v>
      </c>
      <c r="D11806" s="27" t="s">
        <v>20772</v>
      </c>
      <c r="E11806" s="29">
        <v>43830</v>
      </c>
      <c r="F11806" s="27">
        <v>8</v>
      </c>
      <c r="G11806" s="18">
        <v>0</v>
      </c>
      <c r="H11806" s="27">
        <f t="shared" si="368"/>
        <v>0</v>
      </c>
      <c r="I11806" s="18">
        <v>0</v>
      </c>
      <c r="J11806" s="27">
        <v>63274.68</v>
      </c>
      <c r="K11806" s="18">
        <f t="shared" si="369"/>
        <v>0</v>
      </c>
      <c r="L11806" s="27">
        <v>0</v>
      </c>
      <c r="M11806" s="36">
        <v>0</v>
      </c>
      <c r="N11806" s="18" t="s">
        <v>123</v>
      </c>
      <c r="O11806" s="19">
        <v>63274.68</v>
      </c>
      <c r="T11806" s="41">
        <v>0</v>
      </c>
      <c r="U11806" s="41">
        <v>0</v>
      </c>
      <c r="V11806" s="42" t="s">
        <v>113</v>
      </c>
      <c r="W11806" s="42">
        <v>0</v>
      </c>
      <c r="X11806" s="42">
        <v>0</v>
      </c>
    </row>
    <row r="11807" spans="1:24">
      <c r="A11807" s="27" t="s">
        <v>21342</v>
      </c>
      <c r="B11807" s="28" t="s">
        <v>19918</v>
      </c>
      <c r="C11807" s="27" t="s">
        <v>21343</v>
      </c>
      <c r="D11807" s="27" t="s">
        <v>20772</v>
      </c>
      <c r="E11807" s="29">
        <v>43830</v>
      </c>
      <c r="F11807" s="27">
        <v>8</v>
      </c>
      <c r="G11807" s="18">
        <v>0</v>
      </c>
      <c r="H11807" s="27">
        <f t="shared" si="368"/>
        <v>0</v>
      </c>
      <c r="I11807" s="18">
        <v>0</v>
      </c>
      <c r="J11807" s="27">
        <v>63274.68</v>
      </c>
      <c r="K11807" s="18">
        <f t="shared" si="369"/>
        <v>0</v>
      </c>
      <c r="L11807" s="27">
        <v>0</v>
      </c>
      <c r="M11807" s="36">
        <v>0</v>
      </c>
      <c r="N11807" s="18" t="s">
        <v>123</v>
      </c>
      <c r="O11807" s="19">
        <v>63274.68</v>
      </c>
      <c r="T11807" s="41">
        <v>0</v>
      </c>
      <c r="U11807" s="41">
        <v>0</v>
      </c>
      <c r="V11807" s="42" t="s">
        <v>113</v>
      </c>
      <c r="W11807" s="42">
        <v>0</v>
      </c>
      <c r="X11807" s="42">
        <v>0</v>
      </c>
    </row>
    <row r="11808" spans="1:24">
      <c r="A11808" s="27" t="s">
        <v>21344</v>
      </c>
      <c r="B11808" s="28" t="s">
        <v>19918</v>
      </c>
      <c r="C11808" s="27" t="s">
        <v>21345</v>
      </c>
      <c r="D11808" s="27" t="s">
        <v>20772</v>
      </c>
      <c r="E11808" s="29">
        <v>43830</v>
      </c>
      <c r="F11808" s="27">
        <v>8</v>
      </c>
      <c r="G11808" s="18">
        <v>0</v>
      </c>
      <c r="H11808" s="27">
        <f t="shared" si="368"/>
        <v>0</v>
      </c>
      <c r="I11808" s="18">
        <v>0</v>
      </c>
      <c r="J11808" s="27">
        <v>63274.68</v>
      </c>
      <c r="K11808" s="18">
        <f t="shared" si="369"/>
        <v>0</v>
      </c>
      <c r="L11808" s="27">
        <v>0</v>
      </c>
      <c r="M11808" s="36">
        <v>0</v>
      </c>
      <c r="N11808" s="18" t="s">
        <v>123</v>
      </c>
      <c r="O11808" s="19">
        <v>63274.68</v>
      </c>
      <c r="T11808" s="41">
        <v>0</v>
      </c>
      <c r="U11808" s="41">
        <v>0</v>
      </c>
      <c r="V11808" s="42" t="s">
        <v>113</v>
      </c>
      <c r="W11808" s="42">
        <v>0</v>
      </c>
      <c r="X11808" s="42">
        <v>0</v>
      </c>
    </row>
    <row r="11809" spans="1:24">
      <c r="A11809" s="27" t="s">
        <v>21346</v>
      </c>
      <c r="B11809" s="28" t="s">
        <v>19918</v>
      </c>
      <c r="C11809" s="27" t="s">
        <v>21347</v>
      </c>
      <c r="D11809" s="27" t="s">
        <v>20772</v>
      </c>
      <c r="E11809" s="29">
        <v>43830</v>
      </c>
      <c r="F11809" s="27">
        <v>8</v>
      </c>
      <c r="G11809" s="18">
        <v>0</v>
      </c>
      <c r="H11809" s="27">
        <f t="shared" si="368"/>
        <v>0</v>
      </c>
      <c r="I11809" s="18">
        <v>0</v>
      </c>
      <c r="J11809" s="27">
        <v>63274.68</v>
      </c>
      <c r="K11809" s="18">
        <f t="shared" si="369"/>
        <v>0</v>
      </c>
      <c r="L11809" s="27">
        <v>0</v>
      </c>
      <c r="M11809" s="36">
        <v>0</v>
      </c>
      <c r="N11809" s="18" t="s">
        <v>123</v>
      </c>
      <c r="O11809" s="19">
        <v>63274.68</v>
      </c>
      <c r="T11809" s="41">
        <v>0</v>
      </c>
      <c r="U11809" s="41">
        <v>0</v>
      </c>
      <c r="V11809" s="42" t="s">
        <v>113</v>
      </c>
      <c r="W11809" s="42">
        <v>0</v>
      </c>
      <c r="X11809" s="42">
        <v>0</v>
      </c>
    </row>
    <row r="11810" spans="1:24">
      <c r="A11810" s="27" t="s">
        <v>21348</v>
      </c>
      <c r="B11810" s="28" t="s">
        <v>19918</v>
      </c>
      <c r="C11810" s="27" t="s">
        <v>21349</v>
      </c>
      <c r="D11810" s="27" t="s">
        <v>17578</v>
      </c>
      <c r="E11810" s="29">
        <v>38534</v>
      </c>
      <c r="F11810" s="27">
        <v>8</v>
      </c>
      <c r="G11810" s="18">
        <v>52620.52</v>
      </c>
      <c r="H11810" s="27">
        <f t="shared" si="368"/>
        <v>52620.52</v>
      </c>
      <c r="I11810" s="18">
        <v>49989.49</v>
      </c>
      <c r="J11810" s="27">
        <v>52620.52</v>
      </c>
      <c r="K11810" s="18">
        <f t="shared" si="369"/>
        <v>52620.52</v>
      </c>
      <c r="L11810" s="27">
        <v>49989.49</v>
      </c>
      <c r="M11810" s="36">
        <v>0</v>
      </c>
      <c r="T11810" s="41">
        <v>0</v>
      </c>
      <c r="U11810" s="41">
        <v>0</v>
      </c>
      <c r="V11810" s="42" t="s">
        <v>113</v>
      </c>
      <c r="W11810" s="42">
        <v>52620.52</v>
      </c>
      <c r="X11810" s="42">
        <v>52620.52</v>
      </c>
    </row>
    <row r="11811" spans="1:24">
      <c r="A11811" s="27" t="s">
        <v>21350</v>
      </c>
      <c r="B11811" s="28" t="s">
        <v>19918</v>
      </c>
      <c r="C11811" s="27" t="s">
        <v>21351</v>
      </c>
      <c r="D11811" s="27" t="s">
        <v>17578</v>
      </c>
      <c r="E11811" s="29">
        <v>40169</v>
      </c>
      <c r="F11811" s="27">
        <v>8</v>
      </c>
      <c r="G11811" s="18">
        <v>79968</v>
      </c>
      <c r="H11811" s="27">
        <f t="shared" si="368"/>
        <v>79968</v>
      </c>
      <c r="I11811" s="18">
        <v>75969.600000000006</v>
      </c>
      <c r="J11811" s="27">
        <v>79968</v>
      </c>
      <c r="K11811" s="18">
        <f t="shared" si="369"/>
        <v>79968</v>
      </c>
      <c r="L11811" s="27">
        <v>75969.600000000006</v>
      </c>
      <c r="M11811" s="36">
        <v>0</v>
      </c>
      <c r="T11811" s="41">
        <v>0</v>
      </c>
      <c r="U11811" s="41">
        <v>0</v>
      </c>
      <c r="V11811" s="42" t="s">
        <v>113</v>
      </c>
      <c r="W11811" s="42">
        <v>79968</v>
      </c>
      <c r="X11811" s="42">
        <v>79968</v>
      </c>
    </row>
    <row r="11812" spans="1:24">
      <c r="A11812" s="27" t="s">
        <v>21352</v>
      </c>
      <c r="B11812" s="28" t="s">
        <v>19918</v>
      </c>
      <c r="C11812" s="27" t="s">
        <v>21353</v>
      </c>
      <c r="D11812" s="27" t="s">
        <v>17578</v>
      </c>
      <c r="E11812" s="29">
        <v>40543</v>
      </c>
      <c r="F11812" s="27">
        <v>8</v>
      </c>
      <c r="G11812" s="18">
        <v>4777.78</v>
      </c>
      <c r="H11812" s="27">
        <f t="shared" si="368"/>
        <v>4777.78</v>
      </c>
      <c r="I11812" s="18">
        <v>4777.78</v>
      </c>
      <c r="J11812" s="27">
        <v>4777.78</v>
      </c>
      <c r="K11812" s="18">
        <f t="shared" si="369"/>
        <v>4777.78</v>
      </c>
      <c r="L11812" s="27">
        <v>4777.78</v>
      </c>
      <c r="M11812" s="36">
        <v>0</v>
      </c>
      <c r="T11812" s="41">
        <v>0</v>
      </c>
      <c r="U11812" s="41">
        <v>0</v>
      </c>
      <c r="V11812" s="42" t="s">
        <v>113</v>
      </c>
      <c r="W11812" s="42">
        <v>4777.78</v>
      </c>
      <c r="X11812" s="42">
        <v>4777.78</v>
      </c>
    </row>
    <row r="11813" spans="1:24">
      <c r="A11813" s="27" t="s">
        <v>21354</v>
      </c>
      <c r="B11813" s="28" t="s">
        <v>19918</v>
      </c>
      <c r="C11813" s="27" t="s">
        <v>21353</v>
      </c>
      <c r="D11813" s="27" t="s">
        <v>17578</v>
      </c>
      <c r="E11813" s="29">
        <v>40543</v>
      </c>
      <c r="F11813" s="27">
        <v>8</v>
      </c>
      <c r="G11813" s="18">
        <v>4777.78</v>
      </c>
      <c r="H11813" s="27">
        <f t="shared" si="368"/>
        <v>4777.78</v>
      </c>
      <c r="I11813" s="18">
        <v>4777.78</v>
      </c>
      <c r="J11813" s="27">
        <v>4777.78</v>
      </c>
      <c r="K11813" s="18">
        <f t="shared" si="369"/>
        <v>4777.78</v>
      </c>
      <c r="L11813" s="27">
        <v>4777.78</v>
      </c>
      <c r="M11813" s="36">
        <v>0</v>
      </c>
      <c r="T11813" s="41">
        <v>0</v>
      </c>
      <c r="U11813" s="41">
        <v>0</v>
      </c>
      <c r="V11813" s="42" t="s">
        <v>113</v>
      </c>
      <c r="W11813" s="42">
        <v>4777.78</v>
      </c>
      <c r="X11813" s="42">
        <v>4777.78</v>
      </c>
    </row>
    <row r="11814" spans="1:24">
      <c r="A11814" s="27" t="s">
        <v>21355</v>
      </c>
      <c r="B11814" s="28" t="s">
        <v>19918</v>
      </c>
      <c r="C11814" s="27" t="s">
        <v>21353</v>
      </c>
      <c r="D11814" s="27" t="s">
        <v>17578</v>
      </c>
      <c r="E11814" s="29">
        <v>40543</v>
      </c>
      <c r="F11814" s="27">
        <v>8</v>
      </c>
      <c r="G11814" s="18">
        <v>4777.7700000000004</v>
      </c>
      <c r="H11814" s="27">
        <f t="shared" si="368"/>
        <v>4777.7700000000004</v>
      </c>
      <c r="I11814" s="18">
        <v>4777.7700000000004</v>
      </c>
      <c r="J11814" s="27">
        <v>4777.7700000000004</v>
      </c>
      <c r="K11814" s="18">
        <f t="shared" si="369"/>
        <v>4777.7700000000004</v>
      </c>
      <c r="L11814" s="27">
        <v>4777.7700000000004</v>
      </c>
      <c r="M11814" s="36">
        <v>0</v>
      </c>
      <c r="T11814" s="41">
        <v>0</v>
      </c>
      <c r="U11814" s="41">
        <v>0</v>
      </c>
      <c r="V11814" s="42" t="s">
        <v>113</v>
      </c>
      <c r="W11814" s="42">
        <v>4777.7700000000004</v>
      </c>
      <c r="X11814" s="42">
        <v>4777.7700000000004</v>
      </c>
    </row>
    <row r="11815" spans="1:24">
      <c r="A11815" s="27" t="s">
        <v>21356</v>
      </c>
      <c r="B11815" s="28" t="s">
        <v>19918</v>
      </c>
      <c r="C11815" s="27" t="s">
        <v>21357</v>
      </c>
      <c r="D11815" s="27" t="s">
        <v>17578</v>
      </c>
      <c r="E11815" s="29">
        <v>40543</v>
      </c>
      <c r="F11815" s="27">
        <v>8</v>
      </c>
      <c r="G11815" s="18">
        <v>4059.83</v>
      </c>
      <c r="H11815" s="27">
        <f t="shared" si="368"/>
        <v>4059.83</v>
      </c>
      <c r="I11815" s="18">
        <v>4059.83</v>
      </c>
      <c r="J11815" s="27">
        <v>4059.83</v>
      </c>
      <c r="K11815" s="18">
        <f t="shared" si="369"/>
        <v>4059.83</v>
      </c>
      <c r="L11815" s="27">
        <v>4059.83</v>
      </c>
      <c r="M11815" s="36">
        <v>0</v>
      </c>
      <c r="T11815" s="41">
        <v>0</v>
      </c>
      <c r="U11815" s="41">
        <v>0</v>
      </c>
      <c r="V11815" s="42" t="s">
        <v>113</v>
      </c>
      <c r="W11815" s="42">
        <v>4059.83</v>
      </c>
      <c r="X11815" s="42">
        <v>4059.83</v>
      </c>
    </row>
    <row r="11816" spans="1:24">
      <c r="A11816" s="27" t="s">
        <v>21358</v>
      </c>
      <c r="B11816" s="28" t="s">
        <v>19918</v>
      </c>
      <c r="C11816" s="27" t="s">
        <v>21357</v>
      </c>
      <c r="D11816" s="27" t="s">
        <v>17578</v>
      </c>
      <c r="E11816" s="29">
        <v>40543</v>
      </c>
      <c r="F11816" s="27">
        <v>8</v>
      </c>
      <c r="G11816" s="18">
        <v>4059.83</v>
      </c>
      <c r="H11816" s="27">
        <f t="shared" si="368"/>
        <v>4059.83</v>
      </c>
      <c r="I11816" s="18">
        <v>4059.83</v>
      </c>
      <c r="J11816" s="27">
        <v>4059.83</v>
      </c>
      <c r="K11816" s="18">
        <f t="shared" si="369"/>
        <v>4059.83</v>
      </c>
      <c r="L11816" s="27">
        <v>4059.83</v>
      </c>
      <c r="M11816" s="36">
        <v>0</v>
      </c>
      <c r="T11816" s="41">
        <v>0</v>
      </c>
      <c r="U11816" s="41">
        <v>0</v>
      </c>
      <c r="V11816" s="42" t="s">
        <v>113</v>
      </c>
      <c r="W11816" s="42">
        <v>4059.83</v>
      </c>
      <c r="X11816" s="42">
        <v>4059.83</v>
      </c>
    </row>
    <row r="11817" spans="1:24">
      <c r="A11817" s="27" t="s">
        <v>21359</v>
      </c>
      <c r="B11817" s="28" t="s">
        <v>19918</v>
      </c>
      <c r="C11817" s="27" t="s">
        <v>21357</v>
      </c>
      <c r="D11817" s="27" t="s">
        <v>17578</v>
      </c>
      <c r="E11817" s="29">
        <v>40543</v>
      </c>
      <c r="F11817" s="27">
        <v>8</v>
      </c>
      <c r="G11817" s="18">
        <v>4059.83</v>
      </c>
      <c r="H11817" s="27">
        <f t="shared" si="368"/>
        <v>4059.83</v>
      </c>
      <c r="I11817" s="18">
        <v>4059.83</v>
      </c>
      <c r="J11817" s="27">
        <v>4059.83</v>
      </c>
      <c r="K11817" s="18">
        <f t="shared" si="369"/>
        <v>4059.83</v>
      </c>
      <c r="L11817" s="27">
        <v>4059.83</v>
      </c>
      <c r="M11817" s="36">
        <v>0</v>
      </c>
      <c r="T11817" s="41">
        <v>0</v>
      </c>
      <c r="U11817" s="41">
        <v>0</v>
      </c>
      <c r="V11817" s="42" t="s">
        <v>113</v>
      </c>
      <c r="W11817" s="42">
        <v>4059.83</v>
      </c>
      <c r="X11817" s="42">
        <v>4059.83</v>
      </c>
    </row>
    <row r="11818" spans="1:24">
      <c r="A11818" s="27" t="s">
        <v>21360</v>
      </c>
      <c r="B11818" s="28" t="s">
        <v>19918</v>
      </c>
      <c r="C11818" s="27" t="s">
        <v>21361</v>
      </c>
      <c r="D11818" s="27" t="s">
        <v>17578</v>
      </c>
      <c r="E11818" s="29">
        <v>42159</v>
      </c>
      <c r="F11818" s="27">
        <v>7</v>
      </c>
      <c r="G11818" s="18">
        <v>11111.11</v>
      </c>
      <c r="H11818" s="27">
        <f t="shared" si="368"/>
        <v>0</v>
      </c>
      <c r="I11818" s="18">
        <v>5277.78</v>
      </c>
      <c r="J11818" s="27">
        <v>11111.11</v>
      </c>
      <c r="K11818" s="18">
        <f t="shared" si="369"/>
        <v>0</v>
      </c>
      <c r="L11818" s="27">
        <v>6785.71</v>
      </c>
      <c r="M11818" s="36">
        <v>1507.93</v>
      </c>
      <c r="T11818" s="41">
        <v>0</v>
      </c>
      <c r="U11818" s="41">
        <v>0</v>
      </c>
      <c r="V11818" s="42" t="s">
        <v>113</v>
      </c>
      <c r="W11818" s="42">
        <v>0</v>
      </c>
      <c r="X11818" s="42">
        <v>0</v>
      </c>
    </row>
    <row r="11819" spans="1:24">
      <c r="A11819" s="27" t="s">
        <v>21362</v>
      </c>
      <c r="B11819" s="28" t="s">
        <v>19918</v>
      </c>
      <c r="C11819" s="27" t="s">
        <v>21363</v>
      </c>
      <c r="D11819" s="27" t="s">
        <v>17578</v>
      </c>
      <c r="E11819" s="29">
        <v>42361</v>
      </c>
      <c r="F11819" s="27">
        <v>7</v>
      </c>
      <c r="G11819" s="18">
        <v>12649.57</v>
      </c>
      <c r="H11819" s="27">
        <f t="shared" si="368"/>
        <v>0</v>
      </c>
      <c r="I11819" s="18">
        <v>5150.1899999999996</v>
      </c>
      <c r="J11819" s="27">
        <v>12649.57</v>
      </c>
      <c r="K11819" s="18">
        <f t="shared" si="369"/>
        <v>0</v>
      </c>
      <c r="L11819" s="27">
        <v>6866.92</v>
      </c>
      <c r="M11819" s="36">
        <v>1716.73</v>
      </c>
      <c r="T11819" s="41">
        <v>0</v>
      </c>
      <c r="U11819" s="41">
        <v>0</v>
      </c>
      <c r="V11819" s="42" t="s">
        <v>113</v>
      </c>
      <c r="W11819" s="42">
        <v>0</v>
      </c>
      <c r="X11819" s="42">
        <v>0</v>
      </c>
    </row>
    <row r="11820" spans="1:24">
      <c r="A11820" s="27" t="s">
        <v>21364</v>
      </c>
      <c r="B11820" s="28" t="s">
        <v>19918</v>
      </c>
      <c r="C11820" s="27" t="s">
        <v>21365</v>
      </c>
      <c r="D11820" s="27" t="s">
        <v>17578</v>
      </c>
      <c r="E11820" s="29">
        <v>42457</v>
      </c>
      <c r="F11820" s="27">
        <v>7</v>
      </c>
      <c r="G11820" s="18">
        <v>24800</v>
      </c>
      <c r="H11820" s="27">
        <f t="shared" si="368"/>
        <v>0</v>
      </c>
      <c r="I11820" s="18">
        <v>9255.7099999999991</v>
      </c>
      <c r="J11820" s="27">
        <v>24800</v>
      </c>
      <c r="K11820" s="18">
        <f t="shared" si="369"/>
        <v>0</v>
      </c>
      <c r="L11820" s="27">
        <v>12621.43</v>
      </c>
      <c r="M11820" s="36">
        <v>3365.72</v>
      </c>
      <c r="T11820" s="41">
        <v>0</v>
      </c>
      <c r="U11820" s="41">
        <v>0</v>
      </c>
      <c r="V11820" s="42" t="s">
        <v>113</v>
      </c>
      <c r="W11820" s="42">
        <v>0</v>
      </c>
      <c r="X11820" s="42">
        <v>0</v>
      </c>
    </row>
    <row r="11821" spans="1:24">
      <c r="A11821" s="27" t="s">
        <v>21366</v>
      </c>
      <c r="B11821" s="28" t="s">
        <v>19918</v>
      </c>
      <c r="C11821" s="27" t="s">
        <v>21367</v>
      </c>
      <c r="D11821" s="27" t="s">
        <v>17578</v>
      </c>
      <c r="E11821" s="29">
        <v>42678</v>
      </c>
      <c r="F11821" s="27">
        <v>7</v>
      </c>
      <c r="G11821" s="18">
        <v>9230.77</v>
      </c>
      <c r="H11821" s="27">
        <f t="shared" si="368"/>
        <v>0</v>
      </c>
      <c r="I11821" s="18">
        <v>2609.9</v>
      </c>
      <c r="J11821" s="27">
        <v>9230.77</v>
      </c>
      <c r="K11821" s="18">
        <f t="shared" si="369"/>
        <v>0</v>
      </c>
      <c r="L11821" s="27">
        <v>3862.65</v>
      </c>
      <c r="M11821" s="36">
        <v>1252.75</v>
      </c>
      <c r="T11821" s="41">
        <v>0</v>
      </c>
      <c r="U11821" s="41">
        <v>0</v>
      </c>
      <c r="V11821" s="42" t="s">
        <v>113</v>
      </c>
      <c r="W11821" s="42">
        <v>0</v>
      </c>
      <c r="X11821" s="42">
        <v>0</v>
      </c>
    </row>
    <row r="11822" spans="1:24">
      <c r="A11822" s="27" t="s">
        <v>21368</v>
      </c>
      <c r="B11822" s="28" t="s">
        <v>19918</v>
      </c>
      <c r="C11822" s="27" t="s">
        <v>21369</v>
      </c>
      <c r="D11822" s="27" t="s">
        <v>17558</v>
      </c>
      <c r="E11822" s="29">
        <v>40298</v>
      </c>
      <c r="F11822" s="27">
        <v>7</v>
      </c>
      <c r="G11822" s="18">
        <v>36000</v>
      </c>
      <c r="H11822" s="27">
        <f t="shared" si="368"/>
        <v>36000</v>
      </c>
      <c r="I11822" s="18">
        <v>34200</v>
      </c>
      <c r="J11822" s="27">
        <v>36000</v>
      </c>
      <c r="K11822" s="18">
        <f t="shared" si="369"/>
        <v>36000</v>
      </c>
      <c r="L11822" s="27">
        <v>34200</v>
      </c>
      <c r="M11822" s="36">
        <v>0</v>
      </c>
      <c r="T11822" s="41">
        <v>0</v>
      </c>
      <c r="U11822" s="41">
        <v>0</v>
      </c>
      <c r="V11822" s="42" t="s">
        <v>113</v>
      </c>
      <c r="W11822" s="42">
        <v>36000</v>
      </c>
      <c r="X11822" s="42">
        <v>36000</v>
      </c>
    </row>
    <row r="11823" spans="1:24">
      <c r="A11823" s="27" t="s">
        <v>21370</v>
      </c>
      <c r="B11823" s="28" t="s">
        <v>19918</v>
      </c>
      <c r="C11823" s="27" t="s">
        <v>21371</v>
      </c>
      <c r="D11823" s="27" t="s">
        <v>17558</v>
      </c>
      <c r="E11823" s="29">
        <v>41086</v>
      </c>
      <c r="F11823" s="27">
        <v>7</v>
      </c>
      <c r="G11823" s="18">
        <v>40170.94</v>
      </c>
      <c r="H11823" s="27">
        <f t="shared" si="368"/>
        <v>0</v>
      </c>
      <c r="I11823" s="18">
        <v>35436.51</v>
      </c>
      <c r="J11823" s="27">
        <v>40170.94</v>
      </c>
      <c r="K11823" s="18">
        <f t="shared" si="369"/>
        <v>40170.94</v>
      </c>
      <c r="L11823" s="27">
        <v>38162.39</v>
      </c>
      <c r="M11823" s="36">
        <v>2725.88</v>
      </c>
      <c r="T11823" s="41">
        <v>0</v>
      </c>
      <c r="U11823" s="41">
        <v>0</v>
      </c>
      <c r="V11823" s="42" t="s">
        <v>113</v>
      </c>
      <c r="W11823" s="42">
        <v>40170.94</v>
      </c>
      <c r="X11823" s="42">
        <v>40170.94</v>
      </c>
    </row>
    <row r="11824" spans="1:24">
      <c r="A11824" s="27" t="s">
        <v>21372</v>
      </c>
      <c r="B11824" s="28" t="s">
        <v>19918</v>
      </c>
      <c r="C11824" s="27" t="s">
        <v>21373</v>
      </c>
      <c r="D11824" s="27" t="s">
        <v>17558</v>
      </c>
      <c r="E11824" s="29">
        <v>41086</v>
      </c>
      <c r="F11824" s="27">
        <v>7</v>
      </c>
      <c r="G11824" s="18">
        <v>29914.53</v>
      </c>
      <c r="H11824" s="27">
        <f t="shared" si="368"/>
        <v>0</v>
      </c>
      <c r="I11824" s="18">
        <v>26388.89</v>
      </c>
      <c r="J11824" s="27">
        <v>29914.53</v>
      </c>
      <c r="K11824" s="18">
        <f t="shared" si="369"/>
        <v>29914.53</v>
      </c>
      <c r="L11824" s="27">
        <v>28418.799999999999</v>
      </c>
      <c r="M11824" s="36">
        <v>2029.91</v>
      </c>
      <c r="T11824" s="41">
        <v>0</v>
      </c>
      <c r="U11824" s="41">
        <v>0</v>
      </c>
      <c r="V11824" s="42" t="s">
        <v>113</v>
      </c>
      <c r="W11824" s="42">
        <v>29914.53</v>
      </c>
      <c r="X11824" s="42">
        <v>29914.53</v>
      </c>
    </row>
    <row r="11825" spans="1:24">
      <c r="A11825" s="27" t="s">
        <v>21374</v>
      </c>
      <c r="B11825" s="28" t="s">
        <v>19918</v>
      </c>
      <c r="C11825" s="27" t="s">
        <v>21375</v>
      </c>
      <c r="D11825" s="27" t="s">
        <v>17558</v>
      </c>
      <c r="E11825" s="29">
        <v>41086</v>
      </c>
      <c r="F11825" s="27">
        <v>7</v>
      </c>
      <c r="G11825" s="18">
        <v>7692.31</v>
      </c>
      <c r="H11825" s="27">
        <f t="shared" si="368"/>
        <v>0</v>
      </c>
      <c r="I11825" s="18">
        <v>6785.71</v>
      </c>
      <c r="J11825" s="27">
        <v>7692.31</v>
      </c>
      <c r="K11825" s="18">
        <f t="shared" si="369"/>
        <v>7692.31</v>
      </c>
      <c r="L11825" s="27">
        <v>7307.69</v>
      </c>
      <c r="M11825" s="36">
        <v>521.98</v>
      </c>
      <c r="T11825" s="41">
        <v>0</v>
      </c>
      <c r="U11825" s="41">
        <v>0</v>
      </c>
      <c r="V11825" s="42" t="s">
        <v>113</v>
      </c>
      <c r="W11825" s="42">
        <v>7692.31</v>
      </c>
      <c r="X11825" s="42">
        <v>7692.31</v>
      </c>
    </row>
    <row r="11826" spans="1:24">
      <c r="A11826" s="27" t="s">
        <v>21376</v>
      </c>
      <c r="B11826" s="28" t="s">
        <v>19918</v>
      </c>
      <c r="C11826" s="27" t="s">
        <v>21377</v>
      </c>
      <c r="D11826" s="27" t="s">
        <v>17558</v>
      </c>
      <c r="E11826" s="29">
        <v>41086</v>
      </c>
      <c r="F11826" s="27">
        <v>7</v>
      </c>
      <c r="G11826" s="18">
        <v>15384.62</v>
      </c>
      <c r="H11826" s="27">
        <f t="shared" si="368"/>
        <v>0</v>
      </c>
      <c r="I11826" s="18">
        <v>13571.43</v>
      </c>
      <c r="J11826" s="27">
        <v>15384.62</v>
      </c>
      <c r="K11826" s="18">
        <f t="shared" si="369"/>
        <v>15384.62</v>
      </c>
      <c r="L11826" s="27">
        <v>14615.39</v>
      </c>
      <c r="M11826" s="36">
        <v>1043.96</v>
      </c>
      <c r="T11826" s="41">
        <v>0</v>
      </c>
      <c r="U11826" s="41">
        <v>0</v>
      </c>
      <c r="V11826" s="42" t="s">
        <v>113</v>
      </c>
      <c r="W11826" s="42">
        <v>15384.62</v>
      </c>
      <c r="X11826" s="42">
        <v>15384.62</v>
      </c>
    </row>
    <row r="11827" spans="1:24">
      <c r="A11827" s="27" t="s">
        <v>21378</v>
      </c>
      <c r="B11827" s="28" t="s">
        <v>19918</v>
      </c>
      <c r="C11827" s="27" t="s">
        <v>21379</v>
      </c>
      <c r="D11827" s="27" t="s">
        <v>17578</v>
      </c>
      <c r="E11827" s="29">
        <v>41264</v>
      </c>
      <c r="F11827" s="27">
        <v>7</v>
      </c>
      <c r="G11827" s="18">
        <v>1777.78</v>
      </c>
      <c r="H11827" s="27">
        <f t="shared" si="368"/>
        <v>1777.78</v>
      </c>
      <c r="I11827" s="18">
        <v>1777.78</v>
      </c>
      <c r="J11827" s="27">
        <v>1777.78</v>
      </c>
      <c r="K11827" s="18">
        <f t="shared" si="369"/>
        <v>1777.78</v>
      </c>
      <c r="L11827" s="27">
        <v>1777.78</v>
      </c>
      <c r="M11827" s="36">
        <v>0</v>
      </c>
      <c r="T11827" s="41">
        <v>0</v>
      </c>
      <c r="U11827" s="41">
        <v>0</v>
      </c>
      <c r="V11827" s="42" t="s">
        <v>113</v>
      </c>
      <c r="W11827" s="42">
        <v>1777.78</v>
      </c>
      <c r="X11827" s="42">
        <v>1777.78</v>
      </c>
    </row>
    <row r="11828" spans="1:24">
      <c r="A11828" s="27" t="s">
        <v>21380</v>
      </c>
      <c r="B11828" s="28" t="s">
        <v>19918</v>
      </c>
      <c r="C11828" s="27" t="s">
        <v>21381</v>
      </c>
      <c r="D11828" s="27" t="s">
        <v>17558</v>
      </c>
      <c r="E11828" s="29">
        <v>41264</v>
      </c>
      <c r="F11828" s="27">
        <v>7</v>
      </c>
      <c r="G11828" s="18">
        <v>51282.05</v>
      </c>
      <c r="H11828" s="27">
        <f t="shared" si="368"/>
        <v>0</v>
      </c>
      <c r="I11828" s="18">
        <v>41758.25</v>
      </c>
      <c r="J11828" s="27">
        <v>51282.05</v>
      </c>
      <c r="K11828" s="18">
        <f t="shared" si="369"/>
        <v>51282.05</v>
      </c>
      <c r="L11828" s="27">
        <v>48717.95</v>
      </c>
      <c r="M11828" s="36">
        <v>6959.7</v>
      </c>
      <c r="T11828" s="41">
        <v>0</v>
      </c>
      <c r="U11828" s="41">
        <v>0</v>
      </c>
      <c r="V11828" s="42" t="s">
        <v>113</v>
      </c>
      <c r="W11828" s="42">
        <v>51282.05</v>
      </c>
      <c r="X11828" s="42">
        <v>51282.05</v>
      </c>
    </row>
    <row r="11829" spans="1:24">
      <c r="A11829" s="27" t="s">
        <v>21382</v>
      </c>
      <c r="B11829" s="28" t="s">
        <v>19918</v>
      </c>
      <c r="C11829" s="27" t="s">
        <v>21383</v>
      </c>
      <c r="D11829" s="27" t="s">
        <v>17558</v>
      </c>
      <c r="E11829" s="29">
        <v>41264</v>
      </c>
      <c r="F11829" s="27">
        <v>7</v>
      </c>
      <c r="G11829" s="18">
        <v>35470.089999999997</v>
      </c>
      <c r="H11829" s="27">
        <f t="shared" si="368"/>
        <v>0</v>
      </c>
      <c r="I11829" s="18">
        <v>28882.799999999999</v>
      </c>
      <c r="J11829" s="27">
        <v>35470.089999999997</v>
      </c>
      <c r="K11829" s="18">
        <f t="shared" si="369"/>
        <v>35470.089999999997</v>
      </c>
      <c r="L11829" s="27">
        <v>33696.589999999997</v>
      </c>
      <c r="M11829" s="36">
        <v>4813.79</v>
      </c>
      <c r="T11829" s="41">
        <v>0</v>
      </c>
      <c r="U11829" s="41">
        <v>0</v>
      </c>
      <c r="V11829" s="42" t="s">
        <v>113</v>
      </c>
      <c r="W11829" s="42">
        <v>35470.089999999997</v>
      </c>
      <c r="X11829" s="42">
        <v>35470.089999999997</v>
      </c>
    </row>
    <row r="11830" spans="1:24">
      <c r="A11830" s="27" t="s">
        <v>21384</v>
      </c>
      <c r="B11830" s="28" t="s">
        <v>19918</v>
      </c>
      <c r="C11830" s="27" t="s">
        <v>21385</v>
      </c>
      <c r="D11830" s="27" t="s">
        <v>17578</v>
      </c>
      <c r="E11830" s="29">
        <v>41264</v>
      </c>
      <c r="F11830" s="27">
        <v>7</v>
      </c>
      <c r="G11830" s="18">
        <v>4794.87</v>
      </c>
      <c r="H11830" s="27">
        <f t="shared" si="368"/>
        <v>4794.87</v>
      </c>
      <c r="I11830" s="18">
        <v>4794.87</v>
      </c>
      <c r="J11830" s="27">
        <v>4794.87</v>
      </c>
      <c r="K11830" s="18">
        <f t="shared" si="369"/>
        <v>4794.87</v>
      </c>
      <c r="L11830" s="27">
        <v>4794.87</v>
      </c>
      <c r="M11830" s="36">
        <v>0</v>
      </c>
      <c r="T11830" s="41">
        <v>0</v>
      </c>
      <c r="U11830" s="41">
        <v>0</v>
      </c>
      <c r="V11830" s="42" t="s">
        <v>113</v>
      </c>
      <c r="W11830" s="42">
        <v>4794.87</v>
      </c>
      <c r="X11830" s="42">
        <v>4794.87</v>
      </c>
    </row>
    <row r="11831" spans="1:24">
      <c r="A11831" s="27" t="s">
        <v>21386</v>
      </c>
      <c r="B11831" s="28" t="s">
        <v>19918</v>
      </c>
      <c r="C11831" s="27" t="s">
        <v>21387</v>
      </c>
      <c r="D11831" s="27" t="s">
        <v>17578</v>
      </c>
      <c r="E11831" s="29">
        <v>41264</v>
      </c>
      <c r="F11831" s="27">
        <v>7</v>
      </c>
      <c r="G11831" s="18">
        <v>5854.7</v>
      </c>
      <c r="H11831" s="27">
        <f t="shared" si="368"/>
        <v>0</v>
      </c>
      <c r="I11831" s="18">
        <v>4767.3999999999996</v>
      </c>
      <c r="J11831" s="27">
        <v>5854.7</v>
      </c>
      <c r="K11831" s="18">
        <f t="shared" si="369"/>
        <v>5854.7</v>
      </c>
      <c r="L11831" s="27">
        <v>5561.96</v>
      </c>
      <c r="M11831" s="36">
        <v>794.56</v>
      </c>
      <c r="T11831" s="41">
        <v>0</v>
      </c>
      <c r="U11831" s="41">
        <v>0</v>
      </c>
      <c r="V11831" s="42" t="s">
        <v>113</v>
      </c>
      <c r="W11831" s="42">
        <v>5854.7</v>
      </c>
      <c r="X11831" s="42">
        <v>5854.7</v>
      </c>
    </row>
    <row r="11832" spans="1:24">
      <c r="A11832" s="27" t="s">
        <v>21388</v>
      </c>
      <c r="B11832" s="28" t="s">
        <v>19918</v>
      </c>
      <c r="C11832" s="27" t="s">
        <v>21389</v>
      </c>
      <c r="D11832" s="27" t="s">
        <v>17578</v>
      </c>
      <c r="E11832" s="29">
        <v>41264</v>
      </c>
      <c r="F11832" s="27">
        <v>7</v>
      </c>
      <c r="G11832" s="18">
        <v>11282.05</v>
      </c>
      <c r="H11832" s="27">
        <f t="shared" si="368"/>
        <v>0</v>
      </c>
      <c r="I11832" s="18">
        <v>9186.82</v>
      </c>
      <c r="J11832" s="27">
        <v>11282.05</v>
      </c>
      <c r="K11832" s="18">
        <f t="shared" si="369"/>
        <v>11282.05</v>
      </c>
      <c r="L11832" s="27">
        <v>10717.95</v>
      </c>
      <c r="M11832" s="36">
        <v>1531.13</v>
      </c>
      <c r="T11832" s="41">
        <v>0</v>
      </c>
      <c r="U11832" s="41">
        <v>0</v>
      </c>
      <c r="V11832" s="42" t="s">
        <v>113</v>
      </c>
      <c r="W11832" s="42">
        <v>11282.05</v>
      </c>
      <c r="X11832" s="42">
        <v>11282.05</v>
      </c>
    </row>
    <row r="11833" spans="1:24">
      <c r="A11833" s="27" t="s">
        <v>21390</v>
      </c>
      <c r="B11833" s="28" t="s">
        <v>19918</v>
      </c>
      <c r="C11833" s="27" t="s">
        <v>21381</v>
      </c>
      <c r="D11833" s="27" t="s">
        <v>17578</v>
      </c>
      <c r="E11833" s="29">
        <v>41264</v>
      </c>
      <c r="F11833" s="27">
        <v>7</v>
      </c>
      <c r="G11833" s="18">
        <v>51282.05</v>
      </c>
      <c r="H11833" s="27">
        <f t="shared" si="368"/>
        <v>0</v>
      </c>
      <c r="I11833" s="18">
        <v>41758.25</v>
      </c>
      <c r="J11833" s="27">
        <v>51282.05</v>
      </c>
      <c r="K11833" s="18">
        <f t="shared" si="369"/>
        <v>51282.05</v>
      </c>
      <c r="L11833" s="27">
        <v>48717.95</v>
      </c>
      <c r="M11833" s="36">
        <v>6959.7</v>
      </c>
      <c r="T11833" s="41">
        <v>0</v>
      </c>
      <c r="U11833" s="41">
        <v>0</v>
      </c>
      <c r="V11833" s="42" t="s">
        <v>113</v>
      </c>
      <c r="W11833" s="42">
        <v>51282.05</v>
      </c>
      <c r="X11833" s="42">
        <v>51282.05</v>
      </c>
    </row>
    <row r="11834" spans="1:24">
      <c r="A11834" s="27" t="s">
        <v>21391</v>
      </c>
      <c r="B11834" s="28" t="s">
        <v>19918</v>
      </c>
      <c r="C11834" s="27" t="s">
        <v>21379</v>
      </c>
      <c r="D11834" s="27" t="s">
        <v>17578</v>
      </c>
      <c r="E11834" s="29">
        <v>41267</v>
      </c>
      <c r="F11834" s="27">
        <v>7</v>
      </c>
      <c r="G11834" s="18">
        <v>2435.89</v>
      </c>
      <c r="H11834" s="27">
        <f t="shared" si="368"/>
        <v>2435.89</v>
      </c>
      <c r="I11834" s="18">
        <v>2435.89</v>
      </c>
      <c r="J11834" s="27">
        <v>2435.89</v>
      </c>
      <c r="K11834" s="18">
        <f t="shared" si="369"/>
        <v>2435.89</v>
      </c>
      <c r="L11834" s="27">
        <v>2435.89</v>
      </c>
      <c r="M11834" s="36">
        <v>0</v>
      </c>
      <c r="T11834" s="41">
        <v>0</v>
      </c>
      <c r="U11834" s="41">
        <v>0</v>
      </c>
      <c r="V11834" s="42" t="s">
        <v>113</v>
      </c>
      <c r="W11834" s="42">
        <v>2435.89</v>
      </c>
      <c r="X11834" s="42">
        <v>2435.89</v>
      </c>
    </row>
    <row r="11835" spans="1:24">
      <c r="A11835" s="27" t="s">
        <v>21392</v>
      </c>
      <c r="B11835" s="28" t="s">
        <v>19918</v>
      </c>
      <c r="C11835" s="27" t="s">
        <v>21385</v>
      </c>
      <c r="D11835" s="27" t="s">
        <v>17578</v>
      </c>
      <c r="E11835" s="29">
        <v>41264</v>
      </c>
      <c r="F11835" s="27">
        <v>7</v>
      </c>
      <c r="G11835" s="18">
        <v>4794.87</v>
      </c>
      <c r="H11835" s="27">
        <f t="shared" si="368"/>
        <v>4794.87</v>
      </c>
      <c r="I11835" s="18">
        <v>4794.87</v>
      </c>
      <c r="J11835" s="27">
        <v>4794.87</v>
      </c>
      <c r="K11835" s="18">
        <f t="shared" si="369"/>
        <v>4794.87</v>
      </c>
      <c r="L11835" s="27">
        <v>4794.87</v>
      </c>
      <c r="M11835" s="36">
        <v>0</v>
      </c>
      <c r="T11835" s="41">
        <v>0</v>
      </c>
      <c r="U11835" s="41">
        <v>0</v>
      </c>
      <c r="V11835" s="42" t="s">
        <v>113</v>
      </c>
      <c r="W11835" s="42">
        <v>4794.87</v>
      </c>
      <c r="X11835" s="42">
        <v>4794.87</v>
      </c>
    </row>
    <row r="11836" spans="1:24">
      <c r="A11836" s="27" t="s">
        <v>21393</v>
      </c>
      <c r="B11836" s="28" t="s">
        <v>19918</v>
      </c>
      <c r="C11836" s="27" t="s">
        <v>21387</v>
      </c>
      <c r="D11836" s="27" t="s">
        <v>17578</v>
      </c>
      <c r="E11836" s="29">
        <v>41264</v>
      </c>
      <c r="F11836" s="27">
        <v>7</v>
      </c>
      <c r="G11836" s="18">
        <v>5854.7</v>
      </c>
      <c r="H11836" s="27">
        <f t="shared" si="368"/>
        <v>0</v>
      </c>
      <c r="I11836" s="18">
        <v>4767.3999999999996</v>
      </c>
      <c r="J11836" s="27">
        <v>5854.7</v>
      </c>
      <c r="K11836" s="18">
        <f t="shared" si="369"/>
        <v>5854.7</v>
      </c>
      <c r="L11836" s="27">
        <v>5561.96</v>
      </c>
      <c r="M11836" s="36">
        <v>794.56</v>
      </c>
      <c r="T11836" s="41">
        <v>0</v>
      </c>
      <c r="U11836" s="41">
        <v>0</v>
      </c>
      <c r="V11836" s="42" t="s">
        <v>113</v>
      </c>
      <c r="W11836" s="42">
        <v>5854.7</v>
      </c>
      <c r="X11836" s="42">
        <v>5854.7</v>
      </c>
    </row>
    <row r="11837" spans="1:24">
      <c r="A11837" s="27" t="s">
        <v>21394</v>
      </c>
      <c r="B11837" s="28" t="s">
        <v>19918</v>
      </c>
      <c r="C11837" s="27" t="s">
        <v>21379</v>
      </c>
      <c r="D11837" s="27" t="s">
        <v>17558</v>
      </c>
      <c r="E11837" s="29">
        <v>41267</v>
      </c>
      <c r="F11837" s="27">
        <v>7</v>
      </c>
      <c r="G11837" s="18">
        <v>2435.9</v>
      </c>
      <c r="H11837" s="27">
        <f t="shared" si="368"/>
        <v>2435.9</v>
      </c>
      <c r="I11837" s="18">
        <v>2435.9</v>
      </c>
      <c r="J11837" s="27">
        <v>2435.9</v>
      </c>
      <c r="K11837" s="18">
        <f t="shared" si="369"/>
        <v>2435.9</v>
      </c>
      <c r="L11837" s="27">
        <v>2435.9</v>
      </c>
      <c r="M11837" s="36">
        <v>0</v>
      </c>
      <c r="T11837" s="41">
        <v>0</v>
      </c>
      <c r="U11837" s="41">
        <v>0</v>
      </c>
      <c r="V11837" s="42" t="s">
        <v>113</v>
      </c>
      <c r="W11837" s="42">
        <v>2435.9</v>
      </c>
      <c r="X11837" s="42">
        <v>2435.9</v>
      </c>
    </row>
    <row r="11838" spans="1:24">
      <c r="A11838" s="27" t="s">
        <v>21395</v>
      </c>
      <c r="B11838" s="28" t="s">
        <v>19918</v>
      </c>
      <c r="C11838" s="27" t="s">
        <v>21396</v>
      </c>
      <c r="D11838" s="27" t="s">
        <v>17558</v>
      </c>
      <c r="E11838" s="29">
        <v>39447</v>
      </c>
      <c r="F11838" s="27">
        <v>7</v>
      </c>
      <c r="G11838" s="18">
        <v>2171.88</v>
      </c>
      <c r="H11838" s="27">
        <f t="shared" si="368"/>
        <v>2171.88</v>
      </c>
      <c r="I11838" s="18">
        <v>2171.88</v>
      </c>
      <c r="J11838" s="27">
        <v>2171.88</v>
      </c>
      <c r="K11838" s="18">
        <f t="shared" si="369"/>
        <v>2171.88</v>
      </c>
      <c r="L11838" s="27">
        <v>2171.88</v>
      </c>
      <c r="M11838" s="36">
        <v>0</v>
      </c>
      <c r="T11838" s="41">
        <v>0</v>
      </c>
      <c r="U11838" s="41">
        <v>0</v>
      </c>
      <c r="V11838" s="42" t="s">
        <v>113</v>
      </c>
      <c r="W11838" s="42">
        <v>2171.88</v>
      </c>
      <c r="X11838" s="42">
        <v>2171.88</v>
      </c>
    </row>
    <row r="11839" spans="1:24">
      <c r="A11839" s="27" t="s">
        <v>21397</v>
      </c>
      <c r="B11839" s="28" t="s">
        <v>19918</v>
      </c>
      <c r="C11839" s="27" t="s">
        <v>21398</v>
      </c>
      <c r="D11839" s="27" t="s">
        <v>17558</v>
      </c>
      <c r="E11839" s="29">
        <v>39447</v>
      </c>
      <c r="F11839" s="27">
        <v>7</v>
      </c>
      <c r="G11839" s="18">
        <v>2171.88</v>
      </c>
      <c r="H11839" s="27">
        <f t="shared" si="368"/>
        <v>2171.88</v>
      </c>
      <c r="I11839" s="18">
        <v>2171.88</v>
      </c>
      <c r="J11839" s="27">
        <v>2171.88</v>
      </c>
      <c r="K11839" s="18">
        <f t="shared" si="369"/>
        <v>2171.88</v>
      </c>
      <c r="L11839" s="27">
        <v>2171.88</v>
      </c>
      <c r="M11839" s="36">
        <v>0</v>
      </c>
      <c r="T11839" s="41">
        <v>0</v>
      </c>
      <c r="U11839" s="41">
        <v>0</v>
      </c>
      <c r="V11839" s="42" t="s">
        <v>113</v>
      </c>
      <c r="W11839" s="42">
        <v>2171.88</v>
      </c>
      <c r="X11839" s="42">
        <v>2171.88</v>
      </c>
    </row>
    <row r="11840" spans="1:24">
      <c r="A11840" s="27" t="s">
        <v>21399</v>
      </c>
      <c r="B11840" s="28" t="s">
        <v>19918</v>
      </c>
      <c r="C11840" s="27" t="s">
        <v>21400</v>
      </c>
      <c r="D11840" s="27" t="s">
        <v>17558</v>
      </c>
      <c r="E11840" s="29">
        <v>39447</v>
      </c>
      <c r="F11840" s="27">
        <v>7</v>
      </c>
      <c r="G11840" s="18">
        <v>2171.88</v>
      </c>
      <c r="H11840" s="27">
        <f t="shared" si="368"/>
        <v>2171.88</v>
      </c>
      <c r="I11840" s="18">
        <v>2171.88</v>
      </c>
      <c r="J11840" s="27">
        <v>2171.88</v>
      </c>
      <c r="K11840" s="18">
        <f t="shared" si="369"/>
        <v>2171.88</v>
      </c>
      <c r="L11840" s="27">
        <v>2171.88</v>
      </c>
      <c r="M11840" s="36">
        <v>0</v>
      </c>
      <c r="T11840" s="41">
        <v>0</v>
      </c>
      <c r="U11840" s="41">
        <v>0</v>
      </c>
      <c r="V11840" s="42" t="s">
        <v>113</v>
      </c>
      <c r="W11840" s="42">
        <v>2171.88</v>
      </c>
      <c r="X11840" s="42">
        <v>2171.88</v>
      </c>
    </row>
    <row r="11841" spans="1:24">
      <c r="A11841" s="27" t="s">
        <v>21401</v>
      </c>
      <c r="B11841" s="28" t="s">
        <v>19918</v>
      </c>
      <c r="C11841" s="27" t="s">
        <v>21402</v>
      </c>
      <c r="D11841" s="27" t="s">
        <v>17558</v>
      </c>
      <c r="E11841" s="29">
        <v>39447</v>
      </c>
      <c r="F11841" s="27">
        <v>7</v>
      </c>
      <c r="G11841" s="18">
        <v>2171.88</v>
      </c>
      <c r="H11841" s="27">
        <f t="shared" si="368"/>
        <v>2171.88</v>
      </c>
      <c r="I11841" s="18">
        <v>2171.88</v>
      </c>
      <c r="J11841" s="27">
        <v>2171.88</v>
      </c>
      <c r="K11841" s="18">
        <f t="shared" si="369"/>
        <v>2171.88</v>
      </c>
      <c r="L11841" s="27">
        <v>2171.88</v>
      </c>
      <c r="M11841" s="36">
        <v>0</v>
      </c>
      <c r="T11841" s="41">
        <v>0</v>
      </c>
      <c r="U11841" s="41">
        <v>0</v>
      </c>
      <c r="V11841" s="42" t="s">
        <v>113</v>
      </c>
      <c r="W11841" s="42">
        <v>2171.88</v>
      </c>
      <c r="X11841" s="42">
        <v>2171.88</v>
      </c>
    </row>
    <row r="11842" spans="1:24">
      <c r="A11842" s="27" t="s">
        <v>21403</v>
      </c>
      <c r="B11842" s="28" t="s">
        <v>19918</v>
      </c>
      <c r="C11842" s="27" t="s">
        <v>21404</v>
      </c>
      <c r="D11842" s="27" t="s">
        <v>17558</v>
      </c>
      <c r="E11842" s="29">
        <v>39447</v>
      </c>
      <c r="F11842" s="27">
        <v>7</v>
      </c>
      <c r="G11842" s="18">
        <v>2171.88</v>
      </c>
      <c r="H11842" s="27">
        <f t="shared" si="368"/>
        <v>2171.88</v>
      </c>
      <c r="I11842" s="18">
        <v>2171.88</v>
      </c>
      <c r="J11842" s="27">
        <v>2171.88</v>
      </c>
      <c r="K11842" s="18">
        <f t="shared" si="369"/>
        <v>2171.88</v>
      </c>
      <c r="L11842" s="27">
        <v>2171.88</v>
      </c>
      <c r="M11842" s="36">
        <v>0</v>
      </c>
      <c r="T11842" s="41">
        <v>0</v>
      </c>
      <c r="U11842" s="41">
        <v>0</v>
      </c>
      <c r="V11842" s="42" t="s">
        <v>113</v>
      </c>
      <c r="W11842" s="42">
        <v>2171.88</v>
      </c>
      <c r="X11842" s="42">
        <v>2171.88</v>
      </c>
    </row>
    <row r="11843" spans="1:24">
      <c r="A11843" s="27" t="s">
        <v>21405</v>
      </c>
      <c r="B11843" s="28" t="s">
        <v>19918</v>
      </c>
      <c r="C11843" s="27" t="s">
        <v>21406</v>
      </c>
      <c r="D11843" s="27" t="s">
        <v>17558</v>
      </c>
      <c r="E11843" s="29">
        <v>39447</v>
      </c>
      <c r="F11843" s="27">
        <v>7</v>
      </c>
      <c r="G11843" s="18">
        <v>2171.88</v>
      </c>
      <c r="H11843" s="27">
        <f t="shared" si="368"/>
        <v>2171.88</v>
      </c>
      <c r="I11843" s="18">
        <v>2171.88</v>
      </c>
      <c r="J11843" s="27">
        <v>2171.88</v>
      </c>
      <c r="K11843" s="18">
        <f t="shared" si="369"/>
        <v>2171.88</v>
      </c>
      <c r="L11843" s="27">
        <v>2171.88</v>
      </c>
      <c r="M11843" s="36">
        <v>0</v>
      </c>
      <c r="T11843" s="41">
        <v>0</v>
      </c>
      <c r="U11843" s="41">
        <v>0</v>
      </c>
      <c r="V11843" s="42" t="s">
        <v>113</v>
      </c>
      <c r="W11843" s="42">
        <v>2171.88</v>
      </c>
      <c r="X11843" s="42">
        <v>2171.88</v>
      </c>
    </row>
    <row r="11844" spans="1:24">
      <c r="A11844" s="27" t="s">
        <v>21407</v>
      </c>
      <c r="B11844" s="28" t="s">
        <v>19918</v>
      </c>
      <c r="C11844" s="27" t="s">
        <v>21408</v>
      </c>
      <c r="D11844" s="27" t="s">
        <v>17558</v>
      </c>
      <c r="E11844" s="29">
        <v>39447</v>
      </c>
      <c r="F11844" s="27">
        <v>7</v>
      </c>
      <c r="G11844" s="18">
        <v>2171.88</v>
      </c>
      <c r="H11844" s="27">
        <f t="shared" si="368"/>
        <v>2171.88</v>
      </c>
      <c r="I11844" s="18">
        <v>2171.88</v>
      </c>
      <c r="J11844" s="27">
        <v>2171.88</v>
      </c>
      <c r="K11844" s="18">
        <f t="shared" si="369"/>
        <v>2171.88</v>
      </c>
      <c r="L11844" s="27">
        <v>2171.88</v>
      </c>
      <c r="M11844" s="36">
        <v>0</v>
      </c>
      <c r="T11844" s="41">
        <v>0</v>
      </c>
      <c r="U11844" s="41">
        <v>0</v>
      </c>
      <c r="V11844" s="42" t="s">
        <v>113</v>
      </c>
      <c r="W11844" s="42">
        <v>2171.88</v>
      </c>
      <c r="X11844" s="42">
        <v>2171.88</v>
      </c>
    </row>
    <row r="11845" spans="1:24">
      <c r="A11845" s="27" t="s">
        <v>21409</v>
      </c>
      <c r="B11845" s="28" t="s">
        <v>19918</v>
      </c>
      <c r="C11845" s="27" t="s">
        <v>21410</v>
      </c>
      <c r="D11845" s="27" t="s">
        <v>17558</v>
      </c>
      <c r="E11845" s="29">
        <v>39447</v>
      </c>
      <c r="F11845" s="27">
        <v>7</v>
      </c>
      <c r="G11845" s="18">
        <v>2171.88</v>
      </c>
      <c r="H11845" s="27">
        <f t="shared" si="368"/>
        <v>2171.88</v>
      </c>
      <c r="I11845" s="18">
        <v>2171.88</v>
      </c>
      <c r="J11845" s="27">
        <v>2171.88</v>
      </c>
      <c r="K11845" s="18">
        <f t="shared" si="369"/>
        <v>2171.88</v>
      </c>
      <c r="L11845" s="27">
        <v>2171.88</v>
      </c>
      <c r="M11845" s="36">
        <v>0</v>
      </c>
      <c r="T11845" s="41">
        <v>0</v>
      </c>
      <c r="U11845" s="41">
        <v>0</v>
      </c>
      <c r="V11845" s="42" t="s">
        <v>113</v>
      </c>
      <c r="W11845" s="42">
        <v>2171.88</v>
      </c>
      <c r="X11845" s="42">
        <v>2171.88</v>
      </c>
    </row>
    <row r="11846" spans="1:24">
      <c r="A11846" s="27" t="s">
        <v>21411</v>
      </c>
      <c r="B11846" s="28" t="s">
        <v>19918</v>
      </c>
      <c r="C11846" s="27" t="s">
        <v>21410</v>
      </c>
      <c r="D11846" s="27" t="s">
        <v>17558</v>
      </c>
      <c r="E11846" s="29">
        <v>39447</v>
      </c>
      <c r="F11846" s="27">
        <v>7</v>
      </c>
      <c r="G11846" s="18">
        <v>2171.88</v>
      </c>
      <c r="H11846" s="27">
        <f t="shared" ref="H11846:H11909" si="370">IFERROR(IF(ROUND((G11846-I11846)/G11846,2)&lt;=0.05,G11846,0),0)</f>
        <v>2171.88</v>
      </c>
      <c r="I11846" s="18">
        <v>2171.88</v>
      </c>
      <c r="J11846" s="27">
        <v>2171.88</v>
      </c>
      <c r="K11846" s="18">
        <f t="shared" ref="K11846:K11909" si="371">IFERROR(IF(ROUND((J11846-L11846)/J11846,2)&lt;=0.05,J11846,0),0)</f>
        <v>2171.88</v>
      </c>
      <c r="L11846" s="27">
        <v>2171.88</v>
      </c>
      <c r="M11846" s="36">
        <v>0</v>
      </c>
      <c r="T11846" s="41">
        <v>0</v>
      </c>
      <c r="U11846" s="41">
        <v>0</v>
      </c>
      <c r="V11846" s="42" t="s">
        <v>113</v>
      </c>
      <c r="W11846" s="42">
        <v>2171.88</v>
      </c>
      <c r="X11846" s="42">
        <v>2171.88</v>
      </c>
    </row>
    <row r="11847" spans="1:24">
      <c r="A11847" s="27" t="s">
        <v>21412</v>
      </c>
      <c r="B11847" s="28" t="s">
        <v>19918</v>
      </c>
      <c r="C11847" s="27" t="s">
        <v>21413</v>
      </c>
      <c r="D11847" s="27" t="s">
        <v>17578</v>
      </c>
      <c r="E11847" s="29">
        <v>38928</v>
      </c>
      <c r="F11847" s="27">
        <v>7</v>
      </c>
      <c r="G11847" s="18">
        <v>1950</v>
      </c>
      <c r="H11847" s="27">
        <f t="shared" si="370"/>
        <v>1950</v>
      </c>
      <c r="I11847" s="18">
        <v>1950</v>
      </c>
      <c r="J11847" s="27">
        <v>1950</v>
      </c>
      <c r="K11847" s="18">
        <f t="shared" si="371"/>
        <v>1950</v>
      </c>
      <c r="L11847" s="27">
        <v>1950</v>
      </c>
      <c r="M11847" s="36">
        <v>0</v>
      </c>
      <c r="T11847" s="41">
        <v>0</v>
      </c>
      <c r="U11847" s="41">
        <v>0</v>
      </c>
      <c r="V11847" s="42" t="s">
        <v>113</v>
      </c>
      <c r="W11847" s="42">
        <v>1950</v>
      </c>
      <c r="X11847" s="42">
        <v>1950</v>
      </c>
    </row>
    <row r="11848" spans="1:24">
      <c r="A11848" s="27" t="s">
        <v>21414</v>
      </c>
      <c r="B11848" s="28" t="s">
        <v>19918</v>
      </c>
      <c r="C11848" s="27" t="s">
        <v>21415</v>
      </c>
      <c r="D11848" s="27" t="s">
        <v>17578</v>
      </c>
      <c r="E11848" s="29">
        <v>41891</v>
      </c>
      <c r="F11848" s="27">
        <v>7</v>
      </c>
      <c r="G11848" s="18">
        <v>16239.31</v>
      </c>
      <c r="H11848" s="27">
        <f t="shared" si="370"/>
        <v>0</v>
      </c>
      <c r="I11848" s="18">
        <v>9366.6</v>
      </c>
      <c r="J11848" s="27">
        <v>16239.31</v>
      </c>
      <c r="K11848" s="18">
        <f t="shared" si="371"/>
        <v>0</v>
      </c>
      <c r="L11848" s="27">
        <v>11570.51</v>
      </c>
      <c r="M11848" s="36">
        <v>2203.91</v>
      </c>
      <c r="T11848" s="41">
        <v>0</v>
      </c>
      <c r="U11848" s="41">
        <v>0</v>
      </c>
      <c r="V11848" s="42" t="s">
        <v>113</v>
      </c>
      <c r="W11848" s="42">
        <v>0</v>
      </c>
      <c r="X11848" s="42">
        <v>16239.31</v>
      </c>
    </row>
    <row r="11849" spans="1:24">
      <c r="A11849" s="27" t="s">
        <v>21416</v>
      </c>
      <c r="B11849" s="28" t="s">
        <v>19918</v>
      </c>
      <c r="C11849" s="27" t="s">
        <v>21417</v>
      </c>
      <c r="D11849" s="27" t="s">
        <v>17578</v>
      </c>
      <c r="E11849" s="29">
        <v>41891</v>
      </c>
      <c r="F11849" s="27">
        <v>7</v>
      </c>
      <c r="G11849" s="18">
        <v>16239.32</v>
      </c>
      <c r="H11849" s="27">
        <f t="shared" si="370"/>
        <v>0</v>
      </c>
      <c r="I11849" s="18">
        <v>9366.61</v>
      </c>
      <c r="J11849" s="27">
        <v>16239.32</v>
      </c>
      <c r="K11849" s="18">
        <f t="shared" si="371"/>
        <v>0</v>
      </c>
      <c r="L11849" s="27">
        <v>11570.52</v>
      </c>
      <c r="M11849" s="36">
        <v>2203.91</v>
      </c>
      <c r="T11849" s="41">
        <v>0</v>
      </c>
      <c r="U11849" s="41">
        <v>0</v>
      </c>
      <c r="V11849" s="42" t="s">
        <v>113</v>
      </c>
      <c r="W11849" s="42">
        <v>0</v>
      </c>
      <c r="X11849" s="42">
        <v>16239.32</v>
      </c>
    </row>
    <row r="11850" spans="1:24">
      <c r="A11850" s="27" t="s">
        <v>21418</v>
      </c>
      <c r="B11850" s="28" t="s">
        <v>19918</v>
      </c>
      <c r="C11850" s="27" t="s">
        <v>21419</v>
      </c>
      <c r="D11850" s="27" t="s">
        <v>17578</v>
      </c>
      <c r="E11850" s="29">
        <v>40835</v>
      </c>
      <c r="F11850" s="27">
        <v>7</v>
      </c>
      <c r="G11850" s="18">
        <v>119658.12</v>
      </c>
      <c r="H11850" s="27">
        <f t="shared" si="370"/>
        <v>119658.12</v>
      </c>
      <c r="I11850" s="18">
        <v>113675.21</v>
      </c>
      <c r="J11850" s="27">
        <v>119658.12</v>
      </c>
      <c r="K11850" s="18">
        <f t="shared" si="371"/>
        <v>119658.12</v>
      </c>
      <c r="L11850" s="27">
        <v>113675.21</v>
      </c>
      <c r="M11850" s="36">
        <v>0</v>
      </c>
      <c r="T11850" s="41">
        <v>0</v>
      </c>
      <c r="U11850" s="41">
        <v>0</v>
      </c>
      <c r="V11850" s="42" t="s">
        <v>113</v>
      </c>
      <c r="W11850" s="42">
        <v>119658.12</v>
      </c>
      <c r="X11850" s="42">
        <v>119658.12</v>
      </c>
    </row>
    <row r="11851" spans="1:24">
      <c r="A11851" s="27" t="s">
        <v>21420</v>
      </c>
      <c r="B11851" s="28" t="s">
        <v>19918</v>
      </c>
      <c r="C11851" s="27" t="s">
        <v>21421</v>
      </c>
      <c r="D11851" s="27" t="s">
        <v>17578</v>
      </c>
      <c r="E11851" s="29">
        <v>40871</v>
      </c>
      <c r="F11851" s="27">
        <v>7</v>
      </c>
      <c r="G11851" s="18">
        <v>17094.02</v>
      </c>
      <c r="H11851" s="27">
        <f t="shared" si="370"/>
        <v>17094.02</v>
      </c>
      <c r="I11851" s="18">
        <v>16239.32</v>
      </c>
      <c r="J11851" s="27">
        <v>17094.02</v>
      </c>
      <c r="K11851" s="18">
        <f t="shared" si="371"/>
        <v>17094.02</v>
      </c>
      <c r="L11851" s="27">
        <v>16239.32</v>
      </c>
      <c r="M11851" s="36">
        <v>0</v>
      </c>
      <c r="T11851" s="41">
        <v>0</v>
      </c>
      <c r="U11851" s="41">
        <v>0</v>
      </c>
      <c r="V11851" s="42" t="s">
        <v>113</v>
      </c>
      <c r="W11851" s="42">
        <v>17094.02</v>
      </c>
      <c r="X11851" s="42">
        <v>17094.02</v>
      </c>
    </row>
    <row r="11852" spans="1:24">
      <c r="A11852" s="27" t="s">
        <v>21422</v>
      </c>
      <c r="B11852" s="28" t="s">
        <v>19918</v>
      </c>
      <c r="C11852" s="27" t="s">
        <v>21423</v>
      </c>
      <c r="D11852" s="27" t="s">
        <v>17578</v>
      </c>
      <c r="E11852" s="29">
        <v>40871</v>
      </c>
      <c r="F11852" s="27">
        <v>7</v>
      </c>
      <c r="G11852" s="18">
        <v>128205.13</v>
      </c>
      <c r="H11852" s="27">
        <f t="shared" si="370"/>
        <v>128205.13</v>
      </c>
      <c r="I11852" s="18">
        <v>121794.87</v>
      </c>
      <c r="J11852" s="27">
        <v>128205.13</v>
      </c>
      <c r="K11852" s="18">
        <f t="shared" si="371"/>
        <v>128205.13</v>
      </c>
      <c r="L11852" s="27">
        <v>121794.87</v>
      </c>
      <c r="M11852" s="36">
        <v>0</v>
      </c>
      <c r="T11852" s="41">
        <v>0</v>
      </c>
      <c r="U11852" s="41">
        <v>0</v>
      </c>
      <c r="V11852" s="42" t="s">
        <v>113</v>
      </c>
      <c r="W11852" s="42">
        <v>128205.13</v>
      </c>
      <c r="X11852" s="42">
        <v>128205.13</v>
      </c>
    </row>
    <row r="11853" spans="1:24">
      <c r="A11853" s="27" t="s">
        <v>21424</v>
      </c>
      <c r="B11853" s="28" t="s">
        <v>19918</v>
      </c>
      <c r="C11853" s="27" t="s">
        <v>21425</v>
      </c>
      <c r="D11853" s="27" t="s">
        <v>17578</v>
      </c>
      <c r="E11853" s="29">
        <v>40871</v>
      </c>
      <c r="F11853" s="27">
        <v>7</v>
      </c>
      <c r="G11853" s="18">
        <v>135042.74</v>
      </c>
      <c r="H11853" s="27">
        <f t="shared" si="370"/>
        <v>135042.74</v>
      </c>
      <c r="I11853" s="18">
        <v>128290.6</v>
      </c>
      <c r="J11853" s="27">
        <v>135042.74</v>
      </c>
      <c r="K11853" s="18">
        <f t="shared" si="371"/>
        <v>135042.74</v>
      </c>
      <c r="L11853" s="27">
        <v>128290.6</v>
      </c>
      <c r="M11853" s="36">
        <v>0</v>
      </c>
      <c r="T11853" s="41">
        <v>0</v>
      </c>
      <c r="U11853" s="41">
        <v>0</v>
      </c>
      <c r="V11853" s="42" t="s">
        <v>113</v>
      </c>
      <c r="W11853" s="42">
        <v>135042.74</v>
      </c>
      <c r="X11853" s="42">
        <v>135042.74</v>
      </c>
    </row>
    <row r="11854" spans="1:24">
      <c r="A11854" s="27" t="s">
        <v>21426</v>
      </c>
      <c r="B11854" s="28" t="s">
        <v>19918</v>
      </c>
      <c r="C11854" s="27" t="s">
        <v>21427</v>
      </c>
      <c r="D11854" s="27" t="s">
        <v>17558</v>
      </c>
      <c r="E11854" s="29">
        <v>40871</v>
      </c>
      <c r="F11854" s="27">
        <v>7</v>
      </c>
      <c r="G11854" s="18">
        <v>16666.669999999998</v>
      </c>
      <c r="H11854" s="27">
        <f t="shared" si="370"/>
        <v>16666.669999999998</v>
      </c>
      <c r="I11854" s="18">
        <v>15833.34</v>
      </c>
      <c r="J11854" s="27">
        <v>16666.669999999998</v>
      </c>
      <c r="K11854" s="18">
        <f t="shared" si="371"/>
        <v>16666.669999999998</v>
      </c>
      <c r="L11854" s="27">
        <v>15833.34</v>
      </c>
      <c r="M11854" s="36">
        <v>0</v>
      </c>
      <c r="T11854" s="41">
        <v>0</v>
      </c>
      <c r="U11854" s="41">
        <v>0</v>
      </c>
      <c r="V11854" s="42" t="s">
        <v>113</v>
      </c>
      <c r="W11854" s="42">
        <v>16666.669999999998</v>
      </c>
      <c r="X11854" s="42">
        <v>16666.669999999998</v>
      </c>
    </row>
    <row r="11855" spans="1:24">
      <c r="A11855" s="27" t="s">
        <v>21428</v>
      </c>
      <c r="B11855" s="28" t="s">
        <v>19918</v>
      </c>
      <c r="C11855" s="27" t="s">
        <v>21429</v>
      </c>
      <c r="D11855" s="27" t="s">
        <v>17558</v>
      </c>
      <c r="E11855" s="29">
        <v>40871</v>
      </c>
      <c r="F11855" s="27">
        <v>7</v>
      </c>
      <c r="G11855" s="18">
        <v>18803.419999999998</v>
      </c>
      <c r="H11855" s="27">
        <f t="shared" si="370"/>
        <v>18803.419999999998</v>
      </c>
      <c r="I11855" s="18">
        <v>17863.25</v>
      </c>
      <c r="J11855" s="27">
        <v>18803.419999999998</v>
      </c>
      <c r="K11855" s="18">
        <f t="shared" si="371"/>
        <v>18803.419999999998</v>
      </c>
      <c r="L11855" s="27">
        <v>17863.25</v>
      </c>
      <c r="M11855" s="36">
        <v>0</v>
      </c>
      <c r="T11855" s="41">
        <v>0</v>
      </c>
      <c r="U11855" s="41">
        <v>0</v>
      </c>
      <c r="V11855" s="42" t="s">
        <v>113</v>
      </c>
      <c r="W11855" s="42">
        <v>18803.419999999998</v>
      </c>
      <c r="X11855" s="42">
        <v>18803.419999999998</v>
      </c>
    </row>
    <row r="11856" spans="1:24">
      <c r="A11856" s="27" t="s">
        <v>21430</v>
      </c>
      <c r="B11856" s="28" t="s">
        <v>19918</v>
      </c>
      <c r="C11856" s="27" t="s">
        <v>21431</v>
      </c>
      <c r="D11856" s="27" t="s">
        <v>17558</v>
      </c>
      <c r="E11856" s="29">
        <v>41182</v>
      </c>
      <c r="F11856" s="27">
        <v>7</v>
      </c>
      <c r="G11856" s="18">
        <v>29914.53</v>
      </c>
      <c r="H11856" s="27">
        <f t="shared" si="370"/>
        <v>0</v>
      </c>
      <c r="I11856" s="18">
        <v>25373.93</v>
      </c>
      <c r="J11856" s="27">
        <v>29914.53</v>
      </c>
      <c r="K11856" s="18">
        <f t="shared" si="371"/>
        <v>29914.53</v>
      </c>
      <c r="L11856" s="27">
        <v>28418.799999999999</v>
      </c>
      <c r="M11856" s="36">
        <v>3044.87</v>
      </c>
      <c r="T11856" s="41">
        <v>0</v>
      </c>
      <c r="U11856" s="41">
        <v>0</v>
      </c>
      <c r="V11856" s="42" t="s">
        <v>113</v>
      </c>
      <c r="W11856" s="42">
        <v>29914.53</v>
      </c>
      <c r="X11856" s="42">
        <v>29914.53</v>
      </c>
    </row>
    <row r="11857" spans="1:24">
      <c r="A11857" s="27" t="s">
        <v>21432</v>
      </c>
      <c r="B11857" s="28" t="s">
        <v>19918</v>
      </c>
      <c r="C11857" s="27" t="s">
        <v>21406</v>
      </c>
      <c r="D11857" s="27" t="s">
        <v>17578</v>
      </c>
      <c r="E11857" s="29">
        <v>41264</v>
      </c>
      <c r="F11857" s="27">
        <v>7</v>
      </c>
      <c r="G11857" s="18">
        <v>16217.95</v>
      </c>
      <c r="H11857" s="27">
        <f t="shared" si="370"/>
        <v>0</v>
      </c>
      <c r="I11857" s="18">
        <v>13206.05</v>
      </c>
      <c r="J11857" s="27">
        <v>16217.95</v>
      </c>
      <c r="K11857" s="18">
        <f t="shared" si="371"/>
        <v>16217.95</v>
      </c>
      <c r="L11857" s="27">
        <v>15407.05</v>
      </c>
      <c r="M11857" s="36">
        <v>2201</v>
      </c>
      <c r="T11857" s="41">
        <v>0</v>
      </c>
      <c r="U11857" s="41">
        <v>0</v>
      </c>
      <c r="V11857" s="42" t="s">
        <v>113</v>
      </c>
      <c r="W11857" s="42">
        <v>16217.95</v>
      </c>
      <c r="X11857" s="42">
        <v>16217.95</v>
      </c>
    </row>
    <row r="11858" spans="1:24">
      <c r="A11858" s="27" t="s">
        <v>21433</v>
      </c>
      <c r="B11858" s="28" t="s">
        <v>19918</v>
      </c>
      <c r="C11858" s="27" t="s">
        <v>21434</v>
      </c>
      <c r="D11858" s="27" t="s">
        <v>17558</v>
      </c>
      <c r="E11858" s="29">
        <v>41264</v>
      </c>
      <c r="F11858" s="27">
        <v>7</v>
      </c>
      <c r="G11858" s="18">
        <v>2034.19</v>
      </c>
      <c r="H11858" s="27">
        <f t="shared" si="370"/>
        <v>2034.19</v>
      </c>
      <c r="I11858" s="18">
        <v>2034.19</v>
      </c>
      <c r="J11858" s="27">
        <v>2034.19</v>
      </c>
      <c r="K11858" s="18">
        <f t="shared" si="371"/>
        <v>2034.19</v>
      </c>
      <c r="L11858" s="27">
        <v>2034.19</v>
      </c>
      <c r="M11858" s="36">
        <v>0</v>
      </c>
      <c r="T11858" s="41">
        <v>0</v>
      </c>
      <c r="U11858" s="41">
        <v>0</v>
      </c>
      <c r="V11858" s="42" t="s">
        <v>113</v>
      </c>
      <c r="W11858" s="42">
        <v>2034.19</v>
      </c>
      <c r="X11858" s="42">
        <v>2034.19</v>
      </c>
    </row>
    <row r="11859" spans="1:24">
      <c r="A11859" s="27" t="s">
        <v>21435</v>
      </c>
      <c r="B11859" s="28" t="s">
        <v>19918</v>
      </c>
      <c r="C11859" s="27" t="s">
        <v>21434</v>
      </c>
      <c r="D11859" s="27" t="s">
        <v>17558</v>
      </c>
      <c r="E11859" s="29">
        <v>41264</v>
      </c>
      <c r="F11859" s="27">
        <v>7</v>
      </c>
      <c r="G11859" s="18">
        <v>2034.17</v>
      </c>
      <c r="H11859" s="27">
        <f t="shared" si="370"/>
        <v>2034.17</v>
      </c>
      <c r="I11859" s="18">
        <v>2034.17</v>
      </c>
      <c r="J11859" s="27">
        <v>2034.17</v>
      </c>
      <c r="K11859" s="18">
        <f t="shared" si="371"/>
        <v>2034.17</v>
      </c>
      <c r="L11859" s="27">
        <v>2034.17</v>
      </c>
      <c r="M11859" s="36">
        <v>0</v>
      </c>
      <c r="T11859" s="41">
        <v>0</v>
      </c>
      <c r="U11859" s="41">
        <v>0</v>
      </c>
      <c r="V11859" s="42" t="s">
        <v>113</v>
      </c>
      <c r="W11859" s="42">
        <v>2034.17</v>
      </c>
      <c r="X11859" s="42">
        <v>2034.17</v>
      </c>
    </row>
    <row r="11860" spans="1:24">
      <c r="A11860" s="27" t="s">
        <v>21436</v>
      </c>
      <c r="B11860" s="28" t="s">
        <v>19918</v>
      </c>
      <c r="C11860" s="27" t="s">
        <v>21434</v>
      </c>
      <c r="D11860" s="27" t="s">
        <v>17558</v>
      </c>
      <c r="E11860" s="29">
        <v>41264</v>
      </c>
      <c r="F11860" s="27">
        <v>7</v>
      </c>
      <c r="G11860" s="18">
        <v>2034.19</v>
      </c>
      <c r="H11860" s="27">
        <f t="shared" si="370"/>
        <v>2034.19</v>
      </c>
      <c r="I11860" s="18">
        <v>2034.19</v>
      </c>
      <c r="J11860" s="27">
        <v>2034.19</v>
      </c>
      <c r="K11860" s="18">
        <f t="shared" si="371"/>
        <v>2034.19</v>
      </c>
      <c r="L11860" s="27">
        <v>2034.19</v>
      </c>
      <c r="M11860" s="36">
        <v>0</v>
      </c>
      <c r="T11860" s="41">
        <v>0</v>
      </c>
      <c r="U11860" s="41">
        <v>0</v>
      </c>
      <c r="V11860" s="42" t="s">
        <v>113</v>
      </c>
      <c r="W11860" s="42">
        <v>2034.19</v>
      </c>
      <c r="X11860" s="42">
        <v>2034.19</v>
      </c>
    </row>
    <row r="11861" spans="1:24">
      <c r="A11861" s="27" t="s">
        <v>21437</v>
      </c>
      <c r="B11861" s="28" t="s">
        <v>19918</v>
      </c>
      <c r="C11861" s="27" t="s">
        <v>21434</v>
      </c>
      <c r="D11861" s="27" t="s">
        <v>17558</v>
      </c>
      <c r="E11861" s="29">
        <v>41264</v>
      </c>
      <c r="F11861" s="27">
        <v>7</v>
      </c>
      <c r="G11861" s="18">
        <v>2034.19</v>
      </c>
      <c r="H11861" s="27">
        <f t="shared" si="370"/>
        <v>2034.19</v>
      </c>
      <c r="I11861" s="18">
        <v>2034.19</v>
      </c>
      <c r="J11861" s="27">
        <v>2034.19</v>
      </c>
      <c r="K11861" s="18">
        <f t="shared" si="371"/>
        <v>2034.19</v>
      </c>
      <c r="L11861" s="27">
        <v>2034.19</v>
      </c>
      <c r="M11861" s="36">
        <v>0</v>
      </c>
      <c r="T11861" s="41">
        <v>0</v>
      </c>
      <c r="U11861" s="41">
        <v>0</v>
      </c>
      <c r="V11861" s="42" t="s">
        <v>113</v>
      </c>
      <c r="W11861" s="42">
        <v>2034.19</v>
      </c>
      <c r="X11861" s="42">
        <v>2034.19</v>
      </c>
    </row>
    <row r="11862" spans="1:24">
      <c r="A11862" s="27" t="s">
        <v>21438</v>
      </c>
      <c r="B11862" s="28" t="s">
        <v>19918</v>
      </c>
      <c r="C11862" s="27" t="s">
        <v>21434</v>
      </c>
      <c r="D11862" s="27" t="s">
        <v>17558</v>
      </c>
      <c r="E11862" s="29">
        <v>41264</v>
      </c>
      <c r="F11862" s="27">
        <v>7</v>
      </c>
      <c r="G11862" s="18">
        <v>2034.19</v>
      </c>
      <c r="H11862" s="27">
        <f t="shared" si="370"/>
        <v>2034.19</v>
      </c>
      <c r="I11862" s="18">
        <v>2034.19</v>
      </c>
      <c r="J11862" s="27">
        <v>2034.19</v>
      </c>
      <c r="K11862" s="18">
        <f t="shared" si="371"/>
        <v>2034.19</v>
      </c>
      <c r="L11862" s="27">
        <v>2034.19</v>
      </c>
      <c r="M11862" s="36">
        <v>0</v>
      </c>
      <c r="T11862" s="41">
        <v>0</v>
      </c>
      <c r="U11862" s="41">
        <v>0</v>
      </c>
      <c r="V11862" s="42" t="s">
        <v>113</v>
      </c>
      <c r="W11862" s="42">
        <v>2034.19</v>
      </c>
      <c r="X11862" s="42">
        <v>2034.19</v>
      </c>
    </row>
    <row r="11863" spans="1:24">
      <c r="A11863" s="27" t="s">
        <v>21439</v>
      </c>
      <c r="B11863" s="28" t="s">
        <v>19918</v>
      </c>
      <c r="C11863" s="27" t="s">
        <v>21434</v>
      </c>
      <c r="D11863" s="27" t="s">
        <v>17558</v>
      </c>
      <c r="E11863" s="29">
        <v>41264</v>
      </c>
      <c r="F11863" s="27">
        <v>7</v>
      </c>
      <c r="G11863" s="18">
        <v>2034.19</v>
      </c>
      <c r="H11863" s="27">
        <f t="shared" si="370"/>
        <v>2034.19</v>
      </c>
      <c r="I11863" s="18">
        <v>2034.19</v>
      </c>
      <c r="J11863" s="27">
        <v>2034.19</v>
      </c>
      <c r="K11863" s="18">
        <f t="shared" si="371"/>
        <v>2034.19</v>
      </c>
      <c r="L11863" s="27">
        <v>2034.19</v>
      </c>
      <c r="M11863" s="36">
        <v>0</v>
      </c>
      <c r="T11863" s="41">
        <v>0</v>
      </c>
      <c r="U11863" s="41">
        <v>0</v>
      </c>
      <c r="V11863" s="42" t="s">
        <v>113</v>
      </c>
      <c r="W11863" s="42">
        <v>2034.19</v>
      </c>
      <c r="X11863" s="42">
        <v>2034.19</v>
      </c>
    </row>
    <row r="11864" spans="1:24">
      <c r="A11864" s="27" t="s">
        <v>21440</v>
      </c>
      <c r="B11864" s="28" t="s">
        <v>19918</v>
      </c>
      <c r="C11864" s="27" t="s">
        <v>21434</v>
      </c>
      <c r="D11864" s="27" t="s">
        <v>17558</v>
      </c>
      <c r="E11864" s="29">
        <v>41264</v>
      </c>
      <c r="F11864" s="27">
        <v>7</v>
      </c>
      <c r="G11864" s="18">
        <v>2034.19</v>
      </c>
      <c r="H11864" s="27">
        <f t="shared" si="370"/>
        <v>2034.19</v>
      </c>
      <c r="I11864" s="18">
        <v>2034.19</v>
      </c>
      <c r="J11864" s="27">
        <v>2034.19</v>
      </c>
      <c r="K11864" s="18">
        <f t="shared" si="371"/>
        <v>2034.19</v>
      </c>
      <c r="L11864" s="27">
        <v>2034.19</v>
      </c>
      <c r="M11864" s="36">
        <v>0</v>
      </c>
      <c r="T11864" s="41">
        <v>0</v>
      </c>
      <c r="U11864" s="41">
        <v>0</v>
      </c>
      <c r="V11864" s="42" t="s">
        <v>113</v>
      </c>
      <c r="W11864" s="42">
        <v>2034.19</v>
      </c>
      <c r="X11864" s="42">
        <v>2034.19</v>
      </c>
    </row>
    <row r="11865" spans="1:24">
      <c r="A11865" s="27" t="s">
        <v>21441</v>
      </c>
      <c r="B11865" s="28" t="s">
        <v>19918</v>
      </c>
      <c r="C11865" s="27" t="s">
        <v>21434</v>
      </c>
      <c r="D11865" s="27" t="s">
        <v>17558</v>
      </c>
      <c r="E11865" s="29">
        <v>41264</v>
      </c>
      <c r="F11865" s="27">
        <v>7</v>
      </c>
      <c r="G11865" s="18">
        <v>2034.19</v>
      </c>
      <c r="H11865" s="27">
        <f t="shared" si="370"/>
        <v>2034.19</v>
      </c>
      <c r="I11865" s="18">
        <v>2034.19</v>
      </c>
      <c r="J11865" s="27">
        <v>2034.19</v>
      </c>
      <c r="K11865" s="18">
        <f t="shared" si="371"/>
        <v>2034.19</v>
      </c>
      <c r="L11865" s="27">
        <v>2034.19</v>
      </c>
      <c r="M11865" s="36">
        <v>0</v>
      </c>
      <c r="T11865" s="41">
        <v>0</v>
      </c>
      <c r="U11865" s="41">
        <v>0</v>
      </c>
      <c r="V11865" s="42" t="s">
        <v>113</v>
      </c>
      <c r="W11865" s="42">
        <v>2034.19</v>
      </c>
      <c r="X11865" s="42">
        <v>2034.19</v>
      </c>
    </row>
    <row r="11866" spans="1:24">
      <c r="A11866" s="27" t="s">
        <v>21442</v>
      </c>
      <c r="B11866" s="28" t="s">
        <v>19918</v>
      </c>
      <c r="C11866" s="27" t="s">
        <v>21434</v>
      </c>
      <c r="D11866" s="27" t="s">
        <v>17558</v>
      </c>
      <c r="E11866" s="29">
        <v>41264</v>
      </c>
      <c r="F11866" s="27">
        <v>7</v>
      </c>
      <c r="G11866" s="18">
        <v>2034.19</v>
      </c>
      <c r="H11866" s="27">
        <f t="shared" si="370"/>
        <v>2034.19</v>
      </c>
      <c r="I11866" s="18">
        <v>2034.19</v>
      </c>
      <c r="J11866" s="27">
        <v>2034.19</v>
      </c>
      <c r="K11866" s="18">
        <f t="shared" si="371"/>
        <v>2034.19</v>
      </c>
      <c r="L11866" s="27">
        <v>2034.19</v>
      </c>
      <c r="M11866" s="36">
        <v>0</v>
      </c>
      <c r="T11866" s="41">
        <v>0</v>
      </c>
      <c r="U11866" s="41">
        <v>0</v>
      </c>
      <c r="V11866" s="42" t="s">
        <v>113</v>
      </c>
      <c r="W11866" s="42">
        <v>2034.19</v>
      </c>
      <c r="X11866" s="42">
        <v>2034.19</v>
      </c>
    </row>
    <row r="11867" spans="1:24">
      <c r="A11867" s="27" t="s">
        <v>21443</v>
      </c>
      <c r="B11867" s="28" t="s">
        <v>19918</v>
      </c>
      <c r="C11867" s="27" t="s">
        <v>21434</v>
      </c>
      <c r="D11867" s="27" t="s">
        <v>17558</v>
      </c>
      <c r="E11867" s="29">
        <v>41264</v>
      </c>
      <c r="F11867" s="27">
        <v>7</v>
      </c>
      <c r="G11867" s="18">
        <v>2034.19</v>
      </c>
      <c r="H11867" s="27">
        <f t="shared" si="370"/>
        <v>2034.19</v>
      </c>
      <c r="I11867" s="18">
        <v>2034.19</v>
      </c>
      <c r="J11867" s="27">
        <v>2034.19</v>
      </c>
      <c r="K11867" s="18">
        <f t="shared" si="371"/>
        <v>2034.19</v>
      </c>
      <c r="L11867" s="27">
        <v>2034.19</v>
      </c>
      <c r="M11867" s="36">
        <v>0</v>
      </c>
      <c r="T11867" s="41">
        <v>0</v>
      </c>
      <c r="U11867" s="41">
        <v>0</v>
      </c>
      <c r="V11867" s="42" t="s">
        <v>113</v>
      </c>
      <c r="W11867" s="42">
        <v>2034.19</v>
      </c>
      <c r="X11867" s="42">
        <v>2034.19</v>
      </c>
    </row>
    <row r="11868" spans="1:24">
      <c r="A11868" s="27" t="s">
        <v>21444</v>
      </c>
      <c r="B11868" s="28" t="s">
        <v>19918</v>
      </c>
      <c r="C11868" s="27" t="s">
        <v>21445</v>
      </c>
      <c r="D11868" s="27" t="s">
        <v>17558</v>
      </c>
      <c r="E11868" s="29">
        <v>42797</v>
      </c>
      <c r="F11868" s="27">
        <v>7</v>
      </c>
      <c r="G11868" s="18">
        <v>3333.33</v>
      </c>
      <c r="H11868" s="27">
        <f t="shared" si="370"/>
        <v>0</v>
      </c>
      <c r="I11868" s="18">
        <v>791.67</v>
      </c>
      <c r="J11868" s="27">
        <v>3333.33</v>
      </c>
      <c r="K11868" s="18">
        <f t="shared" si="371"/>
        <v>0</v>
      </c>
      <c r="L11868" s="27">
        <v>1244.05</v>
      </c>
      <c r="M11868" s="36">
        <v>452.38</v>
      </c>
      <c r="T11868" s="41">
        <v>0</v>
      </c>
      <c r="U11868" s="41">
        <v>0</v>
      </c>
      <c r="V11868" s="42" t="s">
        <v>113</v>
      </c>
      <c r="W11868" s="42">
        <v>0</v>
      </c>
      <c r="X11868" s="42">
        <v>0</v>
      </c>
    </row>
    <row r="11869" spans="1:24">
      <c r="A11869" s="27" t="s">
        <v>21446</v>
      </c>
      <c r="B11869" s="28" t="s">
        <v>19918</v>
      </c>
      <c r="C11869" s="27" t="s">
        <v>20155</v>
      </c>
      <c r="D11869" s="27" t="s">
        <v>17558</v>
      </c>
      <c r="E11869" s="29">
        <v>41978</v>
      </c>
      <c r="F11869" s="27">
        <v>7</v>
      </c>
      <c r="G11869" s="18">
        <v>2905.98</v>
      </c>
      <c r="H11869" s="27">
        <f t="shared" si="370"/>
        <v>2905.98</v>
      </c>
      <c r="I11869" s="18">
        <v>2905.98</v>
      </c>
      <c r="J11869" s="27">
        <v>2905.98</v>
      </c>
      <c r="K11869" s="18">
        <f t="shared" si="371"/>
        <v>2905.98</v>
      </c>
      <c r="L11869" s="27">
        <v>2905.98</v>
      </c>
      <c r="M11869" s="36">
        <v>0</v>
      </c>
      <c r="T11869" s="41">
        <v>0</v>
      </c>
      <c r="U11869" s="41">
        <v>0</v>
      </c>
      <c r="V11869" s="42" t="s">
        <v>113</v>
      </c>
      <c r="W11869" s="42">
        <v>2905.98</v>
      </c>
      <c r="X11869" s="42">
        <v>2905.98</v>
      </c>
    </row>
    <row r="11870" spans="1:24">
      <c r="A11870" s="27" t="s">
        <v>21447</v>
      </c>
      <c r="B11870" s="28" t="s">
        <v>19918</v>
      </c>
      <c r="C11870" s="27" t="s">
        <v>21448</v>
      </c>
      <c r="D11870" s="27" t="s">
        <v>230</v>
      </c>
      <c r="E11870" s="29">
        <v>43209</v>
      </c>
      <c r="F11870" s="27">
        <v>7</v>
      </c>
      <c r="G11870" s="18">
        <v>2991.45</v>
      </c>
      <c r="H11870" s="27">
        <f t="shared" si="370"/>
        <v>0</v>
      </c>
      <c r="I11870" s="18">
        <v>270.66000000000003</v>
      </c>
      <c r="J11870" s="27">
        <v>2991.45</v>
      </c>
      <c r="K11870" s="18">
        <f t="shared" si="371"/>
        <v>0</v>
      </c>
      <c r="L11870" s="27">
        <v>676.64</v>
      </c>
      <c r="M11870" s="36">
        <v>405.98</v>
      </c>
      <c r="T11870" s="41">
        <v>0</v>
      </c>
      <c r="U11870" s="41">
        <v>0</v>
      </c>
      <c r="V11870" s="42" t="s">
        <v>113</v>
      </c>
      <c r="W11870" s="42">
        <v>0</v>
      </c>
      <c r="X11870" s="42">
        <v>0</v>
      </c>
    </row>
    <row r="11871" spans="1:24">
      <c r="A11871" s="27" t="s">
        <v>21449</v>
      </c>
      <c r="B11871" s="28" t="s">
        <v>19918</v>
      </c>
      <c r="C11871" s="27" t="s">
        <v>21448</v>
      </c>
      <c r="D11871" s="27" t="s">
        <v>230</v>
      </c>
      <c r="E11871" s="29">
        <v>43209</v>
      </c>
      <c r="F11871" s="27">
        <v>7</v>
      </c>
      <c r="G11871" s="18">
        <v>2991.45</v>
      </c>
      <c r="H11871" s="27">
        <f t="shared" si="370"/>
        <v>0</v>
      </c>
      <c r="I11871" s="18">
        <v>270.66000000000003</v>
      </c>
      <c r="J11871" s="27">
        <v>2991.45</v>
      </c>
      <c r="K11871" s="18">
        <f t="shared" si="371"/>
        <v>0</v>
      </c>
      <c r="L11871" s="27">
        <v>676.64</v>
      </c>
      <c r="M11871" s="36">
        <v>405.98</v>
      </c>
      <c r="T11871" s="41">
        <v>0</v>
      </c>
      <c r="U11871" s="41">
        <v>0</v>
      </c>
      <c r="V11871" s="42" t="s">
        <v>113</v>
      </c>
      <c r="W11871" s="42">
        <v>0</v>
      </c>
      <c r="X11871" s="42">
        <v>0</v>
      </c>
    </row>
    <row r="11872" spans="1:24">
      <c r="A11872" s="27" t="s">
        <v>21450</v>
      </c>
      <c r="B11872" s="28" t="s">
        <v>19918</v>
      </c>
      <c r="C11872" s="27" t="s">
        <v>21451</v>
      </c>
      <c r="D11872" s="27" t="s">
        <v>17578</v>
      </c>
      <c r="E11872" s="29">
        <v>43209</v>
      </c>
      <c r="F11872" s="27">
        <v>7</v>
      </c>
      <c r="G11872" s="18">
        <v>1226.5</v>
      </c>
      <c r="H11872" s="27">
        <f t="shared" si="370"/>
        <v>0</v>
      </c>
      <c r="I11872" s="18">
        <v>110.97</v>
      </c>
      <c r="J11872" s="27">
        <v>1226.5</v>
      </c>
      <c r="K11872" s="18">
        <f t="shared" si="371"/>
        <v>0</v>
      </c>
      <c r="L11872" s="27">
        <v>277.42</v>
      </c>
      <c r="M11872" s="36">
        <v>166.45</v>
      </c>
      <c r="T11872" s="41">
        <v>0</v>
      </c>
      <c r="U11872" s="41">
        <v>0</v>
      </c>
      <c r="V11872" s="42" t="s">
        <v>113</v>
      </c>
      <c r="W11872" s="42">
        <v>0</v>
      </c>
      <c r="X11872" s="42">
        <v>0</v>
      </c>
    </row>
    <row r="11873" spans="1:24">
      <c r="A11873" s="27" t="s">
        <v>21452</v>
      </c>
      <c r="B11873" s="28" t="s">
        <v>19918</v>
      </c>
      <c r="C11873" s="27" t="s">
        <v>21453</v>
      </c>
      <c r="D11873" s="27" t="s">
        <v>17578</v>
      </c>
      <c r="E11873" s="29">
        <v>43209</v>
      </c>
      <c r="F11873" s="27">
        <v>7</v>
      </c>
      <c r="G11873" s="18">
        <v>1226.5</v>
      </c>
      <c r="H11873" s="27">
        <f t="shared" si="370"/>
        <v>0</v>
      </c>
      <c r="I11873" s="18">
        <v>110.97</v>
      </c>
      <c r="J11873" s="27">
        <v>1226.5</v>
      </c>
      <c r="K11873" s="18">
        <f t="shared" si="371"/>
        <v>0</v>
      </c>
      <c r="L11873" s="27">
        <v>277.42</v>
      </c>
      <c r="M11873" s="36">
        <v>166.45</v>
      </c>
      <c r="T11873" s="41">
        <v>0</v>
      </c>
      <c r="U11873" s="41">
        <v>0</v>
      </c>
      <c r="V11873" s="42" t="s">
        <v>113</v>
      </c>
      <c r="W11873" s="42">
        <v>0</v>
      </c>
      <c r="X11873" s="42">
        <v>0</v>
      </c>
    </row>
    <row r="11874" spans="1:24">
      <c r="A11874" s="27" t="s">
        <v>21454</v>
      </c>
      <c r="B11874" s="28" t="s">
        <v>19918</v>
      </c>
      <c r="C11874" s="27" t="s">
        <v>21455</v>
      </c>
      <c r="D11874" s="27" t="s">
        <v>17578</v>
      </c>
      <c r="E11874" s="29">
        <v>43209</v>
      </c>
      <c r="F11874" s="27">
        <v>7</v>
      </c>
      <c r="G11874" s="18">
        <v>27236.75</v>
      </c>
      <c r="H11874" s="27">
        <f t="shared" si="370"/>
        <v>0</v>
      </c>
      <c r="I11874" s="18">
        <v>2464.2800000000002</v>
      </c>
      <c r="J11874" s="27">
        <v>27236.75</v>
      </c>
      <c r="K11874" s="18">
        <f t="shared" si="371"/>
        <v>0</v>
      </c>
      <c r="L11874" s="27">
        <v>6160.7</v>
      </c>
      <c r="M11874" s="36">
        <v>3696.42</v>
      </c>
      <c r="T11874" s="41">
        <v>0</v>
      </c>
      <c r="U11874" s="41">
        <v>0</v>
      </c>
      <c r="V11874" s="42" t="s">
        <v>113</v>
      </c>
      <c r="W11874" s="42">
        <v>0</v>
      </c>
      <c r="X11874" s="42">
        <v>0</v>
      </c>
    </row>
    <row r="11875" spans="1:24">
      <c r="A11875" s="27" t="s">
        <v>21456</v>
      </c>
      <c r="B11875" s="28" t="s">
        <v>19918</v>
      </c>
      <c r="C11875" s="27" t="s">
        <v>21457</v>
      </c>
      <c r="D11875" s="27" t="s">
        <v>17578</v>
      </c>
      <c r="E11875" s="29">
        <v>43167</v>
      </c>
      <c r="F11875" s="27">
        <v>7</v>
      </c>
      <c r="G11875" s="18">
        <v>8547.01</v>
      </c>
      <c r="H11875" s="27">
        <f t="shared" si="370"/>
        <v>0</v>
      </c>
      <c r="I11875" s="18">
        <v>869.96</v>
      </c>
      <c r="J11875" s="27">
        <v>8547.01</v>
      </c>
      <c r="K11875" s="18">
        <f t="shared" si="371"/>
        <v>0</v>
      </c>
      <c r="L11875" s="27">
        <v>2029.91</v>
      </c>
      <c r="M11875" s="36">
        <v>1159.95</v>
      </c>
      <c r="T11875" s="41">
        <v>0</v>
      </c>
      <c r="U11875" s="41">
        <v>0</v>
      </c>
      <c r="V11875" s="42" t="s">
        <v>113</v>
      </c>
      <c r="W11875" s="42">
        <v>0</v>
      </c>
      <c r="X11875" s="42">
        <v>0</v>
      </c>
    </row>
    <row r="11876" spans="1:24">
      <c r="A11876" s="27" t="s">
        <v>21458</v>
      </c>
      <c r="B11876" s="28" t="s">
        <v>19918</v>
      </c>
      <c r="C11876" s="27" t="s">
        <v>21459</v>
      </c>
      <c r="D11876" s="27" t="s">
        <v>17558</v>
      </c>
      <c r="E11876" s="29">
        <v>36495</v>
      </c>
      <c r="F11876" s="27">
        <v>7</v>
      </c>
      <c r="G11876" s="18">
        <v>7980</v>
      </c>
      <c r="H11876" s="27">
        <f t="shared" si="370"/>
        <v>7980</v>
      </c>
      <c r="I11876" s="18">
        <v>7581</v>
      </c>
      <c r="J11876" s="27">
        <v>7980</v>
      </c>
      <c r="K11876" s="18">
        <f t="shared" si="371"/>
        <v>7980</v>
      </c>
      <c r="L11876" s="27">
        <v>7581</v>
      </c>
      <c r="M11876" s="36">
        <v>0</v>
      </c>
      <c r="T11876" s="41">
        <v>0</v>
      </c>
      <c r="U11876" s="41">
        <v>0</v>
      </c>
      <c r="V11876" s="42" t="s">
        <v>113</v>
      </c>
      <c r="W11876" s="42">
        <v>7980</v>
      </c>
      <c r="X11876" s="42">
        <v>7980</v>
      </c>
    </row>
    <row r="11877" spans="1:24">
      <c r="A11877" s="27" t="s">
        <v>21460</v>
      </c>
      <c r="B11877" s="28" t="s">
        <v>19918</v>
      </c>
      <c r="C11877" s="27" t="s">
        <v>21461</v>
      </c>
      <c r="D11877" s="27" t="s">
        <v>17558</v>
      </c>
      <c r="E11877" s="29">
        <v>35765</v>
      </c>
      <c r="F11877" s="27">
        <v>7</v>
      </c>
      <c r="G11877" s="18">
        <v>40747</v>
      </c>
      <c r="H11877" s="27">
        <f t="shared" si="370"/>
        <v>40747</v>
      </c>
      <c r="I11877" s="18">
        <v>38709.65</v>
      </c>
      <c r="J11877" s="27">
        <v>40747</v>
      </c>
      <c r="K11877" s="18">
        <f t="shared" si="371"/>
        <v>40747</v>
      </c>
      <c r="L11877" s="27">
        <v>38709.65</v>
      </c>
      <c r="M11877" s="36">
        <v>0</v>
      </c>
      <c r="T11877" s="41">
        <v>0</v>
      </c>
      <c r="U11877" s="41">
        <v>0</v>
      </c>
      <c r="V11877" s="42" t="s">
        <v>113</v>
      </c>
      <c r="W11877" s="42">
        <v>40747</v>
      </c>
      <c r="X11877" s="42">
        <v>40747</v>
      </c>
    </row>
    <row r="11878" spans="1:24">
      <c r="A11878" s="27" t="s">
        <v>21462</v>
      </c>
      <c r="B11878" s="28" t="s">
        <v>19918</v>
      </c>
      <c r="C11878" s="27" t="s">
        <v>21463</v>
      </c>
      <c r="D11878" s="27" t="s">
        <v>17558</v>
      </c>
      <c r="E11878" s="29">
        <v>35765</v>
      </c>
      <c r="F11878" s="27">
        <v>7</v>
      </c>
      <c r="G11878" s="18">
        <v>8594.2000000000007</v>
      </c>
      <c r="H11878" s="27">
        <f t="shared" si="370"/>
        <v>8594.2000000000007</v>
      </c>
      <c r="I11878" s="18">
        <v>8164.49</v>
      </c>
      <c r="J11878" s="27">
        <v>8594.2000000000007</v>
      </c>
      <c r="K11878" s="18">
        <f t="shared" si="371"/>
        <v>8594.2000000000007</v>
      </c>
      <c r="L11878" s="27">
        <v>8164.49</v>
      </c>
      <c r="M11878" s="36">
        <v>0</v>
      </c>
      <c r="T11878" s="41">
        <v>0</v>
      </c>
      <c r="U11878" s="41">
        <v>0</v>
      </c>
      <c r="V11878" s="42" t="s">
        <v>113</v>
      </c>
      <c r="W11878" s="42">
        <v>8594.2000000000007</v>
      </c>
      <c r="X11878" s="42">
        <v>8594.2000000000007</v>
      </c>
    </row>
    <row r="11879" spans="1:24">
      <c r="A11879" s="27" t="s">
        <v>21464</v>
      </c>
      <c r="B11879" s="28" t="s">
        <v>19918</v>
      </c>
      <c r="C11879" s="27" t="s">
        <v>21465</v>
      </c>
      <c r="D11879" s="27" t="s">
        <v>17558</v>
      </c>
      <c r="E11879" s="29">
        <v>35765</v>
      </c>
      <c r="F11879" s="27">
        <v>7</v>
      </c>
      <c r="G11879" s="18">
        <v>8751.6</v>
      </c>
      <c r="H11879" s="27">
        <f t="shared" si="370"/>
        <v>8751.6</v>
      </c>
      <c r="I11879" s="18">
        <v>8314.02</v>
      </c>
      <c r="J11879" s="27">
        <v>8751.6</v>
      </c>
      <c r="K11879" s="18">
        <f t="shared" si="371"/>
        <v>8751.6</v>
      </c>
      <c r="L11879" s="27">
        <v>8314.02</v>
      </c>
      <c r="M11879" s="36">
        <v>0</v>
      </c>
      <c r="T11879" s="41">
        <v>0</v>
      </c>
      <c r="U11879" s="41">
        <v>0</v>
      </c>
      <c r="V11879" s="42" t="s">
        <v>113</v>
      </c>
      <c r="W11879" s="42">
        <v>8751.6</v>
      </c>
      <c r="X11879" s="42">
        <v>8751.6</v>
      </c>
    </row>
    <row r="11880" spans="1:24">
      <c r="A11880" s="27" t="s">
        <v>21466</v>
      </c>
      <c r="B11880" s="28" t="s">
        <v>19918</v>
      </c>
      <c r="C11880" s="27" t="s">
        <v>21467</v>
      </c>
      <c r="D11880" s="27" t="s">
        <v>17558</v>
      </c>
      <c r="E11880" s="29">
        <v>35765</v>
      </c>
      <c r="F11880" s="27">
        <v>7</v>
      </c>
      <c r="G11880" s="18">
        <v>1336.5</v>
      </c>
      <c r="H11880" s="27">
        <f t="shared" si="370"/>
        <v>1336.5</v>
      </c>
      <c r="I11880" s="18">
        <v>1336.5</v>
      </c>
      <c r="J11880" s="27">
        <v>1336.5</v>
      </c>
      <c r="K11880" s="18">
        <f t="shared" si="371"/>
        <v>1336.5</v>
      </c>
      <c r="L11880" s="27">
        <v>1336.5</v>
      </c>
      <c r="M11880" s="36">
        <v>0</v>
      </c>
      <c r="T11880" s="41">
        <v>0</v>
      </c>
      <c r="U11880" s="41">
        <v>0</v>
      </c>
      <c r="V11880" s="42" t="s">
        <v>113</v>
      </c>
      <c r="W11880" s="42">
        <v>1336.5</v>
      </c>
      <c r="X11880" s="42">
        <v>1336.5</v>
      </c>
    </row>
    <row r="11881" spans="1:24">
      <c r="A11881" s="27" t="s">
        <v>21468</v>
      </c>
      <c r="B11881" s="28" t="s">
        <v>19918</v>
      </c>
      <c r="C11881" s="27" t="s">
        <v>21469</v>
      </c>
      <c r="D11881" s="27" t="s">
        <v>17558</v>
      </c>
      <c r="E11881" s="29">
        <v>35765</v>
      </c>
      <c r="F11881" s="27">
        <v>7</v>
      </c>
      <c r="G11881" s="18">
        <v>3326.4</v>
      </c>
      <c r="H11881" s="27">
        <f t="shared" si="370"/>
        <v>3326.4</v>
      </c>
      <c r="I11881" s="18">
        <v>3326.4</v>
      </c>
      <c r="J11881" s="27">
        <v>3326.4</v>
      </c>
      <c r="K11881" s="18">
        <f t="shared" si="371"/>
        <v>3326.4</v>
      </c>
      <c r="L11881" s="27">
        <v>3326.4</v>
      </c>
      <c r="M11881" s="36">
        <v>0</v>
      </c>
      <c r="T11881" s="41">
        <v>0</v>
      </c>
      <c r="U11881" s="41">
        <v>0</v>
      </c>
      <c r="V11881" s="42" t="s">
        <v>113</v>
      </c>
      <c r="W11881" s="42">
        <v>3326.4</v>
      </c>
      <c r="X11881" s="42">
        <v>3326.4</v>
      </c>
    </row>
    <row r="11882" spans="1:24">
      <c r="A11882" s="27" t="s">
        <v>21470</v>
      </c>
      <c r="B11882" s="28" t="s">
        <v>19918</v>
      </c>
      <c r="C11882" s="27" t="s">
        <v>21471</v>
      </c>
      <c r="D11882" s="27" t="s">
        <v>17558</v>
      </c>
      <c r="E11882" s="29">
        <v>35765</v>
      </c>
      <c r="F11882" s="27">
        <v>7</v>
      </c>
      <c r="G11882" s="18">
        <v>48000</v>
      </c>
      <c r="H11882" s="27">
        <f t="shared" si="370"/>
        <v>48000</v>
      </c>
      <c r="I11882" s="18">
        <v>45600</v>
      </c>
      <c r="J11882" s="27">
        <v>48000</v>
      </c>
      <c r="K11882" s="18">
        <f t="shared" si="371"/>
        <v>48000</v>
      </c>
      <c r="L11882" s="27">
        <v>45600</v>
      </c>
      <c r="M11882" s="36">
        <v>0</v>
      </c>
      <c r="T11882" s="41">
        <v>0</v>
      </c>
      <c r="U11882" s="41">
        <v>0</v>
      </c>
      <c r="V11882" s="42" t="s">
        <v>113</v>
      </c>
      <c r="W11882" s="42">
        <v>48000</v>
      </c>
      <c r="X11882" s="42">
        <v>48000</v>
      </c>
    </row>
    <row r="11883" spans="1:24">
      <c r="A11883" s="27" t="s">
        <v>21472</v>
      </c>
      <c r="B11883" s="28" t="s">
        <v>19918</v>
      </c>
      <c r="C11883" s="27" t="s">
        <v>21473</v>
      </c>
      <c r="D11883" s="27" t="s">
        <v>17558</v>
      </c>
      <c r="E11883" s="29">
        <v>35400</v>
      </c>
      <c r="F11883" s="27">
        <v>7</v>
      </c>
      <c r="G11883" s="18">
        <v>11708.75</v>
      </c>
      <c r="H11883" s="27">
        <f t="shared" si="370"/>
        <v>11708.75</v>
      </c>
      <c r="I11883" s="18">
        <v>11123.31</v>
      </c>
      <c r="J11883" s="27">
        <v>11708.75</v>
      </c>
      <c r="K11883" s="18">
        <f t="shared" si="371"/>
        <v>11708.75</v>
      </c>
      <c r="L11883" s="27">
        <v>11123.31</v>
      </c>
      <c r="M11883" s="36">
        <v>0</v>
      </c>
      <c r="T11883" s="41">
        <v>0</v>
      </c>
      <c r="U11883" s="41">
        <v>0</v>
      </c>
      <c r="V11883" s="42" t="s">
        <v>113</v>
      </c>
      <c r="W11883" s="42">
        <v>11708.75</v>
      </c>
      <c r="X11883" s="42">
        <v>11708.75</v>
      </c>
    </row>
    <row r="11884" spans="1:24">
      <c r="A11884" s="27" t="s">
        <v>21474</v>
      </c>
      <c r="B11884" s="28" t="s">
        <v>19918</v>
      </c>
      <c r="C11884" s="27" t="s">
        <v>21475</v>
      </c>
      <c r="D11884" s="27" t="s">
        <v>17558</v>
      </c>
      <c r="E11884" s="29">
        <v>35400</v>
      </c>
      <c r="F11884" s="27">
        <v>7</v>
      </c>
      <c r="G11884" s="18">
        <v>4321.5</v>
      </c>
      <c r="H11884" s="27">
        <f t="shared" si="370"/>
        <v>4321.5</v>
      </c>
      <c r="I11884" s="18">
        <v>4321.5</v>
      </c>
      <c r="J11884" s="27">
        <v>4321.5</v>
      </c>
      <c r="K11884" s="18">
        <f t="shared" si="371"/>
        <v>4321.5</v>
      </c>
      <c r="L11884" s="27">
        <v>4321.5</v>
      </c>
      <c r="M11884" s="36">
        <v>0</v>
      </c>
      <c r="T11884" s="41">
        <v>0</v>
      </c>
      <c r="U11884" s="41">
        <v>0</v>
      </c>
      <c r="V11884" s="42" t="s">
        <v>113</v>
      </c>
      <c r="W11884" s="42">
        <v>4321.5</v>
      </c>
      <c r="X11884" s="42">
        <v>4321.5</v>
      </c>
    </row>
    <row r="11885" spans="1:24">
      <c r="A11885" s="27" t="s">
        <v>21476</v>
      </c>
      <c r="B11885" s="28" t="s">
        <v>19918</v>
      </c>
      <c r="C11885" s="27" t="s">
        <v>21410</v>
      </c>
      <c r="D11885" s="27" t="s">
        <v>17558</v>
      </c>
      <c r="E11885" s="29">
        <v>35400</v>
      </c>
      <c r="F11885" s="27">
        <v>7</v>
      </c>
      <c r="G11885" s="18">
        <v>9849.5</v>
      </c>
      <c r="H11885" s="27">
        <f t="shared" si="370"/>
        <v>9849.5</v>
      </c>
      <c r="I11885" s="18">
        <v>9357.02</v>
      </c>
      <c r="J11885" s="27">
        <v>9849.5</v>
      </c>
      <c r="K11885" s="18">
        <f t="shared" si="371"/>
        <v>9849.5</v>
      </c>
      <c r="L11885" s="27">
        <v>9357.02</v>
      </c>
      <c r="M11885" s="36">
        <v>0</v>
      </c>
      <c r="T11885" s="41">
        <v>0</v>
      </c>
      <c r="U11885" s="41">
        <v>0</v>
      </c>
      <c r="V11885" s="42" t="s">
        <v>113</v>
      </c>
      <c r="W11885" s="42">
        <v>9849.5</v>
      </c>
      <c r="X11885" s="42">
        <v>9849.5</v>
      </c>
    </row>
    <row r="11886" spans="1:24">
      <c r="A11886" s="27" t="s">
        <v>21477</v>
      </c>
      <c r="B11886" s="28" t="s">
        <v>19918</v>
      </c>
      <c r="C11886" s="27" t="s">
        <v>21478</v>
      </c>
      <c r="D11886" s="27" t="s">
        <v>17558</v>
      </c>
      <c r="E11886" s="29">
        <v>35370</v>
      </c>
      <c r="F11886" s="27">
        <v>7</v>
      </c>
      <c r="G11886" s="18">
        <v>6771.6</v>
      </c>
      <c r="H11886" s="27">
        <f t="shared" si="370"/>
        <v>6771.6</v>
      </c>
      <c r="I11886" s="18">
        <v>6433.02</v>
      </c>
      <c r="J11886" s="27">
        <v>6771.6</v>
      </c>
      <c r="K11886" s="18">
        <f t="shared" si="371"/>
        <v>6771.6</v>
      </c>
      <c r="L11886" s="27">
        <v>6433.02</v>
      </c>
      <c r="M11886" s="36">
        <v>0</v>
      </c>
      <c r="T11886" s="41">
        <v>0</v>
      </c>
      <c r="U11886" s="41">
        <v>0</v>
      </c>
      <c r="V11886" s="42" t="s">
        <v>113</v>
      </c>
      <c r="W11886" s="42">
        <v>6771.6</v>
      </c>
      <c r="X11886" s="42">
        <v>6771.6</v>
      </c>
    </row>
    <row r="11887" spans="1:24">
      <c r="A11887" s="27" t="s">
        <v>21479</v>
      </c>
      <c r="B11887" s="28" t="s">
        <v>19918</v>
      </c>
      <c r="C11887" s="27" t="s">
        <v>21480</v>
      </c>
      <c r="D11887" s="27" t="s">
        <v>17558</v>
      </c>
      <c r="E11887" s="29">
        <v>35370</v>
      </c>
      <c r="F11887" s="27">
        <v>7</v>
      </c>
      <c r="G11887" s="18">
        <v>8800</v>
      </c>
      <c r="H11887" s="27">
        <f t="shared" si="370"/>
        <v>8800</v>
      </c>
      <c r="I11887" s="18">
        <v>8360</v>
      </c>
      <c r="J11887" s="27">
        <v>8800</v>
      </c>
      <c r="K11887" s="18">
        <f t="shared" si="371"/>
        <v>8800</v>
      </c>
      <c r="L11887" s="27">
        <v>8360</v>
      </c>
      <c r="M11887" s="36">
        <v>0</v>
      </c>
      <c r="T11887" s="41">
        <v>0</v>
      </c>
      <c r="U11887" s="41">
        <v>0</v>
      </c>
      <c r="V11887" s="42" t="s">
        <v>113</v>
      </c>
      <c r="W11887" s="42">
        <v>8800</v>
      </c>
      <c r="X11887" s="42">
        <v>8800</v>
      </c>
    </row>
    <row r="11888" spans="1:24">
      <c r="A11888" s="27" t="s">
        <v>21481</v>
      </c>
      <c r="B11888" s="28" t="s">
        <v>19918</v>
      </c>
      <c r="C11888" s="27" t="s">
        <v>21482</v>
      </c>
      <c r="D11888" s="27" t="s">
        <v>17558</v>
      </c>
      <c r="E11888" s="29">
        <v>35370</v>
      </c>
      <c r="F11888" s="27">
        <v>7</v>
      </c>
      <c r="G11888" s="18">
        <v>34000</v>
      </c>
      <c r="H11888" s="27">
        <f t="shared" si="370"/>
        <v>34000</v>
      </c>
      <c r="I11888" s="18">
        <v>32300</v>
      </c>
      <c r="J11888" s="27">
        <v>34000</v>
      </c>
      <c r="K11888" s="18">
        <f t="shared" si="371"/>
        <v>34000</v>
      </c>
      <c r="L11888" s="27">
        <v>32300</v>
      </c>
      <c r="M11888" s="36">
        <v>0</v>
      </c>
      <c r="T11888" s="41">
        <v>0</v>
      </c>
      <c r="U11888" s="41">
        <v>0</v>
      </c>
      <c r="V11888" s="42" t="s">
        <v>113</v>
      </c>
      <c r="W11888" s="42">
        <v>34000</v>
      </c>
      <c r="X11888" s="42">
        <v>34000</v>
      </c>
    </row>
    <row r="11889" spans="1:24">
      <c r="A11889" s="27" t="s">
        <v>21483</v>
      </c>
      <c r="B11889" s="28" t="s">
        <v>19918</v>
      </c>
      <c r="C11889" s="27" t="s">
        <v>21484</v>
      </c>
      <c r="D11889" s="27" t="s">
        <v>17558</v>
      </c>
      <c r="E11889" s="29">
        <v>35309</v>
      </c>
      <c r="F11889" s="27">
        <v>7</v>
      </c>
      <c r="G11889" s="18">
        <v>86470</v>
      </c>
      <c r="H11889" s="27">
        <f t="shared" si="370"/>
        <v>86470</v>
      </c>
      <c r="I11889" s="18">
        <v>82146.5</v>
      </c>
      <c r="J11889" s="27">
        <v>86470</v>
      </c>
      <c r="K11889" s="18">
        <f t="shared" si="371"/>
        <v>86470</v>
      </c>
      <c r="L11889" s="27">
        <v>82146.5</v>
      </c>
      <c r="M11889" s="36">
        <v>0</v>
      </c>
      <c r="T11889" s="41">
        <v>0</v>
      </c>
      <c r="U11889" s="41">
        <v>0</v>
      </c>
      <c r="V11889" s="42" t="s">
        <v>113</v>
      </c>
      <c r="W11889" s="42">
        <v>86470</v>
      </c>
      <c r="X11889" s="42">
        <v>86470</v>
      </c>
    </row>
    <row r="11890" spans="1:24">
      <c r="A11890" s="27" t="s">
        <v>21485</v>
      </c>
      <c r="B11890" s="28" t="s">
        <v>19918</v>
      </c>
      <c r="C11890" s="27" t="s">
        <v>21486</v>
      </c>
      <c r="D11890" s="27" t="s">
        <v>17558</v>
      </c>
      <c r="E11890" s="29">
        <v>35004</v>
      </c>
      <c r="F11890" s="27">
        <v>7</v>
      </c>
      <c r="G11890" s="18">
        <v>4342.1499999999996</v>
      </c>
      <c r="H11890" s="27">
        <f t="shared" si="370"/>
        <v>4342.1499999999996</v>
      </c>
      <c r="I11890" s="18">
        <v>4342.1499999999996</v>
      </c>
      <c r="J11890" s="27">
        <v>4342.1499999999996</v>
      </c>
      <c r="K11890" s="18">
        <f t="shared" si="371"/>
        <v>4342.1499999999996</v>
      </c>
      <c r="L11890" s="27">
        <v>4342.1499999999996</v>
      </c>
      <c r="M11890" s="36">
        <v>0</v>
      </c>
      <c r="T11890" s="41">
        <v>0</v>
      </c>
      <c r="U11890" s="41">
        <v>0</v>
      </c>
      <c r="V11890" s="42" t="s">
        <v>113</v>
      </c>
      <c r="W11890" s="42">
        <v>4342.1499999999996</v>
      </c>
      <c r="X11890" s="42">
        <v>4342.1499999999996</v>
      </c>
    </row>
    <row r="11891" spans="1:24">
      <c r="A11891" s="27" t="s">
        <v>21487</v>
      </c>
      <c r="B11891" s="28" t="s">
        <v>19918</v>
      </c>
      <c r="C11891" s="27" t="s">
        <v>21488</v>
      </c>
      <c r="D11891" s="27" t="s">
        <v>17558</v>
      </c>
      <c r="E11891" s="29">
        <v>35004</v>
      </c>
      <c r="F11891" s="27">
        <v>7</v>
      </c>
      <c r="G11891" s="18">
        <v>4340.79</v>
      </c>
      <c r="H11891" s="27">
        <f t="shared" si="370"/>
        <v>4340.79</v>
      </c>
      <c r="I11891" s="18">
        <v>4340.79</v>
      </c>
      <c r="J11891" s="27">
        <v>4340.79</v>
      </c>
      <c r="K11891" s="18">
        <f t="shared" si="371"/>
        <v>4340.79</v>
      </c>
      <c r="L11891" s="27">
        <v>4340.79</v>
      </c>
      <c r="M11891" s="36">
        <v>0</v>
      </c>
      <c r="T11891" s="41">
        <v>0</v>
      </c>
      <c r="U11891" s="41">
        <v>0</v>
      </c>
      <c r="V11891" s="42" t="s">
        <v>113</v>
      </c>
      <c r="W11891" s="42">
        <v>4340.79</v>
      </c>
      <c r="X11891" s="42">
        <v>4340.79</v>
      </c>
    </row>
    <row r="11892" spans="1:24">
      <c r="A11892" s="27" t="s">
        <v>21489</v>
      </c>
      <c r="B11892" s="28" t="s">
        <v>19918</v>
      </c>
      <c r="C11892" s="27" t="s">
        <v>21480</v>
      </c>
      <c r="D11892" s="27" t="s">
        <v>17558</v>
      </c>
      <c r="E11892" s="29">
        <v>35034</v>
      </c>
      <c r="F11892" s="27">
        <v>7</v>
      </c>
      <c r="G11892" s="18">
        <v>10500</v>
      </c>
      <c r="H11892" s="27">
        <f t="shared" si="370"/>
        <v>10500</v>
      </c>
      <c r="I11892" s="18">
        <v>9975</v>
      </c>
      <c r="J11892" s="27">
        <v>10500</v>
      </c>
      <c r="K11892" s="18">
        <f t="shared" si="371"/>
        <v>10500</v>
      </c>
      <c r="L11892" s="27">
        <v>9975</v>
      </c>
      <c r="M11892" s="36">
        <v>0</v>
      </c>
      <c r="T11892" s="41">
        <v>0</v>
      </c>
      <c r="U11892" s="41">
        <v>0</v>
      </c>
      <c r="V11892" s="42" t="s">
        <v>113</v>
      </c>
      <c r="W11892" s="42">
        <v>10500</v>
      </c>
      <c r="X11892" s="42">
        <v>10500</v>
      </c>
    </row>
    <row r="11893" spans="1:24">
      <c r="A11893" s="27" t="s">
        <v>21490</v>
      </c>
      <c r="B11893" s="28" t="s">
        <v>19918</v>
      </c>
      <c r="C11893" s="27" t="s">
        <v>21491</v>
      </c>
      <c r="D11893" s="27" t="s">
        <v>17558</v>
      </c>
      <c r="E11893" s="29">
        <v>34304</v>
      </c>
      <c r="F11893" s="27">
        <v>7</v>
      </c>
      <c r="G11893" s="18">
        <v>2780</v>
      </c>
      <c r="H11893" s="27">
        <f t="shared" si="370"/>
        <v>2780</v>
      </c>
      <c r="I11893" s="18">
        <v>2780</v>
      </c>
      <c r="J11893" s="27">
        <v>2780</v>
      </c>
      <c r="K11893" s="18">
        <f t="shared" si="371"/>
        <v>2780</v>
      </c>
      <c r="L11893" s="27">
        <v>2780</v>
      </c>
      <c r="M11893" s="36">
        <v>0</v>
      </c>
      <c r="T11893" s="41">
        <v>0</v>
      </c>
      <c r="U11893" s="41">
        <v>0</v>
      </c>
      <c r="V11893" s="42" t="s">
        <v>113</v>
      </c>
      <c r="W11893" s="42">
        <v>2780</v>
      </c>
      <c r="X11893" s="42">
        <v>2780</v>
      </c>
    </row>
    <row r="11894" spans="1:24">
      <c r="A11894" s="27" t="s">
        <v>21492</v>
      </c>
      <c r="B11894" s="28" t="s">
        <v>19918</v>
      </c>
      <c r="C11894" s="27" t="s">
        <v>21493</v>
      </c>
      <c r="D11894" s="27" t="s">
        <v>17558</v>
      </c>
      <c r="E11894" s="29">
        <v>34304</v>
      </c>
      <c r="F11894" s="27">
        <v>7</v>
      </c>
      <c r="G11894" s="18">
        <v>24840</v>
      </c>
      <c r="H11894" s="27">
        <f t="shared" si="370"/>
        <v>24840</v>
      </c>
      <c r="I11894" s="18">
        <v>23598</v>
      </c>
      <c r="J11894" s="27">
        <v>24840</v>
      </c>
      <c r="K11894" s="18">
        <f t="shared" si="371"/>
        <v>24840</v>
      </c>
      <c r="L11894" s="27">
        <v>23598</v>
      </c>
      <c r="M11894" s="36">
        <v>0</v>
      </c>
      <c r="T11894" s="41">
        <v>0</v>
      </c>
      <c r="U11894" s="41">
        <v>0</v>
      </c>
      <c r="V11894" s="42" t="s">
        <v>113</v>
      </c>
      <c r="W11894" s="42">
        <v>24840</v>
      </c>
      <c r="X11894" s="42">
        <v>24840</v>
      </c>
    </row>
    <row r="11895" spans="1:24">
      <c r="A11895" s="27" t="s">
        <v>21494</v>
      </c>
      <c r="B11895" s="28" t="s">
        <v>19918</v>
      </c>
      <c r="C11895" s="27" t="s">
        <v>21495</v>
      </c>
      <c r="D11895" s="27" t="s">
        <v>17558</v>
      </c>
      <c r="E11895" s="29">
        <v>33573</v>
      </c>
      <c r="F11895" s="27">
        <v>7</v>
      </c>
      <c r="G11895" s="18">
        <v>30903.02</v>
      </c>
      <c r="H11895" s="27">
        <f t="shared" si="370"/>
        <v>30903.02</v>
      </c>
      <c r="I11895" s="18">
        <v>29357.87</v>
      </c>
      <c r="J11895" s="27">
        <v>30903.02</v>
      </c>
      <c r="K11895" s="18">
        <f t="shared" si="371"/>
        <v>30903.02</v>
      </c>
      <c r="L11895" s="27">
        <v>29357.87</v>
      </c>
      <c r="M11895" s="36">
        <v>0</v>
      </c>
      <c r="T11895" s="41">
        <v>0</v>
      </c>
      <c r="U11895" s="41">
        <v>0</v>
      </c>
      <c r="V11895" s="42" t="s">
        <v>113</v>
      </c>
      <c r="W11895" s="42">
        <v>30903.02</v>
      </c>
      <c r="X11895" s="42">
        <v>30903.02</v>
      </c>
    </row>
    <row r="11896" spans="1:24">
      <c r="A11896" s="27" t="s">
        <v>21496</v>
      </c>
      <c r="B11896" s="28" t="s">
        <v>19918</v>
      </c>
      <c r="C11896" s="27" t="s">
        <v>21497</v>
      </c>
      <c r="D11896" s="27" t="s">
        <v>17558</v>
      </c>
      <c r="E11896" s="29">
        <v>33208</v>
      </c>
      <c r="F11896" s="27">
        <v>7</v>
      </c>
      <c r="G11896" s="18">
        <v>87120.12</v>
      </c>
      <c r="H11896" s="27">
        <f t="shared" si="370"/>
        <v>87120.12</v>
      </c>
      <c r="I11896" s="18">
        <v>82764.11</v>
      </c>
      <c r="J11896" s="27">
        <v>87120.12</v>
      </c>
      <c r="K11896" s="18">
        <f t="shared" si="371"/>
        <v>87120.12</v>
      </c>
      <c r="L11896" s="27">
        <v>82764.11</v>
      </c>
      <c r="M11896" s="36">
        <v>0</v>
      </c>
      <c r="T11896" s="41">
        <v>0</v>
      </c>
      <c r="U11896" s="41">
        <v>0</v>
      </c>
      <c r="V11896" s="42" t="s">
        <v>113</v>
      </c>
      <c r="W11896" s="42">
        <v>87120.12</v>
      </c>
      <c r="X11896" s="42">
        <v>87120.12</v>
      </c>
    </row>
    <row r="11897" spans="1:24">
      <c r="A11897" s="27" t="s">
        <v>21498</v>
      </c>
      <c r="B11897" s="28" t="s">
        <v>19918</v>
      </c>
      <c r="C11897" s="27" t="s">
        <v>21499</v>
      </c>
      <c r="D11897" s="27" t="s">
        <v>17558</v>
      </c>
      <c r="E11897" s="29">
        <v>33208</v>
      </c>
      <c r="F11897" s="27">
        <v>7</v>
      </c>
      <c r="G11897" s="18">
        <v>29171.37</v>
      </c>
      <c r="H11897" s="27">
        <f t="shared" si="370"/>
        <v>29171.37</v>
      </c>
      <c r="I11897" s="18">
        <v>27712.799999999999</v>
      </c>
      <c r="J11897" s="27">
        <v>29171.37</v>
      </c>
      <c r="K11897" s="18">
        <f t="shared" si="371"/>
        <v>29171.37</v>
      </c>
      <c r="L11897" s="27">
        <v>27712.799999999999</v>
      </c>
      <c r="M11897" s="36">
        <v>0</v>
      </c>
      <c r="T11897" s="41">
        <v>0</v>
      </c>
      <c r="U11897" s="41">
        <v>0</v>
      </c>
      <c r="V11897" s="42" t="s">
        <v>113</v>
      </c>
      <c r="W11897" s="42">
        <v>29171.37</v>
      </c>
      <c r="X11897" s="42">
        <v>29171.37</v>
      </c>
    </row>
    <row r="11898" spans="1:24">
      <c r="A11898" s="27" t="s">
        <v>21500</v>
      </c>
      <c r="B11898" s="28" t="s">
        <v>19918</v>
      </c>
      <c r="C11898" s="27" t="s">
        <v>21501</v>
      </c>
      <c r="D11898" s="27" t="s">
        <v>17558</v>
      </c>
      <c r="E11898" s="29">
        <v>33208</v>
      </c>
      <c r="F11898" s="27">
        <v>7</v>
      </c>
      <c r="G11898" s="18">
        <v>4831.08</v>
      </c>
      <c r="H11898" s="27">
        <f t="shared" si="370"/>
        <v>4831.08</v>
      </c>
      <c r="I11898" s="18">
        <v>4831.08</v>
      </c>
      <c r="J11898" s="27">
        <v>4831.08</v>
      </c>
      <c r="K11898" s="18">
        <f t="shared" si="371"/>
        <v>4831.08</v>
      </c>
      <c r="L11898" s="27">
        <v>4831.08</v>
      </c>
      <c r="M11898" s="36">
        <v>0</v>
      </c>
      <c r="T11898" s="41">
        <v>0</v>
      </c>
      <c r="U11898" s="41">
        <v>0</v>
      </c>
      <c r="V11898" s="42" t="s">
        <v>113</v>
      </c>
      <c r="W11898" s="42">
        <v>4831.08</v>
      </c>
      <c r="X11898" s="42">
        <v>4831.08</v>
      </c>
    </row>
    <row r="11899" spans="1:24">
      <c r="A11899" s="27" t="s">
        <v>21502</v>
      </c>
      <c r="B11899" s="28" t="s">
        <v>19918</v>
      </c>
      <c r="C11899" s="27" t="s">
        <v>21503</v>
      </c>
      <c r="D11899" s="27" t="s">
        <v>17558</v>
      </c>
      <c r="E11899" s="29">
        <v>33117</v>
      </c>
      <c r="F11899" s="27">
        <v>7</v>
      </c>
      <c r="G11899" s="18">
        <v>6140.1</v>
      </c>
      <c r="H11899" s="27">
        <f t="shared" si="370"/>
        <v>6140.1</v>
      </c>
      <c r="I11899" s="18">
        <v>5833.09</v>
      </c>
      <c r="J11899" s="27">
        <v>6140.1</v>
      </c>
      <c r="K11899" s="18">
        <f t="shared" si="371"/>
        <v>6140.1</v>
      </c>
      <c r="L11899" s="27">
        <v>5833.09</v>
      </c>
      <c r="M11899" s="36">
        <v>0</v>
      </c>
      <c r="T11899" s="41">
        <v>0</v>
      </c>
      <c r="U11899" s="41">
        <v>0</v>
      </c>
      <c r="V11899" s="42" t="s">
        <v>113</v>
      </c>
      <c r="W11899" s="42">
        <v>6140.1</v>
      </c>
      <c r="X11899" s="42">
        <v>6140.1</v>
      </c>
    </row>
    <row r="11900" spans="1:24">
      <c r="A11900" s="27" t="s">
        <v>21504</v>
      </c>
      <c r="B11900" s="28" t="s">
        <v>19918</v>
      </c>
      <c r="C11900" s="27" t="s">
        <v>21503</v>
      </c>
      <c r="D11900" s="27" t="s">
        <v>17558</v>
      </c>
      <c r="E11900" s="29">
        <v>33117</v>
      </c>
      <c r="F11900" s="27">
        <v>7</v>
      </c>
      <c r="G11900" s="18">
        <v>2289.1999999999998</v>
      </c>
      <c r="H11900" s="27">
        <f t="shared" si="370"/>
        <v>2289.1999999999998</v>
      </c>
      <c r="I11900" s="18">
        <v>2289.1999999999998</v>
      </c>
      <c r="J11900" s="27">
        <v>2289.1999999999998</v>
      </c>
      <c r="K11900" s="18">
        <f t="shared" si="371"/>
        <v>2289.1999999999998</v>
      </c>
      <c r="L11900" s="27">
        <v>2289.1999999999998</v>
      </c>
      <c r="M11900" s="36">
        <v>0</v>
      </c>
      <c r="T11900" s="41">
        <v>0</v>
      </c>
      <c r="U11900" s="41">
        <v>0</v>
      </c>
      <c r="V11900" s="42" t="s">
        <v>113</v>
      </c>
      <c r="W11900" s="42">
        <v>2289.1999999999998</v>
      </c>
      <c r="X11900" s="42">
        <v>2289.1999999999998</v>
      </c>
    </row>
    <row r="11901" spans="1:24">
      <c r="A11901" s="27" t="s">
        <v>21505</v>
      </c>
      <c r="B11901" s="28" t="s">
        <v>19918</v>
      </c>
      <c r="C11901" s="27" t="s">
        <v>21506</v>
      </c>
      <c r="D11901" s="27" t="s">
        <v>17558</v>
      </c>
      <c r="E11901" s="29">
        <v>33117</v>
      </c>
      <c r="F11901" s="27">
        <v>7</v>
      </c>
      <c r="G11901" s="18">
        <v>5240.6099999999997</v>
      </c>
      <c r="H11901" s="27">
        <f t="shared" si="370"/>
        <v>5240.6099999999997</v>
      </c>
      <c r="I11901" s="18">
        <v>4978.58</v>
      </c>
      <c r="J11901" s="27">
        <v>5240.6099999999997</v>
      </c>
      <c r="K11901" s="18">
        <f t="shared" si="371"/>
        <v>5240.6099999999997</v>
      </c>
      <c r="L11901" s="27">
        <v>4978.58</v>
      </c>
      <c r="M11901" s="36">
        <v>0</v>
      </c>
      <c r="T11901" s="41">
        <v>0</v>
      </c>
      <c r="U11901" s="41">
        <v>0</v>
      </c>
      <c r="V11901" s="42" t="s">
        <v>113</v>
      </c>
      <c r="W11901" s="42">
        <v>5240.6099999999997</v>
      </c>
      <c r="X11901" s="42">
        <v>5240.6099999999997</v>
      </c>
    </row>
    <row r="11902" spans="1:24">
      <c r="A11902" s="27" t="s">
        <v>21507</v>
      </c>
      <c r="B11902" s="28" t="s">
        <v>19918</v>
      </c>
      <c r="C11902" s="27" t="s">
        <v>21467</v>
      </c>
      <c r="D11902" s="27" t="s">
        <v>17558</v>
      </c>
      <c r="E11902" s="29">
        <v>33178</v>
      </c>
      <c r="F11902" s="27">
        <v>7</v>
      </c>
      <c r="G11902" s="18">
        <v>2037</v>
      </c>
      <c r="H11902" s="27">
        <f t="shared" si="370"/>
        <v>2037</v>
      </c>
      <c r="I11902" s="18">
        <v>2037</v>
      </c>
      <c r="J11902" s="27">
        <v>2037</v>
      </c>
      <c r="K11902" s="18">
        <f t="shared" si="371"/>
        <v>2037</v>
      </c>
      <c r="L11902" s="27">
        <v>2037</v>
      </c>
      <c r="M11902" s="36">
        <v>0</v>
      </c>
      <c r="T11902" s="41">
        <v>0</v>
      </c>
      <c r="U11902" s="41">
        <v>0</v>
      </c>
      <c r="V11902" s="42" t="s">
        <v>113</v>
      </c>
      <c r="W11902" s="42">
        <v>2037</v>
      </c>
      <c r="X11902" s="42">
        <v>2037</v>
      </c>
    </row>
    <row r="11903" spans="1:24">
      <c r="A11903" s="27" t="s">
        <v>21508</v>
      </c>
      <c r="B11903" s="28" t="s">
        <v>19918</v>
      </c>
      <c r="C11903" s="27" t="s">
        <v>21509</v>
      </c>
      <c r="D11903" s="27" t="s">
        <v>17558</v>
      </c>
      <c r="E11903" s="29">
        <v>32843</v>
      </c>
      <c r="F11903" s="27">
        <v>7</v>
      </c>
      <c r="G11903" s="18">
        <v>3108.42</v>
      </c>
      <c r="H11903" s="27">
        <f t="shared" si="370"/>
        <v>3108.42</v>
      </c>
      <c r="I11903" s="18">
        <v>3108.42</v>
      </c>
      <c r="J11903" s="27">
        <v>3108.42</v>
      </c>
      <c r="K11903" s="18">
        <f t="shared" si="371"/>
        <v>3108.42</v>
      </c>
      <c r="L11903" s="27">
        <v>3108.42</v>
      </c>
      <c r="M11903" s="36">
        <v>0</v>
      </c>
      <c r="T11903" s="41">
        <v>0</v>
      </c>
      <c r="U11903" s="41">
        <v>0</v>
      </c>
      <c r="V11903" s="42" t="s">
        <v>113</v>
      </c>
      <c r="W11903" s="42">
        <v>3108.42</v>
      </c>
      <c r="X11903" s="42">
        <v>3108.42</v>
      </c>
    </row>
    <row r="11904" spans="1:24">
      <c r="A11904" s="27" t="s">
        <v>21510</v>
      </c>
      <c r="B11904" s="28" t="s">
        <v>19918</v>
      </c>
      <c r="C11904" s="27" t="s">
        <v>21511</v>
      </c>
      <c r="D11904" s="27" t="s">
        <v>17558</v>
      </c>
      <c r="E11904" s="29">
        <v>32843</v>
      </c>
      <c r="F11904" s="27">
        <v>7</v>
      </c>
      <c r="G11904" s="18">
        <v>8989.9699999999993</v>
      </c>
      <c r="H11904" s="27">
        <f t="shared" si="370"/>
        <v>8989.9699999999993</v>
      </c>
      <c r="I11904" s="18">
        <v>8540.4699999999993</v>
      </c>
      <c r="J11904" s="27">
        <v>8989.9699999999993</v>
      </c>
      <c r="K11904" s="18">
        <f t="shared" si="371"/>
        <v>8989.9699999999993</v>
      </c>
      <c r="L11904" s="27">
        <v>8540.4699999999993</v>
      </c>
      <c r="M11904" s="36">
        <v>0</v>
      </c>
      <c r="T11904" s="41">
        <v>0</v>
      </c>
      <c r="U11904" s="41">
        <v>0</v>
      </c>
      <c r="V11904" s="42" t="s">
        <v>113</v>
      </c>
      <c r="W11904" s="42">
        <v>8989.9699999999993</v>
      </c>
      <c r="X11904" s="42">
        <v>8989.9699999999993</v>
      </c>
    </row>
    <row r="11905" spans="1:24">
      <c r="A11905" s="27" t="s">
        <v>21512</v>
      </c>
      <c r="B11905" s="28" t="s">
        <v>19918</v>
      </c>
      <c r="C11905" s="27" t="s">
        <v>21513</v>
      </c>
      <c r="D11905" s="27" t="s">
        <v>17558</v>
      </c>
      <c r="E11905" s="29">
        <v>31017</v>
      </c>
      <c r="F11905" s="27">
        <v>7</v>
      </c>
      <c r="G11905" s="18">
        <v>2465.3000000000002</v>
      </c>
      <c r="H11905" s="27">
        <f t="shared" si="370"/>
        <v>2465.3000000000002</v>
      </c>
      <c r="I11905" s="18">
        <v>2465.3000000000002</v>
      </c>
      <c r="J11905" s="27">
        <v>2465.3000000000002</v>
      </c>
      <c r="K11905" s="18">
        <f t="shared" si="371"/>
        <v>2465.3000000000002</v>
      </c>
      <c r="L11905" s="27">
        <v>2465.3000000000002</v>
      </c>
      <c r="M11905" s="36">
        <v>0</v>
      </c>
      <c r="T11905" s="41">
        <v>0</v>
      </c>
      <c r="U11905" s="41">
        <v>0</v>
      </c>
      <c r="V11905" s="42" t="s">
        <v>113</v>
      </c>
      <c r="W11905" s="42">
        <v>2465.3000000000002</v>
      </c>
      <c r="X11905" s="42">
        <v>2465.3000000000002</v>
      </c>
    </row>
    <row r="11906" spans="1:24">
      <c r="A11906" s="27" t="s">
        <v>21514</v>
      </c>
      <c r="B11906" s="28" t="s">
        <v>19918</v>
      </c>
      <c r="C11906" s="27" t="s">
        <v>21515</v>
      </c>
      <c r="D11906" s="27" t="s">
        <v>17558</v>
      </c>
      <c r="E11906" s="29">
        <v>31017</v>
      </c>
      <c r="F11906" s="27">
        <v>7</v>
      </c>
      <c r="G11906" s="18">
        <v>3554.77</v>
      </c>
      <c r="H11906" s="27">
        <f t="shared" si="370"/>
        <v>3554.77</v>
      </c>
      <c r="I11906" s="18">
        <v>3554.77</v>
      </c>
      <c r="J11906" s="27">
        <v>3554.77</v>
      </c>
      <c r="K11906" s="18">
        <f t="shared" si="371"/>
        <v>3554.77</v>
      </c>
      <c r="L11906" s="27">
        <v>3554.77</v>
      </c>
      <c r="M11906" s="36">
        <v>0</v>
      </c>
      <c r="T11906" s="41">
        <v>0</v>
      </c>
      <c r="U11906" s="41">
        <v>0</v>
      </c>
      <c r="V11906" s="42" t="s">
        <v>113</v>
      </c>
      <c r="W11906" s="42">
        <v>3554.77</v>
      </c>
      <c r="X11906" s="42">
        <v>3554.77</v>
      </c>
    </row>
    <row r="11907" spans="1:24">
      <c r="A11907" s="27" t="s">
        <v>21516</v>
      </c>
      <c r="B11907" s="28" t="s">
        <v>19918</v>
      </c>
      <c r="C11907" s="27" t="s">
        <v>21517</v>
      </c>
      <c r="D11907" s="27" t="s">
        <v>17558</v>
      </c>
      <c r="E11907" s="29">
        <v>32112</v>
      </c>
      <c r="F11907" s="27">
        <v>7</v>
      </c>
      <c r="G11907" s="18">
        <v>8342.09</v>
      </c>
      <c r="H11907" s="27">
        <f t="shared" si="370"/>
        <v>8342.09</v>
      </c>
      <c r="I11907" s="18">
        <v>7924.99</v>
      </c>
      <c r="J11907" s="27">
        <v>8342.09</v>
      </c>
      <c r="K11907" s="18">
        <f t="shared" si="371"/>
        <v>8342.09</v>
      </c>
      <c r="L11907" s="27">
        <v>7924.99</v>
      </c>
      <c r="M11907" s="36">
        <v>0</v>
      </c>
      <c r="T11907" s="41">
        <v>0</v>
      </c>
      <c r="U11907" s="41">
        <v>0</v>
      </c>
      <c r="V11907" s="42" t="s">
        <v>113</v>
      </c>
      <c r="W11907" s="42">
        <v>8342.09</v>
      </c>
      <c r="X11907" s="42">
        <v>8342.09</v>
      </c>
    </row>
    <row r="11908" spans="1:24">
      <c r="A11908" s="27" t="s">
        <v>21518</v>
      </c>
      <c r="B11908" s="28" t="s">
        <v>19918</v>
      </c>
      <c r="C11908" s="27" t="s">
        <v>21480</v>
      </c>
      <c r="D11908" s="27" t="s">
        <v>17558</v>
      </c>
      <c r="E11908" s="29">
        <v>32143</v>
      </c>
      <c r="F11908" s="27">
        <v>7</v>
      </c>
      <c r="G11908" s="18">
        <v>4500</v>
      </c>
      <c r="H11908" s="27">
        <f t="shared" si="370"/>
        <v>4500</v>
      </c>
      <c r="I11908" s="18">
        <v>4500</v>
      </c>
      <c r="J11908" s="27">
        <v>4500</v>
      </c>
      <c r="K11908" s="18">
        <f t="shared" si="371"/>
        <v>4500</v>
      </c>
      <c r="L11908" s="27">
        <v>4500</v>
      </c>
      <c r="M11908" s="36">
        <v>0</v>
      </c>
      <c r="T11908" s="41">
        <v>0</v>
      </c>
      <c r="U11908" s="41">
        <v>0</v>
      </c>
      <c r="V11908" s="42" t="s">
        <v>113</v>
      </c>
      <c r="W11908" s="42">
        <v>4500</v>
      </c>
      <c r="X11908" s="42">
        <v>4500</v>
      </c>
    </row>
    <row r="11909" spans="1:24">
      <c r="A11909" s="27" t="s">
        <v>21519</v>
      </c>
      <c r="B11909" s="28" t="s">
        <v>19918</v>
      </c>
      <c r="C11909" s="27" t="s">
        <v>21410</v>
      </c>
      <c r="D11909" s="27" t="s">
        <v>17558</v>
      </c>
      <c r="E11909" s="29">
        <v>32143</v>
      </c>
      <c r="F11909" s="27">
        <v>7</v>
      </c>
      <c r="G11909" s="18">
        <v>26566.28</v>
      </c>
      <c r="H11909" s="27">
        <f t="shared" si="370"/>
        <v>26566.28</v>
      </c>
      <c r="I11909" s="18">
        <v>25237.97</v>
      </c>
      <c r="J11909" s="27">
        <v>26566.28</v>
      </c>
      <c r="K11909" s="18">
        <f t="shared" si="371"/>
        <v>26566.28</v>
      </c>
      <c r="L11909" s="27">
        <v>25237.97</v>
      </c>
      <c r="M11909" s="36">
        <v>0</v>
      </c>
      <c r="T11909" s="41">
        <v>0</v>
      </c>
      <c r="U11909" s="41">
        <v>0</v>
      </c>
      <c r="V11909" s="42" t="s">
        <v>113</v>
      </c>
      <c r="W11909" s="42">
        <v>26566.28</v>
      </c>
      <c r="X11909" s="42">
        <v>26566.28</v>
      </c>
    </row>
    <row r="11910" spans="1:24">
      <c r="A11910" s="27" t="s">
        <v>21520</v>
      </c>
      <c r="B11910" s="28" t="s">
        <v>19918</v>
      </c>
      <c r="C11910" s="27" t="s">
        <v>21521</v>
      </c>
      <c r="D11910" s="27" t="s">
        <v>17558</v>
      </c>
      <c r="E11910" s="29">
        <v>32143</v>
      </c>
      <c r="F11910" s="27">
        <v>7</v>
      </c>
      <c r="G11910" s="18">
        <v>2600</v>
      </c>
      <c r="H11910" s="27">
        <f t="shared" ref="H11910:H11973" si="372">IFERROR(IF(ROUND((G11910-I11910)/G11910,2)&lt;=0.05,G11910,0),0)</f>
        <v>2600</v>
      </c>
      <c r="I11910" s="18">
        <v>2600</v>
      </c>
      <c r="J11910" s="27">
        <v>2600</v>
      </c>
      <c r="K11910" s="18">
        <f t="shared" ref="K11910:K11973" si="373">IFERROR(IF(ROUND((J11910-L11910)/J11910,2)&lt;=0.05,J11910,0),0)</f>
        <v>2600</v>
      </c>
      <c r="L11910" s="27">
        <v>2600</v>
      </c>
      <c r="M11910" s="36">
        <v>0</v>
      </c>
      <c r="T11910" s="41">
        <v>0</v>
      </c>
      <c r="U11910" s="41">
        <v>0</v>
      </c>
      <c r="V11910" s="42" t="s">
        <v>113</v>
      </c>
      <c r="W11910" s="42">
        <v>2600</v>
      </c>
      <c r="X11910" s="42">
        <v>2600</v>
      </c>
    </row>
    <row r="11911" spans="1:24">
      <c r="A11911" s="27" t="s">
        <v>21522</v>
      </c>
      <c r="B11911" s="28" t="s">
        <v>19918</v>
      </c>
      <c r="C11911" s="27" t="s">
        <v>21523</v>
      </c>
      <c r="D11911" s="27" t="s">
        <v>17558</v>
      </c>
      <c r="E11911" s="29">
        <v>32143</v>
      </c>
      <c r="F11911" s="27">
        <v>7</v>
      </c>
      <c r="G11911" s="18">
        <v>2400</v>
      </c>
      <c r="H11911" s="27">
        <f t="shared" si="372"/>
        <v>2400</v>
      </c>
      <c r="I11911" s="18">
        <v>2400</v>
      </c>
      <c r="J11911" s="27">
        <v>2400</v>
      </c>
      <c r="K11911" s="18">
        <f t="shared" si="373"/>
        <v>2400</v>
      </c>
      <c r="L11911" s="27">
        <v>2400</v>
      </c>
      <c r="M11911" s="36">
        <v>0</v>
      </c>
      <c r="T11911" s="41">
        <v>0</v>
      </c>
      <c r="U11911" s="41">
        <v>0</v>
      </c>
      <c r="V11911" s="42" t="s">
        <v>113</v>
      </c>
      <c r="W11911" s="42">
        <v>2400</v>
      </c>
      <c r="X11911" s="42">
        <v>2400</v>
      </c>
    </row>
    <row r="11912" spans="1:24">
      <c r="A11912" s="27" t="s">
        <v>21524</v>
      </c>
      <c r="B11912" s="28" t="s">
        <v>19918</v>
      </c>
      <c r="C11912" s="27" t="s">
        <v>21525</v>
      </c>
      <c r="D11912" s="27" t="s">
        <v>17558</v>
      </c>
      <c r="E11912" s="29">
        <v>32143</v>
      </c>
      <c r="F11912" s="27">
        <v>7</v>
      </c>
      <c r="G11912" s="18">
        <v>16063.89</v>
      </c>
      <c r="H11912" s="27">
        <f t="shared" si="372"/>
        <v>16063.89</v>
      </c>
      <c r="I11912" s="18">
        <v>15260.7</v>
      </c>
      <c r="J11912" s="27">
        <v>16063.89</v>
      </c>
      <c r="K11912" s="18">
        <f t="shared" si="373"/>
        <v>16063.89</v>
      </c>
      <c r="L11912" s="27">
        <v>15260.7</v>
      </c>
      <c r="M11912" s="36">
        <v>0</v>
      </c>
      <c r="T11912" s="41">
        <v>0</v>
      </c>
      <c r="U11912" s="41">
        <v>0</v>
      </c>
      <c r="V11912" s="42" t="s">
        <v>113</v>
      </c>
      <c r="W11912" s="42">
        <v>16063.89</v>
      </c>
      <c r="X11912" s="42">
        <v>16063.89</v>
      </c>
    </row>
    <row r="11913" spans="1:24">
      <c r="A11913" s="27" t="s">
        <v>21526</v>
      </c>
      <c r="B11913" s="28" t="s">
        <v>19918</v>
      </c>
      <c r="C11913" s="27" t="s">
        <v>21527</v>
      </c>
      <c r="D11913" s="27" t="s">
        <v>17558</v>
      </c>
      <c r="E11913" s="29">
        <v>34274</v>
      </c>
      <c r="F11913" s="27">
        <v>7</v>
      </c>
      <c r="G11913" s="18">
        <v>6000</v>
      </c>
      <c r="H11913" s="27">
        <f t="shared" si="372"/>
        <v>6000</v>
      </c>
      <c r="I11913" s="18">
        <v>5700</v>
      </c>
      <c r="J11913" s="27">
        <v>6000</v>
      </c>
      <c r="K11913" s="18">
        <f t="shared" si="373"/>
        <v>6000</v>
      </c>
      <c r="L11913" s="27">
        <v>5700</v>
      </c>
      <c r="M11913" s="36">
        <v>0</v>
      </c>
      <c r="T11913" s="41">
        <v>0</v>
      </c>
      <c r="U11913" s="41">
        <v>0</v>
      </c>
      <c r="V11913" s="42" t="s">
        <v>113</v>
      </c>
      <c r="W11913" s="42">
        <v>6000</v>
      </c>
      <c r="X11913" s="42">
        <v>6000</v>
      </c>
    </row>
    <row r="11914" spans="1:24">
      <c r="A11914" s="27" t="s">
        <v>21528</v>
      </c>
      <c r="B11914" s="28" t="s">
        <v>19918</v>
      </c>
      <c r="C11914" s="27" t="s">
        <v>21529</v>
      </c>
      <c r="D11914" s="27" t="s">
        <v>17558</v>
      </c>
      <c r="E11914" s="29">
        <v>34274</v>
      </c>
      <c r="F11914" s="27">
        <v>7</v>
      </c>
      <c r="G11914" s="18">
        <v>8000</v>
      </c>
      <c r="H11914" s="27">
        <f t="shared" si="372"/>
        <v>8000</v>
      </c>
      <c r="I11914" s="18">
        <v>7600</v>
      </c>
      <c r="J11914" s="27">
        <v>8000</v>
      </c>
      <c r="K11914" s="18">
        <f t="shared" si="373"/>
        <v>8000</v>
      </c>
      <c r="L11914" s="27">
        <v>7600</v>
      </c>
      <c r="M11914" s="36">
        <v>0</v>
      </c>
      <c r="T11914" s="41">
        <v>0</v>
      </c>
      <c r="U11914" s="41">
        <v>0</v>
      </c>
      <c r="V11914" s="42" t="s">
        <v>113</v>
      </c>
      <c r="W11914" s="42">
        <v>8000</v>
      </c>
      <c r="X11914" s="42">
        <v>8000</v>
      </c>
    </row>
    <row r="11915" spans="1:24">
      <c r="A11915" s="27" t="s">
        <v>21530</v>
      </c>
      <c r="B11915" s="28" t="s">
        <v>19918</v>
      </c>
      <c r="C11915" s="27" t="s">
        <v>21531</v>
      </c>
      <c r="D11915" s="27" t="s">
        <v>17558</v>
      </c>
      <c r="E11915" s="29">
        <v>37135</v>
      </c>
      <c r="F11915" s="27">
        <v>7</v>
      </c>
      <c r="G11915" s="18">
        <v>30000</v>
      </c>
      <c r="H11915" s="27">
        <f t="shared" si="372"/>
        <v>30000</v>
      </c>
      <c r="I11915" s="18">
        <v>28500</v>
      </c>
      <c r="J11915" s="27">
        <v>30000</v>
      </c>
      <c r="K11915" s="18">
        <f t="shared" si="373"/>
        <v>30000</v>
      </c>
      <c r="L11915" s="27">
        <v>28500</v>
      </c>
      <c r="M11915" s="36">
        <v>0</v>
      </c>
      <c r="T11915" s="41">
        <v>0</v>
      </c>
      <c r="U11915" s="41">
        <v>0</v>
      </c>
      <c r="V11915" s="42" t="s">
        <v>113</v>
      </c>
      <c r="W11915" s="42">
        <v>30000</v>
      </c>
      <c r="X11915" s="42">
        <v>30000</v>
      </c>
    </row>
    <row r="11916" spans="1:24">
      <c r="A11916" s="27" t="s">
        <v>21532</v>
      </c>
      <c r="B11916" s="28" t="s">
        <v>19918</v>
      </c>
      <c r="C11916" s="27" t="s">
        <v>21103</v>
      </c>
      <c r="D11916" s="27" t="s">
        <v>17558</v>
      </c>
      <c r="E11916" s="29">
        <v>37135</v>
      </c>
      <c r="F11916" s="27">
        <v>7</v>
      </c>
      <c r="G11916" s="18">
        <v>4700</v>
      </c>
      <c r="H11916" s="27">
        <f t="shared" si="372"/>
        <v>4700</v>
      </c>
      <c r="I11916" s="18">
        <v>4700</v>
      </c>
      <c r="J11916" s="27">
        <v>4700</v>
      </c>
      <c r="K11916" s="18">
        <f t="shared" si="373"/>
        <v>4700</v>
      </c>
      <c r="L11916" s="27">
        <v>4700</v>
      </c>
      <c r="M11916" s="36">
        <v>0</v>
      </c>
      <c r="T11916" s="41">
        <v>0</v>
      </c>
      <c r="U11916" s="41">
        <v>0</v>
      </c>
      <c r="V11916" s="42" t="s">
        <v>113</v>
      </c>
      <c r="W11916" s="42">
        <v>4700</v>
      </c>
      <c r="X11916" s="42">
        <v>4700</v>
      </c>
    </row>
    <row r="11917" spans="1:24">
      <c r="A11917" s="27" t="s">
        <v>21533</v>
      </c>
      <c r="B11917" s="28" t="s">
        <v>19918</v>
      </c>
      <c r="C11917" s="27" t="s">
        <v>21534</v>
      </c>
      <c r="D11917" s="27" t="s">
        <v>17558</v>
      </c>
      <c r="E11917" s="29">
        <v>37135</v>
      </c>
      <c r="F11917" s="27">
        <v>7</v>
      </c>
      <c r="G11917" s="18">
        <v>9000</v>
      </c>
      <c r="H11917" s="27">
        <f t="shared" si="372"/>
        <v>9000</v>
      </c>
      <c r="I11917" s="18">
        <v>8550</v>
      </c>
      <c r="J11917" s="27">
        <v>9000</v>
      </c>
      <c r="K11917" s="18">
        <f t="shared" si="373"/>
        <v>9000</v>
      </c>
      <c r="L11917" s="27">
        <v>8550</v>
      </c>
      <c r="M11917" s="36">
        <v>0</v>
      </c>
      <c r="T11917" s="41">
        <v>0</v>
      </c>
      <c r="U11917" s="41">
        <v>0</v>
      </c>
      <c r="V11917" s="42" t="s">
        <v>113</v>
      </c>
      <c r="W11917" s="42">
        <v>9000</v>
      </c>
      <c r="X11917" s="42">
        <v>9000</v>
      </c>
    </row>
    <row r="11918" spans="1:24">
      <c r="A11918" s="27" t="s">
        <v>21535</v>
      </c>
      <c r="B11918" s="28" t="s">
        <v>19918</v>
      </c>
      <c r="C11918" s="27" t="s">
        <v>21385</v>
      </c>
      <c r="D11918" s="27" t="s">
        <v>17558</v>
      </c>
      <c r="E11918" s="29">
        <v>37135</v>
      </c>
      <c r="F11918" s="27">
        <v>7</v>
      </c>
      <c r="G11918" s="18">
        <v>3000</v>
      </c>
      <c r="H11918" s="27">
        <f t="shared" si="372"/>
        <v>3000</v>
      </c>
      <c r="I11918" s="18">
        <v>3000</v>
      </c>
      <c r="J11918" s="27">
        <v>3000</v>
      </c>
      <c r="K11918" s="18">
        <f t="shared" si="373"/>
        <v>3000</v>
      </c>
      <c r="L11918" s="27">
        <v>3000</v>
      </c>
      <c r="M11918" s="36">
        <v>0</v>
      </c>
      <c r="T11918" s="41">
        <v>0</v>
      </c>
      <c r="U11918" s="41">
        <v>0</v>
      </c>
      <c r="V11918" s="42" t="s">
        <v>113</v>
      </c>
      <c r="W11918" s="42">
        <v>3000</v>
      </c>
      <c r="X11918" s="42">
        <v>3000</v>
      </c>
    </row>
    <row r="11919" spans="1:24">
      <c r="A11919" s="27" t="s">
        <v>21536</v>
      </c>
      <c r="B11919" s="28" t="s">
        <v>19918</v>
      </c>
      <c r="C11919" s="27" t="s">
        <v>21537</v>
      </c>
      <c r="D11919" s="27" t="s">
        <v>17558</v>
      </c>
      <c r="E11919" s="29">
        <v>37135</v>
      </c>
      <c r="F11919" s="27">
        <v>7</v>
      </c>
      <c r="G11919" s="18">
        <v>14400</v>
      </c>
      <c r="H11919" s="27">
        <f t="shared" si="372"/>
        <v>14400</v>
      </c>
      <c r="I11919" s="18">
        <v>13680</v>
      </c>
      <c r="J11919" s="27">
        <v>14400</v>
      </c>
      <c r="K11919" s="18">
        <f t="shared" si="373"/>
        <v>14400</v>
      </c>
      <c r="L11919" s="27">
        <v>13680</v>
      </c>
      <c r="M11919" s="36">
        <v>0</v>
      </c>
      <c r="T11919" s="41">
        <v>0</v>
      </c>
      <c r="U11919" s="41">
        <v>0</v>
      </c>
      <c r="V11919" s="42" t="s">
        <v>113</v>
      </c>
      <c r="W11919" s="42">
        <v>14400</v>
      </c>
      <c r="X11919" s="42">
        <v>14400</v>
      </c>
    </row>
    <row r="11920" spans="1:24">
      <c r="A11920" s="27" t="s">
        <v>21538</v>
      </c>
      <c r="B11920" s="28" t="s">
        <v>19918</v>
      </c>
      <c r="C11920" s="27" t="s">
        <v>21539</v>
      </c>
      <c r="D11920" s="27" t="s">
        <v>17558</v>
      </c>
      <c r="E11920" s="29">
        <v>37135</v>
      </c>
      <c r="F11920" s="27">
        <v>7</v>
      </c>
      <c r="G11920" s="18">
        <v>7800</v>
      </c>
      <c r="H11920" s="27">
        <f t="shared" si="372"/>
        <v>7800</v>
      </c>
      <c r="I11920" s="18">
        <v>7410</v>
      </c>
      <c r="J11920" s="27">
        <v>7800</v>
      </c>
      <c r="K11920" s="18">
        <f t="shared" si="373"/>
        <v>7800</v>
      </c>
      <c r="L11920" s="27">
        <v>7410</v>
      </c>
      <c r="M11920" s="36">
        <v>0</v>
      </c>
      <c r="T11920" s="41">
        <v>0</v>
      </c>
      <c r="U11920" s="41">
        <v>0</v>
      </c>
      <c r="V11920" s="42" t="s">
        <v>113</v>
      </c>
      <c r="W11920" s="42">
        <v>7800</v>
      </c>
      <c r="X11920" s="42">
        <v>7800</v>
      </c>
    </row>
    <row r="11921" spans="1:24">
      <c r="A11921" s="27" t="s">
        <v>21540</v>
      </c>
      <c r="B11921" s="28" t="s">
        <v>19918</v>
      </c>
      <c r="C11921" s="27" t="s">
        <v>21541</v>
      </c>
      <c r="D11921" s="27" t="s">
        <v>17558</v>
      </c>
      <c r="E11921" s="29">
        <v>37135</v>
      </c>
      <c r="F11921" s="27">
        <v>7</v>
      </c>
      <c r="G11921" s="18">
        <v>17500</v>
      </c>
      <c r="H11921" s="27">
        <f t="shared" si="372"/>
        <v>17500</v>
      </c>
      <c r="I11921" s="18">
        <v>16625</v>
      </c>
      <c r="J11921" s="27">
        <v>17500</v>
      </c>
      <c r="K11921" s="18">
        <f t="shared" si="373"/>
        <v>17500</v>
      </c>
      <c r="L11921" s="27">
        <v>16625</v>
      </c>
      <c r="M11921" s="36">
        <v>0</v>
      </c>
      <c r="T11921" s="41">
        <v>0</v>
      </c>
      <c r="U11921" s="41">
        <v>0</v>
      </c>
      <c r="V11921" s="42" t="s">
        <v>113</v>
      </c>
      <c r="W11921" s="42">
        <v>17500</v>
      </c>
      <c r="X11921" s="42">
        <v>17500</v>
      </c>
    </row>
    <row r="11922" spans="1:24">
      <c r="A11922" s="27" t="s">
        <v>21542</v>
      </c>
      <c r="B11922" s="28" t="s">
        <v>19918</v>
      </c>
      <c r="C11922" s="27" t="s">
        <v>21543</v>
      </c>
      <c r="D11922" s="27" t="s">
        <v>17558</v>
      </c>
      <c r="E11922" s="29">
        <v>37135</v>
      </c>
      <c r="F11922" s="27">
        <v>7</v>
      </c>
      <c r="G11922" s="18">
        <v>4000</v>
      </c>
      <c r="H11922" s="27">
        <f t="shared" si="372"/>
        <v>4000</v>
      </c>
      <c r="I11922" s="18">
        <v>4000</v>
      </c>
      <c r="J11922" s="27">
        <v>4000</v>
      </c>
      <c r="K11922" s="18">
        <f t="shared" si="373"/>
        <v>4000</v>
      </c>
      <c r="L11922" s="27">
        <v>4000</v>
      </c>
      <c r="M11922" s="36">
        <v>0</v>
      </c>
      <c r="T11922" s="41">
        <v>0</v>
      </c>
      <c r="U11922" s="41">
        <v>0</v>
      </c>
      <c r="V11922" s="42" t="s">
        <v>113</v>
      </c>
      <c r="W11922" s="42">
        <v>4000</v>
      </c>
      <c r="X11922" s="42">
        <v>4000</v>
      </c>
    </row>
    <row r="11923" spans="1:24">
      <c r="A11923" s="27" t="s">
        <v>21544</v>
      </c>
      <c r="B11923" s="28" t="s">
        <v>19918</v>
      </c>
      <c r="C11923" s="27" t="s">
        <v>21545</v>
      </c>
      <c r="D11923" s="27" t="s">
        <v>17558</v>
      </c>
      <c r="E11923" s="29">
        <v>37226</v>
      </c>
      <c r="F11923" s="27">
        <v>7</v>
      </c>
      <c r="G11923" s="18">
        <v>3900</v>
      </c>
      <c r="H11923" s="27">
        <f t="shared" si="372"/>
        <v>3900</v>
      </c>
      <c r="I11923" s="18">
        <v>3900</v>
      </c>
      <c r="J11923" s="27">
        <v>3900</v>
      </c>
      <c r="K11923" s="18">
        <f t="shared" si="373"/>
        <v>3900</v>
      </c>
      <c r="L11923" s="27">
        <v>3900</v>
      </c>
      <c r="M11923" s="36">
        <v>0</v>
      </c>
      <c r="T11923" s="41">
        <v>0</v>
      </c>
      <c r="U11923" s="41">
        <v>0</v>
      </c>
      <c r="V11923" s="42" t="s">
        <v>113</v>
      </c>
      <c r="W11923" s="42">
        <v>3900</v>
      </c>
      <c r="X11923" s="42">
        <v>3900</v>
      </c>
    </row>
    <row r="11924" spans="1:24">
      <c r="A11924" s="27" t="s">
        <v>21546</v>
      </c>
      <c r="B11924" s="28" t="s">
        <v>19918</v>
      </c>
      <c r="C11924" s="27" t="s">
        <v>17571</v>
      </c>
      <c r="D11924" s="27" t="s">
        <v>17558</v>
      </c>
      <c r="E11924" s="29">
        <v>37226</v>
      </c>
      <c r="F11924" s="27">
        <v>7</v>
      </c>
      <c r="G11924" s="18">
        <v>7100</v>
      </c>
      <c r="H11924" s="27">
        <f t="shared" si="372"/>
        <v>7100</v>
      </c>
      <c r="I11924" s="18">
        <v>6745</v>
      </c>
      <c r="J11924" s="27">
        <v>7100</v>
      </c>
      <c r="K11924" s="18">
        <f t="shared" si="373"/>
        <v>7100</v>
      </c>
      <c r="L11924" s="27">
        <v>6745</v>
      </c>
      <c r="M11924" s="36">
        <v>0</v>
      </c>
      <c r="T11924" s="41">
        <v>0</v>
      </c>
      <c r="U11924" s="41">
        <v>0</v>
      </c>
      <c r="V11924" s="42" t="s">
        <v>113</v>
      </c>
      <c r="W11924" s="42">
        <v>7100</v>
      </c>
      <c r="X11924" s="42">
        <v>7100</v>
      </c>
    </row>
    <row r="11925" spans="1:24">
      <c r="A11925" s="27" t="s">
        <v>21547</v>
      </c>
      <c r="B11925" s="28" t="s">
        <v>19918</v>
      </c>
      <c r="C11925" s="27" t="s">
        <v>21548</v>
      </c>
      <c r="D11925" s="27" t="s">
        <v>17558</v>
      </c>
      <c r="E11925" s="29">
        <v>37226</v>
      </c>
      <c r="F11925" s="27">
        <v>7</v>
      </c>
      <c r="G11925" s="18">
        <v>21321</v>
      </c>
      <c r="H11925" s="27">
        <f t="shared" si="372"/>
        <v>21321</v>
      </c>
      <c r="I11925" s="18">
        <v>20254.95</v>
      </c>
      <c r="J11925" s="27">
        <v>21321</v>
      </c>
      <c r="K11925" s="18">
        <f t="shared" si="373"/>
        <v>21321</v>
      </c>
      <c r="L11925" s="27">
        <v>20254.95</v>
      </c>
      <c r="M11925" s="36">
        <v>0</v>
      </c>
      <c r="T11925" s="41">
        <v>0</v>
      </c>
      <c r="U11925" s="41">
        <v>0</v>
      </c>
      <c r="V11925" s="42" t="s">
        <v>113</v>
      </c>
      <c r="W11925" s="42">
        <v>21321</v>
      </c>
      <c r="X11925" s="42">
        <v>21321</v>
      </c>
    </row>
    <row r="11926" spans="1:24">
      <c r="A11926" s="27" t="s">
        <v>21549</v>
      </c>
      <c r="B11926" s="28" t="s">
        <v>19918</v>
      </c>
      <c r="C11926" s="27" t="s">
        <v>21527</v>
      </c>
      <c r="D11926" s="27" t="s">
        <v>17558</v>
      </c>
      <c r="E11926" s="29">
        <v>37226</v>
      </c>
      <c r="F11926" s="27">
        <v>7</v>
      </c>
      <c r="G11926" s="18">
        <v>6912</v>
      </c>
      <c r="H11926" s="27">
        <f t="shared" si="372"/>
        <v>6912</v>
      </c>
      <c r="I11926" s="18">
        <v>6566.4</v>
      </c>
      <c r="J11926" s="27">
        <v>6912</v>
      </c>
      <c r="K11926" s="18">
        <f t="shared" si="373"/>
        <v>6912</v>
      </c>
      <c r="L11926" s="27">
        <v>6566.4</v>
      </c>
      <c r="M11926" s="36">
        <v>0</v>
      </c>
      <c r="T11926" s="41">
        <v>0</v>
      </c>
      <c r="U11926" s="41">
        <v>0</v>
      </c>
      <c r="V11926" s="42" t="s">
        <v>113</v>
      </c>
      <c r="W11926" s="42">
        <v>6912</v>
      </c>
      <c r="X11926" s="42">
        <v>6912</v>
      </c>
    </row>
    <row r="11927" spans="1:24">
      <c r="A11927" s="27" t="s">
        <v>21550</v>
      </c>
      <c r="B11927" s="28" t="s">
        <v>19918</v>
      </c>
      <c r="C11927" s="27" t="s">
        <v>21410</v>
      </c>
      <c r="D11927" s="27" t="s">
        <v>17558</v>
      </c>
      <c r="E11927" s="29">
        <v>37226</v>
      </c>
      <c r="F11927" s="27">
        <v>7</v>
      </c>
      <c r="G11927" s="18">
        <v>75600</v>
      </c>
      <c r="H11927" s="27">
        <f t="shared" si="372"/>
        <v>75600</v>
      </c>
      <c r="I11927" s="18">
        <v>71820</v>
      </c>
      <c r="J11927" s="27">
        <v>75600</v>
      </c>
      <c r="K11927" s="18">
        <f t="shared" si="373"/>
        <v>75600</v>
      </c>
      <c r="L11927" s="27">
        <v>71820</v>
      </c>
      <c r="M11927" s="36">
        <v>0</v>
      </c>
      <c r="T11927" s="41">
        <v>0</v>
      </c>
      <c r="U11927" s="41">
        <v>0</v>
      </c>
      <c r="V11927" s="42" t="s">
        <v>113</v>
      </c>
      <c r="W11927" s="42">
        <v>75600</v>
      </c>
      <c r="X11927" s="42">
        <v>75600</v>
      </c>
    </row>
    <row r="11928" spans="1:24">
      <c r="A11928" s="27" t="s">
        <v>21551</v>
      </c>
      <c r="B11928" s="28" t="s">
        <v>19918</v>
      </c>
      <c r="C11928" s="27" t="s">
        <v>21552</v>
      </c>
      <c r="D11928" s="27" t="s">
        <v>17578</v>
      </c>
      <c r="E11928" s="29">
        <v>37226</v>
      </c>
      <c r="F11928" s="27">
        <v>7</v>
      </c>
      <c r="G11928" s="18">
        <v>24102</v>
      </c>
      <c r="H11928" s="27">
        <f t="shared" si="372"/>
        <v>24102</v>
      </c>
      <c r="I11928" s="18">
        <v>22896.9</v>
      </c>
      <c r="J11928" s="27">
        <v>24102</v>
      </c>
      <c r="K11928" s="18">
        <f t="shared" si="373"/>
        <v>24102</v>
      </c>
      <c r="L11928" s="27">
        <v>22896.9</v>
      </c>
      <c r="M11928" s="36">
        <v>0</v>
      </c>
      <c r="T11928" s="41">
        <v>0</v>
      </c>
      <c r="U11928" s="41">
        <v>0</v>
      </c>
      <c r="V11928" s="42" t="s">
        <v>113</v>
      </c>
      <c r="W11928" s="42">
        <v>24102</v>
      </c>
      <c r="X11928" s="42">
        <v>24102</v>
      </c>
    </row>
    <row r="11929" spans="1:24">
      <c r="A11929" s="27" t="s">
        <v>21553</v>
      </c>
      <c r="B11929" s="28" t="s">
        <v>19918</v>
      </c>
      <c r="C11929" s="27" t="s">
        <v>21554</v>
      </c>
      <c r="D11929" s="27" t="s">
        <v>17558</v>
      </c>
      <c r="E11929" s="29">
        <v>37226</v>
      </c>
      <c r="F11929" s="27">
        <v>7</v>
      </c>
      <c r="G11929" s="18">
        <v>9098.6</v>
      </c>
      <c r="H11929" s="27">
        <f t="shared" si="372"/>
        <v>9098.6</v>
      </c>
      <c r="I11929" s="18">
        <v>8643.67</v>
      </c>
      <c r="J11929" s="27">
        <v>9098.6</v>
      </c>
      <c r="K11929" s="18">
        <f t="shared" si="373"/>
        <v>9098.6</v>
      </c>
      <c r="L11929" s="27">
        <v>8643.67</v>
      </c>
      <c r="M11929" s="36">
        <v>0</v>
      </c>
      <c r="T11929" s="41">
        <v>0</v>
      </c>
      <c r="U11929" s="41">
        <v>0</v>
      </c>
      <c r="V11929" s="42" t="s">
        <v>113</v>
      </c>
      <c r="W11929" s="42">
        <v>9098.6</v>
      </c>
      <c r="X11929" s="42">
        <v>9098.6</v>
      </c>
    </row>
    <row r="11930" spans="1:24">
      <c r="A11930" s="27" t="s">
        <v>21555</v>
      </c>
      <c r="B11930" s="28" t="s">
        <v>19918</v>
      </c>
      <c r="C11930" s="27" t="s">
        <v>21556</v>
      </c>
      <c r="D11930" s="27" t="s">
        <v>17558</v>
      </c>
      <c r="E11930" s="29">
        <v>37226</v>
      </c>
      <c r="F11930" s="27">
        <v>7</v>
      </c>
      <c r="G11930" s="18">
        <v>16975</v>
      </c>
      <c r="H11930" s="27">
        <f t="shared" si="372"/>
        <v>16975</v>
      </c>
      <c r="I11930" s="18">
        <v>16126.25</v>
      </c>
      <c r="J11930" s="27">
        <v>16975</v>
      </c>
      <c r="K11930" s="18">
        <f t="shared" si="373"/>
        <v>16975</v>
      </c>
      <c r="L11930" s="27">
        <v>16126.25</v>
      </c>
      <c r="M11930" s="36">
        <v>0</v>
      </c>
      <c r="T11930" s="41">
        <v>0</v>
      </c>
      <c r="U11930" s="41">
        <v>0</v>
      </c>
      <c r="V11930" s="42" t="s">
        <v>113</v>
      </c>
      <c r="W11930" s="42">
        <v>16975</v>
      </c>
      <c r="X11930" s="42">
        <v>16975</v>
      </c>
    </row>
    <row r="11931" spans="1:24">
      <c r="A11931" s="27" t="s">
        <v>21557</v>
      </c>
      <c r="B11931" s="28" t="s">
        <v>19918</v>
      </c>
      <c r="C11931" s="27" t="s">
        <v>21558</v>
      </c>
      <c r="D11931" s="27" t="s">
        <v>17558</v>
      </c>
      <c r="E11931" s="29">
        <v>37226</v>
      </c>
      <c r="F11931" s="27">
        <v>7</v>
      </c>
      <c r="G11931" s="18">
        <v>5038</v>
      </c>
      <c r="H11931" s="27">
        <f t="shared" si="372"/>
        <v>5038</v>
      </c>
      <c r="I11931" s="18">
        <v>4786.1000000000004</v>
      </c>
      <c r="J11931" s="27">
        <v>5038</v>
      </c>
      <c r="K11931" s="18">
        <f t="shared" si="373"/>
        <v>5038</v>
      </c>
      <c r="L11931" s="27">
        <v>4786.1000000000004</v>
      </c>
      <c r="M11931" s="36">
        <v>0</v>
      </c>
      <c r="T11931" s="41">
        <v>0</v>
      </c>
      <c r="U11931" s="41">
        <v>0</v>
      </c>
      <c r="V11931" s="42" t="s">
        <v>113</v>
      </c>
      <c r="W11931" s="42">
        <v>5038</v>
      </c>
      <c r="X11931" s="42">
        <v>5038</v>
      </c>
    </row>
    <row r="11932" spans="1:24">
      <c r="A11932" s="27" t="s">
        <v>21559</v>
      </c>
      <c r="B11932" s="28" t="s">
        <v>19918</v>
      </c>
      <c r="C11932" s="27" t="s">
        <v>21560</v>
      </c>
      <c r="D11932" s="27" t="s">
        <v>17558</v>
      </c>
      <c r="E11932" s="29">
        <v>37226</v>
      </c>
      <c r="F11932" s="27">
        <v>7</v>
      </c>
      <c r="G11932" s="18">
        <v>4972</v>
      </c>
      <c r="H11932" s="27">
        <f t="shared" si="372"/>
        <v>4972</v>
      </c>
      <c r="I11932" s="18">
        <v>4972</v>
      </c>
      <c r="J11932" s="27">
        <v>4972</v>
      </c>
      <c r="K11932" s="18">
        <f t="shared" si="373"/>
        <v>4972</v>
      </c>
      <c r="L11932" s="27">
        <v>4972</v>
      </c>
      <c r="M11932" s="36">
        <v>0</v>
      </c>
      <c r="T11932" s="41">
        <v>0</v>
      </c>
      <c r="U11932" s="41">
        <v>0</v>
      </c>
      <c r="V11932" s="42" t="s">
        <v>113</v>
      </c>
      <c r="W11932" s="42">
        <v>4972</v>
      </c>
      <c r="X11932" s="42">
        <v>4972</v>
      </c>
    </row>
    <row r="11933" spans="1:24">
      <c r="A11933" s="27" t="s">
        <v>21561</v>
      </c>
      <c r="B11933" s="28" t="s">
        <v>19918</v>
      </c>
      <c r="C11933" s="27" t="s">
        <v>21562</v>
      </c>
      <c r="D11933" s="27" t="s">
        <v>17558</v>
      </c>
      <c r="E11933" s="29">
        <v>37226</v>
      </c>
      <c r="F11933" s="27">
        <v>7</v>
      </c>
      <c r="G11933" s="18">
        <v>32980</v>
      </c>
      <c r="H11933" s="27">
        <f t="shared" si="372"/>
        <v>32980</v>
      </c>
      <c r="I11933" s="18">
        <v>31331</v>
      </c>
      <c r="J11933" s="27">
        <v>32980</v>
      </c>
      <c r="K11933" s="18">
        <f t="shared" si="373"/>
        <v>32980</v>
      </c>
      <c r="L11933" s="27">
        <v>31331</v>
      </c>
      <c r="M11933" s="36">
        <v>0</v>
      </c>
      <c r="T11933" s="41">
        <v>0</v>
      </c>
      <c r="U11933" s="41">
        <v>0</v>
      </c>
      <c r="V11933" s="42" t="s">
        <v>113</v>
      </c>
      <c r="W11933" s="42">
        <v>32980</v>
      </c>
      <c r="X11933" s="42">
        <v>32980</v>
      </c>
    </row>
    <row r="11934" spans="1:24">
      <c r="A11934" s="27" t="s">
        <v>21563</v>
      </c>
      <c r="B11934" s="28" t="s">
        <v>19918</v>
      </c>
      <c r="C11934" s="27" t="s">
        <v>21564</v>
      </c>
      <c r="D11934" s="27" t="s">
        <v>17558</v>
      </c>
      <c r="E11934" s="29">
        <v>37956</v>
      </c>
      <c r="F11934" s="27">
        <v>7</v>
      </c>
      <c r="G11934" s="18">
        <v>122982</v>
      </c>
      <c r="H11934" s="27">
        <f t="shared" si="372"/>
        <v>122982</v>
      </c>
      <c r="I11934" s="18">
        <v>116832.9</v>
      </c>
      <c r="J11934" s="27">
        <v>122982</v>
      </c>
      <c r="K11934" s="18">
        <f t="shared" si="373"/>
        <v>122982</v>
      </c>
      <c r="L11934" s="27">
        <v>116832.9</v>
      </c>
      <c r="M11934" s="36">
        <v>0</v>
      </c>
      <c r="T11934" s="41">
        <v>0</v>
      </c>
      <c r="U11934" s="41">
        <v>0</v>
      </c>
      <c r="V11934" s="42" t="s">
        <v>113</v>
      </c>
      <c r="W11934" s="42">
        <v>122982</v>
      </c>
      <c r="X11934" s="42">
        <v>122982</v>
      </c>
    </row>
    <row r="11935" spans="1:24">
      <c r="A11935" s="27" t="s">
        <v>21565</v>
      </c>
      <c r="B11935" s="28" t="s">
        <v>19918</v>
      </c>
      <c r="C11935" s="27" t="s">
        <v>21566</v>
      </c>
      <c r="D11935" s="27" t="s">
        <v>17578</v>
      </c>
      <c r="E11935" s="29">
        <v>39692</v>
      </c>
      <c r="F11935" s="27">
        <v>7</v>
      </c>
      <c r="G11935" s="18">
        <v>72113.97</v>
      </c>
      <c r="H11935" s="27">
        <f t="shared" si="372"/>
        <v>72113.97</v>
      </c>
      <c r="I11935" s="18">
        <v>68508.27</v>
      </c>
      <c r="J11935" s="27">
        <v>72113.97</v>
      </c>
      <c r="K11935" s="18">
        <f t="shared" si="373"/>
        <v>72113.97</v>
      </c>
      <c r="L11935" s="27">
        <v>68508.27</v>
      </c>
      <c r="M11935" s="36">
        <v>0</v>
      </c>
      <c r="T11935" s="41">
        <v>0</v>
      </c>
      <c r="U11935" s="41">
        <v>0</v>
      </c>
      <c r="V11935" s="42" t="s">
        <v>113</v>
      </c>
      <c r="W11935" s="42">
        <v>72113.97</v>
      </c>
      <c r="X11935" s="42">
        <v>72113.97</v>
      </c>
    </row>
    <row r="11936" spans="1:24">
      <c r="A11936" s="27" t="s">
        <v>21567</v>
      </c>
      <c r="B11936" s="28" t="s">
        <v>19918</v>
      </c>
      <c r="C11936" s="27" t="s">
        <v>21568</v>
      </c>
      <c r="D11936" s="27" t="s">
        <v>17578</v>
      </c>
      <c r="E11936" s="29">
        <v>38718</v>
      </c>
      <c r="F11936" s="27">
        <v>7</v>
      </c>
      <c r="G11936" s="18">
        <v>29000</v>
      </c>
      <c r="H11936" s="27">
        <f t="shared" si="372"/>
        <v>29000</v>
      </c>
      <c r="I11936" s="18">
        <v>27550</v>
      </c>
      <c r="J11936" s="27">
        <v>29000</v>
      </c>
      <c r="K11936" s="18">
        <f t="shared" si="373"/>
        <v>29000</v>
      </c>
      <c r="L11936" s="27">
        <v>27550</v>
      </c>
      <c r="M11936" s="36">
        <v>0</v>
      </c>
      <c r="T11936" s="41">
        <v>0</v>
      </c>
      <c r="U11936" s="41">
        <v>0</v>
      </c>
      <c r="V11936" s="42" t="s">
        <v>113</v>
      </c>
      <c r="W11936" s="42">
        <v>29000</v>
      </c>
      <c r="X11936" s="42">
        <v>29000</v>
      </c>
    </row>
    <row r="11937" spans="1:24">
      <c r="A11937" s="27" t="s">
        <v>21569</v>
      </c>
      <c r="B11937" s="28" t="s">
        <v>19918</v>
      </c>
      <c r="C11937" s="27" t="s">
        <v>21448</v>
      </c>
      <c r="D11937" s="27" t="s">
        <v>17558</v>
      </c>
      <c r="E11937" s="29">
        <v>36495</v>
      </c>
      <c r="F11937" s="27">
        <v>7</v>
      </c>
      <c r="G11937" s="18">
        <v>11948</v>
      </c>
      <c r="H11937" s="27">
        <f t="shared" si="372"/>
        <v>11948</v>
      </c>
      <c r="I11937" s="18">
        <v>11350.6</v>
      </c>
      <c r="J11937" s="27">
        <v>11948</v>
      </c>
      <c r="K11937" s="18">
        <f t="shared" si="373"/>
        <v>11948</v>
      </c>
      <c r="L11937" s="27">
        <v>11350.6</v>
      </c>
      <c r="M11937" s="36">
        <v>0</v>
      </c>
      <c r="T11937" s="41">
        <v>0</v>
      </c>
      <c r="U11937" s="41">
        <v>0</v>
      </c>
      <c r="V11937" s="42" t="s">
        <v>113</v>
      </c>
      <c r="W11937" s="42">
        <v>11948</v>
      </c>
      <c r="X11937" s="42">
        <v>11948</v>
      </c>
    </row>
    <row r="11938" spans="1:24">
      <c r="A11938" s="27" t="s">
        <v>21570</v>
      </c>
      <c r="B11938" s="28" t="s">
        <v>19918</v>
      </c>
      <c r="C11938" s="27" t="s">
        <v>21571</v>
      </c>
      <c r="D11938" s="27" t="s">
        <v>17558</v>
      </c>
      <c r="E11938" s="29">
        <v>36495</v>
      </c>
      <c r="F11938" s="27">
        <v>7</v>
      </c>
      <c r="G11938" s="18">
        <v>5150</v>
      </c>
      <c r="H11938" s="27">
        <f t="shared" si="372"/>
        <v>5150</v>
      </c>
      <c r="I11938" s="18">
        <v>4892.5</v>
      </c>
      <c r="J11938" s="27">
        <v>5150</v>
      </c>
      <c r="K11938" s="18">
        <f t="shared" si="373"/>
        <v>5150</v>
      </c>
      <c r="L11938" s="27">
        <v>4892.5</v>
      </c>
      <c r="M11938" s="36">
        <v>0</v>
      </c>
      <c r="T11938" s="41">
        <v>0</v>
      </c>
      <c r="U11938" s="41">
        <v>0</v>
      </c>
      <c r="V11938" s="42" t="s">
        <v>113</v>
      </c>
      <c r="W11938" s="42">
        <v>5150</v>
      </c>
      <c r="X11938" s="42">
        <v>5150</v>
      </c>
    </row>
    <row r="11939" spans="1:24">
      <c r="A11939" s="27" t="s">
        <v>21572</v>
      </c>
      <c r="B11939" s="28" t="s">
        <v>19918</v>
      </c>
      <c r="C11939" s="27" t="s">
        <v>21573</v>
      </c>
      <c r="D11939" s="27" t="s">
        <v>17558</v>
      </c>
      <c r="E11939" s="29">
        <v>36495</v>
      </c>
      <c r="F11939" s="27">
        <v>7</v>
      </c>
      <c r="G11939" s="18">
        <v>2168.25</v>
      </c>
      <c r="H11939" s="27">
        <f t="shared" si="372"/>
        <v>2168.25</v>
      </c>
      <c r="I11939" s="18">
        <v>2168.25</v>
      </c>
      <c r="J11939" s="27">
        <v>2168.25</v>
      </c>
      <c r="K11939" s="18">
        <f t="shared" si="373"/>
        <v>2168.25</v>
      </c>
      <c r="L11939" s="27">
        <v>2168.25</v>
      </c>
      <c r="M11939" s="36">
        <v>0</v>
      </c>
      <c r="T11939" s="41">
        <v>0</v>
      </c>
      <c r="U11939" s="41">
        <v>0</v>
      </c>
      <c r="V11939" s="42" t="s">
        <v>113</v>
      </c>
      <c r="W11939" s="42">
        <v>2168.25</v>
      </c>
      <c r="X11939" s="42">
        <v>2168.25</v>
      </c>
    </row>
    <row r="11940" spans="1:24">
      <c r="A11940" s="27" t="s">
        <v>21574</v>
      </c>
      <c r="B11940" s="28" t="s">
        <v>19918</v>
      </c>
      <c r="C11940" s="27" t="s">
        <v>21575</v>
      </c>
      <c r="D11940" s="27" t="s">
        <v>17558</v>
      </c>
      <c r="E11940" s="29">
        <v>36495</v>
      </c>
      <c r="F11940" s="27">
        <v>7</v>
      </c>
      <c r="G11940" s="18">
        <v>5250</v>
      </c>
      <c r="H11940" s="27">
        <f t="shared" si="372"/>
        <v>5250</v>
      </c>
      <c r="I11940" s="18">
        <v>4987.5</v>
      </c>
      <c r="J11940" s="27">
        <v>5250</v>
      </c>
      <c r="K11940" s="18">
        <f t="shared" si="373"/>
        <v>5250</v>
      </c>
      <c r="L11940" s="27">
        <v>4987.5</v>
      </c>
      <c r="M11940" s="36">
        <v>0</v>
      </c>
      <c r="T11940" s="41">
        <v>0</v>
      </c>
      <c r="U11940" s="41">
        <v>0</v>
      </c>
      <c r="V11940" s="42" t="s">
        <v>113</v>
      </c>
      <c r="W11940" s="42">
        <v>5250</v>
      </c>
      <c r="X11940" s="42">
        <v>5250</v>
      </c>
    </row>
    <row r="11941" spans="1:24">
      <c r="A11941" s="27" t="s">
        <v>21576</v>
      </c>
      <c r="B11941" s="28" t="s">
        <v>19918</v>
      </c>
      <c r="C11941" s="27" t="s">
        <v>21577</v>
      </c>
      <c r="D11941" s="27" t="s">
        <v>17558</v>
      </c>
      <c r="E11941" s="29">
        <v>36495</v>
      </c>
      <c r="F11941" s="27">
        <v>7</v>
      </c>
      <c r="G11941" s="18">
        <v>3097.5</v>
      </c>
      <c r="H11941" s="27">
        <f t="shared" si="372"/>
        <v>3097.5</v>
      </c>
      <c r="I11941" s="18">
        <v>3097.5</v>
      </c>
      <c r="J11941" s="27">
        <v>3097.5</v>
      </c>
      <c r="K11941" s="18">
        <f t="shared" si="373"/>
        <v>3097.5</v>
      </c>
      <c r="L11941" s="27">
        <v>3097.5</v>
      </c>
      <c r="M11941" s="36">
        <v>0</v>
      </c>
      <c r="T11941" s="41">
        <v>0</v>
      </c>
      <c r="U11941" s="41">
        <v>0</v>
      </c>
      <c r="V11941" s="42" t="s">
        <v>113</v>
      </c>
      <c r="W11941" s="42">
        <v>3097.5</v>
      </c>
      <c r="X11941" s="42">
        <v>3097.5</v>
      </c>
    </row>
    <row r="11942" spans="1:24">
      <c r="A11942" s="27" t="s">
        <v>21578</v>
      </c>
      <c r="B11942" s="28" t="s">
        <v>19918</v>
      </c>
      <c r="C11942" s="27" t="s">
        <v>21579</v>
      </c>
      <c r="D11942" s="27" t="s">
        <v>17558</v>
      </c>
      <c r="E11942" s="29">
        <v>36495</v>
      </c>
      <c r="F11942" s="27">
        <v>7</v>
      </c>
      <c r="G11942" s="18">
        <v>12075</v>
      </c>
      <c r="H11942" s="27">
        <f t="shared" si="372"/>
        <v>12075</v>
      </c>
      <c r="I11942" s="18">
        <v>11471.25</v>
      </c>
      <c r="J11942" s="27">
        <v>12075</v>
      </c>
      <c r="K11942" s="18">
        <f t="shared" si="373"/>
        <v>12075</v>
      </c>
      <c r="L11942" s="27">
        <v>11471.25</v>
      </c>
      <c r="M11942" s="36">
        <v>0</v>
      </c>
      <c r="T11942" s="41">
        <v>0</v>
      </c>
      <c r="U11942" s="41">
        <v>0</v>
      </c>
      <c r="V11942" s="42" t="s">
        <v>113</v>
      </c>
      <c r="W11942" s="42">
        <v>12075</v>
      </c>
      <c r="X11942" s="42">
        <v>12075</v>
      </c>
    </row>
    <row r="11943" spans="1:24">
      <c r="A11943" s="27" t="s">
        <v>21580</v>
      </c>
      <c r="B11943" s="28" t="s">
        <v>19918</v>
      </c>
      <c r="C11943" s="27" t="s">
        <v>21581</v>
      </c>
      <c r="D11943" s="27" t="s">
        <v>17558</v>
      </c>
      <c r="E11943" s="29">
        <v>36495</v>
      </c>
      <c r="F11943" s="27">
        <v>7</v>
      </c>
      <c r="G11943" s="18">
        <v>25725</v>
      </c>
      <c r="H11943" s="27">
        <f t="shared" si="372"/>
        <v>25725</v>
      </c>
      <c r="I11943" s="18">
        <v>24438.75</v>
      </c>
      <c r="J11943" s="27">
        <v>25725</v>
      </c>
      <c r="K11943" s="18">
        <f t="shared" si="373"/>
        <v>25725</v>
      </c>
      <c r="L11943" s="27">
        <v>24438.75</v>
      </c>
      <c r="M11943" s="36">
        <v>0</v>
      </c>
      <c r="T11943" s="41">
        <v>0</v>
      </c>
      <c r="U11943" s="41">
        <v>0</v>
      </c>
      <c r="V11943" s="42" t="s">
        <v>113</v>
      </c>
      <c r="W11943" s="42">
        <v>25725</v>
      </c>
      <c r="X11943" s="42">
        <v>25725</v>
      </c>
    </row>
    <row r="11944" spans="1:24">
      <c r="A11944" s="27" t="s">
        <v>21582</v>
      </c>
      <c r="B11944" s="28" t="s">
        <v>19918</v>
      </c>
      <c r="C11944" s="27" t="s">
        <v>21583</v>
      </c>
      <c r="D11944" s="27" t="s">
        <v>17558</v>
      </c>
      <c r="E11944" s="29">
        <v>36495</v>
      </c>
      <c r="F11944" s="27">
        <v>7</v>
      </c>
      <c r="G11944" s="18">
        <v>13965</v>
      </c>
      <c r="H11944" s="27">
        <f t="shared" si="372"/>
        <v>13965</v>
      </c>
      <c r="I11944" s="18">
        <v>13266.75</v>
      </c>
      <c r="J11944" s="27">
        <v>13965</v>
      </c>
      <c r="K11944" s="18">
        <f t="shared" si="373"/>
        <v>13965</v>
      </c>
      <c r="L11944" s="27">
        <v>13266.75</v>
      </c>
      <c r="M11944" s="36">
        <v>0</v>
      </c>
      <c r="T11944" s="41">
        <v>0</v>
      </c>
      <c r="U11944" s="41">
        <v>0</v>
      </c>
      <c r="V11944" s="42" t="s">
        <v>113</v>
      </c>
      <c r="W11944" s="42">
        <v>13965</v>
      </c>
      <c r="X11944" s="42">
        <v>13965</v>
      </c>
    </row>
    <row r="11945" spans="1:24">
      <c r="A11945" s="27" t="s">
        <v>21584</v>
      </c>
      <c r="B11945" s="28" t="s">
        <v>19918</v>
      </c>
      <c r="C11945" s="27" t="s">
        <v>21585</v>
      </c>
      <c r="D11945" s="27" t="s">
        <v>17558</v>
      </c>
      <c r="E11945" s="29">
        <v>36495</v>
      </c>
      <c r="F11945" s="27">
        <v>7</v>
      </c>
      <c r="G11945" s="18">
        <v>19950</v>
      </c>
      <c r="H11945" s="27">
        <f t="shared" si="372"/>
        <v>19950</v>
      </c>
      <c r="I11945" s="18">
        <v>18952.5</v>
      </c>
      <c r="J11945" s="27">
        <v>19950</v>
      </c>
      <c r="K11945" s="18">
        <f t="shared" si="373"/>
        <v>19950</v>
      </c>
      <c r="L11945" s="27">
        <v>18952.5</v>
      </c>
      <c r="M11945" s="36">
        <v>0</v>
      </c>
      <c r="T11945" s="41">
        <v>0</v>
      </c>
      <c r="U11945" s="41">
        <v>0</v>
      </c>
      <c r="V11945" s="42" t="s">
        <v>113</v>
      </c>
      <c r="W11945" s="42">
        <v>19950</v>
      </c>
      <c r="X11945" s="42">
        <v>19950</v>
      </c>
    </row>
    <row r="11946" spans="1:24">
      <c r="A11946" s="27" t="s">
        <v>21586</v>
      </c>
      <c r="B11946" s="28" t="s">
        <v>19918</v>
      </c>
      <c r="C11946" s="27" t="s">
        <v>21404</v>
      </c>
      <c r="D11946" s="27" t="s">
        <v>17558</v>
      </c>
      <c r="E11946" s="29">
        <v>36495</v>
      </c>
      <c r="F11946" s="27">
        <v>7</v>
      </c>
      <c r="G11946" s="18">
        <v>9691.5</v>
      </c>
      <c r="H11946" s="27">
        <f t="shared" si="372"/>
        <v>9691.5</v>
      </c>
      <c r="I11946" s="18">
        <v>9206.92</v>
      </c>
      <c r="J11946" s="27">
        <v>9691.5</v>
      </c>
      <c r="K11946" s="18">
        <f t="shared" si="373"/>
        <v>9691.5</v>
      </c>
      <c r="L11946" s="27">
        <v>9206.92</v>
      </c>
      <c r="M11946" s="36">
        <v>0</v>
      </c>
      <c r="T11946" s="41">
        <v>0</v>
      </c>
      <c r="U11946" s="41">
        <v>0</v>
      </c>
      <c r="V11946" s="42" t="s">
        <v>113</v>
      </c>
      <c r="W11946" s="42">
        <v>9691.5</v>
      </c>
      <c r="X11946" s="42">
        <v>9691.5</v>
      </c>
    </row>
    <row r="11947" spans="1:24">
      <c r="A11947" s="27" t="s">
        <v>21587</v>
      </c>
      <c r="B11947" s="28" t="s">
        <v>19918</v>
      </c>
      <c r="C11947" s="27" t="s">
        <v>21588</v>
      </c>
      <c r="D11947" s="27" t="s">
        <v>17558</v>
      </c>
      <c r="E11947" s="29">
        <v>36495</v>
      </c>
      <c r="F11947" s="27">
        <v>7</v>
      </c>
      <c r="G11947" s="18">
        <v>8925</v>
      </c>
      <c r="H11947" s="27">
        <f t="shared" si="372"/>
        <v>8925</v>
      </c>
      <c r="I11947" s="18">
        <v>8478.75</v>
      </c>
      <c r="J11947" s="27">
        <v>8925</v>
      </c>
      <c r="K11947" s="18">
        <f t="shared" si="373"/>
        <v>8925</v>
      </c>
      <c r="L11947" s="27">
        <v>8478.75</v>
      </c>
      <c r="M11947" s="36">
        <v>0</v>
      </c>
      <c r="T11947" s="41">
        <v>0</v>
      </c>
      <c r="U11947" s="41">
        <v>0</v>
      </c>
      <c r="V11947" s="42" t="s">
        <v>113</v>
      </c>
      <c r="W11947" s="42">
        <v>8925</v>
      </c>
      <c r="X11947" s="42">
        <v>8925</v>
      </c>
    </row>
    <row r="11948" spans="1:24">
      <c r="A11948" s="27" t="s">
        <v>21589</v>
      </c>
      <c r="B11948" s="28" t="s">
        <v>19918</v>
      </c>
      <c r="C11948" s="27" t="s">
        <v>21473</v>
      </c>
      <c r="D11948" s="27" t="s">
        <v>17558</v>
      </c>
      <c r="E11948" s="29">
        <v>36495</v>
      </c>
      <c r="F11948" s="27">
        <v>7</v>
      </c>
      <c r="G11948" s="18">
        <v>17430</v>
      </c>
      <c r="H11948" s="27">
        <f t="shared" si="372"/>
        <v>17430</v>
      </c>
      <c r="I11948" s="18">
        <v>16558.5</v>
      </c>
      <c r="J11948" s="27">
        <v>17430</v>
      </c>
      <c r="K11948" s="18">
        <f t="shared" si="373"/>
        <v>17430</v>
      </c>
      <c r="L11948" s="27">
        <v>16558.5</v>
      </c>
      <c r="M11948" s="36">
        <v>0</v>
      </c>
      <c r="T11948" s="41">
        <v>0</v>
      </c>
      <c r="U11948" s="41">
        <v>0</v>
      </c>
      <c r="V11948" s="42" t="s">
        <v>113</v>
      </c>
      <c r="W11948" s="42">
        <v>17430</v>
      </c>
      <c r="X11948" s="42">
        <v>17430</v>
      </c>
    </row>
    <row r="11949" spans="1:24">
      <c r="A11949" s="27" t="s">
        <v>21590</v>
      </c>
      <c r="B11949" s="28" t="s">
        <v>19918</v>
      </c>
      <c r="C11949" s="27" t="s">
        <v>21402</v>
      </c>
      <c r="D11949" s="27" t="s">
        <v>17558</v>
      </c>
      <c r="E11949" s="29">
        <v>36495</v>
      </c>
      <c r="F11949" s="27">
        <v>7</v>
      </c>
      <c r="G11949" s="18">
        <v>18900</v>
      </c>
      <c r="H11949" s="27">
        <f t="shared" si="372"/>
        <v>18900</v>
      </c>
      <c r="I11949" s="18">
        <v>17955</v>
      </c>
      <c r="J11949" s="27">
        <v>18900</v>
      </c>
      <c r="K11949" s="18">
        <f t="shared" si="373"/>
        <v>18900</v>
      </c>
      <c r="L11949" s="27">
        <v>17955</v>
      </c>
      <c r="M11949" s="36">
        <v>0</v>
      </c>
      <c r="T11949" s="41">
        <v>0</v>
      </c>
      <c r="U11949" s="41">
        <v>0</v>
      </c>
      <c r="V11949" s="42" t="s">
        <v>113</v>
      </c>
      <c r="W11949" s="42">
        <v>18900</v>
      </c>
      <c r="X11949" s="42">
        <v>18900</v>
      </c>
    </row>
    <row r="11950" spans="1:24">
      <c r="A11950" s="27" t="s">
        <v>21591</v>
      </c>
      <c r="B11950" s="28" t="s">
        <v>19918</v>
      </c>
      <c r="C11950" s="27" t="s">
        <v>21592</v>
      </c>
      <c r="D11950" s="27" t="s">
        <v>17558</v>
      </c>
      <c r="E11950" s="29">
        <v>36495</v>
      </c>
      <c r="F11950" s="27">
        <v>7</v>
      </c>
      <c r="G11950" s="18">
        <v>3675</v>
      </c>
      <c r="H11950" s="27">
        <f t="shared" si="372"/>
        <v>3675</v>
      </c>
      <c r="I11950" s="18">
        <v>3675</v>
      </c>
      <c r="J11950" s="27">
        <v>3675</v>
      </c>
      <c r="K11950" s="18">
        <f t="shared" si="373"/>
        <v>3675</v>
      </c>
      <c r="L11950" s="27">
        <v>3675</v>
      </c>
      <c r="M11950" s="36">
        <v>0</v>
      </c>
      <c r="T11950" s="41">
        <v>0</v>
      </c>
      <c r="U11950" s="41">
        <v>0</v>
      </c>
      <c r="V11950" s="42" t="s">
        <v>113</v>
      </c>
      <c r="W11950" s="42">
        <v>3675</v>
      </c>
      <c r="X11950" s="42">
        <v>3675</v>
      </c>
    </row>
    <row r="11951" spans="1:24">
      <c r="A11951" s="27" t="s">
        <v>21593</v>
      </c>
      <c r="B11951" s="28" t="s">
        <v>19918</v>
      </c>
      <c r="C11951" s="27" t="s">
        <v>21594</v>
      </c>
      <c r="D11951" s="27" t="s">
        <v>17558</v>
      </c>
      <c r="E11951" s="29">
        <v>36495</v>
      </c>
      <c r="F11951" s="27">
        <v>7</v>
      </c>
      <c r="G11951" s="18">
        <v>4147.5</v>
      </c>
      <c r="H11951" s="27">
        <f t="shared" si="372"/>
        <v>4147.5</v>
      </c>
      <c r="I11951" s="18">
        <v>4147.5</v>
      </c>
      <c r="J11951" s="27">
        <v>4147.5</v>
      </c>
      <c r="K11951" s="18">
        <f t="shared" si="373"/>
        <v>4147.5</v>
      </c>
      <c r="L11951" s="27">
        <v>4147.5</v>
      </c>
      <c r="M11951" s="36">
        <v>0</v>
      </c>
      <c r="T11951" s="41">
        <v>0</v>
      </c>
      <c r="U11951" s="41">
        <v>0</v>
      </c>
      <c r="V11951" s="42" t="s">
        <v>113</v>
      </c>
      <c r="W11951" s="42">
        <v>4147.5</v>
      </c>
      <c r="X11951" s="42">
        <v>4147.5</v>
      </c>
    </row>
    <row r="11952" spans="1:24">
      <c r="A11952" s="27" t="s">
        <v>21595</v>
      </c>
      <c r="B11952" s="28" t="s">
        <v>19918</v>
      </c>
      <c r="C11952" s="27" t="s">
        <v>21596</v>
      </c>
      <c r="D11952" s="27" t="s">
        <v>17558</v>
      </c>
      <c r="E11952" s="29">
        <v>36495</v>
      </c>
      <c r="F11952" s="27">
        <v>7</v>
      </c>
      <c r="G11952" s="18">
        <v>14700</v>
      </c>
      <c r="H11952" s="27">
        <f t="shared" si="372"/>
        <v>14700</v>
      </c>
      <c r="I11952" s="18">
        <v>13965</v>
      </c>
      <c r="J11952" s="27">
        <v>14700</v>
      </c>
      <c r="K11952" s="18">
        <f t="shared" si="373"/>
        <v>14700</v>
      </c>
      <c r="L11952" s="27">
        <v>13965</v>
      </c>
      <c r="M11952" s="36">
        <v>0</v>
      </c>
      <c r="T11952" s="41">
        <v>0</v>
      </c>
      <c r="U11952" s="41">
        <v>0</v>
      </c>
      <c r="V11952" s="42" t="s">
        <v>113</v>
      </c>
      <c r="W11952" s="42">
        <v>14700</v>
      </c>
      <c r="X11952" s="42">
        <v>14700</v>
      </c>
    </row>
    <row r="11953" spans="1:24">
      <c r="A11953" s="27" t="s">
        <v>21597</v>
      </c>
      <c r="B11953" s="28" t="s">
        <v>19918</v>
      </c>
      <c r="C11953" s="27" t="s">
        <v>21598</v>
      </c>
      <c r="D11953" s="27" t="s">
        <v>17558</v>
      </c>
      <c r="E11953" s="29">
        <v>36495</v>
      </c>
      <c r="F11953" s="27">
        <v>7</v>
      </c>
      <c r="G11953" s="18">
        <v>17640</v>
      </c>
      <c r="H11953" s="27">
        <f t="shared" si="372"/>
        <v>17640</v>
      </c>
      <c r="I11953" s="18">
        <v>16758</v>
      </c>
      <c r="J11953" s="27">
        <v>17640</v>
      </c>
      <c r="K11953" s="18">
        <f t="shared" si="373"/>
        <v>17640</v>
      </c>
      <c r="L11953" s="27">
        <v>16758</v>
      </c>
      <c r="M11953" s="36">
        <v>0</v>
      </c>
      <c r="T11953" s="41">
        <v>0</v>
      </c>
      <c r="U11953" s="41">
        <v>0</v>
      </c>
      <c r="V11953" s="42" t="s">
        <v>113</v>
      </c>
      <c r="W11953" s="42">
        <v>17640</v>
      </c>
      <c r="X11953" s="42">
        <v>17640</v>
      </c>
    </row>
    <row r="11954" spans="1:24">
      <c r="A11954" s="27" t="s">
        <v>21599</v>
      </c>
      <c r="B11954" s="28" t="s">
        <v>19918</v>
      </c>
      <c r="C11954" s="27" t="s">
        <v>21600</v>
      </c>
      <c r="D11954" s="27" t="s">
        <v>17558</v>
      </c>
      <c r="E11954" s="29">
        <v>37591</v>
      </c>
      <c r="F11954" s="27">
        <v>7</v>
      </c>
      <c r="G11954" s="18">
        <v>3838</v>
      </c>
      <c r="H11954" s="27">
        <f t="shared" si="372"/>
        <v>3838</v>
      </c>
      <c r="I11954" s="18">
        <v>3838</v>
      </c>
      <c r="J11954" s="27">
        <v>3838</v>
      </c>
      <c r="K11954" s="18">
        <f t="shared" si="373"/>
        <v>3838</v>
      </c>
      <c r="L11954" s="27">
        <v>3838</v>
      </c>
      <c r="M11954" s="36">
        <v>0</v>
      </c>
      <c r="T11954" s="41">
        <v>0</v>
      </c>
      <c r="U11954" s="41">
        <v>0</v>
      </c>
      <c r="V11954" s="42" t="s">
        <v>113</v>
      </c>
      <c r="W11954" s="42">
        <v>3838</v>
      </c>
      <c r="X11954" s="42">
        <v>3838</v>
      </c>
    </row>
    <row r="11955" spans="1:24">
      <c r="A11955" s="27" t="s">
        <v>21601</v>
      </c>
      <c r="B11955" s="28" t="s">
        <v>19918</v>
      </c>
      <c r="C11955" s="27" t="s">
        <v>21602</v>
      </c>
      <c r="D11955" s="27" t="s">
        <v>17558</v>
      </c>
      <c r="E11955" s="29">
        <v>36130</v>
      </c>
      <c r="F11955" s="27">
        <v>7</v>
      </c>
      <c r="G11955" s="18">
        <v>945</v>
      </c>
      <c r="H11955" s="27">
        <f t="shared" si="372"/>
        <v>945</v>
      </c>
      <c r="I11955" s="18">
        <v>945</v>
      </c>
      <c r="J11955" s="27">
        <v>945</v>
      </c>
      <c r="K11955" s="18">
        <f t="shared" si="373"/>
        <v>945</v>
      </c>
      <c r="L11955" s="27">
        <v>945</v>
      </c>
      <c r="M11955" s="36">
        <v>0</v>
      </c>
      <c r="T11955" s="41">
        <v>0</v>
      </c>
      <c r="U11955" s="41">
        <v>0</v>
      </c>
      <c r="V11955" s="42" t="s">
        <v>113</v>
      </c>
      <c r="W11955" s="42">
        <v>945</v>
      </c>
      <c r="X11955" s="42">
        <v>945</v>
      </c>
    </row>
    <row r="11956" spans="1:24">
      <c r="A11956" s="27" t="s">
        <v>21603</v>
      </c>
      <c r="B11956" s="28" t="s">
        <v>19918</v>
      </c>
      <c r="C11956" s="27" t="s">
        <v>21413</v>
      </c>
      <c r="D11956" s="27" t="s">
        <v>17558</v>
      </c>
      <c r="E11956" s="29">
        <v>36130</v>
      </c>
      <c r="F11956" s="27">
        <v>7</v>
      </c>
      <c r="G11956" s="18">
        <v>3291.75</v>
      </c>
      <c r="H11956" s="27">
        <f t="shared" si="372"/>
        <v>3291.75</v>
      </c>
      <c r="I11956" s="18">
        <v>3291.75</v>
      </c>
      <c r="J11956" s="27">
        <v>3291.75</v>
      </c>
      <c r="K11956" s="18">
        <f t="shared" si="373"/>
        <v>3291.75</v>
      </c>
      <c r="L11956" s="27">
        <v>3291.75</v>
      </c>
      <c r="M11956" s="36">
        <v>0</v>
      </c>
      <c r="T11956" s="41">
        <v>0</v>
      </c>
      <c r="U11956" s="41">
        <v>0</v>
      </c>
      <c r="V11956" s="42" t="s">
        <v>113</v>
      </c>
      <c r="W11956" s="42">
        <v>3291.75</v>
      </c>
      <c r="X11956" s="42">
        <v>3291.75</v>
      </c>
    </row>
    <row r="11957" spans="1:24">
      <c r="A11957" s="27" t="s">
        <v>21604</v>
      </c>
      <c r="B11957" s="28" t="s">
        <v>19918</v>
      </c>
      <c r="C11957" s="27" t="s">
        <v>21605</v>
      </c>
      <c r="D11957" s="27" t="s">
        <v>17558</v>
      </c>
      <c r="E11957" s="29">
        <v>37377</v>
      </c>
      <c r="F11957" s="27">
        <v>7</v>
      </c>
      <c r="G11957" s="18">
        <v>26307.22</v>
      </c>
      <c r="H11957" s="27">
        <f t="shared" si="372"/>
        <v>26307.22</v>
      </c>
      <c r="I11957" s="18">
        <v>24991.86</v>
      </c>
      <c r="J11957" s="27">
        <v>26307.22</v>
      </c>
      <c r="K11957" s="18">
        <f t="shared" si="373"/>
        <v>26307.22</v>
      </c>
      <c r="L11957" s="27">
        <v>24991.86</v>
      </c>
      <c r="M11957" s="36">
        <v>0</v>
      </c>
      <c r="T11957" s="41">
        <v>0</v>
      </c>
      <c r="U11957" s="41">
        <v>0</v>
      </c>
      <c r="V11957" s="42" t="s">
        <v>113</v>
      </c>
      <c r="W11957" s="42">
        <v>26307.22</v>
      </c>
      <c r="X11957" s="42">
        <v>26307.22</v>
      </c>
    </row>
    <row r="11958" spans="1:24">
      <c r="A11958" s="27" t="s">
        <v>21606</v>
      </c>
      <c r="B11958" s="28" t="s">
        <v>19918</v>
      </c>
      <c r="C11958" s="27" t="s">
        <v>21607</v>
      </c>
      <c r="D11958" s="27" t="s">
        <v>17578</v>
      </c>
      <c r="E11958" s="29">
        <v>35796</v>
      </c>
      <c r="F11958" s="27">
        <v>7</v>
      </c>
      <c r="G11958" s="18">
        <v>2472.13</v>
      </c>
      <c r="H11958" s="27">
        <f t="shared" si="372"/>
        <v>2472.13</v>
      </c>
      <c r="I11958" s="18">
        <v>2472.13</v>
      </c>
      <c r="J11958" s="27">
        <v>2472.13</v>
      </c>
      <c r="K11958" s="18">
        <f t="shared" si="373"/>
        <v>2472.13</v>
      </c>
      <c r="L11958" s="27">
        <v>2472.13</v>
      </c>
      <c r="M11958" s="36">
        <v>0</v>
      </c>
      <c r="T11958" s="41">
        <v>0</v>
      </c>
      <c r="U11958" s="41">
        <v>0</v>
      </c>
      <c r="V11958" s="42" t="s">
        <v>113</v>
      </c>
      <c r="W11958" s="42">
        <v>2472.13</v>
      </c>
      <c r="X11958" s="42">
        <v>2472.13</v>
      </c>
    </row>
    <row r="11959" spans="1:24">
      <c r="A11959" s="27" t="s">
        <v>21608</v>
      </c>
      <c r="B11959" s="28" t="s">
        <v>19918</v>
      </c>
      <c r="C11959" s="27" t="s">
        <v>21609</v>
      </c>
      <c r="D11959" s="27" t="s">
        <v>17558</v>
      </c>
      <c r="E11959" s="29">
        <v>37956</v>
      </c>
      <c r="F11959" s="27">
        <v>7</v>
      </c>
      <c r="G11959" s="18">
        <v>12519.8</v>
      </c>
      <c r="H11959" s="27">
        <f t="shared" si="372"/>
        <v>12519.8</v>
      </c>
      <c r="I11959" s="18">
        <v>11893.81</v>
      </c>
      <c r="J11959" s="27">
        <v>12519.8</v>
      </c>
      <c r="K11959" s="18">
        <f t="shared" si="373"/>
        <v>12519.8</v>
      </c>
      <c r="L11959" s="27">
        <v>11893.81</v>
      </c>
      <c r="M11959" s="36">
        <v>0</v>
      </c>
      <c r="T11959" s="41">
        <v>0</v>
      </c>
      <c r="U11959" s="41">
        <v>0</v>
      </c>
      <c r="V11959" s="42" t="s">
        <v>113</v>
      </c>
      <c r="W11959" s="42">
        <v>12519.8</v>
      </c>
      <c r="X11959" s="42">
        <v>12519.8</v>
      </c>
    </row>
    <row r="11960" spans="1:24">
      <c r="A11960" s="27" t="s">
        <v>21610</v>
      </c>
      <c r="B11960" s="28" t="s">
        <v>19918</v>
      </c>
      <c r="C11960" s="27" t="s">
        <v>21611</v>
      </c>
      <c r="D11960" s="27" t="s">
        <v>17558</v>
      </c>
      <c r="E11960" s="29">
        <v>38322</v>
      </c>
      <c r="F11960" s="27">
        <v>7</v>
      </c>
      <c r="G11960" s="18">
        <v>25800</v>
      </c>
      <c r="H11960" s="27">
        <f t="shared" si="372"/>
        <v>25800</v>
      </c>
      <c r="I11960" s="18">
        <v>24510</v>
      </c>
      <c r="J11960" s="27">
        <v>25800</v>
      </c>
      <c r="K11960" s="18">
        <f t="shared" si="373"/>
        <v>25800</v>
      </c>
      <c r="L11960" s="27">
        <v>24510</v>
      </c>
      <c r="M11960" s="36">
        <v>0</v>
      </c>
      <c r="T11960" s="41">
        <v>0</v>
      </c>
      <c r="U11960" s="41">
        <v>0</v>
      </c>
      <c r="V11960" s="42" t="s">
        <v>113</v>
      </c>
      <c r="W11960" s="42">
        <v>25800</v>
      </c>
      <c r="X11960" s="42">
        <v>25800</v>
      </c>
    </row>
    <row r="11961" spans="1:24">
      <c r="A11961" s="27" t="s">
        <v>21612</v>
      </c>
      <c r="B11961" s="28" t="s">
        <v>19918</v>
      </c>
      <c r="C11961" s="27" t="s">
        <v>21473</v>
      </c>
      <c r="D11961" s="27" t="s">
        <v>17558</v>
      </c>
      <c r="E11961" s="29">
        <v>38322</v>
      </c>
      <c r="F11961" s="27">
        <v>7</v>
      </c>
      <c r="G11961" s="18">
        <v>21000</v>
      </c>
      <c r="H11961" s="27">
        <f t="shared" si="372"/>
        <v>21000</v>
      </c>
      <c r="I11961" s="18">
        <v>19950</v>
      </c>
      <c r="J11961" s="27">
        <v>21000</v>
      </c>
      <c r="K11961" s="18">
        <f t="shared" si="373"/>
        <v>21000</v>
      </c>
      <c r="L11961" s="27">
        <v>19950</v>
      </c>
      <c r="M11961" s="36">
        <v>0</v>
      </c>
      <c r="T11961" s="41">
        <v>0</v>
      </c>
      <c r="U11961" s="41">
        <v>0</v>
      </c>
      <c r="V11961" s="42" t="s">
        <v>113</v>
      </c>
      <c r="W11961" s="42">
        <v>21000</v>
      </c>
      <c r="X11961" s="42">
        <v>21000</v>
      </c>
    </row>
    <row r="11962" spans="1:24">
      <c r="A11962" s="27" t="s">
        <v>21613</v>
      </c>
      <c r="B11962" s="28" t="s">
        <v>19918</v>
      </c>
      <c r="C11962" s="27" t="s">
        <v>21614</v>
      </c>
      <c r="D11962" s="27" t="s">
        <v>17558</v>
      </c>
      <c r="E11962" s="29">
        <v>38322</v>
      </c>
      <c r="F11962" s="27">
        <v>7</v>
      </c>
      <c r="G11962" s="18">
        <v>2300</v>
      </c>
      <c r="H11962" s="27">
        <f t="shared" si="372"/>
        <v>2300</v>
      </c>
      <c r="I11962" s="18">
        <v>2300</v>
      </c>
      <c r="J11962" s="27">
        <v>2300</v>
      </c>
      <c r="K11962" s="18">
        <f t="shared" si="373"/>
        <v>2300</v>
      </c>
      <c r="L11962" s="27">
        <v>2300</v>
      </c>
      <c r="M11962" s="36">
        <v>0</v>
      </c>
      <c r="T11962" s="41">
        <v>0</v>
      </c>
      <c r="U11962" s="41">
        <v>0</v>
      </c>
      <c r="V11962" s="42" t="s">
        <v>113</v>
      </c>
      <c r="W11962" s="42">
        <v>2300</v>
      </c>
      <c r="X11962" s="42">
        <v>2300</v>
      </c>
    </row>
    <row r="11963" spans="1:24">
      <c r="A11963" s="27" t="s">
        <v>21615</v>
      </c>
      <c r="B11963" s="28" t="s">
        <v>19918</v>
      </c>
      <c r="C11963" s="27" t="s">
        <v>21616</v>
      </c>
      <c r="D11963" s="27" t="s">
        <v>17558</v>
      </c>
      <c r="E11963" s="29">
        <v>37591</v>
      </c>
      <c r="F11963" s="27">
        <v>7</v>
      </c>
      <c r="G11963" s="18">
        <v>4646</v>
      </c>
      <c r="H11963" s="27">
        <f t="shared" si="372"/>
        <v>4646</v>
      </c>
      <c r="I11963" s="18">
        <v>4646</v>
      </c>
      <c r="J11963" s="27">
        <v>4646</v>
      </c>
      <c r="K11963" s="18">
        <f t="shared" si="373"/>
        <v>4646</v>
      </c>
      <c r="L11963" s="27">
        <v>4646</v>
      </c>
      <c r="M11963" s="36">
        <v>0</v>
      </c>
      <c r="T11963" s="41">
        <v>0</v>
      </c>
      <c r="U11963" s="41">
        <v>0</v>
      </c>
      <c r="V11963" s="42" t="s">
        <v>113</v>
      </c>
      <c r="W11963" s="42">
        <v>4646</v>
      </c>
      <c r="X11963" s="42">
        <v>4646</v>
      </c>
    </row>
    <row r="11964" spans="1:24">
      <c r="A11964" s="27" t="s">
        <v>21617</v>
      </c>
      <c r="B11964" s="28" t="s">
        <v>19918</v>
      </c>
      <c r="C11964" s="27" t="s">
        <v>21618</v>
      </c>
      <c r="D11964" s="27" t="s">
        <v>17558</v>
      </c>
      <c r="E11964" s="29">
        <v>38473</v>
      </c>
      <c r="F11964" s="27">
        <v>7</v>
      </c>
      <c r="G11964" s="18">
        <v>4200</v>
      </c>
      <c r="H11964" s="27">
        <f t="shared" si="372"/>
        <v>4200</v>
      </c>
      <c r="I11964" s="18">
        <v>4200</v>
      </c>
      <c r="J11964" s="27">
        <v>4200</v>
      </c>
      <c r="K11964" s="18">
        <f t="shared" si="373"/>
        <v>4200</v>
      </c>
      <c r="L11964" s="27">
        <v>4200</v>
      </c>
      <c r="M11964" s="36">
        <v>0</v>
      </c>
      <c r="T11964" s="41">
        <v>0</v>
      </c>
      <c r="U11964" s="41">
        <v>0</v>
      </c>
      <c r="V11964" s="42" t="s">
        <v>113</v>
      </c>
      <c r="W11964" s="42">
        <v>4200</v>
      </c>
      <c r="X11964" s="42">
        <v>4200</v>
      </c>
    </row>
    <row r="11965" spans="1:24">
      <c r="A11965" s="27" t="s">
        <v>21619</v>
      </c>
      <c r="B11965" s="28" t="s">
        <v>19918</v>
      </c>
      <c r="C11965" s="27" t="s">
        <v>21620</v>
      </c>
      <c r="D11965" s="27" t="s">
        <v>17558</v>
      </c>
      <c r="E11965" s="29">
        <v>38473</v>
      </c>
      <c r="F11965" s="27">
        <v>7</v>
      </c>
      <c r="G11965" s="18">
        <v>29000</v>
      </c>
      <c r="H11965" s="27">
        <f t="shared" si="372"/>
        <v>29000</v>
      </c>
      <c r="I11965" s="18">
        <v>27550</v>
      </c>
      <c r="J11965" s="27">
        <v>29000</v>
      </c>
      <c r="K11965" s="18">
        <f t="shared" si="373"/>
        <v>29000</v>
      </c>
      <c r="L11965" s="27">
        <v>27550</v>
      </c>
      <c r="M11965" s="36">
        <v>0</v>
      </c>
      <c r="T11965" s="41">
        <v>0</v>
      </c>
      <c r="U11965" s="41">
        <v>0</v>
      </c>
      <c r="V11965" s="42" t="s">
        <v>113</v>
      </c>
      <c r="W11965" s="42">
        <v>29000</v>
      </c>
      <c r="X11965" s="42">
        <v>29000</v>
      </c>
    </row>
    <row r="11966" spans="1:24">
      <c r="A11966" s="27" t="s">
        <v>21621</v>
      </c>
      <c r="B11966" s="28" t="s">
        <v>19918</v>
      </c>
      <c r="C11966" s="27" t="s">
        <v>21622</v>
      </c>
      <c r="D11966" s="27" t="s">
        <v>17558</v>
      </c>
      <c r="E11966" s="29">
        <v>38473</v>
      </c>
      <c r="F11966" s="27">
        <v>7</v>
      </c>
      <c r="G11966" s="18">
        <v>21500</v>
      </c>
      <c r="H11966" s="27">
        <f t="shared" si="372"/>
        <v>21500</v>
      </c>
      <c r="I11966" s="18">
        <v>20425</v>
      </c>
      <c r="J11966" s="27">
        <v>21500</v>
      </c>
      <c r="K11966" s="18">
        <f t="shared" si="373"/>
        <v>21500</v>
      </c>
      <c r="L11966" s="27">
        <v>20425</v>
      </c>
      <c r="M11966" s="36">
        <v>0</v>
      </c>
      <c r="T11966" s="41">
        <v>0</v>
      </c>
      <c r="U11966" s="41">
        <v>0</v>
      </c>
      <c r="V11966" s="42" t="s">
        <v>113</v>
      </c>
      <c r="W11966" s="42">
        <v>21500</v>
      </c>
      <c r="X11966" s="42">
        <v>21500</v>
      </c>
    </row>
    <row r="11967" spans="1:24">
      <c r="A11967" s="27" t="s">
        <v>21623</v>
      </c>
      <c r="B11967" s="28" t="s">
        <v>19918</v>
      </c>
      <c r="C11967" s="27" t="s">
        <v>21624</v>
      </c>
      <c r="D11967" s="27" t="s">
        <v>17558</v>
      </c>
      <c r="E11967" s="29">
        <v>38473</v>
      </c>
      <c r="F11967" s="27">
        <v>7</v>
      </c>
      <c r="G11967" s="18">
        <v>4938</v>
      </c>
      <c r="H11967" s="27">
        <f t="shared" si="372"/>
        <v>4938</v>
      </c>
      <c r="I11967" s="18">
        <v>4938</v>
      </c>
      <c r="J11967" s="27">
        <v>4938</v>
      </c>
      <c r="K11967" s="18">
        <f t="shared" si="373"/>
        <v>4938</v>
      </c>
      <c r="L11967" s="27">
        <v>4938</v>
      </c>
      <c r="M11967" s="36">
        <v>0</v>
      </c>
      <c r="T11967" s="41">
        <v>0</v>
      </c>
      <c r="U11967" s="41">
        <v>0</v>
      </c>
      <c r="V11967" s="42" t="s">
        <v>113</v>
      </c>
      <c r="W11967" s="42">
        <v>4938</v>
      </c>
      <c r="X11967" s="42">
        <v>4938</v>
      </c>
    </row>
    <row r="11968" spans="1:24">
      <c r="A11968" s="27" t="s">
        <v>21625</v>
      </c>
      <c r="B11968" s="28" t="s">
        <v>19918</v>
      </c>
      <c r="C11968" s="27" t="s">
        <v>21626</v>
      </c>
      <c r="D11968" s="27" t="s">
        <v>17558</v>
      </c>
      <c r="E11968" s="29">
        <v>38473</v>
      </c>
      <c r="F11968" s="27">
        <v>7</v>
      </c>
      <c r="G11968" s="18">
        <v>1980</v>
      </c>
      <c r="H11968" s="27">
        <f t="shared" si="372"/>
        <v>1980</v>
      </c>
      <c r="I11968" s="18">
        <v>1980</v>
      </c>
      <c r="J11968" s="27">
        <v>1980</v>
      </c>
      <c r="K11968" s="18">
        <f t="shared" si="373"/>
        <v>1980</v>
      </c>
      <c r="L11968" s="27">
        <v>1980</v>
      </c>
      <c r="M11968" s="36">
        <v>0</v>
      </c>
      <c r="T11968" s="41">
        <v>0</v>
      </c>
      <c r="U11968" s="41">
        <v>0</v>
      </c>
      <c r="V11968" s="42" t="s">
        <v>113</v>
      </c>
      <c r="W11968" s="42">
        <v>1980</v>
      </c>
      <c r="X11968" s="42">
        <v>1980</v>
      </c>
    </row>
    <row r="11969" spans="1:24">
      <c r="A11969" s="27" t="s">
        <v>21627</v>
      </c>
      <c r="B11969" s="28" t="s">
        <v>19918</v>
      </c>
      <c r="C11969" s="27" t="s">
        <v>21628</v>
      </c>
      <c r="D11969" s="27" t="s">
        <v>17558</v>
      </c>
      <c r="E11969" s="29">
        <v>38473</v>
      </c>
      <c r="F11969" s="27">
        <v>7</v>
      </c>
      <c r="G11969" s="18">
        <v>28500</v>
      </c>
      <c r="H11969" s="27">
        <f t="shared" si="372"/>
        <v>28500</v>
      </c>
      <c r="I11969" s="18">
        <v>27075</v>
      </c>
      <c r="J11969" s="27">
        <v>28500</v>
      </c>
      <c r="K11969" s="18">
        <f t="shared" si="373"/>
        <v>28500</v>
      </c>
      <c r="L11969" s="27">
        <v>27075</v>
      </c>
      <c r="M11969" s="36">
        <v>0</v>
      </c>
      <c r="T11969" s="41">
        <v>0</v>
      </c>
      <c r="U11969" s="41">
        <v>0</v>
      </c>
      <c r="V11969" s="42" t="s">
        <v>113</v>
      </c>
      <c r="W11969" s="42">
        <v>28500</v>
      </c>
      <c r="X11969" s="42">
        <v>28500</v>
      </c>
    </row>
    <row r="11970" spans="1:24">
      <c r="A11970" s="27" t="s">
        <v>21629</v>
      </c>
      <c r="B11970" s="28" t="s">
        <v>19918</v>
      </c>
      <c r="C11970" s="27" t="s">
        <v>21630</v>
      </c>
      <c r="D11970" s="27" t="s">
        <v>17558</v>
      </c>
      <c r="E11970" s="29">
        <v>32843</v>
      </c>
      <c r="F11970" s="27">
        <v>7</v>
      </c>
      <c r="G11970" s="18">
        <v>581613.42000000004</v>
      </c>
      <c r="H11970" s="27">
        <f t="shared" si="372"/>
        <v>581613.42000000004</v>
      </c>
      <c r="I11970" s="18">
        <v>581556.80000000005</v>
      </c>
      <c r="J11970" s="27">
        <v>581613.42000000004</v>
      </c>
      <c r="K11970" s="18">
        <f t="shared" si="373"/>
        <v>581613.42000000004</v>
      </c>
      <c r="L11970" s="27">
        <v>552532.75</v>
      </c>
      <c r="M11970" s="36">
        <v>-29024.05</v>
      </c>
      <c r="T11970" s="41">
        <v>0</v>
      </c>
      <c r="U11970" s="41">
        <v>0</v>
      </c>
      <c r="V11970" s="42" t="s">
        <v>113</v>
      </c>
      <c r="W11970" s="42">
        <v>581613.42000000004</v>
      </c>
      <c r="X11970" s="42">
        <v>581613.42000000004</v>
      </c>
    </row>
    <row r="11971" spans="1:24">
      <c r="A11971" s="27" t="s">
        <v>21631</v>
      </c>
      <c r="B11971" s="28" t="s">
        <v>19918</v>
      </c>
      <c r="C11971" s="27" t="s">
        <v>21607</v>
      </c>
      <c r="D11971" s="27" t="s">
        <v>17558</v>
      </c>
      <c r="E11971" s="29">
        <v>35977</v>
      </c>
      <c r="F11971" s="27">
        <v>7</v>
      </c>
      <c r="G11971" s="18">
        <v>4180.2299999999996</v>
      </c>
      <c r="H11971" s="27">
        <f t="shared" si="372"/>
        <v>4180.2299999999996</v>
      </c>
      <c r="I11971" s="18">
        <v>4180.2299999999996</v>
      </c>
      <c r="J11971" s="27">
        <v>4180.2299999999996</v>
      </c>
      <c r="K11971" s="18">
        <f t="shared" si="373"/>
        <v>4180.2299999999996</v>
      </c>
      <c r="L11971" s="27">
        <v>4180.2299999999996</v>
      </c>
      <c r="M11971" s="36">
        <v>0</v>
      </c>
      <c r="T11971" s="41">
        <v>0</v>
      </c>
      <c r="U11971" s="41">
        <v>0</v>
      </c>
      <c r="V11971" s="42" t="s">
        <v>113</v>
      </c>
      <c r="W11971" s="42">
        <v>4180.2299999999996</v>
      </c>
      <c r="X11971" s="42">
        <v>4180.2299999999996</v>
      </c>
    </row>
    <row r="11972" spans="1:24">
      <c r="A11972" s="27" t="s">
        <v>21632</v>
      </c>
      <c r="B11972" s="28" t="s">
        <v>19918</v>
      </c>
      <c r="C11972" s="27" t="s">
        <v>21633</v>
      </c>
      <c r="D11972" s="27" t="s">
        <v>17558</v>
      </c>
      <c r="E11972" s="29">
        <v>35827</v>
      </c>
      <c r="F11972" s="27">
        <v>7</v>
      </c>
      <c r="G11972" s="18">
        <v>2368.16</v>
      </c>
      <c r="H11972" s="27">
        <f t="shared" si="372"/>
        <v>2368.16</v>
      </c>
      <c r="I11972" s="18">
        <v>2368.16</v>
      </c>
      <c r="J11972" s="27">
        <v>2368.16</v>
      </c>
      <c r="K11972" s="18">
        <f t="shared" si="373"/>
        <v>2368.16</v>
      </c>
      <c r="L11972" s="27">
        <v>2368.16</v>
      </c>
      <c r="M11972" s="36">
        <v>0</v>
      </c>
      <c r="T11972" s="41">
        <v>0</v>
      </c>
      <c r="U11972" s="41">
        <v>0</v>
      </c>
      <c r="V11972" s="42" t="s">
        <v>113</v>
      </c>
      <c r="W11972" s="42">
        <v>2368.16</v>
      </c>
      <c r="X11972" s="42">
        <v>2368.16</v>
      </c>
    </row>
    <row r="11973" spans="1:24">
      <c r="A11973" s="27" t="s">
        <v>21634</v>
      </c>
      <c r="B11973" s="28" t="s">
        <v>19918</v>
      </c>
      <c r="C11973" s="27" t="s">
        <v>21579</v>
      </c>
      <c r="D11973" s="27" t="s">
        <v>17578</v>
      </c>
      <c r="E11973" s="29">
        <v>39539</v>
      </c>
      <c r="F11973" s="27">
        <v>7</v>
      </c>
      <c r="G11973" s="18">
        <v>22600</v>
      </c>
      <c r="H11973" s="27">
        <f t="shared" si="372"/>
        <v>22600</v>
      </c>
      <c r="I11973" s="18">
        <v>21470</v>
      </c>
      <c r="J11973" s="27">
        <v>22600</v>
      </c>
      <c r="K11973" s="18">
        <f t="shared" si="373"/>
        <v>22600</v>
      </c>
      <c r="L11973" s="27">
        <v>21470</v>
      </c>
      <c r="M11973" s="36">
        <v>0</v>
      </c>
      <c r="T11973" s="41">
        <v>0</v>
      </c>
      <c r="U11973" s="41">
        <v>0</v>
      </c>
      <c r="V11973" s="42" t="s">
        <v>113</v>
      </c>
      <c r="W11973" s="42">
        <v>22600</v>
      </c>
      <c r="X11973" s="42">
        <v>22600</v>
      </c>
    </row>
    <row r="11974" spans="1:24">
      <c r="A11974" s="27" t="s">
        <v>21635</v>
      </c>
      <c r="B11974" s="28" t="s">
        <v>19918</v>
      </c>
      <c r="C11974" s="27" t="s">
        <v>21636</v>
      </c>
      <c r="D11974" s="27" t="s">
        <v>17558</v>
      </c>
      <c r="E11974" s="29">
        <v>39356</v>
      </c>
      <c r="F11974" s="27">
        <v>7</v>
      </c>
      <c r="G11974" s="18">
        <v>210000</v>
      </c>
      <c r="H11974" s="27">
        <f t="shared" ref="H11974:H12037" si="374">IFERROR(IF(ROUND((G11974-I11974)/G11974,2)&lt;=0.05,G11974,0),0)</f>
        <v>210000</v>
      </c>
      <c r="I11974" s="18">
        <v>199500</v>
      </c>
      <c r="J11974" s="27">
        <v>210000</v>
      </c>
      <c r="K11974" s="18">
        <f t="shared" ref="K11974:K12037" si="375">IFERROR(IF(ROUND((J11974-L11974)/J11974,2)&lt;=0.05,J11974,0),0)</f>
        <v>210000</v>
      </c>
      <c r="L11974" s="27">
        <v>199500</v>
      </c>
      <c r="M11974" s="36">
        <v>0</v>
      </c>
      <c r="T11974" s="41">
        <v>0</v>
      </c>
      <c r="U11974" s="41">
        <v>0</v>
      </c>
      <c r="V11974" s="42" t="s">
        <v>113</v>
      </c>
      <c r="W11974" s="42">
        <v>210000</v>
      </c>
      <c r="X11974" s="42">
        <v>210000</v>
      </c>
    </row>
    <row r="11975" spans="1:24">
      <c r="A11975" s="27" t="s">
        <v>21637</v>
      </c>
      <c r="B11975" s="28" t="s">
        <v>19918</v>
      </c>
      <c r="C11975" s="27" t="s">
        <v>21579</v>
      </c>
      <c r="D11975" s="27" t="s">
        <v>17558</v>
      </c>
      <c r="E11975" s="29">
        <v>37591</v>
      </c>
      <c r="F11975" s="27">
        <v>7</v>
      </c>
      <c r="G11975" s="18">
        <v>46460</v>
      </c>
      <c r="H11975" s="27">
        <f t="shared" si="374"/>
        <v>46460</v>
      </c>
      <c r="I11975" s="18">
        <v>44137</v>
      </c>
      <c r="J11975" s="27">
        <v>46460</v>
      </c>
      <c r="K11975" s="18">
        <f t="shared" si="375"/>
        <v>46460</v>
      </c>
      <c r="L11975" s="27">
        <v>44137</v>
      </c>
      <c r="M11975" s="36">
        <v>0</v>
      </c>
      <c r="T11975" s="41">
        <v>0</v>
      </c>
      <c r="U11975" s="41">
        <v>0</v>
      </c>
      <c r="V11975" s="42" t="s">
        <v>113</v>
      </c>
      <c r="W11975" s="42">
        <v>46460</v>
      </c>
      <c r="X11975" s="42">
        <v>46460</v>
      </c>
    </row>
    <row r="11976" spans="1:24">
      <c r="A11976" s="27" t="s">
        <v>21638</v>
      </c>
      <c r="B11976" s="28" t="s">
        <v>19918</v>
      </c>
      <c r="C11976" s="27" t="s">
        <v>21639</v>
      </c>
      <c r="D11976" s="27" t="s">
        <v>17558</v>
      </c>
      <c r="E11976" s="29">
        <v>37591</v>
      </c>
      <c r="F11976" s="27">
        <v>7</v>
      </c>
      <c r="G11976" s="18">
        <v>4545</v>
      </c>
      <c r="H11976" s="27">
        <f t="shared" si="374"/>
        <v>4545</v>
      </c>
      <c r="I11976" s="18">
        <v>4545</v>
      </c>
      <c r="J11976" s="27">
        <v>4545</v>
      </c>
      <c r="K11976" s="18">
        <f t="shared" si="375"/>
        <v>4545</v>
      </c>
      <c r="L11976" s="27">
        <v>4545</v>
      </c>
      <c r="M11976" s="36">
        <v>0</v>
      </c>
      <c r="T11976" s="41">
        <v>0</v>
      </c>
      <c r="U11976" s="41">
        <v>0</v>
      </c>
      <c r="V11976" s="42" t="s">
        <v>113</v>
      </c>
      <c r="W11976" s="42">
        <v>4545</v>
      </c>
      <c r="X11976" s="42">
        <v>4545</v>
      </c>
    </row>
    <row r="11977" spans="1:24">
      <c r="A11977" s="27" t="s">
        <v>21640</v>
      </c>
      <c r="B11977" s="28" t="s">
        <v>19918</v>
      </c>
      <c r="C11977" s="27" t="s">
        <v>21641</v>
      </c>
      <c r="D11977" s="27" t="s">
        <v>17558</v>
      </c>
      <c r="E11977" s="29">
        <v>37591</v>
      </c>
      <c r="F11977" s="27">
        <v>7</v>
      </c>
      <c r="G11977" s="18">
        <v>14140</v>
      </c>
      <c r="H11977" s="27">
        <f t="shared" si="374"/>
        <v>14140</v>
      </c>
      <c r="I11977" s="18">
        <v>13433</v>
      </c>
      <c r="J11977" s="27">
        <v>14140</v>
      </c>
      <c r="K11977" s="18">
        <f t="shared" si="375"/>
        <v>14140</v>
      </c>
      <c r="L11977" s="27">
        <v>13433</v>
      </c>
      <c r="M11977" s="36">
        <v>0</v>
      </c>
      <c r="T11977" s="41">
        <v>0</v>
      </c>
      <c r="U11977" s="41">
        <v>0</v>
      </c>
      <c r="V11977" s="42" t="s">
        <v>113</v>
      </c>
      <c r="W11977" s="42">
        <v>14140</v>
      </c>
      <c r="X11977" s="42">
        <v>14140</v>
      </c>
    </row>
    <row r="11978" spans="1:24">
      <c r="A11978" s="27" t="s">
        <v>21642</v>
      </c>
      <c r="B11978" s="28" t="s">
        <v>19918</v>
      </c>
      <c r="C11978" s="27" t="s">
        <v>21607</v>
      </c>
      <c r="D11978" s="27" t="s">
        <v>17578</v>
      </c>
      <c r="E11978" s="29">
        <v>35735</v>
      </c>
      <c r="F11978" s="27">
        <v>7</v>
      </c>
      <c r="G11978" s="18">
        <v>2352.4499999999998</v>
      </c>
      <c r="H11978" s="27">
        <f t="shared" si="374"/>
        <v>2352.4499999999998</v>
      </c>
      <c r="I11978" s="18">
        <v>2352.4499999999998</v>
      </c>
      <c r="J11978" s="27">
        <v>2352.4499999999998</v>
      </c>
      <c r="K11978" s="18">
        <f t="shared" si="375"/>
        <v>2352.4499999999998</v>
      </c>
      <c r="L11978" s="27">
        <v>2352.4499999999998</v>
      </c>
      <c r="M11978" s="36">
        <v>0</v>
      </c>
      <c r="T11978" s="41">
        <v>0</v>
      </c>
      <c r="U11978" s="41">
        <v>0</v>
      </c>
      <c r="V11978" s="42" t="s">
        <v>113</v>
      </c>
      <c r="W11978" s="42">
        <v>2352.4499999999998</v>
      </c>
      <c r="X11978" s="42">
        <v>2352.4499999999998</v>
      </c>
    </row>
    <row r="11979" spans="1:24">
      <c r="A11979" s="27" t="s">
        <v>21643</v>
      </c>
      <c r="B11979" s="28" t="s">
        <v>19918</v>
      </c>
      <c r="C11979" s="27" t="s">
        <v>12740</v>
      </c>
      <c r="D11979" s="27" t="s">
        <v>17578</v>
      </c>
      <c r="E11979" s="29">
        <v>35765</v>
      </c>
      <c r="F11979" s="27">
        <v>7</v>
      </c>
      <c r="G11979" s="18">
        <v>1796.76</v>
      </c>
      <c r="H11979" s="27">
        <f t="shared" si="374"/>
        <v>1796.76</v>
      </c>
      <c r="I11979" s="18">
        <v>1796.76</v>
      </c>
      <c r="J11979" s="27">
        <v>1796.76</v>
      </c>
      <c r="K11979" s="18">
        <f t="shared" si="375"/>
        <v>1796.76</v>
      </c>
      <c r="L11979" s="27">
        <v>1796.76</v>
      </c>
      <c r="M11979" s="36">
        <v>0</v>
      </c>
      <c r="T11979" s="41">
        <v>0</v>
      </c>
      <c r="U11979" s="41">
        <v>0</v>
      </c>
      <c r="V11979" s="42" t="s">
        <v>113</v>
      </c>
      <c r="W11979" s="42">
        <v>1796.76</v>
      </c>
      <c r="X11979" s="42">
        <v>1796.76</v>
      </c>
    </row>
    <row r="11980" spans="1:24">
      <c r="A11980" s="27" t="s">
        <v>21644</v>
      </c>
      <c r="B11980" s="28" t="s">
        <v>19918</v>
      </c>
      <c r="C11980" s="27" t="s">
        <v>21645</v>
      </c>
      <c r="D11980" s="27" t="s">
        <v>17578</v>
      </c>
      <c r="E11980" s="29">
        <v>37591</v>
      </c>
      <c r="F11980" s="27">
        <v>7</v>
      </c>
      <c r="G11980" s="18">
        <v>19190</v>
      </c>
      <c r="H11980" s="27">
        <f t="shared" si="374"/>
        <v>19190</v>
      </c>
      <c r="I11980" s="18">
        <v>18230.5</v>
      </c>
      <c r="J11980" s="27">
        <v>19190</v>
      </c>
      <c r="K11980" s="18">
        <f t="shared" si="375"/>
        <v>19190</v>
      </c>
      <c r="L11980" s="27">
        <v>18230.5</v>
      </c>
      <c r="M11980" s="36">
        <v>0</v>
      </c>
      <c r="T11980" s="41">
        <v>0</v>
      </c>
      <c r="U11980" s="41">
        <v>0</v>
      </c>
      <c r="V11980" s="42" t="s">
        <v>113</v>
      </c>
      <c r="W11980" s="42">
        <v>19190</v>
      </c>
      <c r="X11980" s="42">
        <v>19190</v>
      </c>
    </row>
    <row r="11981" spans="1:24">
      <c r="A11981" s="27" t="s">
        <v>21646</v>
      </c>
      <c r="B11981" s="28" t="s">
        <v>19918</v>
      </c>
      <c r="C11981" s="27" t="s">
        <v>21647</v>
      </c>
      <c r="D11981" s="27" t="s">
        <v>17578</v>
      </c>
      <c r="E11981" s="29">
        <v>36831</v>
      </c>
      <c r="F11981" s="27">
        <v>7</v>
      </c>
      <c r="G11981" s="18">
        <v>23170</v>
      </c>
      <c r="H11981" s="27">
        <f t="shared" si="374"/>
        <v>23170</v>
      </c>
      <c r="I11981" s="18">
        <v>22011.5</v>
      </c>
      <c r="J11981" s="27">
        <v>23170</v>
      </c>
      <c r="K11981" s="18">
        <f t="shared" si="375"/>
        <v>23170</v>
      </c>
      <c r="L11981" s="27">
        <v>22011.5</v>
      </c>
      <c r="M11981" s="36">
        <v>0</v>
      </c>
      <c r="T11981" s="41">
        <v>0</v>
      </c>
      <c r="U11981" s="41">
        <v>0</v>
      </c>
      <c r="V11981" s="42" t="s">
        <v>113</v>
      </c>
      <c r="W11981" s="42">
        <v>23170</v>
      </c>
      <c r="X11981" s="42">
        <v>23170</v>
      </c>
    </row>
    <row r="11982" spans="1:24">
      <c r="A11982" s="27" t="s">
        <v>21648</v>
      </c>
      <c r="B11982" s="28" t="s">
        <v>19918</v>
      </c>
      <c r="C11982" s="27" t="s">
        <v>21649</v>
      </c>
      <c r="D11982" s="27" t="s">
        <v>17578</v>
      </c>
      <c r="E11982" s="29">
        <v>36831</v>
      </c>
      <c r="F11982" s="27">
        <v>7</v>
      </c>
      <c r="G11982" s="18">
        <v>8950.27</v>
      </c>
      <c r="H11982" s="27">
        <f t="shared" si="374"/>
        <v>8950.27</v>
      </c>
      <c r="I11982" s="18">
        <v>8502.76</v>
      </c>
      <c r="J11982" s="27">
        <v>8950.27</v>
      </c>
      <c r="K11982" s="18">
        <f t="shared" si="375"/>
        <v>8950.27</v>
      </c>
      <c r="L11982" s="27">
        <v>8502.76</v>
      </c>
      <c r="M11982" s="36">
        <v>0</v>
      </c>
      <c r="T11982" s="41">
        <v>0</v>
      </c>
      <c r="U11982" s="41">
        <v>0</v>
      </c>
      <c r="V11982" s="42" t="s">
        <v>113</v>
      </c>
      <c r="W11982" s="42">
        <v>8950.27</v>
      </c>
      <c r="X11982" s="42">
        <v>8950.27</v>
      </c>
    </row>
    <row r="11983" spans="1:24">
      <c r="A11983" s="27" t="s">
        <v>21650</v>
      </c>
      <c r="B11983" s="28" t="s">
        <v>19918</v>
      </c>
      <c r="C11983" s="27" t="s">
        <v>21651</v>
      </c>
      <c r="D11983" s="27" t="s">
        <v>17578</v>
      </c>
      <c r="E11983" s="29">
        <v>37591</v>
      </c>
      <c r="F11983" s="27">
        <v>7</v>
      </c>
      <c r="G11983" s="18">
        <v>9999</v>
      </c>
      <c r="H11983" s="27">
        <f t="shared" si="374"/>
        <v>9999</v>
      </c>
      <c r="I11983" s="18">
        <v>9499.0499999999993</v>
      </c>
      <c r="J11983" s="27">
        <v>9999</v>
      </c>
      <c r="K11983" s="18">
        <f t="shared" si="375"/>
        <v>9999</v>
      </c>
      <c r="L11983" s="27">
        <v>9499.0499999999993</v>
      </c>
      <c r="M11983" s="36">
        <v>0</v>
      </c>
      <c r="T11983" s="41">
        <v>0</v>
      </c>
      <c r="U11983" s="41">
        <v>0</v>
      </c>
      <c r="V11983" s="42" t="s">
        <v>113</v>
      </c>
      <c r="W11983" s="42">
        <v>9999</v>
      </c>
      <c r="X11983" s="42">
        <v>9999</v>
      </c>
    </row>
    <row r="11984" spans="1:24">
      <c r="A11984" s="27" t="s">
        <v>21652</v>
      </c>
      <c r="B11984" s="28" t="s">
        <v>19918</v>
      </c>
      <c r="C11984" s="27" t="s">
        <v>21641</v>
      </c>
      <c r="D11984" s="27" t="s">
        <v>17578</v>
      </c>
      <c r="E11984" s="29">
        <v>37591</v>
      </c>
      <c r="F11984" s="27">
        <v>7</v>
      </c>
      <c r="G11984" s="18">
        <v>14140</v>
      </c>
      <c r="H11984" s="27">
        <f t="shared" si="374"/>
        <v>14140</v>
      </c>
      <c r="I11984" s="18">
        <v>13433</v>
      </c>
      <c r="J11984" s="27">
        <v>14140</v>
      </c>
      <c r="K11984" s="18">
        <f t="shared" si="375"/>
        <v>14140</v>
      </c>
      <c r="L11984" s="27">
        <v>13433</v>
      </c>
      <c r="M11984" s="36">
        <v>0</v>
      </c>
      <c r="T11984" s="41">
        <v>0</v>
      </c>
      <c r="U11984" s="41">
        <v>0</v>
      </c>
      <c r="V11984" s="42" t="s">
        <v>113</v>
      </c>
      <c r="W11984" s="42">
        <v>14140</v>
      </c>
      <c r="X11984" s="42">
        <v>14140</v>
      </c>
    </row>
    <row r="11985" spans="1:24">
      <c r="A11985" s="27" t="s">
        <v>21653</v>
      </c>
      <c r="B11985" s="28" t="s">
        <v>19918</v>
      </c>
      <c r="C11985" s="27" t="s">
        <v>21558</v>
      </c>
      <c r="D11985" s="27" t="s">
        <v>17558</v>
      </c>
      <c r="E11985" s="29">
        <v>40325</v>
      </c>
      <c r="F11985" s="27">
        <v>7</v>
      </c>
      <c r="G11985" s="18">
        <v>2820.51</v>
      </c>
      <c r="H11985" s="27">
        <f t="shared" si="374"/>
        <v>2820.51</v>
      </c>
      <c r="I11985" s="18">
        <v>2820.51</v>
      </c>
      <c r="J11985" s="27">
        <v>2820.51</v>
      </c>
      <c r="K11985" s="18">
        <f t="shared" si="375"/>
        <v>2820.51</v>
      </c>
      <c r="L11985" s="27">
        <v>2820.51</v>
      </c>
      <c r="M11985" s="36">
        <v>0</v>
      </c>
      <c r="T11985" s="41">
        <v>0</v>
      </c>
      <c r="U11985" s="41">
        <v>0</v>
      </c>
      <c r="V11985" s="42" t="s">
        <v>113</v>
      </c>
      <c r="W11985" s="42">
        <v>2820.51</v>
      </c>
      <c r="X11985" s="42">
        <v>2820.51</v>
      </c>
    </row>
    <row r="11986" spans="1:24">
      <c r="A11986" s="27" t="s">
        <v>21654</v>
      </c>
      <c r="B11986" s="28" t="s">
        <v>19918</v>
      </c>
      <c r="C11986" s="27" t="s">
        <v>21636</v>
      </c>
      <c r="D11986" s="27" t="s">
        <v>17558</v>
      </c>
      <c r="E11986" s="29">
        <v>41275</v>
      </c>
      <c r="F11986" s="27">
        <v>7</v>
      </c>
      <c r="G11986" s="18">
        <v>188034.19</v>
      </c>
      <c r="H11986" s="27">
        <f t="shared" si="374"/>
        <v>0</v>
      </c>
      <c r="I11986" s="18">
        <v>150986.98000000001</v>
      </c>
      <c r="J11986" s="27">
        <v>188034.19</v>
      </c>
      <c r="K11986" s="18">
        <f t="shared" si="375"/>
        <v>0</v>
      </c>
      <c r="L11986" s="27">
        <v>176505.9</v>
      </c>
      <c r="M11986" s="36">
        <v>25518.92</v>
      </c>
      <c r="T11986" s="41">
        <v>0</v>
      </c>
      <c r="U11986" s="41">
        <v>0</v>
      </c>
      <c r="V11986" s="42" t="s">
        <v>113</v>
      </c>
      <c r="W11986" s="42">
        <v>188034.19</v>
      </c>
      <c r="X11986" s="42">
        <v>188034.19</v>
      </c>
    </row>
    <row r="11987" spans="1:24">
      <c r="A11987" s="27" t="s">
        <v>21655</v>
      </c>
      <c r="B11987" s="28" t="s">
        <v>19918</v>
      </c>
      <c r="C11987" s="27" t="s">
        <v>21478</v>
      </c>
      <c r="D11987" s="27" t="s">
        <v>17578</v>
      </c>
      <c r="E11987" s="29">
        <v>42533</v>
      </c>
      <c r="F11987" s="27">
        <v>7</v>
      </c>
      <c r="G11987" s="18">
        <v>5333.33</v>
      </c>
      <c r="H11987" s="27">
        <f t="shared" si="374"/>
        <v>0</v>
      </c>
      <c r="I11987" s="18">
        <v>1809.52</v>
      </c>
      <c r="J11987" s="27">
        <v>5333.33</v>
      </c>
      <c r="K11987" s="18">
        <f t="shared" si="375"/>
        <v>0</v>
      </c>
      <c r="L11987" s="27">
        <v>2533.33</v>
      </c>
      <c r="M11987" s="36">
        <v>723.81</v>
      </c>
      <c r="T11987" s="41">
        <v>0</v>
      </c>
      <c r="U11987" s="41">
        <v>0</v>
      </c>
      <c r="V11987" s="42" t="s">
        <v>113</v>
      </c>
      <c r="W11987" s="42">
        <v>0</v>
      </c>
      <c r="X11987" s="42">
        <v>0</v>
      </c>
    </row>
    <row r="11988" spans="1:24">
      <c r="A11988" s="27" t="s">
        <v>21656</v>
      </c>
      <c r="B11988" s="28" t="s">
        <v>19918</v>
      </c>
      <c r="C11988" s="27" t="s">
        <v>21657</v>
      </c>
      <c r="D11988" s="27" t="s">
        <v>17578</v>
      </c>
      <c r="E11988" s="29">
        <v>43049</v>
      </c>
      <c r="F11988" s="27">
        <v>7</v>
      </c>
      <c r="G11988" s="18">
        <v>8205.1200000000008</v>
      </c>
      <c r="H11988" s="27">
        <f t="shared" si="374"/>
        <v>0</v>
      </c>
      <c r="I11988" s="18">
        <v>1206.3499999999999</v>
      </c>
      <c r="J11988" s="27">
        <v>8205.1200000000008</v>
      </c>
      <c r="K11988" s="18">
        <f t="shared" si="375"/>
        <v>0</v>
      </c>
      <c r="L11988" s="27">
        <v>2319.9</v>
      </c>
      <c r="M11988" s="36">
        <v>1113.55</v>
      </c>
      <c r="T11988" s="41">
        <v>0</v>
      </c>
      <c r="U11988" s="41">
        <v>0</v>
      </c>
      <c r="V11988" s="42" t="s">
        <v>113</v>
      </c>
      <c r="W11988" s="42">
        <v>0</v>
      </c>
      <c r="X11988" s="42">
        <v>0</v>
      </c>
    </row>
    <row r="11989" spans="1:24">
      <c r="A11989" s="27" t="s">
        <v>21658</v>
      </c>
      <c r="B11989" s="28" t="s">
        <v>19918</v>
      </c>
      <c r="C11989" s="27" t="s">
        <v>21659</v>
      </c>
      <c r="D11989" s="27" t="s">
        <v>17578</v>
      </c>
      <c r="E11989" s="29">
        <v>43049</v>
      </c>
      <c r="F11989" s="27">
        <v>7</v>
      </c>
      <c r="G11989" s="18">
        <v>8205.1299999999992</v>
      </c>
      <c r="H11989" s="27">
        <f t="shared" si="374"/>
        <v>0</v>
      </c>
      <c r="I11989" s="18">
        <v>1206.3499999999999</v>
      </c>
      <c r="J11989" s="27">
        <v>8205.1299999999992</v>
      </c>
      <c r="K11989" s="18">
        <f t="shared" si="375"/>
        <v>0</v>
      </c>
      <c r="L11989" s="27">
        <v>2319.9</v>
      </c>
      <c r="M11989" s="36">
        <v>1113.55</v>
      </c>
      <c r="T11989" s="41">
        <v>0</v>
      </c>
      <c r="U11989" s="41">
        <v>0</v>
      </c>
      <c r="V11989" s="42" t="s">
        <v>113</v>
      </c>
      <c r="W11989" s="42">
        <v>0</v>
      </c>
      <c r="X11989" s="42">
        <v>0</v>
      </c>
    </row>
    <row r="11990" spans="1:24">
      <c r="A11990" s="27" t="s">
        <v>21660</v>
      </c>
      <c r="B11990" s="28" t="s">
        <v>19918</v>
      </c>
      <c r="C11990" s="27" t="s">
        <v>21661</v>
      </c>
      <c r="D11990" s="27" t="s">
        <v>17578</v>
      </c>
      <c r="E11990" s="29">
        <v>43049</v>
      </c>
      <c r="F11990" s="27">
        <v>7</v>
      </c>
      <c r="G11990" s="18">
        <v>8205.1299999999992</v>
      </c>
      <c r="H11990" s="27">
        <f t="shared" si="374"/>
        <v>0</v>
      </c>
      <c r="I11990" s="18">
        <v>1206.3499999999999</v>
      </c>
      <c r="J11990" s="27">
        <v>8205.1299999999992</v>
      </c>
      <c r="K11990" s="18">
        <f t="shared" si="375"/>
        <v>0</v>
      </c>
      <c r="L11990" s="27">
        <v>2319.9</v>
      </c>
      <c r="M11990" s="36">
        <v>1113.55</v>
      </c>
      <c r="T11990" s="41">
        <v>0</v>
      </c>
      <c r="U11990" s="41">
        <v>0</v>
      </c>
      <c r="V11990" s="42" t="s">
        <v>113</v>
      </c>
      <c r="W11990" s="42">
        <v>0</v>
      </c>
      <c r="X11990" s="42">
        <v>0</v>
      </c>
    </row>
    <row r="11991" spans="1:24">
      <c r="A11991" s="27" t="s">
        <v>21662</v>
      </c>
      <c r="B11991" s="28" t="s">
        <v>19918</v>
      </c>
      <c r="C11991" s="27" t="s">
        <v>21663</v>
      </c>
      <c r="D11991" s="27" t="s">
        <v>17558</v>
      </c>
      <c r="E11991" s="29">
        <v>41570</v>
      </c>
      <c r="F11991" s="27">
        <v>7</v>
      </c>
      <c r="G11991" s="18">
        <v>79162.39</v>
      </c>
      <c r="H11991" s="27">
        <f t="shared" si="374"/>
        <v>0</v>
      </c>
      <c r="I11991" s="18">
        <v>55507.92</v>
      </c>
      <c r="J11991" s="27">
        <v>79162.39</v>
      </c>
      <c r="K11991" s="18">
        <f t="shared" si="375"/>
        <v>0</v>
      </c>
      <c r="L11991" s="27">
        <v>66251.38</v>
      </c>
      <c r="M11991" s="36">
        <v>10743.46</v>
      </c>
      <c r="T11991" s="41">
        <v>0</v>
      </c>
      <c r="U11991" s="41">
        <v>0</v>
      </c>
      <c r="V11991" s="42" t="s">
        <v>113</v>
      </c>
      <c r="W11991" s="42">
        <v>79162.39</v>
      </c>
      <c r="X11991" s="42">
        <v>79162.39</v>
      </c>
    </row>
    <row r="11992" spans="1:24">
      <c r="A11992" s="27" t="s">
        <v>21664</v>
      </c>
      <c r="B11992" s="28" t="s">
        <v>19918</v>
      </c>
      <c r="C11992" s="27" t="s">
        <v>21665</v>
      </c>
      <c r="D11992" s="27" t="s">
        <v>17578</v>
      </c>
      <c r="E11992" s="29">
        <v>43061</v>
      </c>
      <c r="F11992" s="27">
        <v>7</v>
      </c>
      <c r="G11992" s="18">
        <v>76923.08</v>
      </c>
      <c r="H11992" s="27">
        <f t="shared" si="374"/>
        <v>0</v>
      </c>
      <c r="I11992" s="18">
        <v>11309.52</v>
      </c>
      <c r="J11992" s="27">
        <v>76923.08</v>
      </c>
      <c r="K11992" s="18">
        <f t="shared" si="375"/>
        <v>0</v>
      </c>
      <c r="L11992" s="27">
        <v>21749.08</v>
      </c>
      <c r="M11992" s="36">
        <v>10439.56</v>
      </c>
      <c r="T11992" s="41">
        <v>0</v>
      </c>
      <c r="U11992" s="41">
        <v>0</v>
      </c>
      <c r="V11992" s="42" t="s">
        <v>113</v>
      </c>
      <c r="W11992" s="42">
        <v>0</v>
      </c>
      <c r="X11992" s="42">
        <v>0</v>
      </c>
    </row>
    <row r="11993" spans="1:24">
      <c r="A11993" s="27" t="s">
        <v>21666</v>
      </c>
      <c r="B11993" s="28" t="s">
        <v>19918</v>
      </c>
      <c r="C11993" s="27" t="s">
        <v>21667</v>
      </c>
      <c r="D11993" s="27" t="s">
        <v>17558</v>
      </c>
      <c r="E11993" s="29">
        <v>41243</v>
      </c>
      <c r="F11993" s="27">
        <v>7</v>
      </c>
      <c r="G11993" s="18">
        <v>32478.63</v>
      </c>
      <c r="H11993" s="27">
        <f t="shared" si="374"/>
        <v>0</v>
      </c>
      <c r="I11993" s="18">
        <v>26814.2</v>
      </c>
      <c r="J11993" s="27">
        <v>32478.63</v>
      </c>
      <c r="K11993" s="18">
        <f t="shared" si="375"/>
        <v>32478.63</v>
      </c>
      <c r="L11993" s="27">
        <v>30854.7</v>
      </c>
      <c r="M11993" s="36">
        <v>4040.5</v>
      </c>
      <c r="T11993" s="41">
        <v>0</v>
      </c>
      <c r="U11993" s="41">
        <v>0</v>
      </c>
      <c r="V11993" s="42" t="s">
        <v>113</v>
      </c>
      <c r="W11993" s="42">
        <v>32478.63</v>
      </c>
      <c r="X11993" s="42">
        <v>32478.63</v>
      </c>
    </row>
    <row r="11994" spans="1:24">
      <c r="A11994" s="27" t="s">
        <v>21668</v>
      </c>
      <c r="B11994" s="28" t="s">
        <v>19918</v>
      </c>
      <c r="C11994" s="27" t="s">
        <v>21527</v>
      </c>
      <c r="D11994" s="27" t="s">
        <v>17558</v>
      </c>
      <c r="E11994" s="29">
        <v>39447</v>
      </c>
      <c r="F11994" s="27">
        <v>7</v>
      </c>
      <c r="G11994" s="18">
        <v>2171.88</v>
      </c>
      <c r="H11994" s="27">
        <f t="shared" si="374"/>
        <v>2171.88</v>
      </c>
      <c r="I11994" s="18">
        <v>2171.88</v>
      </c>
      <c r="J11994" s="27">
        <v>2171.88</v>
      </c>
      <c r="K11994" s="18">
        <f t="shared" si="375"/>
        <v>2171.88</v>
      </c>
      <c r="L11994" s="27">
        <v>2171.88</v>
      </c>
      <c r="M11994" s="36">
        <v>0</v>
      </c>
      <c r="T11994" s="41">
        <v>0</v>
      </c>
      <c r="U11994" s="41">
        <v>0</v>
      </c>
      <c r="V11994" s="42" t="s">
        <v>113</v>
      </c>
      <c r="W11994" s="42">
        <v>2171.88</v>
      </c>
      <c r="X11994" s="42">
        <v>2171.88</v>
      </c>
    </row>
    <row r="11995" spans="1:24">
      <c r="A11995" s="27" t="s">
        <v>21669</v>
      </c>
      <c r="B11995" s="28" t="s">
        <v>19918</v>
      </c>
      <c r="C11995" s="27" t="s">
        <v>21670</v>
      </c>
      <c r="D11995" s="27" t="s">
        <v>17578</v>
      </c>
      <c r="E11995" s="29">
        <v>42122</v>
      </c>
      <c r="F11995" s="27">
        <v>7</v>
      </c>
      <c r="G11995" s="18">
        <v>3418.8</v>
      </c>
      <c r="H11995" s="27">
        <f t="shared" si="374"/>
        <v>3418.8</v>
      </c>
      <c r="I11995" s="18">
        <v>3418.8</v>
      </c>
      <c r="J11995" s="27">
        <v>3418.8</v>
      </c>
      <c r="K11995" s="18">
        <f t="shared" si="375"/>
        <v>3418.8</v>
      </c>
      <c r="L11995" s="27">
        <v>3418.8</v>
      </c>
      <c r="M11995" s="36">
        <v>0</v>
      </c>
      <c r="T11995" s="41">
        <v>0</v>
      </c>
      <c r="U11995" s="41">
        <v>0</v>
      </c>
      <c r="V11995" s="42" t="s">
        <v>113</v>
      </c>
      <c r="W11995" s="42">
        <v>3418.8</v>
      </c>
      <c r="X11995" s="42">
        <v>3418.8</v>
      </c>
    </row>
    <row r="11996" spans="1:24">
      <c r="A11996" s="27" t="s">
        <v>21671</v>
      </c>
      <c r="B11996" s="28" t="s">
        <v>19918</v>
      </c>
      <c r="C11996" s="27" t="s">
        <v>21670</v>
      </c>
      <c r="D11996" s="27" t="s">
        <v>17578</v>
      </c>
      <c r="E11996" s="29">
        <v>42122</v>
      </c>
      <c r="F11996" s="27">
        <v>7</v>
      </c>
      <c r="G11996" s="18">
        <v>3418.8</v>
      </c>
      <c r="H11996" s="27">
        <f t="shared" si="374"/>
        <v>3418.8</v>
      </c>
      <c r="I11996" s="18">
        <v>3418.8</v>
      </c>
      <c r="J11996" s="27">
        <v>3418.8</v>
      </c>
      <c r="K11996" s="18">
        <f t="shared" si="375"/>
        <v>3418.8</v>
      </c>
      <c r="L11996" s="27">
        <v>3418.8</v>
      </c>
      <c r="M11996" s="36">
        <v>0</v>
      </c>
      <c r="T11996" s="41">
        <v>0</v>
      </c>
      <c r="U11996" s="41">
        <v>0</v>
      </c>
      <c r="V11996" s="42" t="s">
        <v>113</v>
      </c>
      <c r="W11996" s="42">
        <v>3418.8</v>
      </c>
      <c r="X11996" s="42">
        <v>3418.8</v>
      </c>
    </row>
    <row r="11997" spans="1:24">
      <c r="A11997" s="27" t="s">
        <v>21672</v>
      </c>
      <c r="B11997" s="28" t="s">
        <v>19918</v>
      </c>
      <c r="C11997" s="27" t="s">
        <v>21670</v>
      </c>
      <c r="D11997" s="27" t="s">
        <v>17578</v>
      </c>
      <c r="E11997" s="29">
        <v>42122</v>
      </c>
      <c r="F11997" s="27">
        <v>7</v>
      </c>
      <c r="G11997" s="18">
        <v>3418.8</v>
      </c>
      <c r="H11997" s="27">
        <f t="shared" si="374"/>
        <v>3418.8</v>
      </c>
      <c r="I11997" s="18">
        <v>3418.8</v>
      </c>
      <c r="J11997" s="27">
        <v>3418.8</v>
      </c>
      <c r="K11997" s="18">
        <f t="shared" si="375"/>
        <v>3418.8</v>
      </c>
      <c r="L11997" s="27">
        <v>3418.8</v>
      </c>
      <c r="M11997" s="36">
        <v>0</v>
      </c>
      <c r="T11997" s="41">
        <v>0</v>
      </c>
      <c r="U11997" s="41">
        <v>0</v>
      </c>
      <c r="V11997" s="42" t="s">
        <v>113</v>
      </c>
      <c r="W11997" s="42">
        <v>3418.8</v>
      </c>
      <c r="X11997" s="42">
        <v>3418.8</v>
      </c>
    </row>
    <row r="11998" spans="1:24">
      <c r="A11998" s="27" t="s">
        <v>21673</v>
      </c>
      <c r="B11998" s="28" t="s">
        <v>19918</v>
      </c>
      <c r="C11998" s="27" t="s">
        <v>21670</v>
      </c>
      <c r="D11998" s="27" t="s">
        <v>17578</v>
      </c>
      <c r="E11998" s="29">
        <v>42122</v>
      </c>
      <c r="F11998" s="27">
        <v>7</v>
      </c>
      <c r="G11998" s="18">
        <v>3418.8</v>
      </c>
      <c r="H11998" s="27">
        <f t="shared" si="374"/>
        <v>3418.8</v>
      </c>
      <c r="I11998" s="18">
        <v>3418.8</v>
      </c>
      <c r="J11998" s="27">
        <v>3418.8</v>
      </c>
      <c r="K11998" s="18">
        <f t="shared" si="375"/>
        <v>3418.8</v>
      </c>
      <c r="L11998" s="27">
        <v>3418.8</v>
      </c>
      <c r="M11998" s="36">
        <v>0</v>
      </c>
      <c r="T11998" s="41">
        <v>0</v>
      </c>
      <c r="U11998" s="41">
        <v>0</v>
      </c>
      <c r="V11998" s="42" t="s">
        <v>113</v>
      </c>
      <c r="W11998" s="42">
        <v>3418.8</v>
      </c>
      <c r="X11998" s="42">
        <v>3418.8</v>
      </c>
    </row>
    <row r="11999" spans="1:24">
      <c r="A11999" s="27" t="s">
        <v>21674</v>
      </c>
      <c r="B11999" s="28" t="s">
        <v>19918</v>
      </c>
      <c r="C11999" s="27" t="s">
        <v>21670</v>
      </c>
      <c r="D11999" s="27" t="s">
        <v>17578</v>
      </c>
      <c r="E11999" s="29">
        <v>42122</v>
      </c>
      <c r="F11999" s="27">
        <v>7</v>
      </c>
      <c r="G11999" s="18">
        <v>3418.8</v>
      </c>
      <c r="H11999" s="27">
        <f t="shared" si="374"/>
        <v>3418.8</v>
      </c>
      <c r="I11999" s="18">
        <v>3418.8</v>
      </c>
      <c r="J11999" s="27">
        <v>3418.8</v>
      </c>
      <c r="K11999" s="18">
        <f t="shared" si="375"/>
        <v>3418.8</v>
      </c>
      <c r="L11999" s="27">
        <v>3418.8</v>
      </c>
      <c r="M11999" s="36">
        <v>0</v>
      </c>
      <c r="T11999" s="41">
        <v>0</v>
      </c>
      <c r="U11999" s="41">
        <v>0</v>
      </c>
      <c r="V11999" s="42" t="s">
        <v>113</v>
      </c>
      <c r="W11999" s="42">
        <v>3418.8</v>
      </c>
      <c r="X11999" s="42">
        <v>3418.8</v>
      </c>
    </row>
    <row r="12000" spans="1:24">
      <c r="A12000" s="27" t="s">
        <v>21675</v>
      </c>
      <c r="B12000" s="28" t="s">
        <v>19918</v>
      </c>
      <c r="C12000" s="27" t="s">
        <v>21670</v>
      </c>
      <c r="D12000" s="27" t="s">
        <v>17578</v>
      </c>
      <c r="E12000" s="29">
        <v>42122</v>
      </c>
      <c r="F12000" s="27">
        <v>7</v>
      </c>
      <c r="G12000" s="18">
        <v>3418.8</v>
      </c>
      <c r="H12000" s="27">
        <f t="shared" si="374"/>
        <v>3418.8</v>
      </c>
      <c r="I12000" s="18">
        <v>3418.8</v>
      </c>
      <c r="J12000" s="27">
        <v>3418.8</v>
      </c>
      <c r="K12000" s="18">
        <f t="shared" si="375"/>
        <v>3418.8</v>
      </c>
      <c r="L12000" s="27">
        <v>3418.8</v>
      </c>
      <c r="M12000" s="36">
        <v>0</v>
      </c>
      <c r="T12000" s="41">
        <v>0</v>
      </c>
      <c r="U12000" s="41">
        <v>0</v>
      </c>
      <c r="V12000" s="42" t="s">
        <v>113</v>
      </c>
      <c r="W12000" s="42">
        <v>3418.8</v>
      </c>
      <c r="X12000" s="42">
        <v>3418.8</v>
      </c>
    </row>
    <row r="12001" spans="1:24">
      <c r="A12001" s="27" t="s">
        <v>21676</v>
      </c>
      <c r="B12001" s="28" t="s">
        <v>19918</v>
      </c>
      <c r="C12001" s="27" t="s">
        <v>21670</v>
      </c>
      <c r="D12001" s="27" t="s">
        <v>17578</v>
      </c>
      <c r="E12001" s="29">
        <v>42122</v>
      </c>
      <c r="F12001" s="27">
        <v>7</v>
      </c>
      <c r="G12001" s="18">
        <v>3418.8</v>
      </c>
      <c r="H12001" s="27">
        <f t="shared" si="374"/>
        <v>3418.8</v>
      </c>
      <c r="I12001" s="18">
        <v>3418.8</v>
      </c>
      <c r="J12001" s="27">
        <v>3418.8</v>
      </c>
      <c r="K12001" s="18">
        <f t="shared" si="375"/>
        <v>3418.8</v>
      </c>
      <c r="L12001" s="27">
        <v>3418.8</v>
      </c>
      <c r="M12001" s="36">
        <v>0</v>
      </c>
      <c r="T12001" s="41">
        <v>0</v>
      </c>
      <c r="U12001" s="41">
        <v>0</v>
      </c>
      <c r="V12001" s="42" t="s">
        <v>113</v>
      </c>
      <c r="W12001" s="42">
        <v>3418.8</v>
      </c>
      <c r="X12001" s="42">
        <v>3418.8</v>
      </c>
    </row>
    <row r="12002" spans="1:24">
      <c r="A12002" s="27" t="s">
        <v>21677</v>
      </c>
      <c r="B12002" s="28" t="s">
        <v>19918</v>
      </c>
      <c r="C12002" s="27" t="s">
        <v>21670</v>
      </c>
      <c r="D12002" s="27" t="s">
        <v>17578</v>
      </c>
      <c r="E12002" s="29">
        <v>42122</v>
      </c>
      <c r="F12002" s="27">
        <v>7</v>
      </c>
      <c r="G12002" s="18">
        <v>3418.8</v>
      </c>
      <c r="H12002" s="27">
        <f t="shared" si="374"/>
        <v>3418.8</v>
      </c>
      <c r="I12002" s="18">
        <v>3418.8</v>
      </c>
      <c r="J12002" s="27">
        <v>3418.8</v>
      </c>
      <c r="K12002" s="18">
        <f t="shared" si="375"/>
        <v>3418.8</v>
      </c>
      <c r="L12002" s="27">
        <v>3418.8</v>
      </c>
      <c r="M12002" s="36">
        <v>0</v>
      </c>
      <c r="T12002" s="41">
        <v>0</v>
      </c>
      <c r="U12002" s="41">
        <v>0</v>
      </c>
      <c r="V12002" s="42" t="s">
        <v>113</v>
      </c>
      <c r="W12002" s="42">
        <v>3418.8</v>
      </c>
      <c r="X12002" s="42">
        <v>3418.8</v>
      </c>
    </row>
    <row r="12003" spans="1:24">
      <c r="A12003" s="27" t="s">
        <v>21678</v>
      </c>
      <c r="B12003" s="28" t="s">
        <v>19918</v>
      </c>
      <c r="C12003" s="27" t="s">
        <v>21670</v>
      </c>
      <c r="D12003" s="27" t="s">
        <v>17578</v>
      </c>
      <c r="E12003" s="29">
        <v>42122</v>
      </c>
      <c r="F12003" s="27">
        <v>7</v>
      </c>
      <c r="G12003" s="18">
        <v>3418.8</v>
      </c>
      <c r="H12003" s="27">
        <f t="shared" si="374"/>
        <v>3418.8</v>
      </c>
      <c r="I12003" s="18">
        <v>3418.8</v>
      </c>
      <c r="J12003" s="27">
        <v>3418.8</v>
      </c>
      <c r="K12003" s="18">
        <f t="shared" si="375"/>
        <v>3418.8</v>
      </c>
      <c r="L12003" s="27">
        <v>3418.8</v>
      </c>
      <c r="M12003" s="36">
        <v>0</v>
      </c>
      <c r="T12003" s="41">
        <v>0</v>
      </c>
      <c r="U12003" s="41">
        <v>0</v>
      </c>
      <c r="V12003" s="42" t="s">
        <v>113</v>
      </c>
      <c r="W12003" s="42">
        <v>3418.8</v>
      </c>
      <c r="X12003" s="42">
        <v>3418.8</v>
      </c>
    </row>
    <row r="12004" spans="1:24">
      <c r="A12004" s="27" t="s">
        <v>21679</v>
      </c>
      <c r="B12004" s="28" t="s">
        <v>19918</v>
      </c>
      <c r="C12004" s="27" t="s">
        <v>21670</v>
      </c>
      <c r="D12004" s="27" t="s">
        <v>17578</v>
      </c>
      <c r="E12004" s="29">
        <v>42122</v>
      </c>
      <c r="F12004" s="27">
        <v>7</v>
      </c>
      <c r="G12004" s="18">
        <v>3418.8</v>
      </c>
      <c r="H12004" s="27">
        <f t="shared" si="374"/>
        <v>3418.8</v>
      </c>
      <c r="I12004" s="18">
        <v>3418.8</v>
      </c>
      <c r="J12004" s="27">
        <v>3418.8</v>
      </c>
      <c r="K12004" s="18">
        <f t="shared" si="375"/>
        <v>3418.8</v>
      </c>
      <c r="L12004" s="27">
        <v>3418.8</v>
      </c>
      <c r="M12004" s="36">
        <v>0</v>
      </c>
      <c r="T12004" s="41">
        <v>0</v>
      </c>
      <c r="U12004" s="41">
        <v>0</v>
      </c>
      <c r="V12004" s="42" t="s">
        <v>113</v>
      </c>
      <c r="W12004" s="42">
        <v>3418.8</v>
      </c>
      <c r="X12004" s="42">
        <v>3418.8</v>
      </c>
    </row>
    <row r="12005" spans="1:24">
      <c r="A12005" s="27" t="s">
        <v>21680</v>
      </c>
      <c r="B12005" s="28" t="s">
        <v>19918</v>
      </c>
      <c r="C12005" s="27" t="s">
        <v>21670</v>
      </c>
      <c r="D12005" s="27" t="s">
        <v>17578</v>
      </c>
      <c r="E12005" s="29">
        <v>42122</v>
      </c>
      <c r="F12005" s="27">
        <v>7</v>
      </c>
      <c r="G12005" s="18">
        <v>3418.8</v>
      </c>
      <c r="H12005" s="27">
        <f t="shared" si="374"/>
        <v>3418.8</v>
      </c>
      <c r="I12005" s="18">
        <v>3418.8</v>
      </c>
      <c r="J12005" s="27">
        <v>3418.8</v>
      </c>
      <c r="K12005" s="18">
        <f t="shared" si="375"/>
        <v>3418.8</v>
      </c>
      <c r="L12005" s="27">
        <v>3418.8</v>
      </c>
      <c r="M12005" s="36">
        <v>0</v>
      </c>
      <c r="T12005" s="41">
        <v>0</v>
      </c>
      <c r="U12005" s="41">
        <v>0</v>
      </c>
      <c r="V12005" s="42" t="s">
        <v>113</v>
      </c>
      <c r="W12005" s="42">
        <v>3418.8</v>
      </c>
      <c r="X12005" s="42">
        <v>3418.8</v>
      </c>
    </row>
    <row r="12006" spans="1:24">
      <c r="A12006" s="27" t="s">
        <v>21681</v>
      </c>
      <c r="B12006" s="28" t="s">
        <v>19918</v>
      </c>
      <c r="C12006" s="27" t="s">
        <v>21670</v>
      </c>
      <c r="D12006" s="27" t="s">
        <v>17578</v>
      </c>
      <c r="E12006" s="29">
        <v>42122</v>
      </c>
      <c r="F12006" s="27">
        <v>7</v>
      </c>
      <c r="G12006" s="18">
        <v>3418.8</v>
      </c>
      <c r="H12006" s="27">
        <f t="shared" si="374"/>
        <v>3418.8</v>
      </c>
      <c r="I12006" s="18">
        <v>3418.8</v>
      </c>
      <c r="J12006" s="27">
        <v>3418.8</v>
      </c>
      <c r="K12006" s="18">
        <f t="shared" si="375"/>
        <v>3418.8</v>
      </c>
      <c r="L12006" s="27">
        <v>3418.8</v>
      </c>
      <c r="M12006" s="36">
        <v>0</v>
      </c>
      <c r="T12006" s="41">
        <v>0</v>
      </c>
      <c r="U12006" s="41">
        <v>0</v>
      </c>
      <c r="V12006" s="42" t="s">
        <v>113</v>
      </c>
      <c r="W12006" s="42">
        <v>3418.8</v>
      </c>
      <c r="X12006" s="42">
        <v>3418.8</v>
      </c>
    </row>
    <row r="12007" spans="1:24">
      <c r="A12007" s="27" t="s">
        <v>21682</v>
      </c>
      <c r="B12007" s="28" t="s">
        <v>19918</v>
      </c>
      <c r="C12007" s="27" t="s">
        <v>21670</v>
      </c>
      <c r="D12007" s="27" t="s">
        <v>17578</v>
      </c>
      <c r="E12007" s="29">
        <v>42122</v>
      </c>
      <c r="F12007" s="27">
        <v>7</v>
      </c>
      <c r="G12007" s="18">
        <v>3418.8</v>
      </c>
      <c r="H12007" s="27">
        <f t="shared" si="374"/>
        <v>3418.8</v>
      </c>
      <c r="I12007" s="18">
        <v>3418.8</v>
      </c>
      <c r="J12007" s="27">
        <v>3418.8</v>
      </c>
      <c r="K12007" s="18">
        <f t="shared" si="375"/>
        <v>3418.8</v>
      </c>
      <c r="L12007" s="27">
        <v>3418.8</v>
      </c>
      <c r="M12007" s="36">
        <v>0</v>
      </c>
      <c r="T12007" s="41">
        <v>0</v>
      </c>
      <c r="U12007" s="41">
        <v>0</v>
      </c>
      <c r="V12007" s="42" t="s">
        <v>113</v>
      </c>
      <c r="W12007" s="42">
        <v>3418.8</v>
      </c>
      <c r="X12007" s="42">
        <v>3418.8</v>
      </c>
    </row>
    <row r="12008" spans="1:24">
      <c r="A12008" s="27" t="s">
        <v>21683</v>
      </c>
      <c r="B12008" s="28" t="s">
        <v>19918</v>
      </c>
      <c r="C12008" s="27" t="s">
        <v>21670</v>
      </c>
      <c r="D12008" s="27" t="s">
        <v>17578</v>
      </c>
      <c r="E12008" s="29">
        <v>42122</v>
      </c>
      <c r="F12008" s="27">
        <v>7</v>
      </c>
      <c r="G12008" s="18">
        <v>3418.8</v>
      </c>
      <c r="H12008" s="27">
        <f t="shared" si="374"/>
        <v>3418.8</v>
      </c>
      <c r="I12008" s="18">
        <v>3418.8</v>
      </c>
      <c r="J12008" s="27">
        <v>3418.8</v>
      </c>
      <c r="K12008" s="18">
        <f t="shared" si="375"/>
        <v>3418.8</v>
      </c>
      <c r="L12008" s="27">
        <v>3418.8</v>
      </c>
      <c r="M12008" s="36">
        <v>0</v>
      </c>
      <c r="T12008" s="41">
        <v>0</v>
      </c>
      <c r="U12008" s="41">
        <v>0</v>
      </c>
      <c r="V12008" s="42" t="s">
        <v>113</v>
      </c>
      <c r="W12008" s="42">
        <v>3418.8</v>
      </c>
      <c r="X12008" s="42">
        <v>3418.8</v>
      </c>
    </row>
    <row r="12009" spans="1:24">
      <c r="A12009" s="27" t="s">
        <v>21684</v>
      </c>
      <c r="B12009" s="28" t="s">
        <v>19918</v>
      </c>
      <c r="C12009" s="27" t="s">
        <v>21670</v>
      </c>
      <c r="D12009" s="27" t="s">
        <v>17578</v>
      </c>
      <c r="E12009" s="29">
        <v>42122</v>
      </c>
      <c r="F12009" s="27">
        <v>7</v>
      </c>
      <c r="G12009" s="18">
        <v>3418.8</v>
      </c>
      <c r="H12009" s="27">
        <f t="shared" si="374"/>
        <v>3418.8</v>
      </c>
      <c r="I12009" s="18">
        <v>3418.8</v>
      </c>
      <c r="J12009" s="27">
        <v>3418.8</v>
      </c>
      <c r="K12009" s="18">
        <f t="shared" si="375"/>
        <v>3418.8</v>
      </c>
      <c r="L12009" s="27">
        <v>3418.8</v>
      </c>
      <c r="M12009" s="36">
        <v>0</v>
      </c>
      <c r="T12009" s="41">
        <v>0</v>
      </c>
      <c r="U12009" s="41">
        <v>0</v>
      </c>
      <c r="V12009" s="42" t="s">
        <v>113</v>
      </c>
      <c r="W12009" s="42">
        <v>3418.8</v>
      </c>
      <c r="X12009" s="42">
        <v>3418.8</v>
      </c>
    </row>
    <row r="12010" spans="1:24">
      <c r="A12010" s="27" t="s">
        <v>21685</v>
      </c>
      <c r="B12010" s="28" t="s">
        <v>19918</v>
      </c>
      <c r="C12010" s="27" t="s">
        <v>21670</v>
      </c>
      <c r="D12010" s="27" t="s">
        <v>17578</v>
      </c>
      <c r="E12010" s="29">
        <v>42122</v>
      </c>
      <c r="F12010" s="27">
        <v>7</v>
      </c>
      <c r="G12010" s="18">
        <v>3418.8</v>
      </c>
      <c r="H12010" s="27">
        <f t="shared" si="374"/>
        <v>3418.8</v>
      </c>
      <c r="I12010" s="18">
        <v>3418.8</v>
      </c>
      <c r="J12010" s="27">
        <v>3418.8</v>
      </c>
      <c r="K12010" s="18">
        <f t="shared" si="375"/>
        <v>3418.8</v>
      </c>
      <c r="L12010" s="27">
        <v>3418.8</v>
      </c>
      <c r="M12010" s="36">
        <v>0</v>
      </c>
      <c r="T12010" s="41">
        <v>0</v>
      </c>
      <c r="U12010" s="41">
        <v>0</v>
      </c>
      <c r="V12010" s="42" t="s">
        <v>113</v>
      </c>
      <c r="W12010" s="42">
        <v>3418.8</v>
      </c>
      <c r="X12010" s="42">
        <v>3418.8</v>
      </c>
    </row>
    <row r="12011" spans="1:24">
      <c r="A12011" s="27" t="s">
        <v>21686</v>
      </c>
      <c r="B12011" s="28" t="s">
        <v>19918</v>
      </c>
      <c r="C12011" s="27" t="s">
        <v>21670</v>
      </c>
      <c r="D12011" s="27" t="s">
        <v>17578</v>
      </c>
      <c r="E12011" s="29">
        <v>42122</v>
      </c>
      <c r="F12011" s="27">
        <v>7</v>
      </c>
      <c r="G12011" s="18">
        <v>3418.8</v>
      </c>
      <c r="H12011" s="27">
        <f t="shared" si="374"/>
        <v>3418.8</v>
      </c>
      <c r="I12011" s="18">
        <v>3418.8</v>
      </c>
      <c r="J12011" s="27">
        <v>3418.8</v>
      </c>
      <c r="K12011" s="18">
        <f t="shared" si="375"/>
        <v>3418.8</v>
      </c>
      <c r="L12011" s="27">
        <v>3418.8</v>
      </c>
      <c r="M12011" s="36">
        <v>0</v>
      </c>
      <c r="T12011" s="41">
        <v>0</v>
      </c>
      <c r="U12011" s="41">
        <v>0</v>
      </c>
      <c r="V12011" s="42" t="s">
        <v>113</v>
      </c>
      <c r="W12011" s="42">
        <v>3418.8</v>
      </c>
      <c r="X12011" s="42">
        <v>3418.8</v>
      </c>
    </row>
    <row r="12012" spans="1:24">
      <c r="A12012" s="27" t="s">
        <v>21687</v>
      </c>
      <c r="B12012" s="28" t="s">
        <v>19918</v>
      </c>
      <c r="C12012" s="27" t="s">
        <v>21670</v>
      </c>
      <c r="D12012" s="27" t="s">
        <v>17578</v>
      </c>
      <c r="E12012" s="29">
        <v>42122</v>
      </c>
      <c r="F12012" s="27">
        <v>7</v>
      </c>
      <c r="G12012" s="18">
        <v>3418.8</v>
      </c>
      <c r="H12012" s="27">
        <f t="shared" si="374"/>
        <v>3418.8</v>
      </c>
      <c r="I12012" s="18">
        <v>3418.8</v>
      </c>
      <c r="J12012" s="27">
        <v>3418.8</v>
      </c>
      <c r="K12012" s="18">
        <f t="shared" si="375"/>
        <v>3418.8</v>
      </c>
      <c r="L12012" s="27">
        <v>3418.8</v>
      </c>
      <c r="M12012" s="36">
        <v>0</v>
      </c>
      <c r="T12012" s="41">
        <v>0</v>
      </c>
      <c r="U12012" s="41">
        <v>0</v>
      </c>
      <c r="V12012" s="42" t="s">
        <v>113</v>
      </c>
      <c r="W12012" s="42">
        <v>3418.8</v>
      </c>
      <c r="X12012" s="42">
        <v>3418.8</v>
      </c>
    </row>
    <row r="12013" spans="1:24">
      <c r="A12013" s="27" t="s">
        <v>21688</v>
      </c>
      <c r="B12013" s="28" t="s">
        <v>19918</v>
      </c>
      <c r="C12013" s="27" t="s">
        <v>21670</v>
      </c>
      <c r="D12013" s="27" t="s">
        <v>17578</v>
      </c>
      <c r="E12013" s="29">
        <v>42122</v>
      </c>
      <c r="F12013" s="27">
        <v>7</v>
      </c>
      <c r="G12013" s="18">
        <v>3418.8</v>
      </c>
      <c r="H12013" s="27">
        <f t="shared" si="374"/>
        <v>3418.8</v>
      </c>
      <c r="I12013" s="18">
        <v>3418.8</v>
      </c>
      <c r="J12013" s="27">
        <v>3418.8</v>
      </c>
      <c r="K12013" s="18">
        <f t="shared" si="375"/>
        <v>3418.8</v>
      </c>
      <c r="L12013" s="27">
        <v>3418.8</v>
      </c>
      <c r="M12013" s="36">
        <v>0</v>
      </c>
      <c r="T12013" s="41">
        <v>0</v>
      </c>
      <c r="U12013" s="41">
        <v>0</v>
      </c>
      <c r="V12013" s="42" t="s">
        <v>113</v>
      </c>
      <c r="W12013" s="42">
        <v>3418.8</v>
      </c>
      <c r="X12013" s="42">
        <v>3418.8</v>
      </c>
    </row>
    <row r="12014" spans="1:24">
      <c r="A12014" s="27" t="s">
        <v>21689</v>
      </c>
      <c r="B12014" s="28" t="s">
        <v>19918</v>
      </c>
      <c r="C12014" s="27" t="s">
        <v>21690</v>
      </c>
      <c r="D12014" s="27" t="s">
        <v>17558</v>
      </c>
      <c r="E12014" s="29">
        <v>41983</v>
      </c>
      <c r="F12014" s="27">
        <v>7</v>
      </c>
      <c r="G12014" s="18">
        <v>1480</v>
      </c>
      <c r="H12014" s="27">
        <f t="shared" si="374"/>
        <v>1480</v>
      </c>
      <c r="I12014" s="18">
        <v>1480</v>
      </c>
      <c r="J12014" s="27">
        <v>1480</v>
      </c>
      <c r="K12014" s="18">
        <f t="shared" si="375"/>
        <v>1480</v>
      </c>
      <c r="L12014" s="27">
        <v>1480</v>
      </c>
      <c r="M12014" s="36">
        <v>0</v>
      </c>
      <c r="T12014" s="41">
        <v>0</v>
      </c>
      <c r="U12014" s="41">
        <v>0</v>
      </c>
      <c r="V12014" s="42" t="s">
        <v>113</v>
      </c>
      <c r="W12014" s="42">
        <v>1480</v>
      </c>
      <c r="X12014" s="42">
        <v>1480</v>
      </c>
    </row>
    <row r="12015" spans="1:24">
      <c r="A12015" s="27" t="s">
        <v>21691</v>
      </c>
      <c r="B12015" s="28" t="s">
        <v>19918</v>
      </c>
      <c r="C12015" s="27" t="s">
        <v>21690</v>
      </c>
      <c r="D12015" s="27" t="s">
        <v>17558</v>
      </c>
      <c r="E12015" s="29">
        <v>41983</v>
      </c>
      <c r="F12015" s="27">
        <v>7</v>
      </c>
      <c r="G12015" s="18">
        <v>1480</v>
      </c>
      <c r="H12015" s="27">
        <f t="shared" si="374"/>
        <v>1480</v>
      </c>
      <c r="I12015" s="18">
        <v>1480</v>
      </c>
      <c r="J12015" s="27">
        <v>1480</v>
      </c>
      <c r="K12015" s="18">
        <f t="shared" si="375"/>
        <v>1480</v>
      </c>
      <c r="L12015" s="27">
        <v>1480</v>
      </c>
      <c r="M12015" s="36">
        <v>0</v>
      </c>
      <c r="T12015" s="41">
        <v>0</v>
      </c>
      <c r="U12015" s="41">
        <v>0</v>
      </c>
      <c r="V12015" s="42" t="s">
        <v>113</v>
      </c>
      <c r="W12015" s="42">
        <v>1480</v>
      </c>
      <c r="X12015" s="42">
        <v>1480</v>
      </c>
    </row>
    <row r="12016" spans="1:24">
      <c r="A12016" s="27" t="s">
        <v>21692</v>
      </c>
      <c r="B12016" s="28" t="s">
        <v>19918</v>
      </c>
      <c r="C12016" s="27" t="s">
        <v>21690</v>
      </c>
      <c r="D12016" s="27" t="s">
        <v>17558</v>
      </c>
      <c r="E12016" s="29">
        <v>41983</v>
      </c>
      <c r="F12016" s="27">
        <v>7</v>
      </c>
      <c r="G12016" s="18">
        <v>1480</v>
      </c>
      <c r="H12016" s="27">
        <f t="shared" si="374"/>
        <v>1480</v>
      </c>
      <c r="I12016" s="18">
        <v>1480</v>
      </c>
      <c r="J12016" s="27">
        <v>1480</v>
      </c>
      <c r="K12016" s="18">
        <f t="shared" si="375"/>
        <v>1480</v>
      </c>
      <c r="L12016" s="27">
        <v>1480</v>
      </c>
      <c r="M12016" s="36">
        <v>0</v>
      </c>
      <c r="T12016" s="41">
        <v>0</v>
      </c>
      <c r="U12016" s="41">
        <v>0</v>
      </c>
      <c r="V12016" s="42" t="s">
        <v>113</v>
      </c>
      <c r="W12016" s="42">
        <v>1480</v>
      </c>
      <c r="X12016" s="42">
        <v>1480</v>
      </c>
    </row>
    <row r="12017" spans="1:24">
      <c r="A12017" s="27" t="s">
        <v>21693</v>
      </c>
      <c r="B12017" s="28" t="s">
        <v>19918</v>
      </c>
      <c r="C12017" s="27" t="s">
        <v>21690</v>
      </c>
      <c r="D12017" s="27" t="s">
        <v>17558</v>
      </c>
      <c r="E12017" s="29">
        <v>41983</v>
      </c>
      <c r="F12017" s="27">
        <v>7</v>
      </c>
      <c r="G12017" s="18">
        <v>1480</v>
      </c>
      <c r="H12017" s="27">
        <f t="shared" si="374"/>
        <v>1480</v>
      </c>
      <c r="I12017" s="18">
        <v>1480</v>
      </c>
      <c r="J12017" s="27">
        <v>1480</v>
      </c>
      <c r="K12017" s="18">
        <f t="shared" si="375"/>
        <v>1480</v>
      </c>
      <c r="L12017" s="27">
        <v>1480</v>
      </c>
      <c r="M12017" s="36">
        <v>0</v>
      </c>
      <c r="T12017" s="41">
        <v>0</v>
      </c>
      <c r="U12017" s="41">
        <v>0</v>
      </c>
      <c r="V12017" s="42" t="s">
        <v>113</v>
      </c>
      <c r="W12017" s="42">
        <v>1480</v>
      </c>
      <c r="X12017" s="42">
        <v>1480</v>
      </c>
    </row>
    <row r="12018" spans="1:24">
      <c r="A12018" s="27" t="s">
        <v>21694</v>
      </c>
      <c r="B12018" s="28" t="s">
        <v>19918</v>
      </c>
      <c r="C12018" s="27" t="s">
        <v>21690</v>
      </c>
      <c r="D12018" s="27" t="s">
        <v>17558</v>
      </c>
      <c r="E12018" s="29">
        <v>41983</v>
      </c>
      <c r="F12018" s="27">
        <v>7</v>
      </c>
      <c r="G12018" s="18">
        <v>1480</v>
      </c>
      <c r="H12018" s="27">
        <f t="shared" si="374"/>
        <v>1480</v>
      </c>
      <c r="I12018" s="18">
        <v>1480</v>
      </c>
      <c r="J12018" s="27">
        <v>1480</v>
      </c>
      <c r="K12018" s="18">
        <f t="shared" si="375"/>
        <v>1480</v>
      </c>
      <c r="L12018" s="27">
        <v>1480</v>
      </c>
      <c r="M12018" s="36">
        <v>0</v>
      </c>
      <c r="T12018" s="41">
        <v>0</v>
      </c>
      <c r="U12018" s="41">
        <v>0</v>
      </c>
      <c r="V12018" s="42" t="s">
        <v>113</v>
      </c>
      <c r="W12018" s="42">
        <v>1480</v>
      </c>
      <c r="X12018" s="42">
        <v>1480</v>
      </c>
    </row>
    <row r="12019" spans="1:24">
      <c r="A12019" s="27" t="s">
        <v>21695</v>
      </c>
      <c r="B12019" s="28" t="s">
        <v>19918</v>
      </c>
      <c r="C12019" s="27" t="s">
        <v>21690</v>
      </c>
      <c r="D12019" s="27" t="s">
        <v>17558</v>
      </c>
      <c r="E12019" s="29">
        <v>41983</v>
      </c>
      <c r="F12019" s="27">
        <v>7</v>
      </c>
      <c r="G12019" s="18">
        <v>1480</v>
      </c>
      <c r="H12019" s="27">
        <f t="shared" si="374"/>
        <v>1480</v>
      </c>
      <c r="I12019" s="18">
        <v>1480</v>
      </c>
      <c r="J12019" s="27">
        <v>1480</v>
      </c>
      <c r="K12019" s="18">
        <f t="shared" si="375"/>
        <v>1480</v>
      </c>
      <c r="L12019" s="27">
        <v>1480</v>
      </c>
      <c r="M12019" s="36">
        <v>0</v>
      </c>
      <c r="T12019" s="41">
        <v>0</v>
      </c>
      <c r="U12019" s="41">
        <v>0</v>
      </c>
      <c r="V12019" s="42" t="s">
        <v>113</v>
      </c>
      <c r="W12019" s="42">
        <v>1480</v>
      </c>
      <c r="X12019" s="42">
        <v>1480</v>
      </c>
    </row>
    <row r="12020" spans="1:24">
      <c r="A12020" s="27" t="s">
        <v>21696</v>
      </c>
      <c r="B12020" s="28" t="s">
        <v>19918</v>
      </c>
      <c r="C12020" s="27" t="s">
        <v>21690</v>
      </c>
      <c r="D12020" s="27" t="s">
        <v>17558</v>
      </c>
      <c r="E12020" s="29">
        <v>41983</v>
      </c>
      <c r="F12020" s="27">
        <v>7</v>
      </c>
      <c r="G12020" s="18">
        <v>1480</v>
      </c>
      <c r="H12020" s="27">
        <f t="shared" si="374"/>
        <v>1480</v>
      </c>
      <c r="I12020" s="18">
        <v>1480</v>
      </c>
      <c r="J12020" s="27">
        <v>1480</v>
      </c>
      <c r="K12020" s="18">
        <f t="shared" si="375"/>
        <v>1480</v>
      </c>
      <c r="L12020" s="27">
        <v>1480</v>
      </c>
      <c r="M12020" s="36">
        <v>0</v>
      </c>
      <c r="T12020" s="41">
        <v>0</v>
      </c>
      <c r="U12020" s="41">
        <v>0</v>
      </c>
      <c r="V12020" s="42" t="s">
        <v>113</v>
      </c>
      <c r="W12020" s="42">
        <v>1480</v>
      </c>
      <c r="X12020" s="42">
        <v>1480</v>
      </c>
    </row>
    <row r="12021" spans="1:24">
      <c r="A12021" s="27" t="s">
        <v>21697</v>
      </c>
      <c r="B12021" s="28" t="s">
        <v>19918</v>
      </c>
      <c r="C12021" s="27" t="s">
        <v>21690</v>
      </c>
      <c r="D12021" s="27" t="s">
        <v>17558</v>
      </c>
      <c r="E12021" s="29">
        <v>41983</v>
      </c>
      <c r="F12021" s="27">
        <v>7</v>
      </c>
      <c r="G12021" s="18">
        <v>1480</v>
      </c>
      <c r="H12021" s="27">
        <f t="shared" si="374"/>
        <v>1480</v>
      </c>
      <c r="I12021" s="18">
        <v>1480</v>
      </c>
      <c r="J12021" s="27">
        <v>1480</v>
      </c>
      <c r="K12021" s="18">
        <f t="shared" si="375"/>
        <v>1480</v>
      </c>
      <c r="L12021" s="27">
        <v>1480</v>
      </c>
      <c r="M12021" s="36">
        <v>0</v>
      </c>
      <c r="T12021" s="41">
        <v>0</v>
      </c>
      <c r="U12021" s="41">
        <v>0</v>
      </c>
      <c r="V12021" s="42" t="s">
        <v>113</v>
      </c>
      <c r="W12021" s="42">
        <v>1480</v>
      </c>
      <c r="X12021" s="42">
        <v>1480</v>
      </c>
    </row>
    <row r="12022" spans="1:24">
      <c r="A12022" s="27" t="s">
        <v>21698</v>
      </c>
      <c r="B12022" s="28" t="s">
        <v>19918</v>
      </c>
      <c r="C12022" s="27" t="s">
        <v>21690</v>
      </c>
      <c r="D12022" s="27" t="s">
        <v>17558</v>
      </c>
      <c r="E12022" s="29">
        <v>41983</v>
      </c>
      <c r="F12022" s="27">
        <v>7</v>
      </c>
      <c r="G12022" s="18">
        <v>1480</v>
      </c>
      <c r="H12022" s="27">
        <f t="shared" si="374"/>
        <v>1480</v>
      </c>
      <c r="I12022" s="18">
        <v>1480</v>
      </c>
      <c r="J12022" s="27">
        <v>1480</v>
      </c>
      <c r="K12022" s="18">
        <f t="shared" si="375"/>
        <v>1480</v>
      </c>
      <c r="L12022" s="27">
        <v>1480</v>
      </c>
      <c r="M12022" s="36">
        <v>0</v>
      </c>
      <c r="T12022" s="41">
        <v>0</v>
      </c>
      <c r="U12022" s="41">
        <v>0</v>
      </c>
      <c r="V12022" s="42" t="s">
        <v>113</v>
      </c>
      <c r="W12022" s="42">
        <v>1480</v>
      </c>
      <c r="X12022" s="42">
        <v>1480</v>
      </c>
    </row>
    <row r="12023" spans="1:24">
      <c r="A12023" s="27" t="s">
        <v>21699</v>
      </c>
      <c r="B12023" s="28" t="s">
        <v>19918</v>
      </c>
      <c r="C12023" s="27" t="s">
        <v>21690</v>
      </c>
      <c r="D12023" s="27" t="s">
        <v>17558</v>
      </c>
      <c r="E12023" s="29">
        <v>41983</v>
      </c>
      <c r="F12023" s="27">
        <v>7</v>
      </c>
      <c r="G12023" s="18">
        <v>1480</v>
      </c>
      <c r="H12023" s="27">
        <f t="shared" si="374"/>
        <v>1480</v>
      </c>
      <c r="I12023" s="18">
        <v>1480</v>
      </c>
      <c r="J12023" s="27">
        <v>1480</v>
      </c>
      <c r="K12023" s="18">
        <f t="shared" si="375"/>
        <v>1480</v>
      </c>
      <c r="L12023" s="27">
        <v>1480</v>
      </c>
      <c r="M12023" s="36">
        <v>0</v>
      </c>
      <c r="T12023" s="41">
        <v>0</v>
      </c>
      <c r="U12023" s="41">
        <v>0</v>
      </c>
      <c r="V12023" s="42" t="s">
        <v>113</v>
      </c>
      <c r="W12023" s="42">
        <v>1480</v>
      </c>
      <c r="X12023" s="42">
        <v>1480</v>
      </c>
    </row>
    <row r="12024" spans="1:24">
      <c r="A12024" s="27" t="s">
        <v>21700</v>
      </c>
      <c r="B12024" s="28" t="s">
        <v>19918</v>
      </c>
      <c r="C12024" s="27" t="s">
        <v>21690</v>
      </c>
      <c r="D12024" s="27" t="s">
        <v>17558</v>
      </c>
      <c r="E12024" s="29">
        <v>41983</v>
      </c>
      <c r="F12024" s="27">
        <v>7</v>
      </c>
      <c r="G12024" s="18">
        <v>1480</v>
      </c>
      <c r="H12024" s="27">
        <f t="shared" si="374"/>
        <v>1480</v>
      </c>
      <c r="I12024" s="18">
        <v>1480</v>
      </c>
      <c r="J12024" s="27">
        <v>1480</v>
      </c>
      <c r="K12024" s="18">
        <f t="shared" si="375"/>
        <v>1480</v>
      </c>
      <c r="L12024" s="27">
        <v>1480</v>
      </c>
      <c r="M12024" s="36">
        <v>0</v>
      </c>
      <c r="T12024" s="41">
        <v>0</v>
      </c>
      <c r="U12024" s="41">
        <v>0</v>
      </c>
      <c r="V12024" s="42" t="s">
        <v>113</v>
      </c>
      <c r="W12024" s="42">
        <v>1480</v>
      </c>
      <c r="X12024" s="42">
        <v>1480</v>
      </c>
    </row>
    <row r="12025" spans="1:24">
      <c r="A12025" s="27" t="s">
        <v>21701</v>
      </c>
      <c r="B12025" s="28" t="s">
        <v>19918</v>
      </c>
      <c r="C12025" s="27" t="s">
        <v>21690</v>
      </c>
      <c r="D12025" s="27" t="s">
        <v>17558</v>
      </c>
      <c r="E12025" s="29">
        <v>41983</v>
      </c>
      <c r="F12025" s="27">
        <v>7</v>
      </c>
      <c r="G12025" s="18">
        <v>1480</v>
      </c>
      <c r="H12025" s="27">
        <f t="shared" si="374"/>
        <v>1480</v>
      </c>
      <c r="I12025" s="18">
        <v>1480</v>
      </c>
      <c r="J12025" s="27">
        <v>1480</v>
      </c>
      <c r="K12025" s="18">
        <f t="shared" si="375"/>
        <v>1480</v>
      </c>
      <c r="L12025" s="27">
        <v>1480</v>
      </c>
      <c r="M12025" s="36">
        <v>0</v>
      </c>
      <c r="T12025" s="41">
        <v>0</v>
      </c>
      <c r="U12025" s="41">
        <v>0</v>
      </c>
      <c r="V12025" s="42" t="s">
        <v>113</v>
      </c>
      <c r="W12025" s="42">
        <v>1480</v>
      </c>
      <c r="X12025" s="42">
        <v>1480</v>
      </c>
    </row>
    <row r="12026" spans="1:24">
      <c r="A12026" s="27" t="s">
        <v>21702</v>
      </c>
      <c r="B12026" s="28" t="s">
        <v>19918</v>
      </c>
      <c r="C12026" s="27" t="s">
        <v>21690</v>
      </c>
      <c r="D12026" s="27" t="s">
        <v>17558</v>
      </c>
      <c r="E12026" s="29">
        <v>41983</v>
      </c>
      <c r="F12026" s="27">
        <v>7</v>
      </c>
      <c r="G12026" s="18">
        <v>1480</v>
      </c>
      <c r="H12026" s="27">
        <f t="shared" si="374"/>
        <v>1480</v>
      </c>
      <c r="I12026" s="18">
        <v>1480</v>
      </c>
      <c r="J12026" s="27">
        <v>1480</v>
      </c>
      <c r="K12026" s="18">
        <f t="shared" si="375"/>
        <v>1480</v>
      </c>
      <c r="L12026" s="27">
        <v>1480</v>
      </c>
      <c r="M12026" s="36">
        <v>0</v>
      </c>
      <c r="T12026" s="41">
        <v>0</v>
      </c>
      <c r="U12026" s="41">
        <v>0</v>
      </c>
      <c r="V12026" s="42" t="s">
        <v>113</v>
      </c>
      <c r="W12026" s="42">
        <v>1480</v>
      </c>
      <c r="X12026" s="42">
        <v>1480</v>
      </c>
    </row>
    <row r="12027" spans="1:24">
      <c r="A12027" s="27" t="s">
        <v>21703</v>
      </c>
      <c r="B12027" s="28" t="s">
        <v>19918</v>
      </c>
      <c r="C12027" s="27" t="s">
        <v>21690</v>
      </c>
      <c r="D12027" s="27" t="s">
        <v>17558</v>
      </c>
      <c r="E12027" s="29">
        <v>41983</v>
      </c>
      <c r="F12027" s="27">
        <v>7</v>
      </c>
      <c r="G12027" s="18">
        <v>1480</v>
      </c>
      <c r="H12027" s="27">
        <f t="shared" si="374"/>
        <v>1480</v>
      </c>
      <c r="I12027" s="18">
        <v>1480</v>
      </c>
      <c r="J12027" s="27">
        <v>1480</v>
      </c>
      <c r="K12027" s="18">
        <f t="shared" si="375"/>
        <v>1480</v>
      </c>
      <c r="L12027" s="27">
        <v>1480</v>
      </c>
      <c r="M12027" s="36">
        <v>0</v>
      </c>
      <c r="T12027" s="41">
        <v>0</v>
      </c>
      <c r="U12027" s="41">
        <v>0</v>
      </c>
      <c r="V12027" s="42" t="s">
        <v>113</v>
      </c>
      <c r="W12027" s="42">
        <v>1480</v>
      </c>
      <c r="X12027" s="42">
        <v>1480</v>
      </c>
    </row>
    <row r="12028" spans="1:24">
      <c r="A12028" s="27" t="s">
        <v>21704</v>
      </c>
      <c r="B12028" s="28" t="s">
        <v>19918</v>
      </c>
      <c r="C12028" s="27" t="s">
        <v>21690</v>
      </c>
      <c r="D12028" s="27" t="s">
        <v>17558</v>
      </c>
      <c r="E12028" s="29">
        <v>41983</v>
      </c>
      <c r="F12028" s="27">
        <v>7</v>
      </c>
      <c r="G12028" s="18">
        <v>1480</v>
      </c>
      <c r="H12028" s="27">
        <f t="shared" si="374"/>
        <v>1480</v>
      </c>
      <c r="I12028" s="18">
        <v>1480</v>
      </c>
      <c r="J12028" s="27">
        <v>1480</v>
      </c>
      <c r="K12028" s="18">
        <f t="shared" si="375"/>
        <v>1480</v>
      </c>
      <c r="L12028" s="27">
        <v>1480</v>
      </c>
      <c r="M12028" s="36">
        <v>0</v>
      </c>
      <c r="T12028" s="41">
        <v>0</v>
      </c>
      <c r="U12028" s="41">
        <v>0</v>
      </c>
      <c r="V12028" s="42" t="s">
        <v>113</v>
      </c>
      <c r="W12028" s="42">
        <v>1480</v>
      </c>
      <c r="X12028" s="42">
        <v>1480</v>
      </c>
    </row>
    <row r="12029" spans="1:24">
      <c r="A12029" s="27" t="s">
        <v>21705</v>
      </c>
      <c r="B12029" s="28" t="s">
        <v>19918</v>
      </c>
      <c r="C12029" s="27" t="s">
        <v>21690</v>
      </c>
      <c r="D12029" s="27" t="s">
        <v>17558</v>
      </c>
      <c r="E12029" s="29">
        <v>41983</v>
      </c>
      <c r="F12029" s="27">
        <v>7</v>
      </c>
      <c r="G12029" s="18">
        <v>1480</v>
      </c>
      <c r="H12029" s="27">
        <f t="shared" si="374"/>
        <v>1480</v>
      </c>
      <c r="I12029" s="18">
        <v>1480</v>
      </c>
      <c r="J12029" s="27">
        <v>1480</v>
      </c>
      <c r="K12029" s="18">
        <f t="shared" si="375"/>
        <v>1480</v>
      </c>
      <c r="L12029" s="27">
        <v>1480</v>
      </c>
      <c r="M12029" s="36">
        <v>0</v>
      </c>
      <c r="T12029" s="41">
        <v>0</v>
      </c>
      <c r="U12029" s="41">
        <v>0</v>
      </c>
      <c r="V12029" s="42" t="s">
        <v>113</v>
      </c>
      <c r="W12029" s="42">
        <v>1480</v>
      </c>
      <c r="X12029" s="42">
        <v>1480</v>
      </c>
    </row>
    <row r="12030" spans="1:24">
      <c r="A12030" s="27" t="s">
        <v>21706</v>
      </c>
      <c r="B12030" s="28" t="s">
        <v>19918</v>
      </c>
      <c r="C12030" s="27" t="s">
        <v>21690</v>
      </c>
      <c r="D12030" s="27" t="s">
        <v>17558</v>
      </c>
      <c r="E12030" s="29">
        <v>41983</v>
      </c>
      <c r="F12030" s="27">
        <v>7</v>
      </c>
      <c r="G12030" s="18">
        <v>1480</v>
      </c>
      <c r="H12030" s="27">
        <f t="shared" si="374"/>
        <v>1480</v>
      </c>
      <c r="I12030" s="18">
        <v>1480</v>
      </c>
      <c r="J12030" s="27">
        <v>1480</v>
      </c>
      <c r="K12030" s="18">
        <f t="shared" si="375"/>
        <v>1480</v>
      </c>
      <c r="L12030" s="27">
        <v>1480</v>
      </c>
      <c r="M12030" s="36">
        <v>0</v>
      </c>
      <c r="T12030" s="41">
        <v>0</v>
      </c>
      <c r="U12030" s="41">
        <v>0</v>
      </c>
      <c r="V12030" s="42" t="s">
        <v>113</v>
      </c>
      <c r="W12030" s="42">
        <v>1480</v>
      </c>
      <c r="X12030" s="42">
        <v>1480</v>
      </c>
    </row>
    <row r="12031" spans="1:24">
      <c r="A12031" s="27" t="s">
        <v>21707</v>
      </c>
      <c r="B12031" s="28" t="s">
        <v>19918</v>
      </c>
      <c r="C12031" s="27" t="s">
        <v>21690</v>
      </c>
      <c r="D12031" s="27" t="s">
        <v>17558</v>
      </c>
      <c r="E12031" s="29">
        <v>41983</v>
      </c>
      <c r="F12031" s="27">
        <v>7</v>
      </c>
      <c r="G12031" s="18">
        <v>1480</v>
      </c>
      <c r="H12031" s="27">
        <f t="shared" si="374"/>
        <v>1480</v>
      </c>
      <c r="I12031" s="18">
        <v>1480</v>
      </c>
      <c r="J12031" s="27">
        <v>1480</v>
      </c>
      <c r="K12031" s="18">
        <f t="shared" si="375"/>
        <v>1480</v>
      </c>
      <c r="L12031" s="27">
        <v>1480</v>
      </c>
      <c r="M12031" s="36">
        <v>0</v>
      </c>
      <c r="T12031" s="41">
        <v>0</v>
      </c>
      <c r="U12031" s="41">
        <v>0</v>
      </c>
      <c r="V12031" s="42" t="s">
        <v>113</v>
      </c>
      <c r="W12031" s="42">
        <v>1480</v>
      </c>
      <c r="X12031" s="42">
        <v>1480</v>
      </c>
    </row>
    <row r="12032" spans="1:24">
      <c r="A12032" s="27" t="s">
        <v>21708</v>
      </c>
      <c r="B12032" s="28" t="s">
        <v>19918</v>
      </c>
      <c r="C12032" s="27" t="s">
        <v>21690</v>
      </c>
      <c r="D12032" s="27" t="s">
        <v>17558</v>
      </c>
      <c r="E12032" s="29">
        <v>41983</v>
      </c>
      <c r="F12032" s="27">
        <v>7</v>
      </c>
      <c r="G12032" s="18">
        <v>1480</v>
      </c>
      <c r="H12032" s="27">
        <f t="shared" si="374"/>
        <v>1480</v>
      </c>
      <c r="I12032" s="18">
        <v>1480</v>
      </c>
      <c r="J12032" s="27">
        <v>1480</v>
      </c>
      <c r="K12032" s="18">
        <f t="shared" si="375"/>
        <v>1480</v>
      </c>
      <c r="L12032" s="27">
        <v>1480</v>
      </c>
      <c r="M12032" s="36">
        <v>0</v>
      </c>
      <c r="T12032" s="41">
        <v>0</v>
      </c>
      <c r="U12032" s="41">
        <v>0</v>
      </c>
      <c r="V12032" s="42" t="s">
        <v>113</v>
      </c>
      <c r="W12032" s="42">
        <v>1480</v>
      </c>
      <c r="X12032" s="42">
        <v>1480</v>
      </c>
    </row>
    <row r="12033" spans="1:24">
      <c r="A12033" s="27" t="s">
        <v>21709</v>
      </c>
      <c r="B12033" s="28" t="s">
        <v>19918</v>
      </c>
      <c r="C12033" s="27" t="s">
        <v>21690</v>
      </c>
      <c r="D12033" s="27" t="s">
        <v>17558</v>
      </c>
      <c r="E12033" s="29">
        <v>41983</v>
      </c>
      <c r="F12033" s="27">
        <v>7</v>
      </c>
      <c r="G12033" s="18">
        <v>1480</v>
      </c>
      <c r="H12033" s="27">
        <f t="shared" si="374"/>
        <v>1480</v>
      </c>
      <c r="I12033" s="18">
        <v>1480</v>
      </c>
      <c r="J12033" s="27">
        <v>1480</v>
      </c>
      <c r="K12033" s="18">
        <f t="shared" si="375"/>
        <v>1480</v>
      </c>
      <c r="L12033" s="27">
        <v>1480</v>
      </c>
      <c r="M12033" s="36">
        <v>0</v>
      </c>
      <c r="T12033" s="41">
        <v>0</v>
      </c>
      <c r="U12033" s="41">
        <v>0</v>
      </c>
      <c r="V12033" s="42" t="s">
        <v>113</v>
      </c>
      <c r="W12033" s="42">
        <v>1480</v>
      </c>
      <c r="X12033" s="42">
        <v>1480</v>
      </c>
    </row>
    <row r="12034" spans="1:24">
      <c r="A12034" s="27" t="s">
        <v>21710</v>
      </c>
      <c r="B12034" s="28" t="s">
        <v>19918</v>
      </c>
      <c r="C12034" s="27" t="s">
        <v>21690</v>
      </c>
      <c r="D12034" s="27" t="s">
        <v>17558</v>
      </c>
      <c r="E12034" s="29">
        <v>41983</v>
      </c>
      <c r="F12034" s="27">
        <v>7</v>
      </c>
      <c r="G12034" s="18">
        <v>1480</v>
      </c>
      <c r="H12034" s="27">
        <f t="shared" si="374"/>
        <v>1480</v>
      </c>
      <c r="I12034" s="18">
        <v>1480</v>
      </c>
      <c r="J12034" s="27">
        <v>1480</v>
      </c>
      <c r="K12034" s="18">
        <f t="shared" si="375"/>
        <v>1480</v>
      </c>
      <c r="L12034" s="27">
        <v>1480</v>
      </c>
      <c r="M12034" s="36">
        <v>0</v>
      </c>
      <c r="T12034" s="41">
        <v>0</v>
      </c>
      <c r="U12034" s="41">
        <v>0</v>
      </c>
      <c r="V12034" s="42" t="s">
        <v>113</v>
      </c>
      <c r="W12034" s="42">
        <v>1480</v>
      </c>
      <c r="X12034" s="42">
        <v>1480</v>
      </c>
    </row>
    <row r="12035" spans="1:24">
      <c r="A12035" s="27" t="s">
        <v>21711</v>
      </c>
      <c r="B12035" s="28" t="s">
        <v>19918</v>
      </c>
      <c r="C12035" s="27" t="s">
        <v>21690</v>
      </c>
      <c r="D12035" s="27" t="s">
        <v>17558</v>
      </c>
      <c r="E12035" s="29">
        <v>41983</v>
      </c>
      <c r="F12035" s="27">
        <v>7</v>
      </c>
      <c r="G12035" s="18">
        <v>1480</v>
      </c>
      <c r="H12035" s="27">
        <f t="shared" si="374"/>
        <v>1480</v>
      </c>
      <c r="I12035" s="18">
        <v>1480</v>
      </c>
      <c r="J12035" s="27">
        <v>1480</v>
      </c>
      <c r="K12035" s="18">
        <f t="shared" si="375"/>
        <v>1480</v>
      </c>
      <c r="L12035" s="27">
        <v>1480</v>
      </c>
      <c r="M12035" s="36">
        <v>0</v>
      </c>
      <c r="T12035" s="41">
        <v>0</v>
      </c>
      <c r="U12035" s="41">
        <v>0</v>
      </c>
      <c r="V12035" s="42" t="s">
        <v>113</v>
      </c>
      <c r="W12035" s="42">
        <v>1480</v>
      </c>
      <c r="X12035" s="42">
        <v>1480</v>
      </c>
    </row>
    <row r="12036" spans="1:24">
      <c r="A12036" s="27" t="s">
        <v>21712</v>
      </c>
      <c r="B12036" s="28" t="s">
        <v>19918</v>
      </c>
      <c r="C12036" s="27" t="s">
        <v>21690</v>
      </c>
      <c r="D12036" s="27" t="s">
        <v>17558</v>
      </c>
      <c r="E12036" s="29">
        <v>41983</v>
      </c>
      <c r="F12036" s="27">
        <v>7</v>
      </c>
      <c r="G12036" s="18">
        <v>1480</v>
      </c>
      <c r="H12036" s="27">
        <f t="shared" si="374"/>
        <v>1480</v>
      </c>
      <c r="I12036" s="18">
        <v>1480</v>
      </c>
      <c r="J12036" s="27">
        <v>1480</v>
      </c>
      <c r="K12036" s="18">
        <f t="shared" si="375"/>
        <v>1480</v>
      </c>
      <c r="L12036" s="27">
        <v>1480</v>
      </c>
      <c r="M12036" s="36">
        <v>0</v>
      </c>
      <c r="T12036" s="41">
        <v>0</v>
      </c>
      <c r="U12036" s="41">
        <v>0</v>
      </c>
      <c r="V12036" s="42" t="s">
        <v>113</v>
      </c>
      <c r="W12036" s="42">
        <v>1480</v>
      </c>
      <c r="X12036" s="42">
        <v>1480</v>
      </c>
    </row>
    <row r="12037" spans="1:24">
      <c r="A12037" s="27" t="s">
        <v>21713</v>
      </c>
      <c r="B12037" s="28" t="s">
        <v>19918</v>
      </c>
      <c r="C12037" s="27" t="s">
        <v>21690</v>
      </c>
      <c r="D12037" s="27" t="s">
        <v>17558</v>
      </c>
      <c r="E12037" s="29">
        <v>41983</v>
      </c>
      <c r="F12037" s="27">
        <v>7</v>
      </c>
      <c r="G12037" s="18">
        <v>1480</v>
      </c>
      <c r="H12037" s="27">
        <f t="shared" si="374"/>
        <v>1480</v>
      </c>
      <c r="I12037" s="18">
        <v>1480</v>
      </c>
      <c r="J12037" s="27">
        <v>1480</v>
      </c>
      <c r="K12037" s="18">
        <f t="shared" si="375"/>
        <v>1480</v>
      </c>
      <c r="L12037" s="27">
        <v>1480</v>
      </c>
      <c r="M12037" s="36">
        <v>0</v>
      </c>
      <c r="T12037" s="41">
        <v>0</v>
      </c>
      <c r="U12037" s="41">
        <v>0</v>
      </c>
      <c r="V12037" s="42" t="s">
        <v>113</v>
      </c>
      <c r="W12037" s="42">
        <v>1480</v>
      </c>
      <c r="X12037" s="42">
        <v>1480</v>
      </c>
    </row>
    <row r="12038" spans="1:24">
      <c r="A12038" s="27" t="s">
        <v>21714</v>
      </c>
      <c r="B12038" s="28" t="s">
        <v>19918</v>
      </c>
      <c r="C12038" s="27" t="s">
        <v>21690</v>
      </c>
      <c r="D12038" s="27" t="s">
        <v>17558</v>
      </c>
      <c r="E12038" s="29">
        <v>41983</v>
      </c>
      <c r="F12038" s="27">
        <v>7</v>
      </c>
      <c r="G12038" s="18">
        <v>1480</v>
      </c>
      <c r="H12038" s="27">
        <f t="shared" ref="H12038:H12101" si="376">IFERROR(IF(ROUND((G12038-I12038)/G12038,2)&lt;=0.05,G12038,0),0)</f>
        <v>1480</v>
      </c>
      <c r="I12038" s="18">
        <v>1480</v>
      </c>
      <c r="J12038" s="27">
        <v>1480</v>
      </c>
      <c r="K12038" s="18">
        <f t="shared" ref="K12038:K12101" si="377">IFERROR(IF(ROUND((J12038-L12038)/J12038,2)&lt;=0.05,J12038,0),0)</f>
        <v>1480</v>
      </c>
      <c r="L12038" s="27">
        <v>1480</v>
      </c>
      <c r="M12038" s="36">
        <v>0</v>
      </c>
      <c r="T12038" s="41">
        <v>0</v>
      </c>
      <c r="U12038" s="41">
        <v>0</v>
      </c>
      <c r="V12038" s="42" t="s">
        <v>113</v>
      </c>
      <c r="W12038" s="42">
        <v>1480</v>
      </c>
      <c r="X12038" s="42">
        <v>1480</v>
      </c>
    </row>
    <row r="12039" spans="1:24">
      <c r="A12039" s="27" t="s">
        <v>21715</v>
      </c>
      <c r="B12039" s="28" t="s">
        <v>19918</v>
      </c>
      <c r="C12039" s="27" t="s">
        <v>21690</v>
      </c>
      <c r="D12039" s="27" t="s">
        <v>17558</v>
      </c>
      <c r="E12039" s="29">
        <v>41983</v>
      </c>
      <c r="F12039" s="27">
        <v>7</v>
      </c>
      <c r="G12039" s="18">
        <v>1480</v>
      </c>
      <c r="H12039" s="27">
        <f t="shared" si="376"/>
        <v>1480</v>
      </c>
      <c r="I12039" s="18">
        <v>1480</v>
      </c>
      <c r="J12039" s="27">
        <v>1480</v>
      </c>
      <c r="K12039" s="18">
        <f t="shared" si="377"/>
        <v>1480</v>
      </c>
      <c r="L12039" s="27">
        <v>1480</v>
      </c>
      <c r="M12039" s="36">
        <v>0</v>
      </c>
      <c r="T12039" s="41">
        <v>0</v>
      </c>
      <c r="U12039" s="41">
        <v>0</v>
      </c>
      <c r="V12039" s="42" t="s">
        <v>113</v>
      </c>
      <c r="W12039" s="42">
        <v>1480</v>
      </c>
      <c r="X12039" s="42">
        <v>1480</v>
      </c>
    </row>
    <row r="12040" spans="1:24">
      <c r="A12040" s="27" t="s">
        <v>21716</v>
      </c>
      <c r="B12040" s="28" t="s">
        <v>19918</v>
      </c>
      <c r="C12040" s="27" t="s">
        <v>21690</v>
      </c>
      <c r="D12040" s="27" t="s">
        <v>17558</v>
      </c>
      <c r="E12040" s="29">
        <v>41983</v>
      </c>
      <c r="F12040" s="27">
        <v>7</v>
      </c>
      <c r="G12040" s="18">
        <v>1480</v>
      </c>
      <c r="H12040" s="27">
        <f t="shared" si="376"/>
        <v>1480</v>
      </c>
      <c r="I12040" s="18">
        <v>1480</v>
      </c>
      <c r="J12040" s="27">
        <v>1480</v>
      </c>
      <c r="K12040" s="18">
        <f t="shared" si="377"/>
        <v>1480</v>
      </c>
      <c r="L12040" s="27">
        <v>1480</v>
      </c>
      <c r="M12040" s="36">
        <v>0</v>
      </c>
      <c r="T12040" s="41">
        <v>0</v>
      </c>
      <c r="U12040" s="41">
        <v>0</v>
      </c>
      <c r="V12040" s="42" t="s">
        <v>113</v>
      </c>
      <c r="W12040" s="42">
        <v>1480</v>
      </c>
      <c r="X12040" s="42">
        <v>1480</v>
      </c>
    </row>
    <row r="12041" spans="1:24">
      <c r="A12041" s="27" t="s">
        <v>21717</v>
      </c>
      <c r="B12041" s="28" t="s">
        <v>19918</v>
      </c>
      <c r="C12041" s="27" t="s">
        <v>21690</v>
      </c>
      <c r="D12041" s="27" t="s">
        <v>17558</v>
      </c>
      <c r="E12041" s="29">
        <v>41983</v>
      </c>
      <c r="F12041" s="27">
        <v>7</v>
      </c>
      <c r="G12041" s="18">
        <v>1480</v>
      </c>
      <c r="H12041" s="27">
        <f t="shared" si="376"/>
        <v>1480</v>
      </c>
      <c r="I12041" s="18">
        <v>1480</v>
      </c>
      <c r="J12041" s="27">
        <v>1480</v>
      </c>
      <c r="K12041" s="18">
        <f t="shared" si="377"/>
        <v>1480</v>
      </c>
      <c r="L12041" s="27">
        <v>1480</v>
      </c>
      <c r="M12041" s="36">
        <v>0</v>
      </c>
      <c r="T12041" s="41">
        <v>0</v>
      </c>
      <c r="U12041" s="41">
        <v>0</v>
      </c>
      <c r="V12041" s="42" t="s">
        <v>113</v>
      </c>
      <c r="W12041" s="42">
        <v>1480</v>
      </c>
      <c r="X12041" s="42">
        <v>1480</v>
      </c>
    </row>
    <row r="12042" spans="1:24">
      <c r="A12042" s="27" t="s">
        <v>21718</v>
      </c>
      <c r="B12042" s="28" t="s">
        <v>19918</v>
      </c>
      <c r="C12042" s="27" t="s">
        <v>21690</v>
      </c>
      <c r="D12042" s="27" t="s">
        <v>17558</v>
      </c>
      <c r="E12042" s="29">
        <v>41983</v>
      </c>
      <c r="F12042" s="27">
        <v>7</v>
      </c>
      <c r="G12042" s="18">
        <v>1480</v>
      </c>
      <c r="H12042" s="27">
        <f t="shared" si="376"/>
        <v>1480</v>
      </c>
      <c r="I12042" s="18">
        <v>1480</v>
      </c>
      <c r="J12042" s="27">
        <v>1480</v>
      </c>
      <c r="K12042" s="18">
        <f t="shared" si="377"/>
        <v>1480</v>
      </c>
      <c r="L12042" s="27">
        <v>1480</v>
      </c>
      <c r="M12042" s="36">
        <v>0</v>
      </c>
      <c r="T12042" s="41">
        <v>0</v>
      </c>
      <c r="U12042" s="41">
        <v>0</v>
      </c>
      <c r="V12042" s="42" t="s">
        <v>113</v>
      </c>
      <c r="W12042" s="42">
        <v>1480</v>
      </c>
      <c r="X12042" s="42">
        <v>1480</v>
      </c>
    </row>
    <row r="12043" spans="1:24">
      <c r="A12043" s="27" t="s">
        <v>21719</v>
      </c>
      <c r="B12043" s="28" t="s">
        <v>19918</v>
      </c>
      <c r="C12043" s="27" t="s">
        <v>21690</v>
      </c>
      <c r="D12043" s="27" t="s">
        <v>17558</v>
      </c>
      <c r="E12043" s="29">
        <v>41983</v>
      </c>
      <c r="F12043" s="27">
        <v>7</v>
      </c>
      <c r="G12043" s="18">
        <v>1480</v>
      </c>
      <c r="H12043" s="27">
        <f t="shared" si="376"/>
        <v>1480</v>
      </c>
      <c r="I12043" s="18">
        <v>1480</v>
      </c>
      <c r="J12043" s="27">
        <v>1480</v>
      </c>
      <c r="K12043" s="18">
        <f t="shared" si="377"/>
        <v>1480</v>
      </c>
      <c r="L12043" s="27">
        <v>1480</v>
      </c>
      <c r="M12043" s="36">
        <v>0</v>
      </c>
      <c r="T12043" s="41">
        <v>0</v>
      </c>
      <c r="U12043" s="41">
        <v>0</v>
      </c>
      <c r="V12043" s="42" t="s">
        <v>113</v>
      </c>
      <c r="W12043" s="42">
        <v>1480</v>
      </c>
      <c r="X12043" s="42">
        <v>1480</v>
      </c>
    </row>
    <row r="12044" spans="1:24">
      <c r="A12044" s="27" t="s">
        <v>21720</v>
      </c>
      <c r="B12044" s="28" t="s">
        <v>19918</v>
      </c>
      <c r="C12044" s="27" t="s">
        <v>21690</v>
      </c>
      <c r="D12044" s="27" t="s">
        <v>17558</v>
      </c>
      <c r="E12044" s="29">
        <v>41983</v>
      </c>
      <c r="F12044" s="27">
        <v>7</v>
      </c>
      <c r="G12044" s="18">
        <v>1480</v>
      </c>
      <c r="H12044" s="27">
        <f t="shared" si="376"/>
        <v>1480</v>
      </c>
      <c r="I12044" s="18">
        <v>1480</v>
      </c>
      <c r="J12044" s="27">
        <v>1480</v>
      </c>
      <c r="K12044" s="18">
        <f t="shared" si="377"/>
        <v>1480</v>
      </c>
      <c r="L12044" s="27">
        <v>1480</v>
      </c>
      <c r="M12044" s="36">
        <v>0</v>
      </c>
      <c r="T12044" s="41">
        <v>0</v>
      </c>
      <c r="U12044" s="41">
        <v>0</v>
      </c>
      <c r="V12044" s="42" t="s">
        <v>113</v>
      </c>
      <c r="W12044" s="42">
        <v>1480</v>
      </c>
      <c r="X12044" s="42">
        <v>1480</v>
      </c>
    </row>
    <row r="12045" spans="1:24">
      <c r="A12045" s="27" t="s">
        <v>21721</v>
      </c>
      <c r="B12045" s="28" t="s">
        <v>19918</v>
      </c>
      <c r="C12045" s="27" t="s">
        <v>21690</v>
      </c>
      <c r="D12045" s="27" t="s">
        <v>17558</v>
      </c>
      <c r="E12045" s="29">
        <v>41983</v>
      </c>
      <c r="F12045" s="27">
        <v>7</v>
      </c>
      <c r="G12045" s="18">
        <v>1480</v>
      </c>
      <c r="H12045" s="27">
        <f t="shared" si="376"/>
        <v>1480</v>
      </c>
      <c r="I12045" s="18">
        <v>1480</v>
      </c>
      <c r="J12045" s="27">
        <v>1480</v>
      </c>
      <c r="K12045" s="18">
        <f t="shared" si="377"/>
        <v>1480</v>
      </c>
      <c r="L12045" s="27">
        <v>1480</v>
      </c>
      <c r="M12045" s="36">
        <v>0</v>
      </c>
      <c r="T12045" s="41">
        <v>0</v>
      </c>
      <c r="U12045" s="41">
        <v>0</v>
      </c>
      <c r="V12045" s="42" t="s">
        <v>113</v>
      </c>
      <c r="W12045" s="42">
        <v>1480</v>
      </c>
      <c r="X12045" s="42">
        <v>1480</v>
      </c>
    </row>
    <row r="12046" spans="1:24">
      <c r="A12046" s="27" t="s">
        <v>21722</v>
      </c>
      <c r="B12046" s="28" t="s">
        <v>19918</v>
      </c>
      <c r="C12046" s="27" t="s">
        <v>21690</v>
      </c>
      <c r="D12046" s="27" t="s">
        <v>17558</v>
      </c>
      <c r="E12046" s="29">
        <v>41983</v>
      </c>
      <c r="F12046" s="27">
        <v>7</v>
      </c>
      <c r="G12046" s="18">
        <v>1480</v>
      </c>
      <c r="H12046" s="27">
        <f t="shared" si="376"/>
        <v>1480</v>
      </c>
      <c r="I12046" s="18">
        <v>1480</v>
      </c>
      <c r="J12046" s="27">
        <v>1480</v>
      </c>
      <c r="K12046" s="18">
        <f t="shared" si="377"/>
        <v>1480</v>
      </c>
      <c r="L12046" s="27">
        <v>1480</v>
      </c>
      <c r="M12046" s="36">
        <v>0</v>
      </c>
      <c r="T12046" s="41">
        <v>0</v>
      </c>
      <c r="U12046" s="41">
        <v>0</v>
      </c>
      <c r="V12046" s="42" t="s">
        <v>113</v>
      </c>
      <c r="W12046" s="42">
        <v>1480</v>
      </c>
      <c r="X12046" s="42">
        <v>1480</v>
      </c>
    </row>
    <row r="12047" spans="1:24">
      <c r="A12047" s="27" t="s">
        <v>21723</v>
      </c>
      <c r="B12047" s="28" t="s">
        <v>19918</v>
      </c>
      <c r="C12047" s="27" t="s">
        <v>21690</v>
      </c>
      <c r="D12047" s="27" t="s">
        <v>17558</v>
      </c>
      <c r="E12047" s="29">
        <v>41983</v>
      </c>
      <c r="F12047" s="27">
        <v>7</v>
      </c>
      <c r="G12047" s="18">
        <v>1480</v>
      </c>
      <c r="H12047" s="27">
        <f t="shared" si="376"/>
        <v>1480</v>
      </c>
      <c r="I12047" s="18">
        <v>1480</v>
      </c>
      <c r="J12047" s="27">
        <v>1480</v>
      </c>
      <c r="K12047" s="18">
        <f t="shared" si="377"/>
        <v>1480</v>
      </c>
      <c r="L12047" s="27">
        <v>1480</v>
      </c>
      <c r="M12047" s="36">
        <v>0</v>
      </c>
      <c r="T12047" s="41">
        <v>0</v>
      </c>
      <c r="U12047" s="41">
        <v>0</v>
      </c>
      <c r="V12047" s="42" t="s">
        <v>113</v>
      </c>
      <c r="W12047" s="42">
        <v>1480</v>
      </c>
      <c r="X12047" s="42">
        <v>1480</v>
      </c>
    </row>
    <row r="12048" spans="1:24">
      <c r="A12048" s="27" t="s">
        <v>21724</v>
      </c>
      <c r="B12048" s="28" t="s">
        <v>19918</v>
      </c>
      <c r="C12048" s="27" t="s">
        <v>21690</v>
      </c>
      <c r="D12048" s="27" t="s">
        <v>17558</v>
      </c>
      <c r="E12048" s="29">
        <v>41983</v>
      </c>
      <c r="F12048" s="27">
        <v>7</v>
      </c>
      <c r="G12048" s="18">
        <v>1480</v>
      </c>
      <c r="H12048" s="27">
        <f t="shared" si="376"/>
        <v>1480</v>
      </c>
      <c r="I12048" s="18">
        <v>1480</v>
      </c>
      <c r="J12048" s="27">
        <v>1480</v>
      </c>
      <c r="K12048" s="18">
        <f t="shared" si="377"/>
        <v>1480</v>
      </c>
      <c r="L12048" s="27">
        <v>1480</v>
      </c>
      <c r="M12048" s="36">
        <v>0</v>
      </c>
      <c r="T12048" s="41">
        <v>0</v>
      </c>
      <c r="U12048" s="41">
        <v>0</v>
      </c>
      <c r="V12048" s="42" t="s">
        <v>113</v>
      </c>
      <c r="W12048" s="42">
        <v>1480</v>
      </c>
      <c r="X12048" s="42">
        <v>1480</v>
      </c>
    </row>
    <row r="12049" spans="1:24">
      <c r="A12049" s="27" t="s">
        <v>21725</v>
      </c>
      <c r="B12049" s="28" t="s">
        <v>19918</v>
      </c>
      <c r="C12049" s="27" t="s">
        <v>21690</v>
      </c>
      <c r="D12049" s="27" t="s">
        <v>17558</v>
      </c>
      <c r="E12049" s="29">
        <v>41983</v>
      </c>
      <c r="F12049" s="27">
        <v>7</v>
      </c>
      <c r="G12049" s="18">
        <v>1480</v>
      </c>
      <c r="H12049" s="27">
        <f t="shared" si="376"/>
        <v>1480</v>
      </c>
      <c r="I12049" s="18">
        <v>1480</v>
      </c>
      <c r="J12049" s="27">
        <v>1480</v>
      </c>
      <c r="K12049" s="18">
        <f t="shared" si="377"/>
        <v>1480</v>
      </c>
      <c r="L12049" s="27">
        <v>1480</v>
      </c>
      <c r="M12049" s="36">
        <v>0</v>
      </c>
      <c r="T12049" s="41">
        <v>0</v>
      </c>
      <c r="U12049" s="41">
        <v>0</v>
      </c>
      <c r="V12049" s="42" t="s">
        <v>113</v>
      </c>
      <c r="W12049" s="42">
        <v>1480</v>
      </c>
      <c r="X12049" s="42">
        <v>1480</v>
      </c>
    </row>
    <row r="12050" spans="1:24">
      <c r="A12050" s="27" t="s">
        <v>21726</v>
      </c>
      <c r="B12050" s="28" t="s">
        <v>19918</v>
      </c>
      <c r="C12050" s="27" t="s">
        <v>21690</v>
      </c>
      <c r="D12050" s="27" t="s">
        <v>17558</v>
      </c>
      <c r="E12050" s="29">
        <v>41983</v>
      </c>
      <c r="F12050" s="27">
        <v>7</v>
      </c>
      <c r="G12050" s="18">
        <v>1480</v>
      </c>
      <c r="H12050" s="27">
        <f t="shared" si="376"/>
        <v>1480</v>
      </c>
      <c r="I12050" s="18">
        <v>1480</v>
      </c>
      <c r="J12050" s="27">
        <v>1480</v>
      </c>
      <c r="K12050" s="18">
        <f t="shared" si="377"/>
        <v>1480</v>
      </c>
      <c r="L12050" s="27">
        <v>1480</v>
      </c>
      <c r="M12050" s="36">
        <v>0</v>
      </c>
      <c r="T12050" s="41">
        <v>0</v>
      </c>
      <c r="U12050" s="41">
        <v>0</v>
      </c>
      <c r="V12050" s="42" t="s">
        <v>113</v>
      </c>
      <c r="W12050" s="42">
        <v>1480</v>
      </c>
      <c r="X12050" s="42">
        <v>1480</v>
      </c>
    </row>
    <row r="12051" spans="1:24">
      <c r="A12051" s="27" t="s">
        <v>21727</v>
      </c>
      <c r="B12051" s="28" t="s">
        <v>19918</v>
      </c>
      <c r="C12051" s="27" t="s">
        <v>21690</v>
      </c>
      <c r="D12051" s="27" t="s">
        <v>17558</v>
      </c>
      <c r="E12051" s="29">
        <v>41983</v>
      </c>
      <c r="F12051" s="27">
        <v>7</v>
      </c>
      <c r="G12051" s="18">
        <v>1480</v>
      </c>
      <c r="H12051" s="27">
        <f t="shared" si="376"/>
        <v>1480</v>
      </c>
      <c r="I12051" s="18">
        <v>1480</v>
      </c>
      <c r="J12051" s="27">
        <v>1480</v>
      </c>
      <c r="K12051" s="18">
        <f t="shared" si="377"/>
        <v>1480</v>
      </c>
      <c r="L12051" s="27">
        <v>1480</v>
      </c>
      <c r="M12051" s="36">
        <v>0</v>
      </c>
      <c r="T12051" s="41">
        <v>0</v>
      </c>
      <c r="U12051" s="41">
        <v>0</v>
      </c>
      <c r="V12051" s="42" t="s">
        <v>113</v>
      </c>
      <c r="W12051" s="42">
        <v>1480</v>
      </c>
      <c r="X12051" s="42">
        <v>1480</v>
      </c>
    </row>
    <row r="12052" spans="1:24">
      <c r="A12052" s="27" t="s">
        <v>21728</v>
      </c>
      <c r="B12052" s="28" t="s">
        <v>19918</v>
      </c>
      <c r="C12052" s="27" t="s">
        <v>21690</v>
      </c>
      <c r="D12052" s="27" t="s">
        <v>17558</v>
      </c>
      <c r="E12052" s="29">
        <v>41983</v>
      </c>
      <c r="F12052" s="27">
        <v>7</v>
      </c>
      <c r="G12052" s="18">
        <v>1480</v>
      </c>
      <c r="H12052" s="27">
        <f t="shared" si="376"/>
        <v>1480</v>
      </c>
      <c r="I12052" s="18">
        <v>1480</v>
      </c>
      <c r="J12052" s="27">
        <v>1480</v>
      </c>
      <c r="K12052" s="18">
        <f t="shared" si="377"/>
        <v>1480</v>
      </c>
      <c r="L12052" s="27">
        <v>1480</v>
      </c>
      <c r="M12052" s="36">
        <v>0</v>
      </c>
      <c r="T12052" s="41">
        <v>0</v>
      </c>
      <c r="U12052" s="41">
        <v>0</v>
      </c>
      <c r="V12052" s="42" t="s">
        <v>113</v>
      </c>
      <c r="W12052" s="42">
        <v>1480</v>
      </c>
      <c r="X12052" s="42">
        <v>1480</v>
      </c>
    </row>
    <row r="12053" spans="1:24">
      <c r="A12053" s="27" t="s">
        <v>21729</v>
      </c>
      <c r="B12053" s="28" t="s">
        <v>19918</v>
      </c>
      <c r="C12053" s="27" t="s">
        <v>21690</v>
      </c>
      <c r="D12053" s="27" t="s">
        <v>17558</v>
      </c>
      <c r="E12053" s="29">
        <v>41983</v>
      </c>
      <c r="F12053" s="27">
        <v>7</v>
      </c>
      <c r="G12053" s="18">
        <v>1480</v>
      </c>
      <c r="H12053" s="27">
        <f t="shared" si="376"/>
        <v>1480</v>
      </c>
      <c r="I12053" s="18">
        <v>1480</v>
      </c>
      <c r="J12053" s="27">
        <v>1480</v>
      </c>
      <c r="K12053" s="18">
        <f t="shared" si="377"/>
        <v>1480</v>
      </c>
      <c r="L12053" s="27">
        <v>1480</v>
      </c>
      <c r="M12053" s="36">
        <v>0</v>
      </c>
      <c r="T12053" s="41">
        <v>0</v>
      </c>
      <c r="U12053" s="41">
        <v>0</v>
      </c>
      <c r="V12053" s="42" t="s">
        <v>113</v>
      </c>
      <c r="W12053" s="42">
        <v>1480</v>
      </c>
      <c r="X12053" s="42">
        <v>1480</v>
      </c>
    </row>
    <row r="12054" spans="1:24">
      <c r="A12054" s="27" t="s">
        <v>21730</v>
      </c>
      <c r="B12054" s="28" t="s">
        <v>19918</v>
      </c>
      <c r="C12054" s="27" t="s">
        <v>21690</v>
      </c>
      <c r="D12054" s="27" t="s">
        <v>17558</v>
      </c>
      <c r="E12054" s="29">
        <v>41983</v>
      </c>
      <c r="F12054" s="27">
        <v>7</v>
      </c>
      <c r="G12054" s="18">
        <v>1480</v>
      </c>
      <c r="H12054" s="27">
        <f t="shared" si="376"/>
        <v>1480</v>
      </c>
      <c r="I12054" s="18">
        <v>1480</v>
      </c>
      <c r="J12054" s="27">
        <v>1480</v>
      </c>
      <c r="K12054" s="18">
        <f t="shared" si="377"/>
        <v>1480</v>
      </c>
      <c r="L12054" s="27">
        <v>1480</v>
      </c>
      <c r="M12054" s="36">
        <v>0</v>
      </c>
      <c r="T12054" s="41">
        <v>0</v>
      </c>
      <c r="U12054" s="41">
        <v>0</v>
      </c>
      <c r="V12054" s="42" t="s">
        <v>113</v>
      </c>
      <c r="W12054" s="42">
        <v>1480</v>
      </c>
      <c r="X12054" s="42">
        <v>1480</v>
      </c>
    </row>
    <row r="12055" spans="1:24">
      <c r="A12055" s="27" t="s">
        <v>21731</v>
      </c>
      <c r="B12055" s="28" t="s">
        <v>19918</v>
      </c>
      <c r="C12055" s="27" t="s">
        <v>21690</v>
      </c>
      <c r="D12055" s="27" t="s">
        <v>17558</v>
      </c>
      <c r="E12055" s="29">
        <v>41983</v>
      </c>
      <c r="F12055" s="27">
        <v>7</v>
      </c>
      <c r="G12055" s="18">
        <v>1480</v>
      </c>
      <c r="H12055" s="27">
        <f t="shared" si="376"/>
        <v>1480</v>
      </c>
      <c r="I12055" s="18">
        <v>1480</v>
      </c>
      <c r="J12055" s="27">
        <v>1480</v>
      </c>
      <c r="K12055" s="18">
        <f t="shared" si="377"/>
        <v>1480</v>
      </c>
      <c r="L12055" s="27">
        <v>1480</v>
      </c>
      <c r="M12055" s="36">
        <v>0</v>
      </c>
      <c r="T12055" s="41">
        <v>0</v>
      </c>
      <c r="U12055" s="41">
        <v>0</v>
      </c>
      <c r="V12055" s="42" t="s">
        <v>113</v>
      </c>
      <c r="W12055" s="42">
        <v>1480</v>
      </c>
      <c r="X12055" s="42">
        <v>1480</v>
      </c>
    </row>
    <row r="12056" spans="1:24">
      <c r="A12056" s="27" t="s">
        <v>21732</v>
      </c>
      <c r="B12056" s="28" t="s">
        <v>19918</v>
      </c>
      <c r="C12056" s="27" t="s">
        <v>21690</v>
      </c>
      <c r="D12056" s="27" t="s">
        <v>17558</v>
      </c>
      <c r="E12056" s="29">
        <v>41983</v>
      </c>
      <c r="F12056" s="27">
        <v>7</v>
      </c>
      <c r="G12056" s="18">
        <v>1480</v>
      </c>
      <c r="H12056" s="27">
        <f t="shared" si="376"/>
        <v>1480</v>
      </c>
      <c r="I12056" s="18">
        <v>1480</v>
      </c>
      <c r="J12056" s="27">
        <v>1480</v>
      </c>
      <c r="K12056" s="18">
        <f t="shared" si="377"/>
        <v>1480</v>
      </c>
      <c r="L12056" s="27">
        <v>1480</v>
      </c>
      <c r="M12056" s="36">
        <v>0</v>
      </c>
      <c r="T12056" s="41">
        <v>0</v>
      </c>
      <c r="U12056" s="41">
        <v>0</v>
      </c>
      <c r="V12056" s="42" t="s">
        <v>113</v>
      </c>
      <c r="W12056" s="42">
        <v>1480</v>
      </c>
      <c r="X12056" s="42">
        <v>1480</v>
      </c>
    </row>
    <row r="12057" spans="1:24">
      <c r="A12057" s="27" t="s">
        <v>21733</v>
      </c>
      <c r="B12057" s="28" t="s">
        <v>19918</v>
      </c>
      <c r="C12057" s="27" t="s">
        <v>21690</v>
      </c>
      <c r="D12057" s="27" t="s">
        <v>17558</v>
      </c>
      <c r="E12057" s="29">
        <v>41983</v>
      </c>
      <c r="F12057" s="27">
        <v>7</v>
      </c>
      <c r="G12057" s="18">
        <v>1480</v>
      </c>
      <c r="H12057" s="27">
        <f t="shared" si="376"/>
        <v>1480</v>
      </c>
      <c r="I12057" s="18">
        <v>1480</v>
      </c>
      <c r="J12057" s="27">
        <v>1480</v>
      </c>
      <c r="K12057" s="18">
        <f t="shared" si="377"/>
        <v>1480</v>
      </c>
      <c r="L12057" s="27">
        <v>1480</v>
      </c>
      <c r="M12057" s="36">
        <v>0</v>
      </c>
      <c r="T12057" s="41">
        <v>0</v>
      </c>
      <c r="U12057" s="41">
        <v>0</v>
      </c>
      <c r="V12057" s="42" t="s">
        <v>113</v>
      </c>
      <c r="W12057" s="42">
        <v>1480</v>
      </c>
      <c r="X12057" s="42">
        <v>1480</v>
      </c>
    </row>
    <row r="12058" spans="1:24">
      <c r="A12058" s="27" t="s">
        <v>21734</v>
      </c>
      <c r="B12058" s="28" t="s">
        <v>19918</v>
      </c>
      <c r="C12058" s="27" t="s">
        <v>21690</v>
      </c>
      <c r="D12058" s="27" t="s">
        <v>17558</v>
      </c>
      <c r="E12058" s="29">
        <v>41983</v>
      </c>
      <c r="F12058" s="27">
        <v>7</v>
      </c>
      <c r="G12058" s="18">
        <v>1480</v>
      </c>
      <c r="H12058" s="27">
        <f t="shared" si="376"/>
        <v>1480</v>
      </c>
      <c r="I12058" s="18">
        <v>1480</v>
      </c>
      <c r="J12058" s="27">
        <v>1480</v>
      </c>
      <c r="K12058" s="18">
        <f t="shared" si="377"/>
        <v>1480</v>
      </c>
      <c r="L12058" s="27">
        <v>1480</v>
      </c>
      <c r="M12058" s="36">
        <v>0</v>
      </c>
      <c r="T12058" s="41">
        <v>0</v>
      </c>
      <c r="U12058" s="41">
        <v>0</v>
      </c>
      <c r="V12058" s="42" t="s">
        <v>113</v>
      </c>
      <c r="W12058" s="42">
        <v>1480</v>
      </c>
      <c r="X12058" s="42">
        <v>1480</v>
      </c>
    </row>
    <row r="12059" spans="1:24">
      <c r="A12059" s="27" t="s">
        <v>21735</v>
      </c>
      <c r="B12059" s="28" t="s">
        <v>19918</v>
      </c>
      <c r="C12059" s="27" t="s">
        <v>21690</v>
      </c>
      <c r="D12059" s="27" t="s">
        <v>17558</v>
      </c>
      <c r="E12059" s="29">
        <v>41983</v>
      </c>
      <c r="F12059" s="27">
        <v>7</v>
      </c>
      <c r="G12059" s="18">
        <v>1480</v>
      </c>
      <c r="H12059" s="27">
        <f t="shared" si="376"/>
        <v>1480</v>
      </c>
      <c r="I12059" s="18">
        <v>1480</v>
      </c>
      <c r="J12059" s="27">
        <v>1480</v>
      </c>
      <c r="K12059" s="18">
        <f t="shared" si="377"/>
        <v>1480</v>
      </c>
      <c r="L12059" s="27">
        <v>1480</v>
      </c>
      <c r="M12059" s="36">
        <v>0</v>
      </c>
      <c r="T12059" s="41">
        <v>0</v>
      </c>
      <c r="U12059" s="41">
        <v>0</v>
      </c>
      <c r="V12059" s="42" t="s">
        <v>113</v>
      </c>
      <c r="W12059" s="42">
        <v>1480</v>
      </c>
      <c r="X12059" s="42">
        <v>1480</v>
      </c>
    </row>
    <row r="12060" spans="1:24">
      <c r="A12060" s="27" t="s">
        <v>21736</v>
      </c>
      <c r="B12060" s="28" t="s">
        <v>19918</v>
      </c>
      <c r="C12060" s="27" t="s">
        <v>21690</v>
      </c>
      <c r="D12060" s="27" t="s">
        <v>17558</v>
      </c>
      <c r="E12060" s="29">
        <v>41983</v>
      </c>
      <c r="F12060" s="27">
        <v>7</v>
      </c>
      <c r="G12060" s="18">
        <v>1480</v>
      </c>
      <c r="H12060" s="27">
        <f t="shared" si="376"/>
        <v>1480</v>
      </c>
      <c r="I12060" s="18">
        <v>1480</v>
      </c>
      <c r="J12060" s="27">
        <v>1480</v>
      </c>
      <c r="K12060" s="18">
        <f t="shared" si="377"/>
        <v>1480</v>
      </c>
      <c r="L12060" s="27">
        <v>1480</v>
      </c>
      <c r="M12060" s="36">
        <v>0</v>
      </c>
      <c r="T12060" s="41">
        <v>0</v>
      </c>
      <c r="U12060" s="41">
        <v>0</v>
      </c>
      <c r="V12060" s="42" t="s">
        <v>113</v>
      </c>
      <c r="W12060" s="42">
        <v>1480</v>
      </c>
      <c r="X12060" s="42">
        <v>1480</v>
      </c>
    </row>
    <row r="12061" spans="1:24">
      <c r="A12061" s="27" t="s">
        <v>21737</v>
      </c>
      <c r="B12061" s="28" t="s">
        <v>19918</v>
      </c>
      <c r="C12061" s="27" t="s">
        <v>21690</v>
      </c>
      <c r="D12061" s="27" t="s">
        <v>17558</v>
      </c>
      <c r="E12061" s="29">
        <v>41983</v>
      </c>
      <c r="F12061" s="27">
        <v>7</v>
      </c>
      <c r="G12061" s="18">
        <v>1480</v>
      </c>
      <c r="H12061" s="27">
        <f t="shared" si="376"/>
        <v>1480</v>
      </c>
      <c r="I12061" s="18">
        <v>1480</v>
      </c>
      <c r="J12061" s="27">
        <v>1480</v>
      </c>
      <c r="K12061" s="18">
        <f t="shared" si="377"/>
        <v>1480</v>
      </c>
      <c r="L12061" s="27">
        <v>1480</v>
      </c>
      <c r="M12061" s="36">
        <v>0</v>
      </c>
      <c r="T12061" s="41">
        <v>0</v>
      </c>
      <c r="U12061" s="41">
        <v>0</v>
      </c>
      <c r="V12061" s="42" t="s">
        <v>113</v>
      </c>
      <c r="W12061" s="42">
        <v>1480</v>
      </c>
      <c r="X12061" s="42">
        <v>1480</v>
      </c>
    </row>
    <row r="12062" spans="1:24">
      <c r="A12062" s="27" t="s">
        <v>21738</v>
      </c>
      <c r="B12062" s="28" t="s">
        <v>19918</v>
      </c>
      <c r="C12062" s="27" t="s">
        <v>21690</v>
      </c>
      <c r="D12062" s="27" t="s">
        <v>17558</v>
      </c>
      <c r="E12062" s="29">
        <v>41983</v>
      </c>
      <c r="F12062" s="27">
        <v>7</v>
      </c>
      <c r="G12062" s="18">
        <v>1480</v>
      </c>
      <c r="H12062" s="27">
        <f t="shared" si="376"/>
        <v>1480</v>
      </c>
      <c r="I12062" s="18">
        <v>1480</v>
      </c>
      <c r="J12062" s="27">
        <v>1480</v>
      </c>
      <c r="K12062" s="18">
        <f t="shared" si="377"/>
        <v>1480</v>
      </c>
      <c r="L12062" s="27">
        <v>1480</v>
      </c>
      <c r="M12062" s="36">
        <v>0</v>
      </c>
      <c r="T12062" s="41">
        <v>0</v>
      </c>
      <c r="U12062" s="41">
        <v>0</v>
      </c>
      <c r="V12062" s="42" t="s">
        <v>113</v>
      </c>
      <c r="W12062" s="42">
        <v>1480</v>
      </c>
      <c r="X12062" s="42">
        <v>1480</v>
      </c>
    </row>
    <row r="12063" spans="1:24">
      <c r="A12063" s="27" t="s">
        <v>21739</v>
      </c>
      <c r="B12063" s="28" t="s">
        <v>19918</v>
      </c>
      <c r="C12063" s="27" t="s">
        <v>21690</v>
      </c>
      <c r="D12063" s="27" t="s">
        <v>17558</v>
      </c>
      <c r="E12063" s="29">
        <v>41983</v>
      </c>
      <c r="F12063" s="27">
        <v>7</v>
      </c>
      <c r="G12063" s="18">
        <v>1480</v>
      </c>
      <c r="H12063" s="27">
        <f t="shared" si="376"/>
        <v>1480</v>
      </c>
      <c r="I12063" s="18">
        <v>1480</v>
      </c>
      <c r="J12063" s="27">
        <v>1480</v>
      </c>
      <c r="K12063" s="18">
        <f t="shared" si="377"/>
        <v>1480</v>
      </c>
      <c r="L12063" s="27">
        <v>1480</v>
      </c>
      <c r="M12063" s="36">
        <v>0</v>
      </c>
      <c r="T12063" s="41">
        <v>0</v>
      </c>
      <c r="U12063" s="41">
        <v>0</v>
      </c>
      <c r="V12063" s="42" t="s">
        <v>113</v>
      </c>
      <c r="W12063" s="42">
        <v>1480</v>
      </c>
      <c r="X12063" s="42">
        <v>1480</v>
      </c>
    </row>
    <row r="12064" spans="1:24">
      <c r="A12064" s="27" t="s">
        <v>21740</v>
      </c>
      <c r="B12064" s="28" t="s">
        <v>19918</v>
      </c>
      <c r="C12064" s="27" t="s">
        <v>21690</v>
      </c>
      <c r="D12064" s="27" t="s">
        <v>17558</v>
      </c>
      <c r="E12064" s="29">
        <v>41983</v>
      </c>
      <c r="F12064" s="27">
        <v>7</v>
      </c>
      <c r="G12064" s="18">
        <v>1480</v>
      </c>
      <c r="H12064" s="27">
        <f t="shared" si="376"/>
        <v>1480</v>
      </c>
      <c r="I12064" s="18">
        <v>1480</v>
      </c>
      <c r="J12064" s="27">
        <v>1480</v>
      </c>
      <c r="K12064" s="18">
        <f t="shared" si="377"/>
        <v>1480</v>
      </c>
      <c r="L12064" s="27">
        <v>1480</v>
      </c>
      <c r="M12064" s="36">
        <v>0</v>
      </c>
      <c r="T12064" s="41">
        <v>0</v>
      </c>
      <c r="U12064" s="41">
        <v>0</v>
      </c>
      <c r="V12064" s="42" t="s">
        <v>113</v>
      </c>
      <c r="W12064" s="42">
        <v>1480</v>
      </c>
      <c r="X12064" s="42">
        <v>1480</v>
      </c>
    </row>
    <row r="12065" spans="1:24">
      <c r="A12065" s="27" t="s">
        <v>21741</v>
      </c>
      <c r="B12065" s="28" t="s">
        <v>19918</v>
      </c>
      <c r="C12065" s="27" t="s">
        <v>21690</v>
      </c>
      <c r="D12065" s="27" t="s">
        <v>17558</v>
      </c>
      <c r="E12065" s="29">
        <v>41983</v>
      </c>
      <c r="F12065" s="27">
        <v>7</v>
      </c>
      <c r="G12065" s="18">
        <v>1480</v>
      </c>
      <c r="H12065" s="27">
        <f t="shared" si="376"/>
        <v>1480</v>
      </c>
      <c r="I12065" s="18">
        <v>1480</v>
      </c>
      <c r="J12065" s="27">
        <v>1480</v>
      </c>
      <c r="K12065" s="18">
        <f t="shared" si="377"/>
        <v>1480</v>
      </c>
      <c r="L12065" s="27">
        <v>1480</v>
      </c>
      <c r="M12065" s="36">
        <v>0</v>
      </c>
      <c r="T12065" s="41">
        <v>0</v>
      </c>
      <c r="U12065" s="41">
        <v>0</v>
      </c>
      <c r="V12065" s="42" t="s">
        <v>113</v>
      </c>
      <c r="W12065" s="42">
        <v>1480</v>
      </c>
      <c r="X12065" s="42">
        <v>1480</v>
      </c>
    </row>
    <row r="12066" spans="1:24">
      <c r="A12066" s="27" t="s">
        <v>21742</v>
      </c>
      <c r="B12066" s="28" t="s">
        <v>19918</v>
      </c>
      <c r="C12066" s="27" t="s">
        <v>21690</v>
      </c>
      <c r="D12066" s="27" t="s">
        <v>17558</v>
      </c>
      <c r="E12066" s="29">
        <v>41983</v>
      </c>
      <c r="F12066" s="27">
        <v>7</v>
      </c>
      <c r="G12066" s="18">
        <v>1480</v>
      </c>
      <c r="H12066" s="27">
        <f t="shared" si="376"/>
        <v>1480</v>
      </c>
      <c r="I12066" s="18">
        <v>1480</v>
      </c>
      <c r="J12066" s="27">
        <v>1480</v>
      </c>
      <c r="K12066" s="18">
        <f t="shared" si="377"/>
        <v>1480</v>
      </c>
      <c r="L12066" s="27">
        <v>1480</v>
      </c>
      <c r="M12066" s="36">
        <v>0</v>
      </c>
      <c r="T12066" s="41">
        <v>0</v>
      </c>
      <c r="U12066" s="41">
        <v>0</v>
      </c>
      <c r="V12066" s="42" t="s">
        <v>113</v>
      </c>
      <c r="W12066" s="42">
        <v>1480</v>
      </c>
      <c r="X12066" s="42">
        <v>1480</v>
      </c>
    </row>
    <row r="12067" spans="1:24">
      <c r="A12067" s="27" t="s">
        <v>21743</v>
      </c>
      <c r="B12067" s="28" t="s">
        <v>19918</v>
      </c>
      <c r="C12067" s="27" t="s">
        <v>21690</v>
      </c>
      <c r="D12067" s="27" t="s">
        <v>17558</v>
      </c>
      <c r="E12067" s="29">
        <v>41983</v>
      </c>
      <c r="F12067" s="27">
        <v>7</v>
      </c>
      <c r="G12067" s="18">
        <v>1480</v>
      </c>
      <c r="H12067" s="27">
        <f t="shared" si="376"/>
        <v>1480</v>
      </c>
      <c r="I12067" s="18">
        <v>1480</v>
      </c>
      <c r="J12067" s="27">
        <v>1480</v>
      </c>
      <c r="K12067" s="18">
        <f t="shared" si="377"/>
        <v>1480</v>
      </c>
      <c r="L12067" s="27">
        <v>1480</v>
      </c>
      <c r="M12067" s="36">
        <v>0</v>
      </c>
      <c r="T12067" s="41">
        <v>0</v>
      </c>
      <c r="U12067" s="41">
        <v>0</v>
      </c>
      <c r="V12067" s="42" t="s">
        <v>113</v>
      </c>
      <c r="W12067" s="42">
        <v>1480</v>
      </c>
      <c r="X12067" s="42">
        <v>1480</v>
      </c>
    </row>
    <row r="12068" spans="1:24">
      <c r="A12068" s="27" t="s">
        <v>21744</v>
      </c>
      <c r="B12068" s="28" t="s">
        <v>19918</v>
      </c>
      <c r="C12068" s="27" t="s">
        <v>21690</v>
      </c>
      <c r="D12068" s="27" t="s">
        <v>17558</v>
      </c>
      <c r="E12068" s="29">
        <v>41983</v>
      </c>
      <c r="F12068" s="27">
        <v>7</v>
      </c>
      <c r="G12068" s="18">
        <v>1480</v>
      </c>
      <c r="H12068" s="27">
        <f t="shared" si="376"/>
        <v>1480</v>
      </c>
      <c r="I12068" s="18">
        <v>1480</v>
      </c>
      <c r="J12068" s="27">
        <v>1480</v>
      </c>
      <c r="K12068" s="18">
        <f t="shared" si="377"/>
        <v>1480</v>
      </c>
      <c r="L12068" s="27">
        <v>1480</v>
      </c>
      <c r="M12068" s="36">
        <v>0</v>
      </c>
      <c r="T12068" s="41">
        <v>0</v>
      </c>
      <c r="U12068" s="41">
        <v>0</v>
      </c>
      <c r="V12068" s="42" t="s">
        <v>113</v>
      </c>
      <c r="W12068" s="42">
        <v>1480</v>
      </c>
      <c r="X12068" s="42">
        <v>1480</v>
      </c>
    </row>
    <row r="12069" spans="1:24">
      <c r="A12069" s="27" t="s">
        <v>21745</v>
      </c>
      <c r="B12069" s="28" t="s">
        <v>19918</v>
      </c>
      <c r="C12069" s="27" t="s">
        <v>21690</v>
      </c>
      <c r="D12069" s="27" t="s">
        <v>17558</v>
      </c>
      <c r="E12069" s="29">
        <v>41983</v>
      </c>
      <c r="F12069" s="27">
        <v>7</v>
      </c>
      <c r="G12069" s="18">
        <v>1480</v>
      </c>
      <c r="H12069" s="27">
        <f t="shared" si="376"/>
        <v>1480</v>
      </c>
      <c r="I12069" s="18">
        <v>1480</v>
      </c>
      <c r="J12069" s="27">
        <v>1480</v>
      </c>
      <c r="K12069" s="18">
        <f t="shared" si="377"/>
        <v>1480</v>
      </c>
      <c r="L12069" s="27">
        <v>1480</v>
      </c>
      <c r="M12069" s="36">
        <v>0</v>
      </c>
      <c r="T12069" s="41">
        <v>0</v>
      </c>
      <c r="U12069" s="41">
        <v>0</v>
      </c>
      <c r="V12069" s="42" t="s">
        <v>113</v>
      </c>
      <c r="W12069" s="42">
        <v>1480</v>
      </c>
      <c r="X12069" s="42">
        <v>1480</v>
      </c>
    </row>
    <row r="12070" spans="1:24">
      <c r="A12070" s="27" t="s">
        <v>21746</v>
      </c>
      <c r="B12070" s="28" t="s">
        <v>19918</v>
      </c>
      <c r="C12070" s="27" t="s">
        <v>21690</v>
      </c>
      <c r="D12070" s="27" t="s">
        <v>17558</v>
      </c>
      <c r="E12070" s="29">
        <v>41983</v>
      </c>
      <c r="F12070" s="27">
        <v>7</v>
      </c>
      <c r="G12070" s="18">
        <v>1480</v>
      </c>
      <c r="H12070" s="27">
        <f t="shared" si="376"/>
        <v>1480</v>
      </c>
      <c r="I12070" s="18">
        <v>1480</v>
      </c>
      <c r="J12070" s="27">
        <v>1480</v>
      </c>
      <c r="K12070" s="18">
        <f t="shared" si="377"/>
        <v>1480</v>
      </c>
      <c r="L12070" s="27">
        <v>1480</v>
      </c>
      <c r="M12070" s="36">
        <v>0</v>
      </c>
      <c r="T12070" s="41">
        <v>0</v>
      </c>
      <c r="U12070" s="41">
        <v>0</v>
      </c>
      <c r="V12070" s="42" t="s">
        <v>113</v>
      </c>
      <c r="W12070" s="42">
        <v>1480</v>
      </c>
      <c r="X12070" s="42">
        <v>1480</v>
      </c>
    </row>
    <row r="12071" spans="1:24">
      <c r="A12071" s="27" t="s">
        <v>21747</v>
      </c>
      <c r="B12071" s="28" t="s">
        <v>19918</v>
      </c>
      <c r="C12071" s="27" t="s">
        <v>21690</v>
      </c>
      <c r="D12071" s="27" t="s">
        <v>17558</v>
      </c>
      <c r="E12071" s="29">
        <v>41983</v>
      </c>
      <c r="F12071" s="27">
        <v>7</v>
      </c>
      <c r="G12071" s="18">
        <v>1480</v>
      </c>
      <c r="H12071" s="27">
        <f t="shared" si="376"/>
        <v>1480</v>
      </c>
      <c r="I12071" s="18">
        <v>1480</v>
      </c>
      <c r="J12071" s="27">
        <v>1480</v>
      </c>
      <c r="K12071" s="18">
        <f t="shared" si="377"/>
        <v>1480</v>
      </c>
      <c r="L12071" s="27">
        <v>1480</v>
      </c>
      <c r="M12071" s="36">
        <v>0</v>
      </c>
      <c r="T12071" s="41">
        <v>0</v>
      </c>
      <c r="U12071" s="41">
        <v>0</v>
      </c>
      <c r="V12071" s="42" t="s">
        <v>113</v>
      </c>
      <c r="W12071" s="42">
        <v>1480</v>
      </c>
      <c r="X12071" s="42">
        <v>1480</v>
      </c>
    </row>
    <row r="12072" spans="1:24">
      <c r="A12072" s="27" t="s">
        <v>21748</v>
      </c>
      <c r="B12072" s="28" t="s">
        <v>19918</v>
      </c>
      <c r="C12072" s="27" t="s">
        <v>21690</v>
      </c>
      <c r="D12072" s="27" t="s">
        <v>17558</v>
      </c>
      <c r="E12072" s="29">
        <v>41983</v>
      </c>
      <c r="F12072" s="27">
        <v>7</v>
      </c>
      <c r="G12072" s="18">
        <v>1480</v>
      </c>
      <c r="H12072" s="27">
        <f t="shared" si="376"/>
        <v>1480</v>
      </c>
      <c r="I12072" s="18">
        <v>1480</v>
      </c>
      <c r="J12072" s="27">
        <v>1480</v>
      </c>
      <c r="K12072" s="18">
        <f t="shared" si="377"/>
        <v>1480</v>
      </c>
      <c r="L12072" s="27">
        <v>1480</v>
      </c>
      <c r="M12072" s="36">
        <v>0</v>
      </c>
      <c r="T12072" s="41">
        <v>0</v>
      </c>
      <c r="U12072" s="41">
        <v>0</v>
      </c>
      <c r="V12072" s="42" t="s">
        <v>113</v>
      </c>
      <c r="W12072" s="42">
        <v>1480</v>
      </c>
      <c r="X12072" s="42">
        <v>1480</v>
      </c>
    </row>
    <row r="12073" spans="1:24">
      <c r="A12073" s="27" t="s">
        <v>21749</v>
      </c>
      <c r="B12073" s="28" t="s">
        <v>19918</v>
      </c>
      <c r="C12073" s="27" t="s">
        <v>21690</v>
      </c>
      <c r="D12073" s="27" t="s">
        <v>17558</v>
      </c>
      <c r="E12073" s="29">
        <v>41983</v>
      </c>
      <c r="F12073" s="27">
        <v>7</v>
      </c>
      <c r="G12073" s="18">
        <v>1480</v>
      </c>
      <c r="H12073" s="27">
        <f t="shared" si="376"/>
        <v>1480</v>
      </c>
      <c r="I12073" s="18">
        <v>1480</v>
      </c>
      <c r="J12073" s="27">
        <v>1480</v>
      </c>
      <c r="K12073" s="18">
        <f t="shared" si="377"/>
        <v>1480</v>
      </c>
      <c r="L12073" s="27">
        <v>1480</v>
      </c>
      <c r="M12073" s="36">
        <v>0</v>
      </c>
      <c r="T12073" s="41">
        <v>0</v>
      </c>
      <c r="U12073" s="41">
        <v>0</v>
      </c>
      <c r="V12073" s="42" t="s">
        <v>113</v>
      </c>
      <c r="W12073" s="42">
        <v>1480</v>
      </c>
      <c r="X12073" s="42">
        <v>1480</v>
      </c>
    </row>
    <row r="12074" spans="1:24">
      <c r="A12074" s="27" t="s">
        <v>21750</v>
      </c>
      <c r="B12074" s="28" t="s">
        <v>19918</v>
      </c>
      <c r="C12074" s="27" t="s">
        <v>21690</v>
      </c>
      <c r="D12074" s="27" t="s">
        <v>17558</v>
      </c>
      <c r="E12074" s="29">
        <v>41983</v>
      </c>
      <c r="F12074" s="27">
        <v>7</v>
      </c>
      <c r="G12074" s="18">
        <v>1480</v>
      </c>
      <c r="H12074" s="27">
        <f t="shared" si="376"/>
        <v>1480</v>
      </c>
      <c r="I12074" s="18">
        <v>1480</v>
      </c>
      <c r="J12074" s="27">
        <v>1480</v>
      </c>
      <c r="K12074" s="18">
        <f t="shared" si="377"/>
        <v>1480</v>
      </c>
      <c r="L12074" s="27">
        <v>1480</v>
      </c>
      <c r="M12074" s="36">
        <v>0</v>
      </c>
      <c r="T12074" s="41">
        <v>0</v>
      </c>
      <c r="U12074" s="41">
        <v>0</v>
      </c>
      <c r="V12074" s="42" t="s">
        <v>113</v>
      </c>
      <c r="W12074" s="42">
        <v>1480</v>
      </c>
      <c r="X12074" s="42">
        <v>1480</v>
      </c>
    </row>
    <row r="12075" spans="1:24">
      <c r="A12075" s="27" t="s">
        <v>21751</v>
      </c>
      <c r="B12075" s="28" t="s">
        <v>19918</v>
      </c>
      <c r="C12075" s="27" t="s">
        <v>21690</v>
      </c>
      <c r="D12075" s="27" t="s">
        <v>17558</v>
      </c>
      <c r="E12075" s="29">
        <v>41983</v>
      </c>
      <c r="F12075" s="27">
        <v>7</v>
      </c>
      <c r="G12075" s="18">
        <v>1480</v>
      </c>
      <c r="H12075" s="27">
        <f t="shared" si="376"/>
        <v>1480</v>
      </c>
      <c r="I12075" s="18">
        <v>1480</v>
      </c>
      <c r="J12075" s="27">
        <v>1480</v>
      </c>
      <c r="K12075" s="18">
        <f t="shared" si="377"/>
        <v>1480</v>
      </c>
      <c r="L12075" s="27">
        <v>1480</v>
      </c>
      <c r="M12075" s="36">
        <v>0</v>
      </c>
      <c r="T12075" s="41">
        <v>0</v>
      </c>
      <c r="U12075" s="41">
        <v>0</v>
      </c>
      <c r="V12075" s="42" t="s">
        <v>113</v>
      </c>
      <c r="W12075" s="42">
        <v>1480</v>
      </c>
      <c r="X12075" s="42">
        <v>1480</v>
      </c>
    </row>
    <row r="12076" spans="1:24">
      <c r="A12076" s="27" t="s">
        <v>21752</v>
      </c>
      <c r="B12076" s="28" t="s">
        <v>19918</v>
      </c>
      <c r="C12076" s="27" t="s">
        <v>21690</v>
      </c>
      <c r="D12076" s="27" t="s">
        <v>17558</v>
      </c>
      <c r="E12076" s="29">
        <v>41983</v>
      </c>
      <c r="F12076" s="27">
        <v>7</v>
      </c>
      <c r="G12076" s="18">
        <v>1480</v>
      </c>
      <c r="H12076" s="27">
        <f t="shared" si="376"/>
        <v>1480</v>
      </c>
      <c r="I12076" s="18">
        <v>1480</v>
      </c>
      <c r="J12076" s="27">
        <v>1480</v>
      </c>
      <c r="K12076" s="18">
        <f t="shared" si="377"/>
        <v>1480</v>
      </c>
      <c r="L12076" s="27">
        <v>1480</v>
      </c>
      <c r="M12076" s="36">
        <v>0</v>
      </c>
      <c r="T12076" s="41">
        <v>0</v>
      </c>
      <c r="U12076" s="41">
        <v>0</v>
      </c>
      <c r="V12076" s="42" t="s">
        <v>113</v>
      </c>
      <c r="W12076" s="42">
        <v>1480</v>
      </c>
      <c r="X12076" s="42">
        <v>1480</v>
      </c>
    </row>
    <row r="12077" spans="1:24">
      <c r="A12077" s="27" t="s">
        <v>21753</v>
      </c>
      <c r="B12077" s="28" t="s">
        <v>19918</v>
      </c>
      <c r="C12077" s="27" t="s">
        <v>21690</v>
      </c>
      <c r="D12077" s="27" t="s">
        <v>17558</v>
      </c>
      <c r="E12077" s="29">
        <v>41983</v>
      </c>
      <c r="F12077" s="27">
        <v>7</v>
      </c>
      <c r="G12077" s="18">
        <v>1480</v>
      </c>
      <c r="H12077" s="27">
        <f t="shared" si="376"/>
        <v>1480</v>
      </c>
      <c r="I12077" s="18">
        <v>1480</v>
      </c>
      <c r="J12077" s="27">
        <v>1480</v>
      </c>
      <c r="K12077" s="18">
        <f t="shared" si="377"/>
        <v>1480</v>
      </c>
      <c r="L12077" s="27">
        <v>1480</v>
      </c>
      <c r="M12077" s="36">
        <v>0</v>
      </c>
      <c r="T12077" s="41">
        <v>0</v>
      </c>
      <c r="U12077" s="41">
        <v>0</v>
      </c>
      <c r="V12077" s="42" t="s">
        <v>113</v>
      </c>
      <c r="W12077" s="42">
        <v>1480</v>
      </c>
      <c r="X12077" s="42">
        <v>1480</v>
      </c>
    </row>
    <row r="12078" spans="1:24">
      <c r="A12078" s="27" t="s">
        <v>21754</v>
      </c>
      <c r="B12078" s="28" t="s">
        <v>19918</v>
      </c>
      <c r="C12078" s="27" t="s">
        <v>21690</v>
      </c>
      <c r="D12078" s="27" t="s">
        <v>17558</v>
      </c>
      <c r="E12078" s="29">
        <v>41983</v>
      </c>
      <c r="F12078" s="27">
        <v>7</v>
      </c>
      <c r="G12078" s="18">
        <v>1480</v>
      </c>
      <c r="H12078" s="27">
        <f t="shared" si="376"/>
        <v>1480</v>
      </c>
      <c r="I12078" s="18">
        <v>1480</v>
      </c>
      <c r="J12078" s="27">
        <v>1480</v>
      </c>
      <c r="K12078" s="18">
        <f t="shared" si="377"/>
        <v>1480</v>
      </c>
      <c r="L12078" s="27">
        <v>1480</v>
      </c>
      <c r="M12078" s="36">
        <v>0</v>
      </c>
      <c r="T12078" s="41">
        <v>0</v>
      </c>
      <c r="U12078" s="41">
        <v>0</v>
      </c>
      <c r="V12078" s="42" t="s">
        <v>113</v>
      </c>
      <c r="W12078" s="42">
        <v>1480</v>
      </c>
      <c r="X12078" s="42">
        <v>1480</v>
      </c>
    </row>
    <row r="12079" spans="1:24">
      <c r="A12079" s="27" t="s">
        <v>21755</v>
      </c>
      <c r="B12079" s="28" t="s">
        <v>19918</v>
      </c>
      <c r="C12079" s="27" t="s">
        <v>21690</v>
      </c>
      <c r="D12079" s="27" t="s">
        <v>17558</v>
      </c>
      <c r="E12079" s="29">
        <v>41983</v>
      </c>
      <c r="F12079" s="27">
        <v>7</v>
      </c>
      <c r="G12079" s="18">
        <v>1480</v>
      </c>
      <c r="H12079" s="27">
        <f t="shared" si="376"/>
        <v>1480</v>
      </c>
      <c r="I12079" s="18">
        <v>1480</v>
      </c>
      <c r="J12079" s="27">
        <v>1480</v>
      </c>
      <c r="K12079" s="18">
        <f t="shared" si="377"/>
        <v>1480</v>
      </c>
      <c r="L12079" s="27">
        <v>1480</v>
      </c>
      <c r="M12079" s="36">
        <v>0</v>
      </c>
      <c r="T12079" s="41">
        <v>0</v>
      </c>
      <c r="U12079" s="41">
        <v>0</v>
      </c>
      <c r="V12079" s="42" t="s">
        <v>113</v>
      </c>
      <c r="W12079" s="42">
        <v>1480</v>
      </c>
      <c r="X12079" s="42">
        <v>1480</v>
      </c>
    </row>
    <row r="12080" spans="1:24">
      <c r="A12080" s="27" t="s">
        <v>21756</v>
      </c>
      <c r="B12080" s="28" t="s">
        <v>19918</v>
      </c>
      <c r="C12080" s="27" t="s">
        <v>21690</v>
      </c>
      <c r="D12080" s="27" t="s">
        <v>17558</v>
      </c>
      <c r="E12080" s="29">
        <v>41983</v>
      </c>
      <c r="F12080" s="27">
        <v>7</v>
      </c>
      <c r="G12080" s="18">
        <v>1480</v>
      </c>
      <c r="H12080" s="27">
        <f t="shared" si="376"/>
        <v>1480</v>
      </c>
      <c r="I12080" s="18">
        <v>1480</v>
      </c>
      <c r="J12080" s="27">
        <v>1480</v>
      </c>
      <c r="K12080" s="18">
        <f t="shared" si="377"/>
        <v>1480</v>
      </c>
      <c r="L12080" s="27">
        <v>1480</v>
      </c>
      <c r="M12080" s="36">
        <v>0</v>
      </c>
      <c r="T12080" s="41">
        <v>0</v>
      </c>
      <c r="U12080" s="41">
        <v>0</v>
      </c>
      <c r="V12080" s="42" t="s">
        <v>113</v>
      </c>
      <c r="W12080" s="42">
        <v>1480</v>
      </c>
      <c r="X12080" s="42">
        <v>1480</v>
      </c>
    </row>
    <row r="12081" spans="1:24">
      <c r="A12081" s="27" t="s">
        <v>21757</v>
      </c>
      <c r="B12081" s="28" t="s">
        <v>19918</v>
      </c>
      <c r="C12081" s="27" t="s">
        <v>21690</v>
      </c>
      <c r="D12081" s="27" t="s">
        <v>17558</v>
      </c>
      <c r="E12081" s="29">
        <v>41983</v>
      </c>
      <c r="F12081" s="27">
        <v>7</v>
      </c>
      <c r="G12081" s="18">
        <v>1480</v>
      </c>
      <c r="H12081" s="27">
        <f t="shared" si="376"/>
        <v>1480</v>
      </c>
      <c r="I12081" s="18">
        <v>1480</v>
      </c>
      <c r="J12081" s="27">
        <v>1480</v>
      </c>
      <c r="K12081" s="18">
        <f t="shared" si="377"/>
        <v>1480</v>
      </c>
      <c r="L12081" s="27">
        <v>1480</v>
      </c>
      <c r="M12081" s="36">
        <v>0</v>
      </c>
      <c r="T12081" s="41">
        <v>0</v>
      </c>
      <c r="U12081" s="41">
        <v>0</v>
      </c>
      <c r="V12081" s="42" t="s">
        <v>113</v>
      </c>
      <c r="W12081" s="42">
        <v>1480</v>
      </c>
      <c r="X12081" s="42">
        <v>1480</v>
      </c>
    </row>
    <row r="12082" spans="1:24">
      <c r="A12082" s="27" t="s">
        <v>21758</v>
      </c>
      <c r="B12082" s="28" t="s">
        <v>19918</v>
      </c>
      <c r="C12082" s="27" t="s">
        <v>21690</v>
      </c>
      <c r="D12082" s="27" t="s">
        <v>17558</v>
      </c>
      <c r="E12082" s="29">
        <v>41983</v>
      </c>
      <c r="F12082" s="27">
        <v>7</v>
      </c>
      <c r="G12082" s="18">
        <v>1480</v>
      </c>
      <c r="H12082" s="27">
        <f t="shared" si="376"/>
        <v>1480</v>
      </c>
      <c r="I12082" s="18">
        <v>1480</v>
      </c>
      <c r="J12082" s="27">
        <v>1480</v>
      </c>
      <c r="K12082" s="18">
        <f t="shared" si="377"/>
        <v>1480</v>
      </c>
      <c r="L12082" s="27">
        <v>1480</v>
      </c>
      <c r="M12082" s="36">
        <v>0</v>
      </c>
      <c r="T12082" s="41">
        <v>0</v>
      </c>
      <c r="U12082" s="41">
        <v>0</v>
      </c>
      <c r="V12082" s="42" t="s">
        <v>113</v>
      </c>
      <c r="W12082" s="42">
        <v>1480</v>
      </c>
      <c r="X12082" s="42">
        <v>1480</v>
      </c>
    </row>
    <row r="12083" spans="1:24">
      <c r="A12083" s="27" t="s">
        <v>21759</v>
      </c>
      <c r="B12083" s="28" t="s">
        <v>19918</v>
      </c>
      <c r="C12083" s="27" t="s">
        <v>21690</v>
      </c>
      <c r="D12083" s="27" t="s">
        <v>17558</v>
      </c>
      <c r="E12083" s="29">
        <v>41983</v>
      </c>
      <c r="F12083" s="27">
        <v>7</v>
      </c>
      <c r="G12083" s="18">
        <v>1480</v>
      </c>
      <c r="H12083" s="27">
        <f t="shared" si="376"/>
        <v>1480</v>
      </c>
      <c r="I12083" s="18">
        <v>1480</v>
      </c>
      <c r="J12083" s="27">
        <v>1480</v>
      </c>
      <c r="K12083" s="18">
        <f t="shared" si="377"/>
        <v>1480</v>
      </c>
      <c r="L12083" s="27">
        <v>1480</v>
      </c>
      <c r="M12083" s="36">
        <v>0</v>
      </c>
      <c r="T12083" s="41">
        <v>0</v>
      </c>
      <c r="U12083" s="41">
        <v>0</v>
      </c>
      <c r="V12083" s="42" t="s">
        <v>113</v>
      </c>
      <c r="W12083" s="42">
        <v>1480</v>
      </c>
      <c r="X12083" s="42">
        <v>1480</v>
      </c>
    </row>
    <row r="12084" spans="1:24">
      <c r="A12084" s="27" t="s">
        <v>21760</v>
      </c>
      <c r="B12084" s="28" t="s">
        <v>19918</v>
      </c>
      <c r="C12084" s="27" t="s">
        <v>21690</v>
      </c>
      <c r="D12084" s="27" t="s">
        <v>17558</v>
      </c>
      <c r="E12084" s="29">
        <v>41983</v>
      </c>
      <c r="F12084" s="27">
        <v>7</v>
      </c>
      <c r="G12084" s="18">
        <v>1480</v>
      </c>
      <c r="H12084" s="27">
        <f t="shared" si="376"/>
        <v>1480</v>
      </c>
      <c r="I12084" s="18">
        <v>1480</v>
      </c>
      <c r="J12084" s="27">
        <v>1480</v>
      </c>
      <c r="K12084" s="18">
        <f t="shared" si="377"/>
        <v>1480</v>
      </c>
      <c r="L12084" s="27">
        <v>1480</v>
      </c>
      <c r="M12084" s="36">
        <v>0</v>
      </c>
      <c r="T12084" s="41">
        <v>0</v>
      </c>
      <c r="U12084" s="41">
        <v>0</v>
      </c>
      <c r="V12084" s="42" t="s">
        <v>113</v>
      </c>
      <c r="W12084" s="42">
        <v>1480</v>
      </c>
      <c r="X12084" s="42">
        <v>1480</v>
      </c>
    </row>
    <row r="12085" spans="1:24">
      <c r="A12085" s="27" t="s">
        <v>21761</v>
      </c>
      <c r="B12085" s="28" t="s">
        <v>19918</v>
      </c>
      <c r="C12085" s="27" t="s">
        <v>21690</v>
      </c>
      <c r="D12085" s="27" t="s">
        <v>17558</v>
      </c>
      <c r="E12085" s="29">
        <v>41983</v>
      </c>
      <c r="F12085" s="27">
        <v>7</v>
      </c>
      <c r="G12085" s="18">
        <v>1480</v>
      </c>
      <c r="H12085" s="27">
        <f t="shared" si="376"/>
        <v>1480</v>
      </c>
      <c r="I12085" s="18">
        <v>1480</v>
      </c>
      <c r="J12085" s="27">
        <v>1480</v>
      </c>
      <c r="K12085" s="18">
        <f t="shared" si="377"/>
        <v>1480</v>
      </c>
      <c r="L12085" s="27">
        <v>1480</v>
      </c>
      <c r="M12085" s="36">
        <v>0</v>
      </c>
      <c r="T12085" s="41">
        <v>0</v>
      </c>
      <c r="U12085" s="41">
        <v>0</v>
      </c>
      <c r="V12085" s="42" t="s">
        <v>113</v>
      </c>
      <c r="W12085" s="42">
        <v>1480</v>
      </c>
      <c r="X12085" s="42">
        <v>1480</v>
      </c>
    </row>
    <row r="12086" spans="1:24">
      <c r="A12086" s="27" t="s">
        <v>21762</v>
      </c>
      <c r="B12086" s="28" t="s">
        <v>19918</v>
      </c>
      <c r="C12086" s="27" t="s">
        <v>21690</v>
      </c>
      <c r="D12086" s="27" t="s">
        <v>17558</v>
      </c>
      <c r="E12086" s="29">
        <v>41983</v>
      </c>
      <c r="F12086" s="27">
        <v>7</v>
      </c>
      <c r="G12086" s="18">
        <v>1480</v>
      </c>
      <c r="H12086" s="27">
        <f t="shared" si="376"/>
        <v>1480</v>
      </c>
      <c r="I12086" s="18">
        <v>1480</v>
      </c>
      <c r="J12086" s="27">
        <v>1480</v>
      </c>
      <c r="K12086" s="18">
        <f t="shared" si="377"/>
        <v>1480</v>
      </c>
      <c r="L12086" s="27">
        <v>1480</v>
      </c>
      <c r="M12086" s="36">
        <v>0</v>
      </c>
      <c r="T12086" s="41">
        <v>0</v>
      </c>
      <c r="U12086" s="41">
        <v>0</v>
      </c>
      <c r="V12086" s="42" t="s">
        <v>113</v>
      </c>
      <c r="W12086" s="42">
        <v>1480</v>
      </c>
      <c r="X12086" s="42">
        <v>1480</v>
      </c>
    </row>
    <row r="12087" spans="1:24">
      <c r="A12087" s="27" t="s">
        <v>21763</v>
      </c>
      <c r="B12087" s="28" t="s">
        <v>19918</v>
      </c>
      <c r="C12087" s="27" t="s">
        <v>21690</v>
      </c>
      <c r="D12087" s="27" t="s">
        <v>17558</v>
      </c>
      <c r="E12087" s="29">
        <v>41983</v>
      </c>
      <c r="F12087" s="27">
        <v>7</v>
      </c>
      <c r="G12087" s="18">
        <v>1480</v>
      </c>
      <c r="H12087" s="27">
        <f t="shared" si="376"/>
        <v>1480</v>
      </c>
      <c r="I12087" s="18">
        <v>1480</v>
      </c>
      <c r="J12087" s="27">
        <v>1480</v>
      </c>
      <c r="K12087" s="18">
        <f t="shared" si="377"/>
        <v>1480</v>
      </c>
      <c r="L12087" s="27">
        <v>1480</v>
      </c>
      <c r="M12087" s="36">
        <v>0</v>
      </c>
      <c r="T12087" s="41">
        <v>0</v>
      </c>
      <c r="U12087" s="41">
        <v>0</v>
      </c>
      <c r="V12087" s="42" t="s">
        <v>113</v>
      </c>
      <c r="W12087" s="42">
        <v>1480</v>
      </c>
      <c r="X12087" s="42">
        <v>1480</v>
      </c>
    </row>
    <row r="12088" spans="1:24">
      <c r="A12088" s="27" t="s">
        <v>21764</v>
      </c>
      <c r="B12088" s="28" t="s">
        <v>19918</v>
      </c>
      <c r="C12088" s="27" t="s">
        <v>21690</v>
      </c>
      <c r="D12088" s="27" t="s">
        <v>17558</v>
      </c>
      <c r="E12088" s="29">
        <v>41983</v>
      </c>
      <c r="F12088" s="27">
        <v>7</v>
      </c>
      <c r="G12088" s="18">
        <v>1480</v>
      </c>
      <c r="H12088" s="27">
        <f t="shared" si="376"/>
        <v>1480</v>
      </c>
      <c r="I12088" s="18">
        <v>1480</v>
      </c>
      <c r="J12088" s="27">
        <v>1480</v>
      </c>
      <c r="K12088" s="18">
        <f t="shared" si="377"/>
        <v>1480</v>
      </c>
      <c r="L12088" s="27">
        <v>1480</v>
      </c>
      <c r="M12088" s="36">
        <v>0</v>
      </c>
      <c r="T12088" s="41">
        <v>0</v>
      </c>
      <c r="U12088" s="41">
        <v>0</v>
      </c>
      <c r="V12088" s="42" t="s">
        <v>113</v>
      </c>
      <c r="W12088" s="42">
        <v>1480</v>
      </c>
      <c r="X12088" s="42">
        <v>1480</v>
      </c>
    </row>
    <row r="12089" spans="1:24">
      <c r="A12089" s="27" t="s">
        <v>21765</v>
      </c>
      <c r="B12089" s="28" t="s">
        <v>19918</v>
      </c>
      <c r="C12089" s="27" t="s">
        <v>21690</v>
      </c>
      <c r="D12089" s="27" t="s">
        <v>17558</v>
      </c>
      <c r="E12089" s="29">
        <v>41983</v>
      </c>
      <c r="F12089" s="27">
        <v>7</v>
      </c>
      <c r="G12089" s="18">
        <v>1480</v>
      </c>
      <c r="H12089" s="27">
        <f t="shared" si="376"/>
        <v>1480</v>
      </c>
      <c r="I12089" s="18">
        <v>1480</v>
      </c>
      <c r="J12089" s="27">
        <v>1480</v>
      </c>
      <c r="K12089" s="18">
        <f t="shared" si="377"/>
        <v>1480</v>
      </c>
      <c r="L12089" s="27">
        <v>1480</v>
      </c>
      <c r="M12089" s="36">
        <v>0</v>
      </c>
      <c r="T12089" s="41">
        <v>0</v>
      </c>
      <c r="U12089" s="41">
        <v>0</v>
      </c>
      <c r="V12089" s="42" t="s">
        <v>113</v>
      </c>
      <c r="W12089" s="42">
        <v>1480</v>
      </c>
      <c r="X12089" s="42">
        <v>1480</v>
      </c>
    </row>
    <row r="12090" spans="1:24">
      <c r="A12090" s="27" t="s">
        <v>21766</v>
      </c>
      <c r="B12090" s="28" t="s">
        <v>19918</v>
      </c>
      <c r="C12090" s="27" t="s">
        <v>21690</v>
      </c>
      <c r="D12090" s="27" t="s">
        <v>17558</v>
      </c>
      <c r="E12090" s="29">
        <v>41983</v>
      </c>
      <c r="F12090" s="27">
        <v>7</v>
      </c>
      <c r="G12090" s="18">
        <v>1480</v>
      </c>
      <c r="H12090" s="27">
        <f t="shared" si="376"/>
        <v>1480</v>
      </c>
      <c r="I12090" s="18">
        <v>1480</v>
      </c>
      <c r="J12090" s="27">
        <v>1480</v>
      </c>
      <c r="K12090" s="18">
        <f t="shared" si="377"/>
        <v>1480</v>
      </c>
      <c r="L12090" s="27">
        <v>1480</v>
      </c>
      <c r="M12090" s="36">
        <v>0</v>
      </c>
      <c r="T12090" s="41">
        <v>0</v>
      </c>
      <c r="U12090" s="41">
        <v>0</v>
      </c>
      <c r="V12090" s="42" t="s">
        <v>113</v>
      </c>
      <c r="W12090" s="42">
        <v>1480</v>
      </c>
      <c r="X12090" s="42">
        <v>1480</v>
      </c>
    </row>
    <row r="12091" spans="1:24">
      <c r="A12091" s="27" t="s">
        <v>21767</v>
      </c>
      <c r="B12091" s="28" t="s">
        <v>19918</v>
      </c>
      <c r="C12091" s="27" t="s">
        <v>21690</v>
      </c>
      <c r="D12091" s="27" t="s">
        <v>17558</v>
      </c>
      <c r="E12091" s="29">
        <v>41983</v>
      </c>
      <c r="F12091" s="27">
        <v>7</v>
      </c>
      <c r="G12091" s="18">
        <v>1480</v>
      </c>
      <c r="H12091" s="27">
        <f t="shared" si="376"/>
        <v>1480</v>
      </c>
      <c r="I12091" s="18">
        <v>1480</v>
      </c>
      <c r="J12091" s="27">
        <v>1480</v>
      </c>
      <c r="K12091" s="18">
        <f t="shared" si="377"/>
        <v>1480</v>
      </c>
      <c r="L12091" s="27">
        <v>1480</v>
      </c>
      <c r="M12091" s="36">
        <v>0</v>
      </c>
      <c r="T12091" s="41">
        <v>0</v>
      </c>
      <c r="U12091" s="41">
        <v>0</v>
      </c>
      <c r="V12091" s="42" t="s">
        <v>113</v>
      </c>
      <c r="W12091" s="42">
        <v>1480</v>
      </c>
      <c r="X12091" s="42">
        <v>1480</v>
      </c>
    </row>
    <row r="12092" spans="1:24">
      <c r="A12092" s="27" t="s">
        <v>21768</v>
      </c>
      <c r="B12092" s="28" t="s">
        <v>19918</v>
      </c>
      <c r="C12092" s="27" t="s">
        <v>21690</v>
      </c>
      <c r="D12092" s="27" t="s">
        <v>17558</v>
      </c>
      <c r="E12092" s="29">
        <v>41983</v>
      </c>
      <c r="F12092" s="27">
        <v>7</v>
      </c>
      <c r="G12092" s="18">
        <v>1480</v>
      </c>
      <c r="H12092" s="27">
        <f t="shared" si="376"/>
        <v>1480</v>
      </c>
      <c r="I12092" s="18">
        <v>1480</v>
      </c>
      <c r="J12092" s="27">
        <v>1480</v>
      </c>
      <c r="K12092" s="18">
        <f t="shared" si="377"/>
        <v>1480</v>
      </c>
      <c r="L12092" s="27">
        <v>1480</v>
      </c>
      <c r="M12092" s="36">
        <v>0</v>
      </c>
      <c r="T12092" s="41">
        <v>0</v>
      </c>
      <c r="U12092" s="41">
        <v>0</v>
      </c>
      <c r="V12092" s="42" t="s">
        <v>113</v>
      </c>
      <c r="W12092" s="42">
        <v>1480</v>
      </c>
      <c r="X12092" s="42">
        <v>1480</v>
      </c>
    </row>
    <row r="12093" spans="1:24">
      <c r="A12093" s="27" t="s">
        <v>21769</v>
      </c>
      <c r="B12093" s="28" t="s">
        <v>19918</v>
      </c>
      <c r="C12093" s="27" t="s">
        <v>21690</v>
      </c>
      <c r="D12093" s="27" t="s">
        <v>17558</v>
      </c>
      <c r="E12093" s="29">
        <v>41983</v>
      </c>
      <c r="F12093" s="27">
        <v>7</v>
      </c>
      <c r="G12093" s="18">
        <v>1480</v>
      </c>
      <c r="H12093" s="27">
        <f t="shared" si="376"/>
        <v>1480</v>
      </c>
      <c r="I12093" s="18">
        <v>1480</v>
      </c>
      <c r="J12093" s="27">
        <v>1480</v>
      </c>
      <c r="K12093" s="18">
        <f t="shared" si="377"/>
        <v>1480</v>
      </c>
      <c r="L12093" s="27">
        <v>1480</v>
      </c>
      <c r="M12093" s="36">
        <v>0</v>
      </c>
      <c r="T12093" s="41">
        <v>0</v>
      </c>
      <c r="U12093" s="41">
        <v>0</v>
      </c>
      <c r="V12093" s="42" t="s">
        <v>113</v>
      </c>
      <c r="W12093" s="42">
        <v>1480</v>
      </c>
      <c r="X12093" s="42">
        <v>1480</v>
      </c>
    </row>
    <row r="12094" spans="1:24">
      <c r="A12094" s="27" t="s">
        <v>21770</v>
      </c>
      <c r="B12094" s="28" t="s">
        <v>19918</v>
      </c>
      <c r="C12094" s="27" t="s">
        <v>21690</v>
      </c>
      <c r="D12094" s="27" t="s">
        <v>17558</v>
      </c>
      <c r="E12094" s="29">
        <v>41983</v>
      </c>
      <c r="F12094" s="27">
        <v>7</v>
      </c>
      <c r="G12094" s="18">
        <v>1480</v>
      </c>
      <c r="H12094" s="27">
        <f t="shared" si="376"/>
        <v>1480</v>
      </c>
      <c r="I12094" s="18">
        <v>1480</v>
      </c>
      <c r="J12094" s="27">
        <v>1480</v>
      </c>
      <c r="K12094" s="18">
        <f t="shared" si="377"/>
        <v>1480</v>
      </c>
      <c r="L12094" s="27">
        <v>1480</v>
      </c>
      <c r="M12094" s="36">
        <v>0</v>
      </c>
      <c r="T12094" s="41">
        <v>0</v>
      </c>
      <c r="U12094" s="41">
        <v>0</v>
      </c>
      <c r="V12094" s="42" t="s">
        <v>113</v>
      </c>
      <c r="W12094" s="42">
        <v>1480</v>
      </c>
      <c r="X12094" s="42">
        <v>1480</v>
      </c>
    </row>
    <row r="12095" spans="1:24">
      <c r="A12095" s="27" t="s">
        <v>21771</v>
      </c>
      <c r="B12095" s="28" t="s">
        <v>19918</v>
      </c>
      <c r="C12095" s="27" t="s">
        <v>21690</v>
      </c>
      <c r="D12095" s="27" t="s">
        <v>17558</v>
      </c>
      <c r="E12095" s="29">
        <v>41983</v>
      </c>
      <c r="F12095" s="27">
        <v>7</v>
      </c>
      <c r="G12095" s="18">
        <v>1480</v>
      </c>
      <c r="H12095" s="27">
        <f t="shared" si="376"/>
        <v>1480</v>
      </c>
      <c r="I12095" s="18">
        <v>1480</v>
      </c>
      <c r="J12095" s="27">
        <v>1480</v>
      </c>
      <c r="K12095" s="18">
        <f t="shared" si="377"/>
        <v>1480</v>
      </c>
      <c r="L12095" s="27">
        <v>1480</v>
      </c>
      <c r="M12095" s="36">
        <v>0</v>
      </c>
      <c r="T12095" s="41">
        <v>0</v>
      </c>
      <c r="U12095" s="41">
        <v>0</v>
      </c>
      <c r="V12095" s="42" t="s">
        <v>113</v>
      </c>
      <c r="W12095" s="42">
        <v>1480</v>
      </c>
      <c r="X12095" s="42">
        <v>1480</v>
      </c>
    </row>
    <row r="12096" spans="1:24">
      <c r="A12096" s="27" t="s">
        <v>21772</v>
      </c>
      <c r="B12096" s="28" t="s">
        <v>19918</v>
      </c>
      <c r="C12096" s="27" t="s">
        <v>21690</v>
      </c>
      <c r="D12096" s="27" t="s">
        <v>17558</v>
      </c>
      <c r="E12096" s="29">
        <v>41983</v>
      </c>
      <c r="F12096" s="27">
        <v>7</v>
      </c>
      <c r="G12096" s="18">
        <v>1480</v>
      </c>
      <c r="H12096" s="27">
        <f t="shared" si="376"/>
        <v>1480</v>
      </c>
      <c r="I12096" s="18">
        <v>1480</v>
      </c>
      <c r="J12096" s="27">
        <v>1480</v>
      </c>
      <c r="K12096" s="18">
        <f t="shared" si="377"/>
        <v>1480</v>
      </c>
      <c r="L12096" s="27">
        <v>1480</v>
      </c>
      <c r="M12096" s="36">
        <v>0</v>
      </c>
      <c r="T12096" s="41">
        <v>0</v>
      </c>
      <c r="U12096" s="41">
        <v>0</v>
      </c>
      <c r="V12096" s="42" t="s">
        <v>113</v>
      </c>
      <c r="W12096" s="42">
        <v>1480</v>
      </c>
      <c r="X12096" s="42">
        <v>1480</v>
      </c>
    </row>
    <row r="12097" spans="1:24">
      <c r="A12097" s="27" t="s">
        <v>21773</v>
      </c>
      <c r="B12097" s="28" t="s">
        <v>19918</v>
      </c>
      <c r="C12097" s="27" t="s">
        <v>21690</v>
      </c>
      <c r="D12097" s="27" t="s">
        <v>17558</v>
      </c>
      <c r="E12097" s="29">
        <v>41983</v>
      </c>
      <c r="F12097" s="27">
        <v>7</v>
      </c>
      <c r="G12097" s="18">
        <v>1480</v>
      </c>
      <c r="H12097" s="27">
        <f t="shared" si="376"/>
        <v>1480</v>
      </c>
      <c r="I12097" s="18">
        <v>1480</v>
      </c>
      <c r="J12097" s="27">
        <v>1480</v>
      </c>
      <c r="K12097" s="18">
        <f t="shared" si="377"/>
        <v>1480</v>
      </c>
      <c r="L12097" s="27">
        <v>1480</v>
      </c>
      <c r="M12097" s="36">
        <v>0</v>
      </c>
      <c r="T12097" s="41">
        <v>0</v>
      </c>
      <c r="U12097" s="41">
        <v>0</v>
      </c>
      <c r="V12097" s="42" t="s">
        <v>113</v>
      </c>
      <c r="W12097" s="42">
        <v>1480</v>
      </c>
      <c r="X12097" s="42">
        <v>1480</v>
      </c>
    </row>
    <row r="12098" spans="1:24">
      <c r="A12098" s="27" t="s">
        <v>21774</v>
      </c>
      <c r="B12098" s="28" t="s">
        <v>19918</v>
      </c>
      <c r="C12098" s="27" t="s">
        <v>21690</v>
      </c>
      <c r="D12098" s="27" t="s">
        <v>17558</v>
      </c>
      <c r="E12098" s="29">
        <v>41983</v>
      </c>
      <c r="F12098" s="27">
        <v>7</v>
      </c>
      <c r="G12098" s="18">
        <v>1480</v>
      </c>
      <c r="H12098" s="27">
        <f t="shared" si="376"/>
        <v>1480</v>
      </c>
      <c r="I12098" s="18">
        <v>1480</v>
      </c>
      <c r="J12098" s="27">
        <v>1480</v>
      </c>
      <c r="K12098" s="18">
        <f t="shared" si="377"/>
        <v>1480</v>
      </c>
      <c r="L12098" s="27">
        <v>1480</v>
      </c>
      <c r="M12098" s="36">
        <v>0</v>
      </c>
      <c r="T12098" s="41">
        <v>0</v>
      </c>
      <c r="U12098" s="41">
        <v>0</v>
      </c>
      <c r="V12098" s="42" t="s">
        <v>113</v>
      </c>
      <c r="W12098" s="42">
        <v>1480</v>
      </c>
      <c r="X12098" s="42">
        <v>1480</v>
      </c>
    </row>
    <row r="12099" spans="1:24">
      <c r="A12099" s="27" t="s">
        <v>21775</v>
      </c>
      <c r="B12099" s="28" t="s">
        <v>19918</v>
      </c>
      <c r="C12099" s="27" t="s">
        <v>21690</v>
      </c>
      <c r="D12099" s="27" t="s">
        <v>17558</v>
      </c>
      <c r="E12099" s="29">
        <v>41983</v>
      </c>
      <c r="F12099" s="27">
        <v>7</v>
      </c>
      <c r="G12099" s="18">
        <v>1480</v>
      </c>
      <c r="H12099" s="27">
        <f t="shared" si="376"/>
        <v>1480</v>
      </c>
      <c r="I12099" s="18">
        <v>1480</v>
      </c>
      <c r="J12099" s="27">
        <v>1480</v>
      </c>
      <c r="K12099" s="18">
        <f t="shared" si="377"/>
        <v>1480</v>
      </c>
      <c r="L12099" s="27">
        <v>1480</v>
      </c>
      <c r="M12099" s="36">
        <v>0</v>
      </c>
      <c r="T12099" s="41">
        <v>0</v>
      </c>
      <c r="U12099" s="41">
        <v>0</v>
      </c>
      <c r="V12099" s="42" t="s">
        <v>113</v>
      </c>
      <c r="W12099" s="42">
        <v>1480</v>
      </c>
      <c r="X12099" s="42">
        <v>1480</v>
      </c>
    </row>
    <row r="12100" spans="1:24">
      <c r="A12100" s="27" t="s">
        <v>21776</v>
      </c>
      <c r="B12100" s="28" t="s">
        <v>19918</v>
      </c>
      <c r="C12100" s="27" t="s">
        <v>21690</v>
      </c>
      <c r="D12100" s="27" t="s">
        <v>17558</v>
      </c>
      <c r="E12100" s="29">
        <v>41983</v>
      </c>
      <c r="F12100" s="27">
        <v>7</v>
      </c>
      <c r="G12100" s="18">
        <v>1480</v>
      </c>
      <c r="H12100" s="27">
        <f t="shared" si="376"/>
        <v>1480</v>
      </c>
      <c r="I12100" s="18">
        <v>1480</v>
      </c>
      <c r="J12100" s="27">
        <v>1480</v>
      </c>
      <c r="K12100" s="18">
        <f t="shared" si="377"/>
        <v>1480</v>
      </c>
      <c r="L12100" s="27">
        <v>1480</v>
      </c>
      <c r="M12100" s="36">
        <v>0</v>
      </c>
      <c r="T12100" s="41">
        <v>0</v>
      </c>
      <c r="U12100" s="41">
        <v>0</v>
      </c>
      <c r="V12100" s="42" t="s">
        <v>113</v>
      </c>
      <c r="W12100" s="42">
        <v>1480</v>
      </c>
      <c r="X12100" s="42">
        <v>1480</v>
      </c>
    </row>
    <row r="12101" spans="1:24">
      <c r="A12101" s="27" t="s">
        <v>21777</v>
      </c>
      <c r="B12101" s="28" t="s">
        <v>19918</v>
      </c>
      <c r="C12101" s="27" t="s">
        <v>21690</v>
      </c>
      <c r="D12101" s="27" t="s">
        <v>17558</v>
      </c>
      <c r="E12101" s="29">
        <v>41983</v>
      </c>
      <c r="F12101" s="27">
        <v>7</v>
      </c>
      <c r="G12101" s="18">
        <v>1480</v>
      </c>
      <c r="H12101" s="27">
        <f t="shared" si="376"/>
        <v>1480</v>
      </c>
      <c r="I12101" s="18">
        <v>1480</v>
      </c>
      <c r="J12101" s="27">
        <v>1480</v>
      </c>
      <c r="K12101" s="18">
        <f t="shared" si="377"/>
        <v>1480</v>
      </c>
      <c r="L12101" s="27">
        <v>1480</v>
      </c>
      <c r="M12101" s="36">
        <v>0</v>
      </c>
      <c r="T12101" s="41">
        <v>0</v>
      </c>
      <c r="U12101" s="41">
        <v>0</v>
      </c>
      <c r="V12101" s="42" t="s">
        <v>113</v>
      </c>
      <c r="W12101" s="42">
        <v>1480</v>
      </c>
      <c r="X12101" s="42">
        <v>1480</v>
      </c>
    </row>
    <row r="12102" spans="1:24">
      <c r="A12102" s="27" t="s">
        <v>21778</v>
      </c>
      <c r="B12102" s="28" t="s">
        <v>19918</v>
      </c>
      <c r="C12102" s="27" t="s">
        <v>21690</v>
      </c>
      <c r="D12102" s="27" t="s">
        <v>17558</v>
      </c>
      <c r="E12102" s="29">
        <v>41983</v>
      </c>
      <c r="F12102" s="27">
        <v>7</v>
      </c>
      <c r="G12102" s="18">
        <v>1480</v>
      </c>
      <c r="H12102" s="27">
        <f t="shared" ref="H12102:H12165" si="378">IFERROR(IF(ROUND((G12102-I12102)/G12102,2)&lt;=0.05,G12102,0),0)</f>
        <v>1480</v>
      </c>
      <c r="I12102" s="18">
        <v>1480</v>
      </c>
      <c r="J12102" s="27">
        <v>1480</v>
      </c>
      <c r="K12102" s="18">
        <f t="shared" ref="K12102:K12165" si="379">IFERROR(IF(ROUND((J12102-L12102)/J12102,2)&lt;=0.05,J12102,0),0)</f>
        <v>1480</v>
      </c>
      <c r="L12102" s="27">
        <v>1480</v>
      </c>
      <c r="M12102" s="36">
        <v>0</v>
      </c>
      <c r="T12102" s="41">
        <v>0</v>
      </c>
      <c r="U12102" s="41">
        <v>0</v>
      </c>
      <c r="V12102" s="42" t="s">
        <v>113</v>
      </c>
      <c r="W12102" s="42">
        <v>1480</v>
      </c>
      <c r="X12102" s="42">
        <v>1480</v>
      </c>
    </row>
    <row r="12103" spans="1:24">
      <c r="A12103" s="27" t="s">
        <v>21779</v>
      </c>
      <c r="B12103" s="28" t="s">
        <v>19918</v>
      </c>
      <c r="C12103" s="27" t="s">
        <v>21690</v>
      </c>
      <c r="D12103" s="27" t="s">
        <v>17558</v>
      </c>
      <c r="E12103" s="29">
        <v>41983</v>
      </c>
      <c r="F12103" s="27">
        <v>7</v>
      </c>
      <c r="G12103" s="18">
        <v>1480</v>
      </c>
      <c r="H12103" s="27">
        <f t="shared" si="378"/>
        <v>1480</v>
      </c>
      <c r="I12103" s="18">
        <v>1480</v>
      </c>
      <c r="J12103" s="27">
        <v>1480</v>
      </c>
      <c r="K12103" s="18">
        <f t="shared" si="379"/>
        <v>1480</v>
      </c>
      <c r="L12103" s="27">
        <v>1480</v>
      </c>
      <c r="M12103" s="36">
        <v>0</v>
      </c>
      <c r="T12103" s="41">
        <v>0</v>
      </c>
      <c r="U12103" s="41">
        <v>0</v>
      </c>
      <c r="V12103" s="42" t="s">
        <v>113</v>
      </c>
      <c r="W12103" s="42">
        <v>1480</v>
      </c>
      <c r="X12103" s="42">
        <v>1480</v>
      </c>
    </row>
    <row r="12104" spans="1:24">
      <c r="A12104" s="27" t="s">
        <v>21780</v>
      </c>
      <c r="B12104" s="28" t="s">
        <v>19918</v>
      </c>
      <c r="C12104" s="27" t="s">
        <v>21690</v>
      </c>
      <c r="D12104" s="27" t="s">
        <v>17558</v>
      </c>
      <c r="E12104" s="29">
        <v>41983</v>
      </c>
      <c r="F12104" s="27">
        <v>7</v>
      </c>
      <c r="G12104" s="18">
        <v>1480</v>
      </c>
      <c r="H12104" s="27">
        <f t="shared" si="378"/>
        <v>1480</v>
      </c>
      <c r="I12104" s="18">
        <v>1480</v>
      </c>
      <c r="J12104" s="27">
        <v>1480</v>
      </c>
      <c r="K12104" s="18">
        <f t="shared" si="379"/>
        <v>1480</v>
      </c>
      <c r="L12104" s="27">
        <v>1480</v>
      </c>
      <c r="M12104" s="36">
        <v>0</v>
      </c>
      <c r="T12104" s="41">
        <v>0</v>
      </c>
      <c r="U12104" s="41">
        <v>0</v>
      </c>
      <c r="V12104" s="42" t="s">
        <v>113</v>
      </c>
      <c r="W12104" s="42">
        <v>1480</v>
      </c>
      <c r="X12104" s="42">
        <v>1480</v>
      </c>
    </row>
    <row r="12105" spans="1:24">
      <c r="A12105" s="27" t="s">
        <v>21781</v>
      </c>
      <c r="B12105" s="28" t="s">
        <v>19918</v>
      </c>
      <c r="C12105" s="27" t="s">
        <v>21690</v>
      </c>
      <c r="D12105" s="27" t="s">
        <v>17558</v>
      </c>
      <c r="E12105" s="29">
        <v>41983</v>
      </c>
      <c r="F12105" s="27">
        <v>7</v>
      </c>
      <c r="G12105" s="18">
        <v>1480</v>
      </c>
      <c r="H12105" s="27">
        <f t="shared" si="378"/>
        <v>1480</v>
      </c>
      <c r="I12105" s="18">
        <v>1480</v>
      </c>
      <c r="J12105" s="27">
        <v>1480</v>
      </c>
      <c r="K12105" s="18">
        <f t="shared" si="379"/>
        <v>1480</v>
      </c>
      <c r="L12105" s="27">
        <v>1480</v>
      </c>
      <c r="M12105" s="36">
        <v>0</v>
      </c>
      <c r="T12105" s="41">
        <v>0</v>
      </c>
      <c r="U12105" s="41">
        <v>0</v>
      </c>
      <c r="V12105" s="42" t="s">
        <v>113</v>
      </c>
      <c r="W12105" s="42">
        <v>1480</v>
      </c>
      <c r="X12105" s="42">
        <v>1480</v>
      </c>
    </row>
    <row r="12106" spans="1:24">
      <c r="A12106" s="27" t="s">
        <v>21782</v>
      </c>
      <c r="B12106" s="28" t="s">
        <v>19918</v>
      </c>
      <c r="C12106" s="27" t="s">
        <v>21690</v>
      </c>
      <c r="D12106" s="27" t="s">
        <v>17558</v>
      </c>
      <c r="E12106" s="29">
        <v>41983</v>
      </c>
      <c r="F12106" s="27">
        <v>7</v>
      </c>
      <c r="G12106" s="18">
        <v>1480</v>
      </c>
      <c r="H12106" s="27">
        <f t="shared" si="378"/>
        <v>1480</v>
      </c>
      <c r="I12106" s="18">
        <v>1480</v>
      </c>
      <c r="J12106" s="27">
        <v>1480</v>
      </c>
      <c r="K12106" s="18">
        <f t="shared" si="379"/>
        <v>1480</v>
      </c>
      <c r="L12106" s="27">
        <v>1480</v>
      </c>
      <c r="M12106" s="36">
        <v>0</v>
      </c>
      <c r="T12106" s="41">
        <v>0</v>
      </c>
      <c r="U12106" s="41">
        <v>0</v>
      </c>
      <c r="V12106" s="42" t="s">
        <v>113</v>
      </c>
      <c r="W12106" s="42">
        <v>1480</v>
      </c>
      <c r="X12106" s="42">
        <v>1480</v>
      </c>
    </row>
    <row r="12107" spans="1:24">
      <c r="A12107" s="27" t="s">
        <v>21783</v>
      </c>
      <c r="B12107" s="28" t="s">
        <v>19918</v>
      </c>
      <c r="C12107" s="27" t="s">
        <v>21690</v>
      </c>
      <c r="D12107" s="27" t="s">
        <v>17558</v>
      </c>
      <c r="E12107" s="29">
        <v>41983</v>
      </c>
      <c r="F12107" s="27">
        <v>7</v>
      </c>
      <c r="G12107" s="18">
        <v>1480</v>
      </c>
      <c r="H12107" s="27">
        <f t="shared" si="378"/>
        <v>1480</v>
      </c>
      <c r="I12107" s="18">
        <v>1480</v>
      </c>
      <c r="J12107" s="27">
        <v>1480</v>
      </c>
      <c r="K12107" s="18">
        <f t="shared" si="379"/>
        <v>1480</v>
      </c>
      <c r="L12107" s="27">
        <v>1480</v>
      </c>
      <c r="M12107" s="36">
        <v>0</v>
      </c>
      <c r="T12107" s="41">
        <v>0</v>
      </c>
      <c r="U12107" s="41">
        <v>0</v>
      </c>
      <c r="V12107" s="42" t="s">
        <v>113</v>
      </c>
      <c r="W12107" s="42">
        <v>1480</v>
      </c>
      <c r="X12107" s="42">
        <v>1480</v>
      </c>
    </row>
    <row r="12108" spans="1:24">
      <c r="A12108" s="27" t="s">
        <v>21784</v>
      </c>
      <c r="B12108" s="28" t="s">
        <v>19918</v>
      </c>
      <c r="C12108" s="27" t="s">
        <v>21690</v>
      </c>
      <c r="D12108" s="27" t="s">
        <v>17558</v>
      </c>
      <c r="E12108" s="29">
        <v>41983</v>
      </c>
      <c r="F12108" s="27">
        <v>7</v>
      </c>
      <c r="G12108" s="18">
        <v>1480</v>
      </c>
      <c r="H12108" s="27">
        <f t="shared" si="378"/>
        <v>1480</v>
      </c>
      <c r="I12108" s="18">
        <v>1480</v>
      </c>
      <c r="J12108" s="27">
        <v>1480</v>
      </c>
      <c r="K12108" s="18">
        <f t="shared" si="379"/>
        <v>1480</v>
      </c>
      <c r="L12108" s="27">
        <v>1480</v>
      </c>
      <c r="M12108" s="36">
        <v>0</v>
      </c>
      <c r="T12108" s="41">
        <v>0</v>
      </c>
      <c r="U12108" s="41">
        <v>0</v>
      </c>
      <c r="V12108" s="42" t="s">
        <v>113</v>
      </c>
      <c r="W12108" s="42">
        <v>1480</v>
      </c>
      <c r="X12108" s="42">
        <v>1480</v>
      </c>
    </row>
    <row r="12109" spans="1:24">
      <c r="A12109" s="27" t="s">
        <v>21785</v>
      </c>
      <c r="B12109" s="28" t="s">
        <v>19918</v>
      </c>
      <c r="C12109" s="27" t="s">
        <v>21786</v>
      </c>
      <c r="D12109" s="27" t="s">
        <v>17578</v>
      </c>
      <c r="E12109" s="29">
        <v>42488</v>
      </c>
      <c r="F12109" s="27">
        <v>7</v>
      </c>
      <c r="G12109" s="18">
        <v>1750.43</v>
      </c>
      <c r="H12109" s="27">
        <f t="shared" si="378"/>
        <v>0</v>
      </c>
      <c r="I12109" s="18">
        <v>633.49</v>
      </c>
      <c r="J12109" s="27">
        <v>1750.43</v>
      </c>
      <c r="K12109" s="18">
        <f t="shared" si="379"/>
        <v>0</v>
      </c>
      <c r="L12109" s="27">
        <v>871.05</v>
      </c>
      <c r="M12109" s="36">
        <v>237.56</v>
      </c>
      <c r="T12109" s="41">
        <v>0</v>
      </c>
      <c r="U12109" s="41">
        <v>0</v>
      </c>
      <c r="V12109" s="42" t="s">
        <v>113</v>
      </c>
      <c r="W12109" s="42">
        <v>0</v>
      </c>
      <c r="X12109" s="42">
        <v>0</v>
      </c>
    </row>
    <row r="12110" spans="1:24">
      <c r="A12110" s="27" t="s">
        <v>21787</v>
      </c>
      <c r="B12110" s="28" t="s">
        <v>19918</v>
      </c>
      <c r="C12110" s="27" t="s">
        <v>21788</v>
      </c>
      <c r="D12110" s="27" t="s">
        <v>17578</v>
      </c>
      <c r="E12110" s="29">
        <v>42488</v>
      </c>
      <c r="F12110" s="27">
        <v>7</v>
      </c>
      <c r="G12110" s="18">
        <v>1750.43</v>
      </c>
      <c r="H12110" s="27">
        <f t="shared" si="378"/>
        <v>0</v>
      </c>
      <c r="I12110" s="18">
        <v>633.49</v>
      </c>
      <c r="J12110" s="27">
        <v>1750.43</v>
      </c>
      <c r="K12110" s="18">
        <f t="shared" si="379"/>
        <v>0</v>
      </c>
      <c r="L12110" s="27">
        <v>871.05</v>
      </c>
      <c r="M12110" s="36">
        <v>237.56</v>
      </c>
      <c r="T12110" s="41">
        <v>0</v>
      </c>
      <c r="U12110" s="41">
        <v>0</v>
      </c>
      <c r="V12110" s="42" t="s">
        <v>113</v>
      </c>
      <c r="W12110" s="42">
        <v>0</v>
      </c>
      <c r="X12110" s="42">
        <v>0</v>
      </c>
    </row>
    <row r="12111" spans="1:24">
      <c r="A12111" s="27" t="s">
        <v>21789</v>
      </c>
      <c r="B12111" s="28" t="s">
        <v>19918</v>
      </c>
      <c r="C12111" s="27" t="s">
        <v>21790</v>
      </c>
      <c r="D12111" s="27" t="s">
        <v>17578</v>
      </c>
      <c r="E12111" s="29">
        <v>42488</v>
      </c>
      <c r="F12111" s="27">
        <v>7</v>
      </c>
      <c r="G12111" s="18">
        <v>1750.43</v>
      </c>
      <c r="H12111" s="27">
        <f t="shared" si="378"/>
        <v>0</v>
      </c>
      <c r="I12111" s="18">
        <v>633.49</v>
      </c>
      <c r="J12111" s="27">
        <v>1750.43</v>
      </c>
      <c r="K12111" s="18">
        <f t="shared" si="379"/>
        <v>0</v>
      </c>
      <c r="L12111" s="27">
        <v>871.05</v>
      </c>
      <c r="M12111" s="36">
        <v>237.56</v>
      </c>
      <c r="T12111" s="41">
        <v>0</v>
      </c>
      <c r="U12111" s="41">
        <v>0</v>
      </c>
      <c r="V12111" s="42" t="s">
        <v>113</v>
      </c>
      <c r="W12111" s="42">
        <v>0</v>
      </c>
      <c r="X12111" s="42">
        <v>0</v>
      </c>
    </row>
    <row r="12112" spans="1:24">
      <c r="A12112" s="27" t="s">
        <v>21791</v>
      </c>
      <c r="B12112" s="28" t="s">
        <v>19918</v>
      </c>
      <c r="C12112" s="27" t="s">
        <v>21792</v>
      </c>
      <c r="D12112" s="27" t="s">
        <v>17578</v>
      </c>
      <c r="E12112" s="29">
        <v>42488</v>
      </c>
      <c r="F12112" s="27">
        <v>7</v>
      </c>
      <c r="G12112" s="18">
        <v>1750.43</v>
      </c>
      <c r="H12112" s="27">
        <f t="shared" si="378"/>
        <v>0</v>
      </c>
      <c r="I12112" s="18">
        <v>633.49</v>
      </c>
      <c r="J12112" s="27">
        <v>1750.43</v>
      </c>
      <c r="K12112" s="18">
        <f t="shared" si="379"/>
        <v>0</v>
      </c>
      <c r="L12112" s="27">
        <v>871.05</v>
      </c>
      <c r="M12112" s="36">
        <v>237.56</v>
      </c>
      <c r="T12112" s="41">
        <v>0</v>
      </c>
      <c r="U12112" s="41">
        <v>0</v>
      </c>
      <c r="V12112" s="42" t="s">
        <v>113</v>
      </c>
      <c r="W12112" s="42">
        <v>0</v>
      </c>
      <c r="X12112" s="42">
        <v>0</v>
      </c>
    </row>
    <row r="12113" spans="1:24">
      <c r="A12113" s="27" t="s">
        <v>21793</v>
      </c>
      <c r="B12113" s="28" t="s">
        <v>19918</v>
      </c>
      <c r="C12113" s="27" t="s">
        <v>21794</v>
      </c>
      <c r="D12113" s="27" t="s">
        <v>17578</v>
      </c>
      <c r="E12113" s="29">
        <v>42488</v>
      </c>
      <c r="F12113" s="27">
        <v>7</v>
      </c>
      <c r="G12113" s="18">
        <v>1750.43</v>
      </c>
      <c r="H12113" s="27">
        <f t="shared" si="378"/>
        <v>0</v>
      </c>
      <c r="I12113" s="18">
        <v>633.49</v>
      </c>
      <c r="J12113" s="27">
        <v>1750.43</v>
      </c>
      <c r="K12113" s="18">
        <f t="shared" si="379"/>
        <v>0</v>
      </c>
      <c r="L12113" s="27">
        <v>871.05</v>
      </c>
      <c r="M12113" s="36">
        <v>237.56</v>
      </c>
      <c r="T12113" s="41">
        <v>0</v>
      </c>
      <c r="U12113" s="41">
        <v>0</v>
      </c>
      <c r="V12113" s="42" t="s">
        <v>113</v>
      </c>
      <c r="W12113" s="42">
        <v>0</v>
      </c>
      <c r="X12113" s="42">
        <v>0</v>
      </c>
    </row>
    <row r="12114" spans="1:24">
      <c r="A12114" s="27" t="s">
        <v>21795</v>
      </c>
      <c r="B12114" s="28" t="s">
        <v>19918</v>
      </c>
      <c r="C12114" s="27" t="s">
        <v>21796</v>
      </c>
      <c r="D12114" s="27" t="s">
        <v>17578</v>
      </c>
      <c r="E12114" s="29">
        <v>42488</v>
      </c>
      <c r="F12114" s="27">
        <v>7</v>
      </c>
      <c r="G12114" s="18">
        <v>1750.43</v>
      </c>
      <c r="H12114" s="27">
        <f t="shared" si="378"/>
        <v>0</v>
      </c>
      <c r="I12114" s="18">
        <v>633.49</v>
      </c>
      <c r="J12114" s="27">
        <v>1750.43</v>
      </c>
      <c r="K12114" s="18">
        <f t="shared" si="379"/>
        <v>0</v>
      </c>
      <c r="L12114" s="27">
        <v>871.05</v>
      </c>
      <c r="M12114" s="36">
        <v>237.56</v>
      </c>
      <c r="T12114" s="41">
        <v>0</v>
      </c>
      <c r="U12114" s="41">
        <v>0</v>
      </c>
      <c r="V12114" s="42" t="s">
        <v>113</v>
      </c>
      <c r="W12114" s="42">
        <v>0</v>
      </c>
      <c r="X12114" s="42">
        <v>0</v>
      </c>
    </row>
    <row r="12115" spans="1:24">
      <c r="A12115" s="27" t="s">
        <v>21797</v>
      </c>
      <c r="B12115" s="28" t="s">
        <v>19918</v>
      </c>
      <c r="C12115" s="27" t="s">
        <v>21798</v>
      </c>
      <c r="D12115" s="27" t="s">
        <v>17578</v>
      </c>
      <c r="E12115" s="29">
        <v>42488</v>
      </c>
      <c r="F12115" s="27">
        <v>7</v>
      </c>
      <c r="G12115" s="18">
        <v>1750.43</v>
      </c>
      <c r="H12115" s="27">
        <f t="shared" si="378"/>
        <v>0</v>
      </c>
      <c r="I12115" s="18">
        <v>633.49</v>
      </c>
      <c r="J12115" s="27">
        <v>1750.43</v>
      </c>
      <c r="K12115" s="18">
        <f t="shared" si="379"/>
        <v>0</v>
      </c>
      <c r="L12115" s="27">
        <v>871.05</v>
      </c>
      <c r="M12115" s="36">
        <v>237.56</v>
      </c>
      <c r="T12115" s="41">
        <v>0</v>
      </c>
      <c r="U12115" s="41">
        <v>0</v>
      </c>
      <c r="V12115" s="42" t="s">
        <v>113</v>
      </c>
      <c r="W12115" s="42">
        <v>0</v>
      </c>
      <c r="X12115" s="42">
        <v>0</v>
      </c>
    </row>
    <row r="12116" spans="1:24">
      <c r="A12116" s="27" t="s">
        <v>21799</v>
      </c>
      <c r="B12116" s="28" t="s">
        <v>19918</v>
      </c>
      <c r="C12116" s="27" t="s">
        <v>21800</v>
      </c>
      <c r="D12116" s="27" t="s">
        <v>17578</v>
      </c>
      <c r="E12116" s="29">
        <v>42488</v>
      </c>
      <c r="F12116" s="27">
        <v>7</v>
      </c>
      <c r="G12116" s="18">
        <v>1750.43</v>
      </c>
      <c r="H12116" s="27">
        <f t="shared" si="378"/>
        <v>0</v>
      </c>
      <c r="I12116" s="18">
        <v>633.49</v>
      </c>
      <c r="J12116" s="27">
        <v>1750.43</v>
      </c>
      <c r="K12116" s="18">
        <f t="shared" si="379"/>
        <v>0</v>
      </c>
      <c r="L12116" s="27">
        <v>871.05</v>
      </c>
      <c r="M12116" s="36">
        <v>237.56</v>
      </c>
      <c r="T12116" s="41">
        <v>0</v>
      </c>
      <c r="U12116" s="41">
        <v>0</v>
      </c>
      <c r="V12116" s="42" t="s">
        <v>113</v>
      </c>
      <c r="W12116" s="42">
        <v>0</v>
      </c>
      <c r="X12116" s="42">
        <v>0</v>
      </c>
    </row>
    <row r="12117" spans="1:24">
      <c r="A12117" s="27" t="s">
        <v>21801</v>
      </c>
      <c r="B12117" s="28" t="s">
        <v>19918</v>
      </c>
      <c r="C12117" s="27" t="s">
        <v>21802</v>
      </c>
      <c r="D12117" s="27" t="s">
        <v>17578</v>
      </c>
      <c r="E12117" s="29">
        <v>42488</v>
      </c>
      <c r="F12117" s="27">
        <v>7</v>
      </c>
      <c r="G12117" s="18">
        <v>1750.43</v>
      </c>
      <c r="H12117" s="27">
        <f t="shared" si="378"/>
        <v>0</v>
      </c>
      <c r="I12117" s="18">
        <v>633.49</v>
      </c>
      <c r="J12117" s="27">
        <v>1750.43</v>
      </c>
      <c r="K12117" s="18">
        <f t="shared" si="379"/>
        <v>0</v>
      </c>
      <c r="L12117" s="27">
        <v>871.05</v>
      </c>
      <c r="M12117" s="36">
        <v>237.56</v>
      </c>
      <c r="T12117" s="41">
        <v>0</v>
      </c>
      <c r="U12117" s="41">
        <v>0</v>
      </c>
      <c r="V12117" s="42" t="s">
        <v>113</v>
      </c>
      <c r="W12117" s="42">
        <v>0</v>
      </c>
      <c r="X12117" s="42">
        <v>0</v>
      </c>
    </row>
    <row r="12118" spans="1:24">
      <c r="A12118" s="27" t="s">
        <v>21803</v>
      </c>
      <c r="B12118" s="28" t="s">
        <v>19918</v>
      </c>
      <c r="C12118" s="27" t="s">
        <v>21804</v>
      </c>
      <c r="D12118" s="27" t="s">
        <v>17578</v>
      </c>
      <c r="E12118" s="29">
        <v>42488</v>
      </c>
      <c r="F12118" s="27">
        <v>7</v>
      </c>
      <c r="G12118" s="18">
        <v>1750.43</v>
      </c>
      <c r="H12118" s="27">
        <f t="shared" si="378"/>
        <v>0</v>
      </c>
      <c r="I12118" s="18">
        <v>633.49</v>
      </c>
      <c r="J12118" s="27">
        <v>1750.43</v>
      </c>
      <c r="K12118" s="18">
        <f t="shared" si="379"/>
        <v>0</v>
      </c>
      <c r="L12118" s="27">
        <v>871.05</v>
      </c>
      <c r="M12118" s="36">
        <v>237.56</v>
      </c>
      <c r="T12118" s="41">
        <v>0</v>
      </c>
      <c r="U12118" s="41">
        <v>0</v>
      </c>
      <c r="V12118" s="42" t="s">
        <v>113</v>
      </c>
      <c r="W12118" s="42">
        <v>0</v>
      </c>
      <c r="X12118" s="42">
        <v>0</v>
      </c>
    </row>
    <row r="12119" spans="1:24">
      <c r="A12119" s="27" t="s">
        <v>21805</v>
      </c>
      <c r="B12119" s="28" t="s">
        <v>19918</v>
      </c>
      <c r="C12119" s="27" t="s">
        <v>21806</v>
      </c>
      <c r="D12119" s="27" t="s">
        <v>17578</v>
      </c>
      <c r="E12119" s="29">
        <v>42488</v>
      </c>
      <c r="F12119" s="27">
        <v>7</v>
      </c>
      <c r="G12119" s="18">
        <v>1750.43</v>
      </c>
      <c r="H12119" s="27">
        <f t="shared" si="378"/>
        <v>0</v>
      </c>
      <c r="I12119" s="18">
        <v>633.49</v>
      </c>
      <c r="J12119" s="27">
        <v>1750.43</v>
      </c>
      <c r="K12119" s="18">
        <f t="shared" si="379"/>
        <v>0</v>
      </c>
      <c r="L12119" s="27">
        <v>871.05</v>
      </c>
      <c r="M12119" s="36">
        <v>237.56</v>
      </c>
      <c r="T12119" s="41">
        <v>0</v>
      </c>
      <c r="U12119" s="41">
        <v>0</v>
      </c>
      <c r="V12119" s="42" t="s">
        <v>113</v>
      </c>
      <c r="W12119" s="42">
        <v>0</v>
      </c>
      <c r="X12119" s="42">
        <v>0</v>
      </c>
    </row>
    <row r="12120" spans="1:24">
      <c r="A12120" s="27" t="s">
        <v>21807</v>
      </c>
      <c r="B12120" s="28" t="s">
        <v>19918</v>
      </c>
      <c r="C12120" s="27" t="s">
        <v>21808</v>
      </c>
      <c r="D12120" s="27" t="s">
        <v>17578</v>
      </c>
      <c r="E12120" s="29">
        <v>42488</v>
      </c>
      <c r="F12120" s="27">
        <v>7</v>
      </c>
      <c r="G12120" s="18">
        <v>1750.43</v>
      </c>
      <c r="H12120" s="27">
        <f t="shared" si="378"/>
        <v>0</v>
      </c>
      <c r="I12120" s="18">
        <v>633.49</v>
      </c>
      <c r="J12120" s="27">
        <v>1750.43</v>
      </c>
      <c r="K12120" s="18">
        <f t="shared" si="379"/>
        <v>0</v>
      </c>
      <c r="L12120" s="27">
        <v>871.05</v>
      </c>
      <c r="M12120" s="36">
        <v>237.56</v>
      </c>
      <c r="T12120" s="41">
        <v>0</v>
      </c>
      <c r="U12120" s="41">
        <v>0</v>
      </c>
      <c r="V12120" s="42" t="s">
        <v>113</v>
      </c>
      <c r="W12120" s="42">
        <v>0</v>
      </c>
      <c r="X12120" s="42">
        <v>0</v>
      </c>
    </row>
    <row r="12121" spans="1:24">
      <c r="A12121" s="27" t="s">
        <v>21809</v>
      </c>
      <c r="B12121" s="28" t="s">
        <v>19918</v>
      </c>
      <c r="C12121" s="27" t="s">
        <v>21810</v>
      </c>
      <c r="D12121" s="27" t="s">
        <v>17578</v>
      </c>
      <c r="E12121" s="29">
        <v>42488</v>
      </c>
      <c r="F12121" s="27">
        <v>7</v>
      </c>
      <c r="G12121" s="18">
        <v>1750.43</v>
      </c>
      <c r="H12121" s="27">
        <f t="shared" si="378"/>
        <v>0</v>
      </c>
      <c r="I12121" s="18">
        <v>633.49</v>
      </c>
      <c r="J12121" s="27">
        <v>1750.43</v>
      </c>
      <c r="K12121" s="18">
        <f t="shared" si="379"/>
        <v>0</v>
      </c>
      <c r="L12121" s="27">
        <v>871.05</v>
      </c>
      <c r="M12121" s="36">
        <v>237.56</v>
      </c>
      <c r="T12121" s="41">
        <v>0</v>
      </c>
      <c r="U12121" s="41">
        <v>0</v>
      </c>
      <c r="V12121" s="42" t="s">
        <v>113</v>
      </c>
      <c r="W12121" s="42">
        <v>0</v>
      </c>
      <c r="X12121" s="42">
        <v>0</v>
      </c>
    </row>
    <row r="12122" spans="1:24">
      <c r="A12122" s="27" t="s">
        <v>21811</v>
      </c>
      <c r="B12122" s="28" t="s">
        <v>19918</v>
      </c>
      <c r="C12122" s="27" t="s">
        <v>21812</v>
      </c>
      <c r="D12122" s="27" t="s">
        <v>17578</v>
      </c>
      <c r="E12122" s="29">
        <v>42488</v>
      </c>
      <c r="F12122" s="27">
        <v>7</v>
      </c>
      <c r="G12122" s="18">
        <v>1750.43</v>
      </c>
      <c r="H12122" s="27">
        <f t="shared" si="378"/>
        <v>0</v>
      </c>
      <c r="I12122" s="18">
        <v>633.49</v>
      </c>
      <c r="J12122" s="27">
        <v>1750.43</v>
      </c>
      <c r="K12122" s="18">
        <f t="shared" si="379"/>
        <v>0</v>
      </c>
      <c r="L12122" s="27">
        <v>871.05</v>
      </c>
      <c r="M12122" s="36">
        <v>237.56</v>
      </c>
      <c r="T12122" s="41">
        <v>0</v>
      </c>
      <c r="U12122" s="41">
        <v>0</v>
      </c>
      <c r="V12122" s="42" t="s">
        <v>113</v>
      </c>
      <c r="W12122" s="42">
        <v>0</v>
      </c>
      <c r="X12122" s="42">
        <v>0</v>
      </c>
    </row>
    <row r="12123" spans="1:24">
      <c r="A12123" s="27" t="s">
        <v>21813</v>
      </c>
      <c r="B12123" s="28" t="s">
        <v>19918</v>
      </c>
      <c r="C12123" s="27" t="s">
        <v>21814</v>
      </c>
      <c r="D12123" s="27" t="s">
        <v>17578</v>
      </c>
      <c r="E12123" s="29">
        <v>42488</v>
      </c>
      <c r="F12123" s="27">
        <v>7</v>
      </c>
      <c r="G12123" s="18">
        <v>1750.43</v>
      </c>
      <c r="H12123" s="27">
        <f t="shared" si="378"/>
        <v>0</v>
      </c>
      <c r="I12123" s="18">
        <v>633.49</v>
      </c>
      <c r="J12123" s="27">
        <v>1750.43</v>
      </c>
      <c r="K12123" s="18">
        <f t="shared" si="379"/>
        <v>0</v>
      </c>
      <c r="L12123" s="27">
        <v>871.05</v>
      </c>
      <c r="M12123" s="36">
        <v>237.56</v>
      </c>
      <c r="T12123" s="41">
        <v>0</v>
      </c>
      <c r="U12123" s="41">
        <v>0</v>
      </c>
      <c r="V12123" s="42" t="s">
        <v>113</v>
      </c>
      <c r="W12123" s="42">
        <v>0</v>
      </c>
      <c r="X12123" s="42">
        <v>0</v>
      </c>
    </row>
    <row r="12124" spans="1:24">
      <c r="A12124" s="27" t="s">
        <v>21815</v>
      </c>
      <c r="B12124" s="28" t="s">
        <v>19918</v>
      </c>
      <c r="C12124" s="27" t="s">
        <v>21816</v>
      </c>
      <c r="D12124" s="27" t="s">
        <v>17578</v>
      </c>
      <c r="E12124" s="29">
        <v>42488</v>
      </c>
      <c r="F12124" s="27">
        <v>7</v>
      </c>
      <c r="G12124" s="18">
        <v>1750.43</v>
      </c>
      <c r="H12124" s="27">
        <f t="shared" si="378"/>
        <v>0</v>
      </c>
      <c r="I12124" s="18">
        <v>633.49</v>
      </c>
      <c r="J12124" s="27">
        <v>1750.43</v>
      </c>
      <c r="K12124" s="18">
        <f t="shared" si="379"/>
        <v>0</v>
      </c>
      <c r="L12124" s="27">
        <v>871.05</v>
      </c>
      <c r="M12124" s="36">
        <v>237.56</v>
      </c>
      <c r="T12124" s="41">
        <v>0</v>
      </c>
      <c r="U12124" s="41">
        <v>0</v>
      </c>
      <c r="V12124" s="42" t="s">
        <v>113</v>
      </c>
      <c r="W12124" s="42">
        <v>0</v>
      </c>
      <c r="X12124" s="42">
        <v>0</v>
      </c>
    </row>
    <row r="12125" spans="1:24">
      <c r="A12125" s="27" t="s">
        <v>21817</v>
      </c>
      <c r="B12125" s="28" t="s">
        <v>19918</v>
      </c>
      <c r="C12125" s="27" t="s">
        <v>21818</v>
      </c>
      <c r="D12125" s="27" t="s">
        <v>17578</v>
      </c>
      <c r="E12125" s="29">
        <v>42488</v>
      </c>
      <c r="F12125" s="27">
        <v>7</v>
      </c>
      <c r="G12125" s="18">
        <v>1750.43</v>
      </c>
      <c r="H12125" s="27">
        <f t="shared" si="378"/>
        <v>0</v>
      </c>
      <c r="I12125" s="18">
        <v>633.49</v>
      </c>
      <c r="J12125" s="27">
        <v>1750.43</v>
      </c>
      <c r="K12125" s="18">
        <f t="shared" si="379"/>
        <v>0</v>
      </c>
      <c r="L12125" s="27">
        <v>871.05</v>
      </c>
      <c r="M12125" s="36">
        <v>237.56</v>
      </c>
      <c r="T12125" s="41">
        <v>0</v>
      </c>
      <c r="U12125" s="41">
        <v>0</v>
      </c>
      <c r="V12125" s="42" t="s">
        <v>113</v>
      </c>
      <c r="W12125" s="42">
        <v>0</v>
      </c>
      <c r="X12125" s="42">
        <v>0</v>
      </c>
    </row>
    <row r="12126" spans="1:24">
      <c r="A12126" s="27" t="s">
        <v>21819</v>
      </c>
      <c r="B12126" s="28" t="s">
        <v>19918</v>
      </c>
      <c r="C12126" s="27" t="s">
        <v>21820</v>
      </c>
      <c r="D12126" s="27" t="s">
        <v>17578</v>
      </c>
      <c r="E12126" s="29">
        <v>42488</v>
      </c>
      <c r="F12126" s="27">
        <v>7</v>
      </c>
      <c r="G12126" s="18">
        <v>1750.43</v>
      </c>
      <c r="H12126" s="27">
        <f t="shared" si="378"/>
        <v>0</v>
      </c>
      <c r="I12126" s="18">
        <v>633.49</v>
      </c>
      <c r="J12126" s="27">
        <v>1750.43</v>
      </c>
      <c r="K12126" s="18">
        <f t="shared" si="379"/>
        <v>0</v>
      </c>
      <c r="L12126" s="27">
        <v>871.05</v>
      </c>
      <c r="M12126" s="36">
        <v>237.56</v>
      </c>
      <c r="T12126" s="41">
        <v>0</v>
      </c>
      <c r="U12126" s="41">
        <v>0</v>
      </c>
      <c r="V12126" s="42" t="s">
        <v>113</v>
      </c>
      <c r="W12126" s="42">
        <v>0</v>
      </c>
      <c r="X12126" s="42">
        <v>0</v>
      </c>
    </row>
    <row r="12127" spans="1:24">
      <c r="A12127" s="27" t="s">
        <v>21821</v>
      </c>
      <c r="B12127" s="28" t="s">
        <v>19918</v>
      </c>
      <c r="C12127" s="27" t="s">
        <v>21822</v>
      </c>
      <c r="D12127" s="27" t="s">
        <v>17578</v>
      </c>
      <c r="E12127" s="29">
        <v>42488</v>
      </c>
      <c r="F12127" s="27">
        <v>7</v>
      </c>
      <c r="G12127" s="18">
        <v>1750.43</v>
      </c>
      <c r="H12127" s="27">
        <f t="shared" si="378"/>
        <v>0</v>
      </c>
      <c r="I12127" s="18">
        <v>633.49</v>
      </c>
      <c r="J12127" s="27">
        <v>1750.43</v>
      </c>
      <c r="K12127" s="18">
        <f t="shared" si="379"/>
        <v>0</v>
      </c>
      <c r="L12127" s="27">
        <v>871.05</v>
      </c>
      <c r="M12127" s="36">
        <v>237.56</v>
      </c>
      <c r="T12127" s="41">
        <v>0</v>
      </c>
      <c r="U12127" s="41">
        <v>0</v>
      </c>
      <c r="V12127" s="42" t="s">
        <v>113</v>
      </c>
      <c r="W12127" s="42">
        <v>0</v>
      </c>
      <c r="X12127" s="42">
        <v>0</v>
      </c>
    </row>
    <row r="12128" spans="1:24">
      <c r="A12128" s="27" t="s">
        <v>21823</v>
      </c>
      <c r="B12128" s="28" t="s">
        <v>19918</v>
      </c>
      <c r="C12128" s="27" t="s">
        <v>21824</v>
      </c>
      <c r="D12128" s="27" t="s">
        <v>17578</v>
      </c>
      <c r="E12128" s="29">
        <v>42488</v>
      </c>
      <c r="F12128" s="27">
        <v>7</v>
      </c>
      <c r="G12128" s="18">
        <v>1750.43</v>
      </c>
      <c r="H12128" s="27">
        <f t="shared" si="378"/>
        <v>0</v>
      </c>
      <c r="I12128" s="18">
        <v>633.49</v>
      </c>
      <c r="J12128" s="27">
        <v>1750.43</v>
      </c>
      <c r="K12128" s="18">
        <f t="shared" si="379"/>
        <v>0</v>
      </c>
      <c r="L12128" s="27">
        <v>871.05</v>
      </c>
      <c r="M12128" s="36">
        <v>237.56</v>
      </c>
      <c r="T12128" s="41">
        <v>0</v>
      </c>
      <c r="U12128" s="41">
        <v>0</v>
      </c>
      <c r="V12128" s="42" t="s">
        <v>113</v>
      </c>
      <c r="W12128" s="42">
        <v>0</v>
      </c>
      <c r="X12128" s="42">
        <v>0</v>
      </c>
    </row>
    <row r="12129" spans="1:24">
      <c r="A12129" s="27" t="s">
        <v>21825</v>
      </c>
      <c r="B12129" s="28" t="s">
        <v>19918</v>
      </c>
      <c r="C12129" s="27" t="s">
        <v>21826</v>
      </c>
      <c r="D12129" s="27" t="s">
        <v>17578</v>
      </c>
      <c r="E12129" s="29">
        <v>42488</v>
      </c>
      <c r="F12129" s="27">
        <v>7</v>
      </c>
      <c r="G12129" s="18">
        <v>1750.43</v>
      </c>
      <c r="H12129" s="27">
        <f t="shared" si="378"/>
        <v>0</v>
      </c>
      <c r="I12129" s="18">
        <v>633.49</v>
      </c>
      <c r="J12129" s="27">
        <v>1750.43</v>
      </c>
      <c r="K12129" s="18">
        <f t="shared" si="379"/>
        <v>0</v>
      </c>
      <c r="L12129" s="27">
        <v>871.05</v>
      </c>
      <c r="M12129" s="36">
        <v>237.56</v>
      </c>
      <c r="T12129" s="41">
        <v>0</v>
      </c>
      <c r="U12129" s="41">
        <v>0</v>
      </c>
      <c r="V12129" s="42" t="s">
        <v>113</v>
      </c>
      <c r="W12129" s="42">
        <v>0</v>
      </c>
      <c r="X12129" s="42">
        <v>0</v>
      </c>
    </row>
    <row r="12130" spans="1:24">
      <c r="A12130" s="27" t="s">
        <v>21827</v>
      </c>
      <c r="B12130" s="28" t="s">
        <v>19918</v>
      </c>
      <c r="C12130" s="27" t="s">
        <v>21828</v>
      </c>
      <c r="D12130" s="27" t="s">
        <v>17578</v>
      </c>
      <c r="E12130" s="29">
        <v>42488</v>
      </c>
      <c r="F12130" s="27">
        <v>7</v>
      </c>
      <c r="G12130" s="18">
        <v>1750.43</v>
      </c>
      <c r="H12130" s="27">
        <f t="shared" si="378"/>
        <v>0</v>
      </c>
      <c r="I12130" s="18">
        <v>633.49</v>
      </c>
      <c r="J12130" s="27">
        <v>1750.43</v>
      </c>
      <c r="K12130" s="18">
        <f t="shared" si="379"/>
        <v>0</v>
      </c>
      <c r="L12130" s="27">
        <v>871.05</v>
      </c>
      <c r="M12130" s="36">
        <v>237.56</v>
      </c>
      <c r="T12130" s="41">
        <v>0</v>
      </c>
      <c r="U12130" s="41">
        <v>0</v>
      </c>
      <c r="V12130" s="42" t="s">
        <v>113</v>
      </c>
      <c r="W12130" s="42">
        <v>0</v>
      </c>
      <c r="X12130" s="42">
        <v>0</v>
      </c>
    </row>
    <row r="12131" spans="1:24">
      <c r="A12131" s="27" t="s">
        <v>21829</v>
      </c>
      <c r="B12131" s="28" t="s">
        <v>19918</v>
      </c>
      <c r="C12131" s="27" t="s">
        <v>21830</v>
      </c>
      <c r="D12131" s="27" t="s">
        <v>17578</v>
      </c>
      <c r="E12131" s="29">
        <v>42488</v>
      </c>
      <c r="F12131" s="27">
        <v>7</v>
      </c>
      <c r="G12131" s="18">
        <v>1750.43</v>
      </c>
      <c r="H12131" s="27">
        <f t="shared" si="378"/>
        <v>0</v>
      </c>
      <c r="I12131" s="18">
        <v>633.49</v>
      </c>
      <c r="J12131" s="27">
        <v>1750.43</v>
      </c>
      <c r="K12131" s="18">
        <f t="shared" si="379"/>
        <v>0</v>
      </c>
      <c r="L12131" s="27">
        <v>871.05</v>
      </c>
      <c r="M12131" s="36">
        <v>237.56</v>
      </c>
      <c r="T12131" s="41">
        <v>0</v>
      </c>
      <c r="U12131" s="41">
        <v>0</v>
      </c>
      <c r="V12131" s="42" t="s">
        <v>113</v>
      </c>
      <c r="W12131" s="42">
        <v>0</v>
      </c>
      <c r="X12131" s="42">
        <v>0</v>
      </c>
    </row>
    <row r="12132" spans="1:24">
      <c r="A12132" s="27" t="s">
        <v>21831</v>
      </c>
      <c r="B12132" s="28" t="s">
        <v>19918</v>
      </c>
      <c r="C12132" s="27" t="s">
        <v>21832</v>
      </c>
      <c r="D12132" s="27" t="s">
        <v>17578</v>
      </c>
      <c r="E12132" s="29">
        <v>42488</v>
      </c>
      <c r="F12132" s="27">
        <v>7</v>
      </c>
      <c r="G12132" s="18">
        <v>1750.43</v>
      </c>
      <c r="H12132" s="27">
        <f t="shared" si="378"/>
        <v>0</v>
      </c>
      <c r="I12132" s="18">
        <v>633.49</v>
      </c>
      <c r="J12132" s="27">
        <v>1750.43</v>
      </c>
      <c r="K12132" s="18">
        <f t="shared" si="379"/>
        <v>0</v>
      </c>
      <c r="L12132" s="27">
        <v>871.05</v>
      </c>
      <c r="M12132" s="36">
        <v>237.56</v>
      </c>
      <c r="T12132" s="41">
        <v>0</v>
      </c>
      <c r="U12132" s="41">
        <v>0</v>
      </c>
      <c r="V12132" s="42" t="s">
        <v>113</v>
      </c>
      <c r="W12132" s="42">
        <v>0</v>
      </c>
      <c r="X12132" s="42">
        <v>0</v>
      </c>
    </row>
    <row r="12133" spans="1:24">
      <c r="A12133" s="27" t="s">
        <v>21833</v>
      </c>
      <c r="B12133" s="28" t="s">
        <v>19918</v>
      </c>
      <c r="C12133" s="27" t="s">
        <v>21834</v>
      </c>
      <c r="D12133" s="27" t="s">
        <v>17578</v>
      </c>
      <c r="E12133" s="29">
        <v>42488</v>
      </c>
      <c r="F12133" s="27">
        <v>7</v>
      </c>
      <c r="G12133" s="18">
        <v>1750.44</v>
      </c>
      <c r="H12133" s="27">
        <f t="shared" si="378"/>
        <v>0</v>
      </c>
      <c r="I12133" s="18">
        <v>633.49</v>
      </c>
      <c r="J12133" s="27">
        <v>1750.44</v>
      </c>
      <c r="K12133" s="18">
        <f t="shared" si="379"/>
        <v>0</v>
      </c>
      <c r="L12133" s="27">
        <v>871.05</v>
      </c>
      <c r="M12133" s="36">
        <v>237.56</v>
      </c>
      <c r="T12133" s="41">
        <v>0</v>
      </c>
      <c r="U12133" s="41">
        <v>0</v>
      </c>
      <c r="V12133" s="42" t="s">
        <v>113</v>
      </c>
      <c r="W12133" s="42">
        <v>0</v>
      </c>
      <c r="X12133" s="42">
        <v>0</v>
      </c>
    </row>
    <row r="12134" spans="1:24">
      <c r="A12134" s="27" t="s">
        <v>21835</v>
      </c>
      <c r="B12134" s="28" t="s">
        <v>19918</v>
      </c>
      <c r="C12134" s="27" t="s">
        <v>21836</v>
      </c>
      <c r="D12134" s="27" t="s">
        <v>17578</v>
      </c>
      <c r="E12134" s="29">
        <v>40267</v>
      </c>
      <c r="F12134" s="27">
        <v>7</v>
      </c>
      <c r="G12134" s="18">
        <v>28000</v>
      </c>
      <c r="H12134" s="27">
        <f t="shared" si="378"/>
        <v>28000</v>
      </c>
      <c r="I12134" s="18">
        <v>26600</v>
      </c>
      <c r="J12134" s="27">
        <v>28000</v>
      </c>
      <c r="K12134" s="18">
        <f t="shared" si="379"/>
        <v>28000</v>
      </c>
      <c r="L12134" s="27">
        <v>26600</v>
      </c>
      <c r="M12134" s="36">
        <v>0</v>
      </c>
      <c r="T12134" s="41">
        <v>0</v>
      </c>
      <c r="U12134" s="41">
        <v>0</v>
      </c>
      <c r="V12134" s="42" t="s">
        <v>113</v>
      </c>
      <c r="W12134" s="42">
        <v>28000</v>
      </c>
      <c r="X12134" s="42">
        <v>28000</v>
      </c>
    </row>
    <row r="12135" spans="1:24">
      <c r="A12135" s="27" t="s">
        <v>21837</v>
      </c>
      <c r="B12135" s="28" t="s">
        <v>19918</v>
      </c>
      <c r="C12135" s="27" t="s">
        <v>21402</v>
      </c>
      <c r="D12135" s="27" t="s">
        <v>17578</v>
      </c>
      <c r="E12135" s="29">
        <v>38137</v>
      </c>
      <c r="F12135" s="27">
        <v>7</v>
      </c>
      <c r="G12135" s="18">
        <v>19500</v>
      </c>
      <c r="H12135" s="27">
        <f t="shared" si="378"/>
        <v>19500</v>
      </c>
      <c r="I12135" s="18">
        <v>18525</v>
      </c>
      <c r="J12135" s="27">
        <v>19500</v>
      </c>
      <c r="K12135" s="18">
        <f t="shared" si="379"/>
        <v>19500</v>
      </c>
      <c r="L12135" s="27">
        <v>18525</v>
      </c>
      <c r="M12135" s="36">
        <v>0</v>
      </c>
      <c r="T12135" s="41">
        <v>0</v>
      </c>
      <c r="U12135" s="41">
        <v>0</v>
      </c>
      <c r="V12135" s="42" t="s">
        <v>113</v>
      </c>
      <c r="W12135" s="42">
        <v>19500</v>
      </c>
      <c r="X12135" s="42">
        <v>19500</v>
      </c>
    </row>
    <row r="12136" spans="1:24">
      <c r="A12136" s="27" t="s">
        <v>21838</v>
      </c>
      <c r="B12136" s="28" t="s">
        <v>19918</v>
      </c>
      <c r="C12136" s="27" t="s">
        <v>21839</v>
      </c>
      <c r="D12136" s="27" t="s">
        <v>17578</v>
      </c>
      <c r="E12136" s="29">
        <v>38959</v>
      </c>
      <c r="F12136" s="27">
        <v>7</v>
      </c>
      <c r="G12136" s="18">
        <v>47520</v>
      </c>
      <c r="H12136" s="27">
        <f t="shared" si="378"/>
        <v>47520</v>
      </c>
      <c r="I12136" s="18">
        <v>45144</v>
      </c>
      <c r="J12136" s="27">
        <v>47520</v>
      </c>
      <c r="K12136" s="18">
        <f t="shared" si="379"/>
        <v>47520</v>
      </c>
      <c r="L12136" s="27">
        <v>45144</v>
      </c>
      <c r="M12136" s="36">
        <v>0</v>
      </c>
      <c r="T12136" s="41">
        <v>0</v>
      </c>
      <c r="U12136" s="41">
        <v>0</v>
      </c>
      <c r="V12136" s="42" t="s">
        <v>113</v>
      </c>
      <c r="W12136" s="42">
        <v>47520</v>
      </c>
      <c r="X12136" s="42">
        <v>47520</v>
      </c>
    </row>
    <row r="12137" spans="1:24">
      <c r="A12137" s="27" t="s">
        <v>21840</v>
      </c>
      <c r="B12137" s="28" t="s">
        <v>19918</v>
      </c>
      <c r="C12137" s="27" t="s">
        <v>21841</v>
      </c>
      <c r="D12137" s="27" t="s">
        <v>17558</v>
      </c>
      <c r="E12137" s="29">
        <v>36525</v>
      </c>
      <c r="F12137" s="27">
        <v>7</v>
      </c>
      <c r="G12137" s="18">
        <v>17000</v>
      </c>
      <c r="H12137" s="27">
        <f t="shared" si="378"/>
        <v>17000</v>
      </c>
      <c r="I12137" s="18">
        <v>16150</v>
      </c>
      <c r="J12137" s="27">
        <v>17000</v>
      </c>
      <c r="K12137" s="18">
        <f t="shared" si="379"/>
        <v>17000</v>
      </c>
      <c r="L12137" s="27">
        <v>16150</v>
      </c>
      <c r="M12137" s="36">
        <v>0</v>
      </c>
      <c r="T12137" s="41">
        <v>0</v>
      </c>
      <c r="U12137" s="41">
        <v>0</v>
      </c>
      <c r="V12137" s="42" t="s">
        <v>113</v>
      </c>
      <c r="W12137" s="42">
        <v>17000</v>
      </c>
      <c r="X12137" s="42">
        <v>17000</v>
      </c>
    </row>
    <row r="12138" spans="1:24">
      <c r="A12138" s="27" t="s">
        <v>21842</v>
      </c>
      <c r="B12138" s="28" t="s">
        <v>19918</v>
      </c>
      <c r="C12138" s="27" t="s">
        <v>21843</v>
      </c>
      <c r="D12138" s="27" t="s">
        <v>17558</v>
      </c>
      <c r="E12138" s="29">
        <v>38502</v>
      </c>
      <c r="F12138" s="27">
        <v>7</v>
      </c>
      <c r="G12138" s="18">
        <v>21600</v>
      </c>
      <c r="H12138" s="27">
        <f t="shared" si="378"/>
        <v>21600</v>
      </c>
      <c r="I12138" s="18">
        <v>20520</v>
      </c>
      <c r="J12138" s="27">
        <v>21600</v>
      </c>
      <c r="K12138" s="18">
        <f t="shared" si="379"/>
        <v>21600</v>
      </c>
      <c r="L12138" s="27">
        <v>20520</v>
      </c>
      <c r="M12138" s="36">
        <v>0</v>
      </c>
      <c r="T12138" s="41">
        <v>0</v>
      </c>
      <c r="U12138" s="41">
        <v>0</v>
      </c>
      <c r="V12138" s="42" t="s">
        <v>113</v>
      </c>
      <c r="W12138" s="42">
        <v>21600</v>
      </c>
      <c r="X12138" s="42">
        <v>21600</v>
      </c>
    </row>
    <row r="12139" spans="1:24">
      <c r="A12139" s="27" t="s">
        <v>21844</v>
      </c>
      <c r="B12139" s="28" t="s">
        <v>19918</v>
      </c>
      <c r="C12139" s="27" t="s">
        <v>21845</v>
      </c>
      <c r="D12139" s="27" t="s">
        <v>17558</v>
      </c>
      <c r="E12139" s="29">
        <v>40116</v>
      </c>
      <c r="F12139" s="27">
        <v>7</v>
      </c>
      <c r="G12139" s="18">
        <v>3500</v>
      </c>
      <c r="H12139" s="27">
        <f t="shared" si="378"/>
        <v>3500</v>
      </c>
      <c r="I12139" s="18">
        <v>3500</v>
      </c>
      <c r="J12139" s="27">
        <v>3500</v>
      </c>
      <c r="K12139" s="18">
        <f t="shared" si="379"/>
        <v>3500</v>
      </c>
      <c r="L12139" s="27">
        <v>3500</v>
      </c>
      <c r="M12139" s="36">
        <v>0</v>
      </c>
      <c r="T12139" s="41">
        <v>0</v>
      </c>
      <c r="U12139" s="41">
        <v>0</v>
      </c>
      <c r="V12139" s="42" t="s">
        <v>113</v>
      </c>
      <c r="W12139" s="42">
        <v>3500</v>
      </c>
      <c r="X12139" s="42">
        <v>3500</v>
      </c>
    </row>
    <row r="12140" spans="1:24">
      <c r="A12140" s="27" t="s">
        <v>21846</v>
      </c>
      <c r="B12140" s="28" t="s">
        <v>19918</v>
      </c>
      <c r="C12140" s="27" t="s">
        <v>21847</v>
      </c>
      <c r="D12140" s="27" t="s">
        <v>17578</v>
      </c>
      <c r="E12140" s="29">
        <v>38502</v>
      </c>
      <c r="F12140" s="27">
        <v>7</v>
      </c>
      <c r="G12140" s="18">
        <v>42000</v>
      </c>
      <c r="H12140" s="27">
        <f t="shared" si="378"/>
        <v>42000</v>
      </c>
      <c r="I12140" s="18">
        <v>39900</v>
      </c>
      <c r="J12140" s="27">
        <v>42000</v>
      </c>
      <c r="K12140" s="18">
        <f t="shared" si="379"/>
        <v>42000</v>
      </c>
      <c r="L12140" s="27">
        <v>39900</v>
      </c>
      <c r="M12140" s="36">
        <v>0</v>
      </c>
      <c r="T12140" s="41">
        <v>0</v>
      </c>
      <c r="U12140" s="41">
        <v>0</v>
      </c>
      <c r="V12140" s="42" t="s">
        <v>113</v>
      </c>
      <c r="W12140" s="42">
        <v>42000</v>
      </c>
      <c r="X12140" s="42">
        <v>42000</v>
      </c>
    </row>
    <row r="12141" spans="1:24">
      <c r="A12141" s="27" t="s">
        <v>21848</v>
      </c>
      <c r="B12141" s="28" t="s">
        <v>19918</v>
      </c>
      <c r="C12141" s="27" t="s">
        <v>21849</v>
      </c>
      <c r="D12141" s="27" t="s">
        <v>17578</v>
      </c>
      <c r="E12141" s="29">
        <v>38502</v>
      </c>
      <c r="F12141" s="27">
        <v>7</v>
      </c>
      <c r="G12141" s="18">
        <v>58600</v>
      </c>
      <c r="H12141" s="27">
        <f t="shared" si="378"/>
        <v>58600</v>
      </c>
      <c r="I12141" s="18">
        <v>55670</v>
      </c>
      <c r="J12141" s="27">
        <v>58600</v>
      </c>
      <c r="K12141" s="18">
        <f t="shared" si="379"/>
        <v>58600</v>
      </c>
      <c r="L12141" s="27">
        <v>55670</v>
      </c>
      <c r="M12141" s="36">
        <v>0</v>
      </c>
      <c r="T12141" s="41">
        <v>0</v>
      </c>
      <c r="U12141" s="41">
        <v>0</v>
      </c>
      <c r="V12141" s="42" t="s">
        <v>113</v>
      </c>
      <c r="W12141" s="42">
        <v>58600</v>
      </c>
      <c r="X12141" s="42">
        <v>58600</v>
      </c>
    </row>
    <row r="12142" spans="1:24">
      <c r="A12142" s="27" t="s">
        <v>21850</v>
      </c>
      <c r="B12142" s="28" t="s">
        <v>19918</v>
      </c>
      <c r="C12142" s="27" t="s">
        <v>21851</v>
      </c>
      <c r="D12142" s="27" t="s">
        <v>17578</v>
      </c>
      <c r="E12142" s="29">
        <v>39041</v>
      </c>
      <c r="F12142" s="27">
        <v>7</v>
      </c>
      <c r="G12142" s="18">
        <v>6700</v>
      </c>
      <c r="H12142" s="27">
        <f t="shared" si="378"/>
        <v>6700</v>
      </c>
      <c r="I12142" s="18">
        <v>6365</v>
      </c>
      <c r="J12142" s="27">
        <v>6700</v>
      </c>
      <c r="K12142" s="18">
        <f t="shared" si="379"/>
        <v>6700</v>
      </c>
      <c r="L12142" s="27">
        <v>6365</v>
      </c>
      <c r="M12142" s="36">
        <v>0</v>
      </c>
      <c r="T12142" s="41">
        <v>0</v>
      </c>
      <c r="U12142" s="41">
        <v>0</v>
      </c>
      <c r="V12142" s="42" t="s">
        <v>113</v>
      </c>
      <c r="W12142" s="42">
        <v>6700</v>
      </c>
      <c r="X12142" s="42">
        <v>6700</v>
      </c>
    </row>
    <row r="12143" spans="1:24">
      <c r="A12143" s="27" t="s">
        <v>21852</v>
      </c>
      <c r="B12143" s="28" t="s">
        <v>19918</v>
      </c>
      <c r="C12143" s="27" t="s">
        <v>21853</v>
      </c>
      <c r="D12143" s="27" t="s">
        <v>17578</v>
      </c>
      <c r="E12143" s="29">
        <v>39041</v>
      </c>
      <c r="F12143" s="27">
        <v>7</v>
      </c>
      <c r="G12143" s="18">
        <v>41000</v>
      </c>
      <c r="H12143" s="27">
        <f t="shared" si="378"/>
        <v>41000</v>
      </c>
      <c r="I12143" s="18">
        <v>38950</v>
      </c>
      <c r="J12143" s="27">
        <v>41000</v>
      </c>
      <c r="K12143" s="18">
        <f t="shared" si="379"/>
        <v>41000</v>
      </c>
      <c r="L12143" s="27">
        <v>38950</v>
      </c>
      <c r="M12143" s="36">
        <v>0</v>
      </c>
      <c r="T12143" s="41">
        <v>0</v>
      </c>
      <c r="U12143" s="41">
        <v>0</v>
      </c>
      <c r="V12143" s="42" t="s">
        <v>113</v>
      </c>
      <c r="W12143" s="42">
        <v>41000</v>
      </c>
      <c r="X12143" s="42">
        <v>41000</v>
      </c>
    </row>
    <row r="12144" spans="1:24">
      <c r="A12144" s="27" t="s">
        <v>21854</v>
      </c>
      <c r="B12144" s="28" t="s">
        <v>19918</v>
      </c>
      <c r="C12144" s="27" t="s">
        <v>21404</v>
      </c>
      <c r="D12144" s="27" t="s">
        <v>17558</v>
      </c>
      <c r="E12144" s="29">
        <v>38563</v>
      </c>
      <c r="F12144" s="27">
        <v>7</v>
      </c>
      <c r="G12144" s="18">
        <v>22000</v>
      </c>
      <c r="H12144" s="27">
        <f t="shared" si="378"/>
        <v>22000</v>
      </c>
      <c r="I12144" s="18">
        <v>20900</v>
      </c>
      <c r="J12144" s="27">
        <v>22000</v>
      </c>
      <c r="K12144" s="18">
        <f t="shared" si="379"/>
        <v>22000</v>
      </c>
      <c r="L12144" s="27">
        <v>20900</v>
      </c>
      <c r="M12144" s="36">
        <v>0</v>
      </c>
      <c r="T12144" s="41">
        <v>0</v>
      </c>
      <c r="U12144" s="41">
        <v>0</v>
      </c>
      <c r="V12144" s="42" t="s">
        <v>113</v>
      </c>
      <c r="W12144" s="42">
        <v>22000</v>
      </c>
      <c r="X12144" s="42">
        <v>22000</v>
      </c>
    </row>
    <row r="12145" spans="1:24">
      <c r="A12145" s="27" t="s">
        <v>21855</v>
      </c>
      <c r="B12145" s="28" t="s">
        <v>19918</v>
      </c>
      <c r="C12145" s="27" t="s">
        <v>21856</v>
      </c>
      <c r="D12145" s="27" t="s">
        <v>17558</v>
      </c>
      <c r="E12145" s="29">
        <v>38837</v>
      </c>
      <c r="F12145" s="27">
        <v>7</v>
      </c>
      <c r="G12145" s="18">
        <v>2830</v>
      </c>
      <c r="H12145" s="27">
        <f t="shared" si="378"/>
        <v>2830</v>
      </c>
      <c r="I12145" s="18">
        <v>2830</v>
      </c>
      <c r="J12145" s="27">
        <v>2830</v>
      </c>
      <c r="K12145" s="18">
        <f t="shared" si="379"/>
        <v>2830</v>
      </c>
      <c r="L12145" s="27">
        <v>2830</v>
      </c>
      <c r="M12145" s="36">
        <v>0</v>
      </c>
      <c r="T12145" s="41">
        <v>0</v>
      </c>
      <c r="U12145" s="41">
        <v>0</v>
      </c>
      <c r="V12145" s="42" t="s">
        <v>113</v>
      </c>
      <c r="W12145" s="42">
        <v>2830</v>
      </c>
      <c r="X12145" s="42">
        <v>2830</v>
      </c>
    </row>
    <row r="12146" spans="1:24">
      <c r="A12146" s="27" t="s">
        <v>21857</v>
      </c>
      <c r="B12146" s="28" t="s">
        <v>19918</v>
      </c>
      <c r="C12146" s="27" t="s">
        <v>21566</v>
      </c>
      <c r="D12146" s="27" t="s">
        <v>17578</v>
      </c>
      <c r="E12146" s="29">
        <v>37256</v>
      </c>
      <c r="F12146" s="27">
        <v>7</v>
      </c>
      <c r="G12146" s="18">
        <v>22100</v>
      </c>
      <c r="H12146" s="27">
        <f t="shared" si="378"/>
        <v>22100</v>
      </c>
      <c r="I12146" s="18">
        <v>20995</v>
      </c>
      <c r="J12146" s="27">
        <v>22100</v>
      </c>
      <c r="K12146" s="18">
        <f t="shared" si="379"/>
        <v>22100</v>
      </c>
      <c r="L12146" s="27">
        <v>20995</v>
      </c>
      <c r="M12146" s="36">
        <v>0</v>
      </c>
      <c r="T12146" s="41">
        <v>0</v>
      </c>
      <c r="U12146" s="41">
        <v>0</v>
      </c>
      <c r="V12146" s="42" t="s">
        <v>113</v>
      </c>
      <c r="W12146" s="42">
        <v>22100</v>
      </c>
      <c r="X12146" s="42">
        <v>22100</v>
      </c>
    </row>
    <row r="12147" spans="1:24">
      <c r="A12147" s="27" t="s">
        <v>21858</v>
      </c>
      <c r="B12147" s="28" t="s">
        <v>19918</v>
      </c>
      <c r="C12147" s="27" t="s">
        <v>21859</v>
      </c>
      <c r="D12147" s="27" t="s">
        <v>17558</v>
      </c>
      <c r="E12147" s="29">
        <v>39447</v>
      </c>
      <c r="F12147" s="27">
        <v>7</v>
      </c>
      <c r="G12147" s="18">
        <v>6515.56</v>
      </c>
      <c r="H12147" s="27">
        <f t="shared" si="378"/>
        <v>6515.56</v>
      </c>
      <c r="I12147" s="18">
        <v>6189.78</v>
      </c>
      <c r="J12147" s="27">
        <v>6515.56</v>
      </c>
      <c r="K12147" s="18">
        <f t="shared" si="379"/>
        <v>6515.56</v>
      </c>
      <c r="L12147" s="27">
        <v>6189.78</v>
      </c>
      <c r="M12147" s="36">
        <v>0</v>
      </c>
      <c r="T12147" s="41">
        <v>0</v>
      </c>
      <c r="U12147" s="41">
        <v>0</v>
      </c>
      <c r="V12147" s="42" t="s">
        <v>113</v>
      </c>
      <c r="W12147" s="42">
        <v>6515.56</v>
      </c>
      <c r="X12147" s="42">
        <v>6515.56</v>
      </c>
    </row>
    <row r="12148" spans="1:24">
      <c r="A12148" s="27" t="s">
        <v>21860</v>
      </c>
      <c r="B12148" s="28" t="s">
        <v>19918</v>
      </c>
      <c r="C12148" s="27" t="s">
        <v>21861</v>
      </c>
      <c r="D12148" s="27" t="s">
        <v>17578</v>
      </c>
      <c r="E12148" s="29">
        <v>38928</v>
      </c>
      <c r="F12148" s="27">
        <v>7</v>
      </c>
      <c r="G12148" s="18">
        <v>1950</v>
      </c>
      <c r="H12148" s="27">
        <f t="shared" si="378"/>
        <v>1950</v>
      </c>
      <c r="I12148" s="18">
        <v>1950</v>
      </c>
      <c r="J12148" s="27">
        <v>1950</v>
      </c>
      <c r="K12148" s="18">
        <f t="shared" si="379"/>
        <v>1950</v>
      </c>
      <c r="L12148" s="27">
        <v>1950</v>
      </c>
      <c r="M12148" s="36">
        <v>0</v>
      </c>
      <c r="T12148" s="41">
        <v>0</v>
      </c>
      <c r="U12148" s="41">
        <v>0</v>
      </c>
      <c r="V12148" s="42" t="s">
        <v>113</v>
      </c>
      <c r="W12148" s="42">
        <v>1950</v>
      </c>
      <c r="X12148" s="42">
        <v>1950</v>
      </c>
    </row>
    <row r="12149" spans="1:24">
      <c r="A12149" s="27" t="s">
        <v>21862</v>
      </c>
      <c r="B12149" s="28" t="s">
        <v>19918</v>
      </c>
      <c r="C12149" s="27" t="s">
        <v>21863</v>
      </c>
      <c r="D12149" s="27" t="s">
        <v>17558</v>
      </c>
      <c r="E12149" s="29">
        <v>38625</v>
      </c>
      <c r="F12149" s="27">
        <v>7</v>
      </c>
      <c r="G12149" s="18">
        <v>33000</v>
      </c>
      <c r="H12149" s="27">
        <f t="shared" si="378"/>
        <v>33000</v>
      </c>
      <c r="I12149" s="18">
        <v>31350</v>
      </c>
      <c r="J12149" s="27">
        <v>33000</v>
      </c>
      <c r="K12149" s="18">
        <f t="shared" si="379"/>
        <v>33000</v>
      </c>
      <c r="L12149" s="27">
        <v>31350</v>
      </c>
      <c r="M12149" s="36">
        <v>0</v>
      </c>
      <c r="T12149" s="41">
        <v>0</v>
      </c>
      <c r="U12149" s="41">
        <v>0</v>
      </c>
      <c r="V12149" s="42" t="s">
        <v>113</v>
      </c>
      <c r="W12149" s="42">
        <v>33000</v>
      </c>
      <c r="X12149" s="42">
        <v>33000</v>
      </c>
    </row>
    <row r="12150" spans="1:24">
      <c r="A12150" s="27" t="s">
        <v>21864</v>
      </c>
      <c r="B12150" s="28" t="s">
        <v>19918</v>
      </c>
      <c r="C12150" s="27" t="s">
        <v>21865</v>
      </c>
      <c r="D12150" s="27" t="s">
        <v>17578</v>
      </c>
      <c r="E12150" s="29">
        <v>39447</v>
      </c>
      <c r="F12150" s="27">
        <v>7</v>
      </c>
      <c r="G12150" s="18">
        <v>17000</v>
      </c>
      <c r="H12150" s="27">
        <f t="shared" si="378"/>
        <v>17000</v>
      </c>
      <c r="I12150" s="18">
        <v>16150</v>
      </c>
      <c r="J12150" s="27">
        <v>17000</v>
      </c>
      <c r="K12150" s="18">
        <f t="shared" si="379"/>
        <v>17000</v>
      </c>
      <c r="L12150" s="27">
        <v>16150</v>
      </c>
      <c r="M12150" s="36">
        <v>0</v>
      </c>
      <c r="T12150" s="41">
        <v>0</v>
      </c>
      <c r="U12150" s="41">
        <v>0</v>
      </c>
      <c r="V12150" s="42" t="s">
        <v>113</v>
      </c>
      <c r="W12150" s="42">
        <v>17000</v>
      </c>
      <c r="X12150" s="42">
        <v>17000</v>
      </c>
    </row>
    <row r="12151" spans="1:24">
      <c r="A12151" s="27" t="s">
        <v>21866</v>
      </c>
      <c r="B12151" s="28" t="s">
        <v>19918</v>
      </c>
      <c r="C12151" s="27" t="s">
        <v>21867</v>
      </c>
      <c r="D12151" s="27" t="s">
        <v>17578</v>
      </c>
      <c r="E12151" s="29">
        <v>38717</v>
      </c>
      <c r="F12151" s="27">
        <v>7</v>
      </c>
      <c r="G12151" s="18">
        <v>126000</v>
      </c>
      <c r="H12151" s="27">
        <f t="shared" si="378"/>
        <v>126000</v>
      </c>
      <c r="I12151" s="18">
        <v>119700</v>
      </c>
      <c r="J12151" s="27">
        <v>126000</v>
      </c>
      <c r="K12151" s="18">
        <f t="shared" si="379"/>
        <v>126000</v>
      </c>
      <c r="L12151" s="27">
        <v>119700</v>
      </c>
      <c r="M12151" s="36">
        <v>0</v>
      </c>
      <c r="T12151" s="41">
        <v>0</v>
      </c>
      <c r="U12151" s="41">
        <v>0</v>
      </c>
      <c r="V12151" s="42" t="s">
        <v>113</v>
      </c>
      <c r="W12151" s="42">
        <v>126000</v>
      </c>
      <c r="X12151" s="42">
        <v>126000</v>
      </c>
    </row>
    <row r="12152" spans="1:24">
      <c r="A12152" s="27" t="s">
        <v>21868</v>
      </c>
      <c r="B12152" s="28" t="s">
        <v>19918</v>
      </c>
      <c r="C12152" s="27" t="s">
        <v>21869</v>
      </c>
      <c r="D12152" s="27" t="s">
        <v>17558</v>
      </c>
      <c r="E12152" s="29">
        <v>38717</v>
      </c>
      <c r="F12152" s="27">
        <v>7</v>
      </c>
      <c r="G12152" s="18">
        <v>12200</v>
      </c>
      <c r="H12152" s="27">
        <f t="shared" si="378"/>
        <v>12200</v>
      </c>
      <c r="I12152" s="18">
        <v>11590</v>
      </c>
      <c r="J12152" s="27">
        <v>12200</v>
      </c>
      <c r="K12152" s="18">
        <f t="shared" si="379"/>
        <v>12200</v>
      </c>
      <c r="L12152" s="27">
        <v>11590</v>
      </c>
      <c r="M12152" s="36">
        <v>0</v>
      </c>
      <c r="T12152" s="41">
        <v>0</v>
      </c>
      <c r="U12152" s="41">
        <v>0</v>
      </c>
      <c r="V12152" s="42" t="s">
        <v>113</v>
      </c>
      <c r="W12152" s="42">
        <v>12200</v>
      </c>
      <c r="X12152" s="42">
        <v>12200</v>
      </c>
    </row>
    <row r="12153" spans="1:24">
      <c r="A12153" s="27" t="s">
        <v>21870</v>
      </c>
      <c r="B12153" s="28" t="s">
        <v>19918</v>
      </c>
      <c r="C12153" s="27" t="s">
        <v>21871</v>
      </c>
      <c r="D12153" s="27" t="s">
        <v>17558</v>
      </c>
      <c r="E12153" s="29">
        <v>38655</v>
      </c>
      <c r="F12153" s="27">
        <v>7</v>
      </c>
      <c r="G12153" s="18">
        <v>18216</v>
      </c>
      <c r="H12153" s="27">
        <f t="shared" si="378"/>
        <v>18216</v>
      </c>
      <c r="I12153" s="18">
        <v>17305.2</v>
      </c>
      <c r="J12153" s="27">
        <v>18216</v>
      </c>
      <c r="K12153" s="18">
        <f t="shared" si="379"/>
        <v>18216</v>
      </c>
      <c r="L12153" s="27">
        <v>17305.2</v>
      </c>
      <c r="M12153" s="36">
        <v>0</v>
      </c>
      <c r="T12153" s="41">
        <v>0</v>
      </c>
      <c r="U12153" s="41">
        <v>0</v>
      </c>
      <c r="V12153" s="42" t="s">
        <v>113</v>
      </c>
      <c r="W12153" s="42">
        <v>18216</v>
      </c>
      <c r="X12153" s="42">
        <v>18216</v>
      </c>
    </row>
    <row r="12154" spans="1:24">
      <c r="A12154" s="27" t="s">
        <v>21872</v>
      </c>
      <c r="B12154" s="28" t="s">
        <v>19918</v>
      </c>
      <c r="C12154" s="27" t="s">
        <v>21873</v>
      </c>
      <c r="D12154" s="27" t="s">
        <v>17558</v>
      </c>
      <c r="E12154" s="29">
        <v>38655</v>
      </c>
      <c r="F12154" s="27">
        <v>7</v>
      </c>
      <c r="G12154" s="18">
        <v>17000</v>
      </c>
      <c r="H12154" s="27">
        <f t="shared" si="378"/>
        <v>17000</v>
      </c>
      <c r="I12154" s="18">
        <v>16150</v>
      </c>
      <c r="J12154" s="27">
        <v>17000</v>
      </c>
      <c r="K12154" s="18">
        <f t="shared" si="379"/>
        <v>17000</v>
      </c>
      <c r="L12154" s="27">
        <v>16150</v>
      </c>
      <c r="M12154" s="36">
        <v>0</v>
      </c>
      <c r="T12154" s="41">
        <v>0</v>
      </c>
      <c r="U12154" s="41">
        <v>0</v>
      </c>
      <c r="V12154" s="42" t="s">
        <v>113</v>
      </c>
      <c r="W12154" s="42">
        <v>17000</v>
      </c>
      <c r="X12154" s="42">
        <v>17000</v>
      </c>
    </row>
    <row r="12155" spans="1:24">
      <c r="A12155" s="27" t="s">
        <v>21874</v>
      </c>
      <c r="B12155" s="28" t="s">
        <v>19918</v>
      </c>
      <c r="C12155" s="27" t="s">
        <v>21875</v>
      </c>
      <c r="D12155" s="27" t="s">
        <v>17578</v>
      </c>
      <c r="E12155" s="29">
        <v>38837</v>
      </c>
      <c r="F12155" s="27">
        <v>7</v>
      </c>
      <c r="G12155" s="18">
        <v>2200</v>
      </c>
      <c r="H12155" s="27">
        <f t="shared" si="378"/>
        <v>2200</v>
      </c>
      <c r="I12155" s="18">
        <v>2200</v>
      </c>
      <c r="J12155" s="27">
        <v>2200</v>
      </c>
      <c r="K12155" s="18">
        <f t="shared" si="379"/>
        <v>2200</v>
      </c>
      <c r="L12155" s="27">
        <v>2200</v>
      </c>
      <c r="M12155" s="36">
        <v>0</v>
      </c>
      <c r="T12155" s="41">
        <v>0</v>
      </c>
      <c r="U12155" s="41">
        <v>0</v>
      </c>
      <c r="V12155" s="42" t="s">
        <v>113</v>
      </c>
      <c r="W12155" s="42">
        <v>2200</v>
      </c>
      <c r="X12155" s="42">
        <v>2200</v>
      </c>
    </row>
    <row r="12156" spans="1:24">
      <c r="A12156" s="27" t="s">
        <v>21876</v>
      </c>
      <c r="B12156" s="28" t="s">
        <v>19918</v>
      </c>
      <c r="C12156" s="27" t="s">
        <v>21877</v>
      </c>
      <c r="D12156" s="27" t="s">
        <v>17578</v>
      </c>
      <c r="E12156" s="29">
        <v>39324</v>
      </c>
      <c r="F12156" s="27">
        <v>7</v>
      </c>
      <c r="G12156" s="18">
        <v>132000</v>
      </c>
      <c r="H12156" s="27">
        <f t="shared" si="378"/>
        <v>132000</v>
      </c>
      <c r="I12156" s="18">
        <v>125400</v>
      </c>
      <c r="J12156" s="27">
        <v>132000</v>
      </c>
      <c r="K12156" s="18">
        <f t="shared" si="379"/>
        <v>132000</v>
      </c>
      <c r="L12156" s="27">
        <v>125400</v>
      </c>
      <c r="M12156" s="36">
        <v>0</v>
      </c>
      <c r="T12156" s="41">
        <v>0</v>
      </c>
      <c r="U12156" s="41">
        <v>0</v>
      </c>
      <c r="V12156" s="42" t="s">
        <v>113</v>
      </c>
      <c r="W12156" s="42">
        <v>132000</v>
      </c>
      <c r="X12156" s="42">
        <v>132000</v>
      </c>
    </row>
    <row r="12157" spans="1:24">
      <c r="A12157" s="27" t="s">
        <v>21878</v>
      </c>
      <c r="B12157" s="28" t="s">
        <v>19918</v>
      </c>
      <c r="C12157" s="27" t="s">
        <v>21484</v>
      </c>
      <c r="D12157" s="27" t="s">
        <v>17578</v>
      </c>
      <c r="E12157" s="29">
        <v>36433</v>
      </c>
      <c r="F12157" s="27">
        <v>7</v>
      </c>
      <c r="G12157" s="18">
        <v>122000</v>
      </c>
      <c r="H12157" s="27">
        <f t="shared" si="378"/>
        <v>122000</v>
      </c>
      <c r="I12157" s="18">
        <v>115900</v>
      </c>
      <c r="J12157" s="27">
        <v>122000</v>
      </c>
      <c r="K12157" s="18">
        <f t="shared" si="379"/>
        <v>122000</v>
      </c>
      <c r="L12157" s="27">
        <v>115900</v>
      </c>
      <c r="M12157" s="36">
        <v>0</v>
      </c>
      <c r="T12157" s="41">
        <v>0</v>
      </c>
      <c r="U12157" s="41">
        <v>0</v>
      </c>
      <c r="V12157" s="42" t="s">
        <v>113</v>
      </c>
      <c r="W12157" s="42">
        <v>122000</v>
      </c>
      <c r="X12157" s="42">
        <v>122000</v>
      </c>
    </row>
    <row r="12158" spans="1:24">
      <c r="A12158" s="27" t="s">
        <v>21879</v>
      </c>
      <c r="B12158" s="28" t="s">
        <v>19918</v>
      </c>
      <c r="C12158" s="27" t="s">
        <v>21880</v>
      </c>
      <c r="D12158" s="27" t="s">
        <v>17558</v>
      </c>
      <c r="E12158" s="29">
        <v>38655</v>
      </c>
      <c r="F12158" s="27">
        <v>7</v>
      </c>
      <c r="G12158" s="18">
        <v>41000</v>
      </c>
      <c r="H12158" s="27">
        <f t="shared" si="378"/>
        <v>41000</v>
      </c>
      <c r="I12158" s="18">
        <v>38950</v>
      </c>
      <c r="J12158" s="27">
        <v>41000</v>
      </c>
      <c r="K12158" s="18">
        <f t="shared" si="379"/>
        <v>41000</v>
      </c>
      <c r="L12158" s="27">
        <v>38950</v>
      </c>
      <c r="M12158" s="36">
        <v>0</v>
      </c>
      <c r="T12158" s="41">
        <v>0</v>
      </c>
      <c r="U12158" s="41">
        <v>0</v>
      </c>
      <c r="V12158" s="42" t="s">
        <v>113</v>
      </c>
      <c r="W12158" s="42">
        <v>41000</v>
      </c>
      <c r="X12158" s="42">
        <v>41000</v>
      </c>
    </row>
    <row r="12159" spans="1:24">
      <c r="A12159" s="27" t="s">
        <v>21881</v>
      </c>
      <c r="B12159" s="28" t="s">
        <v>19918</v>
      </c>
      <c r="C12159" s="27" t="s">
        <v>21882</v>
      </c>
      <c r="D12159" s="27" t="s">
        <v>17558</v>
      </c>
      <c r="E12159" s="29">
        <v>38137</v>
      </c>
      <c r="F12159" s="27">
        <v>7</v>
      </c>
      <c r="G12159" s="18">
        <v>4500</v>
      </c>
      <c r="H12159" s="27">
        <f t="shared" si="378"/>
        <v>4500</v>
      </c>
      <c r="I12159" s="18">
        <v>4500</v>
      </c>
      <c r="J12159" s="27">
        <v>4500</v>
      </c>
      <c r="K12159" s="18">
        <f t="shared" si="379"/>
        <v>4500</v>
      </c>
      <c r="L12159" s="27">
        <v>4500</v>
      </c>
      <c r="M12159" s="36">
        <v>0</v>
      </c>
      <c r="T12159" s="41">
        <v>0</v>
      </c>
      <c r="U12159" s="41">
        <v>0</v>
      </c>
      <c r="V12159" s="42" t="s">
        <v>113</v>
      </c>
      <c r="W12159" s="42">
        <v>4500</v>
      </c>
      <c r="X12159" s="42">
        <v>4500</v>
      </c>
    </row>
    <row r="12160" spans="1:24">
      <c r="A12160" s="27" t="s">
        <v>21883</v>
      </c>
      <c r="B12160" s="28" t="s">
        <v>19918</v>
      </c>
      <c r="C12160" s="27" t="s">
        <v>21884</v>
      </c>
      <c r="D12160" s="27" t="s">
        <v>17558</v>
      </c>
      <c r="E12160" s="29">
        <v>36525</v>
      </c>
      <c r="F12160" s="27">
        <v>7</v>
      </c>
      <c r="G12160" s="18">
        <v>64000</v>
      </c>
      <c r="H12160" s="27">
        <f t="shared" si="378"/>
        <v>64000</v>
      </c>
      <c r="I12160" s="18">
        <v>60800</v>
      </c>
      <c r="J12160" s="27">
        <v>64000</v>
      </c>
      <c r="K12160" s="18">
        <f t="shared" si="379"/>
        <v>64000</v>
      </c>
      <c r="L12160" s="27">
        <v>60800</v>
      </c>
      <c r="M12160" s="36">
        <v>0</v>
      </c>
      <c r="T12160" s="41">
        <v>0</v>
      </c>
      <c r="U12160" s="41">
        <v>0</v>
      </c>
      <c r="V12160" s="42" t="s">
        <v>113</v>
      </c>
      <c r="W12160" s="42">
        <v>64000</v>
      </c>
      <c r="X12160" s="42">
        <v>64000</v>
      </c>
    </row>
    <row r="12161" spans="1:24">
      <c r="A12161" s="27" t="s">
        <v>21885</v>
      </c>
      <c r="B12161" s="28" t="s">
        <v>19918</v>
      </c>
      <c r="C12161" s="27" t="s">
        <v>21103</v>
      </c>
      <c r="D12161" s="27" t="s">
        <v>17578</v>
      </c>
      <c r="E12161" s="29">
        <v>38867</v>
      </c>
      <c r="F12161" s="27">
        <v>7</v>
      </c>
      <c r="G12161" s="18">
        <v>11200</v>
      </c>
      <c r="H12161" s="27">
        <f t="shared" si="378"/>
        <v>11200</v>
      </c>
      <c r="I12161" s="18">
        <v>10640</v>
      </c>
      <c r="J12161" s="27">
        <v>11200</v>
      </c>
      <c r="K12161" s="18">
        <f t="shared" si="379"/>
        <v>11200</v>
      </c>
      <c r="L12161" s="27">
        <v>10640</v>
      </c>
      <c r="M12161" s="36">
        <v>0</v>
      </c>
      <c r="T12161" s="41">
        <v>0</v>
      </c>
      <c r="U12161" s="41">
        <v>0</v>
      </c>
      <c r="V12161" s="42" t="s">
        <v>113</v>
      </c>
      <c r="W12161" s="42">
        <v>11200</v>
      </c>
      <c r="X12161" s="42">
        <v>11200</v>
      </c>
    </row>
    <row r="12162" spans="1:24">
      <c r="A12162" s="27" t="s">
        <v>21886</v>
      </c>
      <c r="B12162" s="28" t="s">
        <v>19918</v>
      </c>
      <c r="C12162" s="27" t="s">
        <v>21103</v>
      </c>
      <c r="D12162" s="27" t="s">
        <v>17558</v>
      </c>
      <c r="E12162" s="29">
        <v>38837</v>
      </c>
      <c r="F12162" s="27">
        <v>7</v>
      </c>
      <c r="G12162" s="18">
        <v>5600</v>
      </c>
      <c r="H12162" s="27">
        <f t="shared" si="378"/>
        <v>5600</v>
      </c>
      <c r="I12162" s="18">
        <v>5320</v>
      </c>
      <c r="J12162" s="27">
        <v>5600</v>
      </c>
      <c r="K12162" s="18">
        <f t="shared" si="379"/>
        <v>5600</v>
      </c>
      <c r="L12162" s="27">
        <v>5320</v>
      </c>
      <c r="M12162" s="36">
        <v>0</v>
      </c>
      <c r="T12162" s="41">
        <v>0</v>
      </c>
      <c r="U12162" s="41">
        <v>0</v>
      </c>
      <c r="V12162" s="42" t="s">
        <v>113</v>
      </c>
      <c r="W12162" s="42">
        <v>5600</v>
      </c>
      <c r="X12162" s="42">
        <v>5600</v>
      </c>
    </row>
    <row r="12163" spans="1:24">
      <c r="A12163" s="27" t="s">
        <v>21887</v>
      </c>
      <c r="B12163" s="28" t="s">
        <v>19918</v>
      </c>
      <c r="C12163" s="27" t="s">
        <v>21888</v>
      </c>
      <c r="D12163" s="27" t="s">
        <v>17558</v>
      </c>
      <c r="E12163" s="29">
        <v>38563</v>
      </c>
      <c r="F12163" s="27">
        <v>7</v>
      </c>
      <c r="G12163" s="18">
        <v>7800</v>
      </c>
      <c r="H12163" s="27">
        <f t="shared" si="378"/>
        <v>7800</v>
      </c>
      <c r="I12163" s="18">
        <v>7410</v>
      </c>
      <c r="J12163" s="27">
        <v>7800</v>
      </c>
      <c r="K12163" s="18">
        <f t="shared" si="379"/>
        <v>7800</v>
      </c>
      <c r="L12163" s="27">
        <v>7410</v>
      </c>
      <c r="M12163" s="36">
        <v>0</v>
      </c>
      <c r="T12163" s="41">
        <v>0</v>
      </c>
      <c r="U12163" s="41">
        <v>0</v>
      </c>
      <c r="V12163" s="42" t="s">
        <v>113</v>
      </c>
      <c r="W12163" s="42">
        <v>7800</v>
      </c>
      <c r="X12163" s="42">
        <v>7800</v>
      </c>
    </row>
    <row r="12164" spans="1:24">
      <c r="A12164" s="27" t="s">
        <v>21889</v>
      </c>
      <c r="B12164" s="28" t="s">
        <v>19918</v>
      </c>
      <c r="C12164" s="27" t="s">
        <v>21890</v>
      </c>
      <c r="D12164" s="27" t="s">
        <v>17558</v>
      </c>
      <c r="E12164" s="29">
        <v>41086</v>
      </c>
      <c r="F12164" s="27">
        <v>7</v>
      </c>
      <c r="G12164" s="18">
        <v>29914.53</v>
      </c>
      <c r="H12164" s="27">
        <f t="shared" si="378"/>
        <v>0</v>
      </c>
      <c r="I12164" s="18">
        <v>26388.89</v>
      </c>
      <c r="J12164" s="27">
        <v>29914.53</v>
      </c>
      <c r="K12164" s="18">
        <f t="shared" si="379"/>
        <v>29914.53</v>
      </c>
      <c r="L12164" s="27">
        <v>28418.799999999999</v>
      </c>
      <c r="M12164" s="36">
        <v>2029.91</v>
      </c>
      <c r="T12164" s="41">
        <v>0</v>
      </c>
      <c r="U12164" s="41">
        <v>0</v>
      </c>
      <c r="V12164" s="42" t="s">
        <v>113</v>
      </c>
      <c r="W12164" s="42">
        <v>29914.53</v>
      </c>
      <c r="X12164" s="42">
        <v>29914.53</v>
      </c>
    </row>
    <row r="12165" spans="1:24">
      <c r="A12165" s="27" t="s">
        <v>21891</v>
      </c>
      <c r="B12165" s="28" t="s">
        <v>19918</v>
      </c>
      <c r="C12165" s="27" t="s">
        <v>21892</v>
      </c>
      <c r="D12165" s="27" t="s">
        <v>17558</v>
      </c>
      <c r="E12165" s="29">
        <v>41264</v>
      </c>
      <c r="F12165" s="27">
        <v>7</v>
      </c>
      <c r="G12165" s="18">
        <v>60683.76</v>
      </c>
      <c r="H12165" s="27">
        <f t="shared" si="378"/>
        <v>0</v>
      </c>
      <c r="I12165" s="18">
        <v>49413.919999999998</v>
      </c>
      <c r="J12165" s="27">
        <v>60683.76</v>
      </c>
      <c r="K12165" s="18">
        <f t="shared" si="379"/>
        <v>60683.76</v>
      </c>
      <c r="L12165" s="27">
        <v>57649.57</v>
      </c>
      <c r="M12165" s="36">
        <v>8235.65</v>
      </c>
      <c r="T12165" s="41">
        <v>0</v>
      </c>
      <c r="U12165" s="41">
        <v>0</v>
      </c>
      <c r="V12165" s="42" t="s">
        <v>113</v>
      </c>
      <c r="W12165" s="42">
        <v>60683.76</v>
      </c>
      <c r="X12165" s="42">
        <v>60683.76</v>
      </c>
    </row>
    <row r="12166" spans="1:24">
      <c r="A12166" s="27" t="s">
        <v>21893</v>
      </c>
      <c r="B12166" s="28" t="s">
        <v>19918</v>
      </c>
      <c r="C12166" s="27" t="s">
        <v>21892</v>
      </c>
      <c r="D12166" s="27" t="s">
        <v>17558</v>
      </c>
      <c r="E12166" s="29">
        <v>41264</v>
      </c>
      <c r="F12166" s="27">
        <v>7</v>
      </c>
      <c r="G12166" s="18">
        <v>60683.76</v>
      </c>
      <c r="H12166" s="27">
        <f t="shared" ref="H12166:H12229" si="380">IFERROR(IF(ROUND((G12166-I12166)/G12166,2)&lt;=0.05,G12166,0),0)</f>
        <v>0</v>
      </c>
      <c r="I12166" s="18">
        <v>49413.919999999998</v>
      </c>
      <c r="J12166" s="27">
        <v>60683.76</v>
      </c>
      <c r="K12166" s="18">
        <f t="shared" ref="K12166:K12229" si="381">IFERROR(IF(ROUND((J12166-L12166)/J12166,2)&lt;=0.05,J12166,0),0)</f>
        <v>60683.76</v>
      </c>
      <c r="L12166" s="27">
        <v>57649.57</v>
      </c>
      <c r="M12166" s="36">
        <v>8235.65</v>
      </c>
      <c r="T12166" s="41">
        <v>0</v>
      </c>
      <c r="U12166" s="41">
        <v>0</v>
      </c>
      <c r="V12166" s="42" t="s">
        <v>113</v>
      </c>
      <c r="W12166" s="42">
        <v>60683.76</v>
      </c>
      <c r="X12166" s="42">
        <v>60683.76</v>
      </c>
    </row>
    <row r="12167" spans="1:24">
      <c r="A12167" s="27" t="s">
        <v>21894</v>
      </c>
      <c r="B12167" s="28" t="s">
        <v>19918</v>
      </c>
      <c r="C12167" s="27" t="s">
        <v>21895</v>
      </c>
      <c r="D12167" s="27" t="s">
        <v>17558</v>
      </c>
      <c r="E12167" s="29">
        <v>39447</v>
      </c>
      <c r="F12167" s="27">
        <v>7</v>
      </c>
      <c r="G12167" s="18">
        <v>2171.88</v>
      </c>
      <c r="H12167" s="27">
        <f t="shared" si="380"/>
        <v>2171.88</v>
      </c>
      <c r="I12167" s="18">
        <v>2171.88</v>
      </c>
      <c r="J12167" s="27">
        <v>2171.88</v>
      </c>
      <c r="K12167" s="18">
        <f t="shared" si="381"/>
        <v>2171.88</v>
      </c>
      <c r="L12167" s="27">
        <v>2171.88</v>
      </c>
      <c r="M12167" s="36">
        <v>0</v>
      </c>
      <c r="T12167" s="41">
        <v>0</v>
      </c>
      <c r="U12167" s="41">
        <v>0</v>
      </c>
      <c r="V12167" s="42" t="s">
        <v>113</v>
      </c>
      <c r="W12167" s="42">
        <v>2171.88</v>
      </c>
      <c r="X12167" s="42">
        <v>2171.88</v>
      </c>
    </row>
    <row r="12168" spans="1:24">
      <c r="A12168" s="27" t="s">
        <v>21896</v>
      </c>
      <c r="B12168" s="28" t="s">
        <v>19918</v>
      </c>
      <c r="C12168" s="27" t="s">
        <v>21602</v>
      </c>
      <c r="D12168" s="27" t="s">
        <v>17558</v>
      </c>
      <c r="E12168" s="29">
        <v>39447</v>
      </c>
      <c r="F12168" s="27">
        <v>7</v>
      </c>
      <c r="G12168" s="18">
        <v>2171.88</v>
      </c>
      <c r="H12168" s="27">
        <f t="shared" si="380"/>
        <v>2171.88</v>
      </c>
      <c r="I12168" s="18">
        <v>2171.88</v>
      </c>
      <c r="J12168" s="27">
        <v>2171.88</v>
      </c>
      <c r="K12168" s="18">
        <f t="shared" si="381"/>
        <v>2171.88</v>
      </c>
      <c r="L12168" s="27">
        <v>2171.88</v>
      </c>
      <c r="M12168" s="36">
        <v>0</v>
      </c>
      <c r="T12168" s="41">
        <v>0</v>
      </c>
      <c r="U12168" s="41">
        <v>0</v>
      </c>
      <c r="V12168" s="42" t="s">
        <v>113</v>
      </c>
      <c r="W12168" s="42">
        <v>2171.88</v>
      </c>
      <c r="X12168" s="42">
        <v>2171.88</v>
      </c>
    </row>
    <row r="12169" spans="1:24">
      <c r="A12169" s="27" t="s">
        <v>21897</v>
      </c>
      <c r="B12169" s="28" t="s">
        <v>19918</v>
      </c>
      <c r="C12169" s="27" t="s">
        <v>21898</v>
      </c>
      <c r="D12169" s="27" t="s">
        <v>17558</v>
      </c>
      <c r="E12169" s="29">
        <v>39447</v>
      </c>
      <c r="F12169" s="27">
        <v>7</v>
      </c>
      <c r="G12169" s="18">
        <v>2171.88</v>
      </c>
      <c r="H12169" s="27">
        <f t="shared" si="380"/>
        <v>2171.88</v>
      </c>
      <c r="I12169" s="18">
        <v>2171.88</v>
      </c>
      <c r="J12169" s="27">
        <v>2171.88</v>
      </c>
      <c r="K12169" s="18">
        <f t="shared" si="381"/>
        <v>2171.88</v>
      </c>
      <c r="L12169" s="27">
        <v>2171.88</v>
      </c>
      <c r="M12169" s="36">
        <v>0</v>
      </c>
      <c r="T12169" s="41">
        <v>0</v>
      </c>
      <c r="U12169" s="41">
        <v>0</v>
      </c>
      <c r="V12169" s="42" t="s">
        <v>113</v>
      </c>
      <c r="W12169" s="42">
        <v>2171.88</v>
      </c>
      <c r="X12169" s="42">
        <v>2171.88</v>
      </c>
    </row>
    <row r="12170" spans="1:24">
      <c r="A12170" s="27" t="s">
        <v>21899</v>
      </c>
      <c r="B12170" s="28" t="s">
        <v>19918</v>
      </c>
      <c r="C12170" s="27" t="s">
        <v>21900</v>
      </c>
      <c r="D12170" s="27" t="s">
        <v>230</v>
      </c>
      <c r="E12170" s="29">
        <v>43042</v>
      </c>
      <c r="F12170" s="27">
        <v>7</v>
      </c>
      <c r="G12170" s="18">
        <v>12820.51</v>
      </c>
      <c r="H12170" s="27">
        <f t="shared" si="380"/>
        <v>0</v>
      </c>
      <c r="I12170" s="18">
        <v>1884.92</v>
      </c>
      <c r="J12170" s="27">
        <v>12820.51</v>
      </c>
      <c r="K12170" s="18">
        <f t="shared" si="381"/>
        <v>0</v>
      </c>
      <c r="L12170" s="27">
        <v>3624.85</v>
      </c>
      <c r="M12170" s="36">
        <v>1739.93</v>
      </c>
      <c r="T12170" s="41">
        <v>0</v>
      </c>
      <c r="U12170" s="41">
        <v>0</v>
      </c>
      <c r="V12170" s="42" t="s">
        <v>113</v>
      </c>
      <c r="W12170" s="42">
        <v>0</v>
      </c>
      <c r="X12170" s="42">
        <v>0</v>
      </c>
    </row>
    <row r="12171" spans="1:24">
      <c r="A12171" s="27" t="s">
        <v>21901</v>
      </c>
      <c r="B12171" s="28" t="s">
        <v>19918</v>
      </c>
      <c r="C12171" s="27" t="s">
        <v>21902</v>
      </c>
      <c r="D12171" s="27" t="s">
        <v>230</v>
      </c>
      <c r="E12171" s="29">
        <v>43209</v>
      </c>
      <c r="F12171" s="27">
        <v>7</v>
      </c>
      <c r="G12171" s="18">
        <v>8162.39</v>
      </c>
      <c r="H12171" s="27">
        <f t="shared" si="380"/>
        <v>0</v>
      </c>
      <c r="I12171" s="18">
        <v>738.5</v>
      </c>
      <c r="J12171" s="27">
        <v>8162.39</v>
      </c>
      <c r="K12171" s="18">
        <f t="shared" si="381"/>
        <v>0</v>
      </c>
      <c r="L12171" s="27">
        <v>1846.25</v>
      </c>
      <c r="M12171" s="36">
        <v>1107.75</v>
      </c>
      <c r="T12171" s="41">
        <v>0</v>
      </c>
      <c r="U12171" s="41">
        <v>0</v>
      </c>
      <c r="V12171" s="42" t="s">
        <v>113</v>
      </c>
      <c r="W12171" s="42">
        <v>0</v>
      </c>
      <c r="X12171" s="42">
        <v>0</v>
      </c>
    </row>
    <row r="12172" spans="1:24">
      <c r="A12172" s="27" t="s">
        <v>21903</v>
      </c>
      <c r="B12172" s="28" t="s">
        <v>19918</v>
      </c>
      <c r="C12172" s="27" t="s">
        <v>21902</v>
      </c>
      <c r="D12172" s="27" t="s">
        <v>230</v>
      </c>
      <c r="E12172" s="29">
        <v>43209</v>
      </c>
      <c r="F12172" s="27">
        <v>7</v>
      </c>
      <c r="G12172" s="18">
        <v>8162.39</v>
      </c>
      <c r="H12172" s="27">
        <f t="shared" si="380"/>
        <v>0</v>
      </c>
      <c r="I12172" s="18">
        <v>738.5</v>
      </c>
      <c r="J12172" s="27">
        <v>8162.39</v>
      </c>
      <c r="K12172" s="18">
        <f t="shared" si="381"/>
        <v>0</v>
      </c>
      <c r="L12172" s="27">
        <v>1846.25</v>
      </c>
      <c r="M12172" s="36">
        <v>1107.75</v>
      </c>
      <c r="T12172" s="41">
        <v>0</v>
      </c>
      <c r="U12172" s="41">
        <v>0</v>
      </c>
      <c r="V12172" s="42" t="s">
        <v>113</v>
      </c>
      <c r="W12172" s="42">
        <v>0</v>
      </c>
      <c r="X12172" s="42">
        <v>0</v>
      </c>
    </row>
    <row r="12173" spans="1:24">
      <c r="A12173" s="27" t="s">
        <v>21904</v>
      </c>
      <c r="B12173" s="28" t="s">
        <v>19918</v>
      </c>
      <c r="C12173" s="27" t="s">
        <v>21905</v>
      </c>
      <c r="D12173" s="27" t="s">
        <v>17578</v>
      </c>
      <c r="E12173" s="29">
        <v>43738</v>
      </c>
      <c r="F12173" s="27">
        <v>7</v>
      </c>
      <c r="G12173" s="18">
        <v>0</v>
      </c>
      <c r="H12173" s="27">
        <f t="shared" si="380"/>
        <v>0</v>
      </c>
      <c r="I12173" s="18">
        <v>0</v>
      </c>
      <c r="J12173" s="27">
        <v>2886.21</v>
      </c>
      <c r="K12173" s="18">
        <f t="shared" si="381"/>
        <v>0</v>
      </c>
      <c r="L12173" s="27">
        <v>97.93</v>
      </c>
      <c r="M12173" s="36">
        <v>97.93</v>
      </c>
      <c r="N12173" s="18" t="s">
        <v>123</v>
      </c>
      <c r="O12173" s="19">
        <v>2886.21</v>
      </c>
      <c r="T12173" s="41">
        <v>0</v>
      </c>
      <c r="U12173" s="41">
        <v>0</v>
      </c>
      <c r="V12173" s="42" t="s">
        <v>113</v>
      </c>
      <c r="W12173" s="42">
        <v>0</v>
      </c>
      <c r="X12173" s="42">
        <v>0</v>
      </c>
    </row>
    <row r="12174" spans="1:24">
      <c r="A12174" s="27" t="s">
        <v>21906</v>
      </c>
      <c r="B12174" s="28" t="s">
        <v>19918</v>
      </c>
      <c r="C12174" s="27" t="s">
        <v>21905</v>
      </c>
      <c r="D12174" s="27" t="s">
        <v>17578</v>
      </c>
      <c r="E12174" s="29">
        <v>43738</v>
      </c>
      <c r="F12174" s="27">
        <v>7</v>
      </c>
      <c r="G12174" s="18">
        <v>0</v>
      </c>
      <c r="H12174" s="27">
        <f t="shared" si="380"/>
        <v>0</v>
      </c>
      <c r="I12174" s="18">
        <v>0</v>
      </c>
      <c r="J12174" s="27">
        <v>2886.21</v>
      </c>
      <c r="K12174" s="18">
        <f t="shared" si="381"/>
        <v>0</v>
      </c>
      <c r="L12174" s="27">
        <v>97.93</v>
      </c>
      <c r="M12174" s="36">
        <v>97.93</v>
      </c>
      <c r="N12174" s="18" t="s">
        <v>123</v>
      </c>
      <c r="O12174" s="19">
        <v>2886.21</v>
      </c>
      <c r="T12174" s="41">
        <v>0</v>
      </c>
      <c r="U12174" s="41">
        <v>0</v>
      </c>
      <c r="V12174" s="42" t="s">
        <v>113</v>
      </c>
      <c r="W12174" s="42">
        <v>0</v>
      </c>
      <c r="X12174" s="42">
        <v>0</v>
      </c>
    </row>
    <row r="12175" spans="1:24">
      <c r="A12175" s="27" t="s">
        <v>21907</v>
      </c>
      <c r="B12175" s="28" t="s">
        <v>19918</v>
      </c>
      <c r="C12175" s="27" t="s">
        <v>21908</v>
      </c>
      <c r="D12175" s="27" t="s">
        <v>17578</v>
      </c>
      <c r="E12175" s="29">
        <v>43738</v>
      </c>
      <c r="F12175" s="27">
        <v>7</v>
      </c>
      <c r="G12175" s="18">
        <v>0</v>
      </c>
      <c r="H12175" s="27">
        <f t="shared" si="380"/>
        <v>0</v>
      </c>
      <c r="I12175" s="18">
        <v>0</v>
      </c>
      <c r="J12175" s="27">
        <v>42176.72</v>
      </c>
      <c r="K12175" s="18">
        <f t="shared" si="381"/>
        <v>0</v>
      </c>
      <c r="L12175" s="27">
        <v>1431</v>
      </c>
      <c r="M12175" s="36">
        <v>1431</v>
      </c>
      <c r="N12175" s="18" t="s">
        <v>123</v>
      </c>
      <c r="O12175" s="19">
        <v>42176.72</v>
      </c>
      <c r="T12175" s="41">
        <v>0</v>
      </c>
      <c r="U12175" s="41">
        <v>0</v>
      </c>
      <c r="V12175" s="42" t="s">
        <v>113</v>
      </c>
      <c r="W12175" s="42">
        <v>0</v>
      </c>
      <c r="X12175" s="42">
        <v>0</v>
      </c>
    </row>
    <row r="12176" spans="1:24">
      <c r="A12176" s="27" t="s">
        <v>21909</v>
      </c>
      <c r="B12176" s="28" t="s">
        <v>19918</v>
      </c>
      <c r="C12176" s="27" t="s">
        <v>21908</v>
      </c>
      <c r="D12176" s="27" t="s">
        <v>17578</v>
      </c>
      <c r="E12176" s="29">
        <v>43738</v>
      </c>
      <c r="F12176" s="27">
        <v>7</v>
      </c>
      <c r="G12176" s="18">
        <v>0</v>
      </c>
      <c r="H12176" s="27">
        <f t="shared" si="380"/>
        <v>0</v>
      </c>
      <c r="I12176" s="18">
        <v>0</v>
      </c>
      <c r="J12176" s="27">
        <v>42176.72</v>
      </c>
      <c r="K12176" s="18">
        <f t="shared" si="381"/>
        <v>0</v>
      </c>
      <c r="L12176" s="27">
        <v>1431</v>
      </c>
      <c r="M12176" s="36">
        <v>1431</v>
      </c>
      <c r="N12176" s="18" t="s">
        <v>123</v>
      </c>
      <c r="O12176" s="19">
        <v>42176.72</v>
      </c>
      <c r="T12176" s="41">
        <v>0</v>
      </c>
      <c r="U12176" s="41">
        <v>0</v>
      </c>
      <c r="V12176" s="42" t="s">
        <v>113</v>
      </c>
      <c r="W12176" s="42">
        <v>0</v>
      </c>
      <c r="X12176" s="42">
        <v>0</v>
      </c>
    </row>
    <row r="12177" spans="1:24">
      <c r="A12177" s="27" t="s">
        <v>21910</v>
      </c>
      <c r="B12177" s="28" t="s">
        <v>19918</v>
      </c>
      <c r="C12177" s="27" t="s">
        <v>21911</v>
      </c>
      <c r="D12177" s="27" t="s">
        <v>17578</v>
      </c>
      <c r="E12177" s="29">
        <v>40544</v>
      </c>
      <c r="F12177" s="27">
        <v>5</v>
      </c>
      <c r="G12177" s="18">
        <v>15300</v>
      </c>
      <c r="H12177" s="27">
        <f t="shared" si="380"/>
        <v>15300</v>
      </c>
      <c r="I12177" s="18">
        <v>14535</v>
      </c>
      <c r="J12177" s="27">
        <v>15300</v>
      </c>
      <c r="K12177" s="18">
        <f t="shared" si="381"/>
        <v>15300</v>
      </c>
      <c r="L12177" s="27">
        <v>14535</v>
      </c>
      <c r="M12177" s="36">
        <v>0</v>
      </c>
      <c r="T12177" s="41">
        <v>0</v>
      </c>
      <c r="U12177" s="41">
        <v>0</v>
      </c>
      <c r="V12177" s="42" t="s">
        <v>113</v>
      </c>
      <c r="W12177" s="42">
        <v>15300</v>
      </c>
      <c r="X12177" s="42">
        <v>15300</v>
      </c>
    </row>
    <row r="12178" spans="1:24">
      <c r="A12178" s="27" t="s">
        <v>21912</v>
      </c>
      <c r="B12178" s="28" t="s">
        <v>19918</v>
      </c>
      <c r="C12178" s="27" t="s">
        <v>21913</v>
      </c>
      <c r="D12178" s="27" t="s">
        <v>17578</v>
      </c>
      <c r="E12178" s="29">
        <v>40544</v>
      </c>
      <c r="F12178" s="27">
        <v>5</v>
      </c>
      <c r="G12178" s="18">
        <v>32400</v>
      </c>
      <c r="H12178" s="27">
        <f t="shared" si="380"/>
        <v>32400</v>
      </c>
      <c r="I12178" s="18">
        <v>30780</v>
      </c>
      <c r="J12178" s="27">
        <v>32400</v>
      </c>
      <c r="K12178" s="18">
        <f t="shared" si="381"/>
        <v>32400</v>
      </c>
      <c r="L12178" s="27">
        <v>30780</v>
      </c>
      <c r="M12178" s="36">
        <v>0</v>
      </c>
      <c r="T12178" s="41">
        <v>0</v>
      </c>
      <c r="U12178" s="41">
        <v>0</v>
      </c>
      <c r="V12178" s="42" t="s">
        <v>113</v>
      </c>
      <c r="W12178" s="42">
        <v>32400</v>
      </c>
      <c r="X12178" s="42">
        <v>32400</v>
      </c>
    </row>
    <row r="12179" spans="1:24">
      <c r="A12179" s="27" t="s">
        <v>21914</v>
      </c>
      <c r="B12179" s="28" t="s">
        <v>19918</v>
      </c>
      <c r="C12179" s="27" t="s">
        <v>21915</v>
      </c>
      <c r="D12179" s="27" t="s">
        <v>17558</v>
      </c>
      <c r="E12179" s="29">
        <v>42579</v>
      </c>
      <c r="F12179" s="27">
        <v>5</v>
      </c>
      <c r="G12179" s="18">
        <v>464150.15</v>
      </c>
      <c r="H12179" s="27">
        <f t="shared" si="380"/>
        <v>0</v>
      </c>
      <c r="I12179" s="18">
        <v>213122.28</v>
      </c>
      <c r="J12179" s="27">
        <v>464150.15</v>
      </c>
      <c r="K12179" s="18">
        <f t="shared" si="381"/>
        <v>0</v>
      </c>
      <c r="L12179" s="27">
        <v>301310.81</v>
      </c>
      <c r="M12179" s="36">
        <v>88188.53</v>
      </c>
      <c r="T12179" s="41">
        <v>0</v>
      </c>
      <c r="U12179" s="41">
        <v>0</v>
      </c>
      <c r="V12179" s="42" t="s">
        <v>113</v>
      </c>
      <c r="W12179" s="42">
        <v>0</v>
      </c>
      <c r="X12179" s="42">
        <v>464150.15</v>
      </c>
    </row>
    <row r="12180" spans="1:24">
      <c r="A12180" s="27" t="s">
        <v>21916</v>
      </c>
      <c r="B12180" s="28" t="s">
        <v>19918</v>
      </c>
      <c r="C12180" s="27" t="s">
        <v>21917</v>
      </c>
      <c r="D12180" s="27" t="s">
        <v>17558</v>
      </c>
      <c r="E12180" s="29">
        <v>42579</v>
      </c>
      <c r="F12180" s="27">
        <v>5</v>
      </c>
      <c r="G12180" s="18">
        <v>36316.14</v>
      </c>
      <c r="H12180" s="27">
        <f t="shared" si="380"/>
        <v>0</v>
      </c>
      <c r="I12180" s="18">
        <v>16675.16</v>
      </c>
      <c r="J12180" s="27">
        <v>36316.14</v>
      </c>
      <c r="K12180" s="18">
        <f t="shared" si="381"/>
        <v>0</v>
      </c>
      <c r="L12180" s="27">
        <v>23575.23</v>
      </c>
      <c r="M12180" s="36">
        <v>6900.07</v>
      </c>
      <c r="T12180" s="41">
        <v>0</v>
      </c>
      <c r="U12180" s="41">
        <v>0</v>
      </c>
      <c r="V12180" s="42" t="s">
        <v>113</v>
      </c>
      <c r="W12180" s="42">
        <v>0</v>
      </c>
      <c r="X12180" s="42">
        <v>36316.14</v>
      </c>
    </row>
    <row r="12181" spans="1:24">
      <c r="A12181" s="27" t="s">
        <v>21918</v>
      </c>
      <c r="B12181" s="28" t="s">
        <v>19918</v>
      </c>
      <c r="C12181" s="27" t="s">
        <v>21919</v>
      </c>
      <c r="D12181" s="27" t="s">
        <v>17578</v>
      </c>
      <c r="E12181" s="29">
        <v>40116</v>
      </c>
      <c r="F12181" s="27">
        <v>5</v>
      </c>
      <c r="G12181" s="18">
        <v>23600</v>
      </c>
      <c r="H12181" s="27">
        <f t="shared" si="380"/>
        <v>23600</v>
      </c>
      <c r="I12181" s="18">
        <v>22420</v>
      </c>
      <c r="J12181" s="27">
        <v>23600</v>
      </c>
      <c r="K12181" s="18">
        <f t="shared" si="381"/>
        <v>23600</v>
      </c>
      <c r="L12181" s="27">
        <v>22420</v>
      </c>
      <c r="M12181" s="36">
        <v>0</v>
      </c>
      <c r="T12181" s="41">
        <v>0</v>
      </c>
      <c r="U12181" s="41">
        <v>0</v>
      </c>
      <c r="V12181" s="42" t="s">
        <v>113</v>
      </c>
      <c r="W12181" s="42">
        <v>23600</v>
      </c>
      <c r="X12181" s="42">
        <v>23600</v>
      </c>
    </row>
    <row r="12182" spans="1:24">
      <c r="A12182" s="27" t="s">
        <v>21920</v>
      </c>
      <c r="B12182" s="28" t="s">
        <v>19918</v>
      </c>
      <c r="C12182" s="27" t="s">
        <v>21095</v>
      </c>
      <c r="D12182" s="27" t="s">
        <v>17578</v>
      </c>
      <c r="E12182" s="29">
        <v>40178</v>
      </c>
      <c r="F12182" s="27">
        <v>5</v>
      </c>
      <c r="G12182" s="18">
        <v>13333.33</v>
      </c>
      <c r="H12182" s="27">
        <f t="shared" si="380"/>
        <v>13333.33</v>
      </c>
      <c r="I12182" s="18">
        <v>12666.66</v>
      </c>
      <c r="J12182" s="27">
        <v>13333.33</v>
      </c>
      <c r="K12182" s="18">
        <f t="shared" si="381"/>
        <v>13333.33</v>
      </c>
      <c r="L12182" s="27">
        <v>12666.66</v>
      </c>
      <c r="M12182" s="36">
        <v>0</v>
      </c>
      <c r="T12182" s="41">
        <v>0</v>
      </c>
      <c r="U12182" s="41">
        <v>0</v>
      </c>
      <c r="V12182" s="42" t="s">
        <v>113</v>
      </c>
      <c r="W12182" s="42">
        <v>13333.33</v>
      </c>
      <c r="X12182" s="42">
        <v>13333.33</v>
      </c>
    </row>
    <row r="12183" spans="1:24">
      <c r="A12183" s="27" t="s">
        <v>21921</v>
      </c>
      <c r="B12183" s="28" t="s">
        <v>19918</v>
      </c>
      <c r="C12183" s="27" t="s">
        <v>21922</v>
      </c>
      <c r="D12183" s="27" t="s">
        <v>17578</v>
      </c>
      <c r="E12183" s="29">
        <v>40909</v>
      </c>
      <c r="F12183" s="27">
        <v>5</v>
      </c>
      <c r="G12183" s="18">
        <v>316986.64</v>
      </c>
      <c r="H12183" s="27">
        <f t="shared" si="380"/>
        <v>316986.64</v>
      </c>
      <c r="I12183" s="18">
        <v>301137.31</v>
      </c>
      <c r="J12183" s="27">
        <v>316986.64</v>
      </c>
      <c r="K12183" s="18">
        <f t="shared" si="381"/>
        <v>316986.64</v>
      </c>
      <c r="L12183" s="27">
        <v>301137.31</v>
      </c>
      <c r="M12183" s="36">
        <v>0</v>
      </c>
      <c r="T12183" s="41">
        <v>0</v>
      </c>
      <c r="U12183" s="41">
        <v>0</v>
      </c>
      <c r="V12183" s="42" t="s">
        <v>113</v>
      </c>
      <c r="W12183" s="42">
        <v>316986.64</v>
      </c>
      <c r="X12183" s="42">
        <v>316986.64</v>
      </c>
    </row>
    <row r="12184" spans="1:24">
      <c r="A12184" s="27" t="s">
        <v>21923</v>
      </c>
      <c r="B12184" s="28" t="s">
        <v>19918</v>
      </c>
      <c r="C12184" s="27" t="s">
        <v>21922</v>
      </c>
      <c r="D12184" s="27" t="s">
        <v>17578</v>
      </c>
      <c r="E12184" s="29">
        <v>40909</v>
      </c>
      <c r="F12184" s="27">
        <v>5</v>
      </c>
      <c r="G12184" s="18">
        <v>60465.33</v>
      </c>
      <c r="H12184" s="27">
        <f t="shared" si="380"/>
        <v>60465.33</v>
      </c>
      <c r="I12184" s="18">
        <v>57442.06</v>
      </c>
      <c r="J12184" s="27">
        <v>60465.33</v>
      </c>
      <c r="K12184" s="18">
        <f t="shared" si="381"/>
        <v>60465.33</v>
      </c>
      <c r="L12184" s="27">
        <v>57442.06</v>
      </c>
      <c r="M12184" s="36">
        <v>0</v>
      </c>
      <c r="T12184" s="41">
        <v>0</v>
      </c>
      <c r="U12184" s="41">
        <v>0</v>
      </c>
      <c r="V12184" s="42" t="s">
        <v>113</v>
      </c>
      <c r="W12184" s="42">
        <v>60465.33</v>
      </c>
      <c r="X12184" s="42">
        <v>60465.33</v>
      </c>
    </row>
    <row r="12185" spans="1:24">
      <c r="A12185" s="27" t="s">
        <v>21924</v>
      </c>
      <c r="B12185" s="28" t="s">
        <v>19918</v>
      </c>
      <c r="C12185" s="27" t="s">
        <v>21922</v>
      </c>
      <c r="D12185" s="27" t="s">
        <v>17578</v>
      </c>
      <c r="E12185" s="29">
        <v>40909</v>
      </c>
      <c r="F12185" s="27">
        <v>5</v>
      </c>
      <c r="G12185" s="18">
        <v>267201.90000000002</v>
      </c>
      <c r="H12185" s="27">
        <f t="shared" si="380"/>
        <v>267201.90000000002</v>
      </c>
      <c r="I12185" s="18">
        <v>253841.8</v>
      </c>
      <c r="J12185" s="27">
        <v>267201.90000000002</v>
      </c>
      <c r="K12185" s="18">
        <f t="shared" si="381"/>
        <v>267201.90000000002</v>
      </c>
      <c r="L12185" s="27">
        <v>253841.8</v>
      </c>
      <c r="M12185" s="36">
        <v>0</v>
      </c>
      <c r="T12185" s="41">
        <v>0</v>
      </c>
      <c r="U12185" s="41">
        <v>0</v>
      </c>
      <c r="V12185" s="42" t="s">
        <v>113</v>
      </c>
      <c r="W12185" s="42">
        <v>267201.90000000002</v>
      </c>
      <c r="X12185" s="42">
        <v>267201.90000000002</v>
      </c>
    </row>
    <row r="12186" spans="1:24">
      <c r="A12186" s="27" t="s">
        <v>21925</v>
      </c>
      <c r="B12186" s="28" t="s">
        <v>19918</v>
      </c>
      <c r="C12186" s="27" t="s">
        <v>21922</v>
      </c>
      <c r="D12186" s="27" t="s">
        <v>17578</v>
      </c>
      <c r="E12186" s="29">
        <v>40909</v>
      </c>
      <c r="F12186" s="27">
        <v>5</v>
      </c>
      <c r="G12186" s="18">
        <v>53225.38</v>
      </c>
      <c r="H12186" s="27">
        <f t="shared" si="380"/>
        <v>53225.38</v>
      </c>
      <c r="I12186" s="18">
        <v>50564.11</v>
      </c>
      <c r="J12186" s="27">
        <v>53225.38</v>
      </c>
      <c r="K12186" s="18">
        <f t="shared" si="381"/>
        <v>53225.38</v>
      </c>
      <c r="L12186" s="27">
        <v>50564.11</v>
      </c>
      <c r="M12186" s="36">
        <v>0</v>
      </c>
      <c r="T12186" s="41">
        <v>0</v>
      </c>
      <c r="U12186" s="41">
        <v>0</v>
      </c>
      <c r="V12186" s="42" t="s">
        <v>113</v>
      </c>
      <c r="W12186" s="42">
        <v>53225.38</v>
      </c>
      <c r="X12186" s="42">
        <v>53225.38</v>
      </c>
    </row>
    <row r="12187" spans="1:24">
      <c r="A12187" s="27" t="s">
        <v>21926</v>
      </c>
      <c r="B12187" s="28" t="s">
        <v>19918</v>
      </c>
      <c r="C12187" s="27" t="s">
        <v>21927</v>
      </c>
      <c r="D12187" s="27" t="s">
        <v>17558</v>
      </c>
      <c r="E12187" s="29">
        <v>42579</v>
      </c>
      <c r="F12187" s="27">
        <v>5</v>
      </c>
      <c r="G12187" s="18">
        <v>351.22</v>
      </c>
      <c r="H12187" s="27">
        <f t="shared" si="380"/>
        <v>0</v>
      </c>
      <c r="I12187" s="18">
        <v>161.27000000000001</v>
      </c>
      <c r="J12187" s="27">
        <v>351.22</v>
      </c>
      <c r="K12187" s="18">
        <f t="shared" si="381"/>
        <v>0</v>
      </c>
      <c r="L12187" s="27">
        <v>228</v>
      </c>
      <c r="M12187" s="36">
        <v>66.73</v>
      </c>
      <c r="T12187" s="41">
        <v>0</v>
      </c>
      <c r="U12187" s="41">
        <v>0</v>
      </c>
      <c r="V12187" s="42" t="s">
        <v>113</v>
      </c>
      <c r="W12187" s="42">
        <v>0</v>
      </c>
      <c r="X12187" s="42">
        <v>351.22</v>
      </c>
    </row>
    <row r="12188" spans="1:24">
      <c r="A12188" s="27" t="s">
        <v>21928</v>
      </c>
      <c r="B12188" s="28" t="s">
        <v>19918</v>
      </c>
      <c r="C12188" s="27" t="s">
        <v>21929</v>
      </c>
      <c r="D12188" s="27" t="s">
        <v>17558</v>
      </c>
      <c r="E12188" s="29">
        <v>42579</v>
      </c>
      <c r="F12188" s="27">
        <v>5</v>
      </c>
      <c r="G12188" s="18">
        <v>351.22</v>
      </c>
      <c r="H12188" s="27">
        <f t="shared" si="380"/>
        <v>0</v>
      </c>
      <c r="I12188" s="18">
        <v>161.27000000000001</v>
      </c>
      <c r="J12188" s="27">
        <v>351.22</v>
      </c>
      <c r="K12188" s="18">
        <f t="shared" si="381"/>
        <v>0</v>
      </c>
      <c r="L12188" s="27">
        <v>228</v>
      </c>
      <c r="M12188" s="36">
        <v>66.73</v>
      </c>
      <c r="T12188" s="41">
        <v>0</v>
      </c>
      <c r="U12188" s="41">
        <v>0</v>
      </c>
      <c r="V12188" s="42" t="s">
        <v>113</v>
      </c>
      <c r="W12188" s="42">
        <v>0</v>
      </c>
      <c r="X12188" s="42">
        <v>351.22</v>
      </c>
    </row>
    <row r="12189" spans="1:24">
      <c r="A12189" s="27" t="s">
        <v>21930</v>
      </c>
      <c r="B12189" s="28" t="s">
        <v>19918</v>
      </c>
      <c r="C12189" s="27" t="s">
        <v>21931</v>
      </c>
      <c r="D12189" s="27" t="s">
        <v>17558</v>
      </c>
      <c r="E12189" s="29">
        <v>42579</v>
      </c>
      <c r="F12189" s="27">
        <v>5</v>
      </c>
      <c r="G12189" s="18">
        <v>351.22</v>
      </c>
      <c r="H12189" s="27">
        <f t="shared" si="380"/>
        <v>0</v>
      </c>
      <c r="I12189" s="18">
        <v>161.27000000000001</v>
      </c>
      <c r="J12189" s="27">
        <v>351.22</v>
      </c>
      <c r="K12189" s="18">
        <f t="shared" si="381"/>
        <v>0</v>
      </c>
      <c r="L12189" s="27">
        <v>228</v>
      </c>
      <c r="M12189" s="36">
        <v>66.73</v>
      </c>
      <c r="T12189" s="41">
        <v>0</v>
      </c>
      <c r="U12189" s="41">
        <v>0</v>
      </c>
      <c r="V12189" s="42" t="s">
        <v>113</v>
      </c>
      <c r="W12189" s="42">
        <v>0</v>
      </c>
      <c r="X12189" s="42">
        <v>351.22</v>
      </c>
    </row>
    <row r="12190" spans="1:24">
      <c r="A12190" s="27" t="s">
        <v>21932</v>
      </c>
      <c r="B12190" s="28" t="s">
        <v>19918</v>
      </c>
      <c r="C12190" s="27" t="s">
        <v>21933</v>
      </c>
      <c r="D12190" s="27" t="s">
        <v>17558</v>
      </c>
      <c r="E12190" s="29">
        <v>42579</v>
      </c>
      <c r="F12190" s="27">
        <v>5</v>
      </c>
      <c r="G12190" s="18">
        <v>351.22</v>
      </c>
      <c r="H12190" s="27">
        <f t="shared" si="380"/>
        <v>0</v>
      </c>
      <c r="I12190" s="18">
        <v>161.27000000000001</v>
      </c>
      <c r="J12190" s="27">
        <v>351.22</v>
      </c>
      <c r="K12190" s="18">
        <f t="shared" si="381"/>
        <v>0</v>
      </c>
      <c r="L12190" s="27">
        <v>228</v>
      </c>
      <c r="M12190" s="36">
        <v>66.73</v>
      </c>
      <c r="T12190" s="41">
        <v>0</v>
      </c>
      <c r="U12190" s="41">
        <v>0</v>
      </c>
      <c r="V12190" s="42" t="s">
        <v>113</v>
      </c>
      <c r="W12190" s="42">
        <v>0</v>
      </c>
      <c r="X12190" s="42">
        <v>351.22</v>
      </c>
    </row>
    <row r="12191" spans="1:24">
      <c r="A12191" s="27" t="s">
        <v>21934</v>
      </c>
      <c r="B12191" s="28" t="s">
        <v>19918</v>
      </c>
      <c r="C12191" s="27" t="s">
        <v>21935</v>
      </c>
      <c r="D12191" s="27" t="s">
        <v>17558</v>
      </c>
      <c r="E12191" s="29">
        <v>42579</v>
      </c>
      <c r="F12191" s="27">
        <v>5</v>
      </c>
      <c r="G12191" s="18">
        <v>351.22</v>
      </c>
      <c r="H12191" s="27">
        <f t="shared" si="380"/>
        <v>0</v>
      </c>
      <c r="I12191" s="18">
        <v>161.27000000000001</v>
      </c>
      <c r="J12191" s="27">
        <v>351.22</v>
      </c>
      <c r="K12191" s="18">
        <f t="shared" si="381"/>
        <v>0</v>
      </c>
      <c r="L12191" s="27">
        <v>228</v>
      </c>
      <c r="M12191" s="36">
        <v>66.73</v>
      </c>
      <c r="T12191" s="41">
        <v>0</v>
      </c>
      <c r="U12191" s="41">
        <v>0</v>
      </c>
      <c r="V12191" s="42" t="s">
        <v>113</v>
      </c>
      <c r="W12191" s="42">
        <v>0</v>
      </c>
      <c r="X12191" s="42">
        <v>351.22</v>
      </c>
    </row>
    <row r="12192" spans="1:24">
      <c r="A12192" s="27" t="s">
        <v>21936</v>
      </c>
      <c r="B12192" s="28" t="s">
        <v>19918</v>
      </c>
      <c r="C12192" s="27" t="s">
        <v>21937</v>
      </c>
      <c r="D12192" s="27" t="s">
        <v>17558</v>
      </c>
      <c r="E12192" s="29">
        <v>42579</v>
      </c>
      <c r="F12192" s="27">
        <v>5</v>
      </c>
      <c r="G12192" s="18">
        <v>351.22</v>
      </c>
      <c r="H12192" s="27">
        <f t="shared" si="380"/>
        <v>0</v>
      </c>
      <c r="I12192" s="18">
        <v>161.27000000000001</v>
      </c>
      <c r="J12192" s="27">
        <v>351.22</v>
      </c>
      <c r="K12192" s="18">
        <f t="shared" si="381"/>
        <v>0</v>
      </c>
      <c r="L12192" s="27">
        <v>228</v>
      </c>
      <c r="M12192" s="36">
        <v>66.73</v>
      </c>
      <c r="T12192" s="41">
        <v>0</v>
      </c>
      <c r="U12192" s="41">
        <v>0</v>
      </c>
      <c r="V12192" s="42" t="s">
        <v>113</v>
      </c>
      <c r="W12192" s="42">
        <v>0</v>
      </c>
      <c r="X12192" s="42">
        <v>351.22</v>
      </c>
    </row>
    <row r="12193" spans="1:24">
      <c r="A12193" s="27" t="s">
        <v>21938</v>
      </c>
      <c r="B12193" s="28" t="s">
        <v>19918</v>
      </c>
      <c r="C12193" s="27" t="s">
        <v>21939</v>
      </c>
      <c r="D12193" s="27" t="s">
        <v>17558</v>
      </c>
      <c r="E12193" s="29">
        <v>42579</v>
      </c>
      <c r="F12193" s="27">
        <v>5</v>
      </c>
      <c r="G12193" s="18">
        <v>351.22</v>
      </c>
      <c r="H12193" s="27">
        <f t="shared" si="380"/>
        <v>0</v>
      </c>
      <c r="I12193" s="18">
        <v>161.27000000000001</v>
      </c>
      <c r="J12193" s="27">
        <v>351.22</v>
      </c>
      <c r="K12193" s="18">
        <f t="shared" si="381"/>
        <v>0</v>
      </c>
      <c r="L12193" s="27">
        <v>228</v>
      </c>
      <c r="M12193" s="36">
        <v>66.73</v>
      </c>
      <c r="T12193" s="41">
        <v>0</v>
      </c>
      <c r="U12193" s="41">
        <v>0</v>
      </c>
      <c r="V12193" s="42" t="s">
        <v>113</v>
      </c>
      <c r="W12193" s="42">
        <v>0</v>
      </c>
      <c r="X12193" s="42">
        <v>351.22</v>
      </c>
    </row>
    <row r="12194" spans="1:24">
      <c r="A12194" s="27" t="s">
        <v>21940</v>
      </c>
      <c r="B12194" s="28" t="s">
        <v>19918</v>
      </c>
      <c r="C12194" s="27" t="s">
        <v>21941</v>
      </c>
      <c r="D12194" s="27" t="s">
        <v>17558</v>
      </c>
      <c r="E12194" s="29">
        <v>42579</v>
      </c>
      <c r="F12194" s="27">
        <v>5</v>
      </c>
      <c r="G12194" s="18">
        <v>351.22</v>
      </c>
      <c r="H12194" s="27">
        <f t="shared" si="380"/>
        <v>0</v>
      </c>
      <c r="I12194" s="18">
        <v>161.27000000000001</v>
      </c>
      <c r="J12194" s="27">
        <v>351.22</v>
      </c>
      <c r="K12194" s="18">
        <f t="shared" si="381"/>
        <v>0</v>
      </c>
      <c r="L12194" s="27">
        <v>228</v>
      </c>
      <c r="M12194" s="36">
        <v>66.73</v>
      </c>
      <c r="T12194" s="41">
        <v>0</v>
      </c>
      <c r="U12194" s="41">
        <v>0</v>
      </c>
      <c r="V12194" s="42" t="s">
        <v>113</v>
      </c>
      <c r="W12194" s="42">
        <v>0</v>
      </c>
      <c r="X12194" s="42">
        <v>351.22</v>
      </c>
    </row>
    <row r="12195" spans="1:24">
      <c r="A12195" s="27" t="s">
        <v>21942</v>
      </c>
      <c r="B12195" s="28" t="s">
        <v>19918</v>
      </c>
      <c r="C12195" s="27" t="s">
        <v>21943</v>
      </c>
      <c r="D12195" s="27" t="s">
        <v>17558</v>
      </c>
      <c r="E12195" s="29">
        <v>42579</v>
      </c>
      <c r="F12195" s="27">
        <v>5</v>
      </c>
      <c r="G12195" s="18">
        <v>351.22</v>
      </c>
      <c r="H12195" s="27">
        <f t="shared" si="380"/>
        <v>0</v>
      </c>
      <c r="I12195" s="18">
        <v>161.27000000000001</v>
      </c>
      <c r="J12195" s="27">
        <v>351.22</v>
      </c>
      <c r="K12195" s="18">
        <f t="shared" si="381"/>
        <v>0</v>
      </c>
      <c r="L12195" s="27">
        <v>228</v>
      </c>
      <c r="M12195" s="36">
        <v>66.73</v>
      </c>
      <c r="T12195" s="41">
        <v>0</v>
      </c>
      <c r="U12195" s="41">
        <v>0</v>
      </c>
      <c r="V12195" s="42" t="s">
        <v>113</v>
      </c>
      <c r="W12195" s="42">
        <v>0</v>
      </c>
      <c r="X12195" s="42">
        <v>351.22</v>
      </c>
    </row>
    <row r="12196" spans="1:24">
      <c r="A12196" s="27" t="s">
        <v>21944</v>
      </c>
      <c r="B12196" s="28" t="s">
        <v>19918</v>
      </c>
      <c r="C12196" s="27" t="s">
        <v>21945</v>
      </c>
      <c r="D12196" s="27" t="s">
        <v>17558</v>
      </c>
      <c r="E12196" s="29">
        <v>42579</v>
      </c>
      <c r="F12196" s="27">
        <v>5</v>
      </c>
      <c r="G12196" s="18">
        <v>351.22</v>
      </c>
      <c r="H12196" s="27">
        <f t="shared" si="380"/>
        <v>0</v>
      </c>
      <c r="I12196" s="18">
        <v>161.27000000000001</v>
      </c>
      <c r="J12196" s="27">
        <v>351.22</v>
      </c>
      <c r="K12196" s="18">
        <f t="shared" si="381"/>
        <v>0</v>
      </c>
      <c r="L12196" s="27">
        <v>228</v>
      </c>
      <c r="M12196" s="36">
        <v>66.73</v>
      </c>
      <c r="T12196" s="41">
        <v>0</v>
      </c>
      <c r="U12196" s="41">
        <v>0</v>
      </c>
      <c r="V12196" s="42" t="s">
        <v>113</v>
      </c>
      <c r="W12196" s="42">
        <v>0</v>
      </c>
      <c r="X12196" s="42">
        <v>351.22</v>
      </c>
    </row>
    <row r="12197" spans="1:24">
      <c r="A12197" s="27" t="s">
        <v>21946</v>
      </c>
      <c r="B12197" s="28" t="s">
        <v>19918</v>
      </c>
      <c r="C12197" s="27" t="s">
        <v>21947</v>
      </c>
      <c r="D12197" s="27" t="s">
        <v>17558</v>
      </c>
      <c r="E12197" s="29">
        <v>42579</v>
      </c>
      <c r="F12197" s="27">
        <v>5</v>
      </c>
      <c r="G12197" s="18">
        <v>351.22</v>
      </c>
      <c r="H12197" s="27">
        <f t="shared" si="380"/>
        <v>0</v>
      </c>
      <c r="I12197" s="18">
        <v>161.27000000000001</v>
      </c>
      <c r="J12197" s="27">
        <v>351.22</v>
      </c>
      <c r="K12197" s="18">
        <f t="shared" si="381"/>
        <v>0</v>
      </c>
      <c r="L12197" s="27">
        <v>228</v>
      </c>
      <c r="M12197" s="36">
        <v>66.73</v>
      </c>
      <c r="T12197" s="41">
        <v>0</v>
      </c>
      <c r="U12197" s="41">
        <v>0</v>
      </c>
      <c r="V12197" s="42" t="s">
        <v>113</v>
      </c>
      <c r="W12197" s="42">
        <v>0</v>
      </c>
      <c r="X12197" s="42">
        <v>351.22</v>
      </c>
    </row>
    <row r="12198" spans="1:24">
      <c r="A12198" s="27" t="s">
        <v>21948</v>
      </c>
      <c r="B12198" s="28" t="s">
        <v>19918</v>
      </c>
      <c r="C12198" s="27" t="s">
        <v>21949</v>
      </c>
      <c r="D12198" s="27" t="s">
        <v>17558</v>
      </c>
      <c r="E12198" s="29">
        <v>42579</v>
      </c>
      <c r="F12198" s="27">
        <v>5</v>
      </c>
      <c r="G12198" s="18">
        <v>351.22</v>
      </c>
      <c r="H12198" s="27">
        <f t="shared" si="380"/>
        <v>0</v>
      </c>
      <c r="I12198" s="18">
        <v>161.27000000000001</v>
      </c>
      <c r="J12198" s="27">
        <v>351.22</v>
      </c>
      <c r="K12198" s="18">
        <f t="shared" si="381"/>
        <v>0</v>
      </c>
      <c r="L12198" s="27">
        <v>228</v>
      </c>
      <c r="M12198" s="36">
        <v>66.73</v>
      </c>
      <c r="T12198" s="41">
        <v>0</v>
      </c>
      <c r="U12198" s="41">
        <v>0</v>
      </c>
      <c r="V12198" s="42" t="s">
        <v>113</v>
      </c>
      <c r="W12198" s="42">
        <v>0</v>
      </c>
      <c r="X12198" s="42">
        <v>351.22</v>
      </c>
    </row>
    <row r="12199" spans="1:24">
      <c r="A12199" s="27" t="s">
        <v>21950</v>
      </c>
      <c r="B12199" s="28" t="s">
        <v>19918</v>
      </c>
      <c r="C12199" s="27" t="s">
        <v>21951</v>
      </c>
      <c r="D12199" s="27" t="s">
        <v>17558</v>
      </c>
      <c r="E12199" s="29">
        <v>42579</v>
      </c>
      <c r="F12199" s="27">
        <v>5</v>
      </c>
      <c r="G12199" s="18">
        <v>351.22</v>
      </c>
      <c r="H12199" s="27">
        <f t="shared" si="380"/>
        <v>0</v>
      </c>
      <c r="I12199" s="18">
        <v>161.27000000000001</v>
      </c>
      <c r="J12199" s="27">
        <v>351.22</v>
      </c>
      <c r="K12199" s="18">
        <f t="shared" si="381"/>
        <v>0</v>
      </c>
      <c r="L12199" s="27">
        <v>228</v>
      </c>
      <c r="M12199" s="36">
        <v>66.73</v>
      </c>
      <c r="T12199" s="41">
        <v>0</v>
      </c>
      <c r="U12199" s="41">
        <v>0</v>
      </c>
      <c r="V12199" s="42" t="s">
        <v>113</v>
      </c>
      <c r="W12199" s="42">
        <v>0</v>
      </c>
      <c r="X12199" s="42">
        <v>351.22</v>
      </c>
    </row>
    <row r="12200" spans="1:24">
      <c r="A12200" s="27" t="s">
        <v>21952</v>
      </c>
      <c r="B12200" s="28" t="s">
        <v>19918</v>
      </c>
      <c r="C12200" s="27" t="s">
        <v>21953</v>
      </c>
      <c r="D12200" s="27" t="s">
        <v>17558</v>
      </c>
      <c r="E12200" s="29">
        <v>42579</v>
      </c>
      <c r="F12200" s="27">
        <v>5</v>
      </c>
      <c r="G12200" s="18">
        <v>351.22</v>
      </c>
      <c r="H12200" s="27">
        <f t="shared" si="380"/>
        <v>0</v>
      </c>
      <c r="I12200" s="18">
        <v>161.27000000000001</v>
      </c>
      <c r="J12200" s="27">
        <v>351.22</v>
      </c>
      <c r="K12200" s="18">
        <f t="shared" si="381"/>
        <v>0</v>
      </c>
      <c r="L12200" s="27">
        <v>228</v>
      </c>
      <c r="M12200" s="36">
        <v>66.73</v>
      </c>
      <c r="T12200" s="41">
        <v>0</v>
      </c>
      <c r="U12200" s="41">
        <v>0</v>
      </c>
      <c r="V12200" s="42" t="s">
        <v>113</v>
      </c>
      <c r="W12200" s="42">
        <v>0</v>
      </c>
      <c r="X12200" s="42">
        <v>351.22</v>
      </c>
    </row>
    <row r="12201" spans="1:24">
      <c r="A12201" s="27" t="s">
        <v>21954</v>
      </c>
      <c r="B12201" s="28" t="s">
        <v>19918</v>
      </c>
      <c r="C12201" s="27" t="s">
        <v>21955</v>
      </c>
      <c r="D12201" s="27" t="s">
        <v>17558</v>
      </c>
      <c r="E12201" s="29">
        <v>42579</v>
      </c>
      <c r="F12201" s="27">
        <v>5</v>
      </c>
      <c r="G12201" s="18">
        <v>351.22</v>
      </c>
      <c r="H12201" s="27">
        <f t="shared" si="380"/>
        <v>0</v>
      </c>
      <c r="I12201" s="18">
        <v>161.27000000000001</v>
      </c>
      <c r="J12201" s="27">
        <v>351.22</v>
      </c>
      <c r="K12201" s="18">
        <f t="shared" si="381"/>
        <v>0</v>
      </c>
      <c r="L12201" s="27">
        <v>228</v>
      </c>
      <c r="M12201" s="36">
        <v>66.73</v>
      </c>
      <c r="T12201" s="41">
        <v>0</v>
      </c>
      <c r="U12201" s="41">
        <v>0</v>
      </c>
      <c r="V12201" s="42" t="s">
        <v>113</v>
      </c>
      <c r="W12201" s="42">
        <v>0</v>
      </c>
      <c r="X12201" s="42">
        <v>351.22</v>
      </c>
    </row>
    <row r="12202" spans="1:24">
      <c r="A12202" s="27" t="s">
        <v>21956</v>
      </c>
      <c r="B12202" s="28" t="s">
        <v>19918</v>
      </c>
      <c r="C12202" s="27" t="s">
        <v>21957</v>
      </c>
      <c r="D12202" s="27" t="s">
        <v>17558</v>
      </c>
      <c r="E12202" s="29">
        <v>42579</v>
      </c>
      <c r="F12202" s="27">
        <v>5</v>
      </c>
      <c r="G12202" s="18">
        <v>351.22</v>
      </c>
      <c r="H12202" s="27">
        <f t="shared" si="380"/>
        <v>0</v>
      </c>
      <c r="I12202" s="18">
        <v>161.27000000000001</v>
      </c>
      <c r="J12202" s="27">
        <v>351.22</v>
      </c>
      <c r="K12202" s="18">
        <f t="shared" si="381"/>
        <v>0</v>
      </c>
      <c r="L12202" s="27">
        <v>228</v>
      </c>
      <c r="M12202" s="36">
        <v>66.73</v>
      </c>
      <c r="T12202" s="41">
        <v>0</v>
      </c>
      <c r="U12202" s="41">
        <v>0</v>
      </c>
      <c r="V12202" s="42" t="s">
        <v>113</v>
      </c>
      <c r="W12202" s="42">
        <v>0</v>
      </c>
      <c r="X12202" s="42">
        <v>351.22</v>
      </c>
    </row>
    <row r="12203" spans="1:24">
      <c r="A12203" s="27" t="s">
        <v>21958</v>
      </c>
      <c r="B12203" s="28" t="s">
        <v>19918</v>
      </c>
      <c r="C12203" s="27" t="s">
        <v>21959</v>
      </c>
      <c r="D12203" s="27" t="s">
        <v>17558</v>
      </c>
      <c r="E12203" s="29">
        <v>42579</v>
      </c>
      <c r="F12203" s="27">
        <v>5</v>
      </c>
      <c r="G12203" s="18">
        <v>351.22</v>
      </c>
      <c r="H12203" s="27">
        <f t="shared" si="380"/>
        <v>0</v>
      </c>
      <c r="I12203" s="18">
        <v>161.27000000000001</v>
      </c>
      <c r="J12203" s="27">
        <v>351.22</v>
      </c>
      <c r="K12203" s="18">
        <f t="shared" si="381"/>
        <v>0</v>
      </c>
      <c r="L12203" s="27">
        <v>228</v>
      </c>
      <c r="M12203" s="36">
        <v>66.73</v>
      </c>
      <c r="T12203" s="41">
        <v>0</v>
      </c>
      <c r="U12203" s="41">
        <v>0</v>
      </c>
      <c r="V12203" s="42" t="s">
        <v>113</v>
      </c>
      <c r="W12203" s="42">
        <v>0</v>
      </c>
      <c r="X12203" s="42">
        <v>351.22</v>
      </c>
    </row>
    <row r="12204" spans="1:24">
      <c r="A12204" s="27" t="s">
        <v>21960</v>
      </c>
      <c r="B12204" s="28" t="s">
        <v>19918</v>
      </c>
      <c r="C12204" s="27" t="s">
        <v>21961</v>
      </c>
      <c r="D12204" s="27" t="s">
        <v>17558</v>
      </c>
      <c r="E12204" s="29">
        <v>42579</v>
      </c>
      <c r="F12204" s="27">
        <v>5</v>
      </c>
      <c r="G12204" s="18">
        <v>351.22</v>
      </c>
      <c r="H12204" s="27">
        <f t="shared" si="380"/>
        <v>0</v>
      </c>
      <c r="I12204" s="18">
        <v>161.27000000000001</v>
      </c>
      <c r="J12204" s="27">
        <v>351.22</v>
      </c>
      <c r="K12204" s="18">
        <f t="shared" si="381"/>
        <v>0</v>
      </c>
      <c r="L12204" s="27">
        <v>228</v>
      </c>
      <c r="M12204" s="36">
        <v>66.73</v>
      </c>
      <c r="T12204" s="41">
        <v>0</v>
      </c>
      <c r="U12204" s="41">
        <v>0</v>
      </c>
      <c r="V12204" s="42" t="s">
        <v>113</v>
      </c>
      <c r="W12204" s="42">
        <v>0</v>
      </c>
      <c r="X12204" s="42">
        <v>351.22</v>
      </c>
    </row>
    <row r="12205" spans="1:24">
      <c r="A12205" s="27" t="s">
        <v>21962</v>
      </c>
      <c r="B12205" s="28" t="s">
        <v>19918</v>
      </c>
      <c r="C12205" s="27" t="s">
        <v>21963</v>
      </c>
      <c r="D12205" s="27" t="s">
        <v>17558</v>
      </c>
      <c r="E12205" s="29">
        <v>42579</v>
      </c>
      <c r="F12205" s="27">
        <v>5</v>
      </c>
      <c r="G12205" s="18">
        <v>351.22</v>
      </c>
      <c r="H12205" s="27">
        <f t="shared" si="380"/>
        <v>0</v>
      </c>
      <c r="I12205" s="18">
        <v>161.27000000000001</v>
      </c>
      <c r="J12205" s="27">
        <v>351.22</v>
      </c>
      <c r="K12205" s="18">
        <f t="shared" si="381"/>
        <v>0</v>
      </c>
      <c r="L12205" s="27">
        <v>228</v>
      </c>
      <c r="M12205" s="36">
        <v>66.73</v>
      </c>
      <c r="T12205" s="41">
        <v>0</v>
      </c>
      <c r="U12205" s="41">
        <v>0</v>
      </c>
      <c r="V12205" s="42" t="s">
        <v>113</v>
      </c>
      <c r="W12205" s="42">
        <v>0</v>
      </c>
      <c r="X12205" s="42">
        <v>351.22</v>
      </c>
    </row>
    <row r="12206" spans="1:24">
      <c r="A12206" s="27" t="s">
        <v>21964</v>
      </c>
      <c r="B12206" s="28" t="s">
        <v>19918</v>
      </c>
      <c r="C12206" s="27" t="s">
        <v>21965</v>
      </c>
      <c r="D12206" s="27" t="s">
        <v>17558</v>
      </c>
      <c r="E12206" s="29">
        <v>42579</v>
      </c>
      <c r="F12206" s="27">
        <v>5</v>
      </c>
      <c r="G12206" s="18">
        <v>351.22</v>
      </c>
      <c r="H12206" s="27">
        <f t="shared" si="380"/>
        <v>0</v>
      </c>
      <c r="I12206" s="18">
        <v>161.27000000000001</v>
      </c>
      <c r="J12206" s="27">
        <v>351.22</v>
      </c>
      <c r="K12206" s="18">
        <f t="shared" si="381"/>
        <v>0</v>
      </c>
      <c r="L12206" s="27">
        <v>228</v>
      </c>
      <c r="M12206" s="36">
        <v>66.73</v>
      </c>
      <c r="T12206" s="41">
        <v>0</v>
      </c>
      <c r="U12206" s="41">
        <v>0</v>
      </c>
      <c r="V12206" s="42" t="s">
        <v>113</v>
      </c>
      <c r="W12206" s="42">
        <v>0</v>
      </c>
      <c r="X12206" s="42">
        <v>351.22</v>
      </c>
    </row>
    <row r="12207" spans="1:24">
      <c r="A12207" s="27" t="s">
        <v>21966</v>
      </c>
      <c r="B12207" s="28" t="s">
        <v>19918</v>
      </c>
      <c r="C12207" s="27" t="s">
        <v>21967</v>
      </c>
      <c r="D12207" s="27" t="s">
        <v>17558</v>
      </c>
      <c r="E12207" s="29">
        <v>42579</v>
      </c>
      <c r="F12207" s="27">
        <v>5</v>
      </c>
      <c r="G12207" s="18">
        <v>351.22</v>
      </c>
      <c r="H12207" s="27">
        <f t="shared" si="380"/>
        <v>0</v>
      </c>
      <c r="I12207" s="18">
        <v>161.27000000000001</v>
      </c>
      <c r="J12207" s="27">
        <v>351.22</v>
      </c>
      <c r="K12207" s="18">
        <f t="shared" si="381"/>
        <v>0</v>
      </c>
      <c r="L12207" s="27">
        <v>228</v>
      </c>
      <c r="M12207" s="36">
        <v>66.73</v>
      </c>
      <c r="T12207" s="41">
        <v>0</v>
      </c>
      <c r="U12207" s="41">
        <v>0</v>
      </c>
      <c r="V12207" s="42" t="s">
        <v>113</v>
      </c>
      <c r="W12207" s="42">
        <v>0</v>
      </c>
      <c r="X12207" s="42">
        <v>351.22</v>
      </c>
    </row>
    <row r="12208" spans="1:24">
      <c r="A12208" s="27" t="s">
        <v>21968</v>
      </c>
      <c r="B12208" s="28" t="s">
        <v>19918</v>
      </c>
      <c r="C12208" s="27" t="s">
        <v>21969</v>
      </c>
      <c r="D12208" s="27" t="s">
        <v>17558</v>
      </c>
      <c r="E12208" s="29">
        <v>42579</v>
      </c>
      <c r="F12208" s="27">
        <v>5</v>
      </c>
      <c r="G12208" s="18">
        <v>351.22</v>
      </c>
      <c r="H12208" s="27">
        <f t="shared" si="380"/>
        <v>0</v>
      </c>
      <c r="I12208" s="18">
        <v>161.27000000000001</v>
      </c>
      <c r="J12208" s="27">
        <v>351.22</v>
      </c>
      <c r="K12208" s="18">
        <f t="shared" si="381"/>
        <v>0</v>
      </c>
      <c r="L12208" s="27">
        <v>228</v>
      </c>
      <c r="M12208" s="36">
        <v>66.73</v>
      </c>
      <c r="T12208" s="41">
        <v>0</v>
      </c>
      <c r="U12208" s="41">
        <v>0</v>
      </c>
      <c r="V12208" s="42" t="s">
        <v>113</v>
      </c>
      <c r="W12208" s="42">
        <v>0</v>
      </c>
      <c r="X12208" s="42">
        <v>351.22</v>
      </c>
    </row>
    <row r="12209" spans="1:24">
      <c r="A12209" s="27" t="s">
        <v>21970</v>
      </c>
      <c r="B12209" s="28" t="s">
        <v>19918</v>
      </c>
      <c r="C12209" s="27" t="s">
        <v>21971</v>
      </c>
      <c r="D12209" s="27" t="s">
        <v>17558</v>
      </c>
      <c r="E12209" s="29">
        <v>42579</v>
      </c>
      <c r="F12209" s="27">
        <v>5</v>
      </c>
      <c r="G12209" s="18">
        <v>351.22</v>
      </c>
      <c r="H12209" s="27">
        <f t="shared" si="380"/>
        <v>0</v>
      </c>
      <c r="I12209" s="18">
        <v>161.27000000000001</v>
      </c>
      <c r="J12209" s="27">
        <v>351.22</v>
      </c>
      <c r="K12209" s="18">
        <f t="shared" si="381"/>
        <v>0</v>
      </c>
      <c r="L12209" s="27">
        <v>228</v>
      </c>
      <c r="M12209" s="36">
        <v>66.73</v>
      </c>
      <c r="T12209" s="41">
        <v>0</v>
      </c>
      <c r="U12209" s="41">
        <v>0</v>
      </c>
      <c r="V12209" s="42" t="s">
        <v>113</v>
      </c>
      <c r="W12209" s="42">
        <v>0</v>
      </c>
      <c r="X12209" s="42">
        <v>351.22</v>
      </c>
    </row>
    <row r="12210" spans="1:24">
      <c r="A12210" s="27" t="s">
        <v>21972</v>
      </c>
      <c r="B12210" s="28" t="s">
        <v>19918</v>
      </c>
      <c r="C12210" s="27" t="s">
        <v>21973</v>
      </c>
      <c r="D12210" s="27" t="s">
        <v>17558</v>
      </c>
      <c r="E12210" s="29">
        <v>42579</v>
      </c>
      <c r="F12210" s="27">
        <v>5</v>
      </c>
      <c r="G12210" s="18">
        <v>351.22</v>
      </c>
      <c r="H12210" s="27">
        <f t="shared" si="380"/>
        <v>0</v>
      </c>
      <c r="I12210" s="18">
        <v>161.27000000000001</v>
      </c>
      <c r="J12210" s="27">
        <v>351.22</v>
      </c>
      <c r="K12210" s="18">
        <f t="shared" si="381"/>
        <v>0</v>
      </c>
      <c r="L12210" s="27">
        <v>228</v>
      </c>
      <c r="M12210" s="36">
        <v>66.73</v>
      </c>
      <c r="T12210" s="41">
        <v>0</v>
      </c>
      <c r="U12210" s="41">
        <v>0</v>
      </c>
      <c r="V12210" s="42" t="s">
        <v>113</v>
      </c>
      <c r="W12210" s="42">
        <v>0</v>
      </c>
      <c r="X12210" s="42">
        <v>351.22</v>
      </c>
    </row>
    <row r="12211" spans="1:24">
      <c r="A12211" s="27" t="s">
        <v>21974</v>
      </c>
      <c r="B12211" s="28" t="s">
        <v>19918</v>
      </c>
      <c r="C12211" s="27" t="s">
        <v>21975</v>
      </c>
      <c r="D12211" s="27" t="s">
        <v>17558</v>
      </c>
      <c r="E12211" s="29">
        <v>42579</v>
      </c>
      <c r="F12211" s="27">
        <v>5</v>
      </c>
      <c r="G12211" s="18">
        <v>351.22</v>
      </c>
      <c r="H12211" s="27">
        <f t="shared" si="380"/>
        <v>0</v>
      </c>
      <c r="I12211" s="18">
        <v>161.27000000000001</v>
      </c>
      <c r="J12211" s="27">
        <v>351.22</v>
      </c>
      <c r="K12211" s="18">
        <f t="shared" si="381"/>
        <v>0</v>
      </c>
      <c r="L12211" s="27">
        <v>228</v>
      </c>
      <c r="M12211" s="36">
        <v>66.73</v>
      </c>
      <c r="T12211" s="41">
        <v>0</v>
      </c>
      <c r="U12211" s="41">
        <v>0</v>
      </c>
      <c r="V12211" s="42" t="s">
        <v>113</v>
      </c>
      <c r="W12211" s="42">
        <v>0</v>
      </c>
      <c r="X12211" s="42">
        <v>351.22</v>
      </c>
    </row>
    <row r="12212" spans="1:24">
      <c r="A12212" s="27" t="s">
        <v>21976</v>
      </c>
      <c r="B12212" s="28" t="s">
        <v>19918</v>
      </c>
      <c r="C12212" s="27" t="s">
        <v>21977</v>
      </c>
      <c r="D12212" s="27" t="s">
        <v>17558</v>
      </c>
      <c r="E12212" s="29">
        <v>42579</v>
      </c>
      <c r="F12212" s="27">
        <v>5</v>
      </c>
      <c r="G12212" s="18">
        <v>351.22</v>
      </c>
      <c r="H12212" s="27">
        <f t="shared" si="380"/>
        <v>0</v>
      </c>
      <c r="I12212" s="18">
        <v>161.27000000000001</v>
      </c>
      <c r="J12212" s="27">
        <v>351.22</v>
      </c>
      <c r="K12212" s="18">
        <f t="shared" si="381"/>
        <v>0</v>
      </c>
      <c r="L12212" s="27">
        <v>228</v>
      </c>
      <c r="M12212" s="36">
        <v>66.73</v>
      </c>
      <c r="T12212" s="41">
        <v>0</v>
      </c>
      <c r="U12212" s="41">
        <v>0</v>
      </c>
      <c r="V12212" s="42" t="s">
        <v>113</v>
      </c>
      <c r="W12212" s="42">
        <v>0</v>
      </c>
      <c r="X12212" s="42">
        <v>351.22</v>
      </c>
    </row>
    <row r="12213" spans="1:24">
      <c r="A12213" s="27" t="s">
        <v>21978</v>
      </c>
      <c r="B12213" s="28" t="s">
        <v>19918</v>
      </c>
      <c r="C12213" s="27" t="s">
        <v>21979</v>
      </c>
      <c r="D12213" s="27" t="s">
        <v>17558</v>
      </c>
      <c r="E12213" s="29">
        <v>42579</v>
      </c>
      <c r="F12213" s="27">
        <v>5</v>
      </c>
      <c r="G12213" s="18">
        <v>351.22</v>
      </c>
      <c r="H12213" s="27">
        <f t="shared" si="380"/>
        <v>0</v>
      </c>
      <c r="I12213" s="18">
        <v>161.27000000000001</v>
      </c>
      <c r="J12213" s="27">
        <v>351.22</v>
      </c>
      <c r="K12213" s="18">
        <f t="shared" si="381"/>
        <v>0</v>
      </c>
      <c r="L12213" s="27">
        <v>228</v>
      </c>
      <c r="M12213" s="36">
        <v>66.73</v>
      </c>
      <c r="T12213" s="41">
        <v>0</v>
      </c>
      <c r="U12213" s="41">
        <v>0</v>
      </c>
      <c r="V12213" s="42" t="s">
        <v>113</v>
      </c>
      <c r="W12213" s="42">
        <v>0</v>
      </c>
      <c r="X12213" s="42">
        <v>351.22</v>
      </c>
    </row>
    <row r="12214" spans="1:24">
      <c r="A12214" s="27" t="s">
        <v>21980</v>
      </c>
      <c r="B12214" s="28" t="s">
        <v>19918</v>
      </c>
      <c r="C12214" s="27" t="s">
        <v>21981</v>
      </c>
      <c r="D12214" s="27" t="s">
        <v>17558</v>
      </c>
      <c r="E12214" s="29">
        <v>42579</v>
      </c>
      <c r="F12214" s="27">
        <v>5</v>
      </c>
      <c r="G12214" s="18">
        <v>351.22</v>
      </c>
      <c r="H12214" s="27">
        <f t="shared" si="380"/>
        <v>0</v>
      </c>
      <c r="I12214" s="18">
        <v>161.27000000000001</v>
      </c>
      <c r="J12214" s="27">
        <v>351.22</v>
      </c>
      <c r="K12214" s="18">
        <f t="shared" si="381"/>
        <v>0</v>
      </c>
      <c r="L12214" s="27">
        <v>228</v>
      </c>
      <c r="M12214" s="36">
        <v>66.73</v>
      </c>
      <c r="T12214" s="41">
        <v>0</v>
      </c>
      <c r="U12214" s="41">
        <v>0</v>
      </c>
      <c r="V12214" s="42" t="s">
        <v>113</v>
      </c>
      <c r="W12214" s="42">
        <v>0</v>
      </c>
      <c r="X12214" s="42">
        <v>351.22</v>
      </c>
    </row>
    <row r="12215" spans="1:24">
      <c r="A12215" s="27" t="s">
        <v>21982</v>
      </c>
      <c r="B12215" s="28" t="s">
        <v>19918</v>
      </c>
      <c r="C12215" s="27" t="s">
        <v>21983</v>
      </c>
      <c r="D12215" s="27" t="s">
        <v>17558</v>
      </c>
      <c r="E12215" s="29">
        <v>42579</v>
      </c>
      <c r="F12215" s="27">
        <v>5</v>
      </c>
      <c r="G12215" s="18">
        <v>351.22</v>
      </c>
      <c r="H12215" s="27">
        <f t="shared" si="380"/>
        <v>0</v>
      </c>
      <c r="I12215" s="18">
        <v>161.27000000000001</v>
      </c>
      <c r="J12215" s="27">
        <v>351.22</v>
      </c>
      <c r="K12215" s="18">
        <f t="shared" si="381"/>
        <v>0</v>
      </c>
      <c r="L12215" s="27">
        <v>228</v>
      </c>
      <c r="M12215" s="36">
        <v>66.73</v>
      </c>
      <c r="T12215" s="41">
        <v>0</v>
      </c>
      <c r="U12215" s="41">
        <v>0</v>
      </c>
      <c r="V12215" s="42" t="s">
        <v>113</v>
      </c>
      <c r="W12215" s="42">
        <v>0</v>
      </c>
      <c r="X12215" s="42">
        <v>351.22</v>
      </c>
    </row>
    <row r="12216" spans="1:24">
      <c r="A12216" s="27" t="s">
        <v>21984</v>
      </c>
      <c r="B12216" s="28" t="s">
        <v>19918</v>
      </c>
      <c r="C12216" s="27" t="s">
        <v>21985</v>
      </c>
      <c r="D12216" s="27" t="s">
        <v>17558</v>
      </c>
      <c r="E12216" s="29">
        <v>42579</v>
      </c>
      <c r="F12216" s="27">
        <v>5</v>
      </c>
      <c r="G12216" s="18">
        <v>351.22</v>
      </c>
      <c r="H12216" s="27">
        <f t="shared" si="380"/>
        <v>0</v>
      </c>
      <c r="I12216" s="18">
        <v>161.27000000000001</v>
      </c>
      <c r="J12216" s="27">
        <v>351.22</v>
      </c>
      <c r="K12216" s="18">
        <f t="shared" si="381"/>
        <v>0</v>
      </c>
      <c r="L12216" s="27">
        <v>228</v>
      </c>
      <c r="M12216" s="36">
        <v>66.73</v>
      </c>
      <c r="T12216" s="41">
        <v>0</v>
      </c>
      <c r="U12216" s="41">
        <v>0</v>
      </c>
      <c r="V12216" s="42" t="s">
        <v>113</v>
      </c>
      <c r="W12216" s="42">
        <v>0</v>
      </c>
      <c r="X12216" s="42">
        <v>351.22</v>
      </c>
    </row>
    <row r="12217" spans="1:24">
      <c r="A12217" s="27" t="s">
        <v>21986</v>
      </c>
      <c r="B12217" s="28" t="s">
        <v>19918</v>
      </c>
      <c r="C12217" s="27" t="s">
        <v>21987</v>
      </c>
      <c r="D12217" s="27" t="s">
        <v>17558</v>
      </c>
      <c r="E12217" s="29">
        <v>42579</v>
      </c>
      <c r="F12217" s="27">
        <v>5</v>
      </c>
      <c r="G12217" s="18">
        <v>351.22</v>
      </c>
      <c r="H12217" s="27">
        <f t="shared" si="380"/>
        <v>0</v>
      </c>
      <c r="I12217" s="18">
        <v>161.27000000000001</v>
      </c>
      <c r="J12217" s="27">
        <v>351.22</v>
      </c>
      <c r="K12217" s="18">
        <f t="shared" si="381"/>
        <v>0</v>
      </c>
      <c r="L12217" s="27">
        <v>228</v>
      </c>
      <c r="M12217" s="36">
        <v>66.73</v>
      </c>
      <c r="T12217" s="41">
        <v>0</v>
      </c>
      <c r="U12217" s="41">
        <v>0</v>
      </c>
      <c r="V12217" s="42" t="s">
        <v>113</v>
      </c>
      <c r="W12217" s="42">
        <v>0</v>
      </c>
      <c r="X12217" s="42">
        <v>351.22</v>
      </c>
    </row>
    <row r="12218" spans="1:24">
      <c r="A12218" s="27" t="s">
        <v>21988</v>
      </c>
      <c r="B12218" s="28" t="s">
        <v>19918</v>
      </c>
      <c r="C12218" s="27" t="s">
        <v>21989</v>
      </c>
      <c r="D12218" s="27" t="s">
        <v>17558</v>
      </c>
      <c r="E12218" s="29">
        <v>42579</v>
      </c>
      <c r="F12218" s="27">
        <v>5</v>
      </c>
      <c r="G12218" s="18">
        <v>351.22</v>
      </c>
      <c r="H12218" s="27">
        <f t="shared" si="380"/>
        <v>0</v>
      </c>
      <c r="I12218" s="18">
        <v>161.27000000000001</v>
      </c>
      <c r="J12218" s="27">
        <v>351.22</v>
      </c>
      <c r="K12218" s="18">
        <f t="shared" si="381"/>
        <v>0</v>
      </c>
      <c r="L12218" s="27">
        <v>228</v>
      </c>
      <c r="M12218" s="36">
        <v>66.73</v>
      </c>
      <c r="T12218" s="41">
        <v>0</v>
      </c>
      <c r="U12218" s="41">
        <v>0</v>
      </c>
      <c r="V12218" s="42" t="s">
        <v>113</v>
      </c>
      <c r="W12218" s="42">
        <v>0</v>
      </c>
      <c r="X12218" s="42">
        <v>351.22</v>
      </c>
    </row>
    <row r="12219" spans="1:24">
      <c r="A12219" s="27" t="s">
        <v>21990</v>
      </c>
      <c r="B12219" s="28" t="s">
        <v>19918</v>
      </c>
      <c r="C12219" s="27" t="s">
        <v>21991</v>
      </c>
      <c r="D12219" s="27" t="s">
        <v>17558</v>
      </c>
      <c r="E12219" s="29">
        <v>42579</v>
      </c>
      <c r="F12219" s="27">
        <v>5</v>
      </c>
      <c r="G12219" s="18">
        <v>351.22</v>
      </c>
      <c r="H12219" s="27">
        <f t="shared" si="380"/>
        <v>0</v>
      </c>
      <c r="I12219" s="18">
        <v>161.27000000000001</v>
      </c>
      <c r="J12219" s="27">
        <v>351.22</v>
      </c>
      <c r="K12219" s="18">
        <f t="shared" si="381"/>
        <v>0</v>
      </c>
      <c r="L12219" s="27">
        <v>228</v>
      </c>
      <c r="M12219" s="36">
        <v>66.73</v>
      </c>
      <c r="T12219" s="41">
        <v>0</v>
      </c>
      <c r="U12219" s="41">
        <v>0</v>
      </c>
      <c r="V12219" s="42" t="s">
        <v>113</v>
      </c>
      <c r="W12219" s="42">
        <v>0</v>
      </c>
      <c r="X12219" s="42">
        <v>351.22</v>
      </c>
    </row>
    <row r="12220" spans="1:24">
      <c r="A12220" s="27" t="s">
        <v>21992</v>
      </c>
      <c r="B12220" s="28" t="s">
        <v>19918</v>
      </c>
      <c r="C12220" s="27" t="s">
        <v>21993</v>
      </c>
      <c r="D12220" s="27" t="s">
        <v>17558</v>
      </c>
      <c r="E12220" s="29">
        <v>42579</v>
      </c>
      <c r="F12220" s="27">
        <v>5</v>
      </c>
      <c r="G12220" s="18">
        <v>351.22</v>
      </c>
      <c r="H12220" s="27">
        <f t="shared" si="380"/>
        <v>0</v>
      </c>
      <c r="I12220" s="18">
        <v>161.27000000000001</v>
      </c>
      <c r="J12220" s="27">
        <v>351.22</v>
      </c>
      <c r="K12220" s="18">
        <f t="shared" si="381"/>
        <v>0</v>
      </c>
      <c r="L12220" s="27">
        <v>228</v>
      </c>
      <c r="M12220" s="36">
        <v>66.73</v>
      </c>
      <c r="T12220" s="41">
        <v>0</v>
      </c>
      <c r="U12220" s="41">
        <v>0</v>
      </c>
      <c r="V12220" s="42" t="s">
        <v>113</v>
      </c>
      <c r="W12220" s="42">
        <v>0</v>
      </c>
      <c r="X12220" s="42">
        <v>351.22</v>
      </c>
    </row>
    <row r="12221" spans="1:24">
      <c r="A12221" s="27" t="s">
        <v>21994</v>
      </c>
      <c r="B12221" s="28" t="s">
        <v>19918</v>
      </c>
      <c r="C12221" s="27" t="s">
        <v>21995</v>
      </c>
      <c r="D12221" s="27" t="s">
        <v>17558</v>
      </c>
      <c r="E12221" s="29">
        <v>42579</v>
      </c>
      <c r="F12221" s="27">
        <v>5</v>
      </c>
      <c r="G12221" s="18">
        <v>351.22</v>
      </c>
      <c r="H12221" s="27">
        <f t="shared" si="380"/>
        <v>0</v>
      </c>
      <c r="I12221" s="18">
        <v>161.27000000000001</v>
      </c>
      <c r="J12221" s="27">
        <v>351.22</v>
      </c>
      <c r="K12221" s="18">
        <f t="shared" si="381"/>
        <v>0</v>
      </c>
      <c r="L12221" s="27">
        <v>228</v>
      </c>
      <c r="M12221" s="36">
        <v>66.73</v>
      </c>
      <c r="T12221" s="41">
        <v>0</v>
      </c>
      <c r="U12221" s="41">
        <v>0</v>
      </c>
      <c r="V12221" s="42" t="s">
        <v>113</v>
      </c>
      <c r="W12221" s="42">
        <v>0</v>
      </c>
      <c r="X12221" s="42">
        <v>351.22</v>
      </c>
    </row>
    <row r="12222" spans="1:24">
      <c r="A12222" s="27" t="s">
        <v>21996</v>
      </c>
      <c r="B12222" s="28" t="s">
        <v>19918</v>
      </c>
      <c r="C12222" s="27" t="s">
        <v>21997</v>
      </c>
      <c r="D12222" s="27" t="s">
        <v>17558</v>
      </c>
      <c r="E12222" s="29">
        <v>42579</v>
      </c>
      <c r="F12222" s="27">
        <v>5</v>
      </c>
      <c r="G12222" s="18">
        <v>351.22</v>
      </c>
      <c r="H12222" s="27">
        <f t="shared" si="380"/>
        <v>0</v>
      </c>
      <c r="I12222" s="18">
        <v>161.27000000000001</v>
      </c>
      <c r="J12222" s="27">
        <v>351.22</v>
      </c>
      <c r="K12222" s="18">
        <f t="shared" si="381"/>
        <v>0</v>
      </c>
      <c r="L12222" s="27">
        <v>228</v>
      </c>
      <c r="M12222" s="36">
        <v>66.73</v>
      </c>
      <c r="T12222" s="41">
        <v>0</v>
      </c>
      <c r="U12222" s="41">
        <v>0</v>
      </c>
      <c r="V12222" s="42" t="s">
        <v>113</v>
      </c>
      <c r="W12222" s="42">
        <v>0</v>
      </c>
      <c r="X12222" s="42">
        <v>351.22</v>
      </c>
    </row>
    <row r="12223" spans="1:24">
      <c r="A12223" s="27" t="s">
        <v>21998</v>
      </c>
      <c r="B12223" s="28" t="s">
        <v>19918</v>
      </c>
      <c r="C12223" s="27" t="s">
        <v>21999</v>
      </c>
      <c r="D12223" s="27" t="s">
        <v>17558</v>
      </c>
      <c r="E12223" s="29">
        <v>42579</v>
      </c>
      <c r="F12223" s="27">
        <v>5</v>
      </c>
      <c r="G12223" s="18">
        <v>351.22</v>
      </c>
      <c r="H12223" s="27">
        <f t="shared" si="380"/>
        <v>0</v>
      </c>
      <c r="I12223" s="18">
        <v>161.27000000000001</v>
      </c>
      <c r="J12223" s="27">
        <v>351.22</v>
      </c>
      <c r="K12223" s="18">
        <f t="shared" si="381"/>
        <v>0</v>
      </c>
      <c r="L12223" s="27">
        <v>228</v>
      </c>
      <c r="M12223" s="36">
        <v>66.73</v>
      </c>
      <c r="T12223" s="41">
        <v>0</v>
      </c>
      <c r="U12223" s="41">
        <v>0</v>
      </c>
      <c r="V12223" s="42" t="s">
        <v>113</v>
      </c>
      <c r="W12223" s="42">
        <v>0</v>
      </c>
      <c r="X12223" s="42">
        <v>351.22</v>
      </c>
    </row>
    <row r="12224" spans="1:24">
      <c r="A12224" s="27" t="s">
        <v>22000</v>
      </c>
      <c r="B12224" s="28" t="s">
        <v>19918</v>
      </c>
      <c r="C12224" s="27" t="s">
        <v>22001</v>
      </c>
      <c r="D12224" s="27" t="s">
        <v>17558</v>
      </c>
      <c r="E12224" s="29">
        <v>42579</v>
      </c>
      <c r="F12224" s="27">
        <v>5</v>
      </c>
      <c r="G12224" s="18">
        <v>351.22</v>
      </c>
      <c r="H12224" s="27">
        <f t="shared" si="380"/>
        <v>0</v>
      </c>
      <c r="I12224" s="18">
        <v>161.27000000000001</v>
      </c>
      <c r="J12224" s="27">
        <v>351.22</v>
      </c>
      <c r="K12224" s="18">
        <f t="shared" si="381"/>
        <v>0</v>
      </c>
      <c r="L12224" s="27">
        <v>228</v>
      </c>
      <c r="M12224" s="36">
        <v>66.73</v>
      </c>
      <c r="T12224" s="41">
        <v>0</v>
      </c>
      <c r="U12224" s="41">
        <v>0</v>
      </c>
      <c r="V12224" s="42" t="s">
        <v>113</v>
      </c>
      <c r="W12224" s="42">
        <v>0</v>
      </c>
      <c r="X12224" s="42">
        <v>351.22</v>
      </c>
    </row>
    <row r="12225" spans="1:24">
      <c r="A12225" s="27" t="s">
        <v>22002</v>
      </c>
      <c r="B12225" s="28" t="s">
        <v>19918</v>
      </c>
      <c r="C12225" s="27" t="s">
        <v>22003</v>
      </c>
      <c r="D12225" s="27" t="s">
        <v>17558</v>
      </c>
      <c r="E12225" s="29">
        <v>42579</v>
      </c>
      <c r="F12225" s="27">
        <v>5</v>
      </c>
      <c r="G12225" s="18">
        <v>351.22</v>
      </c>
      <c r="H12225" s="27">
        <f t="shared" si="380"/>
        <v>0</v>
      </c>
      <c r="I12225" s="18">
        <v>161.27000000000001</v>
      </c>
      <c r="J12225" s="27">
        <v>351.22</v>
      </c>
      <c r="K12225" s="18">
        <f t="shared" si="381"/>
        <v>0</v>
      </c>
      <c r="L12225" s="27">
        <v>228</v>
      </c>
      <c r="M12225" s="36">
        <v>66.73</v>
      </c>
      <c r="T12225" s="41">
        <v>0</v>
      </c>
      <c r="U12225" s="41">
        <v>0</v>
      </c>
      <c r="V12225" s="42" t="s">
        <v>113</v>
      </c>
      <c r="W12225" s="42">
        <v>0</v>
      </c>
      <c r="X12225" s="42">
        <v>351.22</v>
      </c>
    </row>
    <row r="12226" spans="1:24">
      <c r="A12226" s="27" t="s">
        <v>22004</v>
      </c>
      <c r="B12226" s="28" t="s">
        <v>19918</v>
      </c>
      <c r="C12226" s="27" t="s">
        <v>22005</v>
      </c>
      <c r="D12226" s="27" t="s">
        <v>17558</v>
      </c>
      <c r="E12226" s="29">
        <v>42579</v>
      </c>
      <c r="F12226" s="27">
        <v>5</v>
      </c>
      <c r="G12226" s="18">
        <v>351.22</v>
      </c>
      <c r="H12226" s="27">
        <f t="shared" si="380"/>
        <v>0</v>
      </c>
      <c r="I12226" s="18">
        <v>161.27000000000001</v>
      </c>
      <c r="J12226" s="27">
        <v>351.22</v>
      </c>
      <c r="K12226" s="18">
        <f t="shared" si="381"/>
        <v>0</v>
      </c>
      <c r="L12226" s="27">
        <v>228</v>
      </c>
      <c r="M12226" s="36">
        <v>66.73</v>
      </c>
      <c r="T12226" s="41">
        <v>0</v>
      </c>
      <c r="U12226" s="41">
        <v>0</v>
      </c>
      <c r="V12226" s="42" t="s">
        <v>113</v>
      </c>
      <c r="W12226" s="42">
        <v>0</v>
      </c>
      <c r="X12226" s="42">
        <v>351.22</v>
      </c>
    </row>
    <row r="12227" spans="1:24">
      <c r="A12227" s="27" t="s">
        <v>22006</v>
      </c>
      <c r="B12227" s="28" t="s">
        <v>19918</v>
      </c>
      <c r="C12227" s="27" t="s">
        <v>22007</v>
      </c>
      <c r="D12227" s="27" t="s">
        <v>17558</v>
      </c>
      <c r="E12227" s="29">
        <v>42579</v>
      </c>
      <c r="F12227" s="27">
        <v>5</v>
      </c>
      <c r="G12227" s="18">
        <v>351.22</v>
      </c>
      <c r="H12227" s="27">
        <f t="shared" si="380"/>
        <v>0</v>
      </c>
      <c r="I12227" s="18">
        <v>161.27000000000001</v>
      </c>
      <c r="J12227" s="27">
        <v>351.22</v>
      </c>
      <c r="K12227" s="18">
        <f t="shared" si="381"/>
        <v>0</v>
      </c>
      <c r="L12227" s="27">
        <v>228</v>
      </c>
      <c r="M12227" s="36">
        <v>66.73</v>
      </c>
      <c r="T12227" s="41">
        <v>0</v>
      </c>
      <c r="U12227" s="41">
        <v>0</v>
      </c>
      <c r="V12227" s="42" t="s">
        <v>113</v>
      </c>
      <c r="W12227" s="42">
        <v>0</v>
      </c>
      <c r="X12227" s="42">
        <v>351.22</v>
      </c>
    </row>
    <row r="12228" spans="1:24">
      <c r="A12228" s="27" t="s">
        <v>22008</v>
      </c>
      <c r="B12228" s="28" t="s">
        <v>19918</v>
      </c>
      <c r="C12228" s="27" t="s">
        <v>22009</v>
      </c>
      <c r="D12228" s="27" t="s">
        <v>17558</v>
      </c>
      <c r="E12228" s="29">
        <v>42579</v>
      </c>
      <c r="F12228" s="27">
        <v>5</v>
      </c>
      <c r="G12228" s="18">
        <v>351.22</v>
      </c>
      <c r="H12228" s="27">
        <f t="shared" si="380"/>
        <v>0</v>
      </c>
      <c r="I12228" s="18">
        <v>161.27000000000001</v>
      </c>
      <c r="J12228" s="27">
        <v>351.22</v>
      </c>
      <c r="K12228" s="18">
        <f t="shared" si="381"/>
        <v>0</v>
      </c>
      <c r="L12228" s="27">
        <v>228</v>
      </c>
      <c r="M12228" s="36">
        <v>66.73</v>
      </c>
      <c r="T12228" s="41">
        <v>0</v>
      </c>
      <c r="U12228" s="41">
        <v>0</v>
      </c>
      <c r="V12228" s="42" t="s">
        <v>113</v>
      </c>
      <c r="W12228" s="42">
        <v>0</v>
      </c>
      <c r="X12228" s="42">
        <v>351.22</v>
      </c>
    </row>
    <row r="12229" spans="1:24">
      <c r="A12229" s="27" t="s">
        <v>22010</v>
      </c>
      <c r="B12229" s="28" t="s">
        <v>19918</v>
      </c>
      <c r="C12229" s="27" t="s">
        <v>22011</v>
      </c>
      <c r="D12229" s="27" t="s">
        <v>17558</v>
      </c>
      <c r="E12229" s="29">
        <v>42579</v>
      </c>
      <c r="F12229" s="27">
        <v>5</v>
      </c>
      <c r="G12229" s="18">
        <v>351.22</v>
      </c>
      <c r="H12229" s="27">
        <f t="shared" si="380"/>
        <v>0</v>
      </c>
      <c r="I12229" s="18">
        <v>161.27000000000001</v>
      </c>
      <c r="J12229" s="27">
        <v>351.22</v>
      </c>
      <c r="K12229" s="18">
        <f t="shared" si="381"/>
        <v>0</v>
      </c>
      <c r="L12229" s="27">
        <v>228</v>
      </c>
      <c r="M12229" s="36">
        <v>66.73</v>
      </c>
      <c r="T12229" s="41">
        <v>0</v>
      </c>
      <c r="U12229" s="41">
        <v>0</v>
      </c>
      <c r="V12229" s="42" t="s">
        <v>113</v>
      </c>
      <c r="W12229" s="42">
        <v>0</v>
      </c>
      <c r="X12229" s="42">
        <v>351.22</v>
      </c>
    </row>
    <row r="12230" spans="1:24">
      <c r="A12230" s="27" t="s">
        <v>22012</v>
      </c>
      <c r="B12230" s="28" t="s">
        <v>19918</v>
      </c>
      <c r="C12230" s="27" t="s">
        <v>22013</v>
      </c>
      <c r="D12230" s="27" t="s">
        <v>17558</v>
      </c>
      <c r="E12230" s="29">
        <v>42579</v>
      </c>
      <c r="F12230" s="27">
        <v>5</v>
      </c>
      <c r="G12230" s="18">
        <v>351.22</v>
      </c>
      <c r="H12230" s="27">
        <f t="shared" ref="H12230:H12293" si="382">IFERROR(IF(ROUND((G12230-I12230)/G12230,2)&lt;=0.05,G12230,0),0)</f>
        <v>0</v>
      </c>
      <c r="I12230" s="18">
        <v>161.27000000000001</v>
      </c>
      <c r="J12230" s="27">
        <v>351.22</v>
      </c>
      <c r="K12230" s="18">
        <f t="shared" ref="K12230:K12293" si="383">IFERROR(IF(ROUND((J12230-L12230)/J12230,2)&lt;=0.05,J12230,0),0)</f>
        <v>0</v>
      </c>
      <c r="L12230" s="27">
        <v>228</v>
      </c>
      <c r="M12230" s="36">
        <v>66.73</v>
      </c>
      <c r="T12230" s="41">
        <v>0</v>
      </c>
      <c r="U12230" s="41">
        <v>0</v>
      </c>
      <c r="V12230" s="42" t="s">
        <v>113</v>
      </c>
      <c r="W12230" s="42">
        <v>0</v>
      </c>
      <c r="X12230" s="42">
        <v>351.22</v>
      </c>
    </row>
    <row r="12231" spans="1:24">
      <c r="A12231" s="27" t="s">
        <v>22014</v>
      </c>
      <c r="B12231" s="28" t="s">
        <v>19918</v>
      </c>
      <c r="C12231" s="27" t="s">
        <v>22015</v>
      </c>
      <c r="D12231" s="27" t="s">
        <v>17558</v>
      </c>
      <c r="E12231" s="29">
        <v>42579</v>
      </c>
      <c r="F12231" s="27">
        <v>5</v>
      </c>
      <c r="G12231" s="18">
        <v>351.22</v>
      </c>
      <c r="H12231" s="27">
        <f t="shared" si="382"/>
        <v>0</v>
      </c>
      <c r="I12231" s="18">
        <v>161.27000000000001</v>
      </c>
      <c r="J12231" s="27">
        <v>351.22</v>
      </c>
      <c r="K12231" s="18">
        <f t="shared" si="383"/>
        <v>0</v>
      </c>
      <c r="L12231" s="27">
        <v>228</v>
      </c>
      <c r="M12231" s="36">
        <v>66.73</v>
      </c>
      <c r="T12231" s="41">
        <v>0</v>
      </c>
      <c r="U12231" s="41">
        <v>0</v>
      </c>
      <c r="V12231" s="42" t="s">
        <v>113</v>
      </c>
      <c r="W12231" s="42">
        <v>0</v>
      </c>
      <c r="X12231" s="42">
        <v>351.22</v>
      </c>
    </row>
    <row r="12232" spans="1:24">
      <c r="A12232" s="27" t="s">
        <v>22016</v>
      </c>
      <c r="B12232" s="28" t="s">
        <v>19918</v>
      </c>
      <c r="C12232" s="27" t="s">
        <v>22017</v>
      </c>
      <c r="D12232" s="27" t="s">
        <v>17558</v>
      </c>
      <c r="E12232" s="29">
        <v>42579</v>
      </c>
      <c r="F12232" s="27">
        <v>5</v>
      </c>
      <c r="G12232" s="18">
        <v>351.22</v>
      </c>
      <c r="H12232" s="27">
        <f t="shared" si="382"/>
        <v>0</v>
      </c>
      <c r="I12232" s="18">
        <v>161.27000000000001</v>
      </c>
      <c r="J12232" s="27">
        <v>351.22</v>
      </c>
      <c r="K12232" s="18">
        <f t="shared" si="383"/>
        <v>0</v>
      </c>
      <c r="L12232" s="27">
        <v>228</v>
      </c>
      <c r="M12232" s="36">
        <v>66.73</v>
      </c>
      <c r="T12232" s="41">
        <v>0</v>
      </c>
      <c r="U12232" s="41">
        <v>0</v>
      </c>
      <c r="V12232" s="42" t="s">
        <v>113</v>
      </c>
      <c r="W12232" s="42">
        <v>0</v>
      </c>
      <c r="X12232" s="42">
        <v>351.22</v>
      </c>
    </row>
    <row r="12233" spans="1:24">
      <c r="A12233" s="27" t="s">
        <v>22018</v>
      </c>
      <c r="B12233" s="28" t="s">
        <v>19918</v>
      </c>
      <c r="C12233" s="27" t="s">
        <v>22019</v>
      </c>
      <c r="D12233" s="27" t="s">
        <v>17558</v>
      </c>
      <c r="E12233" s="29">
        <v>42579</v>
      </c>
      <c r="F12233" s="27">
        <v>5</v>
      </c>
      <c r="G12233" s="18">
        <v>351.22</v>
      </c>
      <c r="H12233" s="27">
        <f t="shared" si="382"/>
        <v>0</v>
      </c>
      <c r="I12233" s="18">
        <v>161.27000000000001</v>
      </c>
      <c r="J12233" s="27">
        <v>351.22</v>
      </c>
      <c r="K12233" s="18">
        <f t="shared" si="383"/>
        <v>0</v>
      </c>
      <c r="L12233" s="27">
        <v>228</v>
      </c>
      <c r="M12233" s="36">
        <v>66.73</v>
      </c>
      <c r="T12233" s="41">
        <v>0</v>
      </c>
      <c r="U12233" s="41">
        <v>0</v>
      </c>
      <c r="V12233" s="42" t="s">
        <v>113</v>
      </c>
      <c r="W12233" s="42">
        <v>0</v>
      </c>
      <c r="X12233" s="42">
        <v>351.22</v>
      </c>
    </row>
    <row r="12234" spans="1:24">
      <c r="A12234" s="27" t="s">
        <v>22020</v>
      </c>
      <c r="B12234" s="28" t="s">
        <v>19918</v>
      </c>
      <c r="C12234" s="27" t="s">
        <v>22021</v>
      </c>
      <c r="D12234" s="27" t="s">
        <v>17558</v>
      </c>
      <c r="E12234" s="29">
        <v>42579</v>
      </c>
      <c r="F12234" s="27">
        <v>5</v>
      </c>
      <c r="G12234" s="18">
        <v>351.22</v>
      </c>
      <c r="H12234" s="27">
        <f t="shared" si="382"/>
        <v>0</v>
      </c>
      <c r="I12234" s="18">
        <v>161.27000000000001</v>
      </c>
      <c r="J12234" s="27">
        <v>351.22</v>
      </c>
      <c r="K12234" s="18">
        <f t="shared" si="383"/>
        <v>0</v>
      </c>
      <c r="L12234" s="27">
        <v>228</v>
      </c>
      <c r="M12234" s="36">
        <v>66.73</v>
      </c>
      <c r="T12234" s="41">
        <v>0</v>
      </c>
      <c r="U12234" s="41">
        <v>0</v>
      </c>
      <c r="V12234" s="42" t="s">
        <v>113</v>
      </c>
      <c r="W12234" s="42">
        <v>0</v>
      </c>
      <c r="X12234" s="42">
        <v>351.22</v>
      </c>
    </row>
    <row r="12235" spans="1:24">
      <c r="A12235" s="27" t="s">
        <v>22022</v>
      </c>
      <c r="B12235" s="28" t="s">
        <v>19918</v>
      </c>
      <c r="C12235" s="27" t="s">
        <v>22023</v>
      </c>
      <c r="D12235" s="27" t="s">
        <v>17558</v>
      </c>
      <c r="E12235" s="29">
        <v>42579</v>
      </c>
      <c r="F12235" s="27">
        <v>5</v>
      </c>
      <c r="G12235" s="18">
        <v>351.22</v>
      </c>
      <c r="H12235" s="27">
        <f t="shared" si="382"/>
        <v>0</v>
      </c>
      <c r="I12235" s="18">
        <v>161.27000000000001</v>
      </c>
      <c r="J12235" s="27">
        <v>351.22</v>
      </c>
      <c r="K12235" s="18">
        <f t="shared" si="383"/>
        <v>0</v>
      </c>
      <c r="L12235" s="27">
        <v>228</v>
      </c>
      <c r="M12235" s="36">
        <v>66.73</v>
      </c>
      <c r="T12235" s="41">
        <v>0</v>
      </c>
      <c r="U12235" s="41">
        <v>0</v>
      </c>
      <c r="V12235" s="42" t="s">
        <v>113</v>
      </c>
      <c r="W12235" s="42">
        <v>0</v>
      </c>
      <c r="X12235" s="42">
        <v>351.22</v>
      </c>
    </row>
    <row r="12236" spans="1:24">
      <c r="A12236" s="27" t="s">
        <v>22024</v>
      </c>
      <c r="B12236" s="28" t="s">
        <v>19918</v>
      </c>
      <c r="C12236" s="27" t="s">
        <v>22025</v>
      </c>
      <c r="D12236" s="27" t="s">
        <v>17558</v>
      </c>
      <c r="E12236" s="29">
        <v>42579</v>
      </c>
      <c r="F12236" s="27">
        <v>5</v>
      </c>
      <c r="G12236" s="18">
        <v>351.22</v>
      </c>
      <c r="H12236" s="27">
        <f t="shared" si="382"/>
        <v>0</v>
      </c>
      <c r="I12236" s="18">
        <v>161.27000000000001</v>
      </c>
      <c r="J12236" s="27">
        <v>351.22</v>
      </c>
      <c r="K12236" s="18">
        <f t="shared" si="383"/>
        <v>0</v>
      </c>
      <c r="L12236" s="27">
        <v>228</v>
      </c>
      <c r="M12236" s="36">
        <v>66.73</v>
      </c>
      <c r="T12236" s="41">
        <v>0</v>
      </c>
      <c r="U12236" s="41">
        <v>0</v>
      </c>
      <c r="V12236" s="42" t="s">
        <v>113</v>
      </c>
      <c r="W12236" s="42">
        <v>0</v>
      </c>
      <c r="X12236" s="42">
        <v>351.22</v>
      </c>
    </row>
    <row r="12237" spans="1:24">
      <c r="A12237" s="27" t="s">
        <v>22026</v>
      </c>
      <c r="B12237" s="28" t="s">
        <v>19918</v>
      </c>
      <c r="C12237" s="27" t="s">
        <v>22027</v>
      </c>
      <c r="D12237" s="27" t="s">
        <v>17558</v>
      </c>
      <c r="E12237" s="29">
        <v>42579</v>
      </c>
      <c r="F12237" s="27">
        <v>5</v>
      </c>
      <c r="G12237" s="18">
        <v>1572.04</v>
      </c>
      <c r="H12237" s="27">
        <f t="shared" si="382"/>
        <v>0</v>
      </c>
      <c r="I12237" s="18">
        <v>721.83</v>
      </c>
      <c r="J12237" s="27">
        <v>1572.04</v>
      </c>
      <c r="K12237" s="18">
        <f t="shared" si="383"/>
        <v>0</v>
      </c>
      <c r="L12237" s="27">
        <v>1020.52</v>
      </c>
      <c r="M12237" s="36">
        <v>298.69</v>
      </c>
      <c r="T12237" s="41">
        <v>0</v>
      </c>
      <c r="U12237" s="41">
        <v>0</v>
      </c>
      <c r="V12237" s="42" t="s">
        <v>113</v>
      </c>
      <c r="W12237" s="42">
        <v>0</v>
      </c>
      <c r="X12237" s="42">
        <v>1572.04</v>
      </c>
    </row>
    <row r="12238" spans="1:24">
      <c r="A12238" s="27" t="s">
        <v>22028</v>
      </c>
      <c r="B12238" s="28" t="s">
        <v>19918</v>
      </c>
      <c r="C12238" s="27" t="s">
        <v>22029</v>
      </c>
      <c r="D12238" s="27" t="s">
        <v>17558</v>
      </c>
      <c r="E12238" s="29">
        <v>42579</v>
      </c>
      <c r="F12238" s="27">
        <v>5</v>
      </c>
      <c r="G12238" s="18">
        <v>1572.04</v>
      </c>
      <c r="H12238" s="27">
        <f t="shared" si="382"/>
        <v>0</v>
      </c>
      <c r="I12238" s="18">
        <v>721.83</v>
      </c>
      <c r="J12238" s="27">
        <v>1572.04</v>
      </c>
      <c r="K12238" s="18">
        <f t="shared" si="383"/>
        <v>0</v>
      </c>
      <c r="L12238" s="27">
        <v>1020.52</v>
      </c>
      <c r="M12238" s="36">
        <v>298.69</v>
      </c>
      <c r="T12238" s="41">
        <v>0</v>
      </c>
      <c r="U12238" s="41">
        <v>0</v>
      </c>
      <c r="V12238" s="42" t="s">
        <v>113</v>
      </c>
      <c r="W12238" s="42">
        <v>0</v>
      </c>
      <c r="X12238" s="42">
        <v>1572.04</v>
      </c>
    </row>
    <row r="12239" spans="1:24">
      <c r="A12239" s="27" t="s">
        <v>22030</v>
      </c>
      <c r="B12239" s="28" t="s">
        <v>19918</v>
      </c>
      <c r="C12239" s="27" t="s">
        <v>22031</v>
      </c>
      <c r="D12239" s="27" t="s">
        <v>17558</v>
      </c>
      <c r="E12239" s="29">
        <v>42579</v>
      </c>
      <c r="F12239" s="27">
        <v>5</v>
      </c>
      <c r="G12239" s="18">
        <v>1572.04</v>
      </c>
      <c r="H12239" s="27">
        <f t="shared" si="382"/>
        <v>0</v>
      </c>
      <c r="I12239" s="18">
        <v>721.83</v>
      </c>
      <c r="J12239" s="27">
        <v>1572.04</v>
      </c>
      <c r="K12239" s="18">
        <f t="shared" si="383"/>
        <v>0</v>
      </c>
      <c r="L12239" s="27">
        <v>1020.52</v>
      </c>
      <c r="M12239" s="36">
        <v>298.69</v>
      </c>
      <c r="T12239" s="41">
        <v>0</v>
      </c>
      <c r="U12239" s="41">
        <v>0</v>
      </c>
      <c r="V12239" s="42" t="s">
        <v>113</v>
      </c>
      <c r="W12239" s="42">
        <v>0</v>
      </c>
      <c r="X12239" s="42">
        <v>1572.04</v>
      </c>
    </row>
    <row r="12240" spans="1:24">
      <c r="A12240" s="27" t="s">
        <v>22032</v>
      </c>
      <c r="B12240" s="28" t="s">
        <v>19918</v>
      </c>
      <c r="C12240" s="27" t="s">
        <v>22033</v>
      </c>
      <c r="D12240" s="27" t="s">
        <v>17558</v>
      </c>
      <c r="E12240" s="29">
        <v>42579</v>
      </c>
      <c r="F12240" s="27">
        <v>5</v>
      </c>
      <c r="G12240" s="18">
        <v>1572.04</v>
      </c>
      <c r="H12240" s="27">
        <f t="shared" si="382"/>
        <v>0</v>
      </c>
      <c r="I12240" s="18">
        <v>721.83</v>
      </c>
      <c r="J12240" s="27">
        <v>1572.04</v>
      </c>
      <c r="K12240" s="18">
        <f t="shared" si="383"/>
        <v>0</v>
      </c>
      <c r="L12240" s="27">
        <v>1020.52</v>
      </c>
      <c r="M12240" s="36">
        <v>298.69</v>
      </c>
      <c r="T12240" s="41">
        <v>0</v>
      </c>
      <c r="U12240" s="41">
        <v>0</v>
      </c>
      <c r="V12240" s="42" t="s">
        <v>113</v>
      </c>
      <c r="W12240" s="42">
        <v>0</v>
      </c>
      <c r="X12240" s="42">
        <v>1572.04</v>
      </c>
    </row>
    <row r="12241" spans="1:24">
      <c r="A12241" s="27" t="s">
        <v>22034</v>
      </c>
      <c r="B12241" s="28" t="s">
        <v>19918</v>
      </c>
      <c r="C12241" s="27" t="s">
        <v>22035</v>
      </c>
      <c r="D12241" s="27" t="s">
        <v>17558</v>
      </c>
      <c r="E12241" s="29">
        <v>42579</v>
      </c>
      <c r="F12241" s="27">
        <v>5</v>
      </c>
      <c r="G12241" s="18">
        <v>1572.04</v>
      </c>
      <c r="H12241" s="27">
        <f t="shared" si="382"/>
        <v>0</v>
      </c>
      <c r="I12241" s="18">
        <v>721.83</v>
      </c>
      <c r="J12241" s="27">
        <v>1572.04</v>
      </c>
      <c r="K12241" s="18">
        <f t="shared" si="383"/>
        <v>0</v>
      </c>
      <c r="L12241" s="27">
        <v>1020.52</v>
      </c>
      <c r="M12241" s="36">
        <v>298.69</v>
      </c>
      <c r="T12241" s="41">
        <v>0</v>
      </c>
      <c r="U12241" s="41">
        <v>0</v>
      </c>
      <c r="V12241" s="42" t="s">
        <v>113</v>
      </c>
      <c r="W12241" s="42">
        <v>0</v>
      </c>
      <c r="X12241" s="42">
        <v>1572.04</v>
      </c>
    </row>
    <row r="12242" spans="1:24">
      <c r="A12242" s="27" t="s">
        <v>22036</v>
      </c>
      <c r="B12242" s="28" t="s">
        <v>19918</v>
      </c>
      <c r="C12242" s="27" t="s">
        <v>22037</v>
      </c>
      <c r="D12242" s="27" t="s">
        <v>17558</v>
      </c>
      <c r="E12242" s="29">
        <v>42579</v>
      </c>
      <c r="F12242" s="27">
        <v>5</v>
      </c>
      <c r="G12242" s="18">
        <v>1572.04</v>
      </c>
      <c r="H12242" s="27">
        <f t="shared" si="382"/>
        <v>0</v>
      </c>
      <c r="I12242" s="18">
        <v>721.83</v>
      </c>
      <c r="J12242" s="27">
        <v>1572.04</v>
      </c>
      <c r="K12242" s="18">
        <f t="shared" si="383"/>
        <v>0</v>
      </c>
      <c r="L12242" s="27">
        <v>1020.52</v>
      </c>
      <c r="M12242" s="36">
        <v>298.69</v>
      </c>
      <c r="T12242" s="41">
        <v>0</v>
      </c>
      <c r="U12242" s="41">
        <v>0</v>
      </c>
      <c r="V12242" s="42" t="s">
        <v>113</v>
      </c>
      <c r="W12242" s="42">
        <v>0</v>
      </c>
      <c r="X12242" s="42">
        <v>1572.04</v>
      </c>
    </row>
    <row r="12243" spans="1:24">
      <c r="A12243" s="27" t="s">
        <v>22038</v>
      </c>
      <c r="B12243" s="28" t="s">
        <v>19918</v>
      </c>
      <c r="C12243" s="27" t="s">
        <v>22039</v>
      </c>
      <c r="D12243" s="27" t="s">
        <v>17558</v>
      </c>
      <c r="E12243" s="29">
        <v>42579</v>
      </c>
      <c r="F12243" s="27">
        <v>5</v>
      </c>
      <c r="G12243" s="18">
        <v>1572.04</v>
      </c>
      <c r="H12243" s="27">
        <f t="shared" si="382"/>
        <v>0</v>
      </c>
      <c r="I12243" s="18">
        <v>721.83</v>
      </c>
      <c r="J12243" s="27">
        <v>1572.04</v>
      </c>
      <c r="K12243" s="18">
        <f t="shared" si="383"/>
        <v>0</v>
      </c>
      <c r="L12243" s="27">
        <v>1020.52</v>
      </c>
      <c r="M12243" s="36">
        <v>298.69</v>
      </c>
      <c r="T12243" s="41">
        <v>0</v>
      </c>
      <c r="U12243" s="41">
        <v>0</v>
      </c>
      <c r="V12243" s="42" t="s">
        <v>113</v>
      </c>
      <c r="W12243" s="42">
        <v>0</v>
      </c>
      <c r="X12243" s="42">
        <v>1572.04</v>
      </c>
    </row>
    <row r="12244" spans="1:24">
      <c r="A12244" s="27" t="s">
        <v>22040</v>
      </c>
      <c r="B12244" s="28" t="s">
        <v>19918</v>
      </c>
      <c r="C12244" s="27" t="s">
        <v>22041</v>
      </c>
      <c r="D12244" s="27" t="s">
        <v>17558</v>
      </c>
      <c r="E12244" s="29">
        <v>42579</v>
      </c>
      <c r="F12244" s="27">
        <v>5</v>
      </c>
      <c r="G12244" s="18">
        <v>1572.04</v>
      </c>
      <c r="H12244" s="27">
        <f t="shared" si="382"/>
        <v>0</v>
      </c>
      <c r="I12244" s="18">
        <v>721.83</v>
      </c>
      <c r="J12244" s="27">
        <v>1572.04</v>
      </c>
      <c r="K12244" s="18">
        <f t="shared" si="383"/>
        <v>0</v>
      </c>
      <c r="L12244" s="27">
        <v>1020.52</v>
      </c>
      <c r="M12244" s="36">
        <v>298.69</v>
      </c>
      <c r="T12244" s="41">
        <v>0</v>
      </c>
      <c r="U12244" s="41">
        <v>0</v>
      </c>
      <c r="V12244" s="42" t="s">
        <v>113</v>
      </c>
      <c r="W12244" s="42">
        <v>0</v>
      </c>
      <c r="X12244" s="42">
        <v>1572.04</v>
      </c>
    </row>
    <row r="12245" spans="1:24">
      <c r="A12245" s="27" t="s">
        <v>22042</v>
      </c>
      <c r="B12245" s="28" t="s">
        <v>19918</v>
      </c>
      <c r="C12245" s="27" t="s">
        <v>22043</v>
      </c>
      <c r="D12245" s="27" t="s">
        <v>17558</v>
      </c>
      <c r="E12245" s="29">
        <v>42579</v>
      </c>
      <c r="F12245" s="27">
        <v>5</v>
      </c>
      <c r="G12245" s="18">
        <v>1572.04</v>
      </c>
      <c r="H12245" s="27">
        <f t="shared" si="382"/>
        <v>0</v>
      </c>
      <c r="I12245" s="18">
        <v>721.83</v>
      </c>
      <c r="J12245" s="27">
        <v>1572.04</v>
      </c>
      <c r="K12245" s="18">
        <f t="shared" si="383"/>
        <v>0</v>
      </c>
      <c r="L12245" s="27">
        <v>1020.52</v>
      </c>
      <c r="M12245" s="36">
        <v>298.69</v>
      </c>
      <c r="T12245" s="41">
        <v>0</v>
      </c>
      <c r="U12245" s="41">
        <v>0</v>
      </c>
      <c r="V12245" s="42" t="s">
        <v>113</v>
      </c>
      <c r="W12245" s="42">
        <v>0</v>
      </c>
      <c r="X12245" s="42">
        <v>1572.04</v>
      </c>
    </row>
    <row r="12246" spans="1:24">
      <c r="A12246" s="27" t="s">
        <v>22044</v>
      </c>
      <c r="B12246" s="28" t="s">
        <v>19918</v>
      </c>
      <c r="C12246" s="27" t="s">
        <v>22045</v>
      </c>
      <c r="D12246" s="27" t="s">
        <v>17558</v>
      </c>
      <c r="E12246" s="29">
        <v>42579</v>
      </c>
      <c r="F12246" s="27">
        <v>5</v>
      </c>
      <c r="G12246" s="18">
        <v>1572.04</v>
      </c>
      <c r="H12246" s="27">
        <f t="shared" si="382"/>
        <v>0</v>
      </c>
      <c r="I12246" s="18">
        <v>721.83</v>
      </c>
      <c r="J12246" s="27">
        <v>1572.04</v>
      </c>
      <c r="K12246" s="18">
        <f t="shared" si="383"/>
        <v>0</v>
      </c>
      <c r="L12246" s="27">
        <v>1020.52</v>
      </c>
      <c r="M12246" s="36">
        <v>298.69</v>
      </c>
      <c r="T12246" s="41">
        <v>0</v>
      </c>
      <c r="U12246" s="41">
        <v>0</v>
      </c>
      <c r="V12246" s="42" t="s">
        <v>113</v>
      </c>
      <c r="W12246" s="42">
        <v>0</v>
      </c>
      <c r="X12246" s="42">
        <v>1572.04</v>
      </c>
    </row>
    <row r="12247" spans="1:24">
      <c r="A12247" s="27" t="s">
        <v>22046</v>
      </c>
      <c r="B12247" s="28" t="s">
        <v>19918</v>
      </c>
      <c r="C12247" s="27" t="s">
        <v>22047</v>
      </c>
      <c r="D12247" s="27" t="s">
        <v>17558</v>
      </c>
      <c r="E12247" s="29">
        <v>42579</v>
      </c>
      <c r="F12247" s="27">
        <v>5</v>
      </c>
      <c r="G12247" s="18">
        <v>1572.04</v>
      </c>
      <c r="H12247" s="27">
        <f t="shared" si="382"/>
        <v>0</v>
      </c>
      <c r="I12247" s="18">
        <v>721.83</v>
      </c>
      <c r="J12247" s="27">
        <v>1572.04</v>
      </c>
      <c r="K12247" s="18">
        <f t="shared" si="383"/>
        <v>0</v>
      </c>
      <c r="L12247" s="27">
        <v>1020.52</v>
      </c>
      <c r="M12247" s="36">
        <v>298.69</v>
      </c>
      <c r="T12247" s="41">
        <v>0</v>
      </c>
      <c r="U12247" s="41">
        <v>0</v>
      </c>
      <c r="V12247" s="42" t="s">
        <v>113</v>
      </c>
      <c r="W12247" s="42">
        <v>0</v>
      </c>
      <c r="X12247" s="42">
        <v>1572.04</v>
      </c>
    </row>
    <row r="12248" spans="1:24">
      <c r="A12248" s="27" t="s">
        <v>22048</v>
      </c>
      <c r="B12248" s="28" t="s">
        <v>19918</v>
      </c>
      <c r="C12248" s="27" t="s">
        <v>22049</v>
      </c>
      <c r="D12248" s="27" t="s">
        <v>17558</v>
      </c>
      <c r="E12248" s="29">
        <v>42579</v>
      </c>
      <c r="F12248" s="27">
        <v>5</v>
      </c>
      <c r="G12248" s="18">
        <v>1572.04</v>
      </c>
      <c r="H12248" s="27">
        <f t="shared" si="382"/>
        <v>0</v>
      </c>
      <c r="I12248" s="18">
        <v>721.83</v>
      </c>
      <c r="J12248" s="27">
        <v>1572.04</v>
      </c>
      <c r="K12248" s="18">
        <f t="shared" si="383"/>
        <v>0</v>
      </c>
      <c r="L12248" s="27">
        <v>1020.52</v>
      </c>
      <c r="M12248" s="36">
        <v>298.69</v>
      </c>
      <c r="T12248" s="41">
        <v>0</v>
      </c>
      <c r="U12248" s="41">
        <v>0</v>
      </c>
      <c r="V12248" s="42" t="s">
        <v>113</v>
      </c>
      <c r="W12248" s="42">
        <v>0</v>
      </c>
      <c r="X12248" s="42">
        <v>1572.04</v>
      </c>
    </row>
    <row r="12249" spans="1:24">
      <c r="A12249" s="27" t="s">
        <v>22050</v>
      </c>
      <c r="B12249" s="28" t="s">
        <v>19918</v>
      </c>
      <c r="C12249" s="27" t="s">
        <v>22051</v>
      </c>
      <c r="D12249" s="27" t="s">
        <v>17558</v>
      </c>
      <c r="E12249" s="29">
        <v>42579</v>
      </c>
      <c r="F12249" s="27">
        <v>5</v>
      </c>
      <c r="G12249" s="18">
        <v>1572.04</v>
      </c>
      <c r="H12249" s="27">
        <f t="shared" si="382"/>
        <v>0</v>
      </c>
      <c r="I12249" s="18">
        <v>721.83</v>
      </c>
      <c r="J12249" s="27">
        <v>1572.04</v>
      </c>
      <c r="K12249" s="18">
        <f t="shared" si="383"/>
        <v>0</v>
      </c>
      <c r="L12249" s="27">
        <v>1020.52</v>
      </c>
      <c r="M12249" s="36">
        <v>298.69</v>
      </c>
      <c r="T12249" s="41">
        <v>0</v>
      </c>
      <c r="U12249" s="41">
        <v>0</v>
      </c>
      <c r="V12249" s="42" t="s">
        <v>113</v>
      </c>
      <c r="W12249" s="42">
        <v>0</v>
      </c>
      <c r="X12249" s="42">
        <v>1572.04</v>
      </c>
    </row>
    <row r="12250" spans="1:24">
      <c r="A12250" s="27" t="s">
        <v>22052</v>
      </c>
      <c r="B12250" s="28" t="s">
        <v>19918</v>
      </c>
      <c r="C12250" s="27" t="s">
        <v>22053</v>
      </c>
      <c r="D12250" s="27" t="s">
        <v>17558</v>
      </c>
      <c r="E12250" s="29">
        <v>42579</v>
      </c>
      <c r="F12250" s="27">
        <v>5</v>
      </c>
      <c r="G12250" s="18">
        <v>1572.04</v>
      </c>
      <c r="H12250" s="27">
        <f t="shared" si="382"/>
        <v>0</v>
      </c>
      <c r="I12250" s="18">
        <v>721.83</v>
      </c>
      <c r="J12250" s="27">
        <v>1572.04</v>
      </c>
      <c r="K12250" s="18">
        <f t="shared" si="383"/>
        <v>0</v>
      </c>
      <c r="L12250" s="27">
        <v>1020.52</v>
      </c>
      <c r="M12250" s="36">
        <v>298.69</v>
      </c>
      <c r="T12250" s="41">
        <v>0</v>
      </c>
      <c r="U12250" s="41">
        <v>0</v>
      </c>
      <c r="V12250" s="42" t="s">
        <v>113</v>
      </c>
      <c r="W12250" s="42">
        <v>0</v>
      </c>
      <c r="X12250" s="42">
        <v>1572.04</v>
      </c>
    </row>
    <row r="12251" spans="1:24">
      <c r="A12251" s="27" t="s">
        <v>22054</v>
      </c>
      <c r="B12251" s="28" t="s">
        <v>19918</v>
      </c>
      <c r="C12251" s="27" t="s">
        <v>22055</v>
      </c>
      <c r="D12251" s="27" t="s">
        <v>17558</v>
      </c>
      <c r="E12251" s="29">
        <v>42579</v>
      </c>
      <c r="F12251" s="27">
        <v>5</v>
      </c>
      <c r="G12251" s="18">
        <v>1572.04</v>
      </c>
      <c r="H12251" s="27">
        <f t="shared" si="382"/>
        <v>0</v>
      </c>
      <c r="I12251" s="18">
        <v>721.83</v>
      </c>
      <c r="J12251" s="27">
        <v>1572.04</v>
      </c>
      <c r="K12251" s="18">
        <f t="shared" si="383"/>
        <v>0</v>
      </c>
      <c r="L12251" s="27">
        <v>1020.52</v>
      </c>
      <c r="M12251" s="36">
        <v>298.69</v>
      </c>
      <c r="T12251" s="41">
        <v>0</v>
      </c>
      <c r="U12251" s="41">
        <v>0</v>
      </c>
      <c r="V12251" s="42" t="s">
        <v>113</v>
      </c>
      <c r="W12251" s="42">
        <v>0</v>
      </c>
      <c r="X12251" s="42">
        <v>1572.04</v>
      </c>
    </row>
    <row r="12252" spans="1:24">
      <c r="A12252" s="27" t="s">
        <v>22056</v>
      </c>
      <c r="B12252" s="28" t="s">
        <v>19918</v>
      </c>
      <c r="C12252" s="27" t="s">
        <v>22057</v>
      </c>
      <c r="D12252" s="27" t="s">
        <v>17558</v>
      </c>
      <c r="E12252" s="29">
        <v>42579</v>
      </c>
      <c r="F12252" s="27">
        <v>5</v>
      </c>
      <c r="G12252" s="18">
        <v>1572.04</v>
      </c>
      <c r="H12252" s="27">
        <f t="shared" si="382"/>
        <v>0</v>
      </c>
      <c r="I12252" s="18">
        <v>721.83</v>
      </c>
      <c r="J12252" s="27">
        <v>1572.04</v>
      </c>
      <c r="K12252" s="18">
        <f t="shared" si="383"/>
        <v>0</v>
      </c>
      <c r="L12252" s="27">
        <v>1020.52</v>
      </c>
      <c r="M12252" s="36">
        <v>298.69</v>
      </c>
      <c r="T12252" s="41">
        <v>0</v>
      </c>
      <c r="U12252" s="41">
        <v>0</v>
      </c>
      <c r="V12252" s="42" t="s">
        <v>113</v>
      </c>
      <c r="W12252" s="42">
        <v>0</v>
      </c>
      <c r="X12252" s="42">
        <v>1572.04</v>
      </c>
    </row>
    <row r="12253" spans="1:24">
      <c r="A12253" s="27" t="s">
        <v>22058</v>
      </c>
      <c r="B12253" s="28" t="s">
        <v>19918</v>
      </c>
      <c r="C12253" s="27" t="s">
        <v>22059</v>
      </c>
      <c r="D12253" s="27" t="s">
        <v>17558</v>
      </c>
      <c r="E12253" s="29">
        <v>42579</v>
      </c>
      <c r="F12253" s="27">
        <v>5</v>
      </c>
      <c r="G12253" s="18">
        <v>1572.04</v>
      </c>
      <c r="H12253" s="27">
        <f t="shared" si="382"/>
        <v>0</v>
      </c>
      <c r="I12253" s="18">
        <v>721.83</v>
      </c>
      <c r="J12253" s="27">
        <v>1572.04</v>
      </c>
      <c r="K12253" s="18">
        <f t="shared" si="383"/>
        <v>0</v>
      </c>
      <c r="L12253" s="27">
        <v>1020.52</v>
      </c>
      <c r="M12253" s="36">
        <v>298.69</v>
      </c>
      <c r="T12253" s="41">
        <v>0</v>
      </c>
      <c r="U12253" s="41">
        <v>0</v>
      </c>
      <c r="V12253" s="42" t="s">
        <v>113</v>
      </c>
      <c r="W12253" s="42">
        <v>0</v>
      </c>
      <c r="X12253" s="42">
        <v>1572.04</v>
      </c>
    </row>
    <row r="12254" spans="1:24">
      <c r="A12254" s="27" t="s">
        <v>22060</v>
      </c>
      <c r="B12254" s="28" t="s">
        <v>19918</v>
      </c>
      <c r="C12254" s="27" t="s">
        <v>22061</v>
      </c>
      <c r="D12254" s="27" t="s">
        <v>17558</v>
      </c>
      <c r="E12254" s="29">
        <v>42579</v>
      </c>
      <c r="F12254" s="27">
        <v>5</v>
      </c>
      <c r="G12254" s="18">
        <v>1572.04</v>
      </c>
      <c r="H12254" s="27">
        <f t="shared" si="382"/>
        <v>0</v>
      </c>
      <c r="I12254" s="18">
        <v>721.83</v>
      </c>
      <c r="J12254" s="27">
        <v>1572.04</v>
      </c>
      <c r="K12254" s="18">
        <f t="shared" si="383"/>
        <v>0</v>
      </c>
      <c r="L12254" s="27">
        <v>1020.52</v>
      </c>
      <c r="M12254" s="36">
        <v>298.69</v>
      </c>
      <c r="T12254" s="41">
        <v>0</v>
      </c>
      <c r="U12254" s="41">
        <v>0</v>
      </c>
      <c r="V12254" s="42" t="s">
        <v>113</v>
      </c>
      <c r="W12254" s="42">
        <v>0</v>
      </c>
      <c r="X12254" s="42">
        <v>1572.04</v>
      </c>
    </row>
    <row r="12255" spans="1:24">
      <c r="A12255" s="27" t="s">
        <v>22062</v>
      </c>
      <c r="B12255" s="28" t="s">
        <v>19918</v>
      </c>
      <c r="C12255" s="27" t="s">
        <v>22063</v>
      </c>
      <c r="D12255" s="27" t="s">
        <v>17558</v>
      </c>
      <c r="E12255" s="29">
        <v>42579</v>
      </c>
      <c r="F12255" s="27">
        <v>5</v>
      </c>
      <c r="G12255" s="18">
        <v>1572.04</v>
      </c>
      <c r="H12255" s="27">
        <f t="shared" si="382"/>
        <v>0</v>
      </c>
      <c r="I12255" s="18">
        <v>721.83</v>
      </c>
      <c r="J12255" s="27">
        <v>1572.04</v>
      </c>
      <c r="K12255" s="18">
        <f t="shared" si="383"/>
        <v>0</v>
      </c>
      <c r="L12255" s="27">
        <v>1020.52</v>
      </c>
      <c r="M12255" s="36">
        <v>298.69</v>
      </c>
      <c r="T12255" s="41">
        <v>0</v>
      </c>
      <c r="U12255" s="41">
        <v>0</v>
      </c>
      <c r="V12255" s="42" t="s">
        <v>113</v>
      </c>
      <c r="W12255" s="42">
        <v>0</v>
      </c>
      <c r="X12255" s="42">
        <v>1572.04</v>
      </c>
    </row>
    <row r="12256" spans="1:24">
      <c r="A12256" s="27" t="s">
        <v>22064</v>
      </c>
      <c r="B12256" s="28" t="s">
        <v>19918</v>
      </c>
      <c r="C12256" s="27" t="s">
        <v>22065</v>
      </c>
      <c r="D12256" s="27" t="s">
        <v>17558</v>
      </c>
      <c r="E12256" s="29">
        <v>42579</v>
      </c>
      <c r="F12256" s="27">
        <v>5</v>
      </c>
      <c r="G12256" s="18">
        <v>1572.04</v>
      </c>
      <c r="H12256" s="27">
        <f t="shared" si="382"/>
        <v>0</v>
      </c>
      <c r="I12256" s="18">
        <v>721.83</v>
      </c>
      <c r="J12256" s="27">
        <v>1572.04</v>
      </c>
      <c r="K12256" s="18">
        <f t="shared" si="383"/>
        <v>0</v>
      </c>
      <c r="L12256" s="27">
        <v>1020.52</v>
      </c>
      <c r="M12256" s="36">
        <v>298.69</v>
      </c>
      <c r="T12256" s="41">
        <v>0</v>
      </c>
      <c r="U12256" s="41">
        <v>0</v>
      </c>
      <c r="V12256" s="42" t="s">
        <v>113</v>
      </c>
      <c r="W12256" s="42">
        <v>0</v>
      </c>
      <c r="X12256" s="42">
        <v>1572.04</v>
      </c>
    </row>
    <row r="12257" spans="1:24">
      <c r="A12257" s="27" t="s">
        <v>22066</v>
      </c>
      <c r="B12257" s="28" t="s">
        <v>19918</v>
      </c>
      <c r="C12257" s="27" t="s">
        <v>22067</v>
      </c>
      <c r="D12257" s="27" t="s">
        <v>17558</v>
      </c>
      <c r="E12257" s="29">
        <v>42579</v>
      </c>
      <c r="F12257" s="27">
        <v>5</v>
      </c>
      <c r="G12257" s="18">
        <v>1572.04</v>
      </c>
      <c r="H12257" s="27">
        <f t="shared" si="382"/>
        <v>0</v>
      </c>
      <c r="I12257" s="18">
        <v>721.83</v>
      </c>
      <c r="J12257" s="27">
        <v>1572.04</v>
      </c>
      <c r="K12257" s="18">
        <f t="shared" si="383"/>
        <v>0</v>
      </c>
      <c r="L12257" s="27">
        <v>1020.52</v>
      </c>
      <c r="M12257" s="36">
        <v>298.69</v>
      </c>
      <c r="T12257" s="41">
        <v>0</v>
      </c>
      <c r="U12257" s="41">
        <v>0</v>
      </c>
      <c r="V12257" s="42" t="s">
        <v>113</v>
      </c>
      <c r="W12257" s="42">
        <v>0</v>
      </c>
      <c r="X12257" s="42">
        <v>1572.04</v>
      </c>
    </row>
    <row r="12258" spans="1:24">
      <c r="A12258" s="27" t="s">
        <v>22068</v>
      </c>
      <c r="B12258" s="28" t="s">
        <v>19918</v>
      </c>
      <c r="C12258" s="27" t="s">
        <v>22069</v>
      </c>
      <c r="D12258" s="27" t="s">
        <v>17558</v>
      </c>
      <c r="E12258" s="29">
        <v>42579</v>
      </c>
      <c r="F12258" s="27">
        <v>5</v>
      </c>
      <c r="G12258" s="18">
        <v>1572.04</v>
      </c>
      <c r="H12258" s="27">
        <f t="shared" si="382"/>
        <v>0</v>
      </c>
      <c r="I12258" s="18">
        <v>721.83</v>
      </c>
      <c r="J12258" s="27">
        <v>1572.04</v>
      </c>
      <c r="K12258" s="18">
        <f t="shared" si="383"/>
        <v>0</v>
      </c>
      <c r="L12258" s="27">
        <v>1020.52</v>
      </c>
      <c r="M12258" s="36">
        <v>298.69</v>
      </c>
      <c r="T12258" s="41">
        <v>0</v>
      </c>
      <c r="U12258" s="41">
        <v>0</v>
      </c>
      <c r="V12258" s="42" t="s">
        <v>113</v>
      </c>
      <c r="W12258" s="42">
        <v>0</v>
      </c>
      <c r="X12258" s="42">
        <v>1572.04</v>
      </c>
    </row>
    <row r="12259" spans="1:24">
      <c r="A12259" s="27" t="s">
        <v>22070</v>
      </c>
      <c r="B12259" s="28" t="s">
        <v>19918</v>
      </c>
      <c r="C12259" s="27" t="s">
        <v>22071</v>
      </c>
      <c r="D12259" s="27" t="s">
        <v>17558</v>
      </c>
      <c r="E12259" s="29">
        <v>42579</v>
      </c>
      <c r="F12259" s="27">
        <v>5</v>
      </c>
      <c r="G12259" s="18">
        <v>1572.04</v>
      </c>
      <c r="H12259" s="27">
        <f t="shared" si="382"/>
        <v>0</v>
      </c>
      <c r="I12259" s="18">
        <v>721.83</v>
      </c>
      <c r="J12259" s="27">
        <v>1572.04</v>
      </c>
      <c r="K12259" s="18">
        <f t="shared" si="383"/>
        <v>0</v>
      </c>
      <c r="L12259" s="27">
        <v>1020.52</v>
      </c>
      <c r="M12259" s="36">
        <v>298.69</v>
      </c>
      <c r="T12259" s="41">
        <v>0</v>
      </c>
      <c r="U12259" s="41">
        <v>0</v>
      </c>
      <c r="V12259" s="42" t="s">
        <v>113</v>
      </c>
      <c r="W12259" s="42">
        <v>0</v>
      </c>
      <c r="X12259" s="42">
        <v>1572.04</v>
      </c>
    </row>
    <row r="12260" spans="1:24">
      <c r="A12260" s="27" t="s">
        <v>22072</v>
      </c>
      <c r="B12260" s="28" t="s">
        <v>19918</v>
      </c>
      <c r="C12260" s="27" t="s">
        <v>22073</v>
      </c>
      <c r="D12260" s="27" t="s">
        <v>17558</v>
      </c>
      <c r="E12260" s="29">
        <v>42579</v>
      </c>
      <c r="F12260" s="27">
        <v>5</v>
      </c>
      <c r="G12260" s="18">
        <v>1572.04</v>
      </c>
      <c r="H12260" s="27">
        <f t="shared" si="382"/>
        <v>0</v>
      </c>
      <c r="I12260" s="18">
        <v>721.83</v>
      </c>
      <c r="J12260" s="27">
        <v>1572.04</v>
      </c>
      <c r="K12260" s="18">
        <f t="shared" si="383"/>
        <v>0</v>
      </c>
      <c r="L12260" s="27">
        <v>1020.52</v>
      </c>
      <c r="M12260" s="36">
        <v>298.69</v>
      </c>
      <c r="T12260" s="41">
        <v>0</v>
      </c>
      <c r="U12260" s="41">
        <v>0</v>
      </c>
      <c r="V12260" s="42" t="s">
        <v>113</v>
      </c>
      <c r="W12260" s="42">
        <v>0</v>
      </c>
      <c r="X12260" s="42">
        <v>1572.04</v>
      </c>
    </row>
    <row r="12261" spans="1:24">
      <c r="A12261" s="27" t="s">
        <v>22074</v>
      </c>
      <c r="B12261" s="28" t="s">
        <v>19918</v>
      </c>
      <c r="C12261" s="27" t="s">
        <v>22075</v>
      </c>
      <c r="D12261" s="27" t="s">
        <v>17558</v>
      </c>
      <c r="E12261" s="29">
        <v>42579</v>
      </c>
      <c r="F12261" s="27">
        <v>5</v>
      </c>
      <c r="G12261" s="18">
        <v>1572.04</v>
      </c>
      <c r="H12261" s="27">
        <f t="shared" si="382"/>
        <v>0</v>
      </c>
      <c r="I12261" s="18">
        <v>721.83</v>
      </c>
      <c r="J12261" s="27">
        <v>1572.04</v>
      </c>
      <c r="K12261" s="18">
        <f t="shared" si="383"/>
        <v>0</v>
      </c>
      <c r="L12261" s="27">
        <v>1020.52</v>
      </c>
      <c r="M12261" s="36">
        <v>298.69</v>
      </c>
      <c r="T12261" s="41">
        <v>0</v>
      </c>
      <c r="U12261" s="41">
        <v>0</v>
      </c>
      <c r="V12261" s="42" t="s">
        <v>113</v>
      </c>
      <c r="W12261" s="42">
        <v>0</v>
      </c>
      <c r="X12261" s="42">
        <v>1572.04</v>
      </c>
    </row>
    <row r="12262" spans="1:24">
      <c r="A12262" s="27" t="s">
        <v>22076</v>
      </c>
      <c r="B12262" s="28" t="s">
        <v>19918</v>
      </c>
      <c r="C12262" s="27" t="s">
        <v>22077</v>
      </c>
      <c r="D12262" s="27" t="s">
        <v>17558</v>
      </c>
      <c r="E12262" s="29">
        <v>42579</v>
      </c>
      <c r="F12262" s="27">
        <v>5</v>
      </c>
      <c r="G12262" s="18">
        <v>1572.04</v>
      </c>
      <c r="H12262" s="27">
        <f t="shared" si="382"/>
        <v>0</v>
      </c>
      <c r="I12262" s="18">
        <v>721.83</v>
      </c>
      <c r="J12262" s="27">
        <v>1572.04</v>
      </c>
      <c r="K12262" s="18">
        <f t="shared" si="383"/>
        <v>0</v>
      </c>
      <c r="L12262" s="27">
        <v>1020.52</v>
      </c>
      <c r="M12262" s="36">
        <v>298.69</v>
      </c>
      <c r="T12262" s="41">
        <v>0</v>
      </c>
      <c r="U12262" s="41">
        <v>0</v>
      </c>
      <c r="V12262" s="42" t="s">
        <v>113</v>
      </c>
      <c r="W12262" s="42">
        <v>0</v>
      </c>
      <c r="X12262" s="42">
        <v>1572.04</v>
      </c>
    </row>
    <row r="12263" spans="1:24">
      <c r="A12263" s="27" t="s">
        <v>22078</v>
      </c>
      <c r="B12263" s="28" t="s">
        <v>19918</v>
      </c>
      <c r="C12263" s="27" t="s">
        <v>22079</v>
      </c>
      <c r="D12263" s="27" t="s">
        <v>17558</v>
      </c>
      <c r="E12263" s="29">
        <v>42579</v>
      </c>
      <c r="F12263" s="27">
        <v>5</v>
      </c>
      <c r="G12263" s="18">
        <v>1572.04</v>
      </c>
      <c r="H12263" s="27">
        <f t="shared" si="382"/>
        <v>0</v>
      </c>
      <c r="I12263" s="18">
        <v>721.83</v>
      </c>
      <c r="J12263" s="27">
        <v>1572.04</v>
      </c>
      <c r="K12263" s="18">
        <f t="shared" si="383"/>
        <v>0</v>
      </c>
      <c r="L12263" s="27">
        <v>1020.52</v>
      </c>
      <c r="M12263" s="36">
        <v>298.69</v>
      </c>
      <c r="T12263" s="41">
        <v>0</v>
      </c>
      <c r="U12263" s="41">
        <v>0</v>
      </c>
      <c r="V12263" s="42" t="s">
        <v>113</v>
      </c>
      <c r="W12263" s="42">
        <v>0</v>
      </c>
      <c r="X12263" s="42">
        <v>1572.04</v>
      </c>
    </row>
    <row r="12264" spans="1:24">
      <c r="A12264" s="27" t="s">
        <v>22080</v>
      </c>
      <c r="B12264" s="28" t="s">
        <v>19918</v>
      </c>
      <c r="C12264" s="27" t="s">
        <v>22081</v>
      </c>
      <c r="D12264" s="27" t="s">
        <v>17558</v>
      </c>
      <c r="E12264" s="29">
        <v>42579</v>
      </c>
      <c r="F12264" s="27">
        <v>5</v>
      </c>
      <c r="G12264" s="18">
        <v>1572.04</v>
      </c>
      <c r="H12264" s="27">
        <f t="shared" si="382"/>
        <v>0</v>
      </c>
      <c r="I12264" s="18">
        <v>721.83</v>
      </c>
      <c r="J12264" s="27">
        <v>1572.04</v>
      </c>
      <c r="K12264" s="18">
        <f t="shared" si="383"/>
        <v>0</v>
      </c>
      <c r="L12264" s="27">
        <v>1020.52</v>
      </c>
      <c r="M12264" s="36">
        <v>298.69</v>
      </c>
      <c r="T12264" s="41">
        <v>0</v>
      </c>
      <c r="U12264" s="41">
        <v>0</v>
      </c>
      <c r="V12264" s="42" t="s">
        <v>113</v>
      </c>
      <c r="W12264" s="42">
        <v>0</v>
      </c>
      <c r="X12264" s="42">
        <v>1572.04</v>
      </c>
    </row>
    <row r="12265" spans="1:24">
      <c r="A12265" s="27" t="s">
        <v>22082</v>
      </c>
      <c r="B12265" s="28" t="s">
        <v>19918</v>
      </c>
      <c r="C12265" s="27" t="s">
        <v>22083</v>
      </c>
      <c r="D12265" s="27" t="s">
        <v>17558</v>
      </c>
      <c r="E12265" s="29">
        <v>42579</v>
      </c>
      <c r="F12265" s="27">
        <v>5</v>
      </c>
      <c r="G12265" s="18">
        <v>1572.04</v>
      </c>
      <c r="H12265" s="27">
        <f t="shared" si="382"/>
        <v>0</v>
      </c>
      <c r="I12265" s="18">
        <v>721.83</v>
      </c>
      <c r="J12265" s="27">
        <v>1572.04</v>
      </c>
      <c r="K12265" s="18">
        <f t="shared" si="383"/>
        <v>0</v>
      </c>
      <c r="L12265" s="27">
        <v>1020.52</v>
      </c>
      <c r="M12265" s="36">
        <v>298.69</v>
      </c>
      <c r="T12265" s="41">
        <v>0</v>
      </c>
      <c r="U12265" s="41">
        <v>0</v>
      </c>
      <c r="V12265" s="42" t="s">
        <v>113</v>
      </c>
      <c r="W12265" s="42">
        <v>0</v>
      </c>
      <c r="X12265" s="42">
        <v>1572.04</v>
      </c>
    </row>
    <row r="12266" spans="1:24">
      <c r="A12266" s="27" t="s">
        <v>22084</v>
      </c>
      <c r="B12266" s="28" t="s">
        <v>19918</v>
      </c>
      <c r="C12266" s="27" t="s">
        <v>22085</v>
      </c>
      <c r="D12266" s="27" t="s">
        <v>17558</v>
      </c>
      <c r="E12266" s="29">
        <v>42579</v>
      </c>
      <c r="F12266" s="27">
        <v>5</v>
      </c>
      <c r="G12266" s="18">
        <v>1572.04</v>
      </c>
      <c r="H12266" s="27">
        <f t="shared" si="382"/>
        <v>0</v>
      </c>
      <c r="I12266" s="18">
        <v>721.83</v>
      </c>
      <c r="J12266" s="27">
        <v>1572.04</v>
      </c>
      <c r="K12266" s="18">
        <f t="shared" si="383"/>
        <v>0</v>
      </c>
      <c r="L12266" s="27">
        <v>1020.52</v>
      </c>
      <c r="M12266" s="36">
        <v>298.69</v>
      </c>
      <c r="T12266" s="41">
        <v>0</v>
      </c>
      <c r="U12266" s="41">
        <v>0</v>
      </c>
      <c r="V12266" s="42" t="s">
        <v>113</v>
      </c>
      <c r="W12266" s="42">
        <v>0</v>
      </c>
      <c r="X12266" s="42">
        <v>1572.04</v>
      </c>
    </row>
    <row r="12267" spans="1:24">
      <c r="A12267" s="27" t="s">
        <v>22086</v>
      </c>
      <c r="B12267" s="28" t="s">
        <v>19918</v>
      </c>
      <c r="C12267" s="27" t="s">
        <v>22087</v>
      </c>
      <c r="D12267" s="27" t="s">
        <v>17558</v>
      </c>
      <c r="E12267" s="29">
        <v>42579</v>
      </c>
      <c r="F12267" s="27">
        <v>5</v>
      </c>
      <c r="G12267" s="18">
        <v>1572.04</v>
      </c>
      <c r="H12267" s="27">
        <f t="shared" si="382"/>
        <v>0</v>
      </c>
      <c r="I12267" s="18">
        <v>721.83</v>
      </c>
      <c r="J12267" s="27">
        <v>1572.04</v>
      </c>
      <c r="K12267" s="18">
        <f t="shared" si="383"/>
        <v>0</v>
      </c>
      <c r="L12267" s="27">
        <v>1020.52</v>
      </c>
      <c r="M12267" s="36">
        <v>298.69</v>
      </c>
      <c r="T12267" s="41">
        <v>0</v>
      </c>
      <c r="U12267" s="41">
        <v>0</v>
      </c>
      <c r="V12267" s="42" t="s">
        <v>113</v>
      </c>
      <c r="W12267" s="42">
        <v>0</v>
      </c>
      <c r="X12267" s="42">
        <v>1572.04</v>
      </c>
    </row>
    <row r="12268" spans="1:24">
      <c r="A12268" s="27" t="s">
        <v>22088</v>
      </c>
      <c r="B12268" s="28" t="s">
        <v>19918</v>
      </c>
      <c r="C12268" s="27" t="s">
        <v>22089</v>
      </c>
      <c r="D12268" s="27" t="s">
        <v>17558</v>
      </c>
      <c r="E12268" s="29">
        <v>42579</v>
      </c>
      <c r="F12268" s="27">
        <v>5</v>
      </c>
      <c r="G12268" s="18">
        <v>1572.04</v>
      </c>
      <c r="H12268" s="27">
        <f t="shared" si="382"/>
        <v>0</v>
      </c>
      <c r="I12268" s="18">
        <v>721.83</v>
      </c>
      <c r="J12268" s="27">
        <v>1572.04</v>
      </c>
      <c r="K12268" s="18">
        <f t="shared" si="383"/>
        <v>0</v>
      </c>
      <c r="L12268" s="27">
        <v>1020.52</v>
      </c>
      <c r="M12268" s="36">
        <v>298.69</v>
      </c>
      <c r="T12268" s="41">
        <v>0</v>
      </c>
      <c r="U12268" s="41">
        <v>0</v>
      </c>
      <c r="V12268" s="42" t="s">
        <v>113</v>
      </c>
      <c r="W12268" s="42">
        <v>0</v>
      </c>
      <c r="X12268" s="42">
        <v>1572.04</v>
      </c>
    </row>
    <row r="12269" spans="1:24">
      <c r="A12269" s="27" t="s">
        <v>22090</v>
      </c>
      <c r="B12269" s="28" t="s">
        <v>19918</v>
      </c>
      <c r="C12269" s="27" t="s">
        <v>22091</v>
      </c>
      <c r="D12269" s="27" t="s">
        <v>17558</v>
      </c>
      <c r="E12269" s="29">
        <v>42579</v>
      </c>
      <c r="F12269" s="27">
        <v>5</v>
      </c>
      <c r="G12269" s="18">
        <v>2984.89</v>
      </c>
      <c r="H12269" s="27">
        <f t="shared" si="382"/>
        <v>0</v>
      </c>
      <c r="I12269" s="18">
        <v>1370.56</v>
      </c>
      <c r="J12269" s="27">
        <v>2984.89</v>
      </c>
      <c r="K12269" s="18">
        <f t="shared" si="383"/>
        <v>0</v>
      </c>
      <c r="L12269" s="27">
        <v>1937.69</v>
      </c>
      <c r="M12269" s="36">
        <v>567.13</v>
      </c>
      <c r="T12269" s="41">
        <v>0</v>
      </c>
      <c r="U12269" s="41">
        <v>0</v>
      </c>
      <c r="V12269" s="42" t="s">
        <v>113</v>
      </c>
      <c r="W12269" s="42">
        <v>0</v>
      </c>
      <c r="X12269" s="42">
        <v>2984.89</v>
      </c>
    </row>
    <row r="12270" spans="1:24">
      <c r="A12270" s="27" t="s">
        <v>22092</v>
      </c>
      <c r="B12270" s="28" t="s">
        <v>19918</v>
      </c>
      <c r="C12270" s="27" t="s">
        <v>22093</v>
      </c>
      <c r="D12270" s="27" t="s">
        <v>17558</v>
      </c>
      <c r="E12270" s="29">
        <v>42579</v>
      </c>
      <c r="F12270" s="27">
        <v>5</v>
      </c>
      <c r="G12270" s="18">
        <v>1572.04</v>
      </c>
      <c r="H12270" s="27">
        <f t="shared" si="382"/>
        <v>0</v>
      </c>
      <c r="I12270" s="18">
        <v>721.83</v>
      </c>
      <c r="J12270" s="27">
        <v>1572.04</v>
      </c>
      <c r="K12270" s="18">
        <f t="shared" si="383"/>
        <v>0</v>
      </c>
      <c r="L12270" s="27">
        <v>1020.52</v>
      </c>
      <c r="M12270" s="36">
        <v>298.69</v>
      </c>
      <c r="T12270" s="41">
        <v>0</v>
      </c>
      <c r="U12270" s="41">
        <v>0</v>
      </c>
      <c r="V12270" s="42" t="s">
        <v>113</v>
      </c>
      <c r="W12270" s="42">
        <v>0</v>
      </c>
      <c r="X12270" s="42">
        <v>1572.04</v>
      </c>
    </row>
    <row r="12271" spans="1:24">
      <c r="A12271" s="27" t="s">
        <v>22094</v>
      </c>
      <c r="B12271" s="28" t="s">
        <v>19918</v>
      </c>
      <c r="C12271" s="27" t="s">
        <v>22095</v>
      </c>
      <c r="D12271" s="27" t="s">
        <v>17558</v>
      </c>
      <c r="E12271" s="29">
        <v>42579</v>
      </c>
      <c r="F12271" s="27">
        <v>5</v>
      </c>
      <c r="G12271" s="18">
        <v>1572.04</v>
      </c>
      <c r="H12271" s="27">
        <f t="shared" si="382"/>
        <v>0</v>
      </c>
      <c r="I12271" s="18">
        <v>721.83</v>
      </c>
      <c r="J12271" s="27">
        <v>1572.04</v>
      </c>
      <c r="K12271" s="18">
        <f t="shared" si="383"/>
        <v>0</v>
      </c>
      <c r="L12271" s="27">
        <v>1020.52</v>
      </c>
      <c r="M12271" s="36">
        <v>298.69</v>
      </c>
      <c r="T12271" s="41">
        <v>0</v>
      </c>
      <c r="U12271" s="41">
        <v>0</v>
      </c>
      <c r="V12271" s="42" t="s">
        <v>113</v>
      </c>
      <c r="W12271" s="42">
        <v>0</v>
      </c>
      <c r="X12271" s="42">
        <v>1572.04</v>
      </c>
    </row>
    <row r="12272" spans="1:24">
      <c r="A12272" s="27" t="s">
        <v>22096</v>
      </c>
      <c r="B12272" s="28" t="s">
        <v>19918</v>
      </c>
      <c r="C12272" s="27" t="s">
        <v>22097</v>
      </c>
      <c r="D12272" s="27" t="s">
        <v>17558</v>
      </c>
      <c r="E12272" s="29">
        <v>42579</v>
      </c>
      <c r="F12272" s="27">
        <v>5</v>
      </c>
      <c r="G12272" s="18">
        <v>2984.89</v>
      </c>
      <c r="H12272" s="27">
        <f t="shared" si="382"/>
        <v>0</v>
      </c>
      <c r="I12272" s="18">
        <v>1370.56</v>
      </c>
      <c r="J12272" s="27">
        <v>2984.89</v>
      </c>
      <c r="K12272" s="18">
        <f t="shared" si="383"/>
        <v>0</v>
      </c>
      <c r="L12272" s="27">
        <v>1937.69</v>
      </c>
      <c r="M12272" s="36">
        <v>567.13</v>
      </c>
      <c r="T12272" s="41">
        <v>0</v>
      </c>
      <c r="U12272" s="41">
        <v>0</v>
      </c>
      <c r="V12272" s="42" t="s">
        <v>113</v>
      </c>
      <c r="W12272" s="42">
        <v>0</v>
      </c>
      <c r="X12272" s="42">
        <v>2984.89</v>
      </c>
    </row>
    <row r="12273" spans="1:24">
      <c r="A12273" s="27" t="s">
        <v>22098</v>
      </c>
      <c r="B12273" s="28" t="s">
        <v>19918</v>
      </c>
      <c r="C12273" s="27" t="s">
        <v>22099</v>
      </c>
      <c r="D12273" s="27" t="s">
        <v>17558</v>
      </c>
      <c r="E12273" s="29">
        <v>42579</v>
      </c>
      <c r="F12273" s="27">
        <v>5</v>
      </c>
      <c r="G12273" s="18">
        <v>1572.04</v>
      </c>
      <c r="H12273" s="27">
        <f t="shared" si="382"/>
        <v>0</v>
      </c>
      <c r="I12273" s="18">
        <v>721.83</v>
      </c>
      <c r="J12273" s="27">
        <v>1572.04</v>
      </c>
      <c r="K12273" s="18">
        <f t="shared" si="383"/>
        <v>0</v>
      </c>
      <c r="L12273" s="27">
        <v>1020.52</v>
      </c>
      <c r="M12273" s="36">
        <v>298.69</v>
      </c>
      <c r="T12273" s="41">
        <v>0</v>
      </c>
      <c r="U12273" s="41">
        <v>0</v>
      </c>
      <c r="V12273" s="42" t="s">
        <v>113</v>
      </c>
      <c r="W12273" s="42">
        <v>0</v>
      </c>
      <c r="X12273" s="42">
        <v>1572.04</v>
      </c>
    </row>
    <row r="12274" spans="1:24">
      <c r="A12274" s="27" t="s">
        <v>22100</v>
      </c>
      <c r="B12274" s="28" t="s">
        <v>19918</v>
      </c>
      <c r="C12274" s="27" t="s">
        <v>22101</v>
      </c>
      <c r="D12274" s="27" t="s">
        <v>17558</v>
      </c>
      <c r="E12274" s="29">
        <v>42579</v>
      </c>
      <c r="F12274" s="27">
        <v>5</v>
      </c>
      <c r="G12274" s="18">
        <v>1572.04</v>
      </c>
      <c r="H12274" s="27">
        <f t="shared" si="382"/>
        <v>0</v>
      </c>
      <c r="I12274" s="18">
        <v>721.83</v>
      </c>
      <c r="J12274" s="27">
        <v>1572.04</v>
      </c>
      <c r="K12274" s="18">
        <f t="shared" si="383"/>
        <v>0</v>
      </c>
      <c r="L12274" s="27">
        <v>1020.52</v>
      </c>
      <c r="M12274" s="36">
        <v>298.69</v>
      </c>
      <c r="T12274" s="41">
        <v>0</v>
      </c>
      <c r="U12274" s="41">
        <v>0</v>
      </c>
      <c r="V12274" s="42" t="s">
        <v>113</v>
      </c>
      <c r="W12274" s="42">
        <v>0</v>
      </c>
      <c r="X12274" s="42">
        <v>1572.04</v>
      </c>
    </row>
    <row r="12275" spans="1:24">
      <c r="A12275" s="27" t="s">
        <v>22102</v>
      </c>
      <c r="B12275" s="28" t="s">
        <v>19918</v>
      </c>
      <c r="C12275" s="27" t="s">
        <v>22103</v>
      </c>
      <c r="D12275" s="27" t="s">
        <v>17558</v>
      </c>
      <c r="E12275" s="29">
        <v>42579</v>
      </c>
      <c r="F12275" s="27">
        <v>5</v>
      </c>
      <c r="G12275" s="18">
        <v>1572.04</v>
      </c>
      <c r="H12275" s="27">
        <f t="shared" si="382"/>
        <v>0</v>
      </c>
      <c r="I12275" s="18">
        <v>721.83</v>
      </c>
      <c r="J12275" s="27">
        <v>1572.04</v>
      </c>
      <c r="K12275" s="18">
        <f t="shared" si="383"/>
        <v>0</v>
      </c>
      <c r="L12275" s="27">
        <v>1020.52</v>
      </c>
      <c r="M12275" s="36">
        <v>298.69</v>
      </c>
      <c r="T12275" s="41">
        <v>0</v>
      </c>
      <c r="U12275" s="41">
        <v>0</v>
      </c>
      <c r="V12275" s="42" t="s">
        <v>113</v>
      </c>
      <c r="W12275" s="42">
        <v>0</v>
      </c>
      <c r="X12275" s="42">
        <v>1572.04</v>
      </c>
    </row>
    <row r="12276" spans="1:24">
      <c r="A12276" s="27" t="s">
        <v>22104</v>
      </c>
      <c r="B12276" s="28" t="s">
        <v>19918</v>
      </c>
      <c r="C12276" s="27" t="s">
        <v>22105</v>
      </c>
      <c r="D12276" s="27" t="s">
        <v>17558</v>
      </c>
      <c r="E12276" s="29">
        <v>42579</v>
      </c>
      <c r="F12276" s="27">
        <v>5</v>
      </c>
      <c r="G12276" s="18">
        <v>1572.04</v>
      </c>
      <c r="H12276" s="27">
        <f t="shared" si="382"/>
        <v>0</v>
      </c>
      <c r="I12276" s="18">
        <v>721.83</v>
      </c>
      <c r="J12276" s="27">
        <v>1572.04</v>
      </c>
      <c r="K12276" s="18">
        <f t="shared" si="383"/>
        <v>0</v>
      </c>
      <c r="L12276" s="27">
        <v>1020.52</v>
      </c>
      <c r="M12276" s="36">
        <v>298.69</v>
      </c>
      <c r="T12276" s="41">
        <v>0</v>
      </c>
      <c r="U12276" s="41">
        <v>0</v>
      </c>
      <c r="V12276" s="42" t="s">
        <v>113</v>
      </c>
      <c r="W12276" s="42">
        <v>0</v>
      </c>
      <c r="X12276" s="42">
        <v>1572.04</v>
      </c>
    </row>
    <row r="12277" spans="1:24">
      <c r="A12277" s="27" t="s">
        <v>22106</v>
      </c>
      <c r="B12277" s="28" t="s">
        <v>19918</v>
      </c>
      <c r="C12277" s="27" t="s">
        <v>22107</v>
      </c>
      <c r="D12277" s="27" t="s">
        <v>17558</v>
      </c>
      <c r="E12277" s="29">
        <v>42579</v>
      </c>
      <c r="F12277" s="27">
        <v>5</v>
      </c>
      <c r="G12277" s="18">
        <v>1572.04</v>
      </c>
      <c r="H12277" s="27">
        <f t="shared" si="382"/>
        <v>0</v>
      </c>
      <c r="I12277" s="18">
        <v>721.83</v>
      </c>
      <c r="J12277" s="27">
        <v>1572.04</v>
      </c>
      <c r="K12277" s="18">
        <f t="shared" si="383"/>
        <v>0</v>
      </c>
      <c r="L12277" s="27">
        <v>1020.52</v>
      </c>
      <c r="M12277" s="36">
        <v>298.69</v>
      </c>
      <c r="T12277" s="41">
        <v>0</v>
      </c>
      <c r="U12277" s="41">
        <v>0</v>
      </c>
      <c r="V12277" s="42" t="s">
        <v>113</v>
      </c>
      <c r="W12277" s="42">
        <v>0</v>
      </c>
      <c r="X12277" s="42">
        <v>1572.04</v>
      </c>
    </row>
    <row r="12278" spans="1:24">
      <c r="A12278" s="27" t="s">
        <v>22108</v>
      </c>
      <c r="B12278" s="28" t="s">
        <v>19918</v>
      </c>
      <c r="C12278" s="27" t="s">
        <v>22109</v>
      </c>
      <c r="D12278" s="27" t="s">
        <v>17558</v>
      </c>
      <c r="E12278" s="29">
        <v>42579</v>
      </c>
      <c r="F12278" s="27">
        <v>5</v>
      </c>
      <c r="G12278" s="18">
        <v>1572.04</v>
      </c>
      <c r="H12278" s="27">
        <f t="shared" si="382"/>
        <v>0</v>
      </c>
      <c r="I12278" s="18">
        <v>721.83</v>
      </c>
      <c r="J12278" s="27">
        <v>1572.04</v>
      </c>
      <c r="K12278" s="18">
        <f t="shared" si="383"/>
        <v>0</v>
      </c>
      <c r="L12278" s="27">
        <v>1020.52</v>
      </c>
      <c r="M12278" s="36">
        <v>298.69</v>
      </c>
      <c r="T12278" s="41">
        <v>0</v>
      </c>
      <c r="U12278" s="41">
        <v>0</v>
      </c>
      <c r="V12278" s="42" t="s">
        <v>113</v>
      </c>
      <c r="W12278" s="42">
        <v>0</v>
      </c>
      <c r="X12278" s="42">
        <v>1572.04</v>
      </c>
    </row>
    <row r="12279" spans="1:24">
      <c r="A12279" s="27" t="s">
        <v>22110</v>
      </c>
      <c r="B12279" s="28" t="s">
        <v>19918</v>
      </c>
      <c r="C12279" s="27" t="s">
        <v>22111</v>
      </c>
      <c r="D12279" s="27" t="s">
        <v>17558</v>
      </c>
      <c r="E12279" s="29">
        <v>42579</v>
      </c>
      <c r="F12279" s="27">
        <v>5</v>
      </c>
      <c r="G12279" s="18">
        <v>1572.04</v>
      </c>
      <c r="H12279" s="27">
        <f t="shared" si="382"/>
        <v>0</v>
      </c>
      <c r="I12279" s="18">
        <v>721.83</v>
      </c>
      <c r="J12279" s="27">
        <v>1572.04</v>
      </c>
      <c r="K12279" s="18">
        <f t="shared" si="383"/>
        <v>0</v>
      </c>
      <c r="L12279" s="27">
        <v>1020.52</v>
      </c>
      <c r="M12279" s="36">
        <v>298.69</v>
      </c>
      <c r="T12279" s="41">
        <v>0</v>
      </c>
      <c r="U12279" s="41">
        <v>0</v>
      </c>
      <c r="V12279" s="42" t="s">
        <v>113</v>
      </c>
      <c r="W12279" s="42">
        <v>0</v>
      </c>
      <c r="X12279" s="42">
        <v>1572.04</v>
      </c>
    </row>
    <row r="12280" spans="1:24">
      <c r="A12280" s="27" t="s">
        <v>22112</v>
      </c>
      <c r="B12280" s="28" t="s">
        <v>19918</v>
      </c>
      <c r="C12280" s="27" t="s">
        <v>22113</v>
      </c>
      <c r="D12280" s="27" t="s">
        <v>17558</v>
      </c>
      <c r="E12280" s="29">
        <v>42579</v>
      </c>
      <c r="F12280" s="27">
        <v>5</v>
      </c>
      <c r="G12280" s="18">
        <v>2984.89</v>
      </c>
      <c r="H12280" s="27">
        <f t="shared" si="382"/>
        <v>0</v>
      </c>
      <c r="I12280" s="18">
        <v>1370.56</v>
      </c>
      <c r="J12280" s="27">
        <v>2984.89</v>
      </c>
      <c r="K12280" s="18">
        <f t="shared" si="383"/>
        <v>0</v>
      </c>
      <c r="L12280" s="27">
        <v>1937.69</v>
      </c>
      <c r="M12280" s="36">
        <v>567.13</v>
      </c>
      <c r="T12280" s="41">
        <v>0</v>
      </c>
      <c r="U12280" s="41">
        <v>0</v>
      </c>
      <c r="V12280" s="42" t="s">
        <v>113</v>
      </c>
      <c r="W12280" s="42">
        <v>0</v>
      </c>
      <c r="X12280" s="42">
        <v>2984.89</v>
      </c>
    </row>
    <row r="12281" spans="1:24">
      <c r="A12281" s="27" t="s">
        <v>22114</v>
      </c>
      <c r="B12281" s="28" t="s">
        <v>19918</v>
      </c>
      <c r="C12281" s="27" t="s">
        <v>22115</v>
      </c>
      <c r="D12281" s="27" t="s">
        <v>17558</v>
      </c>
      <c r="E12281" s="29">
        <v>42579</v>
      </c>
      <c r="F12281" s="27">
        <v>5</v>
      </c>
      <c r="G12281" s="18">
        <v>2984.89</v>
      </c>
      <c r="H12281" s="27">
        <f t="shared" si="382"/>
        <v>0</v>
      </c>
      <c r="I12281" s="18">
        <v>1370.56</v>
      </c>
      <c r="J12281" s="27">
        <v>2984.89</v>
      </c>
      <c r="K12281" s="18">
        <f t="shared" si="383"/>
        <v>0</v>
      </c>
      <c r="L12281" s="27">
        <v>1937.69</v>
      </c>
      <c r="M12281" s="36">
        <v>567.13</v>
      </c>
      <c r="T12281" s="41">
        <v>0</v>
      </c>
      <c r="U12281" s="41">
        <v>0</v>
      </c>
      <c r="V12281" s="42" t="s">
        <v>113</v>
      </c>
      <c r="W12281" s="42">
        <v>0</v>
      </c>
      <c r="X12281" s="42">
        <v>2984.89</v>
      </c>
    </row>
    <row r="12282" spans="1:24">
      <c r="A12282" s="27" t="s">
        <v>22116</v>
      </c>
      <c r="B12282" s="28" t="s">
        <v>19918</v>
      </c>
      <c r="C12282" s="27" t="s">
        <v>22117</v>
      </c>
      <c r="D12282" s="27" t="s">
        <v>17558</v>
      </c>
      <c r="E12282" s="29">
        <v>42579</v>
      </c>
      <c r="F12282" s="27">
        <v>5</v>
      </c>
      <c r="G12282" s="18">
        <v>1572.04</v>
      </c>
      <c r="H12282" s="27">
        <f t="shared" si="382"/>
        <v>0</v>
      </c>
      <c r="I12282" s="18">
        <v>721.83</v>
      </c>
      <c r="J12282" s="27">
        <v>1572.04</v>
      </c>
      <c r="K12282" s="18">
        <f t="shared" si="383"/>
        <v>0</v>
      </c>
      <c r="L12282" s="27">
        <v>1020.52</v>
      </c>
      <c r="M12282" s="36">
        <v>298.69</v>
      </c>
      <c r="T12282" s="41">
        <v>0</v>
      </c>
      <c r="U12282" s="41">
        <v>0</v>
      </c>
      <c r="V12282" s="42" t="s">
        <v>113</v>
      </c>
      <c r="W12282" s="42">
        <v>0</v>
      </c>
      <c r="X12282" s="42">
        <v>1572.04</v>
      </c>
    </row>
    <row r="12283" spans="1:24">
      <c r="A12283" s="27" t="s">
        <v>22118</v>
      </c>
      <c r="B12283" s="28" t="s">
        <v>19918</v>
      </c>
      <c r="C12283" s="27" t="s">
        <v>22119</v>
      </c>
      <c r="D12283" s="27" t="s">
        <v>17558</v>
      </c>
      <c r="E12283" s="29">
        <v>42579</v>
      </c>
      <c r="F12283" s="27">
        <v>5</v>
      </c>
      <c r="G12283" s="18">
        <v>2984.89</v>
      </c>
      <c r="H12283" s="27">
        <f t="shared" si="382"/>
        <v>0</v>
      </c>
      <c r="I12283" s="18">
        <v>1370.56</v>
      </c>
      <c r="J12283" s="27">
        <v>2984.89</v>
      </c>
      <c r="K12283" s="18">
        <f t="shared" si="383"/>
        <v>0</v>
      </c>
      <c r="L12283" s="27">
        <v>1937.69</v>
      </c>
      <c r="M12283" s="36">
        <v>567.13</v>
      </c>
      <c r="T12283" s="41">
        <v>0</v>
      </c>
      <c r="U12283" s="41">
        <v>0</v>
      </c>
      <c r="V12283" s="42" t="s">
        <v>113</v>
      </c>
      <c r="W12283" s="42">
        <v>0</v>
      </c>
      <c r="X12283" s="42">
        <v>2984.89</v>
      </c>
    </row>
    <row r="12284" spans="1:24">
      <c r="A12284" s="27" t="s">
        <v>22120</v>
      </c>
      <c r="B12284" s="28" t="s">
        <v>19918</v>
      </c>
      <c r="C12284" s="27" t="s">
        <v>22121</v>
      </c>
      <c r="D12284" s="27" t="s">
        <v>17558</v>
      </c>
      <c r="E12284" s="29">
        <v>42579</v>
      </c>
      <c r="F12284" s="27">
        <v>5</v>
      </c>
      <c r="G12284" s="18">
        <v>2984.89</v>
      </c>
      <c r="H12284" s="27">
        <f t="shared" si="382"/>
        <v>0</v>
      </c>
      <c r="I12284" s="18">
        <v>1370.56</v>
      </c>
      <c r="J12284" s="27">
        <v>2984.89</v>
      </c>
      <c r="K12284" s="18">
        <f t="shared" si="383"/>
        <v>0</v>
      </c>
      <c r="L12284" s="27">
        <v>1937.69</v>
      </c>
      <c r="M12284" s="36">
        <v>567.13</v>
      </c>
      <c r="T12284" s="41">
        <v>0</v>
      </c>
      <c r="U12284" s="41">
        <v>0</v>
      </c>
      <c r="V12284" s="42" t="s">
        <v>113</v>
      </c>
      <c r="W12284" s="42">
        <v>0</v>
      </c>
      <c r="X12284" s="42">
        <v>2984.89</v>
      </c>
    </row>
    <row r="12285" spans="1:24">
      <c r="A12285" s="27" t="s">
        <v>22122</v>
      </c>
      <c r="B12285" s="28" t="s">
        <v>19918</v>
      </c>
      <c r="C12285" s="27" t="s">
        <v>22123</v>
      </c>
      <c r="D12285" s="27" t="s">
        <v>17558</v>
      </c>
      <c r="E12285" s="29">
        <v>42579</v>
      </c>
      <c r="F12285" s="27">
        <v>5</v>
      </c>
      <c r="G12285" s="18">
        <v>1572.04</v>
      </c>
      <c r="H12285" s="27">
        <f t="shared" si="382"/>
        <v>0</v>
      </c>
      <c r="I12285" s="18">
        <v>721.83</v>
      </c>
      <c r="J12285" s="27">
        <v>1572.04</v>
      </c>
      <c r="K12285" s="18">
        <f t="shared" si="383"/>
        <v>0</v>
      </c>
      <c r="L12285" s="27">
        <v>1020.52</v>
      </c>
      <c r="M12285" s="36">
        <v>298.69</v>
      </c>
      <c r="T12285" s="41">
        <v>0</v>
      </c>
      <c r="U12285" s="41">
        <v>0</v>
      </c>
      <c r="V12285" s="42" t="s">
        <v>113</v>
      </c>
      <c r="W12285" s="42">
        <v>0</v>
      </c>
      <c r="X12285" s="42">
        <v>1572.04</v>
      </c>
    </row>
    <row r="12286" spans="1:24">
      <c r="A12286" s="27" t="s">
        <v>22124</v>
      </c>
      <c r="B12286" s="28" t="s">
        <v>19918</v>
      </c>
      <c r="C12286" s="27" t="s">
        <v>22125</v>
      </c>
      <c r="D12286" s="27" t="s">
        <v>17558</v>
      </c>
      <c r="E12286" s="29">
        <v>42579</v>
      </c>
      <c r="F12286" s="27">
        <v>5</v>
      </c>
      <c r="G12286" s="18">
        <v>1572.04</v>
      </c>
      <c r="H12286" s="27">
        <f t="shared" si="382"/>
        <v>0</v>
      </c>
      <c r="I12286" s="18">
        <v>721.83</v>
      </c>
      <c r="J12286" s="27">
        <v>1572.04</v>
      </c>
      <c r="K12286" s="18">
        <f t="shared" si="383"/>
        <v>0</v>
      </c>
      <c r="L12286" s="27">
        <v>1020.52</v>
      </c>
      <c r="M12286" s="36">
        <v>298.69</v>
      </c>
      <c r="T12286" s="41">
        <v>0</v>
      </c>
      <c r="U12286" s="41">
        <v>0</v>
      </c>
      <c r="V12286" s="42" t="s">
        <v>113</v>
      </c>
      <c r="W12286" s="42">
        <v>0</v>
      </c>
      <c r="X12286" s="42">
        <v>1572.04</v>
      </c>
    </row>
    <row r="12287" spans="1:24">
      <c r="A12287" s="27" t="s">
        <v>22126</v>
      </c>
      <c r="B12287" s="28" t="s">
        <v>19918</v>
      </c>
      <c r="C12287" s="27" t="s">
        <v>22127</v>
      </c>
      <c r="D12287" s="27" t="s">
        <v>17558</v>
      </c>
      <c r="E12287" s="29">
        <v>42579</v>
      </c>
      <c r="F12287" s="27">
        <v>5</v>
      </c>
      <c r="G12287" s="18">
        <v>1572.04</v>
      </c>
      <c r="H12287" s="27">
        <f t="shared" si="382"/>
        <v>0</v>
      </c>
      <c r="I12287" s="18">
        <v>721.83</v>
      </c>
      <c r="J12287" s="27">
        <v>1572.04</v>
      </c>
      <c r="K12287" s="18">
        <f t="shared" si="383"/>
        <v>0</v>
      </c>
      <c r="L12287" s="27">
        <v>1020.52</v>
      </c>
      <c r="M12287" s="36">
        <v>298.69</v>
      </c>
      <c r="T12287" s="41">
        <v>0</v>
      </c>
      <c r="U12287" s="41">
        <v>0</v>
      </c>
      <c r="V12287" s="42" t="s">
        <v>113</v>
      </c>
      <c r="W12287" s="42">
        <v>0</v>
      </c>
      <c r="X12287" s="42">
        <v>1572.04</v>
      </c>
    </row>
    <row r="12288" spans="1:24">
      <c r="A12288" s="27" t="s">
        <v>22128</v>
      </c>
      <c r="B12288" s="28" t="s">
        <v>19918</v>
      </c>
      <c r="C12288" s="27" t="s">
        <v>22129</v>
      </c>
      <c r="D12288" s="27" t="s">
        <v>17558</v>
      </c>
      <c r="E12288" s="29">
        <v>42579</v>
      </c>
      <c r="F12288" s="27">
        <v>5</v>
      </c>
      <c r="G12288" s="18">
        <v>2984.89</v>
      </c>
      <c r="H12288" s="27">
        <f t="shared" si="382"/>
        <v>0</v>
      </c>
      <c r="I12288" s="18">
        <v>1370.56</v>
      </c>
      <c r="J12288" s="27">
        <v>2984.89</v>
      </c>
      <c r="K12288" s="18">
        <f t="shared" si="383"/>
        <v>0</v>
      </c>
      <c r="L12288" s="27">
        <v>1937.69</v>
      </c>
      <c r="M12288" s="36">
        <v>567.13</v>
      </c>
      <c r="T12288" s="41">
        <v>0</v>
      </c>
      <c r="U12288" s="41">
        <v>0</v>
      </c>
      <c r="V12288" s="42" t="s">
        <v>113</v>
      </c>
      <c r="W12288" s="42">
        <v>0</v>
      </c>
      <c r="X12288" s="42">
        <v>2984.89</v>
      </c>
    </row>
    <row r="12289" spans="1:24">
      <c r="A12289" s="27" t="s">
        <v>22130</v>
      </c>
      <c r="B12289" s="28" t="s">
        <v>19918</v>
      </c>
      <c r="C12289" s="27" t="s">
        <v>22131</v>
      </c>
      <c r="D12289" s="27" t="s">
        <v>17558</v>
      </c>
      <c r="E12289" s="29">
        <v>42579</v>
      </c>
      <c r="F12289" s="27">
        <v>5</v>
      </c>
      <c r="G12289" s="18">
        <v>2984.89</v>
      </c>
      <c r="H12289" s="27">
        <f t="shared" si="382"/>
        <v>0</v>
      </c>
      <c r="I12289" s="18">
        <v>1370.56</v>
      </c>
      <c r="J12289" s="27">
        <v>2984.89</v>
      </c>
      <c r="K12289" s="18">
        <f t="shared" si="383"/>
        <v>0</v>
      </c>
      <c r="L12289" s="27">
        <v>1937.69</v>
      </c>
      <c r="M12289" s="36">
        <v>567.13</v>
      </c>
      <c r="T12289" s="41">
        <v>0</v>
      </c>
      <c r="U12289" s="41">
        <v>0</v>
      </c>
      <c r="V12289" s="42" t="s">
        <v>113</v>
      </c>
      <c r="W12289" s="42">
        <v>0</v>
      </c>
      <c r="X12289" s="42">
        <v>2984.89</v>
      </c>
    </row>
    <row r="12290" spans="1:24">
      <c r="A12290" s="27" t="s">
        <v>22132</v>
      </c>
      <c r="B12290" s="28" t="s">
        <v>19918</v>
      </c>
      <c r="C12290" s="27" t="s">
        <v>22133</v>
      </c>
      <c r="D12290" s="27" t="s">
        <v>17558</v>
      </c>
      <c r="E12290" s="29">
        <v>42579</v>
      </c>
      <c r="F12290" s="27">
        <v>5</v>
      </c>
      <c r="G12290" s="18">
        <v>1572.04</v>
      </c>
      <c r="H12290" s="27">
        <f t="shared" si="382"/>
        <v>0</v>
      </c>
      <c r="I12290" s="18">
        <v>721.83</v>
      </c>
      <c r="J12290" s="27">
        <v>1572.04</v>
      </c>
      <c r="K12290" s="18">
        <f t="shared" si="383"/>
        <v>0</v>
      </c>
      <c r="L12290" s="27">
        <v>1020.52</v>
      </c>
      <c r="M12290" s="36">
        <v>298.69</v>
      </c>
      <c r="T12290" s="41">
        <v>0</v>
      </c>
      <c r="U12290" s="41">
        <v>0</v>
      </c>
      <c r="V12290" s="42" t="s">
        <v>113</v>
      </c>
      <c r="W12290" s="42">
        <v>0</v>
      </c>
      <c r="X12290" s="42">
        <v>1572.04</v>
      </c>
    </row>
    <row r="12291" spans="1:24">
      <c r="A12291" s="27" t="s">
        <v>22134</v>
      </c>
      <c r="B12291" s="28" t="s">
        <v>19918</v>
      </c>
      <c r="C12291" s="27" t="s">
        <v>22135</v>
      </c>
      <c r="D12291" s="27" t="s">
        <v>17558</v>
      </c>
      <c r="E12291" s="29">
        <v>42579</v>
      </c>
      <c r="F12291" s="27">
        <v>5</v>
      </c>
      <c r="G12291" s="18">
        <v>1572.04</v>
      </c>
      <c r="H12291" s="27">
        <f t="shared" si="382"/>
        <v>0</v>
      </c>
      <c r="I12291" s="18">
        <v>721.83</v>
      </c>
      <c r="J12291" s="27">
        <v>1572.04</v>
      </c>
      <c r="K12291" s="18">
        <f t="shared" si="383"/>
        <v>0</v>
      </c>
      <c r="L12291" s="27">
        <v>1020.52</v>
      </c>
      <c r="M12291" s="36">
        <v>298.69</v>
      </c>
      <c r="T12291" s="41">
        <v>0</v>
      </c>
      <c r="U12291" s="41">
        <v>0</v>
      </c>
      <c r="V12291" s="42" t="s">
        <v>113</v>
      </c>
      <c r="W12291" s="42">
        <v>0</v>
      </c>
      <c r="X12291" s="42">
        <v>1572.04</v>
      </c>
    </row>
    <row r="12292" spans="1:24">
      <c r="A12292" s="27" t="s">
        <v>22136</v>
      </c>
      <c r="B12292" s="28" t="s">
        <v>19918</v>
      </c>
      <c r="C12292" s="27" t="s">
        <v>22137</v>
      </c>
      <c r="D12292" s="27" t="s">
        <v>17558</v>
      </c>
      <c r="E12292" s="29">
        <v>42579</v>
      </c>
      <c r="F12292" s="27">
        <v>5</v>
      </c>
      <c r="G12292" s="18">
        <v>1572.04</v>
      </c>
      <c r="H12292" s="27">
        <f t="shared" si="382"/>
        <v>0</v>
      </c>
      <c r="I12292" s="18">
        <v>721.83</v>
      </c>
      <c r="J12292" s="27">
        <v>1572.04</v>
      </c>
      <c r="K12292" s="18">
        <f t="shared" si="383"/>
        <v>0</v>
      </c>
      <c r="L12292" s="27">
        <v>1020.52</v>
      </c>
      <c r="M12292" s="36">
        <v>298.69</v>
      </c>
      <c r="T12292" s="41">
        <v>0</v>
      </c>
      <c r="U12292" s="41">
        <v>0</v>
      </c>
      <c r="V12292" s="42" t="s">
        <v>113</v>
      </c>
      <c r="W12292" s="42">
        <v>0</v>
      </c>
      <c r="X12292" s="42">
        <v>1572.04</v>
      </c>
    </row>
    <row r="12293" spans="1:24">
      <c r="A12293" s="27" t="s">
        <v>22138</v>
      </c>
      <c r="B12293" s="28" t="s">
        <v>19918</v>
      </c>
      <c r="C12293" s="27" t="s">
        <v>22139</v>
      </c>
      <c r="D12293" s="27" t="s">
        <v>17558</v>
      </c>
      <c r="E12293" s="29">
        <v>42579</v>
      </c>
      <c r="F12293" s="27">
        <v>5</v>
      </c>
      <c r="G12293" s="18">
        <v>2984.89</v>
      </c>
      <c r="H12293" s="27">
        <f t="shared" si="382"/>
        <v>0</v>
      </c>
      <c r="I12293" s="18">
        <v>1370.56</v>
      </c>
      <c r="J12293" s="27">
        <v>2984.89</v>
      </c>
      <c r="K12293" s="18">
        <f t="shared" si="383"/>
        <v>0</v>
      </c>
      <c r="L12293" s="27">
        <v>1937.69</v>
      </c>
      <c r="M12293" s="36">
        <v>567.13</v>
      </c>
      <c r="T12293" s="41">
        <v>0</v>
      </c>
      <c r="U12293" s="41">
        <v>0</v>
      </c>
      <c r="V12293" s="42" t="s">
        <v>113</v>
      </c>
      <c r="W12293" s="42">
        <v>0</v>
      </c>
      <c r="X12293" s="42">
        <v>2984.89</v>
      </c>
    </row>
    <row r="12294" spans="1:24">
      <c r="A12294" s="27" t="s">
        <v>22140</v>
      </c>
      <c r="B12294" s="28" t="s">
        <v>19918</v>
      </c>
      <c r="C12294" s="27" t="s">
        <v>22141</v>
      </c>
      <c r="D12294" s="27" t="s">
        <v>17558</v>
      </c>
      <c r="E12294" s="29">
        <v>42579</v>
      </c>
      <c r="F12294" s="27">
        <v>5</v>
      </c>
      <c r="G12294" s="18">
        <v>1572.04</v>
      </c>
      <c r="H12294" s="27">
        <f t="shared" ref="H12294:H12357" si="384">IFERROR(IF(ROUND((G12294-I12294)/G12294,2)&lt;=0.05,G12294,0),0)</f>
        <v>0</v>
      </c>
      <c r="I12294" s="18">
        <v>721.83</v>
      </c>
      <c r="J12294" s="27">
        <v>1572.04</v>
      </c>
      <c r="K12294" s="18">
        <f t="shared" ref="K12294:K12357" si="385">IFERROR(IF(ROUND((J12294-L12294)/J12294,2)&lt;=0.05,J12294,0),0)</f>
        <v>0</v>
      </c>
      <c r="L12294" s="27">
        <v>1020.52</v>
      </c>
      <c r="M12294" s="36">
        <v>298.69</v>
      </c>
      <c r="T12294" s="41">
        <v>0</v>
      </c>
      <c r="U12294" s="41">
        <v>0</v>
      </c>
      <c r="V12294" s="42" t="s">
        <v>113</v>
      </c>
      <c r="W12294" s="42">
        <v>0</v>
      </c>
      <c r="X12294" s="42">
        <v>1572.04</v>
      </c>
    </row>
    <row r="12295" spans="1:24">
      <c r="A12295" s="27" t="s">
        <v>22142</v>
      </c>
      <c r="B12295" s="28" t="s">
        <v>19918</v>
      </c>
      <c r="C12295" s="27" t="s">
        <v>22143</v>
      </c>
      <c r="D12295" s="27" t="s">
        <v>17558</v>
      </c>
      <c r="E12295" s="29">
        <v>42579</v>
      </c>
      <c r="F12295" s="27">
        <v>5</v>
      </c>
      <c r="G12295" s="18">
        <v>1572.04</v>
      </c>
      <c r="H12295" s="27">
        <f t="shared" si="384"/>
        <v>0</v>
      </c>
      <c r="I12295" s="18">
        <v>721.83</v>
      </c>
      <c r="J12295" s="27">
        <v>1572.04</v>
      </c>
      <c r="K12295" s="18">
        <f t="shared" si="385"/>
        <v>0</v>
      </c>
      <c r="L12295" s="27">
        <v>1020.52</v>
      </c>
      <c r="M12295" s="36">
        <v>298.69</v>
      </c>
      <c r="T12295" s="41">
        <v>0</v>
      </c>
      <c r="U12295" s="41">
        <v>0</v>
      </c>
      <c r="V12295" s="42" t="s">
        <v>113</v>
      </c>
      <c r="W12295" s="42">
        <v>0</v>
      </c>
      <c r="X12295" s="42">
        <v>1572.04</v>
      </c>
    </row>
    <row r="12296" spans="1:24">
      <c r="A12296" s="27" t="s">
        <v>22144</v>
      </c>
      <c r="B12296" s="28" t="s">
        <v>19918</v>
      </c>
      <c r="C12296" s="27" t="s">
        <v>22145</v>
      </c>
      <c r="D12296" s="27" t="s">
        <v>17558</v>
      </c>
      <c r="E12296" s="29">
        <v>42579</v>
      </c>
      <c r="F12296" s="27">
        <v>5</v>
      </c>
      <c r="G12296" s="18">
        <v>2984.89</v>
      </c>
      <c r="H12296" s="27">
        <f t="shared" si="384"/>
        <v>0</v>
      </c>
      <c r="I12296" s="18">
        <v>1370.56</v>
      </c>
      <c r="J12296" s="27">
        <v>2984.89</v>
      </c>
      <c r="K12296" s="18">
        <f t="shared" si="385"/>
        <v>0</v>
      </c>
      <c r="L12296" s="27">
        <v>1937.69</v>
      </c>
      <c r="M12296" s="36">
        <v>567.13</v>
      </c>
      <c r="T12296" s="41">
        <v>0</v>
      </c>
      <c r="U12296" s="41">
        <v>0</v>
      </c>
      <c r="V12296" s="42" t="s">
        <v>113</v>
      </c>
      <c r="W12296" s="42">
        <v>0</v>
      </c>
      <c r="X12296" s="42">
        <v>2984.89</v>
      </c>
    </row>
    <row r="12297" spans="1:24">
      <c r="A12297" s="27" t="s">
        <v>22146</v>
      </c>
      <c r="B12297" s="28" t="s">
        <v>19918</v>
      </c>
      <c r="C12297" s="27" t="s">
        <v>22147</v>
      </c>
      <c r="D12297" s="27" t="s">
        <v>17558</v>
      </c>
      <c r="E12297" s="29">
        <v>42579</v>
      </c>
      <c r="F12297" s="27">
        <v>5</v>
      </c>
      <c r="G12297" s="18">
        <v>2984.89</v>
      </c>
      <c r="H12297" s="27">
        <f t="shared" si="384"/>
        <v>0</v>
      </c>
      <c r="I12297" s="18">
        <v>1370.56</v>
      </c>
      <c r="J12297" s="27">
        <v>2984.89</v>
      </c>
      <c r="K12297" s="18">
        <f t="shared" si="385"/>
        <v>0</v>
      </c>
      <c r="L12297" s="27">
        <v>1937.69</v>
      </c>
      <c r="M12297" s="36">
        <v>567.13</v>
      </c>
      <c r="T12297" s="41">
        <v>0</v>
      </c>
      <c r="U12297" s="41">
        <v>0</v>
      </c>
      <c r="V12297" s="42" t="s">
        <v>113</v>
      </c>
      <c r="W12297" s="42">
        <v>0</v>
      </c>
      <c r="X12297" s="42">
        <v>2984.89</v>
      </c>
    </row>
    <row r="12298" spans="1:24">
      <c r="A12298" s="27" t="s">
        <v>22148</v>
      </c>
      <c r="B12298" s="28" t="s">
        <v>19918</v>
      </c>
      <c r="C12298" s="27" t="s">
        <v>22149</v>
      </c>
      <c r="D12298" s="27" t="s">
        <v>17558</v>
      </c>
      <c r="E12298" s="29">
        <v>42579</v>
      </c>
      <c r="F12298" s="27">
        <v>5</v>
      </c>
      <c r="G12298" s="18">
        <v>2984.89</v>
      </c>
      <c r="H12298" s="27">
        <f t="shared" si="384"/>
        <v>0</v>
      </c>
      <c r="I12298" s="18">
        <v>1370.56</v>
      </c>
      <c r="J12298" s="27">
        <v>2984.89</v>
      </c>
      <c r="K12298" s="18">
        <f t="shared" si="385"/>
        <v>0</v>
      </c>
      <c r="L12298" s="27">
        <v>1937.69</v>
      </c>
      <c r="M12298" s="36">
        <v>567.13</v>
      </c>
      <c r="T12298" s="41">
        <v>0</v>
      </c>
      <c r="U12298" s="41">
        <v>0</v>
      </c>
      <c r="V12298" s="42" t="s">
        <v>113</v>
      </c>
      <c r="W12298" s="42">
        <v>0</v>
      </c>
      <c r="X12298" s="42">
        <v>2984.89</v>
      </c>
    </row>
    <row r="12299" spans="1:24">
      <c r="A12299" s="27" t="s">
        <v>22150</v>
      </c>
      <c r="B12299" s="28" t="s">
        <v>19918</v>
      </c>
      <c r="C12299" s="27" t="s">
        <v>22151</v>
      </c>
      <c r="D12299" s="27" t="s">
        <v>17558</v>
      </c>
      <c r="E12299" s="29">
        <v>42579</v>
      </c>
      <c r="F12299" s="27">
        <v>5</v>
      </c>
      <c r="G12299" s="18">
        <v>2984.89</v>
      </c>
      <c r="H12299" s="27">
        <f t="shared" si="384"/>
        <v>0</v>
      </c>
      <c r="I12299" s="18">
        <v>1370.56</v>
      </c>
      <c r="J12299" s="27">
        <v>2984.89</v>
      </c>
      <c r="K12299" s="18">
        <f t="shared" si="385"/>
        <v>0</v>
      </c>
      <c r="L12299" s="27">
        <v>1937.69</v>
      </c>
      <c r="M12299" s="36">
        <v>567.13</v>
      </c>
      <c r="T12299" s="41">
        <v>0</v>
      </c>
      <c r="U12299" s="41">
        <v>0</v>
      </c>
      <c r="V12299" s="42" t="s">
        <v>113</v>
      </c>
      <c r="W12299" s="42">
        <v>0</v>
      </c>
      <c r="X12299" s="42">
        <v>2984.89</v>
      </c>
    </row>
    <row r="12300" spans="1:24">
      <c r="A12300" s="27" t="s">
        <v>22152</v>
      </c>
      <c r="B12300" s="28" t="s">
        <v>19918</v>
      </c>
      <c r="C12300" s="27" t="s">
        <v>22153</v>
      </c>
      <c r="D12300" s="27" t="s">
        <v>17558</v>
      </c>
      <c r="E12300" s="29">
        <v>42579</v>
      </c>
      <c r="F12300" s="27">
        <v>5</v>
      </c>
      <c r="G12300" s="18">
        <v>2984.89</v>
      </c>
      <c r="H12300" s="27">
        <f t="shared" si="384"/>
        <v>0</v>
      </c>
      <c r="I12300" s="18">
        <v>1370.56</v>
      </c>
      <c r="J12300" s="27">
        <v>2984.89</v>
      </c>
      <c r="K12300" s="18">
        <f t="shared" si="385"/>
        <v>0</v>
      </c>
      <c r="L12300" s="27">
        <v>1937.69</v>
      </c>
      <c r="M12300" s="36">
        <v>567.13</v>
      </c>
      <c r="T12300" s="41">
        <v>0</v>
      </c>
      <c r="U12300" s="41">
        <v>0</v>
      </c>
      <c r="V12300" s="42" t="s">
        <v>113</v>
      </c>
      <c r="W12300" s="42">
        <v>0</v>
      </c>
      <c r="X12300" s="42">
        <v>2984.89</v>
      </c>
    </row>
    <row r="12301" spans="1:24">
      <c r="A12301" s="27" t="s">
        <v>22154</v>
      </c>
      <c r="B12301" s="28" t="s">
        <v>19918</v>
      </c>
      <c r="C12301" s="27" t="s">
        <v>22155</v>
      </c>
      <c r="D12301" s="27" t="s">
        <v>17558</v>
      </c>
      <c r="E12301" s="29">
        <v>42579</v>
      </c>
      <c r="F12301" s="27">
        <v>5</v>
      </c>
      <c r="G12301" s="18">
        <v>2984.89</v>
      </c>
      <c r="H12301" s="27">
        <f t="shared" si="384"/>
        <v>0</v>
      </c>
      <c r="I12301" s="18">
        <v>1370.56</v>
      </c>
      <c r="J12301" s="27">
        <v>2984.89</v>
      </c>
      <c r="K12301" s="18">
        <f t="shared" si="385"/>
        <v>0</v>
      </c>
      <c r="L12301" s="27">
        <v>1937.69</v>
      </c>
      <c r="M12301" s="36">
        <v>567.13</v>
      </c>
      <c r="T12301" s="41">
        <v>0</v>
      </c>
      <c r="U12301" s="41">
        <v>0</v>
      </c>
      <c r="V12301" s="42" t="s">
        <v>113</v>
      </c>
      <c r="W12301" s="42">
        <v>0</v>
      </c>
      <c r="X12301" s="42">
        <v>2984.89</v>
      </c>
    </row>
    <row r="12302" spans="1:24">
      <c r="A12302" s="27" t="s">
        <v>22156</v>
      </c>
      <c r="B12302" s="28" t="s">
        <v>19918</v>
      </c>
      <c r="C12302" s="27" t="s">
        <v>22157</v>
      </c>
      <c r="D12302" s="27" t="s">
        <v>17558</v>
      </c>
      <c r="E12302" s="29">
        <v>42579</v>
      </c>
      <c r="F12302" s="27">
        <v>5</v>
      </c>
      <c r="G12302" s="18">
        <v>2984.89</v>
      </c>
      <c r="H12302" s="27">
        <f t="shared" si="384"/>
        <v>0</v>
      </c>
      <c r="I12302" s="18">
        <v>1370.56</v>
      </c>
      <c r="J12302" s="27">
        <v>2984.89</v>
      </c>
      <c r="K12302" s="18">
        <f t="shared" si="385"/>
        <v>0</v>
      </c>
      <c r="L12302" s="27">
        <v>1937.69</v>
      </c>
      <c r="M12302" s="36">
        <v>567.13</v>
      </c>
      <c r="T12302" s="41">
        <v>0</v>
      </c>
      <c r="U12302" s="41">
        <v>0</v>
      </c>
      <c r="V12302" s="42" t="s">
        <v>113</v>
      </c>
      <c r="W12302" s="42">
        <v>0</v>
      </c>
      <c r="X12302" s="42">
        <v>2984.89</v>
      </c>
    </row>
    <row r="12303" spans="1:24">
      <c r="A12303" s="27" t="s">
        <v>22158</v>
      </c>
      <c r="B12303" s="28" t="s">
        <v>19918</v>
      </c>
      <c r="C12303" s="27" t="s">
        <v>22159</v>
      </c>
      <c r="D12303" s="27" t="s">
        <v>17558</v>
      </c>
      <c r="E12303" s="29">
        <v>42579</v>
      </c>
      <c r="F12303" s="27">
        <v>5</v>
      </c>
      <c r="G12303" s="18">
        <v>2984.89</v>
      </c>
      <c r="H12303" s="27">
        <f t="shared" si="384"/>
        <v>0</v>
      </c>
      <c r="I12303" s="18">
        <v>1370.56</v>
      </c>
      <c r="J12303" s="27">
        <v>2984.89</v>
      </c>
      <c r="K12303" s="18">
        <f t="shared" si="385"/>
        <v>0</v>
      </c>
      <c r="L12303" s="27">
        <v>1937.69</v>
      </c>
      <c r="M12303" s="36">
        <v>567.13</v>
      </c>
      <c r="T12303" s="41">
        <v>0</v>
      </c>
      <c r="U12303" s="41">
        <v>0</v>
      </c>
      <c r="V12303" s="42" t="s">
        <v>113</v>
      </c>
      <c r="W12303" s="42">
        <v>0</v>
      </c>
      <c r="X12303" s="42">
        <v>2984.89</v>
      </c>
    </row>
    <row r="12304" spans="1:24">
      <c r="A12304" s="27" t="s">
        <v>22160</v>
      </c>
      <c r="B12304" s="28" t="s">
        <v>19918</v>
      </c>
      <c r="C12304" s="27" t="s">
        <v>22161</v>
      </c>
      <c r="D12304" s="27" t="s">
        <v>17558</v>
      </c>
      <c r="E12304" s="29">
        <v>42579</v>
      </c>
      <c r="F12304" s="27">
        <v>5</v>
      </c>
      <c r="G12304" s="18">
        <v>2984.89</v>
      </c>
      <c r="H12304" s="27">
        <f t="shared" si="384"/>
        <v>0</v>
      </c>
      <c r="I12304" s="18">
        <v>1370.56</v>
      </c>
      <c r="J12304" s="27">
        <v>2984.89</v>
      </c>
      <c r="K12304" s="18">
        <f t="shared" si="385"/>
        <v>0</v>
      </c>
      <c r="L12304" s="27">
        <v>1937.69</v>
      </c>
      <c r="M12304" s="36">
        <v>567.13</v>
      </c>
      <c r="T12304" s="41">
        <v>0</v>
      </c>
      <c r="U12304" s="41">
        <v>0</v>
      </c>
      <c r="V12304" s="42" t="s">
        <v>113</v>
      </c>
      <c r="W12304" s="42">
        <v>0</v>
      </c>
      <c r="X12304" s="42">
        <v>2984.89</v>
      </c>
    </row>
    <row r="12305" spans="1:24">
      <c r="A12305" s="27" t="s">
        <v>22162</v>
      </c>
      <c r="B12305" s="28" t="s">
        <v>19918</v>
      </c>
      <c r="C12305" s="27" t="s">
        <v>22163</v>
      </c>
      <c r="D12305" s="27" t="s">
        <v>17558</v>
      </c>
      <c r="E12305" s="29">
        <v>42579</v>
      </c>
      <c r="F12305" s="27">
        <v>5</v>
      </c>
      <c r="G12305" s="18">
        <v>2984.89</v>
      </c>
      <c r="H12305" s="27">
        <f t="shared" si="384"/>
        <v>0</v>
      </c>
      <c r="I12305" s="18">
        <v>1370.56</v>
      </c>
      <c r="J12305" s="27">
        <v>2984.89</v>
      </c>
      <c r="K12305" s="18">
        <f t="shared" si="385"/>
        <v>0</v>
      </c>
      <c r="L12305" s="27">
        <v>1937.69</v>
      </c>
      <c r="M12305" s="36">
        <v>567.13</v>
      </c>
      <c r="T12305" s="41">
        <v>0</v>
      </c>
      <c r="U12305" s="41">
        <v>0</v>
      </c>
      <c r="V12305" s="42" t="s">
        <v>113</v>
      </c>
      <c r="W12305" s="42">
        <v>0</v>
      </c>
      <c r="X12305" s="42">
        <v>2984.89</v>
      </c>
    </row>
    <row r="12306" spans="1:24">
      <c r="A12306" s="27" t="s">
        <v>22164</v>
      </c>
      <c r="B12306" s="28" t="s">
        <v>19918</v>
      </c>
      <c r="C12306" s="27" t="s">
        <v>22165</v>
      </c>
      <c r="D12306" s="27" t="s">
        <v>17558</v>
      </c>
      <c r="E12306" s="29">
        <v>42579</v>
      </c>
      <c r="F12306" s="27">
        <v>5</v>
      </c>
      <c r="G12306" s="18">
        <v>2984.89</v>
      </c>
      <c r="H12306" s="27">
        <f t="shared" si="384"/>
        <v>0</v>
      </c>
      <c r="I12306" s="18">
        <v>1370.56</v>
      </c>
      <c r="J12306" s="27">
        <v>2984.89</v>
      </c>
      <c r="K12306" s="18">
        <f t="shared" si="385"/>
        <v>0</v>
      </c>
      <c r="L12306" s="27">
        <v>1937.69</v>
      </c>
      <c r="M12306" s="36">
        <v>567.13</v>
      </c>
      <c r="T12306" s="41">
        <v>0</v>
      </c>
      <c r="U12306" s="41">
        <v>0</v>
      </c>
      <c r="V12306" s="42" t="s">
        <v>113</v>
      </c>
      <c r="W12306" s="42">
        <v>0</v>
      </c>
      <c r="X12306" s="42">
        <v>2984.89</v>
      </c>
    </row>
    <row r="12307" spans="1:24">
      <c r="A12307" s="27" t="s">
        <v>22166</v>
      </c>
      <c r="B12307" s="28" t="s">
        <v>19918</v>
      </c>
      <c r="C12307" s="27" t="s">
        <v>22167</v>
      </c>
      <c r="D12307" s="27" t="s">
        <v>17558</v>
      </c>
      <c r="E12307" s="29">
        <v>42579</v>
      </c>
      <c r="F12307" s="27">
        <v>5</v>
      </c>
      <c r="G12307" s="18">
        <v>2984.89</v>
      </c>
      <c r="H12307" s="27">
        <f t="shared" si="384"/>
        <v>0</v>
      </c>
      <c r="I12307" s="18">
        <v>1370.56</v>
      </c>
      <c r="J12307" s="27">
        <v>2984.89</v>
      </c>
      <c r="K12307" s="18">
        <f t="shared" si="385"/>
        <v>0</v>
      </c>
      <c r="L12307" s="27">
        <v>1937.69</v>
      </c>
      <c r="M12307" s="36">
        <v>567.13</v>
      </c>
      <c r="T12307" s="41">
        <v>0</v>
      </c>
      <c r="U12307" s="41">
        <v>0</v>
      </c>
      <c r="V12307" s="42" t="s">
        <v>113</v>
      </c>
      <c r="W12307" s="42">
        <v>0</v>
      </c>
      <c r="X12307" s="42">
        <v>2984.89</v>
      </c>
    </row>
    <row r="12308" spans="1:24">
      <c r="A12308" s="27" t="s">
        <v>22168</v>
      </c>
      <c r="B12308" s="28" t="s">
        <v>19918</v>
      </c>
      <c r="C12308" s="27" t="s">
        <v>22169</v>
      </c>
      <c r="D12308" s="27" t="s">
        <v>17558</v>
      </c>
      <c r="E12308" s="29">
        <v>42579</v>
      </c>
      <c r="F12308" s="27">
        <v>5</v>
      </c>
      <c r="G12308" s="18">
        <v>2984.89</v>
      </c>
      <c r="H12308" s="27">
        <f t="shared" si="384"/>
        <v>0</v>
      </c>
      <c r="I12308" s="18">
        <v>1370.56</v>
      </c>
      <c r="J12308" s="27">
        <v>2984.89</v>
      </c>
      <c r="K12308" s="18">
        <f t="shared" si="385"/>
        <v>0</v>
      </c>
      <c r="L12308" s="27">
        <v>1937.69</v>
      </c>
      <c r="M12308" s="36">
        <v>567.13</v>
      </c>
      <c r="T12308" s="41">
        <v>0</v>
      </c>
      <c r="U12308" s="41">
        <v>0</v>
      </c>
      <c r="V12308" s="42" t="s">
        <v>113</v>
      </c>
      <c r="W12308" s="42">
        <v>0</v>
      </c>
      <c r="X12308" s="42">
        <v>2984.89</v>
      </c>
    </row>
    <row r="12309" spans="1:24">
      <c r="A12309" s="27" t="s">
        <v>22170</v>
      </c>
      <c r="B12309" s="28" t="s">
        <v>19918</v>
      </c>
      <c r="C12309" s="27" t="s">
        <v>22171</v>
      </c>
      <c r="D12309" s="27" t="s">
        <v>17558</v>
      </c>
      <c r="E12309" s="29">
        <v>42579</v>
      </c>
      <c r="F12309" s="27">
        <v>5</v>
      </c>
      <c r="G12309" s="18">
        <v>2984.89</v>
      </c>
      <c r="H12309" s="27">
        <f t="shared" si="384"/>
        <v>0</v>
      </c>
      <c r="I12309" s="18">
        <v>1370.56</v>
      </c>
      <c r="J12309" s="27">
        <v>2984.89</v>
      </c>
      <c r="K12309" s="18">
        <f t="shared" si="385"/>
        <v>0</v>
      </c>
      <c r="L12309" s="27">
        <v>1937.69</v>
      </c>
      <c r="M12309" s="36">
        <v>567.13</v>
      </c>
      <c r="T12309" s="41">
        <v>0</v>
      </c>
      <c r="U12309" s="41">
        <v>0</v>
      </c>
      <c r="V12309" s="42" t="s">
        <v>113</v>
      </c>
      <c r="W12309" s="42">
        <v>0</v>
      </c>
      <c r="X12309" s="42">
        <v>2984.89</v>
      </c>
    </row>
    <row r="12310" spans="1:24">
      <c r="A12310" s="27" t="s">
        <v>22172</v>
      </c>
      <c r="B12310" s="28" t="s">
        <v>19918</v>
      </c>
      <c r="C12310" s="27" t="s">
        <v>22173</v>
      </c>
      <c r="D12310" s="27" t="s">
        <v>17558</v>
      </c>
      <c r="E12310" s="29">
        <v>42579</v>
      </c>
      <c r="F12310" s="27">
        <v>5</v>
      </c>
      <c r="G12310" s="18">
        <v>2984.89</v>
      </c>
      <c r="H12310" s="27">
        <f t="shared" si="384"/>
        <v>0</v>
      </c>
      <c r="I12310" s="18">
        <v>1370.56</v>
      </c>
      <c r="J12310" s="27">
        <v>2984.89</v>
      </c>
      <c r="K12310" s="18">
        <f t="shared" si="385"/>
        <v>0</v>
      </c>
      <c r="L12310" s="27">
        <v>1937.69</v>
      </c>
      <c r="M12310" s="36">
        <v>567.13</v>
      </c>
      <c r="T12310" s="41">
        <v>0</v>
      </c>
      <c r="U12310" s="41">
        <v>0</v>
      </c>
      <c r="V12310" s="42" t="s">
        <v>113</v>
      </c>
      <c r="W12310" s="42">
        <v>0</v>
      </c>
      <c r="X12310" s="42">
        <v>2984.89</v>
      </c>
    </row>
    <row r="12311" spans="1:24">
      <c r="A12311" s="27" t="s">
        <v>22174</v>
      </c>
      <c r="B12311" s="28" t="s">
        <v>19918</v>
      </c>
      <c r="C12311" s="27" t="s">
        <v>22175</v>
      </c>
      <c r="D12311" s="27" t="s">
        <v>17558</v>
      </c>
      <c r="E12311" s="29">
        <v>42579</v>
      </c>
      <c r="F12311" s="27">
        <v>5</v>
      </c>
      <c r="G12311" s="18">
        <v>2984.89</v>
      </c>
      <c r="H12311" s="27">
        <f t="shared" si="384"/>
        <v>0</v>
      </c>
      <c r="I12311" s="18">
        <v>1370.56</v>
      </c>
      <c r="J12311" s="27">
        <v>2984.89</v>
      </c>
      <c r="K12311" s="18">
        <f t="shared" si="385"/>
        <v>0</v>
      </c>
      <c r="L12311" s="27">
        <v>1937.69</v>
      </c>
      <c r="M12311" s="36">
        <v>567.13</v>
      </c>
      <c r="T12311" s="41">
        <v>0</v>
      </c>
      <c r="U12311" s="41">
        <v>0</v>
      </c>
      <c r="V12311" s="42" t="s">
        <v>113</v>
      </c>
      <c r="W12311" s="42">
        <v>0</v>
      </c>
      <c r="X12311" s="42">
        <v>2984.89</v>
      </c>
    </row>
    <row r="12312" spans="1:24">
      <c r="A12312" s="27" t="s">
        <v>22176</v>
      </c>
      <c r="B12312" s="28" t="s">
        <v>19918</v>
      </c>
      <c r="C12312" s="27" t="s">
        <v>22177</v>
      </c>
      <c r="D12312" s="27" t="s">
        <v>17558</v>
      </c>
      <c r="E12312" s="29">
        <v>42579</v>
      </c>
      <c r="F12312" s="27">
        <v>5</v>
      </c>
      <c r="G12312" s="18">
        <v>2984.89</v>
      </c>
      <c r="H12312" s="27">
        <f t="shared" si="384"/>
        <v>0</v>
      </c>
      <c r="I12312" s="18">
        <v>1370.56</v>
      </c>
      <c r="J12312" s="27">
        <v>2984.89</v>
      </c>
      <c r="K12312" s="18">
        <f t="shared" si="385"/>
        <v>0</v>
      </c>
      <c r="L12312" s="27">
        <v>1937.69</v>
      </c>
      <c r="M12312" s="36">
        <v>567.13</v>
      </c>
      <c r="T12312" s="41">
        <v>0</v>
      </c>
      <c r="U12312" s="41">
        <v>0</v>
      </c>
      <c r="V12312" s="42" t="s">
        <v>113</v>
      </c>
      <c r="W12312" s="42">
        <v>0</v>
      </c>
      <c r="X12312" s="42">
        <v>2984.89</v>
      </c>
    </row>
    <row r="12313" spans="1:24">
      <c r="A12313" s="27" t="s">
        <v>22178</v>
      </c>
      <c r="B12313" s="28" t="s">
        <v>19918</v>
      </c>
      <c r="C12313" s="27" t="s">
        <v>22179</v>
      </c>
      <c r="D12313" s="27" t="s">
        <v>17558</v>
      </c>
      <c r="E12313" s="29">
        <v>42579</v>
      </c>
      <c r="F12313" s="27">
        <v>5</v>
      </c>
      <c r="G12313" s="18">
        <v>2984.89</v>
      </c>
      <c r="H12313" s="27">
        <f t="shared" si="384"/>
        <v>0</v>
      </c>
      <c r="I12313" s="18">
        <v>1370.56</v>
      </c>
      <c r="J12313" s="27">
        <v>2984.89</v>
      </c>
      <c r="K12313" s="18">
        <f t="shared" si="385"/>
        <v>0</v>
      </c>
      <c r="L12313" s="27">
        <v>1937.69</v>
      </c>
      <c r="M12313" s="36">
        <v>567.13</v>
      </c>
      <c r="T12313" s="41">
        <v>0</v>
      </c>
      <c r="U12313" s="41">
        <v>0</v>
      </c>
      <c r="V12313" s="42" t="s">
        <v>113</v>
      </c>
      <c r="W12313" s="42">
        <v>0</v>
      </c>
      <c r="X12313" s="42">
        <v>2984.89</v>
      </c>
    </row>
    <row r="12314" spans="1:24">
      <c r="A12314" s="27" t="s">
        <v>22180</v>
      </c>
      <c r="B12314" s="28" t="s">
        <v>19918</v>
      </c>
      <c r="C12314" s="27" t="s">
        <v>22181</v>
      </c>
      <c r="D12314" s="27" t="s">
        <v>17558</v>
      </c>
      <c r="E12314" s="29">
        <v>42579</v>
      </c>
      <c r="F12314" s="27">
        <v>5</v>
      </c>
      <c r="G12314" s="18">
        <v>2984.89</v>
      </c>
      <c r="H12314" s="27">
        <f t="shared" si="384"/>
        <v>0</v>
      </c>
      <c r="I12314" s="18">
        <v>1370.56</v>
      </c>
      <c r="J12314" s="27">
        <v>2984.89</v>
      </c>
      <c r="K12314" s="18">
        <f t="shared" si="385"/>
        <v>0</v>
      </c>
      <c r="L12314" s="27">
        <v>1937.69</v>
      </c>
      <c r="M12314" s="36">
        <v>567.13</v>
      </c>
      <c r="T12314" s="41">
        <v>0</v>
      </c>
      <c r="U12314" s="41">
        <v>0</v>
      </c>
      <c r="V12314" s="42" t="s">
        <v>113</v>
      </c>
      <c r="W12314" s="42">
        <v>0</v>
      </c>
      <c r="X12314" s="42">
        <v>2984.89</v>
      </c>
    </row>
    <row r="12315" spans="1:24">
      <c r="A12315" s="27" t="s">
        <v>22182</v>
      </c>
      <c r="B12315" s="28" t="s">
        <v>19918</v>
      </c>
      <c r="C12315" s="27" t="s">
        <v>22183</v>
      </c>
      <c r="D12315" s="27" t="s">
        <v>17558</v>
      </c>
      <c r="E12315" s="29">
        <v>42579</v>
      </c>
      <c r="F12315" s="27">
        <v>5</v>
      </c>
      <c r="G12315" s="18">
        <v>2984.89</v>
      </c>
      <c r="H12315" s="27">
        <f t="shared" si="384"/>
        <v>0</v>
      </c>
      <c r="I12315" s="18">
        <v>1370.56</v>
      </c>
      <c r="J12315" s="27">
        <v>2984.89</v>
      </c>
      <c r="K12315" s="18">
        <f t="shared" si="385"/>
        <v>0</v>
      </c>
      <c r="L12315" s="27">
        <v>1937.69</v>
      </c>
      <c r="M12315" s="36">
        <v>567.13</v>
      </c>
      <c r="T12315" s="41">
        <v>0</v>
      </c>
      <c r="U12315" s="41">
        <v>0</v>
      </c>
      <c r="V12315" s="42" t="s">
        <v>113</v>
      </c>
      <c r="W12315" s="42">
        <v>0</v>
      </c>
      <c r="X12315" s="42">
        <v>2984.89</v>
      </c>
    </row>
    <row r="12316" spans="1:24">
      <c r="A12316" s="27" t="s">
        <v>22184</v>
      </c>
      <c r="B12316" s="28" t="s">
        <v>19918</v>
      </c>
      <c r="C12316" s="27" t="s">
        <v>22185</v>
      </c>
      <c r="D12316" s="27" t="s">
        <v>17558</v>
      </c>
      <c r="E12316" s="29">
        <v>42579</v>
      </c>
      <c r="F12316" s="27">
        <v>5</v>
      </c>
      <c r="G12316" s="18">
        <v>2984.89</v>
      </c>
      <c r="H12316" s="27">
        <f t="shared" si="384"/>
        <v>0</v>
      </c>
      <c r="I12316" s="18">
        <v>1370.56</v>
      </c>
      <c r="J12316" s="27">
        <v>2984.89</v>
      </c>
      <c r="K12316" s="18">
        <f t="shared" si="385"/>
        <v>0</v>
      </c>
      <c r="L12316" s="27">
        <v>1937.69</v>
      </c>
      <c r="M12316" s="36">
        <v>567.13</v>
      </c>
      <c r="T12316" s="41">
        <v>0</v>
      </c>
      <c r="U12316" s="41">
        <v>0</v>
      </c>
      <c r="V12316" s="42" t="s">
        <v>113</v>
      </c>
      <c r="W12316" s="42">
        <v>0</v>
      </c>
      <c r="X12316" s="42">
        <v>2984.89</v>
      </c>
    </row>
    <row r="12317" spans="1:24">
      <c r="A12317" s="27" t="s">
        <v>22186</v>
      </c>
      <c r="B12317" s="28" t="s">
        <v>19918</v>
      </c>
      <c r="C12317" s="27" t="s">
        <v>22187</v>
      </c>
      <c r="D12317" s="27" t="s">
        <v>17558</v>
      </c>
      <c r="E12317" s="29">
        <v>42579</v>
      </c>
      <c r="F12317" s="27">
        <v>5</v>
      </c>
      <c r="G12317" s="18">
        <v>2984.89</v>
      </c>
      <c r="H12317" s="27">
        <f t="shared" si="384"/>
        <v>0</v>
      </c>
      <c r="I12317" s="18">
        <v>1370.56</v>
      </c>
      <c r="J12317" s="27">
        <v>2984.89</v>
      </c>
      <c r="K12317" s="18">
        <f t="shared" si="385"/>
        <v>0</v>
      </c>
      <c r="L12317" s="27">
        <v>1937.69</v>
      </c>
      <c r="M12317" s="36">
        <v>567.13</v>
      </c>
      <c r="T12317" s="41">
        <v>0</v>
      </c>
      <c r="U12317" s="41">
        <v>0</v>
      </c>
      <c r="V12317" s="42" t="s">
        <v>113</v>
      </c>
      <c r="W12317" s="42">
        <v>0</v>
      </c>
      <c r="X12317" s="42">
        <v>2984.89</v>
      </c>
    </row>
    <row r="12318" spans="1:24">
      <c r="A12318" s="27" t="s">
        <v>22188</v>
      </c>
      <c r="B12318" s="28" t="s">
        <v>19918</v>
      </c>
      <c r="C12318" s="27" t="s">
        <v>22189</v>
      </c>
      <c r="D12318" s="27" t="s">
        <v>17558</v>
      </c>
      <c r="E12318" s="29">
        <v>42579</v>
      </c>
      <c r="F12318" s="27">
        <v>5</v>
      </c>
      <c r="G12318" s="18">
        <v>2984.89</v>
      </c>
      <c r="H12318" s="27">
        <f t="shared" si="384"/>
        <v>0</v>
      </c>
      <c r="I12318" s="18">
        <v>1370.56</v>
      </c>
      <c r="J12318" s="27">
        <v>2984.89</v>
      </c>
      <c r="K12318" s="18">
        <f t="shared" si="385"/>
        <v>0</v>
      </c>
      <c r="L12318" s="27">
        <v>1937.69</v>
      </c>
      <c r="M12318" s="36">
        <v>567.13</v>
      </c>
      <c r="T12318" s="41">
        <v>0</v>
      </c>
      <c r="U12318" s="41">
        <v>0</v>
      </c>
      <c r="V12318" s="42" t="s">
        <v>113</v>
      </c>
      <c r="W12318" s="42">
        <v>0</v>
      </c>
      <c r="X12318" s="42">
        <v>2984.89</v>
      </c>
    </row>
    <row r="12319" spans="1:24">
      <c r="A12319" s="27" t="s">
        <v>22190</v>
      </c>
      <c r="B12319" s="28" t="s">
        <v>19918</v>
      </c>
      <c r="C12319" s="27" t="s">
        <v>22191</v>
      </c>
      <c r="D12319" s="27" t="s">
        <v>17558</v>
      </c>
      <c r="E12319" s="29">
        <v>42579</v>
      </c>
      <c r="F12319" s="27">
        <v>5</v>
      </c>
      <c r="G12319" s="18">
        <v>2984.89</v>
      </c>
      <c r="H12319" s="27">
        <f t="shared" si="384"/>
        <v>0</v>
      </c>
      <c r="I12319" s="18">
        <v>1370.56</v>
      </c>
      <c r="J12319" s="27">
        <v>2984.89</v>
      </c>
      <c r="K12319" s="18">
        <f t="shared" si="385"/>
        <v>0</v>
      </c>
      <c r="L12319" s="27">
        <v>1937.69</v>
      </c>
      <c r="M12319" s="36">
        <v>567.13</v>
      </c>
      <c r="T12319" s="41">
        <v>0</v>
      </c>
      <c r="U12319" s="41">
        <v>0</v>
      </c>
      <c r="V12319" s="42" t="s">
        <v>113</v>
      </c>
      <c r="W12319" s="42">
        <v>0</v>
      </c>
      <c r="X12319" s="42">
        <v>2984.89</v>
      </c>
    </row>
    <row r="12320" spans="1:24">
      <c r="A12320" s="27" t="s">
        <v>22192</v>
      </c>
      <c r="B12320" s="28" t="s">
        <v>19918</v>
      </c>
      <c r="C12320" s="27" t="s">
        <v>22193</v>
      </c>
      <c r="D12320" s="27" t="s">
        <v>17558</v>
      </c>
      <c r="E12320" s="29">
        <v>42579</v>
      </c>
      <c r="F12320" s="27">
        <v>5</v>
      </c>
      <c r="G12320" s="18">
        <v>2984.89</v>
      </c>
      <c r="H12320" s="27">
        <f t="shared" si="384"/>
        <v>0</v>
      </c>
      <c r="I12320" s="18">
        <v>1370.56</v>
      </c>
      <c r="J12320" s="27">
        <v>2984.89</v>
      </c>
      <c r="K12320" s="18">
        <f t="shared" si="385"/>
        <v>0</v>
      </c>
      <c r="L12320" s="27">
        <v>1937.69</v>
      </c>
      <c r="M12320" s="36">
        <v>567.13</v>
      </c>
      <c r="T12320" s="41">
        <v>0</v>
      </c>
      <c r="U12320" s="41">
        <v>0</v>
      </c>
      <c r="V12320" s="42" t="s">
        <v>113</v>
      </c>
      <c r="W12320" s="42">
        <v>0</v>
      </c>
      <c r="X12320" s="42">
        <v>2984.89</v>
      </c>
    </row>
    <row r="12321" spans="1:24">
      <c r="A12321" s="27" t="s">
        <v>22194</v>
      </c>
      <c r="B12321" s="28" t="s">
        <v>19918</v>
      </c>
      <c r="C12321" s="27" t="s">
        <v>22195</v>
      </c>
      <c r="D12321" s="27" t="s">
        <v>17558</v>
      </c>
      <c r="E12321" s="29">
        <v>42579</v>
      </c>
      <c r="F12321" s="27">
        <v>5</v>
      </c>
      <c r="G12321" s="18">
        <v>2984.89</v>
      </c>
      <c r="H12321" s="27">
        <f t="shared" si="384"/>
        <v>0</v>
      </c>
      <c r="I12321" s="18">
        <v>1370.56</v>
      </c>
      <c r="J12321" s="27">
        <v>2984.89</v>
      </c>
      <c r="K12321" s="18">
        <f t="shared" si="385"/>
        <v>0</v>
      </c>
      <c r="L12321" s="27">
        <v>1937.69</v>
      </c>
      <c r="M12321" s="36">
        <v>567.13</v>
      </c>
      <c r="T12321" s="41">
        <v>0</v>
      </c>
      <c r="U12321" s="41">
        <v>0</v>
      </c>
      <c r="V12321" s="42" t="s">
        <v>113</v>
      </c>
      <c r="W12321" s="42">
        <v>0</v>
      </c>
      <c r="X12321" s="42">
        <v>2984.89</v>
      </c>
    </row>
    <row r="12322" spans="1:24">
      <c r="A12322" s="27" t="s">
        <v>22196</v>
      </c>
      <c r="B12322" s="28" t="s">
        <v>19918</v>
      </c>
      <c r="C12322" s="27" t="s">
        <v>22197</v>
      </c>
      <c r="D12322" s="27" t="s">
        <v>17558</v>
      </c>
      <c r="E12322" s="29">
        <v>42579</v>
      </c>
      <c r="F12322" s="27">
        <v>5</v>
      </c>
      <c r="G12322" s="18">
        <v>2984.89</v>
      </c>
      <c r="H12322" s="27">
        <f t="shared" si="384"/>
        <v>0</v>
      </c>
      <c r="I12322" s="18">
        <v>1370.56</v>
      </c>
      <c r="J12322" s="27">
        <v>2984.89</v>
      </c>
      <c r="K12322" s="18">
        <f t="shared" si="385"/>
        <v>0</v>
      </c>
      <c r="L12322" s="27">
        <v>1937.69</v>
      </c>
      <c r="M12322" s="36">
        <v>567.13</v>
      </c>
      <c r="T12322" s="41">
        <v>0</v>
      </c>
      <c r="U12322" s="41">
        <v>0</v>
      </c>
      <c r="V12322" s="42" t="s">
        <v>113</v>
      </c>
      <c r="W12322" s="42">
        <v>0</v>
      </c>
      <c r="X12322" s="42">
        <v>2984.89</v>
      </c>
    </row>
    <row r="12323" spans="1:24">
      <c r="A12323" s="27" t="s">
        <v>22198</v>
      </c>
      <c r="B12323" s="28" t="s">
        <v>19918</v>
      </c>
      <c r="C12323" s="27" t="s">
        <v>22199</v>
      </c>
      <c r="D12323" s="27" t="s">
        <v>17558</v>
      </c>
      <c r="E12323" s="29">
        <v>42579</v>
      </c>
      <c r="F12323" s="27">
        <v>5</v>
      </c>
      <c r="G12323" s="18">
        <v>2984.89</v>
      </c>
      <c r="H12323" s="27">
        <f t="shared" si="384"/>
        <v>0</v>
      </c>
      <c r="I12323" s="18">
        <v>1370.56</v>
      </c>
      <c r="J12323" s="27">
        <v>2984.89</v>
      </c>
      <c r="K12323" s="18">
        <f t="shared" si="385"/>
        <v>0</v>
      </c>
      <c r="L12323" s="27">
        <v>1937.69</v>
      </c>
      <c r="M12323" s="36">
        <v>567.13</v>
      </c>
      <c r="T12323" s="41">
        <v>0</v>
      </c>
      <c r="U12323" s="41">
        <v>0</v>
      </c>
      <c r="V12323" s="42" t="s">
        <v>113</v>
      </c>
      <c r="W12323" s="42">
        <v>0</v>
      </c>
      <c r="X12323" s="42">
        <v>2984.89</v>
      </c>
    </row>
    <row r="12324" spans="1:24">
      <c r="A12324" s="27" t="s">
        <v>22200</v>
      </c>
      <c r="B12324" s="28" t="s">
        <v>19918</v>
      </c>
      <c r="C12324" s="27" t="s">
        <v>22201</v>
      </c>
      <c r="D12324" s="27" t="s">
        <v>17558</v>
      </c>
      <c r="E12324" s="29">
        <v>42579</v>
      </c>
      <c r="F12324" s="27">
        <v>5</v>
      </c>
      <c r="G12324" s="18">
        <v>2984.89</v>
      </c>
      <c r="H12324" s="27">
        <f t="shared" si="384"/>
        <v>0</v>
      </c>
      <c r="I12324" s="18">
        <v>1370.56</v>
      </c>
      <c r="J12324" s="27">
        <v>2984.89</v>
      </c>
      <c r="K12324" s="18">
        <f t="shared" si="385"/>
        <v>0</v>
      </c>
      <c r="L12324" s="27">
        <v>1937.69</v>
      </c>
      <c r="M12324" s="36">
        <v>567.13</v>
      </c>
      <c r="T12324" s="41">
        <v>0</v>
      </c>
      <c r="U12324" s="41">
        <v>0</v>
      </c>
      <c r="V12324" s="42" t="s">
        <v>113</v>
      </c>
      <c r="W12324" s="42">
        <v>0</v>
      </c>
      <c r="X12324" s="42">
        <v>2984.89</v>
      </c>
    </row>
    <row r="12325" spans="1:24">
      <c r="A12325" s="27" t="s">
        <v>22202</v>
      </c>
      <c r="B12325" s="28" t="s">
        <v>19918</v>
      </c>
      <c r="C12325" s="27" t="s">
        <v>22203</v>
      </c>
      <c r="D12325" s="27" t="s">
        <v>17558</v>
      </c>
      <c r="E12325" s="29">
        <v>42579</v>
      </c>
      <c r="F12325" s="27">
        <v>5</v>
      </c>
      <c r="G12325" s="18">
        <v>2984.89</v>
      </c>
      <c r="H12325" s="27">
        <f t="shared" si="384"/>
        <v>0</v>
      </c>
      <c r="I12325" s="18">
        <v>1370.56</v>
      </c>
      <c r="J12325" s="27">
        <v>2984.89</v>
      </c>
      <c r="K12325" s="18">
        <f t="shared" si="385"/>
        <v>0</v>
      </c>
      <c r="L12325" s="27">
        <v>1937.69</v>
      </c>
      <c r="M12325" s="36">
        <v>567.13</v>
      </c>
      <c r="T12325" s="41">
        <v>0</v>
      </c>
      <c r="U12325" s="41">
        <v>0</v>
      </c>
      <c r="V12325" s="42" t="s">
        <v>113</v>
      </c>
      <c r="W12325" s="42">
        <v>0</v>
      </c>
      <c r="X12325" s="42">
        <v>2984.89</v>
      </c>
    </row>
    <row r="12326" spans="1:24">
      <c r="A12326" s="27" t="s">
        <v>22204</v>
      </c>
      <c r="B12326" s="28" t="s">
        <v>19918</v>
      </c>
      <c r="C12326" s="27" t="s">
        <v>22205</v>
      </c>
      <c r="D12326" s="27" t="s">
        <v>17558</v>
      </c>
      <c r="E12326" s="29">
        <v>42579</v>
      </c>
      <c r="F12326" s="27">
        <v>5</v>
      </c>
      <c r="G12326" s="18">
        <v>10546.61</v>
      </c>
      <c r="H12326" s="27">
        <f t="shared" si="384"/>
        <v>0</v>
      </c>
      <c r="I12326" s="18">
        <v>4842.6499999999996</v>
      </c>
      <c r="J12326" s="27">
        <v>10546.61</v>
      </c>
      <c r="K12326" s="18">
        <f t="shared" si="385"/>
        <v>0</v>
      </c>
      <c r="L12326" s="27">
        <v>6846.51</v>
      </c>
      <c r="M12326" s="36">
        <v>2003.86</v>
      </c>
      <c r="T12326" s="41">
        <v>0</v>
      </c>
      <c r="U12326" s="41">
        <v>0</v>
      </c>
      <c r="V12326" s="42" t="s">
        <v>113</v>
      </c>
      <c r="W12326" s="42">
        <v>0</v>
      </c>
      <c r="X12326" s="42">
        <v>10546.61</v>
      </c>
    </row>
    <row r="12327" spans="1:24">
      <c r="A12327" s="27" t="s">
        <v>22206</v>
      </c>
      <c r="B12327" s="28" t="s">
        <v>19918</v>
      </c>
      <c r="C12327" s="27" t="s">
        <v>22207</v>
      </c>
      <c r="D12327" s="27" t="s">
        <v>17558</v>
      </c>
      <c r="E12327" s="29">
        <v>42579</v>
      </c>
      <c r="F12327" s="27">
        <v>5</v>
      </c>
      <c r="G12327" s="18">
        <v>2984.89</v>
      </c>
      <c r="H12327" s="27">
        <f t="shared" si="384"/>
        <v>0</v>
      </c>
      <c r="I12327" s="18">
        <v>1370.56</v>
      </c>
      <c r="J12327" s="27">
        <v>2984.89</v>
      </c>
      <c r="K12327" s="18">
        <f t="shared" si="385"/>
        <v>0</v>
      </c>
      <c r="L12327" s="27">
        <v>1937.69</v>
      </c>
      <c r="M12327" s="36">
        <v>567.13</v>
      </c>
      <c r="T12327" s="41">
        <v>0</v>
      </c>
      <c r="U12327" s="41">
        <v>0</v>
      </c>
      <c r="V12327" s="42" t="s">
        <v>113</v>
      </c>
      <c r="W12327" s="42">
        <v>0</v>
      </c>
      <c r="X12327" s="42">
        <v>2984.89</v>
      </c>
    </row>
    <row r="12328" spans="1:24">
      <c r="A12328" s="27" t="s">
        <v>22208</v>
      </c>
      <c r="B12328" s="28" t="s">
        <v>19918</v>
      </c>
      <c r="C12328" s="27" t="s">
        <v>22209</v>
      </c>
      <c r="D12328" s="27" t="s">
        <v>17558</v>
      </c>
      <c r="E12328" s="29">
        <v>42579</v>
      </c>
      <c r="F12328" s="27">
        <v>5</v>
      </c>
      <c r="G12328" s="18">
        <v>2984.89</v>
      </c>
      <c r="H12328" s="27">
        <f t="shared" si="384"/>
        <v>0</v>
      </c>
      <c r="I12328" s="18">
        <v>1370.56</v>
      </c>
      <c r="J12328" s="27">
        <v>2984.89</v>
      </c>
      <c r="K12328" s="18">
        <f t="shared" si="385"/>
        <v>0</v>
      </c>
      <c r="L12328" s="27">
        <v>1937.69</v>
      </c>
      <c r="M12328" s="36">
        <v>567.13</v>
      </c>
      <c r="T12328" s="41">
        <v>0</v>
      </c>
      <c r="U12328" s="41">
        <v>0</v>
      </c>
      <c r="V12328" s="42" t="s">
        <v>113</v>
      </c>
      <c r="W12328" s="42">
        <v>0</v>
      </c>
      <c r="X12328" s="42">
        <v>2984.89</v>
      </c>
    </row>
    <row r="12329" spans="1:24">
      <c r="A12329" s="27" t="s">
        <v>22210</v>
      </c>
      <c r="B12329" s="28" t="s">
        <v>19918</v>
      </c>
      <c r="C12329" s="27" t="s">
        <v>22211</v>
      </c>
      <c r="D12329" s="27" t="s">
        <v>17558</v>
      </c>
      <c r="E12329" s="29">
        <v>42579</v>
      </c>
      <c r="F12329" s="27">
        <v>5</v>
      </c>
      <c r="G12329" s="18">
        <v>2984.89</v>
      </c>
      <c r="H12329" s="27">
        <f t="shared" si="384"/>
        <v>0</v>
      </c>
      <c r="I12329" s="18">
        <v>1370.56</v>
      </c>
      <c r="J12329" s="27">
        <v>2984.89</v>
      </c>
      <c r="K12329" s="18">
        <f t="shared" si="385"/>
        <v>0</v>
      </c>
      <c r="L12329" s="27">
        <v>1937.69</v>
      </c>
      <c r="M12329" s="36">
        <v>567.13</v>
      </c>
      <c r="T12329" s="41">
        <v>0</v>
      </c>
      <c r="U12329" s="41">
        <v>0</v>
      </c>
      <c r="V12329" s="42" t="s">
        <v>113</v>
      </c>
      <c r="W12329" s="42">
        <v>0</v>
      </c>
      <c r="X12329" s="42">
        <v>2984.89</v>
      </c>
    </row>
    <row r="12330" spans="1:24">
      <c r="A12330" s="27" t="s">
        <v>22212</v>
      </c>
      <c r="B12330" s="28" t="s">
        <v>19918</v>
      </c>
      <c r="C12330" s="27" t="s">
        <v>22213</v>
      </c>
      <c r="D12330" s="27" t="s">
        <v>17558</v>
      </c>
      <c r="E12330" s="29">
        <v>42579</v>
      </c>
      <c r="F12330" s="27">
        <v>5</v>
      </c>
      <c r="G12330" s="18">
        <v>2984.89</v>
      </c>
      <c r="H12330" s="27">
        <f t="shared" si="384"/>
        <v>0</v>
      </c>
      <c r="I12330" s="18">
        <v>1370.56</v>
      </c>
      <c r="J12330" s="27">
        <v>2984.89</v>
      </c>
      <c r="K12330" s="18">
        <f t="shared" si="385"/>
        <v>0</v>
      </c>
      <c r="L12330" s="27">
        <v>1937.69</v>
      </c>
      <c r="M12330" s="36">
        <v>567.13</v>
      </c>
      <c r="T12330" s="41">
        <v>0</v>
      </c>
      <c r="U12330" s="41">
        <v>0</v>
      </c>
      <c r="V12330" s="42" t="s">
        <v>113</v>
      </c>
      <c r="W12330" s="42">
        <v>0</v>
      </c>
      <c r="X12330" s="42">
        <v>2984.89</v>
      </c>
    </row>
    <row r="12331" spans="1:24">
      <c r="A12331" s="27" t="s">
        <v>22214</v>
      </c>
      <c r="B12331" s="28" t="s">
        <v>19918</v>
      </c>
      <c r="C12331" s="27" t="s">
        <v>22215</v>
      </c>
      <c r="D12331" s="27" t="s">
        <v>17558</v>
      </c>
      <c r="E12331" s="29">
        <v>42579</v>
      </c>
      <c r="F12331" s="27">
        <v>5</v>
      </c>
      <c r="G12331" s="18">
        <v>2984.89</v>
      </c>
      <c r="H12331" s="27">
        <f t="shared" si="384"/>
        <v>0</v>
      </c>
      <c r="I12331" s="18">
        <v>1370.56</v>
      </c>
      <c r="J12331" s="27">
        <v>2984.89</v>
      </c>
      <c r="K12331" s="18">
        <f t="shared" si="385"/>
        <v>0</v>
      </c>
      <c r="L12331" s="27">
        <v>1937.69</v>
      </c>
      <c r="M12331" s="36">
        <v>567.13</v>
      </c>
      <c r="T12331" s="41">
        <v>0</v>
      </c>
      <c r="U12331" s="41">
        <v>0</v>
      </c>
      <c r="V12331" s="42" t="s">
        <v>113</v>
      </c>
      <c r="W12331" s="42">
        <v>0</v>
      </c>
      <c r="X12331" s="42">
        <v>2984.89</v>
      </c>
    </row>
    <row r="12332" spans="1:24">
      <c r="A12332" s="27" t="s">
        <v>22216</v>
      </c>
      <c r="B12332" s="28" t="s">
        <v>19918</v>
      </c>
      <c r="C12332" s="27" t="s">
        <v>22217</v>
      </c>
      <c r="D12332" s="27" t="s">
        <v>17558</v>
      </c>
      <c r="E12332" s="29">
        <v>42579</v>
      </c>
      <c r="F12332" s="27">
        <v>5</v>
      </c>
      <c r="G12332" s="18">
        <v>2984.89</v>
      </c>
      <c r="H12332" s="27">
        <f t="shared" si="384"/>
        <v>0</v>
      </c>
      <c r="I12332" s="18">
        <v>1370.56</v>
      </c>
      <c r="J12332" s="27">
        <v>2984.89</v>
      </c>
      <c r="K12332" s="18">
        <f t="shared" si="385"/>
        <v>0</v>
      </c>
      <c r="L12332" s="27">
        <v>1937.69</v>
      </c>
      <c r="M12332" s="36">
        <v>567.13</v>
      </c>
      <c r="T12332" s="41">
        <v>0</v>
      </c>
      <c r="U12332" s="41">
        <v>0</v>
      </c>
      <c r="V12332" s="42" t="s">
        <v>113</v>
      </c>
      <c r="W12332" s="42">
        <v>0</v>
      </c>
      <c r="X12332" s="42">
        <v>2984.89</v>
      </c>
    </row>
    <row r="12333" spans="1:24">
      <c r="A12333" s="27" t="s">
        <v>22218</v>
      </c>
      <c r="B12333" s="28" t="s">
        <v>19918</v>
      </c>
      <c r="C12333" s="27" t="s">
        <v>22219</v>
      </c>
      <c r="D12333" s="27" t="s">
        <v>17558</v>
      </c>
      <c r="E12333" s="29">
        <v>42579</v>
      </c>
      <c r="F12333" s="27">
        <v>5</v>
      </c>
      <c r="G12333" s="18">
        <v>2984.89</v>
      </c>
      <c r="H12333" s="27">
        <f t="shared" si="384"/>
        <v>0</v>
      </c>
      <c r="I12333" s="18">
        <v>1370.56</v>
      </c>
      <c r="J12333" s="27">
        <v>2984.89</v>
      </c>
      <c r="K12333" s="18">
        <f t="shared" si="385"/>
        <v>0</v>
      </c>
      <c r="L12333" s="27">
        <v>1937.69</v>
      </c>
      <c r="M12333" s="36">
        <v>567.13</v>
      </c>
      <c r="T12333" s="41">
        <v>0</v>
      </c>
      <c r="U12333" s="41">
        <v>0</v>
      </c>
      <c r="V12333" s="42" t="s">
        <v>113</v>
      </c>
      <c r="W12333" s="42">
        <v>0</v>
      </c>
      <c r="X12333" s="42">
        <v>2984.89</v>
      </c>
    </row>
    <row r="12334" spans="1:24">
      <c r="A12334" s="27" t="s">
        <v>22220</v>
      </c>
      <c r="B12334" s="28" t="s">
        <v>19918</v>
      </c>
      <c r="C12334" s="27" t="s">
        <v>22221</v>
      </c>
      <c r="D12334" s="27" t="s">
        <v>17558</v>
      </c>
      <c r="E12334" s="29">
        <v>42579</v>
      </c>
      <c r="F12334" s="27">
        <v>5</v>
      </c>
      <c r="G12334" s="18">
        <v>2984.89</v>
      </c>
      <c r="H12334" s="27">
        <f t="shared" si="384"/>
        <v>0</v>
      </c>
      <c r="I12334" s="18">
        <v>1370.56</v>
      </c>
      <c r="J12334" s="27">
        <v>2984.89</v>
      </c>
      <c r="K12334" s="18">
        <f t="shared" si="385"/>
        <v>0</v>
      </c>
      <c r="L12334" s="27">
        <v>1937.69</v>
      </c>
      <c r="M12334" s="36">
        <v>567.13</v>
      </c>
      <c r="T12334" s="41">
        <v>0</v>
      </c>
      <c r="U12334" s="41">
        <v>0</v>
      </c>
      <c r="V12334" s="42" t="s">
        <v>113</v>
      </c>
      <c r="W12334" s="42">
        <v>0</v>
      </c>
      <c r="X12334" s="42">
        <v>2984.89</v>
      </c>
    </row>
    <row r="12335" spans="1:24">
      <c r="A12335" s="27" t="s">
        <v>22222</v>
      </c>
      <c r="B12335" s="28" t="s">
        <v>19918</v>
      </c>
      <c r="C12335" s="27" t="s">
        <v>22223</v>
      </c>
      <c r="D12335" s="27" t="s">
        <v>17558</v>
      </c>
      <c r="E12335" s="29">
        <v>42579</v>
      </c>
      <c r="F12335" s="27">
        <v>5</v>
      </c>
      <c r="G12335" s="18">
        <v>2984.89</v>
      </c>
      <c r="H12335" s="27">
        <f t="shared" si="384"/>
        <v>0</v>
      </c>
      <c r="I12335" s="18">
        <v>1370.56</v>
      </c>
      <c r="J12335" s="27">
        <v>2984.89</v>
      </c>
      <c r="K12335" s="18">
        <f t="shared" si="385"/>
        <v>0</v>
      </c>
      <c r="L12335" s="27">
        <v>1937.69</v>
      </c>
      <c r="M12335" s="36">
        <v>567.13</v>
      </c>
      <c r="T12335" s="41">
        <v>0</v>
      </c>
      <c r="U12335" s="41">
        <v>0</v>
      </c>
      <c r="V12335" s="42" t="s">
        <v>113</v>
      </c>
      <c r="W12335" s="42">
        <v>0</v>
      </c>
      <c r="X12335" s="42">
        <v>2984.89</v>
      </c>
    </row>
    <row r="12336" spans="1:24">
      <c r="A12336" s="27" t="s">
        <v>22224</v>
      </c>
      <c r="B12336" s="28" t="s">
        <v>19918</v>
      </c>
      <c r="C12336" s="27" t="s">
        <v>22225</v>
      </c>
      <c r="D12336" s="27" t="s">
        <v>17558</v>
      </c>
      <c r="E12336" s="29">
        <v>42579</v>
      </c>
      <c r="F12336" s="27">
        <v>5</v>
      </c>
      <c r="G12336" s="18">
        <v>2984.89</v>
      </c>
      <c r="H12336" s="27">
        <f t="shared" si="384"/>
        <v>0</v>
      </c>
      <c r="I12336" s="18">
        <v>1370.56</v>
      </c>
      <c r="J12336" s="27">
        <v>2984.89</v>
      </c>
      <c r="K12336" s="18">
        <f t="shared" si="385"/>
        <v>0</v>
      </c>
      <c r="L12336" s="27">
        <v>1937.69</v>
      </c>
      <c r="M12336" s="36">
        <v>567.13</v>
      </c>
      <c r="T12336" s="41">
        <v>0</v>
      </c>
      <c r="U12336" s="41">
        <v>0</v>
      </c>
      <c r="V12336" s="42" t="s">
        <v>113</v>
      </c>
      <c r="W12336" s="42">
        <v>0</v>
      </c>
      <c r="X12336" s="42">
        <v>2984.89</v>
      </c>
    </row>
    <row r="12337" spans="1:24">
      <c r="A12337" s="27" t="s">
        <v>22226</v>
      </c>
      <c r="B12337" s="28" t="s">
        <v>19918</v>
      </c>
      <c r="C12337" s="27" t="s">
        <v>22227</v>
      </c>
      <c r="D12337" s="27" t="s">
        <v>17558</v>
      </c>
      <c r="E12337" s="29">
        <v>42579</v>
      </c>
      <c r="F12337" s="27">
        <v>5</v>
      </c>
      <c r="G12337" s="18">
        <v>2984.89</v>
      </c>
      <c r="H12337" s="27">
        <f t="shared" si="384"/>
        <v>0</v>
      </c>
      <c r="I12337" s="18">
        <v>1370.56</v>
      </c>
      <c r="J12337" s="27">
        <v>2984.89</v>
      </c>
      <c r="K12337" s="18">
        <f t="shared" si="385"/>
        <v>0</v>
      </c>
      <c r="L12337" s="27">
        <v>1937.69</v>
      </c>
      <c r="M12337" s="36">
        <v>567.13</v>
      </c>
      <c r="T12337" s="41">
        <v>0</v>
      </c>
      <c r="U12337" s="41">
        <v>0</v>
      </c>
      <c r="V12337" s="42" t="s">
        <v>113</v>
      </c>
      <c r="W12337" s="42">
        <v>0</v>
      </c>
      <c r="X12337" s="42">
        <v>2984.89</v>
      </c>
    </row>
    <row r="12338" spans="1:24">
      <c r="A12338" s="27" t="s">
        <v>22228</v>
      </c>
      <c r="B12338" s="28" t="s">
        <v>19918</v>
      </c>
      <c r="C12338" s="27" t="s">
        <v>22229</v>
      </c>
      <c r="D12338" s="27" t="s">
        <v>17578</v>
      </c>
      <c r="E12338" s="29">
        <v>40178</v>
      </c>
      <c r="F12338" s="27">
        <v>5</v>
      </c>
      <c r="G12338" s="18">
        <v>3589.74</v>
      </c>
      <c r="H12338" s="27">
        <f t="shared" si="384"/>
        <v>3589.74</v>
      </c>
      <c r="I12338" s="18">
        <v>3589.74</v>
      </c>
      <c r="J12338" s="27">
        <v>3589.74</v>
      </c>
      <c r="K12338" s="18">
        <f t="shared" si="385"/>
        <v>3589.74</v>
      </c>
      <c r="L12338" s="27">
        <v>3589.74</v>
      </c>
      <c r="M12338" s="36">
        <v>0</v>
      </c>
      <c r="T12338" s="41">
        <v>0</v>
      </c>
      <c r="U12338" s="41">
        <v>0</v>
      </c>
      <c r="V12338" s="42" t="s">
        <v>113</v>
      </c>
      <c r="W12338" s="42">
        <v>3589.74</v>
      </c>
      <c r="X12338" s="42">
        <v>3589.74</v>
      </c>
    </row>
    <row r="12339" spans="1:24">
      <c r="A12339" s="27" t="s">
        <v>22230</v>
      </c>
      <c r="B12339" s="28" t="s">
        <v>19918</v>
      </c>
      <c r="C12339" s="27" t="s">
        <v>22231</v>
      </c>
      <c r="D12339" s="27" t="s">
        <v>17578</v>
      </c>
      <c r="E12339" s="29">
        <v>40178</v>
      </c>
      <c r="F12339" s="27">
        <v>5</v>
      </c>
      <c r="G12339" s="18">
        <v>15042.74</v>
      </c>
      <c r="H12339" s="27">
        <f t="shared" si="384"/>
        <v>15042.74</v>
      </c>
      <c r="I12339" s="18">
        <v>14290.6</v>
      </c>
      <c r="J12339" s="27">
        <v>15042.74</v>
      </c>
      <c r="K12339" s="18">
        <f t="shared" si="385"/>
        <v>15042.74</v>
      </c>
      <c r="L12339" s="27">
        <v>14290.6</v>
      </c>
      <c r="M12339" s="36">
        <v>0</v>
      </c>
      <c r="T12339" s="41">
        <v>0</v>
      </c>
      <c r="U12339" s="41">
        <v>0</v>
      </c>
      <c r="V12339" s="42" t="s">
        <v>113</v>
      </c>
      <c r="W12339" s="42">
        <v>15042.74</v>
      </c>
      <c r="X12339" s="42">
        <v>15042.74</v>
      </c>
    </row>
    <row r="12340" spans="1:24">
      <c r="A12340" s="27" t="s">
        <v>22232</v>
      </c>
      <c r="B12340" s="28" t="s">
        <v>19918</v>
      </c>
      <c r="C12340" s="27" t="s">
        <v>22233</v>
      </c>
      <c r="D12340" s="27" t="s">
        <v>17578</v>
      </c>
      <c r="E12340" s="29">
        <v>36951</v>
      </c>
      <c r="F12340" s="27">
        <v>5</v>
      </c>
      <c r="G12340" s="18">
        <v>5827.5</v>
      </c>
      <c r="H12340" s="27">
        <f t="shared" si="384"/>
        <v>5827.5</v>
      </c>
      <c r="I12340" s="18">
        <v>5536.12</v>
      </c>
      <c r="J12340" s="27">
        <v>5827.5</v>
      </c>
      <c r="K12340" s="18">
        <f t="shared" si="385"/>
        <v>5827.5</v>
      </c>
      <c r="L12340" s="27">
        <v>5536.12</v>
      </c>
      <c r="M12340" s="36">
        <v>0</v>
      </c>
      <c r="T12340" s="41">
        <v>0</v>
      </c>
      <c r="U12340" s="41">
        <v>0</v>
      </c>
      <c r="V12340" s="42" t="s">
        <v>113</v>
      </c>
      <c r="W12340" s="42">
        <v>5827.5</v>
      </c>
      <c r="X12340" s="42">
        <v>5827.5</v>
      </c>
    </row>
    <row r="12341" spans="1:24">
      <c r="A12341" s="27" t="s">
        <v>22234</v>
      </c>
      <c r="B12341" s="28" t="s">
        <v>19918</v>
      </c>
      <c r="C12341" s="27" t="s">
        <v>22235</v>
      </c>
      <c r="D12341" s="27" t="s">
        <v>17578</v>
      </c>
      <c r="E12341" s="29">
        <v>35674</v>
      </c>
      <c r="F12341" s="27">
        <v>5</v>
      </c>
      <c r="G12341" s="18">
        <v>20122</v>
      </c>
      <c r="H12341" s="27">
        <f t="shared" si="384"/>
        <v>20122</v>
      </c>
      <c r="I12341" s="18">
        <v>19115.900000000001</v>
      </c>
      <c r="J12341" s="27">
        <v>20122</v>
      </c>
      <c r="K12341" s="18">
        <f t="shared" si="385"/>
        <v>20122</v>
      </c>
      <c r="L12341" s="27">
        <v>19115.900000000001</v>
      </c>
      <c r="M12341" s="36">
        <v>0</v>
      </c>
      <c r="T12341" s="41">
        <v>0</v>
      </c>
      <c r="U12341" s="41">
        <v>0</v>
      </c>
      <c r="V12341" s="42" t="s">
        <v>113</v>
      </c>
      <c r="W12341" s="42">
        <v>20122</v>
      </c>
      <c r="X12341" s="42">
        <v>20122</v>
      </c>
    </row>
    <row r="12342" spans="1:24">
      <c r="A12342" s="27" t="s">
        <v>22236</v>
      </c>
      <c r="B12342" s="28" t="s">
        <v>19918</v>
      </c>
      <c r="C12342" s="27" t="s">
        <v>22235</v>
      </c>
      <c r="D12342" s="27" t="s">
        <v>17578</v>
      </c>
      <c r="E12342" s="29">
        <v>35674</v>
      </c>
      <c r="F12342" s="27">
        <v>5</v>
      </c>
      <c r="G12342" s="18">
        <v>20122</v>
      </c>
      <c r="H12342" s="27">
        <f t="shared" si="384"/>
        <v>20122</v>
      </c>
      <c r="I12342" s="18">
        <v>19115.900000000001</v>
      </c>
      <c r="J12342" s="27">
        <v>20122</v>
      </c>
      <c r="K12342" s="18">
        <f t="shared" si="385"/>
        <v>20122</v>
      </c>
      <c r="L12342" s="27">
        <v>19115.900000000001</v>
      </c>
      <c r="M12342" s="36">
        <v>0</v>
      </c>
      <c r="T12342" s="41">
        <v>0</v>
      </c>
      <c r="U12342" s="41">
        <v>0</v>
      </c>
      <c r="V12342" s="42" t="s">
        <v>113</v>
      </c>
      <c r="W12342" s="42">
        <v>20122</v>
      </c>
      <c r="X12342" s="42">
        <v>20122</v>
      </c>
    </row>
    <row r="12343" spans="1:24">
      <c r="A12343" s="27" t="s">
        <v>22237</v>
      </c>
      <c r="B12343" s="28" t="s">
        <v>19918</v>
      </c>
      <c r="C12343" s="27" t="s">
        <v>22235</v>
      </c>
      <c r="D12343" s="27" t="s">
        <v>17578</v>
      </c>
      <c r="E12343" s="29">
        <v>35674</v>
      </c>
      <c r="F12343" s="27">
        <v>5</v>
      </c>
      <c r="G12343" s="18">
        <v>20122</v>
      </c>
      <c r="H12343" s="27">
        <f t="shared" si="384"/>
        <v>20122</v>
      </c>
      <c r="I12343" s="18">
        <v>19115.900000000001</v>
      </c>
      <c r="J12343" s="27">
        <v>20122</v>
      </c>
      <c r="K12343" s="18">
        <f t="shared" si="385"/>
        <v>20122</v>
      </c>
      <c r="L12343" s="27">
        <v>19115.900000000001</v>
      </c>
      <c r="M12343" s="36">
        <v>0</v>
      </c>
      <c r="T12343" s="41">
        <v>0</v>
      </c>
      <c r="U12343" s="41">
        <v>0</v>
      </c>
      <c r="V12343" s="42" t="s">
        <v>113</v>
      </c>
      <c r="W12343" s="42">
        <v>20122</v>
      </c>
      <c r="X12343" s="42">
        <v>20122</v>
      </c>
    </row>
    <row r="12344" spans="1:24">
      <c r="A12344" s="27" t="s">
        <v>22238</v>
      </c>
      <c r="B12344" s="28" t="s">
        <v>19918</v>
      </c>
      <c r="C12344" s="27" t="s">
        <v>22235</v>
      </c>
      <c r="D12344" s="27" t="s">
        <v>17578</v>
      </c>
      <c r="E12344" s="29">
        <v>35674</v>
      </c>
      <c r="F12344" s="27">
        <v>5</v>
      </c>
      <c r="G12344" s="18">
        <v>20122</v>
      </c>
      <c r="H12344" s="27">
        <f t="shared" si="384"/>
        <v>20122</v>
      </c>
      <c r="I12344" s="18">
        <v>19115.900000000001</v>
      </c>
      <c r="J12344" s="27">
        <v>20122</v>
      </c>
      <c r="K12344" s="18">
        <f t="shared" si="385"/>
        <v>20122</v>
      </c>
      <c r="L12344" s="27">
        <v>19115.900000000001</v>
      </c>
      <c r="M12344" s="36">
        <v>0</v>
      </c>
      <c r="T12344" s="41">
        <v>0</v>
      </c>
      <c r="U12344" s="41">
        <v>0</v>
      </c>
      <c r="V12344" s="42" t="s">
        <v>113</v>
      </c>
      <c r="W12344" s="42">
        <v>20122</v>
      </c>
      <c r="X12344" s="42">
        <v>20122</v>
      </c>
    </row>
    <row r="12345" spans="1:24">
      <c r="A12345" s="27" t="s">
        <v>22239</v>
      </c>
      <c r="B12345" s="28" t="s">
        <v>19918</v>
      </c>
      <c r="C12345" s="27" t="s">
        <v>22235</v>
      </c>
      <c r="D12345" s="27" t="s">
        <v>17578</v>
      </c>
      <c r="E12345" s="29">
        <v>35674</v>
      </c>
      <c r="F12345" s="27">
        <v>5</v>
      </c>
      <c r="G12345" s="18">
        <v>20122</v>
      </c>
      <c r="H12345" s="27">
        <f t="shared" si="384"/>
        <v>20122</v>
      </c>
      <c r="I12345" s="18">
        <v>19115.900000000001</v>
      </c>
      <c r="J12345" s="27">
        <v>20122</v>
      </c>
      <c r="K12345" s="18">
        <f t="shared" si="385"/>
        <v>20122</v>
      </c>
      <c r="L12345" s="27">
        <v>19115.900000000001</v>
      </c>
      <c r="M12345" s="36">
        <v>0</v>
      </c>
      <c r="T12345" s="41">
        <v>0</v>
      </c>
      <c r="U12345" s="41">
        <v>0</v>
      </c>
      <c r="V12345" s="42" t="s">
        <v>113</v>
      </c>
      <c r="W12345" s="42">
        <v>20122</v>
      </c>
      <c r="X12345" s="42">
        <v>20122</v>
      </c>
    </row>
    <row r="12346" spans="1:24">
      <c r="A12346" s="27" t="s">
        <v>22240</v>
      </c>
      <c r="B12346" s="28" t="s">
        <v>19918</v>
      </c>
      <c r="C12346" s="27" t="s">
        <v>22235</v>
      </c>
      <c r="D12346" s="27" t="s">
        <v>17578</v>
      </c>
      <c r="E12346" s="29">
        <v>35674</v>
      </c>
      <c r="F12346" s="27">
        <v>5</v>
      </c>
      <c r="G12346" s="18">
        <v>20122</v>
      </c>
      <c r="H12346" s="27">
        <f t="shared" si="384"/>
        <v>20122</v>
      </c>
      <c r="I12346" s="18">
        <v>19115.900000000001</v>
      </c>
      <c r="J12346" s="27">
        <v>20122</v>
      </c>
      <c r="K12346" s="18">
        <f t="shared" si="385"/>
        <v>20122</v>
      </c>
      <c r="L12346" s="27">
        <v>19115.900000000001</v>
      </c>
      <c r="M12346" s="36">
        <v>0</v>
      </c>
      <c r="T12346" s="41">
        <v>0</v>
      </c>
      <c r="U12346" s="41">
        <v>0</v>
      </c>
      <c r="V12346" s="42" t="s">
        <v>113</v>
      </c>
      <c r="W12346" s="42">
        <v>20122</v>
      </c>
      <c r="X12346" s="42">
        <v>20122</v>
      </c>
    </row>
    <row r="12347" spans="1:24">
      <c r="A12347" s="27" t="s">
        <v>22241</v>
      </c>
      <c r="B12347" s="28" t="s">
        <v>19918</v>
      </c>
      <c r="C12347" s="27" t="s">
        <v>22235</v>
      </c>
      <c r="D12347" s="27" t="s">
        <v>17578</v>
      </c>
      <c r="E12347" s="29">
        <v>35674</v>
      </c>
      <c r="F12347" s="27">
        <v>5</v>
      </c>
      <c r="G12347" s="18">
        <v>20122</v>
      </c>
      <c r="H12347" s="27">
        <f t="shared" si="384"/>
        <v>20122</v>
      </c>
      <c r="I12347" s="18">
        <v>19115.900000000001</v>
      </c>
      <c r="J12347" s="27">
        <v>20122</v>
      </c>
      <c r="K12347" s="18">
        <f t="shared" si="385"/>
        <v>20122</v>
      </c>
      <c r="L12347" s="27">
        <v>19115.900000000001</v>
      </c>
      <c r="M12347" s="36">
        <v>0</v>
      </c>
      <c r="T12347" s="41">
        <v>0</v>
      </c>
      <c r="U12347" s="41">
        <v>0</v>
      </c>
      <c r="V12347" s="42" t="s">
        <v>113</v>
      </c>
      <c r="W12347" s="42">
        <v>20122</v>
      </c>
      <c r="X12347" s="42">
        <v>20122</v>
      </c>
    </row>
    <row r="12348" spans="1:24">
      <c r="A12348" s="27" t="s">
        <v>22242</v>
      </c>
      <c r="B12348" s="28" t="s">
        <v>19918</v>
      </c>
      <c r="C12348" s="27" t="s">
        <v>22235</v>
      </c>
      <c r="D12348" s="27" t="s">
        <v>17578</v>
      </c>
      <c r="E12348" s="29">
        <v>35674</v>
      </c>
      <c r="F12348" s="27">
        <v>5</v>
      </c>
      <c r="G12348" s="18">
        <v>20122</v>
      </c>
      <c r="H12348" s="27">
        <f t="shared" si="384"/>
        <v>20122</v>
      </c>
      <c r="I12348" s="18">
        <v>19115.900000000001</v>
      </c>
      <c r="J12348" s="27">
        <v>20122</v>
      </c>
      <c r="K12348" s="18">
        <f t="shared" si="385"/>
        <v>20122</v>
      </c>
      <c r="L12348" s="27">
        <v>19115.900000000001</v>
      </c>
      <c r="M12348" s="36">
        <v>0</v>
      </c>
      <c r="T12348" s="41">
        <v>0</v>
      </c>
      <c r="U12348" s="41">
        <v>0</v>
      </c>
      <c r="V12348" s="42" t="s">
        <v>113</v>
      </c>
      <c r="W12348" s="42">
        <v>20122</v>
      </c>
      <c r="X12348" s="42">
        <v>20122</v>
      </c>
    </row>
    <row r="12349" spans="1:24">
      <c r="A12349" s="27" t="s">
        <v>22243</v>
      </c>
      <c r="B12349" s="28" t="s">
        <v>19918</v>
      </c>
      <c r="C12349" s="27" t="s">
        <v>22235</v>
      </c>
      <c r="D12349" s="27" t="s">
        <v>17578</v>
      </c>
      <c r="E12349" s="29">
        <v>35674</v>
      </c>
      <c r="F12349" s="27">
        <v>5</v>
      </c>
      <c r="G12349" s="18">
        <v>20122</v>
      </c>
      <c r="H12349" s="27">
        <f t="shared" si="384"/>
        <v>20122</v>
      </c>
      <c r="I12349" s="18">
        <v>19115.900000000001</v>
      </c>
      <c r="J12349" s="27">
        <v>20122</v>
      </c>
      <c r="K12349" s="18">
        <f t="shared" si="385"/>
        <v>20122</v>
      </c>
      <c r="L12349" s="27">
        <v>19115.900000000001</v>
      </c>
      <c r="M12349" s="36">
        <v>0</v>
      </c>
      <c r="T12349" s="41">
        <v>0</v>
      </c>
      <c r="U12349" s="41">
        <v>0</v>
      </c>
      <c r="V12349" s="42" t="s">
        <v>113</v>
      </c>
      <c r="W12349" s="42">
        <v>20122</v>
      </c>
      <c r="X12349" s="42">
        <v>20122</v>
      </c>
    </row>
    <row r="12350" spans="1:24">
      <c r="A12350" s="27" t="s">
        <v>22244</v>
      </c>
      <c r="B12350" s="28" t="s">
        <v>19918</v>
      </c>
      <c r="C12350" s="27" t="s">
        <v>22235</v>
      </c>
      <c r="D12350" s="27" t="s">
        <v>17578</v>
      </c>
      <c r="E12350" s="29">
        <v>35674</v>
      </c>
      <c r="F12350" s="27">
        <v>5</v>
      </c>
      <c r="G12350" s="18">
        <v>20129.2</v>
      </c>
      <c r="H12350" s="27">
        <f t="shared" si="384"/>
        <v>20129.2</v>
      </c>
      <c r="I12350" s="18">
        <v>19122.740000000002</v>
      </c>
      <c r="J12350" s="27">
        <v>20129.2</v>
      </c>
      <c r="K12350" s="18">
        <f t="shared" si="385"/>
        <v>20129.2</v>
      </c>
      <c r="L12350" s="27">
        <v>19122.740000000002</v>
      </c>
      <c r="M12350" s="36">
        <v>0</v>
      </c>
      <c r="T12350" s="41">
        <v>0</v>
      </c>
      <c r="U12350" s="41">
        <v>0</v>
      </c>
      <c r="V12350" s="42" t="s">
        <v>113</v>
      </c>
      <c r="W12350" s="42">
        <v>20129.2</v>
      </c>
      <c r="X12350" s="42">
        <v>20129.2</v>
      </c>
    </row>
    <row r="12351" spans="1:24">
      <c r="A12351" s="27" t="s">
        <v>22245</v>
      </c>
      <c r="B12351" s="28" t="s">
        <v>19918</v>
      </c>
      <c r="C12351" s="27" t="s">
        <v>22235</v>
      </c>
      <c r="D12351" s="27" t="s">
        <v>17578</v>
      </c>
      <c r="E12351" s="29">
        <v>35674</v>
      </c>
      <c r="F12351" s="27">
        <v>5</v>
      </c>
      <c r="G12351" s="18">
        <v>20122</v>
      </c>
      <c r="H12351" s="27">
        <f t="shared" si="384"/>
        <v>20122</v>
      </c>
      <c r="I12351" s="18">
        <v>19115.900000000001</v>
      </c>
      <c r="J12351" s="27">
        <v>20122</v>
      </c>
      <c r="K12351" s="18">
        <f t="shared" si="385"/>
        <v>20122</v>
      </c>
      <c r="L12351" s="27">
        <v>19115.900000000001</v>
      </c>
      <c r="M12351" s="36">
        <v>0</v>
      </c>
      <c r="T12351" s="41">
        <v>0</v>
      </c>
      <c r="U12351" s="41">
        <v>0</v>
      </c>
      <c r="V12351" s="42" t="s">
        <v>113</v>
      </c>
      <c r="W12351" s="42">
        <v>20122</v>
      </c>
      <c r="X12351" s="42">
        <v>20122</v>
      </c>
    </row>
    <row r="12352" spans="1:24">
      <c r="A12352" s="27" t="s">
        <v>22246</v>
      </c>
      <c r="B12352" s="28" t="s">
        <v>19918</v>
      </c>
      <c r="C12352" s="27" t="s">
        <v>22235</v>
      </c>
      <c r="D12352" s="27" t="s">
        <v>17578</v>
      </c>
      <c r="E12352" s="29">
        <v>35674</v>
      </c>
      <c r="F12352" s="27">
        <v>5</v>
      </c>
      <c r="G12352" s="18">
        <v>20122</v>
      </c>
      <c r="H12352" s="27">
        <f t="shared" si="384"/>
        <v>20122</v>
      </c>
      <c r="I12352" s="18">
        <v>19115.900000000001</v>
      </c>
      <c r="J12352" s="27">
        <v>20122</v>
      </c>
      <c r="K12352" s="18">
        <f t="shared" si="385"/>
        <v>20122</v>
      </c>
      <c r="L12352" s="27">
        <v>19115.900000000001</v>
      </c>
      <c r="M12352" s="36">
        <v>0</v>
      </c>
      <c r="T12352" s="41">
        <v>0</v>
      </c>
      <c r="U12352" s="41">
        <v>0</v>
      </c>
      <c r="V12352" s="42" t="s">
        <v>113</v>
      </c>
      <c r="W12352" s="42">
        <v>20122</v>
      </c>
      <c r="X12352" s="42">
        <v>20122</v>
      </c>
    </row>
    <row r="12353" spans="1:24">
      <c r="A12353" s="27" t="s">
        <v>22247</v>
      </c>
      <c r="B12353" s="28" t="s">
        <v>19918</v>
      </c>
      <c r="C12353" s="27" t="s">
        <v>22235</v>
      </c>
      <c r="D12353" s="27" t="s">
        <v>17578</v>
      </c>
      <c r="E12353" s="29">
        <v>35674</v>
      </c>
      <c r="F12353" s="27">
        <v>5</v>
      </c>
      <c r="G12353" s="18">
        <v>20122</v>
      </c>
      <c r="H12353" s="27">
        <f t="shared" si="384"/>
        <v>20122</v>
      </c>
      <c r="I12353" s="18">
        <v>19115.900000000001</v>
      </c>
      <c r="J12353" s="27">
        <v>20122</v>
      </c>
      <c r="K12353" s="18">
        <f t="shared" si="385"/>
        <v>20122</v>
      </c>
      <c r="L12353" s="27">
        <v>19115.900000000001</v>
      </c>
      <c r="M12353" s="36">
        <v>0</v>
      </c>
      <c r="T12353" s="41">
        <v>0</v>
      </c>
      <c r="U12353" s="41">
        <v>0</v>
      </c>
      <c r="V12353" s="42" t="s">
        <v>113</v>
      </c>
      <c r="W12353" s="42">
        <v>20122</v>
      </c>
      <c r="X12353" s="42">
        <v>20122</v>
      </c>
    </row>
    <row r="12354" spans="1:24">
      <c r="A12354" s="27" t="s">
        <v>22248</v>
      </c>
      <c r="B12354" s="28" t="s">
        <v>19918</v>
      </c>
      <c r="C12354" s="27" t="s">
        <v>22235</v>
      </c>
      <c r="D12354" s="27" t="s">
        <v>17578</v>
      </c>
      <c r="E12354" s="29">
        <v>35674</v>
      </c>
      <c r="F12354" s="27">
        <v>5</v>
      </c>
      <c r="G12354" s="18">
        <v>20122</v>
      </c>
      <c r="H12354" s="27">
        <f t="shared" si="384"/>
        <v>20122</v>
      </c>
      <c r="I12354" s="18">
        <v>19115.900000000001</v>
      </c>
      <c r="J12354" s="27">
        <v>20122</v>
      </c>
      <c r="K12354" s="18">
        <f t="shared" si="385"/>
        <v>20122</v>
      </c>
      <c r="L12354" s="27">
        <v>19115.900000000001</v>
      </c>
      <c r="M12354" s="36">
        <v>0</v>
      </c>
      <c r="T12354" s="41">
        <v>0</v>
      </c>
      <c r="U12354" s="41">
        <v>0</v>
      </c>
      <c r="V12354" s="42" t="s">
        <v>113</v>
      </c>
      <c r="W12354" s="42">
        <v>20122</v>
      </c>
      <c r="X12354" s="42">
        <v>20122</v>
      </c>
    </row>
    <row r="12355" spans="1:24">
      <c r="A12355" s="27" t="s">
        <v>22249</v>
      </c>
      <c r="B12355" s="28" t="s">
        <v>19918</v>
      </c>
      <c r="C12355" s="27" t="s">
        <v>22235</v>
      </c>
      <c r="D12355" s="27" t="s">
        <v>17578</v>
      </c>
      <c r="E12355" s="29">
        <v>35674</v>
      </c>
      <c r="F12355" s="27">
        <v>5</v>
      </c>
      <c r="G12355" s="18">
        <v>20122</v>
      </c>
      <c r="H12355" s="27">
        <f t="shared" si="384"/>
        <v>20122</v>
      </c>
      <c r="I12355" s="18">
        <v>19115.900000000001</v>
      </c>
      <c r="J12355" s="27">
        <v>20122</v>
      </c>
      <c r="K12355" s="18">
        <f t="shared" si="385"/>
        <v>20122</v>
      </c>
      <c r="L12355" s="27">
        <v>19115.900000000001</v>
      </c>
      <c r="M12355" s="36">
        <v>0</v>
      </c>
      <c r="T12355" s="41">
        <v>0</v>
      </c>
      <c r="U12355" s="41">
        <v>0</v>
      </c>
      <c r="V12355" s="42" t="s">
        <v>113</v>
      </c>
      <c r="W12355" s="42">
        <v>20122</v>
      </c>
      <c r="X12355" s="42">
        <v>20122</v>
      </c>
    </row>
    <row r="12356" spans="1:24">
      <c r="A12356" s="27" t="s">
        <v>22250</v>
      </c>
      <c r="B12356" s="28" t="s">
        <v>19918</v>
      </c>
      <c r="C12356" s="27" t="s">
        <v>22235</v>
      </c>
      <c r="D12356" s="27" t="s">
        <v>17578</v>
      </c>
      <c r="E12356" s="29">
        <v>35674</v>
      </c>
      <c r="F12356" s="27">
        <v>5</v>
      </c>
      <c r="G12356" s="18">
        <v>20122</v>
      </c>
      <c r="H12356" s="27">
        <f t="shared" si="384"/>
        <v>20122</v>
      </c>
      <c r="I12356" s="18">
        <v>19115.900000000001</v>
      </c>
      <c r="J12356" s="27">
        <v>20122</v>
      </c>
      <c r="K12356" s="18">
        <f t="shared" si="385"/>
        <v>20122</v>
      </c>
      <c r="L12356" s="27">
        <v>19115.900000000001</v>
      </c>
      <c r="M12356" s="36">
        <v>0</v>
      </c>
      <c r="T12356" s="41">
        <v>0</v>
      </c>
      <c r="U12356" s="41">
        <v>0</v>
      </c>
      <c r="V12356" s="42" t="s">
        <v>113</v>
      </c>
      <c r="W12356" s="42">
        <v>20122</v>
      </c>
      <c r="X12356" s="42">
        <v>20122</v>
      </c>
    </row>
    <row r="12357" spans="1:24">
      <c r="A12357" s="27" t="s">
        <v>22251</v>
      </c>
      <c r="B12357" s="28" t="s">
        <v>19918</v>
      </c>
      <c r="C12357" s="27" t="s">
        <v>22235</v>
      </c>
      <c r="D12357" s="27" t="s">
        <v>17578</v>
      </c>
      <c r="E12357" s="29">
        <v>35674</v>
      </c>
      <c r="F12357" s="27">
        <v>5</v>
      </c>
      <c r="G12357" s="18">
        <v>20122</v>
      </c>
      <c r="H12357" s="27">
        <f t="shared" si="384"/>
        <v>20122</v>
      </c>
      <c r="I12357" s="18">
        <v>19115.900000000001</v>
      </c>
      <c r="J12357" s="27">
        <v>20122</v>
      </c>
      <c r="K12357" s="18">
        <f t="shared" si="385"/>
        <v>20122</v>
      </c>
      <c r="L12357" s="27">
        <v>19115.900000000001</v>
      </c>
      <c r="M12357" s="36">
        <v>0</v>
      </c>
      <c r="T12357" s="41">
        <v>0</v>
      </c>
      <c r="U12357" s="41">
        <v>0</v>
      </c>
      <c r="V12357" s="42" t="s">
        <v>113</v>
      </c>
      <c r="W12357" s="42">
        <v>20122</v>
      </c>
      <c r="X12357" s="42">
        <v>20122</v>
      </c>
    </row>
    <row r="12358" spans="1:24">
      <c r="A12358" s="27" t="s">
        <v>22252</v>
      </c>
      <c r="B12358" s="28" t="s">
        <v>19918</v>
      </c>
      <c r="C12358" s="27" t="s">
        <v>22235</v>
      </c>
      <c r="D12358" s="27" t="s">
        <v>17578</v>
      </c>
      <c r="E12358" s="29">
        <v>35674</v>
      </c>
      <c r="F12358" s="27">
        <v>5</v>
      </c>
      <c r="G12358" s="18">
        <v>20122</v>
      </c>
      <c r="H12358" s="27">
        <f t="shared" ref="H12358:H12421" si="386">IFERROR(IF(ROUND((G12358-I12358)/G12358,2)&lt;=0.05,G12358,0),0)</f>
        <v>20122</v>
      </c>
      <c r="I12358" s="18">
        <v>19115.900000000001</v>
      </c>
      <c r="J12358" s="27">
        <v>20122</v>
      </c>
      <c r="K12358" s="18">
        <f t="shared" ref="K12358:K12421" si="387">IFERROR(IF(ROUND((J12358-L12358)/J12358,2)&lt;=0.05,J12358,0),0)</f>
        <v>20122</v>
      </c>
      <c r="L12358" s="27">
        <v>19115.900000000001</v>
      </c>
      <c r="M12358" s="36">
        <v>0</v>
      </c>
      <c r="T12358" s="41">
        <v>0</v>
      </c>
      <c r="U12358" s="41">
        <v>0</v>
      </c>
      <c r="V12358" s="42" t="s">
        <v>113</v>
      </c>
      <c r="W12358" s="42">
        <v>20122</v>
      </c>
      <c r="X12358" s="42">
        <v>20122</v>
      </c>
    </row>
    <row r="12359" spans="1:24">
      <c r="A12359" s="27" t="s">
        <v>22253</v>
      </c>
      <c r="B12359" s="28" t="s">
        <v>19918</v>
      </c>
      <c r="C12359" s="27" t="s">
        <v>22235</v>
      </c>
      <c r="D12359" s="27" t="s">
        <v>17578</v>
      </c>
      <c r="E12359" s="29">
        <v>35674</v>
      </c>
      <c r="F12359" s="27">
        <v>5</v>
      </c>
      <c r="G12359" s="18">
        <v>20122</v>
      </c>
      <c r="H12359" s="27">
        <f t="shared" si="386"/>
        <v>20122</v>
      </c>
      <c r="I12359" s="18">
        <v>19115.900000000001</v>
      </c>
      <c r="J12359" s="27">
        <v>20122</v>
      </c>
      <c r="K12359" s="18">
        <f t="shared" si="387"/>
        <v>20122</v>
      </c>
      <c r="L12359" s="27">
        <v>19115.900000000001</v>
      </c>
      <c r="M12359" s="36">
        <v>0</v>
      </c>
      <c r="T12359" s="41">
        <v>0</v>
      </c>
      <c r="U12359" s="41">
        <v>0</v>
      </c>
      <c r="V12359" s="42" t="s">
        <v>113</v>
      </c>
      <c r="W12359" s="42">
        <v>20122</v>
      </c>
      <c r="X12359" s="42">
        <v>20122</v>
      </c>
    </row>
    <row r="12360" spans="1:24">
      <c r="A12360" s="27" t="s">
        <v>22254</v>
      </c>
      <c r="B12360" s="28" t="s">
        <v>19918</v>
      </c>
      <c r="C12360" s="27" t="s">
        <v>22235</v>
      </c>
      <c r="D12360" s="27" t="s">
        <v>17578</v>
      </c>
      <c r="E12360" s="29">
        <v>37196</v>
      </c>
      <c r="F12360" s="27">
        <v>5</v>
      </c>
      <c r="G12360" s="18">
        <v>3529.58</v>
      </c>
      <c r="H12360" s="27">
        <f t="shared" si="386"/>
        <v>3529.58</v>
      </c>
      <c r="I12360" s="18">
        <v>3529.58</v>
      </c>
      <c r="J12360" s="27">
        <v>3529.58</v>
      </c>
      <c r="K12360" s="18">
        <f t="shared" si="387"/>
        <v>3529.58</v>
      </c>
      <c r="L12360" s="27">
        <v>3529.58</v>
      </c>
      <c r="M12360" s="36">
        <v>0</v>
      </c>
      <c r="T12360" s="41">
        <v>0</v>
      </c>
      <c r="U12360" s="41">
        <v>0</v>
      </c>
      <c r="V12360" s="42" t="s">
        <v>113</v>
      </c>
      <c r="W12360" s="42">
        <v>3529.58</v>
      </c>
      <c r="X12360" s="42">
        <v>3529.58</v>
      </c>
    </row>
    <row r="12361" spans="1:24">
      <c r="A12361" s="27" t="s">
        <v>22255</v>
      </c>
      <c r="B12361" s="28" t="s">
        <v>19918</v>
      </c>
      <c r="C12361" s="27" t="s">
        <v>22235</v>
      </c>
      <c r="D12361" s="27" t="s">
        <v>17578</v>
      </c>
      <c r="E12361" s="29">
        <v>37530</v>
      </c>
      <c r="F12361" s="27">
        <v>5</v>
      </c>
      <c r="G12361" s="18">
        <v>11220</v>
      </c>
      <c r="H12361" s="27">
        <f t="shared" si="386"/>
        <v>11220</v>
      </c>
      <c r="I12361" s="18">
        <v>10659</v>
      </c>
      <c r="J12361" s="27">
        <v>11220</v>
      </c>
      <c r="K12361" s="18">
        <f t="shared" si="387"/>
        <v>11220</v>
      </c>
      <c r="L12361" s="27">
        <v>10659</v>
      </c>
      <c r="M12361" s="36">
        <v>0</v>
      </c>
      <c r="T12361" s="41">
        <v>0</v>
      </c>
      <c r="U12361" s="41">
        <v>0</v>
      </c>
      <c r="V12361" s="42" t="s">
        <v>113</v>
      </c>
      <c r="W12361" s="42">
        <v>11220</v>
      </c>
      <c r="X12361" s="42">
        <v>11220</v>
      </c>
    </row>
    <row r="12362" spans="1:24">
      <c r="A12362" s="27" t="s">
        <v>22256</v>
      </c>
      <c r="B12362" s="28" t="s">
        <v>19918</v>
      </c>
      <c r="C12362" s="27" t="s">
        <v>22235</v>
      </c>
      <c r="D12362" s="27" t="s">
        <v>17578</v>
      </c>
      <c r="E12362" s="29">
        <v>37530</v>
      </c>
      <c r="F12362" s="27">
        <v>5</v>
      </c>
      <c r="G12362" s="18">
        <v>11220</v>
      </c>
      <c r="H12362" s="27">
        <f t="shared" si="386"/>
        <v>11220</v>
      </c>
      <c r="I12362" s="18">
        <v>10659</v>
      </c>
      <c r="J12362" s="27">
        <v>11220</v>
      </c>
      <c r="K12362" s="18">
        <f t="shared" si="387"/>
        <v>11220</v>
      </c>
      <c r="L12362" s="27">
        <v>10659</v>
      </c>
      <c r="M12362" s="36">
        <v>0</v>
      </c>
      <c r="T12362" s="41">
        <v>0</v>
      </c>
      <c r="U12362" s="41">
        <v>0</v>
      </c>
      <c r="V12362" s="42" t="s">
        <v>113</v>
      </c>
      <c r="W12362" s="42">
        <v>11220</v>
      </c>
      <c r="X12362" s="42">
        <v>11220</v>
      </c>
    </row>
    <row r="12363" spans="1:24">
      <c r="A12363" s="27" t="s">
        <v>22257</v>
      </c>
      <c r="B12363" s="28" t="s">
        <v>19918</v>
      </c>
      <c r="C12363" s="27" t="s">
        <v>22235</v>
      </c>
      <c r="D12363" s="27" t="s">
        <v>17578</v>
      </c>
      <c r="E12363" s="29">
        <v>37530</v>
      </c>
      <c r="F12363" s="27">
        <v>5</v>
      </c>
      <c r="G12363" s="18">
        <v>11220</v>
      </c>
      <c r="H12363" s="27">
        <f t="shared" si="386"/>
        <v>11220</v>
      </c>
      <c r="I12363" s="18">
        <v>10659</v>
      </c>
      <c r="J12363" s="27">
        <v>11220</v>
      </c>
      <c r="K12363" s="18">
        <f t="shared" si="387"/>
        <v>11220</v>
      </c>
      <c r="L12363" s="27">
        <v>10659</v>
      </c>
      <c r="M12363" s="36">
        <v>0</v>
      </c>
      <c r="T12363" s="41">
        <v>0</v>
      </c>
      <c r="U12363" s="41">
        <v>0</v>
      </c>
      <c r="V12363" s="42" t="s">
        <v>113</v>
      </c>
      <c r="W12363" s="42">
        <v>11220</v>
      </c>
      <c r="X12363" s="42">
        <v>11220</v>
      </c>
    </row>
    <row r="12364" spans="1:24">
      <c r="A12364" s="27" t="s">
        <v>22258</v>
      </c>
      <c r="B12364" s="28" t="s">
        <v>19918</v>
      </c>
      <c r="C12364" s="27" t="s">
        <v>22235</v>
      </c>
      <c r="D12364" s="27" t="s">
        <v>17578</v>
      </c>
      <c r="E12364" s="29">
        <v>37530</v>
      </c>
      <c r="F12364" s="27">
        <v>5</v>
      </c>
      <c r="G12364" s="18">
        <v>11220</v>
      </c>
      <c r="H12364" s="27">
        <f t="shared" si="386"/>
        <v>11220</v>
      </c>
      <c r="I12364" s="18">
        <v>10659</v>
      </c>
      <c r="J12364" s="27">
        <v>11220</v>
      </c>
      <c r="K12364" s="18">
        <f t="shared" si="387"/>
        <v>11220</v>
      </c>
      <c r="L12364" s="27">
        <v>10659</v>
      </c>
      <c r="M12364" s="36">
        <v>0</v>
      </c>
      <c r="T12364" s="41">
        <v>0</v>
      </c>
      <c r="U12364" s="41">
        <v>0</v>
      </c>
      <c r="V12364" s="42" t="s">
        <v>113</v>
      </c>
      <c r="W12364" s="42">
        <v>11220</v>
      </c>
      <c r="X12364" s="42">
        <v>11220</v>
      </c>
    </row>
    <row r="12365" spans="1:24">
      <c r="A12365" s="27" t="s">
        <v>22259</v>
      </c>
      <c r="B12365" s="28" t="s">
        <v>19918</v>
      </c>
      <c r="C12365" s="27" t="s">
        <v>22235</v>
      </c>
      <c r="D12365" s="27" t="s">
        <v>17578</v>
      </c>
      <c r="E12365" s="29">
        <v>37530</v>
      </c>
      <c r="F12365" s="27">
        <v>5</v>
      </c>
      <c r="G12365" s="18">
        <v>11220</v>
      </c>
      <c r="H12365" s="27">
        <f t="shared" si="386"/>
        <v>11220</v>
      </c>
      <c r="I12365" s="18">
        <v>10659</v>
      </c>
      <c r="J12365" s="27">
        <v>11220</v>
      </c>
      <c r="K12365" s="18">
        <f t="shared" si="387"/>
        <v>11220</v>
      </c>
      <c r="L12365" s="27">
        <v>10659</v>
      </c>
      <c r="M12365" s="36">
        <v>0</v>
      </c>
      <c r="T12365" s="41">
        <v>0</v>
      </c>
      <c r="U12365" s="41">
        <v>0</v>
      </c>
      <c r="V12365" s="42" t="s">
        <v>113</v>
      </c>
      <c r="W12365" s="42">
        <v>11220</v>
      </c>
      <c r="X12365" s="42">
        <v>11220</v>
      </c>
    </row>
    <row r="12366" spans="1:24">
      <c r="A12366" s="27" t="s">
        <v>22260</v>
      </c>
      <c r="B12366" s="28" t="s">
        <v>19918</v>
      </c>
      <c r="C12366" s="27" t="s">
        <v>22235</v>
      </c>
      <c r="D12366" s="27" t="s">
        <v>17578</v>
      </c>
      <c r="E12366" s="29">
        <v>37530</v>
      </c>
      <c r="F12366" s="27">
        <v>5</v>
      </c>
      <c r="G12366" s="18">
        <v>11220</v>
      </c>
      <c r="H12366" s="27">
        <f t="shared" si="386"/>
        <v>11220</v>
      </c>
      <c r="I12366" s="18">
        <v>10659</v>
      </c>
      <c r="J12366" s="27">
        <v>11220</v>
      </c>
      <c r="K12366" s="18">
        <f t="shared" si="387"/>
        <v>11220</v>
      </c>
      <c r="L12366" s="27">
        <v>10659</v>
      </c>
      <c r="M12366" s="36">
        <v>0</v>
      </c>
      <c r="T12366" s="41">
        <v>0</v>
      </c>
      <c r="U12366" s="41">
        <v>0</v>
      </c>
      <c r="V12366" s="42" t="s">
        <v>113</v>
      </c>
      <c r="W12366" s="42">
        <v>11220</v>
      </c>
      <c r="X12366" s="42">
        <v>11220</v>
      </c>
    </row>
    <row r="12367" spans="1:24">
      <c r="A12367" s="27" t="s">
        <v>22261</v>
      </c>
      <c r="B12367" s="28" t="s">
        <v>19918</v>
      </c>
      <c r="C12367" s="27" t="s">
        <v>22235</v>
      </c>
      <c r="D12367" s="27" t="s">
        <v>17578</v>
      </c>
      <c r="E12367" s="29">
        <v>37530</v>
      </c>
      <c r="F12367" s="27">
        <v>5</v>
      </c>
      <c r="G12367" s="18">
        <v>11220</v>
      </c>
      <c r="H12367" s="27">
        <f t="shared" si="386"/>
        <v>11220</v>
      </c>
      <c r="I12367" s="18">
        <v>10659</v>
      </c>
      <c r="J12367" s="27">
        <v>11220</v>
      </c>
      <c r="K12367" s="18">
        <f t="shared" si="387"/>
        <v>11220</v>
      </c>
      <c r="L12367" s="27">
        <v>10659</v>
      </c>
      <c r="M12367" s="36">
        <v>0</v>
      </c>
      <c r="T12367" s="41">
        <v>0</v>
      </c>
      <c r="U12367" s="41">
        <v>0</v>
      </c>
      <c r="V12367" s="42" t="s">
        <v>113</v>
      </c>
      <c r="W12367" s="42">
        <v>11220</v>
      </c>
      <c r="X12367" s="42">
        <v>11220</v>
      </c>
    </row>
    <row r="12368" spans="1:24">
      <c r="A12368" s="27" t="s">
        <v>22262</v>
      </c>
      <c r="B12368" s="28" t="s">
        <v>19918</v>
      </c>
      <c r="C12368" s="27" t="s">
        <v>22235</v>
      </c>
      <c r="D12368" s="27" t="s">
        <v>17578</v>
      </c>
      <c r="E12368" s="29">
        <v>37530</v>
      </c>
      <c r="F12368" s="27">
        <v>5</v>
      </c>
      <c r="G12368" s="18">
        <v>11220</v>
      </c>
      <c r="H12368" s="27">
        <f t="shared" si="386"/>
        <v>11220</v>
      </c>
      <c r="I12368" s="18">
        <v>10659</v>
      </c>
      <c r="J12368" s="27">
        <v>11220</v>
      </c>
      <c r="K12368" s="18">
        <f t="shared" si="387"/>
        <v>11220</v>
      </c>
      <c r="L12368" s="27">
        <v>10659</v>
      </c>
      <c r="M12368" s="36">
        <v>0</v>
      </c>
      <c r="T12368" s="41">
        <v>0</v>
      </c>
      <c r="U12368" s="41">
        <v>0</v>
      </c>
      <c r="V12368" s="42" t="s">
        <v>113</v>
      </c>
      <c r="W12368" s="42">
        <v>11220</v>
      </c>
      <c r="X12368" s="42">
        <v>11220</v>
      </c>
    </row>
    <row r="12369" spans="1:24">
      <c r="A12369" s="27" t="s">
        <v>22263</v>
      </c>
      <c r="B12369" s="28" t="s">
        <v>19918</v>
      </c>
      <c r="C12369" s="27" t="s">
        <v>22235</v>
      </c>
      <c r="D12369" s="27" t="s">
        <v>17578</v>
      </c>
      <c r="E12369" s="29">
        <v>37530</v>
      </c>
      <c r="F12369" s="27">
        <v>5</v>
      </c>
      <c r="G12369" s="18">
        <v>11220</v>
      </c>
      <c r="H12369" s="27">
        <f t="shared" si="386"/>
        <v>11220</v>
      </c>
      <c r="I12369" s="18">
        <v>10659</v>
      </c>
      <c r="J12369" s="27">
        <v>11220</v>
      </c>
      <c r="K12369" s="18">
        <f t="shared" si="387"/>
        <v>11220</v>
      </c>
      <c r="L12369" s="27">
        <v>10659</v>
      </c>
      <c r="M12369" s="36">
        <v>0</v>
      </c>
      <c r="T12369" s="41">
        <v>0</v>
      </c>
      <c r="U12369" s="41">
        <v>0</v>
      </c>
      <c r="V12369" s="42" t="s">
        <v>113</v>
      </c>
      <c r="W12369" s="42">
        <v>11220</v>
      </c>
      <c r="X12369" s="42">
        <v>11220</v>
      </c>
    </row>
    <row r="12370" spans="1:24">
      <c r="A12370" s="27" t="s">
        <v>22264</v>
      </c>
      <c r="B12370" s="28" t="s">
        <v>19918</v>
      </c>
      <c r="C12370" s="27" t="s">
        <v>22235</v>
      </c>
      <c r="D12370" s="27" t="s">
        <v>17578</v>
      </c>
      <c r="E12370" s="29">
        <v>37530</v>
      </c>
      <c r="F12370" s="27">
        <v>5</v>
      </c>
      <c r="G12370" s="18">
        <v>11220</v>
      </c>
      <c r="H12370" s="27">
        <f t="shared" si="386"/>
        <v>11220</v>
      </c>
      <c r="I12370" s="18">
        <v>10659</v>
      </c>
      <c r="J12370" s="27">
        <v>11220</v>
      </c>
      <c r="K12370" s="18">
        <f t="shared" si="387"/>
        <v>11220</v>
      </c>
      <c r="L12370" s="27">
        <v>10659</v>
      </c>
      <c r="M12370" s="36">
        <v>0</v>
      </c>
      <c r="T12370" s="41">
        <v>0</v>
      </c>
      <c r="U12370" s="41">
        <v>0</v>
      </c>
      <c r="V12370" s="42" t="s">
        <v>113</v>
      </c>
      <c r="W12370" s="42">
        <v>11220</v>
      </c>
      <c r="X12370" s="42">
        <v>11220</v>
      </c>
    </row>
    <row r="12371" spans="1:24">
      <c r="A12371" s="27" t="s">
        <v>22265</v>
      </c>
      <c r="B12371" s="28" t="s">
        <v>19918</v>
      </c>
      <c r="C12371" s="27" t="s">
        <v>22235</v>
      </c>
      <c r="D12371" s="27" t="s">
        <v>17578</v>
      </c>
      <c r="E12371" s="29">
        <v>37530</v>
      </c>
      <c r="F12371" s="27">
        <v>5</v>
      </c>
      <c r="G12371" s="18">
        <v>11220</v>
      </c>
      <c r="H12371" s="27">
        <f t="shared" si="386"/>
        <v>11220</v>
      </c>
      <c r="I12371" s="18">
        <v>10659</v>
      </c>
      <c r="J12371" s="27">
        <v>11220</v>
      </c>
      <c r="K12371" s="18">
        <f t="shared" si="387"/>
        <v>11220</v>
      </c>
      <c r="L12371" s="27">
        <v>10659</v>
      </c>
      <c r="M12371" s="36">
        <v>0</v>
      </c>
      <c r="T12371" s="41">
        <v>0</v>
      </c>
      <c r="U12371" s="41">
        <v>0</v>
      </c>
      <c r="V12371" s="42" t="s">
        <v>113</v>
      </c>
      <c r="W12371" s="42">
        <v>11220</v>
      </c>
      <c r="X12371" s="42">
        <v>11220</v>
      </c>
    </row>
    <row r="12372" spans="1:24">
      <c r="A12372" s="27" t="s">
        <v>22266</v>
      </c>
      <c r="B12372" s="28" t="s">
        <v>19918</v>
      </c>
      <c r="C12372" s="27" t="s">
        <v>22235</v>
      </c>
      <c r="D12372" s="27" t="s">
        <v>17578</v>
      </c>
      <c r="E12372" s="29">
        <v>37530</v>
      </c>
      <c r="F12372" s="27">
        <v>5</v>
      </c>
      <c r="G12372" s="18">
        <v>11220</v>
      </c>
      <c r="H12372" s="27">
        <f t="shared" si="386"/>
        <v>11220</v>
      </c>
      <c r="I12372" s="18">
        <v>10659</v>
      </c>
      <c r="J12372" s="27">
        <v>11220</v>
      </c>
      <c r="K12372" s="18">
        <f t="shared" si="387"/>
        <v>11220</v>
      </c>
      <c r="L12372" s="27">
        <v>10659</v>
      </c>
      <c r="M12372" s="36">
        <v>0</v>
      </c>
      <c r="T12372" s="41">
        <v>0</v>
      </c>
      <c r="U12372" s="41">
        <v>0</v>
      </c>
      <c r="V12372" s="42" t="s">
        <v>113</v>
      </c>
      <c r="W12372" s="42">
        <v>11220</v>
      </c>
      <c r="X12372" s="42">
        <v>11220</v>
      </c>
    </row>
    <row r="12373" spans="1:24">
      <c r="A12373" s="27" t="s">
        <v>22267</v>
      </c>
      <c r="B12373" s="28" t="s">
        <v>19918</v>
      </c>
      <c r="C12373" s="27" t="s">
        <v>22235</v>
      </c>
      <c r="D12373" s="27" t="s">
        <v>17578</v>
      </c>
      <c r="E12373" s="29">
        <v>37530</v>
      </c>
      <c r="F12373" s="27">
        <v>5</v>
      </c>
      <c r="G12373" s="18">
        <v>11220</v>
      </c>
      <c r="H12373" s="27">
        <f t="shared" si="386"/>
        <v>11220</v>
      </c>
      <c r="I12373" s="18">
        <v>10659</v>
      </c>
      <c r="J12373" s="27">
        <v>11220</v>
      </c>
      <c r="K12373" s="18">
        <f t="shared" si="387"/>
        <v>11220</v>
      </c>
      <c r="L12373" s="27">
        <v>10659</v>
      </c>
      <c r="M12373" s="36">
        <v>0</v>
      </c>
      <c r="T12373" s="41">
        <v>0</v>
      </c>
      <c r="U12373" s="41">
        <v>0</v>
      </c>
      <c r="V12373" s="42" t="s">
        <v>113</v>
      </c>
      <c r="W12373" s="42">
        <v>11220</v>
      </c>
      <c r="X12373" s="42">
        <v>11220</v>
      </c>
    </row>
    <row r="12374" spans="1:24">
      <c r="A12374" s="27" t="s">
        <v>22268</v>
      </c>
      <c r="B12374" s="28" t="s">
        <v>19918</v>
      </c>
      <c r="C12374" s="27" t="s">
        <v>22235</v>
      </c>
      <c r="D12374" s="27" t="s">
        <v>17578</v>
      </c>
      <c r="E12374" s="29">
        <v>37530</v>
      </c>
      <c r="F12374" s="27">
        <v>5</v>
      </c>
      <c r="G12374" s="18">
        <v>11220</v>
      </c>
      <c r="H12374" s="27">
        <f t="shared" si="386"/>
        <v>11220</v>
      </c>
      <c r="I12374" s="18">
        <v>10659</v>
      </c>
      <c r="J12374" s="27">
        <v>11220</v>
      </c>
      <c r="K12374" s="18">
        <f t="shared" si="387"/>
        <v>11220</v>
      </c>
      <c r="L12374" s="27">
        <v>10659</v>
      </c>
      <c r="M12374" s="36">
        <v>0</v>
      </c>
      <c r="T12374" s="41">
        <v>0</v>
      </c>
      <c r="U12374" s="41">
        <v>0</v>
      </c>
      <c r="V12374" s="42" t="s">
        <v>113</v>
      </c>
      <c r="W12374" s="42">
        <v>11220</v>
      </c>
      <c r="X12374" s="42">
        <v>11220</v>
      </c>
    </row>
    <row r="12375" spans="1:24">
      <c r="A12375" s="27" t="s">
        <v>22269</v>
      </c>
      <c r="B12375" s="28" t="s">
        <v>19918</v>
      </c>
      <c r="C12375" s="27" t="s">
        <v>22235</v>
      </c>
      <c r="D12375" s="27" t="s">
        <v>17578</v>
      </c>
      <c r="E12375" s="29">
        <v>37530</v>
      </c>
      <c r="F12375" s="27">
        <v>5</v>
      </c>
      <c r="G12375" s="18">
        <v>11220</v>
      </c>
      <c r="H12375" s="27">
        <f t="shared" si="386"/>
        <v>11220</v>
      </c>
      <c r="I12375" s="18">
        <v>10659</v>
      </c>
      <c r="J12375" s="27">
        <v>11220</v>
      </c>
      <c r="K12375" s="18">
        <f t="shared" si="387"/>
        <v>11220</v>
      </c>
      <c r="L12375" s="27">
        <v>10659</v>
      </c>
      <c r="M12375" s="36">
        <v>0</v>
      </c>
      <c r="T12375" s="41">
        <v>0</v>
      </c>
      <c r="U12375" s="41">
        <v>0</v>
      </c>
      <c r="V12375" s="42" t="s">
        <v>113</v>
      </c>
      <c r="W12375" s="42">
        <v>11220</v>
      </c>
      <c r="X12375" s="42">
        <v>11220</v>
      </c>
    </row>
    <row r="12376" spans="1:24">
      <c r="A12376" s="27" t="s">
        <v>22270</v>
      </c>
      <c r="B12376" s="28" t="s">
        <v>19918</v>
      </c>
      <c r="C12376" s="27" t="s">
        <v>22235</v>
      </c>
      <c r="D12376" s="27" t="s">
        <v>17578</v>
      </c>
      <c r="E12376" s="29">
        <v>37530</v>
      </c>
      <c r="F12376" s="27">
        <v>5</v>
      </c>
      <c r="G12376" s="18">
        <v>11220</v>
      </c>
      <c r="H12376" s="27">
        <f t="shared" si="386"/>
        <v>11220</v>
      </c>
      <c r="I12376" s="18">
        <v>10659</v>
      </c>
      <c r="J12376" s="27">
        <v>11220</v>
      </c>
      <c r="K12376" s="18">
        <f t="shared" si="387"/>
        <v>11220</v>
      </c>
      <c r="L12376" s="27">
        <v>10659</v>
      </c>
      <c r="M12376" s="36">
        <v>0</v>
      </c>
      <c r="T12376" s="41">
        <v>0</v>
      </c>
      <c r="U12376" s="41">
        <v>0</v>
      </c>
      <c r="V12376" s="42" t="s">
        <v>113</v>
      </c>
      <c r="W12376" s="42">
        <v>11220</v>
      </c>
      <c r="X12376" s="42">
        <v>11220</v>
      </c>
    </row>
    <row r="12377" spans="1:24">
      <c r="A12377" s="27" t="s">
        <v>22271</v>
      </c>
      <c r="B12377" s="28" t="s">
        <v>19918</v>
      </c>
      <c r="C12377" s="27" t="s">
        <v>22235</v>
      </c>
      <c r="D12377" s="27" t="s">
        <v>17578</v>
      </c>
      <c r="E12377" s="29">
        <v>37530</v>
      </c>
      <c r="F12377" s="27">
        <v>5</v>
      </c>
      <c r="G12377" s="18">
        <v>11220</v>
      </c>
      <c r="H12377" s="27">
        <f t="shared" si="386"/>
        <v>11220</v>
      </c>
      <c r="I12377" s="18">
        <v>10659</v>
      </c>
      <c r="J12377" s="27">
        <v>11220</v>
      </c>
      <c r="K12377" s="18">
        <f t="shared" si="387"/>
        <v>11220</v>
      </c>
      <c r="L12377" s="27">
        <v>10659</v>
      </c>
      <c r="M12377" s="36">
        <v>0</v>
      </c>
      <c r="T12377" s="41">
        <v>0</v>
      </c>
      <c r="U12377" s="41">
        <v>0</v>
      </c>
      <c r="V12377" s="42" t="s">
        <v>113</v>
      </c>
      <c r="W12377" s="42">
        <v>11220</v>
      </c>
      <c r="X12377" s="42">
        <v>11220</v>
      </c>
    </row>
    <row r="12378" spans="1:24">
      <c r="A12378" s="27" t="s">
        <v>22272</v>
      </c>
      <c r="B12378" s="28" t="s">
        <v>19918</v>
      </c>
      <c r="C12378" s="27" t="s">
        <v>22235</v>
      </c>
      <c r="D12378" s="27" t="s">
        <v>17578</v>
      </c>
      <c r="E12378" s="29">
        <v>37530</v>
      </c>
      <c r="F12378" s="27">
        <v>5</v>
      </c>
      <c r="G12378" s="18">
        <v>11220</v>
      </c>
      <c r="H12378" s="27">
        <f t="shared" si="386"/>
        <v>11220</v>
      </c>
      <c r="I12378" s="18">
        <v>10659</v>
      </c>
      <c r="J12378" s="27">
        <v>11220</v>
      </c>
      <c r="K12378" s="18">
        <f t="shared" si="387"/>
        <v>11220</v>
      </c>
      <c r="L12378" s="27">
        <v>10659</v>
      </c>
      <c r="M12378" s="36">
        <v>0</v>
      </c>
      <c r="T12378" s="41">
        <v>0</v>
      </c>
      <c r="U12378" s="41">
        <v>0</v>
      </c>
      <c r="V12378" s="42" t="s">
        <v>113</v>
      </c>
      <c r="W12378" s="42">
        <v>11220</v>
      </c>
      <c r="X12378" s="42">
        <v>11220</v>
      </c>
    </row>
    <row r="12379" spans="1:24">
      <c r="A12379" s="27" t="s">
        <v>22273</v>
      </c>
      <c r="B12379" s="28" t="s">
        <v>19918</v>
      </c>
      <c r="C12379" s="27" t="s">
        <v>22235</v>
      </c>
      <c r="D12379" s="27" t="s">
        <v>17578</v>
      </c>
      <c r="E12379" s="29">
        <v>37530</v>
      </c>
      <c r="F12379" s="27">
        <v>5</v>
      </c>
      <c r="G12379" s="18">
        <v>11220</v>
      </c>
      <c r="H12379" s="27">
        <f t="shared" si="386"/>
        <v>11220</v>
      </c>
      <c r="I12379" s="18">
        <v>10659</v>
      </c>
      <c r="J12379" s="27">
        <v>11220</v>
      </c>
      <c r="K12379" s="18">
        <f t="shared" si="387"/>
        <v>11220</v>
      </c>
      <c r="L12379" s="27">
        <v>10659</v>
      </c>
      <c r="M12379" s="36">
        <v>0</v>
      </c>
      <c r="T12379" s="41">
        <v>0</v>
      </c>
      <c r="U12379" s="41">
        <v>0</v>
      </c>
      <c r="V12379" s="42" t="s">
        <v>113</v>
      </c>
      <c r="W12379" s="42">
        <v>11220</v>
      </c>
      <c r="X12379" s="42">
        <v>11220</v>
      </c>
    </row>
    <row r="12380" spans="1:24">
      <c r="A12380" s="27" t="s">
        <v>22274</v>
      </c>
      <c r="B12380" s="28" t="s">
        <v>19918</v>
      </c>
      <c r="C12380" s="27" t="s">
        <v>22235</v>
      </c>
      <c r="D12380" s="27" t="s">
        <v>17578</v>
      </c>
      <c r="E12380" s="29">
        <v>37591</v>
      </c>
      <c r="F12380" s="27">
        <v>5</v>
      </c>
      <c r="G12380" s="18">
        <v>5200</v>
      </c>
      <c r="H12380" s="27">
        <f t="shared" si="386"/>
        <v>5200</v>
      </c>
      <c r="I12380" s="18">
        <v>4940</v>
      </c>
      <c r="J12380" s="27">
        <v>5200</v>
      </c>
      <c r="K12380" s="18">
        <f t="shared" si="387"/>
        <v>5200</v>
      </c>
      <c r="L12380" s="27">
        <v>4940</v>
      </c>
      <c r="M12380" s="36">
        <v>0</v>
      </c>
      <c r="T12380" s="41">
        <v>0</v>
      </c>
      <c r="U12380" s="41">
        <v>0</v>
      </c>
      <c r="V12380" s="42" t="s">
        <v>113</v>
      </c>
      <c r="W12380" s="42">
        <v>5200</v>
      </c>
      <c r="X12380" s="42">
        <v>5200</v>
      </c>
    </row>
    <row r="12381" spans="1:24">
      <c r="A12381" s="27" t="s">
        <v>22275</v>
      </c>
      <c r="B12381" s="28" t="s">
        <v>19918</v>
      </c>
      <c r="C12381" s="27" t="s">
        <v>22235</v>
      </c>
      <c r="D12381" s="27" t="s">
        <v>17578</v>
      </c>
      <c r="E12381" s="29">
        <v>37865</v>
      </c>
      <c r="F12381" s="27">
        <v>5</v>
      </c>
      <c r="G12381" s="18">
        <v>11330</v>
      </c>
      <c r="H12381" s="27">
        <f t="shared" si="386"/>
        <v>11330</v>
      </c>
      <c r="I12381" s="18">
        <v>10763.5</v>
      </c>
      <c r="J12381" s="27">
        <v>11330</v>
      </c>
      <c r="K12381" s="18">
        <f t="shared" si="387"/>
        <v>11330</v>
      </c>
      <c r="L12381" s="27">
        <v>10763.5</v>
      </c>
      <c r="M12381" s="36">
        <v>0</v>
      </c>
      <c r="T12381" s="41">
        <v>0</v>
      </c>
      <c r="U12381" s="41">
        <v>0</v>
      </c>
      <c r="V12381" s="42" t="s">
        <v>113</v>
      </c>
      <c r="W12381" s="42">
        <v>11330</v>
      </c>
      <c r="X12381" s="42">
        <v>11330</v>
      </c>
    </row>
    <row r="12382" spans="1:24">
      <c r="A12382" s="27" t="s">
        <v>22276</v>
      </c>
      <c r="B12382" s="28" t="s">
        <v>19918</v>
      </c>
      <c r="C12382" s="27" t="s">
        <v>22235</v>
      </c>
      <c r="D12382" s="27" t="s">
        <v>17578</v>
      </c>
      <c r="E12382" s="29">
        <v>37865</v>
      </c>
      <c r="F12382" s="27">
        <v>5</v>
      </c>
      <c r="G12382" s="18">
        <v>11330</v>
      </c>
      <c r="H12382" s="27">
        <f t="shared" si="386"/>
        <v>11330</v>
      </c>
      <c r="I12382" s="18">
        <v>10763.5</v>
      </c>
      <c r="J12382" s="27">
        <v>11330</v>
      </c>
      <c r="K12382" s="18">
        <f t="shared" si="387"/>
        <v>11330</v>
      </c>
      <c r="L12382" s="27">
        <v>10763.5</v>
      </c>
      <c r="M12382" s="36">
        <v>0</v>
      </c>
      <c r="T12382" s="41">
        <v>0</v>
      </c>
      <c r="U12382" s="41">
        <v>0</v>
      </c>
      <c r="V12382" s="42" t="s">
        <v>113</v>
      </c>
      <c r="W12382" s="42">
        <v>11330</v>
      </c>
      <c r="X12382" s="42">
        <v>11330</v>
      </c>
    </row>
    <row r="12383" spans="1:24">
      <c r="A12383" s="27" t="s">
        <v>22277</v>
      </c>
      <c r="B12383" s="28" t="s">
        <v>19918</v>
      </c>
      <c r="C12383" s="27" t="s">
        <v>22235</v>
      </c>
      <c r="D12383" s="27" t="s">
        <v>17578</v>
      </c>
      <c r="E12383" s="29">
        <v>37865</v>
      </c>
      <c r="F12383" s="27">
        <v>5</v>
      </c>
      <c r="G12383" s="18">
        <v>11330</v>
      </c>
      <c r="H12383" s="27">
        <f t="shared" si="386"/>
        <v>11330</v>
      </c>
      <c r="I12383" s="18">
        <v>10763.5</v>
      </c>
      <c r="J12383" s="27">
        <v>11330</v>
      </c>
      <c r="K12383" s="18">
        <f t="shared" si="387"/>
        <v>11330</v>
      </c>
      <c r="L12383" s="27">
        <v>10763.5</v>
      </c>
      <c r="M12383" s="36">
        <v>0</v>
      </c>
      <c r="T12383" s="41">
        <v>0</v>
      </c>
      <c r="U12383" s="41">
        <v>0</v>
      </c>
      <c r="V12383" s="42" t="s">
        <v>113</v>
      </c>
      <c r="W12383" s="42">
        <v>11330</v>
      </c>
      <c r="X12383" s="42">
        <v>11330</v>
      </c>
    </row>
    <row r="12384" spans="1:24">
      <c r="A12384" s="27" t="s">
        <v>22278</v>
      </c>
      <c r="B12384" s="28" t="s">
        <v>19918</v>
      </c>
      <c r="C12384" s="27" t="s">
        <v>22235</v>
      </c>
      <c r="D12384" s="27" t="s">
        <v>17578</v>
      </c>
      <c r="E12384" s="29">
        <v>37865</v>
      </c>
      <c r="F12384" s="27">
        <v>5</v>
      </c>
      <c r="G12384" s="18">
        <v>11330</v>
      </c>
      <c r="H12384" s="27">
        <f t="shared" si="386"/>
        <v>11330</v>
      </c>
      <c r="I12384" s="18">
        <v>10763.5</v>
      </c>
      <c r="J12384" s="27">
        <v>11330</v>
      </c>
      <c r="K12384" s="18">
        <f t="shared" si="387"/>
        <v>11330</v>
      </c>
      <c r="L12384" s="27">
        <v>10763.5</v>
      </c>
      <c r="M12384" s="36">
        <v>0</v>
      </c>
      <c r="T12384" s="41">
        <v>0</v>
      </c>
      <c r="U12384" s="41">
        <v>0</v>
      </c>
      <c r="V12384" s="42" t="s">
        <v>113</v>
      </c>
      <c r="W12384" s="42">
        <v>11330</v>
      </c>
      <c r="X12384" s="42">
        <v>11330</v>
      </c>
    </row>
    <row r="12385" spans="1:24">
      <c r="A12385" s="27" t="s">
        <v>22279</v>
      </c>
      <c r="B12385" s="28" t="s">
        <v>19918</v>
      </c>
      <c r="C12385" s="27" t="s">
        <v>22235</v>
      </c>
      <c r="D12385" s="27" t="s">
        <v>17578</v>
      </c>
      <c r="E12385" s="29">
        <v>37865</v>
      </c>
      <c r="F12385" s="27">
        <v>5</v>
      </c>
      <c r="G12385" s="18">
        <v>11330</v>
      </c>
      <c r="H12385" s="27">
        <f t="shared" si="386"/>
        <v>11330</v>
      </c>
      <c r="I12385" s="18">
        <v>10763.5</v>
      </c>
      <c r="J12385" s="27">
        <v>11330</v>
      </c>
      <c r="K12385" s="18">
        <f t="shared" si="387"/>
        <v>11330</v>
      </c>
      <c r="L12385" s="27">
        <v>10763.5</v>
      </c>
      <c r="M12385" s="36">
        <v>0</v>
      </c>
      <c r="T12385" s="41">
        <v>0</v>
      </c>
      <c r="U12385" s="41">
        <v>0</v>
      </c>
      <c r="V12385" s="42" t="s">
        <v>113</v>
      </c>
      <c r="W12385" s="42">
        <v>11330</v>
      </c>
      <c r="X12385" s="42">
        <v>11330</v>
      </c>
    </row>
    <row r="12386" spans="1:24">
      <c r="A12386" s="27" t="s">
        <v>22280</v>
      </c>
      <c r="B12386" s="28" t="s">
        <v>19918</v>
      </c>
      <c r="C12386" s="27" t="s">
        <v>22235</v>
      </c>
      <c r="D12386" s="27" t="s">
        <v>17578</v>
      </c>
      <c r="E12386" s="29">
        <v>37865</v>
      </c>
      <c r="F12386" s="27">
        <v>5</v>
      </c>
      <c r="G12386" s="18">
        <v>11330</v>
      </c>
      <c r="H12386" s="27">
        <f t="shared" si="386"/>
        <v>11330</v>
      </c>
      <c r="I12386" s="18">
        <v>10763.5</v>
      </c>
      <c r="J12386" s="27">
        <v>11330</v>
      </c>
      <c r="K12386" s="18">
        <f t="shared" si="387"/>
        <v>11330</v>
      </c>
      <c r="L12386" s="27">
        <v>10763.5</v>
      </c>
      <c r="M12386" s="36">
        <v>0</v>
      </c>
      <c r="T12386" s="41">
        <v>0</v>
      </c>
      <c r="U12386" s="41">
        <v>0</v>
      </c>
      <c r="V12386" s="42" t="s">
        <v>113</v>
      </c>
      <c r="W12386" s="42">
        <v>11330</v>
      </c>
      <c r="X12386" s="42">
        <v>11330</v>
      </c>
    </row>
    <row r="12387" spans="1:24">
      <c r="A12387" s="27" t="s">
        <v>22281</v>
      </c>
      <c r="B12387" s="28" t="s">
        <v>19918</v>
      </c>
      <c r="C12387" s="27" t="s">
        <v>22235</v>
      </c>
      <c r="D12387" s="27" t="s">
        <v>17578</v>
      </c>
      <c r="E12387" s="29">
        <v>37865</v>
      </c>
      <c r="F12387" s="27">
        <v>5</v>
      </c>
      <c r="G12387" s="18">
        <v>11330</v>
      </c>
      <c r="H12387" s="27">
        <f t="shared" si="386"/>
        <v>11330</v>
      </c>
      <c r="I12387" s="18">
        <v>10763.5</v>
      </c>
      <c r="J12387" s="27">
        <v>11330</v>
      </c>
      <c r="K12387" s="18">
        <f t="shared" si="387"/>
        <v>11330</v>
      </c>
      <c r="L12387" s="27">
        <v>10763.5</v>
      </c>
      <c r="M12387" s="36">
        <v>0</v>
      </c>
      <c r="T12387" s="41">
        <v>0</v>
      </c>
      <c r="U12387" s="41">
        <v>0</v>
      </c>
      <c r="V12387" s="42" t="s">
        <v>113</v>
      </c>
      <c r="W12387" s="42">
        <v>11330</v>
      </c>
      <c r="X12387" s="42">
        <v>11330</v>
      </c>
    </row>
    <row r="12388" spans="1:24">
      <c r="A12388" s="27" t="s">
        <v>22282</v>
      </c>
      <c r="B12388" s="28" t="s">
        <v>19918</v>
      </c>
      <c r="C12388" s="27" t="s">
        <v>22235</v>
      </c>
      <c r="D12388" s="27" t="s">
        <v>17578</v>
      </c>
      <c r="E12388" s="29">
        <v>37865</v>
      </c>
      <c r="F12388" s="27">
        <v>5</v>
      </c>
      <c r="G12388" s="18">
        <v>11330</v>
      </c>
      <c r="H12388" s="27">
        <f t="shared" si="386"/>
        <v>11330</v>
      </c>
      <c r="I12388" s="18">
        <v>10763.5</v>
      </c>
      <c r="J12388" s="27">
        <v>11330</v>
      </c>
      <c r="K12388" s="18">
        <f t="shared" si="387"/>
        <v>11330</v>
      </c>
      <c r="L12388" s="27">
        <v>10763.5</v>
      </c>
      <c r="M12388" s="36">
        <v>0</v>
      </c>
      <c r="T12388" s="41">
        <v>0</v>
      </c>
      <c r="U12388" s="41">
        <v>0</v>
      </c>
      <c r="V12388" s="42" t="s">
        <v>113</v>
      </c>
      <c r="W12388" s="42">
        <v>11330</v>
      </c>
      <c r="X12388" s="42">
        <v>11330</v>
      </c>
    </row>
    <row r="12389" spans="1:24">
      <c r="A12389" s="27" t="s">
        <v>22283</v>
      </c>
      <c r="B12389" s="28" t="s">
        <v>19918</v>
      </c>
      <c r="C12389" s="27" t="s">
        <v>22235</v>
      </c>
      <c r="D12389" s="27" t="s">
        <v>17578</v>
      </c>
      <c r="E12389" s="29">
        <v>37865</v>
      </c>
      <c r="F12389" s="27">
        <v>5</v>
      </c>
      <c r="G12389" s="18">
        <v>11330</v>
      </c>
      <c r="H12389" s="27">
        <f t="shared" si="386"/>
        <v>11330</v>
      </c>
      <c r="I12389" s="18">
        <v>10763.5</v>
      </c>
      <c r="J12389" s="27">
        <v>11330</v>
      </c>
      <c r="K12389" s="18">
        <f t="shared" si="387"/>
        <v>11330</v>
      </c>
      <c r="L12389" s="27">
        <v>10763.5</v>
      </c>
      <c r="M12389" s="36">
        <v>0</v>
      </c>
      <c r="T12389" s="41">
        <v>0</v>
      </c>
      <c r="U12389" s="41">
        <v>0</v>
      </c>
      <c r="V12389" s="42" t="s">
        <v>113</v>
      </c>
      <c r="W12389" s="42">
        <v>11330</v>
      </c>
      <c r="X12389" s="42">
        <v>11330</v>
      </c>
    </row>
    <row r="12390" spans="1:24">
      <c r="A12390" s="27" t="s">
        <v>22284</v>
      </c>
      <c r="B12390" s="28" t="s">
        <v>19918</v>
      </c>
      <c r="C12390" s="27" t="s">
        <v>22285</v>
      </c>
      <c r="D12390" s="27" t="s">
        <v>17578</v>
      </c>
      <c r="E12390" s="29">
        <v>41053</v>
      </c>
      <c r="F12390" s="27">
        <v>5</v>
      </c>
      <c r="G12390" s="18">
        <v>7000</v>
      </c>
      <c r="H12390" s="27">
        <f t="shared" si="386"/>
        <v>7000</v>
      </c>
      <c r="I12390" s="18">
        <v>6650</v>
      </c>
      <c r="J12390" s="27">
        <v>7000</v>
      </c>
      <c r="K12390" s="18">
        <f t="shared" si="387"/>
        <v>7000</v>
      </c>
      <c r="L12390" s="27">
        <v>6650</v>
      </c>
      <c r="M12390" s="36">
        <v>0</v>
      </c>
      <c r="T12390" s="41">
        <v>0</v>
      </c>
      <c r="U12390" s="41">
        <v>0</v>
      </c>
      <c r="V12390" s="42" t="s">
        <v>113</v>
      </c>
      <c r="W12390" s="42">
        <v>7000</v>
      </c>
      <c r="X12390" s="42">
        <v>7000</v>
      </c>
    </row>
    <row r="12391" spans="1:24">
      <c r="A12391" s="27" t="s">
        <v>22286</v>
      </c>
      <c r="B12391" s="28" t="s">
        <v>19918</v>
      </c>
      <c r="C12391" s="27" t="s">
        <v>22235</v>
      </c>
      <c r="D12391" s="27" t="s">
        <v>17578</v>
      </c>
      <c r="E12391" s="29">
        <v>40054</v>
      </c>
      <c r="F12391" s="27">
        <v>5</v>
      </c>
      <c r="G12391" s="18">
        <v>5726.5</v>
      </c>
      <c r="H12391" s="27">
        <f t="shared" si="386"/>
        <v>5726.5</v>
      </c>
      <c r="I12391" s="18">
        <v>5440.17</v>
      </c>
      <c r="J12391" s="27">
        <v>5726.5</v>
      </c>
      <c r="K12391" s="18">
        <f t="shared" si="387"/>
        <v>5726.5</v>
      </c>
      <c r="L12391" s="27">
        <v>5440.17</v>
      </c>
      <c r="M12391" s="36">
        <v>0</v>
      </c>
      <c r="T12391" s="41">
        <v>0</v>
      </c>
      <c r="U12391" s="41">
        <v>0</v>
      </c>
      <c r="V12391" s="42" t="s">
        <v>113</v>
      </c>
      <c r="W12391" s="42">
        <v>5726.5</v>
      </c>
      <c r="X12391" s="42">
        <v>5726.5</v>
      </c>
    </row>
    <row r="12392" spans="1:24">
      <c r="A12392" s="27" t="s">
        <v>22287</v>
      </c>
      <c r="B12392" s="28" t="s">
        <v>19918</v>
      </c>
      <c r="C12392" s="27" t="s">
        <v>22235</v>
      </c>
      <c r="D12392" s="27" t="s">
        <v>17578</v>
      </c>
      <c r="E12392" s="29">
        <v>40054</v>
      </c>
      <c r="F12392" s="27">
        <v>5</v>
      </c>
      <c r="G12392" s="18">
        <v>4401.71</v>
      </c>
      <c r="H12392" s="27">
        <f t="shared" si="386"/>
        <v>4401.71</v>
      </c>
      <c r="I12392" s="18">
        <v>4401.71</v>
      </c>
      <c r="J12392" s="27">
        <v>4401.71</v>
      </c>
      <c r="K12392" s="18">
        <f t="shared" si="387"/>
        <v>4401.71</v>
      </c>
      <c r="L12392" s="27">
        <v>4401.71</v>
      </c>
      <c r="M12392" s="36">
        <v>0</v>
      </c>
      <c r="T12392" s="41">
        <v>0</v>
      </c>
      <c r="U12392" s="41">
        <v>0</v>
      </c>
      <c r="V12392" s="42" t="s">
        <v>113</v>
      </c>
      <c r="W12392" s="42">
        <v>4401.71</v>
      </c>
      <c r="X12392" s="42">
        <v>4401.71</v>
      </c>
    </row>
    <row r="12393" spans="1:24">
      <c r="A12393" s="27" t="s">
        <v>22288</v>
      </c>
      <c r="B12393" s="28" t="s">
        <v>19918</v>
      </c>
      <c r="C12393" s="27" t="s">
        <v>22235</v>
      </c>
      <c r="D12393" s="27" t="s">
        <v>17578</v>
      </c>
      <c r="E12393" s="29">
        <v>40054</v>
      </c>
      <c r="F12393" s="27">
        <v>5</v>
      </c>
      <c r="G12393" s="18">
        <v>4401.71</v>
      </c>
      <c r="H12393" s="27">
        <f t="shared" si="386"/>
        <v>4401.71</v>
      </c>
      <c r="I12393" s="18">
        <v>4401.71</v>
      </c>
      <c r="J12393" s="27">
        <v>4401.71</v>
      </c>
      <c r="K12393" s="18">
        <f t="shared" si="387"/>
        <v>4401.71</v>
      </c>
      <c r="L12393" s="27">
        <v>4401.71</v>
      </c>
      <c r="M12393" s="36">
        <v>0</v>
      </c>
      <c r="T12393" s="41">
        <v>0</v>
      </c>
      <c r="U12393" s="41">
        <v>0</v>
      </c>
      <c r="V12393" s="42" t="s">
        <v>113</v>
      </c>
      <c r="W12393" s="42">
        <v>4401.71</v>
      </c>
      <c r="X12393" s="42">
        <v>4401.71</v>
      </c>
    </row>
    <row r="12394" spans="1:24">
      <c r="A12394" s="27" t="s">
        <v>22289</v>
      </c>
      <c r="B12394" s="28" t="s">
        <v>19918</v>
      </c>
      <c r="C12394" s="27" t="s">
        <v>22235</v>
      </c>
      <c r="D12394" s="27" t="s">
        <v>17578</v>
      </c>
      <c r="E12394" s="29">
        <v>40054</v>
      </c>
      <c r="F12394" s="27">
        <v>5</v>
      </c>
      <c r="G12394" s="18">
        <v>4957.26</v>
      </c>
      <c r="H12394" s="27">
        <f t="shared" si="386"/>
        <v>4957.26</v>
      </c>
      <c r="I12394" s="18">
        <v>4957.26</v>
      </c>
      <c r="J12394" s="27">
        <v>4957.26</v>
      </c>
      <c r="K12394" s="18">
        <f t="shared" si="387"/>
        <v>4957.26</v>
      </c>
      <c r="L12394" s="27">
        <v>4957.26</v>
      </c>
      <c r="M12394" s="36">
        <v>0</v>
      </c>
      <c r="T12394" s="41">
        <v>0</v>
      </c>
      <c r="U12394" s="41">
        <v>0</v>
      </c>
      <c r="V12394" s="42" t="s">
        <v>113</v>
      </c>
      <c r="W12394" s="42">
        <v>4957.26</v>
      </c>
      <c r="X12394" s="42">
        <v>4957.26</v>
      </c>
    </row>
    <row r="12395" spans="1:24">
      <c r="A12395" s="27" t="s">
        <v>22290</v>
      </c>
      <c r="B12395" s="28" t="s">
        <v>19918</v>
      </c>
      <c r="C12395" s="27" t="s">
        <v>22235</v>
      </c>
      <c r="D12395" s="27" t="s">
        <v>17578</v>
      </c>
      <c r="E12395" s="29">
        <v>40054</v>
      </c>
      <c r="F12395" s="27">
        <v>5</v>
      </c>
      <c r="G12395" s="18">
        <v>4401.71</v>
      </c>
      <c r="H12395" s="27">
        <f t="shared" si="386"/>
        <v>4401.71</v>
      </c>
      <c r="I12395" s="18">
        <v>4401.71</v>
      </c>
      <c r="J12395" s="27">
        <v>4401.71</v>
      </c>
      <c r="K12395" s="18">
        <f t="shared" si="387"/>
        <v>4401.71</v>
      </c>
      <c r="L12395" s="27">
        <v>4401.71</v>
      </c>
      <c r="M12395" s="36">
        <v>0</v>
      </c>
      <c r="T12395" s="41">
        <v>0</v>
      </c>
      <c r="U12395" s="41">
        <v>0</v>
      </c>
      <c r="V12395" s="42" t="s">
        <v>113</v>
      </c>
      <c r="W12395" s="42">
        <v>4401.71</v>
      </c>
      <c r="X12395" s="42">
        <v>4401.71</v>
      </c>
    </row>
    <row r="12396" spans="1:24">
      <c r="A12396" s="27" t="s">
        <v>22291</v>
      </c>
      <c r="B12396" s="28" t="s">
        <v>19918</v>
      </c>
      <c r="C12396" s="27" t="s">
        <v>22235</v>
      </c>
      <c r="D12396" s="27" t="s">
        <v>17578</v>
      </c>
      <c r="E12396" s="29">
        <v>40054</v>
      </c>
      <c r="F12396" s="27">
        <v>5</v>
      </c>
      <c r="G12396" s="18">
        <v>4401.71</v>
      </c>
      <c r="H12396" s="27">
        <f t="shared" si="386"/>
        <v>4401.71</v>
      </c>
      <c r="I12396" s="18">
        <v>4401.71</v>
      </c>
      <c r="J12396" s="27">
        <v>4401.71</v>
      </c>
      <c r="K12396" s="18">
        <f t="shared" si="387"/>
        <v>4401.71</v>
      </c>
      <c r="L12396" s="27">
        <v>4401.71</v>
      </c>
      <c r="M12396" s="36">
        <v>0</v>
      </c>
      <c r="T12396" s="41">
        <v>0</v>
      </c>
      <c r="U12396" s="41">
        <v>0</v>
      </c>
      <c r="V12396" s="42" t="s">
        <v>113</v>
      </c>
      <c r="W12396" s="42">
        <v>4401.71</v>
      </c>
      <c r="X12396" s="42">
        <v>4401.71</v>
      </c>
    </row>
    <row r="12397" spans="1:24">
      <c r="A12397" s="27" t="s">
        <v>22292</v>
      </c>
      <c r="B12397" s="28" t="s">
        <v>19918</v>
      </c>
      <c r="C12397" s="27" t="s">
        <v>22293</v>
      </c>
      <c r="D12397" s="27" t="s">
        <v>17578</v>
      </c>
      <c r="E12397" s="29">
        <v>40809</v>
      </c>
      <c r="F12397" s="27">
        <v>5</v>
      </c>
      <c r="G12397" s="18">
        <v>50991.6</v>
      </c>
      <c r="H12397" s="27">
        <f t="shared" si="386"/>
        <v>50991.6</v>
      </c>
      <c r="I12397" s="18">
        <v>48442.02</v>
      </c>
      <c r="J12397" s="27">
        <v>50991.6</v>
      </c>
      <c r="K12397" s="18">
        <f t="shared" si="387"/>
        <v>50991.6</v>
      </c>
      <c r="L12397" s="27">
        <v>48442.02</v>
      </c>
      <c r="M12397" s="36">
        <v>0</v>
      </c>
      <c r="T12397" s="41">
        <v>0</v>
      </c>
      <c r="U12397" s="41">
        <v>0</v>
      </c>
      <c r="V12397" s="42" t="s">
        <v>113</v>
      </c>
      <c r="W12397" s="42">
        <v>50991.6</v>
      </c>
      <c r="X12397" s="42">
        <v>50991.6</v>
      </c>
    </row>
    <row r="12398" spans="1:24">
      <c r="A12398" s="27" t="s">
        <v>22294</v>
      </c>
      <c r="B12398" s="28" t="s">
        <v>19918</v>
      </c>
      <c r="C12398" s="27" t="s">
        <v>22295</v>
      </c>
      <c r="D12398" s="27" t="s">
        <v>17578</v>
      </c>
      <c r="E12398" s="29">
        <v>41053</v>
      </c>
      <c r="F12398" s="27">
        <v>5</v>
      </c>
      <c r="G12398" s="18">
        <v>22400</v>
      </c>
      <c r="H12398" s="27">
        <f t="shared" si="386"/>
        <v>22400</v>
      </c>
      <c r="I12398" s="18">
        <v>21280</v>
      </c>
      <c r="J12398" s="27">
        <v>22400</v>
      </c>
      <c r="K12398" s="18">
        <f t="shared" si="387"/>
        <v>22400</v>
      </c>
      <c r="L12398" s="27">
        <v>21280</v>
      </c>
      <c r="M12398" s="36">
        <v>0</v>
      </c>
      <c r="T12398" s="41">
        <v>0</v>
      </c>
      <c r="U12398" s="41">
        <v>0</v>
      </c>
      <c r="V12398" s="42" t="s">
        <v>113</v>
      </c>
      <c r="W12398" s="42">
        <v>22400</v>
      </c>
      <c r="X12398" s="42">
        <v>22400</v>
      </c>
    </row>
    <row r="12399" spans="1:24">
      <c r="A12399" s="27" t="s">
        <v>22296</v>
      </c>
      <c r="B12399" s="28" t="s">
        <v>19918</v>
      </c>
      <c r="C12399" s="27" t="s">
        <v>22297</v>
      </c>
      <c r="D12399" s="27" t="s">
        <v>17558</v>
      </c>
      <c r="E12399" s="29">
        <v>40054</v>
      </c>
      <c r="F12399" s="27">
        <v>5</v>
      </c>
      <c r="G12399" s="18">
        <v>4401.71</v>
      </c>
      <c r="H12399" s="27">
        <f t="shared" si="386"/>
        <v>4401.71</v>
      </c>
      <c r="I12399" s="18">
        <v>4401.71</v>
      </c>
      <c r="J12399" s="27">
        <v>4401.71</v>
      </c>
      <c r="K12399" s="18">
        <f t="shared" si="387"/>
        <v>4401.71</v>
      </c>
      <c r="L12399" s="27">
        <v>4401.71</v>
      </c>
      <c r="M12399" s="36">
        <v>0</v>
      </c>
      <c r="T12399" s="41">
        <v>0</v>
      </c>
      <c r="U12399" s="41">
        <v>0</v>
      </c>
      <c r="V12399" s="42" t="s">
        <v>113</v>
      </c>
      <c r="W12399" s="42">
        <v>4401.71</v>
      </c>
      <c r="X12399" s="42">
        <v>4401.71</v>
      </c>
    </row>
    <row r="12400" spans="1:24">
      <c r="A12400" s="27" t="s">
        <v>22298</v>
      </c>
      <c r="B12400" s="28" t="s">
        <v>19918</v>
      </c>
      <c r="C12400" s="27" t="s">
        <v>22235</v>
      </c>
      <c r="D12400" s="27" t="s">
        <v>17578</v>
      </c>
      <c r="E12400" s="29">
        <v>40544</v>
      </c>
      <c r="F12400" s="27">
        <v>5</v>
      </c>
      <c r="G12400" s="18">
        <v>5000</v>
      </c>
      <c r="H12400" s="27">
        <f t="shared" si="386"/>
        <v>5000</v>
      </c>
      <c r="I12400" s="18">
        <v>5000</v>
      </c>
      <c r="J12400" s="27">
        <v>5000</v>
      </c>
      <c r="K12400" s="18">
        <f t="shared" si="387"/>
        <v>5000</v>
      </c>
      <c r="L12400" s="27">
        <v>5000</v>
      </c>
      <c r="M12400" s="36">
        <v>0</v>
      </c>
      <c r="T12400" s="41">
        <v>0</v>
      </c>
      <c r="U12400" s="41">
        <v>0</v>
      </c>
      <c r="V12400" s="42" t="s">
        <v>113</v>
      </c>
      <c r="W12400" s="42">
        <v>5000</v>
      </c>
      <c r="X12400" s="42">
        <v>5000</v>
      </c>
    </row>
    <row r="12401" spans="1:24">
      <c r="A12401" s="27" t="s">
        <v>22299</v>
      </c>
      <c r="B12401" s="28" t="s">
        <v>19918</v>
      </c>
      <c r="C12401" s="27" t="s">
        <v>22235</v>
      </c>
      <c r="D12401" s="27" t="s">
        <v>17578</v>
      </c>
      <c r="E12401" s="29">
        <v>40544</v>
      </c>
      <c r="F12401" s="27">
        <v>5</v>
      </c>
      <c r="G12401" s="18">
        <v>5000</v>
      </c>
      <c r="H12401" s="27">
        <f t="shared" si="386"/>
        <v>5000</v>
      </c>
      <c r="I12401" s="18">
        <v>5000</v>
      </c>
      <c r="J12401" s="27">
        <v>5000</v>
      </c>
      <c r="K12401" s="18">
        <f t="shared" si="387"/>
        <v>5000</v>
      </c>
      <c r="L12401" s="27">
        <v>5000</v>
      </c>
      <c r="M12401" s="36">
        <v>0</v>
      </c>
      <c r="T12401" s="41">
        <v>0</v>
      </c>
      <c r="U12401" s="41">
        <v>0</v>
      </c>
      <c r="V12401" s="42" t="s">
        <v>113</v>
      </c>
      <c r="W12401" s="42">
        <v>5000</v>
      </c>
      <c r="X12401" s="42">
        <v>5000</v>
      </c>
    </row>
    <row r="12402" spans="1:24">
      <c r="A12402" s="27" t="s">
        <v>22300</v>
      </c>
      <c r="B12402" s="28" t="s">
        <v>19918</v>
      </c>
      <c r="C12402" s="27" t="s">
        <v>22235</v>
      </c>
      <c r="D12402" s="27" t="s">
        <v>17578</v>
      </c>
      <c r="E12402" s="29">
        <v>40544</v>
      </c>
      <c r="F12402" s="27">
        <v>5</v>
      </c>
      <c r="G12402" s="18">
        <v>5000</v>
      </c>
      <c r="H12402" s="27">
        <f t="shared" si="386"/>
        <v>5000</v>
      </c>
      <c r="I12402" s="18">
        <v>5000</v>
      </c>
      <c r="J12402" s="27">
        <v>5000</v>
      </c>
      <c r="K12402" s="18">
        <f t="shared" si="387"/>
        <v>5000</v>
      </c>
      <c r="L12402" s="27">
        <v>5000</v>
      </c>
      <c r="M12402" s="36">
        <v>0</v>
      </c>
      <c r="T12402" s="41">
        <v>0</v>
      </c>
      <c r="U12402" s="41">
        <v>0</v>
      </c>
      <c r="V12402" s="42" t="s">
        <v>113</v>
      </c>
      <c r="W12402" s="42">
        <v>5000</v>
      </c>
      <c r="X12402" s="42">
        <v>5000</v>
      </c>
    </row>
    <row r="12403" spans="1:24">
      <c r="A12403" s="27" t="s">
        <v>22301</v>
      </c>
      <c r="B12403" s="28" t="s">
        <v>19918</v>
      </c>
      <c r="C12403" s="27" t="s">
        <v>22235</v>
      </c>
      <c r="D12403" s="27" t="s">
        <v>17578</v>
      </c>
      <c r="E12403" s="29">
        <v>40544</v>
      </c>
      <c r="F12403" s="27">
        <v>5</v>
      </c>
      <c r="G12403" s="18">
        <v>5000</v>
      </c>
      <c r="H12403" s="27">
        <f t="shared" si="386"/>
        <v>5000</v>
      </c>
      <c r="I12403" s="18">
        <v>5000</v>
      </c>
      <c r="J12403" s="27">
        <v>5000</v>
      </c>
      <c r="K12403" s="18">
        <f t="shared" si="387"/>
        <v>5000</v>
      </c>
      <c r="L12403" s="27">
        <v>5000</v>
      </c>
      <c r="M12403" s="36">
        <v>0</v>
      </c>
      <c r="T12403" s="41">
        <v>0</v>
      </c>
      <c r="U12403" s="41">
        <v>0</v>
      </c>
      <c r="V12403" s="42" t="s">
        <v>113</v>
      </c>
      <c r="W12403" s="42">
        <v>5000</v>
      </c>
      <c r="X12403" s="42">
        <v>5000</v>
      </c>
    </row>
    <row r="12404" spans="1:24">
      <c r="A12404" s="27" t="s">
        <v>22302</v>
      </c>
      <c r="B12404" s="28" t="s">
        <v>19918</v>
      </c>
      <c r="C12404" s="27" t="s">
        <v>22235</v>
      </c>
      <c r="D12404" s="27" t="s">
        <v>17578</v>
      </c>
      <c r="E12404" s="29">
        <v>40544</v>
      </c>
      <c r="F12404" s="27">
        <v>5</v>
      </c>
      <c r="G12404" s="18">
        <v>5000</v>
      </c>
      <c r="H12404" s="27">
        <f t="shared" si="386"/>
        <v>5000</v>
      </c>
      <c r="I12404" s="18">
        <v>5000</v>
      </c>
      <c r="J12404" s="27">
        <v>5000</v>
      </c>
      <c r="K12404" s="18">
        <f t="shared" si="387"/>
        <v>5000</v>
      </c>
      <c r="L12404" s="27">
        <v>5000</v>
      </c>
      <c r="M12404" s="36">
        <v>0</v>
      </c>
      <c r="T12404" s="41">
        <v>0</v>
      </c>
      <c r="U12404" s="41">
        <v>0</v>
      </c>
      <c r="V12404" s="42" t="s">
        <v>113</v>
      </c>
      <c r="W12404" s="42">
        <v>5000</v>
      </c>
      <c r="X12404" s="42">
        <v>5000</v>
      </c>
    </row>
    <row r="12405" spans="1:24">
      <c r="A12405" s="27" t="s">
        <v>22303</v>
      </c>
      <c r="B12405" s="28" t="s">
        <v>19918</v>
      </c>
      <c r="C12405" s="27" t="s">
        <v>22235</v>
      </c>
      <c r="D12405" s="27" t="s">
        <v>17578</v>
      </c>
      <c r="E12405" s="29">
        <v>40544</v>
      </c>
      <c r="F12405" s="27">
        <v>5</v>
      </c>
      <c r="G12405" s="18">
        <v>5000</v>
      </c>
      <c r="H12405" s="27">
        <f t="shared" si="386"/>
        <v>5000</v>
      </c>
      <c r="I12405" s="18">
        <v>5000</v>
      </c>
      <c r="J12405" s="27">
        <v>5000</v>
      </c>
      <c r="K12405" s="18">
        <f t="shared" si="387"/>
        <v>5000</v>
      </c>
      <c r="L12405" s="27">
        <v>5000</v>
      </c>
      <c r="M12405" s="36">
        <v>0</v>
      </c>
      <c r="T12405" s="41">
        <v>0</v>
      </c>
      <c r="U12405" s="41">
        <v>0</v>
      </c>
      <c r="V12405" s="42" t="s">
        <v>113</v>
      </c>
      <c r="W12405" s="42">
        <v>5000</v>
      </c>
      <c r="X12405" s="42">
        <v>5000</v>
      </c>
    </row>
    <row r="12406" spans="1:24">
      <c r="A12406" s="27" t="s">
        <v>22304</v>
      </c>
      <c r="B12406" s="28" t="s">
        <v>19918</v>
      </c>
      <c r="C12406" s="27" t="s">
        <v>22235</v>
      </c>
      <c r="D12406" s="27" t="s">
        <v>17578</v>
      </c>
      <c r="E12406" s="29">
        <v>40544</v>
      </c>
      <c r="F12406" s="27">
        <v>5</v>
      </c>
      <c r="G12406" s="18">
        <v>5000</v>
      </c>
      <c r="H12406" s="27">
        <f t="shared" si="386"/>
        <v>5000</v>
      </c>
      <c r="I12406" s="18">
        <v>5000</v>
      </c>
      <c r="J12406" s="27">
        <v>5000</v>
      </c>
      <c r="K12406" s="18">
        <f t="shared" si="387"/>
        <v>5000</v>
      </c>
      <c r="L12406" s="27">
        <v>5000</v>
      </c>
      <c r="M12406" s="36">
        <v>0</v>
      </c>
      <c r="T12406" s="41">
        <v>0</v>
      </c>
      <c r="U12406" s="41">
        <v>0</v>
      </c>
      <c r="V12406" s="42" t="s">
        <v>113</v>
      </c>
      <c r="W12406" s="42">
        <v>5000</v>
      </c>
      <c r="X12406" s="42">
        <v>5000</v>
      </c>
    </row>
    <row r="12407" spans="1:24">
      <c r="A12407" s="27" t="s">
        <v>22305</v>
      </c>
      <c r="B12407" s="28" t="s">
        <v>19918</v>
      </c>
      <c r="C12407" s="27" t="s">
        <v>22235</v>
      </c>
      <c r="D12407" s="27" t="s">
        <v>17578</v>
      </c>
      <c r="E12407" s="29">
        <v>40544</v>
      </c>
      <c r="F12407" s="27">
        <v>5</v>
      </c>
      <c r="G12407" s="18">
        <v>5000</v>
      </c>
      <c r="H12407" s="27">
        <f t="shared" si="386"/>
        <v>5000</v>
      </c>
      <c r="I12407" s="18">
        <v>5000</v>
      </c>
      <c r="J12407" s="27">
        <v>5000</v>
      </c>
      <c r="K12407" s="18">
        <f t="shared" si="387"/>
        <v>5000</v>
      </c>
      <c r="L12407" s="27">
        <v>5000</v>
      </c>
      <c r="M12407" s="36">
        <v>0</v>
      </c>
      <c r="T12407" s="41">
        <v>0</v>
      </c>
      <c r="U12407" s="41">
        <v>0</v>
      </c>
      <c r="V12407" s="42" t="s">
        <v>113</v>
      </c>
      <c r="W12407" s="42">
        <v>5000</v>
      </c>
      <c r="X12407" s="42">
        <v>5000</v>
      </c>
    </row>
    <row r="12408" spans="1:24">
      <c r="A12408" s="27" t="s">
        <v>22306</v>
      </c>
      <c r="B12408" s="28" t="s">
        <v>19918</v>
      </c>
      <c r="C12408" s="27" t="s">
        <v>22235</v>
      </c>
      <c r="D12408" s="27" t="s">
        <v>17578</v>
      </c>
      <c r="E12408" s="29">
        <v>40544</v>
      </c>
      <c r="F12408" s="27">
        <v>5</v>
      </c>
      <c r="G12408" s="18">
        <v>5000</v>
      </c>
      <c r="H12408" s="27">
        <f t="shared" si="386"/>
        <v>5000</v>
      </c>
      <c r="I12408" s="18">
        <v>5000</v>
      </c>
      <c r="J12408" s="27">
        <v>5000</v>
      </c>
      <c r="K12408" s="18">
        <f t="shared" si="387"/>
        <v>5000</v>
      </c>
      <c r="L12408" s="27">
        <v>5000</v>
      </c>
      <c r="M12408" s="36">
        <v>0</v>
      </c>
      <c r="T12408" s="41">
        <v>0</v>
      </c>
      <c r="U12408" s="41">
        <v>0</v>
      </c>
      <c r="V12408" s="42" t="s">
        <v>113</v>
      </c>
      <c r="W12408" s="42">
        <v>5000</v>
      </c>
      <c r="X12408" s="42">
        <v>5000</v>
      </c>
    </row>
    <row r="12409" spans="1:24">
      <c r="A12409" s="27" t="s">
        <v>22307</v>
      </c>
      <c r="B12409" s="28" t="s">
        <v>19918</v>
      </c>
      <c r="C12409" s="27" t="s">
        <v>22308</v>
      </c>
      <c r="D12409" s="27" t="s">
        <v>17578</v>
      </c>
      <c r="E12409" s="29">
        <v>41626</v>
      </c>
      <c r="F12409" s="27">
        <v>5</v>
      </c>
      <c r="G12409" s="18">
        <v>4517.93</v>
      </c>
      <c r="H12409" s="27">
        <f t="shared" si="386"/>
        <v>4517.93</v>
      </c>
      <c r="I12409" s="18">
        <v>4517.93</v>
      </c>
      <c r="J12409" s="27">
        <v>4517.93</v>
      </c>
      <c r="K12409" s="18">
        <f t="shared" si="387"/>
        <v>4517.93</v>
      </c>
      <c r="L12409" s="27">
        <v>4517.93</v>
      </c>
      <c r="M12409" s="36">
        <v>0</v>
      </c>
      <c r="T12409" s="41">
        <v>0</v>
      </c>
      <c r="U12409" s="41">
        <v>0</v>
      </c>
      <c r="V12409" s="42" t="s">
        <v>113</v>
      </c>
      <c r="W12409" s="42">
        <v>4517.93</v>
      </c>
      <c r="X12409" s="42">
        <v>4517.93</v>
      </c>
    </row>
    <row r="12410" spans="1:24">
      <c r="A12410" s="27" t="s">
        <v>22309</v>
      </c>
      <c r="B12410" s="28" t="s">
        <v>19918</v>
      </c>
      <c r="C12410" s="27" t="s">
        <v>22310</v>
      </c>
      <c r="D12410" s="27" t="s">
        <v>17578</v>
      </c>
      <c r="E12410" s="29">
        <v>41626</v>
      </c>
      <c r="F12410" s="27">
        <v>5</v>
      </c>
      <c r="G12410" s="18">
        <v>4517.95</v>
      </c>
      <c r="H12410" s="27">
        <f t="shared" si="386"/>
        <v>4517.95</v>
      </c>
      <c r="I12410" s="18">
        <v>4517.95</v>
      </c>
      <c r="J12410" s="27">
        <v>4517.95</v>
      </c>
      <c r="K12410" s="18">
        <f t="shared" si="387"/>
        <v>4517.95</v>
      </c>
      <c r="L12410" s="27">
        <v>4517.95</v>
      </c>
      <c r="M12410" s="36">
        <v>0</v>
      </c>
      <c r="T12410" s="41">
        <v>0</v>
      </c>
      <c r="U12410" s="41">
        <v>0</v>
      </c>
      <c r="V12410" s="42" t="s">
        <v>113</v>
      </c>
      <c r="W12410" s="42">
        <v>4517.95</v>
      </c>
      <c r="X12410" s="42">
        <v>4517.95</v>
      </c>
    </row>
    <row r="12411" spans="1:24">
      <c r="A12411" s="27" t="s">
        <v>22311</v>
      </c>
      <c r="B12411" s="28" t="s">
        <v>19918</v>
      </c>
      <c r="C12411" s="27" t="s">
        <v>22312</v>
      </c>
      <c r="D12411" s="27" t="s">
        <v>17578</v>
      </c>
      <c r="E12411" s="29">
        <v>41626</v>
      </c>
      <c r="F12411" s="27">
        <v>5</v>
      </c>
      <c r="G12411" s="18">
        <v>4517.95</v>
      </c>
      <c r="H12411" s="27">
        <f t="shared" si="386"/>
        <v>4517.95</v>
      </c>
      <c r="I12411" s="18">
        <v>4517.95</v>
      </c>
      <c r="J12411" s="27">
        <v>4517.95</v>
      </c>
      <c r="K12411" s="18">
        <f t="shared" si="387"/>
        <v>4517.95</v>
      </c>
      <c r="L12411" s="27">
        <v>4517.95</v>
      </c>
      <c r="M12411" s="36">
        <v>0</v>
      </c>
      <c r="T12411" s="41">
        <v>0</v>
      </c>
      <c r="U12411" s="41">
        <v>0</v>
      </c>
      <c r="V12411" s="42" t="s">
        <v>113</v>
      </c>
      <c r="W12411" s="42">
        <v>4517.95</v>
      </c>
      <c r="X12411" s="42">
        <v>4517.95</v>
      </c>
    </row>
    <row r="12412" spans="1:24">
      <c r="A12412" s="27" t="s">
        <v>22313</v>
      </c>
      <c r="B12412" s="28" t="s">
        <v>19918</v>
      </c>
      <c r="C12412" s="27" t="s">
        <v>22314</v>
      </c>
      <c r="D12412" s="27" t="s">
        <v>17578</v>
      </c>
      <c r="E12412" s="29">
        <v>41626</v>
      </c>
      <c r="F12412" s="27">
        <v>5</v>
      </c>
      <c r="G12412" s="18">
        <v>4517.95</v>
      </c>
      <c r="H12412" s="27">
        <f t="shared" si="386"/>
        <v>4517.95</v>
      </c>
      <c r="I12412" s="18">
        <v>4517.95</v>
      </c>
      <c r="J12412" s="27">
        <v>4517.95</v>
      </c>
      <c r="K12412" s="18">
        <f t="shared" si="387"/>
        <v>4517.95</v>
      </c>
      <c r="L12412" s="27">
        <v>4517.95</v>
      </c>
      <c r="M12412" s="36">
        <v>0</v>
      </c>
      <c r="T12412" s="41">
        <v>0</v>
      </c>
      <c r="U12412" s="41">
        <v>0</v>
      </c>
      <c r="V12412" s="42" t="s">
        <v>113</v>
      </c>
      <c r="W12412" s="42">
        <v>4517.95</v>
      </c>
      <c r="X12412" s="42">
        <v>4517.95</v>
      </c>
    </row>
    <row r="12413" spans="1:24">
      <c r="A12413" s="27" t="s">
        <v>22315</v>
      </c>
      <c r="B12413" s="28" t="s">
        <v>19918</v>
      </c>
      <c r="C12413" s="27" t="s">
        <v>22316</v>
      </c>
      <c r="D12413" s="27" t="s">
        <v>17578</v>
      </c>
      <c r="E12413" s="29">
        <v>41626</v>
      </c>
      <c r="F12413" s="27">
        <v>5</v>
      </c>
      <c r="G12413" s="18">
        <v>4517.95</v>
      </c>
      <c r="H12413" s="27">
        <f t="shared" si="386"/>
        <v>4517.95</v>
      </c>
      <c r="I12413" s="18">
        <v>4517.95</v>
      </c>
      <c r="J12413" s="27">
        <v>4517.95</v>
      </c>
      <c r="K12413" s="18">
        <f t="shared" si="387"/>
        <v>4517.95</v>
      </c>
      <c r="L12413" s="27">
        <v>4517.95</v>
      </c>
      <c r="M12413" s="36">
        <v>0</v>
      </c>
      <c r="T12413" s="41">
        <v>0</v>
      </c>
      <c r="U12413" s="41">
        <v>0</v>
      </c>
      <c r="V12413" s="42" t="s">
        <v>113</v>
      </c>
      <c r="W12413" s="42">
        <v>4517.95</v>
      </c>
      <c r="X12413" s="42">
        <v>4517.95</v>
      </c>
    </row>
    <row r="12414" spans="1:24">
      <c r="A12414" s="27" t="s">
        <v>22317</v>
      </c>
      <c r="B12414" s="28" t="s">
        <v>19918</v>
      </c>
      <c r="C12414" s="27" t="s">
        <v>22318</v>
      </c>
      <c r="D12414" s="27" t="s">
        <v>17578</v>
      </c>
      <c r="E12414" s="29">
        <v>41626</v>
      </c>
      <c r="F12414" s="27">
        <v>5</v>
      </c>
      <c r="G12414" s="18">
        <v>4517.95</v>
      </c>
      <c r="H12414" s="27">
        <f t="shared" si="386"/>
        <v>4517.95</v>
      </c>
      <c r="I12414" s="18">
        <v>4517.95</v>
      </c>
      <c r="J12414" s="27">
        <v>4517.95</v>
      </c>
      <c r="K12414" s="18">
        <f t="shared" si="387"/>
        <v>4517.95</v>
      </c>
      <c r="L12414" s="27">
        <v>4517.95</v>
      </c>
      <c r="M12414" s="36">
        <v>0</v>
      </c>
      <c r="T12414" s="41">
        <v>0</v>
      </c>
      <c r="U12414" s="41">
        <v>0</v>
      </c>
      <c r="V12414" s="42" t="s">
        <v>113</v>
      </c>
      <c r="W12414" s="42">
        <v>4517.95</v>
      </c>
      <c r="X12414" s="42">
        <v>4517.95</v>
      </c>
    </row>
    <row r="12415" spans="1:24">
      <c r="A12415" s="27" t="s">
        <v>22319</v>
      </c>
      <c r="B12415" s="28" t="s">
        <v>19918</v>
      </c>
      <c r="C12415" s="27" t="s">
        <v>22320</v>
      </c>
      <c r="D12415" s="27" t="s">
        <v>17578</v>
      </c>
      <c r="E12415" s="29">
        <v>41626</v>
      </c>
      <c r="F12415" s="27">
        <v>5</v>
      </c>
      <c r="G12415" s="18">
        <v>4517.95</v>
      </c>
      <c r="H12415" s="27">
        <f t="shared" si="386"/>
        <v>4517.95</v>
      </c>
      <c r="I12415" s="18">
        <v>4517.95</v>
      </c>
      <c r="J12415" s="27">
        <v>4517.95</v>
      </c>
      <c r="K12415" s="18">
        <f t="shared" si="387"/>
        <v>4517.95</v>
      </c>
      <c r="L12415" s="27">
        <v>4517.95</v>
      </c>
      <c r="M12415" s="36">
        <v>0</v>
      </c>
      <c r="T12415" s="41">
        <v>0</v>
      </c>
      <c r="U12415" s="41">
        <v>0</v>
      </c>
      <c r="V12415" s="42" t="s">
        <v>113</v>
      </c>
      <c r="W12415" s="42">
        <v>4517.95</v>
      </c>
      <c r="X12415" s="42">
        <v>4517.95</v>
      </c>
    </row>
    <row r="12416" spans="1:24">
      <c r="A12416" s="27" t="s">
        <v>22321</v>
      </c>
      <c r="B12416" s="28" t="s">
        <v>19918</v>
      </c>
      <c r="C12416" s="27" t="s">
        <v>22322</v>
      </c>
      <c r="D12416" s="27" t="s">
        <v>17578</v>
      </c>
      <c r="E12416" s="29">
        <v>41626</v>
      </c>
      <c r="F12416" s="27">
        <v>5</v>
      </c>
      <c r="G12416" s="18">
        <v>4517.95</v>
      </c>
      <c r="H12416" s="27">
        <f t="shared" si="386"/>
        <v>4517.95</v>
      </c>
      <c r="I12416" s="18">
        <v>4517.95</v>
      </c>
      <c r="J12416" s="27">
        <v>4517.95</v>
      </c>
      <c r="K12416" s="18">
        <f t="shared" si="387"/>
        <v>4517.95</v>
      </c>
      <c r="L12416" s="27">
        <v>4517.95</v>
      </c>
      <c r="M12416" s="36">
        <v>0</v>
      </c>
      <c r="T12416" s="41">
        <v>0</v>
      </c>
      <c r="U12416" s="41">
        <v>0</v>
      </c>
      <c r="V12416" s="42" t="s">
        <v>113</v>
      </c>
      <c r="W12416" s="42">
        <v>4517.95</v>
      </c>
      <c r="X12416" s="42">
        <v>4517.95</v>
      </c>
    </row>
    <row r="12417" spans="1:24">
      <c r="A12417" s="27" t="s">
        <v>22323</v>
      </c>
      <c r="B12417" s="28" t="s">
        <v>19918</v>
      </c>
      <c r="C12417" s="27" t="s">
        <v>22324</v>
      </c>
      <c r="D12417" s="27" t="s">
        <v>17578</v>
      </c>
      <c r="E12417" s="29">
        <v>41626</v>
      </c>
      <c r="F12417" s="27">
        <v>5</v>
      </c>
      <c r="G12417" s="18">
        <v>4517.95</v>
      </c>
      <c r="H12417" s="27">
        <f t="shared" si="386"/>
        <v>4517.95</v>
      </c>
      <c r="I12417" s="18">
        <v>4517.95</v>
      </c>
      <c r="J12417" s="27">
        <v>4517.95</v>
      </c>
      <c r="K12417" s="18">
        <f t="shared" si="387"/>
        <v>4517.95</v>
      </c>
      <c r="L12417" s="27">
        <v>4517.95</v>
      </c>
      <c r="M12417" s="36">
        <v>0</v>
      </c>
      <c r="T12417" s="41">
        <v>0</v>
      </c>
      <c r="U12417" s="41">
        <v>0</v>
      </c>
      <c r="V12417" s="42" t="s">
        <v>113</v>
      </c>
      <c r="W12417" s="42">
        <v>4517.95</v>
      </c>
      <c r="X12417" s="42">
        <v>4517.95</v>
      </c>
    </row>
    <row r="12418" spans="1:24">
      <c r="A12418" s="27" t="s">
        <v>22325</v>
      </c>
      <c r="B12418" s="28" t="s">
        <v>19918</v>
      </c>
      <c r="C12418" s="27" t="s">
        <v>22326</v>
      </c>
      <c r="D12418" s="27" t="s">
        <v>17578</v>
      </c>
      <c r="E12418" s="29">
        <v>41626</v>
      </c>
      <c r="F12418" s="27">
        <v>5</v>
      </c>
      <c r="G12418" s="18">
        <v>4517.95</v>
      </c>
      <c r="H12418" s="27">
        <f t="shared" si="386"/>
        <v>4517.95</v>
      </c>
      <c r="I12418" s="18">
        <v>4517.95</v>
      </c>
      <c r="J12418" s="27">
        <v>4517.95</v>
      </c>
      <c r="K12418" s="18">
        <f t="shared" si="387"/>
        <v>4517.95</v>
      </c>
      <c r="L12418" s="27">
        <v>4517.95</v>
      </c>
      <c r="M12418" s="36">
        <v>0</v>
      </c>
      <c r="T12418" s="41">
        <v>0</v>
      </c>
      <c r="U12418" s="41">
        <v>0</v>
      </c>
      <c r="V12418" s="42" t="s">
        <v>113</v>
      </c>
      <c r="W12418" s="42">
        <v>4517.95</v>
      </c>
      <c r="X12418" s="42">
        <v>4517.95</v>
      </c>
    </row>
    <row r="12419" spans="1:24">
      <c r="A12419" s="27" t="s">
        <v>22327</v>
      </c>
      <c r="B12419" s="28" t="s">
        <v>19918</v>
      </c>
      <c r="C12419" s="27" t="s">
        <v>22328</v>
      </c>
      <c r="D12419" s="27" t="s">
        <v>17578</v>
      </c>
      <c r="E12419" s="29">
        <v>41626</v>
      </c>
      <c r="F12419" s="27">
        <v>5</v>
      </c>
      <c r="G12419" s="18">
        <v>4517.95</v>
      </c>
      <c r="H12419" s="27">
        <f t="shared" si="386"/>
        <v>4517.95</v>
      </c>
      <c r="I12419" s="18">
        <v>4517.95</v>
      </c>
      <c r="J12419" s="27">
        <v>4517.95</v>
      </c>
      <c r="K12419" s="18">
        <f t="shared" si="387"/>
        <v>4517.95</v>
      </c>
      <c r="L12419" s="27">
        <v>4517.95</v>
      </c>
      <c r="M12419" s="36">
        <v>0</v>
      </c>
      <c r="T12419" s="41">
        <v>0</v>
      </c>
      <c r="U12419" s="41">
        <v>0</v>
      </c>
      <c r="V12419" s="42" t="s">
        <v>113</v>
      </c>
      <c r="W12419" s="42">
        <v>4517.95</v>
      </c>
      <c r="X12419" s="42">
        <v>4517.95</v>
      </c>
    </row>
    <row r="12420" spans="1:24">
      <c r="A12420" s="27" t="s">
        <v>22329</v>
      </c>
      <c r="B12420" s="28" t="s">
        <v>19918</v>
      </c>
      <c r="C12420" s="27" t="s">
        <v>22330</v>
      </c>
      <c r="D12420" s="27" t="s">
        <v>17578</v>
      </c>
      <c r="E12420" s="29">
        <v>41626</v>
      </c>
      <c r="F12420" s="27">
        <v>5</v>
      </c>
      <c r="G12420" s="18">
        <v>4517.95</v>
      </c>
      <c r="H12420" s="27">
        <f t="shared" si="386"/>
        <v>4517.95</v>
      </c>
      <c r="I12420" s="18">
        <v>4517.95</v>
      </c>
      <c r="J12420" s="27">
        <v>4517.95</v>
      </c>
      <c r="K12420" s="18">
        <f t="shared" si="387"/>
        <v>4517.95</v>
      </c>
      <c r="L12420" s="27">
        <v>4517.95</v>
      </c>
      <c r="M12420" s="36">
        <v>0</v>
      </c>
      <c r="T12420" s="41">
        <v>0</v>
      </c>
      <c r="U12420" s="41">
        <v>0</v>
      </c>
      <c r="V12420" s="42" t="s">
        <v>113</v>
      </c>
      <c r="W12420" s="42">
        <v>4517.95</v>
      </c>
      <c r="X12420" s="42">
        <v>4517.95</v>
      </c>
    </row>
    <row r="12421" spans="1:24">
      <c r="A12421" s="27" t="s">
        <v>22331</v>
      </c>
      <c r="B12421" s="28" t="s">
        <v>19918</v>
      </c>
      <c r="C12421" s="27" t="s">
        <v>22332</v>
      </c>
      <c r="D12421" s="27" t="s">
        <v>17578</v>
      </c>
      <c r="E12421" s="29">
        <v>41626</v>
      </c>
      <c r="F12421" s="27">
        <v>5</v>
      </c>
      <c r="G12421" s="18">
        <v>4517.95</v>
      </c>
      <c r="H12421" s="27">
        <f t="shared" si="386"/>
        <v>4517.95</v>
      </c>
      <c r="I12421" s="18">
        <v>4517.95</v>
      </c>
      <c r="J12421" s="27">
        <v>4517.95</v>
      </c>
      <c r="K12421" s="18">
        <f t="shared" si="387"/>
        <v>4517.95</v>
      </c>
      <c r="L12421" s="27">
        <v>4517.95</v>
      </c>
      <c r="M12421" s="36">
        <v>0</v>
      </c>
      <c r="T12421" s="41">
        <v>0</v>
      </c>
      <c r="U12421" s="41">
        <v>0</v>
      </c>
      <c r="V12421" s="42" t="s">
        <v>113</v>
      </c>
      <c r="W12421" s="42">
        <v>4517.95</v>
      </c>
      <c r="X12421" s="42">
        <v>4517.95</v>
      </c>
    </row>
    <row r="12422" spans="1:24">
      <c r="A12422" s="27" t="s">
        <v>22333</v>
      </c>
      <c r="B12422" s="28" t="s">
        <v>19918</v>
      </c>
      <c r="C12422" s="27" t="s">
        <v>22334</v>
      </c>
      <c r="D12422" s="27" t="s">
        <v>17578</v>
      </c>
      <c r="E12422" s="29">
        <v>41626</v>
      </c>
      <c r="F12422" s="27">
        <v>5</v>
      </c>
      <c r="G12422" s="18">
        <v>4517.95</v>
      </c>
      <c r="H12422" s="27">
        <f t="shared" ref="H12422:H12485" si="388">IFERROR(IF(ROUND((G12422-I12422)/G12422,2)&lt;=0.05,G12422,0),0)</f>
        <v>4517.95</v>
      </c>
      <c r="I12422" s="18">
        <v>4517.95</v>
      </c>
      <c r="J12422" s="27">
        <v>4517.95</v>
      </c>
      <c r="K12422" s="18">
        <f t="shared" ref="K12422:K12485" si="389">IFERROR(IF(ROUND((J12422-L12422)/J12422,2)&lt;=0.05,J12422,0),0)</f>
        <v>4517.95</v>
      </c>
      <c r="L12422" s="27">
        <v>4517.95</v>
      </c>
      <c r="M12422" s="36">
        <v>0</v>
      </c>
      <c r="T12422" s="41">
        <v>0</v>
      </c>
      <c r="U12422" s="41">
        <v>0</v>
      </c>
      <c r="V12422" s="42" t="s">
        <v>113</v>
      </c>
      <c r="W12422" s="42">
        <v>4517.95</v>
      </c>
      <c r="X12422" s="42">
        <v>4517.95</v>
      </c>
    </row>
    <row r="12423" spans="1:24">
      <c r="A12423" s="27" t="s">
        <v>22335</v>
      </c>
      <c r="B12423" s="28" t="s">
        <v>19918</v>
      </c>
      <c r="C12423" s="27" t="s">
        <v>22336</v>
      </c>
      <c r="D12423" s="27" t="s">
        <v>17578</v>
      </c>
      <c r="E12423" s="29">
        <v>41626</v>
      </c>
      <c r="F12423" s="27">
        <v>5</v>
      </c>
      <c r="G12423" s="18">
        <v>4517.95</v>
      </c>
      <c r="H12423" s="27">
        <f t="shared" si="388"/>
        <v>4517.95</v>
      </c>
      <c r="I12423" s="18">
        <v>4517.95</v>
      </c>
      <c r="J12423" s="27">
        <v>4517.95</v>
      </c>
      <c r="K12423" s="18">
        <f t="shared" si="389"/>
        <v>4517.95</v>
      </c>
      <c r="L12423" s="27">
        <v>4517.95</v>
      </c>
      <c r="M12423" s="36">
        <v>0</v>
      </c>
      <c r="T12423" s="41">
        <v>0</v>
      </c>
      <c r="U12423" s="41">
        <v>0</v>
      </c>
      <c r="V12423" s="42" t="s">
        <v>113</v>
      </c>
      <c r="W12423" s="42">
        <v>4517.95</v>
      </c>
      <c r="X12423" s="42">
        <v>4517.95</v>
      </c>
    </row>
    <row r="12424" spans="1:24">
      <c r="A12424" s="27" t="s">
        <v>22337</v>
      </c>
      <c r="B12424" s="28" t="s">
        <v>19918</v>
      </c>
      <c r="C12424" s="27" t="s">
        <v>22338</v>
      </c>
      <c r="D12424" s="27" t="s">
        <v>17578</v>
      </c>
      <c r="E12424" s="29">
        <v>41626</v>
      </c>
      <c r="F12424" s="27">
        <v>5</v>
      </c>
      <c r="G12424" s="18">
        <v>4517.95</v>
      </c>
      <c r="H12424" s="27">
        <f t="shared" si="388"/>
        <v>4517.95</v>
      </c>
      <c r="I12424" s="18">
        <v>4517.95</v>
      </c>
      <c r="J12424" s="27">
        <v>4517.95</v>
      </c>
      <c r="K12424" s="18">
        <f t="shared" si="389"/>
        <v>4517.95</v>
      </c>
      <c r="L12424" s="27">
        <v>4517.95</v>
      </c>
      <c r="M12424" s="36">
        <v>0</v>
      </c>
      <c r="T12424" s="41">
        <v>0</v>
      </c>
      <c r="U12424" s="41">
        <v>0</v>
      </c>
      <c r="V12424" s="42" t="s">
        <v>113</v>
      </c>
      <c r="W12424" s="42">
        <v>4517.95</v>
      </c>
      <c r="X12424" s="42">
        <v>4517.95</v>
      </c>
    </row>
    <row r="12425" spans="1:24">
      <c r="A12425" s="27" t="s">
        <v>22339</v>
      </c>
      <c r="B12425" s="28" t="s">
        <v>19918</v>
      </c>
      <c r="C12425" s="27" t="s">
        <v>22340</v>
      </c>
      <c r="D12425" s="27" t="s">
        <v>17578</v>
      </c>
      <c r="E12425" s="29">
        <v>41626</v>
      </c>
      <c r="F12425" s="27">
        <v>5</v>
      </c>
      <c r="G12425" s="18">
        <v>4517.95</v>
      </c>
      <c r="H12425" s="27">
        <f t="shared" si="388"/>
        <v>4517.95</v>
      </c>
      <c r="I12425" s="18">
        <v>4517.95</v>
      </c>
      <c r="J12425" s="27">
        <v>4517.95</v>
      </c>
      <c r="K12425" s="18">
        <f t="shared" si="389"/>
        <v>4517.95</v>
      </c>
      <c r="L12425" s="27">
        <v>4517.95</v>
      </c>
      <c r="M12425" s="36">
        <v>0</v>
      </c>
      <c r="T12425" s="41">
        <v>0</v>
      </c>
      <c r="U12425" s="41">
        <v>0</v>
      </c>
      <c r="V12425" s="42" t="s">
        <v>113</v>
      </c>
      <c r="W12425" s="42">
        <v>4517.95</v>
      </c>
      <c r="X12425" s="42">
        <v>4517.95</v>
      </c>
    </row>
    <row r="12426" spans="1:24">
      <c r="A12426" s="27" t="s">
        <v>22341</v>
      </c>
      <c r="B12426" s="28" t="s">
        <v>19918</v>
      </c>
      <c r="C12426" s="27" t="s">
        <v>22342</v>
      </c>
      <c r="D12426" s="27" t="s">
        <v>17578</v>
      </c>
      <c r="E12426" s="29">
        <v>41626</v>
      </c>
      <c r="F12426" s="27">
        <v>5</v>
      </c>
      <c r="G12426" s="18">
        <v>4517.95</v>
      </c>
      <c r="H12426" s="27">
        <f t="shared" si="388"/>
        <v>4517.95</v>
      </c>
      <c r="I12426" s="18">
        <v>4517.95</v>
      </c>
      <c r="J12426" s="27">
        <v>4517.95</v>
      </c>
      <c r="K12426" s="18">
        <f t="shared" si="389"/>
        <v>4517.95</v>
      </c>
      <c r="L12426" s="27">
        <v>4517.95</v>
      </c>
      <c r="M12426" s="36">
        <v>0</v>
      </c>
      <c r="T12426" s="41">
        <v>0</v>
      </c>
      <c r="U12426" s="41">
        <v>0</v>
      </c>
      <c r="V12426" s="42" t="s">
        <v>113</v>
      </c>
      <c r="W12426" s="42">
        <v>4517.95</v>
      </c>
      <c r="X12426" s="42">
        <v>4517.95</v>
      </c>
    </row>
    <row r="12427" spans="1:24">
      <c r="A12427" s="27" t="s">
        <v>22343</v>
      </c>
      <c r="B12427" s="28" t="s">
        <v>19918</v>
      </c>
      <c r="C12427" s="27" t="s">
        <v>22344</v>
      </c>
      <c r="D12427" s="27" t="s">
        <v>17578</v>
      </c>
      <c r="E12427" s="29">
        <v>42062</v>
      </c>
      <c r="F12427" s="27">
        <v>5</v>
      </c>
      <c r="G12427" s="18">
        <v>5264.96</v>
      </c>
      <c r="H12427" s="27">
        <f t="shared" si="388"/>
        <v>0</v>
      </c>
      <c r="I12427" s="18">
        <v>3834.64</v>
      </c>
      <c r="J12427" s="27">
        <v>5264.96</v>
      </c>
      <c r="K12427" s="18">
        <f t="shared" si="389"/>
        <v>0</v>
      </c>
      <c r="L12427" s="27">
        <v>4834.99</v>
      </c>
      <c r="M12427" s="36">
        <v>1000.35</v>
      </c>
      <c r="T12427" s="41">
        <v>0</v>
      </c>
      <c r="U12427" s="41">
        <v>0</v>
      </c>
      <c r="V12427" s="42" t="s">
        <v>113</v>
      </c>
      <c r="W12427" s="42">
        <v>5264.96</v>
      </c>
      <c r="X12427" s="42">
        <v>5264.96</v>
      </c>
    </row>
    <row r="12428" spans="1:24">
      <c r="A12428" s="27" t="s">
        <v>22345</v>
      </c>
      <c r="B12428" s="28" t="s">
        <v>19918</v>
      </c>
      <c r="C12428" s="27" t="s">
        <v>22346</v>
      </c>
      <c r="D12428" s="27" t="s">
        <v>17578</v>
      </c>
      <c r="E12428" s="29">
        <v>42062</v>
      </c>
      <c r="F12428" s="27">
        <v>5</v>
      </c>
      <c r="G12428" s="18">
        <v>5264.96</v>
      </c>
      <c r="H12428" s="27">
        <f t="shared" si="388"/>
        <v>0</v>
      </c>
      <c r="I12428" s="18">
        <v>3834.64</v>
      </c>
      <c r="J12428" s="27">
        <v>5264.96</v>
      </c>
      <c r="K12428" s="18">
        <f t="shared" si="389"/>
        <v>0</v>
      </c>
      <c r="L12428" s="27">
        <v>4834.99</v>
      </c>
      <c r="M12428" s="36">
        <v>1000.35</v>
      </c>
      <c r="T12428" s="41">
        <v>0</v>
      </c>
      <c r="U12428" s="41">
        <v>0</v>
      </c>
      <c r="V12428" s="42" t="s">
        <v>113</v>
      </c>
      <c r="W12428" s="42">
        <v>5264.96</v>
      </c>
      <c r="X12428" s="42">
        <v>5264.96</v>
      </c>
    </row>
    <row r="12429" spans="1:24">
      <c r="A12429" s="27" t="s">
        <v>22347</v>
      </c>
      <c r="B12429" s="28" t="s">
        <v>19918</v>
      </c>
      <c r="C12429" s="27" t="s">
        <v>22348</v>
      </c>
      <c r="D12429" s="27" t="s">
        <v>17578</v>
      </c>
      <c r="E12429" s="29">
        <v>42062</v>
      </c>
      <c r="F12429" s="27">
        <v>5</v>
      </c>
      <c r="G12429" s="18">
        <v>5264.96</v>
      </c>
      <c r="H12429" s="27">
        <f t="shared" si="388"/>
        <v>0</v>
      </c>
      <c r="I12429" s="18">
        <v>3834.64</v>
      </c>
      <c r="J12429" s="27">
        <v>5264.96</v>
      </c>
      <c r="K12429" s="18">
        <f t="shared" si="389"/>
        <v>0</v>
      </c>
      <c r="L12429" s="27">
        <v>4834.99</v>
      </c>
      <c r="M12429" s="36">
        <v>1000.35</v>
      </c>
      <c r="T12429" s="41">
        <v>0</v>
      </c>
      <c r="U12429" s="41">
        <v>0</v>
      </c>
      <c r="V12429" s="42" t="s">
        <v>113</v>
      </c>
      <c r="W12429" s="42">
        <v>5264.96</v>
      </c>
      <c r="X12429" s="42">
        <v>5264.96</v>
      </c>
    </row>
    <row r="12430" spans="1:24">
      <c r="A12430" s="27" t="s">
        <v>22349</v>
      </c>
      <c r="B12430" s="28" t="s">
        <v>19918</v>
      </c>
      <c r="C12430" s="27" t="s">
        <v>22350</v>
      </c>
      <c r="D12430" s="27" t="s">
        <v>17578</v>
      </c>
      <c r="E12430" s="29">
        <v>42062</v>
      </c>
      <c r="F12430" s="27">
        <v>5</v>
      </c>
      <c r="G12430" s="18">
        <v>5264.96</v>
      </c>
      <c r="H12430" s="27">
        <f t="shared" si="388"/>
        <v>0</v>
      </c>
      <c r="I12430" s="18">
        <v>3834.64</v>
      </c>
      <c r="J12430" s="27">
        <v>5264.96</v>
      </c>
      <c r="K12430" s="18">
        <f t="shared" si="389"/>
        <v>0</v>
      </c>
      <c r="L12430" s="27">
        <v>4834.99</v>
      </c>
      <c r="M12430" s="36">
        <v>1000.35</v>
      </c>
      <c r="T12430" s="41">
        <v>0</v>
      </c>
      <c r="U12430" s="41">
        <v>0</v>
      </c>
      <c r="V12430" s="42" t="s">
        <v>113</v>
      </c>
      <c r="W12430" s="42">
        <v>5264.96</v>
      </c>
      <c r="X12430" s="42">
        <v>5264.96</v>
      </c>
    </row>
    <row r="12431" spans="1:24">
      <c r="A12431" s="27" t="s">
        <v>22351</v>
      </c>
      <c r="B12431" s="28" t="s">
        <v>19918</v>
      </c>
      <c r="C12431" s="27" t="s">
        <v>22352</v>
      </c>
      <c r="D12431" s="27" t="s">
        <v>17578</v>
      </c>
      <c r="E12431" s="29">
        <v>42062</v>
      </c>
      <c r="F12431" s="27">
        <v>5</v>
      </c>
      <c r="G12431" s="18">
        <v>5264.96</v>
      </c>
      <c r="H12431" s="27">
        <f t="shared" si="388"/>
        <v>0</v>
      </c>
      <c r="I12431" s="18">
        <v>3834.64</v>
      </c>
      <c r="J12431" s="27">
        <v>5264.96</v>
      </c>
      <c r="K12431" s="18">
        <f t="shared" si="389"/>
        <v>0</v>
      </c>
      <c r="L12431" s="27">
        <v>4834.99</v>
      </c>
      <c r="M12431" s="36">
        <v>1000.35</v>
      </c>
      <c r="T12431" s="41">
        <v>0</v>
      </c>
      <c r="U12431" s="41">
        <v>0</v>
      </c>
      <c r="V12431" s="42" t="s">
        <v>113</v>
      </c>
      <c r="W12431" s="42">
        <v>5264.96</v>
      </c>
      <c r="X12431" s="42">
        <v>5264.96</v>
      </c>
    </row>
    <row r="12432" spans="1:24">
      <c r="A12432" s="27" t="s">
        <v>22353</v>
      </c>
      <c r="B12432" s="28" t="s">
        <v>19918</v>
      </c>
      <c r="C12432" s="27" t="s">
        <v>22354</v>
      </c>
      <c r="D12432" s="27" t="s">
        <v>17578</v>
      </c>
      <c r="E12432" s="29">
        <v>42062</v>
      </c>
      <c r="F12432" s="27">
        <v>5</v>
      </c>
      <c r="G12432" s="18">
        <v>5264.94</v>
      </c>
      <c r="H12432" s="27">
        <f t="shared" si="388"/>
        <v>0</v>
      </c>
      <c r="I12432" s="18">
        <v>3834.63</v>
      </c>
      <c r="J12432" s="27">
        <v>5264.94</v>
      </c>
      <c r="K12432" s="18">
        <f t="shared" si="389"/>
        <v>0</v>
      </c>
      <c r="L12432" s="27">
        <v>4834.97</v>
      </c>
      <c r="M12432" s="36">
        <v>1000.34</v>
      </c>
      <c r="T12432" s="41">
        <v>0</v>
      </c>
      <c r="U12432" s="41">
        <v>0</v>
      </c>
      <c r="V12432" s="42" t="s">
        <v>113</v>
      </c>
      <c r="W12432" s="42">
        <v>5264.94</v>
      </c>
      <c r="X12432" s="42">
        <v>5264.94</v>
      </c>
    </row>
    <row r="12433" spans="1:24">
      <c r="A12433" s="27" t="s">
        <v>22355</v>
      </c>
      <c r="B12433" s="28" t="s">
        <v>19918</v>
      </c>
      <c r="C12433" s="27" t="s">
        <v>22356</v>
      </c>
      <c r="D12433" s="27" t="s">
        <v>17578</v>
      </c>
      <c r="E12433" s="29">
        <v>42062</v>
      </c>
      <c r="F12433" s="27">
        <v>5</v>
      </c>
      <c r="G12433" s="18">
        <v>5264.96</v>
      </c>
      <c r="H12433" s="27">
        <f t="shared" si="388"/>
        <v>0</v>
      </c>
      <c r="I12433" s="18">
        <v>3834.64</v>
      </c>
      <c r="J12433" s="27">
        <v>5264.96</v>
      </c>
      <c r="K12433" s="18">
        <f t="shared" si="389"/>
        <v>0</v>
      </c>
      <c r="L12433" s="27">
        <v>4834.99</v>
      </c>
      <c r="M12433" s="36">
        <v>1000.35</v>
      </c>
      <c r="T12433" s="41">
        <v>0</v>
      </c>
      <c r="U12433" s="41">
        <v>0</v>
      </c>
      <c r="V12433" s="42" t="s">
        <v>113</v>
      </c>
      <c r="W12433" s="42">
        <v>5264.96</v>
      </c>
      <c r="X12433" s="42">
        <v>5264.96</v>
      </c>
    </row>
    <row r="12434" spans="1:24">
      <c r="A12434" s="27" t="s">
        <v>22357</v>
      </c>
      <c r="B12434" s="28" t="s">
        <v>19918</v>
      </c>
      <c r="C12434" s="27" t="s">
        <v>22358</v>
      </c>
      <c r="D12434" s="27" t="s">
        <v>17578</v>
      </c>
      <c r="E12434" s="29">
        <v>42062</v>
      </c>
      <c r="F12434" s="27">
        <v>5</v>
      </c>
      <c r="G12434" s="18">
        <v>5264.96</v>
      </c>
      <c r="H12434" s="27">
        <f t="shared" si="388"/>
        <v>0</v>
      </c>
      <c r="I12434" s="18">
        <v>3834.64</v>
      </c>
      <c r="J12434" s="27">
        <v>5264.96</v>
      </c>
      <c r="K12434" s="18">
        <f t="shared" si="389"/>
        <v>0</v>
      </c>
      <c r="L12434" s="27">
        <v>4834.99</v>
      </c>
      <c r="M12434" s="36">
        <v>1000.35</v>
      </c>
      <c r="T12434" s="41">
        <v>0</v>
      </c>
      <c r="U12434" s="41">
        <v>0</v>
      </c>
      <c r="V12434" s="42" t="s">
        <v>113</v>
      </c>
      <c r="W12434" s="42">
        <v>5264.96</v>
      </c>
      <c r="X12434" s="42">
        <v>5264.96</v>
      </c>
    </row>
    <row r="12435" spans="1:24">
      <c r="A12435" s="27" t="s">
        <v>22359</v>
      </c>
      <c r="B12435" s="28" t="s">
        <v>19918</v>
      </c>
      <c r="C12435" s="27" t="s">
        <v>22360</v>
      </c>
      <c r="D12435" s="27" t="s">
        <v>17578</v>
      </c>
      <c r="E12435" s="29">
        <v>42062</v>
      </c>
      <c r="F12435" s="27">
        <v>5</v>
      </c>
      <c r="G12435" s="18">
        <v>5264.96</v>
      </c>
      <c r="H12435" s="27">
        <f t="shared" si="388"/>
        <v>0</v>
      </c>
      <c r="I12435" s="18">
        <v>3834.64</v>
      </c>
      <c r="J12435" s="27">
        <v>5264.96</v>
      </c>
      <c r="K12435" s="18">
        <f t="shared" si="389"/>
        <v>0</v>
      </c>
      <c r="L12435" s="27">
        <v>4834.99</v>
      </c>
      <c r="M12435" s="36">
        <v>1000.35</v>
      </c>
      <c r="T12435" s="41">
        <v>0</v>
      </c>
      <c r="U12435" s="41">
        <v>0</v>
      </c>
      <c r="V12435" s="42" t="s">
        <v>113</v>
      </c>
      <c r="W12435" s="42">
        <v>5264.96</v>
      </c>
      <c r="X12435" s="42">
        <v>5264.96</v>
      </c>
    </row>
    <row r="12436" spans="1:24">
      <c r="A12436" s="27" t="s">
        <v>22361</v>
      </c>
      <c r="B12436" s="28" t="s">
        <v>19918</v>
      </c>
      <c r="C12436" s="27" t="s">
        <v>22362</v>
      </c>
      <c r="D12436" s="27" t="s">
        <v>17578</v>
      </c>
      <c r="E12436" s="29">
        <v>42551</v>
      </c>
      <c r="F12436" s="27">
        <v>5</v>
      </c>
      <c r="G12436" s="18">
        <v>4028.4</v>
      </c>
      <c r="H12436" s="27">
        <f t="shared" si="388"/>
        <v>0</v>
      </c>
      <c r="I12436" s="18">
        <v>1913.49</v>
      </c>
      <c r="J12436" s="27">
        <v>4028.4</v>
      </c>
      <c r="K12436" s="18">
        <f t="shared" si="389"/>
        <v>0</v>
      </c>
      <c r="L12436" s="27">
        <v>2678.89</v>
      </c>
      <c r="M12436" s="36">
        <v>765.4</v>
      </c>
      <c r="T12436" s="41">
        <v>0</v>
      </c>
      <c r="U12436" s="41">
        <v>0</v>
      </c>
      <c r="V12436" s="42" t="s">
        <v>113</v>
      </c>
      <c r="W12436" s="42">
        <v>0</v>
      </c>
      <c r="X12436" s="42">
        <v>4028.4</v>
      </c>
    </row>
    <row r="12437" spans="1:24">
      <c r="A12437" s="27" t="s">
        <v>22363</v>
      </c>
      <c r="B12437" s="28" t="s">
        <v>19918</v>
      </c>
      <c r="C12437" s="27" t="s">
        <v>22364</v>
      </c>
      <c r="D12437" s="27" t="s">
        <v>17578</v>
      </c>
      <c r="E12437" s="29">
        <v>42551</v>
      </c>
      <c r="F12437" s="27">
        <v>5</v>
      </c>
      <c r="G12437" s="18">
        <v>4028.4</v>
      </c>
      <c r="H12437" s="27">
        <f t="shared" si="388"/>
        <v>0</v>
      </c>
      <c r="I12437" s="18">
        <v>1913.49</v>
      </c>
      <c r="J12437" s="27">
        <v>4028.4</v>
      </c>
      <c r="K12437" s="18">
        <f t="shared" si="389"/>
        <v>0</v>
      </c>
      <c r="L12437" s="27">
        <v>2678.89</v>
      </c>
      <c r="M12437" s="36">
        <v>765.4</v>
      </c>
      <c r="T12437" s="41">
        <v>0</v>
      </c>
      <c r="U12437" s="41">
        <v>0</v>
      </c>
      <c r="V12437" s="42" t="s">
        <v>113</v>
      </c>
      <c r="W12437" s="42">
        <v>0</v>
      </c>
      <c r="X12437" s="42">
        <v>4028.4</v>
      </c>
    </row>
    <row r="12438" spans="1:24">
      <c r="A12438" s="27" t="s">
        <v>22365</v>
      </c>
      <c r="B12438" s="28" t="s">
        <v>19918</v>
      </c>
      <c r="C12438" s="27" t="s">
        <v>22366</v>
      </c>
      <c r="D12438" s="27" t="s">
        <v>17578</v>
      </c>
      <c r="E12438" s="29">
        <v>42551</v>
      </c>
      <c r="F12438" s="27">
        <v>5</v>
      </c>
      <c r="G12438" s="18">
        <v>4028.4</v>
      </c>
      <c r="H12438" s="27">
        <f t="shared" si="388"/>
        <v>0</v>
      </c>
      <c r="I12438" s="18">
        <v>1913.49</v>
      </c>
      <c r="J12438" s="27">
        <v>4028.4</v>
      </c>
      <c r="K12438" s="18">
        <f t="shared" si="389"/>
        <v>0</v>
      </c>
      <c r="L12438" s="27">
        <v>2678.89</v>
      </c>
      <c r="M12438" s="36">
        <v>765.4</v>
      </c>
      <c r="T12438" s="41">
        <v>0</v>
      </c>
      <c r="U12438" s="41">
        <v>0</v>
      </c>
      <c r="V12438" s="42" t="s">
        <v>113</v>
      </c>
      <c r="W12438" s="42">
        <v>0</v>
      </c>
      <c r="X12438" s="42">
        <v>4028.4</v>
      </c>
    </row>
    <row r="12439" spans="1:24">
      <c r="A12439" s="27" t="s">
        <v>22367</v>
      </c>
      <c r="B12439" s="28" t="s">
        <v>19918</v>
      </c>
      <c r="C12439" s="27" t="s">
        <v>22368</v>
      </c>
      <c r="D12439" s="27" t="s">
        <v>17578</v>
      </c>
      <c r="E12439" s="29">
        <v>42551</v>
      </c>
      <c r="F12439" s="27">
        <v>5</v>
      </c>
      <c r="G12439" s="18">
        <v>4028.4</v>
      </c>
      <c r="H12439" s="27">
        <f t="shared" si="388"/>
        <v>0</v>
      </c>
      <c r="I12439" s="18">
        <v>1913.49</v>
      </c>
      <c r="J12439" s="27">
        <v>4028.4</v>
      </c>
      <c r="K12439" s="18">
        <f t="shared" si="389"/>
        <v>0</v>
      </c>
      <c r="L12439" s="27">
        <v>2678.89</v>
      </c>
      <c r="M12439" s="36">
        <v>765.4</v>
      </c>
      <c r="T12439" s="41">
        <v>0</v>
      </c>
      <c r="U12439" s="41">
        <v>0</v>
      </c>
      <c r="V12439" s="42" t="s">
        <v>113</v>
      </c>
      <c r="W12439" s="42">
        <v>0</v>
      </c>
      <c r="X12439" s="42">
        <v>4028.4</v>
      </c>
    </row>
    <row r="12440" spans="1:24">
      <c r="A12440" s="27" t="s">
        <v>22369</v>
      </c>
      <c r="B12440" s="28" t="s">
        <v>19918</v>
      </c>
      <c r="C12440" s="27" t="s">
        <v>22370</v>
      </c>
      <c r="D12440" s="27" t="s">
        <v>17578</v>
      </c>
      <c r="E12440" s="29">
        <v>42551</v>
      </c>
      <c r="F12440" s="27">
        <v>5</v>
      </c>
      <c r="G12440" s="18">
        <v>4028.4</v>
      </c>
      <c r="H12440" s="27">
        <f t="shared" si="388"/>
        <v>0</v>
      </c>
      <c r="I12440" s="18">
        <v>1913.49</v>
      </c>
      <c r="J12440" s="27">
        <v>4028.4</v>
      </c>
      <c r="K12440" s="18">
        <f t="shared" si="389"/>
        <v>0</v>
      </c>
      <c r="L12440" s="27">
        <v>2678.89</v>
      </c>
      <c r="M12440" s="36">
        <v>765.4</v>
      </c>
      <c r="T12440" s="41">
        <v>0</v>
      </c>
      <c r="U12440" s="41">
        <v>0</v>
      </c>
      <c r="V12440" s="42" t="s">
        <v>113</v>
      </c>
      <c r="W12440" s="42">
        <v>0</v>
      </c>
      <c r="X12440" s="42">
        <v>4028.4</v>
      </c>
    </row>
    <row r="12441" spans="1:24">
      <c r="A12441" s="27" t="s">
        <v>22371</v>
      </c>
      <c r="B12441" s="28" t="s">
        <v>19918</v>
      </c>
      <c r="C12441" s="27" t="s">
        <v>22372</v>
      </c>
      <c r="D12441" s="27" t="s">
        <v>17578</v>
      </c>
      <c r="E12441" s="29">
        <v>42551</v>
      </c>
      <c r="F12441" s="27">
        <v>5</v>
      </c>
      <c r="G12441" s="18">
        <v>5621.03</v>
      </c>
      <c r="H12441" s="27">
        <f t="shared" si="388"/>
        <v>0</v>
      </c>
      <c r="I12441" s="18">
        <v>2669.99</v>
      </c>
      <c r="J12441" s="27">
        <v>5621.03</v>
      </c>
      <c r="K12441" s="18">
        <f t="shared" si="389"/>
        <v>0</v>
      </c>
      <c r="L12441" s="27">
        <v>3737.99</v>
      </c>
      <c r="M12441" s="36">
        <v>1068</v>
      </c>
      <c r="T12441" s="41">
        <v>0</v>
      </c>
      <c r="U12441" s="41">
        <v>0</v>
      </c>
      <c r="V12441" s="42" t="s">
        <v>113</v>
      </c>
      <c r="W12441" s="42">
        <v>0</v>
      </c>
      <c r="X12441" s="42">
        <v>5621.03</v>
      </c>
    </row>
    <row r="12442" spans="1:24">
      <c r="A12442" s="27" t="s">
        <v>22373</v>
      </c>
      <c r="B12442" s="28" t="s">
        <v>19918</v>
      </c>
      <c r="C12442" s="27" t="s">
        <v>22374</v>
      </c>
      <c r="D12442" s="27" t="s">
        <v>17578</v>
      </c>
      <c r="E12442" s="29">
        <v>42551</v>
      </c>
      <c r="F12442" s="27">
        <v>5</v>
      </c>
      <c r="G12442" s="18">
        <v>4028.4</v>
      </c>
      <c r="H12442" s="27">
        <f t="shared" si="388"/>
        <v>0</v>
      </c>
      <c r="I12442" s="18">
        <v>1913.49</v>
      </c>
      <c r="J12442" s="27">
        <v>4028.4</v>
      </c>
      <c r="K12442" s="18">
        <f t="shared" si="389"/>
        <v>0</v>
      </c>
      <c r="L12442" s="27">
        <v>2678.89</v>
      </c>
      <c r="M12442" s="36">
        <v>765.4</v>
      </c>
      <c r="T12442" s="41">
        <v>0</v>
      </c>
      <c r="U12442" s="41">
        <v>0</v>
      </c>
      <c r="V12442" s="42" t="s">
        <v>113</v>
      </c>
      <c r="W12442" s="42">
        <v>0</v>
      </c>
      <c r="X12442" s="42">
        <v>4028.4</v>
      </c>
    </row>
    <row r="12443" spans="1:24">
      <c r="A12443" s="27" t="s">
        <v>22375</v>
      </c>
      <c r="B12443" s="28" t="s">
        <v>19918</v>
      </c>
      <c r="C12443" s="27" t="s">
        <v>22376</v>
      </c>
      <c r="D12443" s="27" t="s">
        <v>17578</v>
      </c>
      <c r="E12443" s="29">
        <v>42551</v>
      </c>
      <c r="F12443" s="27">
        <v>5</v>
      </c>
      <c r="G12443" s="18">
        <v>4028.4</v>
      </c>
      <c r="H12443" s="27">
        <f t="shared" si="388"/>
        <v>0</v>
      </c>
      <c r="I12443" s="18">
        <v>1913.49</v>
      </c>
      <c r="J12443" s="27">
        <v>4028.4</v>
      </c>
      <c r="K12443" s="18">
        <f t="shared" si="389"/>
        <v>0</v>
      </c>
      <c r="L12443" s="27">
        <v>2678.89</v>
      </c>
      <c r="M12443" s="36">
        <v>765.4</v>
      </c>
      <c r="T12443" s="41">
        <v>0</v>
      </c>
      <c r="U12443" s="41">
        <v>0</v>
      </c>
      <c r="V12443" s="42" t="s">
        <v>113</v>
      </c>
      <c r="W12443" s="42">
        <v>0</v>
      </c>
      <c r="X12443" s="42">
        <v>4028.4</v>
      </c>
    </row>
    <row r="12444" spans="1:24">
      <c r="A12444" s="27" t="s">
        <v>22377</v>
      </c>
      <c r="B12444" s="28" t="s">
        <v>19918</v>
      </c>
      <c r="C12444" s="27" t="s">
        <v>22378</v>
      </c>
      <c r="D12444" s="27" t="s">
        <v>17578</v>
      </c>
      <c r="E12444" s="29">
        <v>42551</v>
      </c>
      <c r="F12444" s="27">
        <v>5</v>
      </c>
      <c r="G12444" s="18">
        <v>4028.4</v>
      </c>
      <c r="H12444" s="27">
        <f t="shared" si="388"/>
        <v>0</v>
      </c>
      <c r="I12444" s="18">
        <v>1913.49</v>
      </c>
      <c r="J12444" s="27">
        <v>4028.4</v>
      </c>
      <c r="K12444" s="18">
        <f t="shared" si="389"/>
        <v>0</v>
      </c>
      <c r="L12444" s="27">
        <v>2678.89</v>
      </c>
      <c r="M12444" s="36">
        <v>765.4</v>
      </c>
      <c r="T12444" s="41">
        <v>0</v>
      </c>
      <c r="U12444" s="41">
        <v>0</v>
      </c>
      <c r="V12444" s="42" t="s">
        <v>113</v>
      </c>
      <c r="W12444" s="42">
        <v>0</v>
      </c>
      <c r="X12444" s="42">
        <v>4028.4</v>
      </c>
    </row>
    <row r="12445" spans="1:24">
      <c r="A12445" s="27" t="s">
        <v>22379</v>
      </c>
      <c r="B12445" s="28" t="s">
        <v>19918</v>
      </c>
      <c r="C12445" s="27" t="s">
        <v>22380</v>
      </c>
      <c r="D12445" s="27" t="s">
        <v>17578</v>
      </c>
      <c r="E12445" s="29">
        <v>42551</v>
      </c>
      <c r="F12445" s="27">
        <v>5</v>
      </c>
      <c r="G12445" s="18">
        <v>4028.4</v>
      </c>
      <c r="H12445" s="27">
        <f t="shared" si="388"/>
        <v>0</v>
      </c>
      <c r="I12445" s="18">
        <v>1913.49</v>
      </c>
      <c r="J12445" s="27">
        <v>4028.4</v>
      </c>
      <c r="K12445" s="18">
        <f t="shared" si="389"/>
        <v>0</v>
      </c>
      <c r="L12445" s="27">
        <v>2678.89</v>
      </c>
      <c r="M12445" s="36">
        <v>765.4</v>
      </c>
      <c r="T12445" s="41">
        <v>0</v>
      </c>
      <c r="U12445" s="41">
        <v>0</v>
      </c>
      <c r="V12445" s="42" t="s">
        <v>113</v>
      </c>
      <c r="W12445" s="42">
        <v>0</v>
      </c>
      <c r="X12445" s="42">
        <v>4028.4</v>
      </c>
    </row>
    <row r="12446" spans="1:24">
      <c r="A12446" s="27" t="s">
        <v>22381</v>
      </c>
      <c r="B12446" s="28" t="s">
        <v>19918</v>
      </c>
      <c r="C12446" s="27" t="s">
        <v>22382</v>
      </c>
      <c r="D12446" s="27" t="s">
        <v>17578</v>
      </c>
      <c r="E12446" s="29">
        <v>42551</v>
      </c>
      <c r="F12446" s="27">
        <v>5</v>
      </c>
      <c r="G12446" s="18">
        <v>4028.4</v>
      </c>
      <c r="H12446" s="27">
        <f t="shared" si="388"/>
        <v>0</v>
      </c>
      <c r="I12446" s="18">
        <v>1913.49</v>
      </c>
      <c r="J12446" s="27">
        <v>4028.4</v>
      </c>
      <c r="K12446" s="18">
        <f t="shared" si="389"/>
        <v>0</v>
      </c>
      <c r="L12446" s="27">
        <v>2678.89</v>
      </c>
      <c r="M12446" s="36">
        <v>765.4</v>
      </c>
      <c r="T12446" s="41">
        <v>0</v>
      </c>
      <c r="U12446" s="41">
        <v>0</v>
      </c>
      <c r="V12446" s="42" t="s">
        <v>113</v>
      </c>
      <c r="W12446" s="42">
        <v>0</v>
      </c>
      <c r="X12446" s="42">
        <v>4028.4</v>
      </c>
    </row>
    <row r="12447" spans="1:24">
      <c r="A12447" s="27" t="s">
        <v>22383</v>
      </c>
      <c r="B12447" s="28" t="s">
        <v>19918</v>
      </c>
      <c r="C12447" s="27" t="s">
        <v>22384</v>
      </c>
      <c r="D12447" s="27" t="s">
        <v>17578</v>
      </c>
      <c r="E12447" s="29">
        <v>42551</v>
      </c>
      <c r="F12447" s="27">
        <v>5</v>
      </c>
      <c r="G12447" s="18">
        <v>5621.03</v>
      </c>
      <c r="H12447" s="27">
        <f t="shared" si="388"/>
        <v>0</v>
      </c>
      <c r="I12447" s="18">
        <v>2669.99</v>
      </c>
      <c r="J12447" s="27">
        <v>5621.03</v>
      </c>
      <c r="K12447" s="18">
        <f t="shared" si="389"/>
        <v>0</v>
      </c>
      <c r="L12447" s="27">
        <v>3737.99</v>
      </c>
      <c r="M12447" s="36">
        <v>1068</v>
      </c>
      <c r="T12447" s="41">
        <v>0</v>
      </c>
      <c r="U12447" s="41">
        <v>0</v>
      </c>
      <c r="V12447" s="42" t="s">
        <v>113</v>
      </c>
      <c r="W12447" s="42">
        <v>0</v>
      </c>
      <c r="X12447" s="42">
        <v>5621.03</v>
      </c>
    </row>
    <row r="12448" spans="1:24">
      <c r="A12448" s="27" t="s">
        <v>22385</v>
      </c>
      <c r="B12448" s="28" t="s">
        <v>19918</v>
      </c>
      <c r="C12448" s="27" t="s">
        <v>22386</v>
      </c>
      <c r="D12448" s="27" t="s">
        <v>17578</v>
      </c>
      <c r="E12448" s="29">
        <v>42837</v>
      </c>
      <c r="F12448" s="27">
        <v>5</v>
      </c>
      <c r="G12448" s="18">
        <v>6222</v>
      </c>
      <c r="H12448" s="27">
        <f t="shared" si="388"/>
        <v>0</v>
      </c>
      <c r="I12448" s="18">
        <v>1970.3</v>
      </c>
      <c r="J12448" s="27">
        <v>6222</v>
      </c>
      <c r="K12448" s="18">
        <f t="shared" si="389"/>
        <v>0</v>
      </c>
      <c r="L12448" s="27">
        <v>3152.48</v>
      </c>
      <c r="M12448" s="36">
        <v>1182.18</v>
      </c>
      <c r="T12448" s="41">
        <v>0</v>
      </c>
      <c r="U12448" s="41">
        <v>0</v>
      </c>
      <c r="V12448" s="42" t="s">
        <v>113</v>
      </c>
      <c r="W12448" s="42">
        <v>0</v>
      </c>
      <c r="X12448" s="42">
        <v>0</v>
      </c>
    </row>
    <row r="12449" spans="1:24">
      <c r="A12449" s="27" t="s">
        <v>22387</v>
      </c>
      <c r="B12449" s="28" t="s">
        <v>19918</v>
      </c>
      <c r="C12449" s="27" t="s">
        <v>22388</v>
      </c>
      <c r="D12449" s="27" t="s">
        <v>17578</v>
      </c>
      <c r="E12449" s="29">
        <v>42837</v>
      </c>
      <c r="F12449" s="27">
        <v>5</v>
      </c>
      <c r="G12449" s="18">
        <v>6222</v>
      </c>
      <c r="H12449" s="27">
        <f t="shared" si="388"/>
        <v>0</v>
      </c>
      <c r="I12449" s="18">
        <v>1970.3</v>
      </c>
      <c r="J12449" s="27">
        <v>6222</v>
      </c>
      <c r="K12449" s="18">
        <f t="shared" si="389"/>
        <v>0</v>
      </c>
      <c r="L12449" s="27">
        <v>3152.48</v>
      </c>
      <c r="M12449" s="36">
        <v>1182.18</v>
      </c>
      <c r="T12449" s="41">
        <v>0</v>
      </c>
      <c r="U12449" s="41">
        <v>0</v>
      </c>
      <c r="V12449" s="42" t="s">
        <v>113</v>
      </c>
      <c r="W12449" s="42">
        <v>0</v>
      </c>
      <c r="X12449" s="42">
        <v>0</v>
      </c>
    </row>
    <row r="12450" spans="1:24">
      <c r="A12450" s="27" t="s">
        <v>22389</v>
      </c>
      <c r="B12450" s="28" t="s">
        <v>19918</v>
      </c>
      <c r="C12450" s="27" t="s">
        <v>22390</v>
      </c>
      <c r="D12450" s="27" t="s">
        <v>17578</v>
      </c>
      <c r="E12450" s="29">
        <v>42837</v>
      </c>
      <c r="F12450" s="27">
        <v>5</v>
      </c>
      <c r="G12450" s="18">
        <v>6222</v>
      </c>
      <c r="H12450" s="27">
        <f t="shared" si="388"/>
        <v>0</v>
      </c>
      <c r="I12450" s="18">
        <v>1970.3</v>
      </c>
      <c r="J12450" s="27">
        <v>6222</v>
      </c>
      <c r="K12450" s="18">
        <f t="shared" si="389"/>
        <v>0</v>
      </c>
      <c r="L12450" s="27">
        <v>3152.48</v>
      </c>
      <c r="M12450" s="36">
        <v>1182.18</v>
      </c>
      <c r="T12450" s="41">
        <v>0</v>
      </c>
      <c r="U12450" s="41">
        <v>0</v>
      </c>
      <c r="V12450" s="42" t="s">
        <v>113</v>
      </c>
      <c r="W12450" s="42">
        <v>0</v>
      </c>
      <c r="X12450" s="42">
        <v>0</v>
      </c>
    </row>
    <row r="12451" spans="1:24">
      <c r="A12451" s="27" t="s">
        <v>22391</v>
      </c>
      <c r="B12451" s="28" t="s">
        <v>19918</v>
      </c>
      <c r="C12451" s="27" t="s">
        <v>22392</v>
      </c>
      <c r="D12451" s="27" t="s">
        <v>17578</v>
      </c>
      <c r="E12451" s="29">
        <v>42837</v>
      </c>
      <c r="F12451" s="27">
        <v>5</v>
      </c>
      <c r="G12451" s="18">
        <v>6222</v>
      </c>
      <c r="H12451" s="27">
        <f t="shared" si="388"/>
        <v>0</v>
      </c>
      <c r="I12451" s="18">
        <v>1970.3</v>
      </c>
      <c r="J12451" s="27">
        <v>6222</v>
      </c>
      <c r="K12451" s="18">
        <f t="shared" si="389"/>
        <v>0</v>
      </c>
      <c r="L12451" s="27">
        <v>3152.48</v>
      </c>
      <c r="M12451" s="36">
        <v>1182.18</v>
      </c>
      <c r="T12451" s="41">
        <v>0</v>
      </c>
      <c r="U12451" s="41">
        <v>0</v>
      </c>
      <c r="V12451" s="42" t="s">
        <v>113</v>
      </c>
      <c r="W12451" s="42">
        <v>0</v>
      </c>
      <c r="X12451" s="42">
        <v>0</v>
      </c>
    </row>
    <row r="12452" spans="1:24">
      <c r="A12452" s="27" t="s">
        <v>22393</v>
      </c>
      <c r="B12452" s="28" t="s">
        <v>19918</v>
      </c>
      <c r="C12452" s="27" t="s">
        <v>22394</v>
      </c>
      <c r="D12452" s="27" t="s">
        <v>17578</v>
      </c>
      <c r="E12452" s="29">
        <v>42837</v>
      </c>
      <c r="F12452" s="27">
        <v>5</v>
      </c>
      <c r="G12452" s="18">
        <v>6222</v>
      </c>
      <c r="H12452" s="27">
        <f t="shared" si="388"/>
        <v>0</v>
      </c>
      <c r="I12452" s="18">
        <v>1970.3</v>
      </c>
      <c r="J12452" s="27">
        <v>6222</v>
      </c>
      <c r="K12452" s="18">
        <f t="shared" si="389"/>
        <v>0</v>
      </c>
      <c r="L12452" s="27">
        <v>3152.48</v>
      </c>
      <c r="M12452" s="36">
        <v>1182.18</v>
      </c>
      <c r="T12452" s="41">
        <v>0</v>
      </c>
      <c r="U12452" s="41">
        <v>0</v>
      </c>
      <c r="V12452" s="42" t="s">
        <v>113</v>
      </c>
      <c r="W12452" s="42">
        <v>0</v>
      </c>
      <c r="X12452" s="42">
        <v>0</v>
      </c>
    </row>
    <row r="12453" spans="1:24">
      <c r="A12453" s="27" t="s">
        <v>22395</v>
      </c>
      <c r="B12453" s="28" t="s">
        <v>19918</v>
      </c>
      <c r="C12453" s="27" t="s">
        <v>22396</v>
      </c>
      <c r="D12453" s="27" t="s">
        <v>17578</v>
      </c>
      <c r="E12453" s="29">
        <v>42837</v>
      </c>
      <c r="F12453" s="27">
        <v>5</v>
      </c>
      <c r="G12453" s="18">
        <v>6222</v>
      </c>
      <c r="H12453" s="27">
        <f t="shared" si="388"/>
        <v>0</v>
      </c>
      <c r="I12453" s="18">
        <v>1970.3</v>
      </c>
      <c r="J12453" s="27">
        <v>6222</v>
      </c>
      <c r="K12453" s="18">
        <f t="shared" si="389"/>
        <v>0</v>
      </c>
      <c r="L12453" s="27">
        <v>3152.48</v>
      </c>
      <c r="M12453" s="36">
        <v>1182.18</v>
      </c>
      <c r="T12453" s="41">
        <v>0</v>
      </c>
      <c r="U12453" s="41">
        <v>0</v>
      </c>
      <c r="V12453" s="42" t="s">
        <v>113</v>
      </c>
      <c r="W12453" s="42">
        <v>0</v>
      </c>
      <c r="X12453" s="42">
        <v>0</v>
      </c>
    </row>
    <row r="12454" spans="1:24">
      <c r="A12454" s="27" t="s">
        <v>22397</v>
      </c>
      <c r="B12454" s="28" t="s">
        <v>19918</v>
      </c>
      <c r="C12454" s="27" t="s">
        <v>22398</v>
      </c>
      <c r="D12454" s="27" t="s">
        <v>17578</v>
      </c>
      <c r="E12454" s="29">
        <v>42837</v>
      </c>
      <c r="F12454" s="27">
        <v>5</v>
      </c>
      <c r="G12454" s="18">
        <v>6222</v>
      </c>
      <c r="H12454" s="27">
        <f t="shared" si="388"/>
        <v>0</v>
      </c>
      <c r="I12454" s="18">
        <v>1970.3</v>
      </c>
      <c r="J12454" s="27">
        <v>6222</v>
      </c>
      <c r="K12454" s="18">
        <f t="shared" si="389"/>
        <v>0</v>
      </c>
      <c r="L12454" s="27">
        <v>3152.48</v>
      </c>
      <c r="M12454" s="36">
        <v>1182.18</v>
      </c>
      <c r="T12454" s="41">
        <v>0</v>
      </c>
      <c r="U12454" s="41">
        <v>0</v>
      </c>
      <c r="V12454" s="42" t="s">
        <v>113</v>
      </c>
      <c r="W12454" s="42">
        <v>0</v>
      </c>
      <c r="X12454" s="42">
        <v>0</v>
      </c>
    </row>
    <row r="12455" spans="1:24">
      <c r="A12455" s="27" t="s">
        <v>22399</v>
      </c>
      <c r="B12455" s="28" t="s">
        <v>19918</v>
      </c>
      <c r="C12455" s="27" t="s">
        <v>22400</v>
      </c>
      <c r="D12455" s="27" t="s">
        <v>17578</v>
      </c>
      <c r="E12455" s="29">
        <v>42837</v>
      </c>
      <c r="F12455" s="27">
        <v>5</v>
      </c>
      <c r="G12455" s="18">
        <v>6222</v>
      </c>
      <c r="H12455" s="27">
        <f t="shared" si="388"/>
        <v>0</v>
      </c>
      <c r="I12455" s="18">
        <v>1970.3</v>
      </c>
      <c r="J12455" s="27">
        <v>6222</v>
      </c>
      <c r="K12455" s="18">
        <f t="shared" si="389"/>
        <v>0</v>
      </c>
      <c r="L12455" s="27">
        <v>3152.48</v>
      </c>
      <c r="M12455" s="36">
        <v>1182.18</v>
      </c>
      <c r="T12455" s="41">
        <v>0</v>
      </c>
      <c r="U12455" s="41">
        <v>0</v>
      </c>
      <c r="V12455" s="42" t="s">
        <v>113</v>
      </c>
      <c r="W12455" s="42">
        <v>0</v>
      </c>
      <c r="X12455" s="42">
        <v>0</v>
      </c>
    </row>
    <row r="12456" spans="1:24">
      <c r="A12456" s="27" t="s">
        <v>22401</v>
      </c>
      <c r="B12456" s="28" t="s">
        <v>19918</v>
      </c>
      <c r="C12456" s="27" t="s">
        <v>22402</v>
      </c>
      <c r="D12456" s="27" t="s">
        <v>17578</v>
      </c>
      <c r="E12456" s="29">
        <v>42837</v>
      </c>
      <c r="F12456" s="27">
        <v>5</v>
      </c>
      <c r="G12456" s="18">
        <v>6222</v>
      </c>
      <c r="H12456" s="27">
        <f t="shared" si="388"/>
        <v>0</v>
      </c>
      <c r="I12456" s="18">
        <v>1970.3</v>
      </c>
      <c r="J12456" s="27">
        <v>6222</v>
      </c>
      <c r="K12456" s="18">
        <f t="shared" si="389"/>
        <v>0</v>
      </c>
      <c r="L12456" s="27">
        <v>3152.48</v>
      </c>
      <c r="M12456" s="36">
        <v>1182.18</v>
      </c>
      <c r="T12456" s="41">
        <v>0</v>
      </c>
      <c r="U12456" s="41">
        <v>0</v>
      </c>
      <c r="V12456" s="42" t="s">
        <v>113</v>
      </c>
      <c r="W12456" s="42">
        <v>0</v>
      </c>
      <c r="X12456" s="42">
        <v>0</v>
      </c>
    </row>
    <row r="12457" spans="1:24">
      <c r="A12457" s="27" t="s">
        <v>22403</v>
      </c>
      <c r="B12457" s="28" t="s">
        <v>19918</v>
      </c>
      <c r="C12457" s="27" t="s">
        <v>22404</v>
      </c>
      <c r="D12457" s="27" t="s">
        <v>17578</v>
      </c>
      <c r="E12457" s="29">
        <v>42837</v>
      </c>
      <c r="F12457" s="27">
        <v>5</v>
      </c>
      <c r="G12457" s="18">
        <v>6222</v>
      </c>
      <c r="H12457" s="27">
        <f t="shared" si="388"/>
        <v>0</v>
      </c>
      <c r="I12457" s="18">
        <v>1970.3</v>
      </c>
      <c r="J12457" s="27">
        <v>6222</v>
      </c>
      <c r="K12457" s="18">
        <f t="shared" si="389"/>
        <v>0</v>
      </c>
      <c r="L12457" s="27">
        <v>3152.48</v>
      </c>
      <c r="M12457" s="36">
        <v>1182.18</v>
      </c>
      <c r="T12457" s="41">
        <v>0</v>
      </c>
      <c r="U12457" s="41">
        <v>0</v>
      </c>
      <c r="V12457" s="42" t="s">
        <v>113</v>
      </c>
      <c r="W12457" s="42">
        <v>0</v>
      </c>
      <c r="X12457" s="42">
        <v>0</v>
      </c>
    </row>
    <row r="12458" spans="1:24">
      <c r="A12458" s="27" t="s">
        <v>22405</v>
      </c>
      <c r="B12458" s="28" t="s">
        <v>19918</v>
      </c>
      <c r="C12458" s="27" t="s">
        <v>22406</v>
      </c>
      <c r="D12458" s="27" t="s">
        <v>17578</v>
      </c>
      <c r="E12458" s="29">
        <v>42837</v>
      </c>
      <c r="F12458" s="27">
        <v>5</v>
      </c>
      <c r="G12458" s="18">
        <v>6222</v>
      </c>
      <c r="H12458" s="27">
        <f t="shared" si="388"/>
        <v>0</v>
      </c>
      <c r="I12458" s="18">
        <v>1970.3</v>
      </c>
      <c r="J12458" s="27">
        <v>6222</v>
      </c>
      <c r="K12458" s="18">
        <f t="shared" si="389"/>
        <v>0</v>
      </c>
      <c r="L12458" s="27">
        <v>3152.48</v>
      </c>
      <c r="M12458" s="36">
        <v>1182.18</v>
      </c>
      <c r="T12458" s="41">
        <v>0</v>
      </c>
      <c r="U12458" s="41">
        <v>0</v>
      </c>
      <c r="V12458" s="42" t="s">
        <v>113</v>
      </c>
      <c r="W12458" s="42">
        <v>0</v>
      </c>
      <c r="X12458" s="42">
        <v>0</v>
      </c>
    </row>
    <row r="12459" spans="1:24">
      <c r="A12459" s="27" t="s">
        <v>22407</v>
      </c>
      <c r="B12459" s="28" t="s">
        <v>19918</v>
      </c>
      <c r="C12459" s="27" t="s">
        <v>22408</v>
      </c>
      <c r="D12459" s="27" t="s">
        <v>17578</v>
      </c>
      <c r="E12459" s="29">
        <v>42837</v>
      </c>
      <c r="F12459" s="27">
        <v>5</v>
      </c>
      <c r="G12459" s="18">
        <v>6222</v>
      </c>
      <c r="H12459" s="27">
        <f t="shared" si="388"/>
        <v>0</v>
      </c>
      <c r="I12459" s="18">
        <v>1970.3</v>
      </c>
      <c r="J12459" s="27">
        <v>6222</v>
      </c>
      <c r="K12459" s="18">
        <f t="shared" si="389"/>
        <v>0</v>
      </c>
      <c r="L12459" s="27">
        <v>3152.48</v>
      </c>
      <c r="M12459" s="36">
        <v>1182.18</v>
      </c>
      <c r="T12459" s="41">
        <v>0</v>
      </c>
      <c r="U12459" s="41">
        <v>0</v>
      </c>
      <c r="V12459" s="42" t="s">
        <v>113</v>
      </c>
      <c r="W12459" s="42">
        <v>0</v>
      </c>
      <c r="X12459" s="42">
        <v>0</v>
      </c>
    </row>
    <row r="12460" spans="1:24">
      <c r="A12460" s="27" t="s">
        <v>22409</v>
      </c>
      <c r="B12460" s="28" t="s">
        <v>19918</v>
      </c>
      <c r="C12460" s="27" t="s">
        <v>22410</v>
      </c>
      <c r="D12460" s="27" t="s">
        <v>17578</v>
      </c>
      <c r="E12460" s="29">
        <v>42837</v>
      </c>
      <c r="F12460" s="27">
        <v>5</v>
      </c>
      <c r="G12460" s="18">
        <v>6222</v>
      </c>
      <c r="H12460" s="27">
        <f t="shared" si="388"/>
        <v>0</v>
      </c>
      <c r="I12460" s="18">
        <v>1970.3</v>
      </c>
      <c r="J12460" s="27">
        <v>6222</v>
      </c>
      <c r="K12460" s="18">
        <f t="shared" si="389"/>
        <v>0</v>
      </c>
      <c r="L12460" s="27">
        <v>3152.48</v>
      </c>
      <c r="M12460" s="36">
        <v>1182.18</v>
      </c>
      <c r="T12460" s="41">
        <v>0</v>
      </c>
      <c r="U12460" s="41">
        <v>0</v>
      </c>
      <c r="V12460" s="42" t="s">
        <v>113</v>
      </c>
      <c r="W12460" s="42">
        <v>0</v>
      </c>
      <c r="X12460" s="42">
        <v>0</v>
      </c>
    </row>
    <row r="12461" spans="1:24">
      <c r="A12461" s="27" t="s">
        <v>22411</v>
      </c>
      <c r="B12461" s="28" t="s">
        <v>19918</v>
      </c>
      <c r="C12461" s="27" t="s">
        <v>22412</v>
      </c>
      <c r="D12461" s="27" t="s">
        <v>17558</v>
      </c>
      <c r="E12461" s="29">
        <v>42579</v>
      </c>
      <c r="F12461" s="27">
        <v>5</v>
      </c>
      <c r="G12461" s="18">
        <v>1641.69</v>
      </c>
      <c r="H12461" s="27">
        <f t="shared" si="388"/>
        <v>0</v>
      </c>
      <c r="I12461" s="18">
        <v>753.81</v>
      </c>
      <c r="J12461" s="27">
        <v>1641.69</v>
      </c>
      <c r="K12461" s="18">
        <f t="shared" si="389"/>
        <v>0</v>
      </c>
      <c r="L12461" s="27">
        <v>1065.73</v>
      </c>
      <c r="M12461" s="36">
        <v>311.92</v>
      </c>
      <c r="T12461" s="41">
        <v>0</v>
      </c>
      <c r="U12461" s="41">
        <v>0</v>
      </c>
      <c r="V12461" s="42" t="s">
        <v>113</v>
      </c>
      <c r="W12461" s="42">
        <v>0</v>
      </c>
      <c r="X12461" s="42">
        <v>1641.69</v>
      </c>
    </row>
    <row r="12462" spans="1:24">
      <c r="A12462" s="27" t="s">
        <v>22413</v>
      </c>
      <c r="B12462" s="28" t="s">
        <v>19918</v>
      </c>
      <c r="C12462" s="27" t="s">
        <v>22414</v>
      </c>
      <c r="D12462" s="27" t="s">
        <v>17578</v>
      </c>
      <c r="E12462" s="29">
        <v>40359</v>
      </c>
      <c r="F12462" s="27">
        <v>5</v>
      </c>
      <c r="G12462" s="18">
        <v>2050</v>
      </c>
      <c r="H12462" s="27">
        <f t="shared" si="388"/>
        <v>2050</v>
      </c>
      <c r="I12462" s="18">
        <v>2050</v>
      </c>
      <c r="J12462" s="27">
        <v>2050</v>
      </c>
      <c r="K12462" s="18">
        <f t="shared" si="389"/>
        <v>2050</v>
      </c>
      <c r="L12462" s="27">
        <v>2050</v>
      </c>
      <c r="M12462" s="36">
        <v>0</v>
      </c>
      <c r="T12462" s="41">
        <v>0</v>
      </c>
      <c r="U12462" s="41">
        <v>0</v>
      </c>
      <c r="V12462" s="42" t="s">
        <v>113</v>
      </c>
      <c r="W12462" s="42">
        <v>2050</v>
      </c>
      <c r="X12462" s="42">
        <v>2050</v>
      </c>
    </row>
    <row r="12463" spans="1:24">
      <c r="A12463" s="27" t="s">
        <v>22415</v>
      </c>
      <c r="B12463" s="28" t="s">
        <v>19918</v>
      </c>
      <c r="C12463" s="27" t="s">
        <v>22416</v>
      </c>
      <c r="D12463" s="27" t="s">
        <v>17578</v>
      </c>
      <c r="E12463" s="29">
        <v>40116</v>
      </c>
      <c r="F12463" s="27">
        <v>5</v>
      </c>
      <c r="G12463" s="18">
        <v>2460</v>
      </c>
      <c r="H12463" s="27">
        <f t="shared" si="388"/>
        <v>2460</v>
      </c>
      <c r="I12463" s="18">
        <v>2460</v>
      </c>
      <c r="J12463" s="27">
        <v>2460</v>
      </c>
      <c r="K12463" s="18">
        <f t="shared" si="389"/>
        <v>2460</v>
      </c>
      <c r="L12463" s="27">
        <v>2460</v>
      </c>
      <c r="M12463" s="36">
        <v>0</v>
      </c>
      <c r="T12463" s="41">
        <v>0</v>
      </c>
      <c r="U12463" s="41">
        <v>0</v>
      </c>
      <c r="V12463" s="42" t="s">
        <v>113</v>
      </c>
      <c r="W12463" s="42">
        <v>2460</v>
      </c>
      <c r="X12463" s="42">
        <v>2460</v>
      </c>
    </row>
    <row r="12464" spans="1:24">
      <c r="A12464" s="27" t="s">
        <v>22417</v>
      </c>
      <c r="B12464" s="28" t="s">
        <v>19918</v>
      </c>
      <c r="C12464" s="27" t="s">
        <v>22418</v>
      </c>
      <c r="D12464" s="27" t="s">
        <v>17578</v>
      </c>
      <c r="E12464" s="29">
        <v>40116</v>
      </c>
      <c r="F12464" s="27">
        <v>5</v>
      </c>
      <c r="G12464" s="18">
        <v>6000</v>
      </c>
      <c r="H12464" s="27">
        <f t="shared" si="388"/>
        <v>6000</v>
      </c>
      <c r="I12464" s="18">
        <v>5700</v>
      </c>
      <c r="J12464" s="27">
        <v>6000</v>
      </c>
      <c r="K12464" s="18">
        <f t="shared" si="389"/>
        <v>6000</v>
      </c>
      <c r="L12464" s="27">
        <v>5700</v>
      </c>
      <c r="M12464" s="36">
        <v>0</v>
      </c>
      <c r="T12464" s="41">
        <v>0</v>
      </c>
      <c r="U12464" s="41">
        <v>0</v>
      </c>
      <c r="V12464" s="42" t="s">
        <v>113</v>
      </c>
      <c r="W12464" s="42">
        <v>6000</v>
      </c>
      <c r="X12464" s="42">
        <v>6000</v>
      </c>
    </row>
    <row r="12465" spans="1:24">
      <c r="A12465" s="27" t="s">
        <v>22419</v>
      </c>
      <c r="B12465" s="28" t="s">
        <v>19918</v>
      </c>
      <c r="C12465" s="27" t="s">
        <v>22420</v>
      </c>
      <c r="D12465" s="27" t="s">
        <v>17578</v>
      </c>
      <c r="E12465" s="29">
        <v>39171</v>
      </c>
      <c r="F12465" s="27">
        <v>5</v>
      </c>
      <c r="G12465" s="18">
        <v>7899</v>
      </c>
      <c r="H12465" s="27">
        <f t="shared" si="388"/>
        <v>7899</v>
      </c>
      <c r="I12465" s="18">
        <v>7504.05</v>
      </c>
      <c r="J12465" s="27">
        <v>7899</v>
      </c>
      <c r="K12465" s="18">
        <f t="shared" si="389"/>
        <v>7899</v>
      </c>
      <c r="L12465" s="27">
        <v>7504.05</v>
      </c>
      <c r="M12465" s="36">
        <v>0</v>
      </c>
      <c r="T12465" s="41">
        <v>0</v>
      </c>
      <c r="U12465" s="41">
        <v>0</v>
      </c>
      <c r="V12465" s="42" t="s">
        <v>113</v>
      </c>
      <c r="W12465" s="42">
        <v>7899</v>
      </c>
      <c r="X12465" s="42">
        <v>7899</v>
      </c>
    </row>
    <row r="12466" spans="1:24">
      <c r="A12466" s="27" t="s">
        <v>22421</v>
      </c>
      <c r="B12466" s="28" t="s">
        <v>19918</v>
      </c>
      <c r="C12466" s="27" t="s">
        <v>22422</v>
      </c>
      <c r="D12466" s="27" t="s">
        <v>17578</v>
      </c>
      <c r="E12466" s="29">
        <v>39263</v>
      </c>
      <c r="F12466" s="27">
        <v>5</v>
      </c>
      <c r="G12466" s="18">
        <v>7999</v>
      </c>
      <c r="H12466" s="27">
        <f t="shared" si="388"/>
        <v>7999</v>
      </c>
      <c r="I12466" s="18">
        <v>7599.05</v>
      </c>
      <c r="J12466" s="27">
        <v>7999</v>
      </c>
      <c r="K12466" s="18">
        <f t="shared" si="389"/>
        <v>7999</v>
      </c>
      <c r="L12466" s="27">
        <v>7599.05</v>
      </c>
      <c r="M12466" s="36">
        <v>0</v>
      </c>
      <c r="T12466" s="41">
        <v>0</v>
      </c>
      <c r="U12466" s="41">
        <v>0</v>
      </c>
      <c r="V12466" s="42" t="s">
        <v>113</v>
      </c>
      <c r="W12466" s="42">
        <v>7999</v>
      </c>
      <c r="X12466" s="42">
        <v>7999</v>
      </c>
    </row>
    <row r="12467" spans="1:24">
      <c r="A12467" s="27" t="s">
        <v>22423</v>
      </c>
      <c r="B12467" s="28" t="s">
        <v>19918</v>
      </c>
      <c r="C12467" s="27" t="s">
        <v>22424</v>
      </c>
      <c r="D12467" s="27" t="s">
        <v>17578</v>
      </c>
      <c r="E12467" s="29">
        <v>39263</v>
      </c>
      <c r="F12467" s="27">
        <v>5</v>
      </c>
      <c r="G12467" s="18">
        <v>6900</v>
      </c>
      <c r="H12467" s="27">
        <f t="shared" si="388"/>
        <v>6900</v>
      </c>
      <c r="I12467" s="18">
        <v>6555</v>
      </c>
      <c r="J12467" s="27">
        <v>6900</v>
      </c>
      <c r="K12467" s="18">
        <f t="shared" si="389"/>
        <v>6900</v>
      </c>
      <c r="L12467" s="27">
        <v>6555</v>
      </c>
      <c r="M12467" s="36">
        <v>0</v>
      </c>
      <c r="T12467" s="41">
        <v>0</v>
      </c>
      <c r="U12467" s="41">
        <v>0</v>
      </c>
      <c r="V12467" s="42" t="s">
        <v>113</v>
      </c>
      <c r="W12467" s="42">
        <v>6900</v>
      </c>
      <c r="X12467" s="42">
        <v>6900</v>
      </c>
    </row>
    <row r="12468" spans="1:24">
      <c r="A12468" s="27" t="s">
        <v>22425</v>
      </c>
      <c r="B12468" s="28" t="s">
        <v>19918</v>
      </c>
      <c r="C12468" s="27" t="s">
        <v>22426</v>
      </c>
      <c r="D12468" s="27" t="s">
        <v>17578</v>
      </c>
      <c r="E12468" s="29">
        <v>39629</v>
      </c>
      <c r="F12468" s="27">
        <v>5</v>
      </c>
      <c r="G12468" s="18">
        <v>9870</v>
      </c>
      <c r="H12468" s="27">
        <f t="shared" si="388"/>
        <v>9870</v>
      </c>
      <c r="I12468" s="18">
        <v>9376.5</v>
      </c>
      <c r="J12468" s="27">
        <v>9870</v>
      </c>
      <c r="K12468" s="18">
        <f t="shared" si="389"/>
        <v>9870</v>
      </c>
      <c r="L12468" s="27">
        <v>9376.5</v>
      </c>
      <c r="M12468" s="36">
        <v>0</v>
      </c>
      <c r="T12468" s="41">
        <v>0</v>
      </c>
      <c r="U12468" s="41">
        <v>0</v>
      </c>
      <c r="V12468" s="42" t="s">
        <v>113</v>
      </c>
      <c r="W12468" s="42">
        <v>9870</v>
      </c>
      <c r="X12468" s="42">
        <v>9870</v>
      </c>
    </row>
    <row r="12469" spans="1:24">
      <c r="A12469" s="27" t="s">
        <v>22427</v>
      </c>
      <c r="B12469" s="28" t="s">
        <v>19918</v>
      </c>
      <c r="C12469" s="27" t="s">
        <v>22426</v>
      </c>
      <c r="D12469" s="27" t="s">
        <v>17578</v>
      </c>
      <c r="E12469" s="29">
        <v>39629</v>
      </c>
      <c r="F12469" s="27">
        <v>5</v>
      </c>
      <c r="G12469" s="18">
        <v>9870</v>
      </c>
      <c r="H12469" s="27">
        <f t="shared" si="388"/>
        <v>9870</v>
      </c>
      <c r="I12469" s="18">
        <v>9376.5</v>
      </c>
      <c r="J12469" s="27">
        <v>9870</v>
      </c>
      <c r="K12469" s="18">
        <f t="shared" si="389"/>
        <v>9870</v>
      </c>
      <c r="L12469" s="27">
        <v>9376.5</v>
      </c>
      <c r="M12469" s="36">
        <v>0</v>
      </c>
      <c r="T12469" s="41">
        <v>0</v>
      </c>
      <c r="U12469" s="41">
        <v>0</v>
      </c>
      <c r="V12469" s="42" t="s">
        <v>113</v>
      </c>
      <c r="W12469" s="42">
        <v>9870</v>
      </c>
      <c r="X12469" s="42">
        <v>9870</v>
      </c>
    </row>
    <row r="12470" spans="1:24">
      <c r="A12470" s="27" t="s">
        <v>22428</v>
      </c>
      <c r="B12470" s="28" t="s">
        <v>19918</v>
      </c>
      <c r="C12470" s="27" t="s">
        <v>22429</v>
      </c>
      <c r="D12470" s="27" t="s">
        <v>17578</v>
      </c>
      <c r="E12470" s="29">
        <v>40086</v>
      </c>
      <c r="F12470" s="27">
        <v>5</v>
      </c>
      <c r="G12470" s="18">
        <v>6400</v>
      </c>
      <c r="H12470" s="27">
        <f t="shared" si="388"/>
        <v>6400</v>
      </c>
      <c r="I12470" s="18">
        <v>6080</v>
      </c>
      <c r="J12470" s="27">
        <v>6400</v>
      </c>
      <c r="K12470" s="18">
        <f t="shared" si="389"/>
        <v>6400</v>
      </c>
      <c r="L12470" s="27">
        <v>6080</v>
      </c>
      <c r="M12470" s="36">
        <v>0</v>
      </c>
      <c r="T12470" s="41">
        <v>0</v>
      </c>
      <c r="U12470" s="41">
        <v>0</v>
      </c>
      <c r="V12470" s="42" t="s">
        <v>113</v>
      </c>
      <c r="W12470" s="42">
        <v>6400</v>
      </c>
      <c r="X12470" s="42">
        <v>6400</v>
      </c>
    </row>
    <row r="12471" spans="1:24">
      <c r="A12471" s="27" t="s">
        <v>22430</v>
      </c>
      <c r="B12471" s="28" t="s">
        <v>19918</v>
      </c>
      <c r="C12471" s="27" t="s">
        <v>22431</v>
      </c>
      <c r="D12471" s="27" t="s">
        <v>17578</v>
      </c>
      <c r="E12471" s="29">
        <v>40178</v>
      </c>
      <c r="F12471" s="27">
        <v>5</v>
      </c>
      <c r="G12471" s="18">
        <v>4658.12</v>
      </c>
      <c r="H12471" s="27">
        <f t="shared" si="388"/>
        <v>4658.12</v>
      </c>
      <c r="I12471" s="18">
        <v>4658.12</v>
      </c>
      <c r="J12471" s="27">
        <v>4658.12</v>
      </c>
      <c r="K12471" s="18">
        <f t="shared" si="389"/>
        <v>4658.12</v>
      </c>
      <c r="L12471" s="27">
        <v>4658.12</v>
      </c>
      <c r="M12471" s="36">
        <v>0</v>
      </c>
      <c r="T12471" s="41">
        <v>0</v>
      </c>
      <c r="U12471" s="41">
        <v>0</v>
      </c>
      <c r="V12471" s="42" t="s">
        <v>113</v>
      </c>
      <c r="W12471" s="42">
        <v>4658.12</v>
      </c>
      <c r="X12471" s="42">
        <v>4658.12</v>
      </c>
    </row>
    <row r="12472" spans="1:24">
      <c r="A12472" s="27" t="s">
        <v>22432</v>
      </c>
      <c r="B12472" s="28" t="s">
        <v>19918</v>
      </c>
      <c r="C12472" s="27" t="s">
        <v>22431</v>
      </c>
      <c r="D12472" s="27" t="s">
        <v>17578</v>
      </c>
      <c r="E12472" s="29">
        <v>40178</v>
      </c>
      <c r="F12472" s="27">
        <v>5</v>
      </c>
      <c r="G12472" s="18">
        <v>4658.12</v>
      </c>
      <c r="H12472" s="27">
        <f t="shared" si="388"/>
        <v>4658.12</v>
      </c>
      <c r="I12472" s="18">
        <v>4658.12</v>
      </c>
      <c r="J12472" s="27">
        <v>4658.12</v>
      </c>
      <c r="K12472" s="18">
        <f t="shared" si="389"/>
        <v>4658.12</v>
      </c>
      <c r="L12472" s="27">
        <v>4658.12</v>
      </c>
      <c r="M12472" s="36">
        <v>0</v>
      </c>
      <c r="T12472" s="41">
        <v>0</v>
      </c>
      <c r="U12472" s="41">
        <v>0</v>
      </c>
      <c r="V12472" s="42" t="s">
        <v>113</v>
      </c>
      <c r="W12472" s="42">
        <v>4658.12</v>
      </c>
      <c r="X12472" s="42">
        <v>4658.12</v>
      </c>
    </row>
    <row r="12473" spans="1:24">
      <c r="A12473" s="27" t="s">
        <v>22433</v>
      </c>
      <c r="B12473" s="28" t="s">
        <v>19918</v>
      </c>
      <c r="C12473" s="27" t="s">
        <v>22434</v>
      </c>
      <c r="D12473" s="27" t="s">
        <v>17578</v>
      </c>
      <c r="E12473" s="29">
        <v>40178</v>
      </c>
      <c r="F12473" s="27">
        <v>5</v>
      </c>
      <c r="G12473" s="18">
        <v>16495.73</v>
      </c>
      <c r="H12473" s="27">
        <f t="shared" si="388"/>
        <v>16495.73</v>
      </c>
      <c r="I12473" s="18">
        <v>15670.94</v>
      </c>
      <c r="J12473" s="27">
        <v>16495.73</v>
      </c>
      <c r="K12473" s="18">
        <f t="shared" si="389"/>
        <v>16495.73</v>
      </c>
      <c r="L12473" s="27">
        <v>15670.94</v>
      </c>
      <c r="M12473" s="36">
        <v>0</v>
      </c>
      <c r="T12473" s="41">
        <v>0</v>
      </c>
      <c r="U12473" s="41">
        <v>0</v>
      </c>
      <c r="V12473" s="42" t="s">
        <v>113</v>
      </c>
      <c r="W12473" s="42">
        <v>16495.73</v>
      </c>
      <c r="X12473" s="42">
        <v>16495.73</v>
      </c>
    </row>
    <row r="12474" spans="1:24">
      <c r="A12474" s="27" t="s">
        <v>22435</v>
      </c>
      <c r="B12474" s="28" t="s">
        <v>19918</v>
      </c>
      <c r="C12474" s="27" t="s">
        <v>22431</v>
      </c>
      <c r="D12474" s="27" t="s">
        <v>17578</v>
      </c>
      <c r="E12474" s="29">
        <v>40178</v>
      </c>
      <c r="F12474" s="27">
        <v>5</v>
      </c>
      <c r="G12474" s="18">
        <v>4658.12</v>
      </c>
      <c r="H12474" s="27">
        <f t="shared" si="388"/>
        <v>4658.12</v>
      </c>
      <c r="I12474" s="18">
        <v>4658.12</v>
      </c>
      <c r="J12474" s="27">
        <v>4658.12</v>
      </c>
      <c r="K12474" s="18">
        <f t="shared" si="389"/>
        <v>4658.12</v>
      </c>
      <c r="L12474" s="27">
        <v>4658.12</v>
      </c>
      <c r="M12474" s="36">
        <v>0</v>
      </c>
      <c r="T12474" s="41">
        <v>0</v>
      </c>
      <c r="U12474" s="41">
        <v>0</v>
      </c>
      <c r="V12474" s="42" t="s">
        <v>113</v>
      </c>
      <c r="W12474" s="42">
        <v>4658.12</v>
      </c>
      <c r="X12474" s="42">
        <v>4658.12</v>
      </c>
    </row>
    <row r="12475" spans="1:24">
      <c r="A12475" s="27" t="s">
        <v>22436</v>
      </c>
      <c r="B12475" s="28" t="s">
        <v>19918</v>
      </c>
      <c r="C12475" s="27" t="s">
        <v>22431</v>
      </c>
      <c r="D12475" s="27" t="s">
        <v>17578</v>
      </c>
      <c r="E12475" s="29">
        <v>40178</v>
      </c>
      <c r="F12475" s="27">
        <v>5</v>
      </c>
      <c r="G12475" s="18">
        <v>4658.12</v>
      </c>
      <c r="H12475" s="27">
        <f t="shared" si="388"/>
        <v>4658.12</v>
      </c>
      <c r="I12475" s="18">
        <v>4658.12</v>
      </c>
      <c r="J12475" s="27">
        <v>4658.12</v>
      </c>
      <c r="K12475" s="18">
        <f t="shared" si="389"/>
        <v>4658.12</v>
      </c>
      <c r="L12475" s="27">
        <v>4658.12</v>
      </c>
      <c r="M12475" s="36">
        <v>0</v>
      </c>
      <c r="T12475" s="41">
        <v>0</v>
      </c>
      <c r="U12475" s="41">
        <v>0</v>
      </c>
      <c r="V12475" s="42" t="s">
        <v>113</v>
      </c>
      <c r="W12475" s="42">
        <v>4658.12</v>
      </c>
      <c r="X12475" s="42">
        <v>4658.12</v>
      </c>
    </row>
    <row r="12476" spans="1:24">
      <c r="A12476" s="27" t="s">
        <v>22437</v>
      </c>
      <c r="B12476" s="28" t="s">
        <v>19918</v>
      </c>
      <c r="C12476" s="27" t="s">
        <v>22438</v>
      </c>
      <c r="D12476" s="27" t="s">
        <v>17578</v>
      </c>
      <c r="E12476" s="29">
        <v>40178</v>
      </c>
      <c r="F12476" s="27">
        <v>5</v>
      </c>
      <c r="G12476" s="18">
        <v>13800</v>
      </c>
      <c r="H12476" s="27">
        <f t="shared" si="388"/>
        <v>13800</v>
      </c>
      <c r="I12476" s="18">
        <v>13110</v>
      </c>
      <c r="J12476" s="27">
        <v>13800</v>
      </c>
      <c r="K12476" s="18">
        <f t="shared" si="389"/>
        <v>13800</v>
      </c>
      <c r="L12476" s="27">
        <v>13110</v>
      </c>
      <c r="M12476" s="36">
        <v>0</v>
      </c>
      <c r="T12476" s="41">
        <v>0</v>
      </c>
      <c r="U12476" s="41">
        <v>0</v>
      </c>
      <c r="V12476" s="42" t="s">
        <v>113</v>
      </c>
      <c r="W12476" s="42">
        <v>13800</v>
      </c>
      <c r="X12476" s="42">
        <v>13800</v>
      </c>
    </row>
    <row r="12477" spans="1:24">
      <c r="A12477" s="27" t="s">
        <v>22439</v>
      </c>
      <c r="B12477" s="28" t="s">
        <v>19918</v>
      </c>
      <c r="C12477" s="27" t="s">
        <v>22431</v>
      </c>
      <c r="D12477" s="27" t="s">
        <v>17578</v>
      </c>
      <c r="E12477" s="29">
        <v>40178</v>
      </c>
      <c r="F12477" s="27">
        <v>5</v>
      </c>
      <c r="G12477" s="18">
        <v>4658.12</v>
      </c>
      <c r="H12477" s="27">
        <f t="shared" si="388"/>
        <v>4658.12</v>
      </c>
      <c r="I12477" s="18">
        <v>4658.12</v>
      </c>
      <c r="J12477" s="27">
        <v>4658.12</v>
      </c>
      <c r="K12477" s="18">
        <f t="shared" si="389"/>
        <v>4658.12</v>
      </c>
      <c r="L12477" s="27">
        <v>4658.12</v>
      </c>
      <c r="M12477" s="36">
        <v>0</v>
      </c>
      <c r="T12477" s="41">
        <v>0</v>
      </c>
      <c r="U12477" s="41">
        <v>0</v>
      </c>
      <c r="V12477" s="42" t="s">
        <v>113</v>
      </c>
      <c r="W12477" s="42">
        <v>4658.12</v>
      </c>
      <c r="X12477" s="42">
        <v>4658.12</v>
      </c>
    </row>
    <row r="12478" spans="1:24">
      <c r="A12478" s="27" t="s">
        <v>22440</v>
      </c>
      <c r="B12478" s="28" t="s">
        <v>19918</v>
      </c>
      <c r="C12478" s="27" t="s">
        <v>22441</v>
      </c>
      <c r="D12478" s="27" t="s">
        <v>17578</v>
      </c>
      <c r="E12478" s="29">
        <v>40178</v>
      </c>
      <c r="F12478" s="27">
        <v>5</v>
      </c>
      <c r="G12478" s="18">
        <v>22800</v>
      </c>
      <c r="H12478" s="27">
        <f t="shared" si="388"/>
        <v>22800</v>
      </c>
      <c r="I12478" s="18">
        <v>21660</v>
      </c>
      <c r="J12478" s="27">
        <v>22800</v>
      </c>
      <c r="K12478" s="18">
        <f t="shared" si="389"/>
        <v>22800</v>
      </c>
      <c r="L12478" s="27">
        <v>21660</v>
      </c>
      <c r="M12478" s="36">
        <v>0</v>
      </c>
      <c r="T12478" s="41">
        <v>0</v>
      </c>
      <c r="U12478" s="41">
        <v>0</v>
      </c>
      <c r="V12478" s="42" t="s">
        <v>113</v>
      </c>
      <c r="W12478" s="42">
        <v>22800</v>
      </c>
      <c r="X12478" s="42">
        <v>22800</v>
      </c>
    </row>
    <row r="12479" spans="1:24">
      <c r="A12479" s="27" t="s">
        <v>22442</v>
      </c>
      <c r="B12479" s="28" t="s">
        <v>19918</v>
      </c>
      <c r="C12479" s="27" t="s">
        <v>22443</v>
      </c>
      <c r="D12479" s="27" t="s">
        <v>17578</v>
      </c>
      <c r="E12479" s="29">
        <v>40178</v>
      </c>
      <c r="F12479" s="27">
        <v>5</v>
      </c>
      <c r="G12479" s="18">
        <v>28250</v>
      </c>
      <c r="H12479" s="27">
        <f t="shared" si="388"/>
        <v>28250</v>
      </c>
      <c r="I12479" s="18">
        <v>26837.5</v>
      </c>
      <c r="J12479" s="27">
        <v>28250</v>
      </c>
      <c r="K12479" s="18">
        <f t="shared" si="389"/>
        <v>28250</v>
      </c>
      <c r="L12479" s="27">
        <v>26837.5</v>
      </c>
      <c r="M12479" s="36">
        <v>0</v>
      </c>
      <c r="T12479" s="41">
        <v>0</v>
      </c>
      <c r="U12479" s="41">
        <v>0</v>
      </c>
      <c r="V12479" s="42" t="s">
        <v>113</v>
      </c>
      <c r="W12479" s="42">
        <v>28250</v>
      </c>
      <c r="X12479" s="42">
        <v>28250</v>
      </c>
    </row>
    <row r="12480" spans="1:24">
      <c r="A12480" s="27" t="s">
        <v>22444</v>
      </c>
      <c r="B12480" s="28" t="s">
        <v>19918</v>
      </c>
      <c r="C12480" s="27" t="s">
        <v>22441</v>
      </c>
      <c r="D12480" s="27" t="s">
        <v>17578</v>
      </c>
      <c r="E12480" s="29">
        <v>40178</v>
      </c>
      <c r="F12480" s="27">
        <v>5</v>
      </c>
      <c r="G12480" s="18">
        <v>114000</v>
      </c>
      <c r="H12480" s="27">
        <f t="shared" si="388"/>
        <v>114000</v>
      </c>
      <c r="I12480" s="18">
        <v>108300</v>
      </c>
      <c r="J12480" s="27">
        <v>114000</v>
      </c>
      <c r="K12480" s="18">
        <f t="shared" si="389"/>
        <v>114000</v>
      </c>
      <c r="L12480" s="27">
        <v>108300</v>
      </c>
      <c r="M12480" s="36">
        <v>0</v>
      </c>
      <c r="T12480" s="41">
        <v>0</v>
      </c>
      <c r="U12480" s="41">
        <v>0</v>
      </c>
      <c r="V12480" s="42" t="s">
        <v>113</v>
      </c>
      <c r="W12480" s="42">
        <v>114000</v>
      </c>
      <c r="X12480" s="42">
        <v>114000</v>
      </c>
    </row>
    <row r="12481" spans="1:24">
      <c r="A12481" s="27" t="s">
        <v>22445</v>
      </c>
      <c r="B12481" s="28" t="s">
        <v>19918</v>
      </c>
      <c r="C12481" s="27" t="s">
        <v>22233</v>
      </c>
      <c r="D12481" s="27" t="s">
        <v>17578</v>
      </c>
      <c r="E12481" s="29">
        <v>40446</v>
      </c>
      <c r="F12481" s="27">
        <v>5</v>
      </c>
      <c r="G12481" s="18">
        <v>22008.55</v>
      </c>
      <c r="H12481" s="27">
        <f t="shared" si="388"/>
        <v>22008.55</v>
      </c>
      <c r="I12481" s="18">
        <v>20908.12</v>
      </c>
      <c r="J12481" s="27">
        <v>22008.55</v>
      </c>
      <c r="K12481" s="18">
        <f t="shared" si="389"/>
        <v>22008.55</v>
      </c>
      <c r="L12481" s="27">
        <v>20908.12</v>
      </c>
      <c r="M12481" s="36">
        <v>0</v>
      </c>
      <c r="T12481" s="41">
        <v>0</v>
      </c>
      <c r="U12481" s="41">
        <v>0</v>
      </c>
      <c r="V12481" s="42" t="s">
        <v>113</v>
      </c>
      <c r="W12481" s="42">
        <v>22008.55</v>
      </c>
      <c r="X12481" s="42">
        <v>22008.55</v>
      </c>
    </row>
    <row r="12482" spans="1:24">
      <c r="A12482" s="27" t="s">
        <v>22446</v>
      </c>
      <c r="B12482" s="28" t="s">
        <v>19918</v>
      </c>
      <c r="C12482" s="27" t="s">
        <v>22447</v>
      </c>
      <c r="D12482" s="27" t="s">
        <v>17578</v>
      </c>
      <c r="E12482" s="29">
        <v>40543</v>
      </c>
      <c r="F12482" s="27">
        <v>5</v>
      </c>
      <c r="G12482" s="18">
        <v>9145.2999999999993</v>
      </c>
      <c r="H12482" s="27">
        <f t="shared" si="388"/>
        <v>9145.2999999999993</v>
      </c>
      <c r="I12482" s="18">
        <v>8688.0300000000007</v>
      </c>
      <c r="J12482" s="27">
        <v>9145.2999999999993</v>
      </c>
      <c r="K12482" s="18">
        <f t="shared" si="389"/>
        <v>9145.2999999999993</v>
      </c>
      <c r="L12482" s="27">
        <v>8688.0300000000007</v>
      </c>
      <c r="M12482" s="36">
        <v>0</v>
      </c>
      <c r="T12482" s="41">
        <v>0</v>
      </c>
      <c r="U12482" s="41">
        <v>0</v>
      </c>
      <c r="V12482" s="42" t="s">
        <v>113</v>
      </c>
      <c r="W12482" s="42">
        <v>9145.2999999999993</v>
      </c>
      <c r="X12482" s="42">
        <v>9145.2999999999993</v>
      </c>
    </row>
    <row r="12483" spans="1:24">
      <c r="A12483" s="27" t="s">
        <v>22448</v>
      </c>
      <c r="B12483" s="28" t="s">
        <v>19918</v>
      </c>
      <c r="C12483" s="27" t="s">
        <v>22449</v>
      </c>
      <c r="D12483" s="27" t="s">
        <v>17578</v>
      </c>
      <c r="E12483" s="29">
        <v>40543</v>
      </c>
      <c r="F12483" s="27">
        <v>5</v>
      </c>
      <c r="G12483" s="18">
        <v>7264.96</v>
      </c>
      <c r="H12483" s="27">
        <f t="shared" si="388"/>
        <v>7264.96</v>
      </c>
      <c r="I12483" s="18">
        <v>6901.71</v>
      </c>
      <c r="J12483" s="27">
        <v>7264.96</v>
      </c>
      <c r="K12483" s="18">
        <f t="shared" si="389"/>
        <v>7264.96</v>
      </c>
      <c r="L12483" s="27">
        <v>6901.71</v>
      </c>
      <c r="M12483" s="36">
        <v>0</v>
      </c>
      <c r="T12483" s="41">
        <v>0</v>
      </c>
      <c r="U12483" s="41">
        <v>0</v>
      </c>
      <c r="V12483" s="42" t="s">
        <v>113</v>
      </c>
      <c r="W12483" s="42">
        <v>7264.96</v>
      </c>
      <c r="X12483" s="42">
        <v>7264.96</v>
      </c>
    </row>
    <row r="12484" spans="1:24">
      <c r="A12484" s="27" t="s">
        <v>22450</v>
      </c>
      <c r="B12484" s="28" t="s">
        <v>19918</v>
      </c>
      <c r="C12484" s="27" t="s">
        <v>22449</v>
      </c>
      <c r="D12484" s="27" t="s">
        <v>17578</v>
      </c>
      <c r="E12484" s="29">
        <v>40543</v>
      </c>
      <c r="F12484" s="27">
        <v>5</v>
      </c>
      <c r="G12484" s="18">
        <v>7264.95</v>
      </c>
      <c r="H12484" s="27">
        <f t="shared" si="388"/>
        <v>7264.95</v>
      </c>
      <c r="I12484" s="18">
        <v>6901.7</v>
      </c>
      <c r="J12484" s="27">
        <v>7264.95</v>
      </c>
      <c r="K12484" s="18">
        <f t="shared" si="389"/>
        <v>7264.95</v>
      </c>
      <c r="L12484" s="27">
        <v>6901.7</v>
      </c>
      <c r="M12484" s="36">
        <v>0</v>
      </c>
      <c r="T12484" s="41">
        <v>0</v>
      </c>
      <c r="U12484" s="41">
        <v>0</v>
      </c>
      <c r="V12484" s="42" t="s">
        <v>113</v>
      </c>
      <c r="W12484" s="42">
        <v>7264.95</v>
      </c>
      <c r="X12484" s="42">
        <v>7264.95</v>
      </c>
    </row>
    <row r="12485" spans="1:24">
      <c r="A12485" s="27" t="s">
        <v>22451</v>
      </c>
      <c r="B12485" s="28" t="s">
        <v>19918</v>
      </c>
      <c r="C12485" s="27" t="s">
        <v>22452</v>
      </c>
      <c r="D12485" s="27" t="s">
        <v>17578</v>
      </c>
      <c r="E12485" s="29">
        <v>40543</v>
      </c>
      <c r="F12485" s="27">
        <v>5</v>
      </c>
      <c r="G12485" s="18">
        <v>4000</v>
      </c>
      <c r="H12485" s="27">
        <f t="shared" si="388"/>
        <v>4000</v>
      </c>
      <c r="I12485" s="18">
        <v>4000</v>
      </c>
      <c r="J12485" s="27">
        <v>4000</v>
      </c>
      <c r="K12485" s="18">
        <f t="shared" si="389"/>
        <v>4000</v>
      </c>
      <c r="L12485" s="27">
        <v>4000</v>
      </c>
      <c r="M12485" s="36">
        <v>0</v>
      </c>
      <c r="T12485" s="41">
        <v>0</v>
      </c>
      <c r="U12485" s="41">
        <v>0</v>
      </c>
      <c r="V12485" s="42" t="s">
        <v>113</v>
      </c>
      <c r="W12485" s="42">
        <v>4000</v>
      </c>
      <c r="X12485" s="42">
        <v>4000</v>
      </c>
    </row>
    <row r="12486" spans="1:24">
      <c r="A12486" s="27" t="s">
        <v>22453</v>
      </c>
      <c r="B12486" s="28" t="s">
        <v>19918</v>
      </c>
      <c r="C12486" s="27" t="s">
        <v>22452</v>
      </c>
      <c r="D12486" s="27" t="s">
        <v>17578</v>
      </c>
      <c r="E12486" s="29">
        <v>40543</v>
      </c>
      <c r="F12486" s="27">
        <v>5</v>
      </c>
      <c r="G12486" s="18">
        <v>4000</v>
      </c>
      <c r="H12486" s="27">
        <f t="shared" ref="H12486:H12549" si="390">IFERROR(IF(ROUND((G12486-I12486)/G12486,2)&lt;=0.05,G12486,0),0)</f>
        <v>4000</v>
      </c>
      <c r="I12486" s="18">
        <v>4000</v>
      </c>
      <c r="J12486" s="27">
        <v>4000</v>
      </c>
      <c r="K12486" s="18">
        <f t="shared" ref="K12486:K12549" si="391">IFERROR(IF(ROUND((J12486-L12486)/J12486,2)&lt;=0.05,J12486,0),0)</f>
        <v>4000</v>
      </c>
      <c r="L12486" s="27">
        <v>4000</v>
      </c>
      <c r="M12486" s="36">
        <v>0</v>
      </c>
      <c r="T12486" s="41">
        <v>0</v>
      </c>
      <c r="U12486" s="41">
        <v>0</v>
      </c>
      <c r="V12486" s="42" t="s">
        <v>113</v>
      </c>
      <c r="W12486" s="42">
        <v>4000</v>
      </c>
      <c r="X12486" s="42">
        <v>4000</v>
      </c>
    </row>
    <row r="12487" spans="1:24">
      <c r="A12487" s="27" t="s">
        <v>22454</v>
      </c>
      <c r="B12487" s="28" t="s">
        <v>19918</v>
      </c>
      <c r="C12487" s="27" t="s">
        <v>22452</v>
      </c>
      <c r="D12487" s="27" t="s">
        <v>17578</v>
      </c>
      <c r="E12487" s="29">
        <v>40543</v>
      </c>
      <c r="F12487" s="27">
        <v>5</v>
      </c>
      <c r="G12487" s="18">
        <v>4000</v>
      </c>
      <c r="H12487" s="27">
        <f t="shared" si="390"/>
        <v>4000</v>
      </c>
      <c r="I12487" s="18">
        <v>4000</v>
      </c>
      <c r="J12487" s="27">
        <v>4000</v>
      </c>
      <c r="K12487" s="18">
        <f t="shared" si="391"/>
        <v>4000</v>
      </c>
      <c r="L12487" s="27">
        <v>4000</v>
      </c>
      <c r="M12487" s="36">
        <v>0</v>
      </c>
      <c r="T12487" s="41">
        <v>0</v>
      </c>
      <c r="U12487" s="41">
        <v>0</v>
      </c>
      <c r="V12487" s="42" t="s">
        <v>113</v>
      </c>
      <c r="W12487" s="42">
        <v>4000</v>
      </c>
      <c r="X12487" s="42">
        <v>4000</v>
      </c>
    </row>
    <row r="12488" spans="1:24">
      <c r="A12488" s="27" t="s">
        <v>22455</v>
      </c>
      <c r="B12488" s="28" t="s">
        <v>19918</v>
      </c>
      <c r="C12488" s="27" t="s">
        <v>22452</v>
      </c>
      <c r="D12488" s="27" t="s">
        <v>17578</v>
      </c>
      <c r="E12488" s="29">
        <v>40543</v>
      </c>
      <c r="F12488" s="27">
        <v>5</v>
      </c>
      <c r="G12488" s="18">
        <v>4000</v>
      </c>
      <c r="H12488" s="27">
        <f t="shared" si="390"/>
        <v>4000</v>
      </c>
      <c r="I12488" s="18">
        <v>4000</v>
      </c>
      <c r="J12488" s="27">
        <v>4000</v>
      </c>
      <c r="K12488" s="18">
        <f t="shared" si="391"/>
        <v>4000</v>
      </c>
      <c r="L12488" s="27">
        <v>4000</v>
      </c>
      <c r="M12488" s="36">
        <v>0</v>
      </c>
      <c r="T12488" s="41">
        <v>0</v>
      </c>
      <c r="U12488" s="41">
        <v>0</v>
      </c>
      <c r="V12488" s="42" t="s">
        <v>113</v>
      </c>
      <c r="W12488" s="42">
        <v>4000</v>
      </c>
      <c r="X12488" s="42">
        <v>4000</v>
      </c>
    </row>
    <row r="12489" spans="1:24">
      <c r="A12489" s="27" t="s">
        <v>22456</v>
      </c>
      <c r="B12489" s="28" t="s">
        <v>19918</v>
      </c>
      <c r="C12489" s="27" t="s">
        <v>22457</v>
      </c>
      <c r="D12489" s="27" t="s">
        <v>17558</v>
      </c>
      <c r="E12489" s="29">
        <v>40790</v>
      </c>
      <c r="F12489" s="27">
        <v>5</v>
      </c>
      <c r="G12489" s="18">
        <v>99200</v>
      </c>
      <c r="H12489" s="27">
        <f t="shared" si="390"/>
        <v>99200</v>
      </c>
      <c r="I12489" s="18">
        <v>94240</v>
      </c>
      <c r="J12489" s="27">
        <v>99200</v>
      </c>
      <c r="K12489" s="18">
        <f t="shared" si="391"/>
        <v>99200</v>
      </c>
      <c r="L12489" s="27">
        <v>94240</v>
      </c>
      <c r="M12489" s="36">
        <v>0</v>
      </c>
      <c r="T12489" s="41">
        <v>0</v>
      </c>
      <c r="U12489" s="41">
        <v>0</v>
      </c>
      <c r="V12489" s="42" t="s">
        <v>113</v>
      </c>
      <c r="W12489" s="42">
        <v>99200</v>
      </c>
      <c r="X12489" s="42">
        <v>99200</v>
      </c>
    </row>
    <row r="12490" spans="1:24">
      <c r="A12490" s="27" t="s">
        <v>22458</v>
      </c>
      <c r="B12490" s="28" t="s">
        <v>19918</v>
      </c>
      <c r="C12490" s="27" t="s">
        <v>22459</v>
      </c>
      <c r="D12490" s="27" t="s">
        <v>17578</v>
      </c>
      <c r="E12490" s="29">
        <v>36615</v>
      </c>
      <c r="F12490" s="27">
        <v>5</v>
      </c>
      <c r="G12490" s="18">
        <v>11500</v>
      </c>
      <c r="H12490" s="27">
        <f t="shared" si="390"/>
        <v>11500</v>
      </c>
      <c r="I12490" s="18">
        <v>10925</v>
      </c>
      <c r="J12490" s="27">
        <v>11500</v>
      </c>
      <c r="K12490" s="18">
        <f t="shared" si="391"/>
        <v>11500</v>
      </c>
      <c r="L12490" s="27">
        <v>10925</v>
      </c>
      <c r="M12490" s="36">
        <v>0</v>
      </c>
      <c r="T12490" s="41">
        <v>0</v>
      </c>
      <c r="U12490" s="41">
        <v>0</v>
      </c>
      <c r="V12490" s="42" t="s">
        <v>113</v>
      </c>
      <c r="W12490" s="42">
        <v>11500</v>
      </c>
      <c r="X12490" s="42">
        <v>11500</v>
      </c>
    </row>
    <row r="12491" spans="1:24">
      <c r="A12491" s="27" t="s">
        <v>22460</v>
      </c>
      <c r="B12491" s="28" t="s">
        <v>19918</v>
      </c>
      <c r="C12491" s="27" t="s">
        <v>22459</v>
      </c>
      <c r="D12491" s="27" t="s">
        <v>17578</v>
      </c>
      <c r="E12491" s="29">
        <v>36646</v>
      </c>
      <c r="F12491" s="27">
        <v>5</v>
      </c>
      <c r="G12491" s="18">
        <v>19329</v>
      </c>
      <c r="H12491" s="27">
        <f t="shared" si="390"/>
        <v>19329</v>
      </c>
      <c r="I12491" s="18">
        <v>18362.55</v>
      </c>
      <c r="J12491" s="27">
        <v>19329</v>
      </c>
      <c r="K12491" s="18">
        <f t="shared" si="391"/>
        <v>19329</v>
      </c>
      <c r="L12491" s="27">
        <v>18362.55</v>
      </c>
      <c r="M12491" s="36">
        <v>0</v>
      </c>
      <c r="T12491" s="41">
        <v>0</v>
      </c>
      <c r="U12491" s="41">
        <v>0</v>
      </c>
      <c r="V12491" s="42" t="s">
        <v>113</v>
      </c>
      <c r="W12491" s="42">
        <v>19329</v>
      </c>
      <c r="X12491" s="42">
        <v>19329</v>
      </c>
    </row>
    <row r="12492" spans="1:24">
      <c r="A12492" s="27" t="s">
        <v>22461</v>
      </c>
      <c r="B12492" s="28" t="s">
        <v>19918</v>
      </c>
      <c r="C12492" s="27" t="s">
        <v>22462</v>
      </c>
      <c r="D12492" s="27" t="s">
        <v>17578</v>
      </c>
      <c r="E12492" s="29">
        <v>38472</v>
      </c>
      <c r="F12492" s="27">
        <v>5</v>
      </c>
      <c r="G12492" s="18">
        <v>16250</v>
      </c>
      <c r="H12492" s="27">
        <f t="shared" si="390"/>
        <v>16250</v>
      </c>
      <c r="I12492" s="18">
        <v>15437.5</v>
      </c>
      <c r="J12492" s="27">
        <v>16250</v>
      </c>
      <c r="K12492" s="18">
        <f t="shared" si="391"/>
        <v>16250</v>
      </c>
      <c r="L12492" s="27">
        <v>15437.5</v>
      </c>
      <c r="M12492" s="36">
        <v>0</v>
      </c>
      <c r="T12492" s="41">
        <v>0</v>
      </c>
      <c r="U12492" s="41">
        <v>0</v>
      </c>
      <c r="V12492" s="42" t="s">
        <v>113</v>
      </c>
      <c r="W12492" s="42">
        <v>16250</v>
      </c>
      <c r="X12492" s="42">
        <v>16250</v>
      </c>
    </row>
    <row r="12493" spans="1:24">
      <c r="A12493" s="27" t="s">
        <v>22463</v>
      </c>
      <c r="B12493" s="28" t="s">
        <v>19918</v>
      </c>
      <c r="C12493" s="27" t="s">
        <v>22233</v>
      </c>
      <c r="D12493" s="27" t="s">
        <v>17578</v>
      </c>
      <c r="E12493" s="29">
        <v>38533</v>
      </c>
      <c r="F12493" s="27">
        <v>5</v>
      </c>
      <c r="G12493" s="18">
        <v>7950</v>
      </c>
      <c r="H12493" s="27">
        <f t="shared" si="390"/>
        <v>7950</v>
      </c>
      <c r="I12493" s="18">
        <v>7552.5</v>
      </c>
      <c r="J12493" s="27">
        <v>7950</v>
      </c>
      <c r="K12493" s="18">
        <f t="shared" si="391"/>
        <v>7950</v>
      </c>
      <c r="L12493" s="27">
        <v>7552.5</v>
      </c>
      <c r="M12493" s="36">
        <v>0</v>
      </c>
      <c r="T12493" s="41">
        <v>0</v>
      </c>
      <c r="U12493" s="41">
        <v>0</v>
      </c>
      <c r="V12493" s="42" t="s">
        <v>113</v>
      </c>
      <c r="W12493" s="42">
        <v>7950</v>
      </c>
      <c r="X12493" s="42">
        <v>7950</v>
      </c>
    </row>
    <row r="12494" spans="1:24">
      <c r="A12494" s="27" t="s">
        <v>22464</v>
      </c>
      <c r="B12494" s="28" t="s">
        <v>19918</v>
      </c>
      <c r="C12494" s="27" t="s">
        <v>19526</v>
      </c>
      <c r="D12494" s="27" t="s">
        <v>17578</v>
      </c>
      <c r="E12494" s="29">
        <v>38594</v>
      </c>
      <c r="F12494" s="27">
        <v>5</v>
      </c>
      <c r="G12494" s="18">
        <v>7300</v>
      </c>
      <c r="H12494" s="27">
        <f t="shared" si="390"/>
        <v>7300</v>
      </c>
      <c r="I12494" s="18">
        <v>6935</v>
      </c>
      <c r="J12494" s="27">
        <v>7300</v>
      </c>
      <c r="K12494" s="18">
        <f t="shared" si="391"/>
        <v>7300</v>
      </c>
      <c r="L12494" s="27">
        <v>6935</v>
      </c>
      <c r="M12494" s="36">
        <v>0</v>
      </c>
      <c r="T12494" s="41">
        <v>0</v>
      </c>
      <c r="U12494" s="41">
        <v>0</v>
      </c>
      <c r="V12494" s="42" t="s">
        <v>113</v>
      </c>
      <c r="W12494" s="42">
        <v>7300</v>
      </c>
      <c r="X12494" s="42">
        <v>7300</v>
      </c>
    </row>
    <row r="12495" spans="1:24">
      <c r="A12495" s="27" t="s">
        <v>22465</v>
      </c>
      <c r="B12495" s="28" t="s">
        <v>19918</v>
      </c>
      <c r="C12495" s="27" t="s">
        <v>22466</v>
      </c>
      <c r="D12495" s="27" t="s">
        <v>17578</v>
      </c>
      <c r="E12495" s="29">
        <v>38594</v>
      </c>
      <c r="F12495" s="27">
        <v>5</v>
      </c>
      <c r="G12495" s="18">
        <v>15600</v>
      </c>
      <c r="H12495" s="27">
        <f t="shared" si="390"/>
        <v>15600</v>
      </c>
      <c r="I12495" s="18">
        <v>14820</v>
      </c>
      <c r="J12495" s="27">
        <v>15600</v>
      </c>
      <c r="K12495" s="18">
        <f t="shared" si="391"/>
        <v>15600</v>
      </c>
      <c r="L12495" s="27">
        <v>14820</v>
      </c>
      <c r="M12495" s="36">
        <v>0</v>
      </c>
      <c r="T12495" s="41">
        <v>0</v>
      </c>
      <c r="U12495" s="41">
        <v>0</v>
      </c>
      <c r="V12495" s="42" t="s">
        <v>113</v>
      </c>
      <c r="W12495" s="42">
        <v>15600</v>
      </c>
      <c r="X12495" s="42">
        <v>15600</v>
      </c>
    </row>
    <row r="12496" spans="1:24">
      <c r="A12496" s="27" t="s">
        <v>22467</v>
      </c>
      <c r="B12496" s="28" t="s">
        <v>19918</v>
      </c>
      <c r="C12496" s="27" t="s">
        <v>19526</v>
      </c>
      <c r="D12496" s="27" t="s">
        <v>17578</v>
      </c>
      <c r="E12496" s="29">
        <v>38717</v>
      </c>
      <c r="F12496" s="27">
        <v>5</v>
      </c>
      <c r="G12496" s="18">
        <v>7700</v>
      </c>
      <c r="H12496" s="27">
        <f t="shared" si="390"/>
        <v>7700</v>
      </c>
      <c r="I12496" s="18">
        <v>7315</v>
      </c>
      <c r="J12496" s="27">
        <v>7700</v>
      </c>
      <c r="K12496" s="18">
        <f t="shared" si="391"/>
        <v>7700</v>
      </c>
      <c r="L12496" s="27">
        <v>7315</v>
      </c>
      <c r="M12496" s="36">
        <v>0</v>
      </c>
      <c r="T12496" s="41">
        <v>0</v>
      </c>
      <c r="U12496" s="41">
        <v>0</v>
      </c>
      <c r="V12496" s="42" t="s">
        <v>113</v>
      </c>
      <c r="W12496" s="42">
        <v>7700</v>
      </c>
      <c r="X12496" s="42">
        <v>7700</v>
      </c>
    </row>
    <row r="12497" spans="1:24">
      <c r="A12497" s="27" t="s">
        <v>22468</v>
      </c>
      <c r="B12497" s="28" t="s">
        <v>19918</v>
      </c>
      <c r="C12497" s="27" t="s">
        <v>19526</v>
      </c>
      <c r="D12497" s="27" t="s">
        <v>17578</v>
      </c>
      <c r="E12497" s="29">
        <v>38857</v>
      </c>
      <c r="F12497" s="27">
        <v>5</v>
      </c>
      <c r="G12497" s="18">
        <v>9380</v>
      </c>
      <c r="H12497" s="27">
        <f t="shared" si="390"/>
        <v>9380</v>
      </c>
      <c r="I12497" s="18">
        <v>8911</v>
      </c>
      <c r="J12497" s="27">
        <v>9380</v>
      </c>
      <c r="K12497" s="18">
        <f t="shared" si="391"/>
        <v>9380</v>
      </c>
      <c r="L12497" s="27">
        <v>8911</v>
      </c>
      <c r="M12497" s="36">
        <v>0</v>
      </c>
      <c r="T12497" s="41">
        <v>0</v>
      </c>
      <c r="U12497" s="41">
        <v>0</v>
      </c>
      <c r="V12497" s="42" t="s">
        <v>113</v>
      </c>
      <c r="W12497" s="42">
        <v>9380</v>
      </c>
      <c r="X12497" s="42">
        <v>9380</v>
      </c>
    </row>
    <row r="12498" spans="1:24">
      <c r="A12498" s="27" t="s">
        <v>22469</v>
      </c>
      <c r="B12498" s="28" t="s">
        <v>19918</v>
      </c>
      <c r="C12498" s="27" t="s">
        <v>19526</v>
      </c>
      <c r="D12498" s="27" t="s">
        <v>17578</v>
      </c>
      <c r="E12498" s="29">
        <v>38857</v>
      </c>
      <c r="F12498" s="27">
        <v>5</v>
      </c>
      <c r="G12498" s="18">
        <v>9000</v>
      </c>
      <c r="H12498" s="27">
        <f t="shared" si="390"/>
        <v>9000</v>
      </c>
      <c r="I12498" s="18">
        <v>8550</v>
      </c>
      <c r="J12498" s="27">
        <v>9000</v>
      </c>
      <c r="K12498" s="18">
        <f t="shared" si="391"/>
        <v>9000</v>
      </c>
      <c r="L12498" s="27">
        <v>8550</v>
      </c>
      <c r="M12498" s="36">
        <v>0</v>
      </c>
      <c r="T12498" s="41">
        <v>0</v>
      </c>
      <c r="U12498" s="41">
        <v>0</v>
      </c>
      <c r="V12498" s="42" t="s">
        <v>113</v>
      </c>
      <c r="W12498" s="42">
        <v>9000</v>
      </c>
      <c r="X12498" s="42">
        <v>9000</v>
      </c>
    </row>
    <row r="12499" spans="1:24">
      <c r="A12499" s="27" t="s">
        <v>22470</v>
      </c>
      <c r="B12499" s="28" t="s">
        <v>19918</v>
      </c>
      <c r="C12499" s="27" t="s">
        <v>19526</v>
      </c>
      <c r="D12499" s="27" t="s">
        <v>17578</v>
      </c>
      <c r="E12499" s="29">
        <v>38857</v>
      </c>
      <c r="F12499" s="27">
        <v>5</v>
      </c>
      <c r="G12499" s="18">
        <v>7400</v>
      </c>
      <c r="H12499" s="27">
        <f t="shared" si="390"/>
        <v>7400</v>
      </c>
      <c r="I12499" s="18">
        <v>7030</v>
      </c>
      <c r="J12499" s="27">
        <v>7400</v>
      </c>
      <c r="K12499" s="18">
        <f t="shared" si="391"/>
        <v>7400</v>
      </c>
      <c r="L12499" s="27">
        <v>7030</v>
      </c>
      <c r="M12499" s="36">
        <v>0</v>
      </c>
      <c r="T12499" s="41">
        <v>0</v>
      </c>
      <c r="U12499" s="41">
        <v>0</v>
      </c>
      <c r="V12499" s="42" t="s">
        <v>113</v>
      </c>
      <c r="W12499" s="42">
        <v>7400</v>
      </c>
      <c r="X12499" s="42">
        <v>7400</v>
      </c>
    </row>
    <row r="12500" spans="1:24">
      <c r="A12500" s="27" t="s">
        <v>22471</v>
      </c>
      <c r="B12500" s="28" t="s">
        <v>19918</v>
      </c>
      <c r="C12500" s="27" t="s">
        <v>19526</v>
      </c>
      <c r="D12500" s="27" t="s">
        <v>17578</v>
      </c>
      <c r="E12500" s="29">
        <v>38857</v>
      </c>
      <c r="F12500" s="27">
        <v>5</v>
      </c>
      <c r="G12500" s="18">
        <v>9000</v>
      </c>
      <c r="H12500" s="27">
        <f t="shared" si="390"/>
        <v>9000</v>
      </c>
      <c r="I12500" s="18">
        <v>8550</v>
      </c>
      <c r="J12500" s="27">
        <v>9000</v>
      </c>
      <c r="K12500" s="18">
        <f t="shared" si="391"/>
        <v>9000</v>
      </c>
      <c r="L12500" s="27">
        <v>8550</v>
      </c>
      <c r="M12500" s="36">
        <v>0</v>
      </c>
      <c r="T12500" s="41">
        <v>0</v>
      </c>
      <c r="U12500" s="41">
        <v>0</v>
      </c>
      <c r="V12500" s="42" t="s">
        <v>113</v>
      </c>
      <c r="W12500" s="42">
        <v>9000</v>
      </c>
      <c r="X12500" s="42">
        <v>9000</v>
      </c>
    </row>
    <row r="12501" spans="1:24">
      <c r="A12501" s="27" t="s">
        <v>22472</v>
      </c>
      <c r="B12501" s="28" t="s">
        <v>19918</v>
      </c>
      <c r="C12501" s="27" t="s">
        <v>19526</v>
      </c>
      <c r="D12501" s="27" t="s">
        <v>17578</v>
      </c>
      <c r="E12501" s="29">
        <v>38878</v>
      </c>
      <c r="F12501" s="27">
        <v>5</v>
      </c>
      <c r="G12501" s="18">
        <v>21975</v>
      </c>
      <c r="H12501" s="27">
        <f t="shared" si="390"/>
        <v>21975</v>
      </c>
      <c r="I12501" s="18">
        <v>20876.25</v>
      </c>
      <c r="J12501" s="27">
        <v>21975</v>
      </c>
      <c r="K12501" s="18">
        <f t="shared" si="391"/>
        <v>21975</v>
      </c>
      <c r="L12501" s="27">
        <v>20876.25</v>
      </c>
      <c r="M12501" s="36">
        <v>0</v>
      </c>
      <c r="T12501" s="41">
        <v>0</v>
      </c>
      <c r="U12501" s="41">
        <v>0</v>
      </c>
      <c r="V12501" s="42" t="s">
        <v>113</v>
      </c>
      <c r="W12501" s="42">
        <v>21975</v>
      </c>
      <c r="X12501" s="42">
        <v>21975</v>
      </c>
    </row>
    <row r="12502" spans="1:24">
      <c r="A12502" s="27" t="s">
        <v>22473</v>
      </c>
      <c r="B12502" s="28" t="s">
        <v>19918</v>
      </c>
      <c r="C12502" s="27" t="s">
        <v>19526</v>
      </c>
      <c r="D12502" s="27" t="s">
        <v>17578</v>
      </c>
      <c r="E12502" s="29">
        <v>38888</v>
      </c>
      <c r="F12502" s="27">
        <v>5</v>
      </c>
      <c r="G12502" s="18">
        <v>7325</v>
      </c>
      <c r="H12502" s="27">
        <f t="shared" si="390"/>
        <v>7325</v>
      </c>
      <c r="I12502" s="18">
        <v>6958.75</v>
      </c>
      <c r="J12502" s="27">
        <v>7325</v>
      </c>
      <c r="K12502" s="18">
        <f t="shared" si="391"/>
        <v>7325</v>
      </c>
      <c r="L12502" s="27">
        <v>6958.75</v>
      </c>
      <c r="M12502" s="36">
        <v>0</v>
      </c>
      <c r="T12502" s="41">
        <v>0</v>
      </c>
      <c r="U12502" s="41">
        <v>0</v>
      </c>
      <c r="V12502" s="42" t="s">
        <v>113</v>
      </c>
      <c r="W12502" s="42">
        <v>7325</v>
      </c>
      <c r="X12502" s="42">
        <v>7325</v>
      </c>
    </row>
    <row r="12503" spans="1:24">
      <c r="A12503" s="27" t="s">
        <v>22474</v>
      </c>
      <c r="B12503" s="28" t="s">
        <v>19918</v>
      </c>
      <c r="C12503" s="27" t="s">
        <v>22475</v>
      </c>
      <c r="D12503" s="27" t="s">
        <v>17558</v>
      </c>
      <c r="E12503" s="29">
        <v>38959</v>
      </c>
      <c r="F12503" s="27">
        <v>5</v>
      </c>
      <c r="G12503" s="18">
        <v>2050</v>
      </c>
      <c r="H12503" s="27">
        <f t="shared" si="390"/>
        <v>2050</v>
      </c>
      <c r="I12503" s="18">
        <v>2050</v>
      </c>
      <c r="J12503" s="27">
        <v>2050</v>
      </c>
      <c r="K12503" s="18">
        <f t="shared" si="391"/>
        <v>2050</v>
      </c>
      <c r="L12503" s="27">
        <v>2050</v>
      </c>
      <c r="M12503" s="36">
        <v>0</v>
      </c>
      <c r="T12503" s="41">
        <v>0</v>
      </c>
      <c r="U12503" s="41">
        <v>0</v>
      </c>
      <c r="V12503" s="42" t="s">
        <v>113</v>
      </c>
      <c r="W12503" s="42">
        <v>2050</v>
      </c>
      <c r="X12503" s="42">
        <v>2050</v>
      </c>
    </row>
    <row r="12504" spans="1:24">
      <c r="A12504" s="27" t="s">
        <v>22476</v>
      </c>
      <c r="B12504" s="28" t="s">
        <v>19918</v>
      </c>
      <c r="C12504" s="27" t="s">
        <v>19526</v>
      </c>
      <c r="D12504" s="27" t="s">
        <v>17578</v>
      </c>
      <c r="E12504" s="29">
        <v>39031</v>
      </c>
      <c r="F12504" s="27">
        <v>5</v>
      </c>
      <c r="G12504" s="18">
        <v>8450</v>
      </c>
      <c r="H12504" s="27">
        <f t="shared" si="390"/>
        <v>8450</v>
      </c>
      <c r="I12504" s="18">
        <v>8027.5</v>
      </c>
      <c r="J12504" s="27">
        <v>8450</v>
      </c>
      <c r="K12504" s="18">
        <f t="shared" si="391"/>
        <v>8450</v>
      </c>
      <c r="L12504" s="27">
        <v>8027.5</v>
      </c>
      <c r="M12504" s="36">
        <v>0</v>
      </c>
      <c r="T12504" s="41">
        <v>0</v>
      </c>
      <c r="U12504" s="41">
        <v>0</v>
      </c>
      <c r="V12504" s="42" t="s">
        <v>113</v>
      </c>
      <c r="W12504" s="42">
        <v>8450</v>
      </c>
      <c r="X12504" s="42">
        <v>8450</v>
      </c>
    </row>
    <row r="12505" spans="1:24">
      <c r="A12505" s="27" t="s">
        <v>22477</v>
      </c>
      <c r="B12505" s="28" t="s">
        <v>19918</v>
      </c>
      <c r="C12505" s="27" t="s">
        <v>19526</v>
      </c>
      <c r="D12505" s="27" t="s">
        <v>17578</v>
      </c>
      <c r="E12505" s="29">
        <v>39041</v>
      </c>
      <c r="F12505" s="27">
        <v>5</v>
      </c>
      <c r="G12505" s="18">
        <v>8210</v>
      </c>
      <c r="H12505" s="27">
        <f t="shared" si="390"/>
        <v>8210</v>
      </c>
      <c r="I12505" s="18">
        <v>7799.5</v>
      </c>
      <c r="J12505" s="27">
        <v>8210</v>
      </c>
      <c r="K12505" s="18">
        <f t="shared" si="391"/>
        <v>8210</v>
      </c>
      <c r="L12505" s="27">
        <v>7799.5</v>
      </c>
      <c r="M12505" s="36">
        <v>0</v>
      </c>
      <c r="T12505" s="41">
        <v>0</v>
      </c>
      <c r="U12505" s="41">
        <v>0</v>
      </c>
      <c r="V12505" s="42" t="s">
        <v>113</v>
      </c>
      <c r="W12505" s="42">
        <v>8210</v>
      </c>
      <c r="X12505" s="42">
        <v>8210</v>
      </c>
    </row>
    <row r="12506" spans="1:24">
      <c r="A12506" s="27" t="s">
        <v>22478</v>
      </c>
      <c r="B12506" s="28" t="s">
        <v>19918</v>
      </c>
      <c r="C12506" s="27" t="s">
        <v>19526</v>
      </c>
      <c r="D12506" s="27" t="s">
        <v>17578</v>
      </c>
      <c r="E12506" s="29">
        <v>39048</v>
      </c>
      <c r="F12506" s="27">
        <v>5</v>
      </c>
      <c r="G12506" s="18">
        <v>8250</v>
      </c>
      <c r="H12506" s="27">
        <f t="shared" si="390"/>
        <v>8250</v>
      </c>
      <c r="I12506" s="18">
        <v>7837.5</v>
      </c>
      <c r="J12506" s="27">
        <v>8250</v>
      </c>
      <c r="K12506" s="18">
        <f t="shared" si="391"/>
        <v>8250</v>
      </c>
      <c r="L12506" s="27">
        <v>7837.5</v>
      </c>
      <c r="M12506" s="36">
        <v>0</v>
      </c>
      <c r="T12506" s="41">
        <v>0</v>
      </c>
      <c r="U12506" s="41">
        <v>0</v>
      </c>
      <c r="V12506" s="42" t="s">
        <v>113</v>
      </c>
      <c r="W12506" s="42">
        <v>8250</v>
      </c>
      <c r="X12506" s="42">
        <v>8250</v>
      </c>
    </row>
    <row r="12507" spans="1:24">
      <c r="A12507" s="27" t="s">
        <v>22479</v>
      </c>
      <c r="B12507" s="28" t="s">
        <v>19918</v>
      </c>
      <c r="C12507" s="27" t="s">
        <v>19526</v>
      </c>
      <c r="D12507" s="27" t="s">
        <v>17578</v>
      </c>
      <c r="E12507" s="29">
        <v>39048</v>
      </c>
      <c r="F12507" s="27">
        <v>5</v>
      </c>
      <c r="G12507" s="18">
        <v>21900</v>
      </c>
      <c r="H12507" s="27">
        <f t="shared" si="390"/>
        <v>21900</v>
      </c>
      <c r="I12507" s="18">
        <v>20805</v>
      </c>
      <c r="J12507" s="27">
        <v>21900</v>
      </c>
      <c r="K12507" s="18">
        <f t="shared" si="391"/>
        <v>21900</v>
      </c>
      <c r="L12507" s="27">
        <v>20805</v>
      </c>
      <c r="M12507" s="36">
        <v>0</v>
      </c>
      <c r="T12507" s="41">
        <v>0</v>
      </c>
      <c r="U12507" s="41">
        <v>0</v>
      </c>
      <c r="V12507" s="42" t="s">
        <v>113</v>
      </c>
      <c r="W12507" s="42">
        <v>21900</v>
      </c>
      <c r="X12507" s="42">
        <v>21900</v>
      </c>
    </row>
    <row r="12508" spans="1:24">
      <c r="A12508" s="27" t="s">
        <v>22480</v>
      </c>
      <c r="B12508" s="28" t="s">
        <v>19918</v>
      </c>
      <c r="C12508" s="27" t="s">
        <v>19526</v>
      </c>
      <c r="D12508" s="27" t="s">
        <v>17578</v>
      </c>
      <c r="E12508" s="29">
        <v>39061</v>
      </c>
      <c r="F12508" s="27">
        <v>5</v>
      </c>
      <c r="G12508" s="18">
        <v>13600</v>
      </c>
      <c r="H12508" s="27">
        <f t="shared" si="390"/>
        <v>13600</v>
      </c>
      <c r="I12508" s="18">
        <v>12920</v>
      </c>
      <c r="J12508" s="27">
        <v>13600</v>
      </c>
      <c r="K12508" s="18">
        <f t="shared" si="391"/>
        <v>13600</v>
      </c>
      <c r="L12508" s="27">
        <v>12920</v>
      </c>
      <c r="M12508" s="36">
        <v>0</v>
      </c>
      <c r="T12508" s="41">
        <v>0</v>
      </c>
      <c r="U12508" s="41">
        <v>0</v>
      </c>
      <c r="V12508" s="42" t="s">
        <v>113</v>
      </c>
      <c r="W12508" s="42">
        <v>13600</v>
      </c>
      <c r="X12508" s="42">
        <v>13600</v>
      </c>
    </row>
    <row r="12509" spans="1:24">
      <c r="A12509" s="27" t="s">
        <v>22481</v>
      </c>
      <c r="B12509" s="28" t="s">
        <v>19918</v>
      </c>
      <c r="C12509" s="27" t="s">
        <v>19526</v>
      </c>
      <c r="D12509" s="27" t="s">
        <v>17578</v>
      </c>
      <c r="E12509" s="29">
        <v>39071</v>
      </c>
      <c r="F12509" s="27">
        <v>5</v>
      </c>
      <c r="G12509" s="18">
        <v>15000</v>
      </c>
      <c r="H12509" s="27">
        <f t="shared" si="390"/>
        <v>15000</v>
      </c>
      <c r="I12509" s="18">
        <v>14250</v>
      </c>
      <c r="J12509" s="27">
        <v>15000</v>
      </c>
      <c r="K12509" s="18">
        <f t="shared" si="391"/>
        <v>15000</v>
      </c>
      <c r="L12509" s="27">
        <v>14250</v>
      </c>
      <c r="M12509" s="36">
        <v>0</v>
      </c>
      <c r="T12509" s="41">
        <v>0</v>
      </c>
      <c r="U12509" s="41">
        <v>0</v>
      </c>
      <c r="V12509" s="42" t="s">
        <v>113</v>
      </c>
      <c r="W12509" s="42">
        <v>15000</v>
      </c>
      <c r="X12509" s="42">
        <v>15000</v>
      </c>
    </row>
    <row r="12510" spans="1:24">
      <c r="A12510" s="27" t="s">
        <v>22482</v>
      </c>
      <c r="B12510" s="28" t="s">
        <v>19918</v>
      </c>
      <c r="C12510" s="27" t="s">
        <v>22483</v>
      </c>
      <c r="D12510" s="27" t="s">
        <v>17578</v>
      </c>
      <c r="E12510" s="29">
        <v>39141</v>
      </c>
      <c r="F12510" s="27">
        <v>5</v>
      </c>
      <c r="G12510" s="18">
        <v>105840</v>
      </c>
      <c r="H12510" s="27">
        <f t="shared" si="390"/>
        <v>105840</v>
      </c>
      <c r="I12510" s="18">
        <v>100548</v>
      </c>
      <c r="J12510" s="27">
        <v>105840</v>
      </c>
      <c r="K12510" s="18">
        <f t="shared" si="391"/>
        <v>105840</v>
      </c>
      <c r="L12510" s="27">
        <v>100548</v>
      </c>
      <c r="M12510" s="36">
        <v>0</v>
      </c>
      <c r="T12510" s="41">
        <v>0</v>
      </c>
      <c r="U12510" s="41">
        <v>0</v>
      </c>
      <c r="V12510" s="42" t="s">
        <v>113</v>
      </c>
      <c r="W12510" s="42">
        <v>105840</v>
      </c>
      <c r="X12510" s="42">
        <v>105840</v>
      </c>
    </row>
    <row r="12511" spans="1:24">
      <c r="A12511" s="27" t="s">
        <v>22484</v>
      </c>
      <c r="B12511" s="28" t="s">
        <v>19918</v>
      </c>
      <c r="C12511" s="27" t="s">
        <v>19526</v>
      </c>
      <c r="D12511" s="27" t="s">
        <v>17578</v>
      </c>
      <c r="E12511" s="29">
        <v>39263</v>
      </c>
      <c r="F12511" s="27">
        <v>5</v>
      </c>
      <c r="G12511" s="18">
        <v>7760</v>
      </c>
      <c r="H12511" s="27">
        <f t="shared" si="390"/>
        <v>7760</v>
      </c>
      <c r="I12511" s="18">
        <v>7372</v>
      </c>
      <c r="J12511" s="27">
        <v>7760</v>
      </c>
      <c r="K12511" s="18">
        <f t="shared" si="391"/>
        <v>7760</v>
      </c>
      <c r="L12511" s="27">
        <v>7372</v>
      </c>
      <c r="M12511" s="36">
        <v>0</v>
      </c>
      <c r="T12511" s="41">
        <v>0</v>
      </c>
      <c r="U12511" s="41">
        <v>0</v>
      </c>
      <c r="V12511" s="42" t="s">
        <v>113</v>
      </c>
      <c r="W12511" s="42">
        <v>7760</v>
      </c>
      <c r="X12511" s="42">
        <v>7760</v>
      </c>
    </row>
    <row r="12512" spans="1:24">
      <c r="A12512" s="27" t="s">
        <v>22485</v>
      </c>
      <c r="B12512" s="28" t="s">
        <v>19918</v>
      </c>
      <c r="C12512" s="27" t="s">
        <v>22486</v>
      </c>
      <c r="D12512" s="27" t="s">
        <v>17578</v>
      </c>
      <c r="E12512" s="29">
        <v>39355</v>
      </c>
      <c r="F12512" s="27">
        <v>5</v>
      </c>
      <c r="G12512" s="18">
        <v>7600</v>
      </c>
      <c r="H12512" s="27">
        <f t="shared" si="390"/>
        <v>7600</v>
      </c>
      <c r="I12512" s="18">
        <v>7220</v>
      </c>
      <c r="J12512" s="27">
        <v>7600</v>
      </c>
      <c r="K12512" s="18">
        <f t="shared" si="391"/>
        <v>7600</v>
      </c>
      <c r="L12512" s="27">
        <v>7220</v>
      </c>
      <c r="M12512" s="36">
        <v>0</v>
      </c>
      <c r="T12512" s="41">
        <v>0</v>
      </c>
      <c r="U12512" s="41">
        <v>0</v>
      </c>
      <c r="V12512" s="42" t="s">
        <v>113</v>
      </c>
      <c r="W12512" s="42">
        <v>7600</v>
      </c>
      <c r="X12512" s="42">
        <v>7600</v>
      </c>
    </row>
    <row r="12513" spans="1:24">
      <c r="A12513" s="27" t="s">
        <v>22487</v>
      </c>
      <c r="B12513" s="28" t="s">
        <v>19918</v>
      </c>
      <c r="C12513" s="27" t="s">
        <v>22466</v>
      </c>
      <c r="D12513" s="27" t="s">
        <v>17578</v>
      </c>
      <c r="E12513" s="29">
        <v>39416</v>
      </c>
      <c r="F12513" s="27">
        <v>5</v>
      </c>
      <c r="G12513" s="18">
        <v>14000</v>
      </c>
      <c r="H12513" s="27">
        <f t="shared" si="390"/>
        <v>14000</v>
      </c>
      <c r="I12513" s="18">
        <v>13300</v>
      </c>
      <c r="J12513" s="27">
        <v>14000</v>
      </c>
      <c r="K12513" s="18">
        <f t="shared" si="391"/>
        <v>14000</v>
      </c>
      <c r="L12513" s="27">
        <v>13300</v>
      </c>
      <c r="M12513" s="36">
        <v>0</v>
      </c>
      <c r="T12513" s="41">
        <v>0</v>
      </c>
      <c r="U12513" s="41">
        <v>0</v>
      </c>
      <c r="V12513" s="42" t="s">
        <v>113</v>
      </c>
      <c r="W12513" s="42">
        <v>14000</v>
      </c>
      <c r="X12513" s="42">
        <v>14000</v>
      </c>
    </row>
    <row r="12514" spans="1:24">
      <c r="A12514" s="27" t="s">
        <v>22488</v>
      </c>
      <c r="B12514" s="28" t="s">
        <v>19918</v>
      </c>
      <c r="C12514" s="27" t="s">
        <v>22489</v>
      </c>
      <c r="D12514" s="27" t="s">
        <v>17578</v>
      </c>
      <c r="E12514" s="29">
        <v>39447</v>
      </c>
      <c r="F12514" s="27">
        <v>5</v>
      </c>
      <c r="G12514" s="18">
        <v>4900</v>
      </c>
      <c r="H12514" s="27">
        <f t="shared" si="390"/>
        <v>4900</v>
      </c>
      <c r="I12514" s="18">
        <v>4900</v>
      </c>
      <c r="J12514" s="27">
        <v>4900</v>
      </c>
      <c r="K12514" s="18">
        <f t="shared" si="391"/>
        <v>4900</v>
      </c>
      <c r="L12514" s="27">
        <v>4900</v>
      </c>
      <c r="M12514" s="36">
        <v>0</v>
      </c>
      <c r="T12514" s="41">
        <v>0</v>
      </c>
      <c r="U12514" s="41">
        <v>0</v>
      </c>
      <c r="V12514" s="42" t="s">
        <v>113</v>
      </c>
      <c r="W12514" s="42">
        <v>4900</v>
      </c>
      <c r="X12514" s="42">
        <v>4900</v>
      </c>
    </row>
    <row r="12515" spans="1:24">
      <c r="A12515" s="27" t="s">
        <v>22490</v>
      </c>
      <c r="B12515" s="28" t="s">
        <v>19918</v>
      </c>
      <c r="C12515" s="27" t="s">
        <v>22491</v>
      </c>
      <c r="D12515" s="27" t="s">
        <v>17578</v>
      </c>
      <c r="E12515" s="29">
        <v>39447</v>
      </c>
      <c r="F12515" s="27">
        <v>5</v>
      </c>
      <c r="G12515" s="18">
        <v>10760</v>
      </c>
      <c r="H12515" s="27">
        <f t="shared" si="390"/>
        <v>10760</v>
      </c>
      <c r="I12515" s="18">
        <v>10222</v>
      </c>
      <c r="J12515" s="27">
        <v>10760</v>
      </c>
      <c r="K12515" s="18">
        <f t="shared" si="391"/>
        <v>10760</v>
      </c>
      <c r="L12515" s="27">
        <v>10222</v>
      </c>
      <c r="M12515" s="36">
        <v>0</v>
      </c>
      <c r="T12515" s="41">
        <v>0</v>
      </c>
      <c r="U12515" s="41">
        <v>0</v>
      </c>
      <c r="V12515" s="42" t="s">
        <v>113</v>
      </c>
      <c r="W12515" s="42">
        <v>10760</v>
      </c>
      <c r="X12515" s="42">
        <v>10760</v>
      </c>
    </row>
    <row r="12516" spans="1:24">
      <c r="A12516" s="27" t="s">
        <v>22492</v>
      </c>
      <c r="B12516" s="28" t="s">
        <v>19918</v>
      </c>
      <c r="C12516" s="27" t="s">
        <v>22493</v>
      </c>
      <c r="D12516" s="27" t="s">
        <v>17578</v>
      </c>
      <c r="E12516" s="29">
        <v>39475</v>
      </c>
      <c r="F12516" s="27">
        <v>5</v>
      </c>
      <c r="G12516" s="18">
        <v>6300</v>
      </c>
      <c r="H12516" s="27">
        <f t="shared" si="390"/>
        <v>6300</v>
      </c>
      <c r="I12516" s="18">
        <v>5985</v>
      </c>
      <c r="J12516" s="27">
        <v>6300</v>
      </c>
      <c r="K12516" s="18">
        <f t="shared" si="391"/>
        <v>6300</v>
      </c>
      <c r="L12516" s="27">
        <v>5985</v>
      </c>
      <c r="M12516" s="36">
        <v>0</v>
      </c>
      <c r="T12516" s="41">
        <v>0</v>
      </c>
      <c r="U12516" s="41">
        <v>0</v>
      </c>
      <c r="V12516" s="42" t="s">
        <v>113</v>
      </c>
      <c r="W12516" s="42">
        <v>6300</v>
      </c>
      <c r="X12516" s="42">
        <v>6300</v>
      </c>
    </row>
    <row r="12517" spans="1:24">
      <c r="A12517" s="27" t="s">
        <v>22494</v>
      </c>
      <c r="B12517" s="28" t="s">
        <v>19918</v>
      </c>
      <c r="C12517" s="27" t="s">
        <v>22495</v>
      </c>
      <c r="D12517" s="27" t="s">
        <v>17578</v>
      </c>
      <c r="E12517" s="29">
        <v>39475</v>
      </c>
      <c r="F12517" s="27">
        <v>5</v>
      </c>
      <c r="G12517" s="18">
        <v>7300</v>
      </c>
      <c r="H12517" s="27">
        <f t="shared" si="390"/>
        <v>7300</v>
      </c>
      <c r="I12517" s="18">
        <v>6935</v>
      </c>
      <c r="J12517" s="27">
        <v>7300</v>
      </c>
      <c r="K12517" s="18">
        <f t="shared" si="391"/>
        <v>7300</v>
      </c>
      <c r="L12517" s="27">
        <v>6935</v>
      </c>
      <c r="M12517" s="36">
        <v>0</v>
      </c>
      <c r="T12517" s="41">
        <v>0</v>
      </c>
      <c r="U12517" s="41">
        <v>0</v>
      </c>
      <c r="V12517" s="42" t="s">
        <v>113</v>
      </c>
      <c r="W12517" s="42">
        <v>7300</v>
      </c>
      <c r="X12517" s="42">
        <v>7300</v>
      </c>
    </row>
    <row r="12518" spans="1:24">
      <c r="A12518" s="27" t="s">
        <v>22496</v>
      </c>
      <c r="B12518" s="28" t="s">
        <v>19918</v>
      </c>
      <c r="C12518" s="27" t="s">
        <v>22497</v>
      </c>
      <c r="D12518" s="27" t="s">
        <v>17578</v>
      </c>
      <c r="E12518" s="29">
        <v>39475</v>
      </c>
      <c r="F12518" s="27">
        <v>5</v>
      </c>
      <c r="G12518" s="18">
        <v>10600</v>
      </c>
      <c r="H12518" s="27">
        <f t="shared" si="390"/>
        <v>10600</v>
      </c>
      <c r="I12518" s="18">
        <v>10070</v>
      </c>
      <c r="J12518" s="27">
        <v>10600</v>
      </c>
      <c r="K12518" s="18">
        <f t="shared" si="391"/>
        <v>10600</v>
      </c>
      <c r="L12518" s="27">
        <v>10070</v>
      </c>
      <c r="M12518" s="36">
        <v>0</v>
      </c>
      <c r="T12518" s="41">
        <v>0</v>
      </c>
      <c r="U12518" s="41">
        <v>0</v>
      </c>
      <c r="V12518" s="42" t="s">
        <v>113</v>
      </c>
      <c r="W12518" s="42">
        <v>10600</v>
      </c>
      <c r="X12518" s="42">
        <v>10600</v>
      </c>
    </row>
    <row r="12519" spans="1:24">
      <c r="A12519" s="27" t="s">
        <v>22498</v>
      </c>
      <c r="B12519" s="28" t="s">
        <v>19918</v>
      </c>
      <c r="C12519" s="27" t="s">
        <v>22499</v>
      </c>
      <c r="D12519" s="27" t="s">
        <v>17578</v>
      </c>
      <c r="E12519" s="29">
        <v>39629</v>
      </c>
      <c r="F12519" s="27">
        <v>5</v>
      </c>
      <c r="G12519" s="18">
        <v>7200</v>
      </c>
      <c r="H12519" s="27">
        <f t="shared" si="390"/>
        <v>7200</v>
      </c>
      <c r="I12519" s="18">
        <v>6840</v>
      </c>
      <c r="J12519" s="27">
        <v>7200</v>
      </c>
      <c r="K12519" s="18">
        <f t="shared" si="391"/>
        <v>7200</v>
      </c>
      <c r="L12519" s="27">
        <v>6840</v>
      </c>
      <c r="M12519" s="36">
        <v>0</v>
      </c>
      <c r="T12519" s="41">
        <v>0</v>
      </c>
      <c r="U12519" s="41">
        <v>0</v>
      </c>
      <c r="V12519" s="42" t="s">
        <v>113</v>
      </c>
      <c r="W12519" s="42">
        <v>7200</v>
      </c>
      <c r="X12519" s="42">
        <v>7200</v>
      </c>
    </row>
    <row r="12520" spans="1:24">
      <c r="A12520" s="27" t="s">
        <v>22500</v>
      </c>
      <c r="B12520" s="28" t="s">
        <v>19918</v>
      </c>
      <c r="C12520" s="27" t="s">
        <v>22501</v>
      </c>
      <c r="D12520" s="27" t="s">
        <v>17578</v>
      </c>
      <c r="E12520" s="29">
        <v>39629</v>
      </c>
      <c r="F12520" s="27">
        <v>5</v>
      </c>
      <c r="G12520" s="18">
        <v>7400</v>
      </c>
      <c r="H12520" s="27">
        <f t="shared" si="390"/>
        <v>7400</v>
      </c>
      <c r="I12520" s="18">
        <v>7030</v>
      </c>
      <c r="J12520" s="27">
        <v>7400</v>
      </c>
      <c r="K12520" s="18">
        <f t="shared" si="391"/>
        <v>7400</v>
      </c>
      <c r="L12520" s="27">
        <v>7030</v>
      </c>
      <c r="M12520" s="36">
        <v>0</v>
      </c>
      <c r="T12520" s="41">
        <v>0</v>
      </c>
      <c r="U12520" s="41">
        <v>0</v>
      </c>
      <c r="V12520" s="42" t="s">
        <v>113</v>
      </c>
      <c r="W12520" s="42">
        <v>7400</v>
      </c>
      <c r="X12520" s="42">
        <v>7400</v>
      </c>
    </row>
    <row r="12521" spans="1:24">
      <c r="A12521" s="27" t="s">
        <v>22502</v>
      </c>
      <c r="B12521" s="28" t="s">
        <v>19918</v>
      </c>
      <c r="C12521" s="27" t="s">
        <v>22503</v>
      </c>
      <c r="D12521" s="27" t="s">
        <v>17578</v>
      </c>
      <c r="E12521" s="29">
        <v>39782</v>
      </c>
      <c r="F12521" s="27">
        <v>5</v>
      </c>
      <c r="G12521" s="18">
        <v>4802</v>
      </c>
      <c r="H12521" s="27">
        <f t="shared" si="390"/>
        <v>4802</v>
      </c>
      <c r="I12521" s="18">
        <v>4802</v>
      </c>
      <c r="J12521" s="27">
        <v>4802</v>
      </c>
      <c r="K12521" s="18">
        <f t="shared" si="391"/>
        <v>4802</v>
      </c>
      <c r="L12521" s="27">
        <v>4802</v>
      </c>
      <c r="M12521" s="36">
        <v>0</v>
      </c>
      <c r="T12521" s="41">
        <v>0</v>
      </c>
      <c r="U12521" s="41">
        <v>0</v>
      </c>
      <c r="V12521" s="42" t="s">
        <v>113</v>
      </c>
      <c r="W12521" s="42">
        <v>4802</v>
      </c>
      <c r="X12521" s="42">
        <v>4802</v>
      </c>
    </row>
    <row r="12522" spans="1:24">
      <c r="A12522" s="27" t="s">
        <v>22504</v>
      </c>
      <c r="B12522" s="28" t="s">
        <v>19918</v>
      </c>
      <c r="C12522" s="27" t="s">
        <v>22503</v>
      </c>
      <c r="D12522" s="27" t="s">
        <v>17578</v>
      </c>
      <c r="E12522" s="29">
        <v>39782</v>
      </c>
      <c r="F12522" s="27">
        <v>5</v>
      </c>
      <c r="G12522" s="18">
        <v>3201.34</v>
      </c>
      <c r="H12522" s="27">
        <f t="shared" si="390"/>
        <v>3201.34</v>
      </c>
      <c r="I12522" s="18">
        <v>3201.34</v>
      </c>
      <c r="J12522" s="27">
        <v>3201.34</v>
      </c>
      <c r="K12522" s="18">
        <f t="shared" si="391"/>
        <v>3201.34</v>
      </c>
      <c r="L12522" s="27">
        <v>3201.34</v>
      </c>
      <c r="M12522" s="36">
        <v>0</v>
      </c>
      <c r="T12522" s="41">
        <v>0</v>
      </c>
      <c r="U12522" s="41">
        <v>0</v>
      </c>
      <c r="V12522" s="42" t="s">
        <v>113</v>
      </c>
      <c r="W12522" s="42">
        <v>3201.34</v>
      </c>
      <c r="X12522" s="42">
        <v>3201.34</v>
      </c>
    </row>
    <row r="12523" spans="1:24">
      <c r="A12523" s="27" t="s">
        <v>22505</v>
      </c>
      <c r="B12523" s="28" t="s">
        <v>19918</v>
      </c>
      <c r="C12523" s="27" t="s">
        <v>22503</v>
      </c>
      <c r="D12523" s="27" t="s">
        <v>17578</v>
      </c>
      <c r="E12523" s="29">
        <v>39782</v>
      </c>
      <c r="F12523" s="27">
        <v>5</v>
      </c>
      <c r="G12523" s="18">
        <v>9604</v>
      </c>
      <c r="H12523" s="27">
        <f t="shared" si="390"/>
        <v>9604</v>
      </c>
      <c r="I12523" s="18">
        <v>9123.7999999999993</v>
      </c>
      <c r="J12523" s="27">
        <v>9604</v>
      </c>
      <c r="K12523" s="18">
        <f t="shared" si="391"/>
        <v>9604</v>
      </c>
      <c r="L12523" s="27">
        <v>9123.7999999999993</v>
      </c>
      <c r="M12523" s="36">
        <v>0</v>
      </c>
      <c r="T12523" s="41">
        <v>0</v>
      </c>
      <c r="U12523" s="41">
        <v>0</v>
      </c>
      <c r="V12523" s="42" t="s">
        <v>113</v>
      </c>
      <c r="W12523" s="42">
        <v>9604</v>
      </c>
      <c r="X12523" s="42">
        <v>9604</v>
      </c>
    </row>
    <row r="12524" spans="1:24">
      <c r="A12524" s="27" t="s">
        <v>22506</v>
      </c>
      <c r="B12524" s="28" t="s">
        <v>19918</v>
      </c>
      <c r="C12524" s="27" t="s">
        <v>22503</v>
      </c>
      <c r="D12524" s="27" t="s">
        <v>17578</v>
      </c>
      <c r="E12524" s="29">
        <v>39782</v>
      </c>
      <c r="F12524" s="27">
        <v>5</v>
      </c>
      <c r="G12524" s="18">
        <v>3201.34</v>
      </c>
      <c r="H12524" s="27">
        <f t="shared" si="390"/>
        <v>3201.34</v>
      </c>
      <c r="I12524" s="18">
        <v>3201.34</v>
      </c>
      <c r="J12524" s="27">
        <v>3201.34</v>
      </c>
      <c r="K12524" s="18">
        <f t="shared" si="391"/>
        <v>3201.34</v>
      </c>
      <c r="L12524" s="27">
        <v>3201.34</v>
      </c>
      <c r="M12524" s="36">
        <v>0</v>
      </c>
      <c r="T12524" s="41">
        <v>0</v>
      </c>
      <c r="U12524" s="41">
        <v>0</v>
      </c>
      <c r="V12524" s="42" t="s">
        <v>113</v>
      </c>
      <c r="W12524" s="42">
        <v>3201.34</v>
      </c>
      <c r="X12524" s="42">
        <v>3201.34</v>
      </c>
    </row>
    <row r="12525" spans="1:24">
      <c r="A12525" s="27" t="s">
        <v>22507</v>
      </c>
      <c r="B12525" s="28" t="s">
        <v>19918</v>
      </c>
      <c r="C12525" s="27" t="s">
        <v>22503</v>
      </c>
      <c r="D12525" s="27" t="s">
        <v>17578</v>
      </c>
      <c r="E12525" s="29">
        <v>39782</v>
      </c>
      <c r="F12525" s="27">
        <v>5</v>
      </c>
      <c r="G12525" s="18">
        <v>3201.34</v>
      </c>
      <c r="H12525" s="27">
        <f t="shared" si="390"/>
        <v>3201.34</v>
      </c>
      <c r="I12525" s="18">
        <v>3201.34</v>
      </c>
      <c r="J12525" s="27">
        <v>3201.34</v>
      </c>
      <c r="K12525" s="18">
        <f t="shared" si="391"/>
        <v>3201.34</v>
      </c>
      <c r="L12525" s="27">
        <v>3201.34</v>
      </c>
      <c r="M12525" s="36">
        <v>0</v>
      </c>
      <c r="T12525" s="41">
        <v>0</v>
      </c>
      <c r="U12525" s="41">
        <v>0</v>
      </c>
      <c r="V12525" s="42" t="s">
        <v>113</v>
      </c>
      <c r="W12525" s="42">
        <v>3201.34</v>
      </c>
      <c r="X12525" s="42">
        <v>3201.34</v>
      </c>
    </row>
    <row r="12526" spans="1:24">
      <c r="A12526" s="27" t="s">
        <v>22508</v>
      </c>
      <c r="B12526" s="28" t="s">
        <v>19918</v>
      </c>
      <c r="C12526" s="27" t="s">
        <v>22503</v>
      </c>
      <c r="D12526" s="27" t="s">
        <v>17578</v>
      </c>
      <c r="E12526" s="29">
        <v>39782</v>
      </c>
      <c r="F12526" s="27">
        <v>5</v>
      </c>
      <c r="G12526" s="18">
        <v>3201.34</v>
      </c>
      <c r="H12526" s="27">
        <f t="shared" si="390"/>
        <v>3201.34</v>
      </c>
      <c r="I12526" s="18">
        <v>3201.34</v>
      </c>
      <c r="J12526" s="27">
        <v>3201.34</v>
      </c>
      <c r="K12526" s="18">
        <f t="shared" si="391"/>
        <v>3201.34</v>
      </c>
      <c r="L12526" s="27">
        <v>3201.34</v>
      </c>
      <c r="M12526" s="36">
        <v>0</v>
      </c>
      <c r="T12526" s="41">
        <v>0</v>
      </c>
      <c r="U12526" s="41">
        <v>0</v>
      </c>
      <c r="V12526" s="42" t="s">
        <v>113</v>
      </c>
      <c r="W12526" s="42">
        <v>3201.34</v>
      </c>
      <c r="X12526" s="42">
        <v>3201.34</v>
      </c>
    </row>
    <row r="12527" spans="1:24">
      <c r="A12527" s="27" t="s">
        <v>22509</v>
      </c>
      <c r="B12527" s="28" t="s">
        <v>19918</v>
      </c>
      <c r="C12527" s="27" t="s">
        <v>22503</v>
      </c>
      <c r="D12527" s="27" t="s">
        <v>17578</v>
      </c>
      <c r="E12527" s="29">
        <v>39782</v>
      </c>
      <c r="F12527" s="27">
        <v>5</v>
      </c>
      <c r="G12527" s="18">
        <v>3201.34</v>
      </c>
      <c r="H12527" s="27">
        <f t="shared" si="390"/>
        <v>3201.34</v>
      </c>
      <c r="I12527" s="18">
        <v>3201.34</v>
      </c>
      <c r="J12527" s="27">
        <v>3201.34</v>
      </c>
      <c r="K12527" s="18">
        <f t="shared" si="391"/>
        <v>3201.34</v>
      </c>
      <c r="L12527" s="27">
        <v>3201.34</v>
      </c>
      <c r="M12527" s="36">
        <v>0</v>
      </c>
      <c r="T12527" s="41">
        <v>0</v>
      </c>
      <c r="U12527" s="41">
        <v>0</v>
      </c>
      <c r="V12527" s="42" t="s">
        <v>113</v>
      </c>
      <c r="W12527" s="42">
        <v>3201.34</v>
      </c>
      <c r="X12527" s="42">
        <v>3201.34</v>
      </c>
    </row>
    <row r="12528" spans="1:24">
      <c r="A12528" s="27" t="s">
        <v>22510</v>
      </c>
      <c r="B12528" s="28" t="s">
        <v>19918</v>
      </c>
      <c r="C12528" s="27" t="s">
        <v>22486</v>
      </c>
      <c r="D12528" s="27" t="s">
        <v>17578</v>
      </c>
      <c r="E12528" s="29">
        <v>39782</v>
      </c>
      <c r="F12528" s="27">
        <v>5</v>
      </c>
      <c r="G12528" s="18">
        <v>4802</v>
      </c>
      <c r="H12528" s="27">
        <f t="shared" si="390"/>
        <v>4802</v>
      </c>
      <c r="I12528" s="18">
        <v>4802</v>
      </c>
      <c r="J12528" s="27">
        <v>4802</v>
      </c>
      <c r="K12528" s="18">
        <f t="shared" si="391"/>
        <v>4802</v>
      </c>
      <c r="L12528" s="27">
        <v>4802</v>
      </c>
      <c r="M12528" s="36">
        <v>0</v>
      </c>
      <c r="T12528" s="41">
        <v>0</v>
      </c>
      <c r="U12528" s="41">
        <v>0</v>
      </c>
      <c r="V12528" s="42" t="s">
        <v>113</v>
      </c>
      <c r="W12528" s="42">
        <v>4802</v>
      </c>
      <c r="X12528" s="42">
        <v>4802</v>
      </c>
    </row>
    <row r="12529" spans="1:24">
      <c r="A12529" s="27" t="s">
        <v>22511</v>
      </c>
      <c r="B12529" s="28" t="s">
        <v>19918</v>
      </c>
      <c r="C12529" s="27" t="s">
        <v>22503</v>
      </c>
      <c r="D12529" s="27" t="s">
        <v>17578</v>
      </c>
      <c r="E12529" s="29">
        <v>39782</v>
      </c>
      <c r="F12529" s="27">
        <v>5</v>
      </c>
      <c r="G12529" s="18">
        <v>3841.6</v>
      </c>
      <c r="H12529" s="27">
        <f t="shared" si="390"/>
        <v>3841.6</v>
      </c>
      <c r="I12529" s="18">
        <v>3841.6</v>
      </c>
      <c r="J12529" s="27">
        <v>3841.6</v>
      </c>
      <c r="K12529" s="18">
        <f t="shared" si="391"/>
        <v>3841.6</v>
      </c>
      <c r="L12529" s="27">
        <v>3841.6</v>
      </c>
      <c r="M12529" s="36">
        <v>0</v>
      </c>
      <c r="T12529" s="41">
        <v>0</v>
      </c>
      <c r="U12529" s="41">
        <v>0</v>
      </c>
      <c r="V12529" s="42" t="s">
        <v>113</v>
      </c>
      <c r="W12529" s="42">
        <v>3841.6</v>
      </c>
      <c r="X12529" s="42">
        <v>3841.6</v>
      </c>
    </row>
    <row r="12530" spans="1:24">
      <c r="A12530" s="27" t="s">
        <v>22512</v>
      </c>
      <c r="B12530" s="28" t="s">
        <v>19918</v>
      </c>
      <c r="C12530" s="27" t="s">
        <v>22503</v>
      </c>
      <c r="D12530" s="27" t="s">
        <v>17578</v>
      </c>
      <c r="E12530" s="29">
        <v>39782</v>
      </c>
      <c r="F12530" s="27">
        <v>5</v>
      </c>
      <c r="G12530" s="18">
        <v>3841.6</v>
      </c>
      <c r="H12530" s="27">
        <f t="shared" si="390"/>
        <v>3841.6</v>
      </c>
      <c r="I12530" s="18">
        <v>3841.6</v>
      </c>
      <c r="J12530" s="27">
        <v>3841.6</v>
      </c>
      <c r="K12530" s="18">
        <f t="shared" si="391"/>
        <v>3841.6</v>
      </c>
      <c r="L12530" s="27">
        <v>3841.6</v>
      </c>
      <c r="M12530" s="36">
        <v>0</v>
      </c>
      <c r="T12530" s="41">
        <v>0</v>
      </c>
      <c r="U12530" s="41">
        <v>0</v>
      </c>
      <c r="V12530" s="42" t="s">
        <v>113</v>
      </c>
      <c r="W12530" s="42">
        <v>3841.6</v>
      </c>
      <c r="X12530" s="42">
        <v>3841.6</v>
      </c>
    </row>
    <row r="12531" spans="1:24">
      <c r="A12531" s="27" t="s">
        <v>22513</v>
      </c>
      <c r="B12531" s="28" t="s">
        <v>19918</v>
      </c>
      <c r="C12531" s="27" t="s">
        <v>22503</v>
      </c>
      <c r="D12531" s="27" t="s">
        <v>17578</v>
      </c>
      <c r="E12531" s="29">
        <v>39782</v>
      </c>
      <c r="F12531" s="27">
        <v>5</v>
      </c>
      <c r="G12531" s="18">
        <v>3841.6</v>
      </c>
      <c r="H12531" s="27">
        <f t="shared" si="390"/>
        <v>3841.6</v>
      </c>
      <c r="I12531" s="18">
        <v>3841.6</v>
      </c>
      <c r="J12531" s="27">
        <v>3841.6</v>
      </c>
      <c r="K12531" s="18">
        <f t="shared" si="391"/>
        <v>3841.6</v>
      </c>
      <c r="L12531" s="27">
        <v>3841.6</v>
      </c>
      <c r="M12531" s="36">
        <v>0</v>
      </c>
      <c r="T12531" s="41">
        <v>0</v>
      </c>
      <c r="U12531" s="41">
        <v>0</v>
      </c>
      <c r="V12531" s="42" t="s">
        <v>113</v>
      </c>
      <c r="W12531" s="42">
        <v>3841.6</v>
      </c>
      <c r="X12531" s="42">
        <v>3841.6</v>
      </c>
    </row>
    <row r="12532" spans="1:24">
      <c r="A12532" s="27" t="s">
        <v>22514</v>
      </c>
      <c r="B12532" s="28" t="s">
        <v>19918</v>
      </c>
      <c r="C12532" s="27" t="s">
        <v>22503</v>
      </c>
      <c r="D12532" s="27" t="s">
        <v>17578</v>
      </c>
      <c r="E12532" s="29">
        <v>39782</v>
      </c>
      <c r="F12532" s="27">
        <v>5</v>
      </c>
      <c r="G12532" s="18">
        <v>3841.6</v>
      </c>
      <c r="H12532" s="27">
        <f t="shared" si="390"/>
        <v>3841.6</v>
      </c>
      <c r="I12532" s="18">
        <v>3841.6</v>
      </c>
      <c r="J12532" s="27">
        <v>3841.6</v>
      </c>
      <c r="K12532" s="18">
        <f t="shared" si="391"/>
        <v>3841.6</v>
      </c>
      <c r="L12532" s="27">
        <v>3841.6</v>
      </c>
      <c r="M12532" s="36">
        <v>0</v>
      </c>
      <c r="T12532" s="41">
        <v>0</v>
      </c>
      <c r="U12532" s="41">
        <v>0</v>
      </c>
      <c r="V12532" s="42" t="s">
        <v>113</v>
      </c>
      <c r="W12532" s="42">
        <v>3841.6</v>
      </c>
      <c r="X12532" s="42">
        <v>3841.6</v>
      </c>
    </row>
    <row r="12533" spans="1:24">
      <c r="A12533" s="27" t="s">
        <v>22515</v>
      </c>
      <c r="B12533" s="28" t="s">
        <v>19918</v>
      </c>
      <c r="C12533" s="27" t="s">
        <v>22503</v>
      </c>
      <c r="D12533" s="27" t="s">
        <v>17578</v>
      </c>
      <c r="E12533" s="29">
        <v>39782</v>
      </c>
      <c r="F12533" s="27">
        <v>5</v>
      </c>
      <c r="G12533" s="18">
        <v>3841.6</v>
      </c>
      <c r="H12533" s="27">
        <f t="shared" si="390"/>
        <v>3841.6</v>
      </c>
      <c r="I12533" s="18">
        <v>3841.6</v>
      </c>
      <c r="J12533" s="27">
        <v>3841.6</v>
      </c>
      <c r="K12533" s="18">
        <f t="shared" si="391"/>
        <v>3841.6</v>
      </c>
      <c r="L12533" s="27">
        <v>3841.6</v>
      </c>
      <c r="M12533" s="36">
        <v>0</v>
      </c>
      <c r="T12533" s="41">
        <v>0</v>
      </c>
      <c r="U12533" s="41">
        <v>0</v>
      </c>
      <c r="V12533" s="42" t="s">
        <v>113</v>
      </c>
      <c r="W12533" s="42">
        <v>3841.6</v>
      </c>
      <c r="X12533" s="42">
        <v>3841.6</v>
      </c>
    </row>
    <row r="12534" spans="1:24">
      <c r="A12534" s="27" t="s">
        <v>22516</v>
      </c>
      <c r="B12534" s="28" t="s">
        <v>19918</v>
      </c>
      <c r="C12534" s="27" t="s">
        <v>22517</v>
      </c>
      <c r="D12534" s="27" t="s">
        <v>17578</v>
      </c>
      <c r="E12534" s="29">
        <v>39813</v>
      </c>
      <c r="F12534" s="27">
        <v>5</v>
      </c>
      <c r="G12534" s="18">
        <v>6250</v>
      </c>
      <c r="H12534" s="27">
        <f t="shared" si="390"/>
        <v>6250</v>
      </c>
      <c r="I12534" s="18">
        <v>5937.5</v>
      </c>
      <c r="J12534" s="27">
        <v>6250</v>
      </c>
      <c r="K12534" s="18">
        <f t="shared" si="391"/>
        <v>6250</v>
      </c>
      <c r="L12534" s="27">
        <v>5937.5</v>
      </c>
      <c r="M12534" s="36">
        <v>0</v>
      </c>
      <c r="T12534" s="41">
        <v>0</v>
      </c>
      <c r="U12534" s="41">
        <v>0</v>
      </c>
      <c r="V12534" s="42" t="s">
        <v>113</v>
      </c>
      <c r="W12534" s="42">
        <v>6250</v>
      </c>
      <c r="X12534" s="42">
        <v>6250</v>
      </c>
    </row>
    <row r="12535" spans="1:24">
      <c r="A12535" s="27" t="s">
        <v>22518</v>
      </c>
      <c r="B12535" s="28" t="s">
        <v>19918</v>
      </c>
      <c r="C12535" s="27" t="s">
        <v>22519</v>
      </c>
      <c r="D12535" s="27" t="s">
        <v>17578</v>
      </c>
      <c r="E12535" s="29">
        <v>39813</v>
      </c>
      <c r="F12535" s="27">
        <v>5</v>
      </c>
      <c r="G12535" s="18">
        <v>9100</v>
      </c>
      <c r="H12535" s="27">
        <f t="shared" si="390"/>
        <v>9100</v>
      </c>
      <c r="I12535" s="18">
        <v>8645</v>
      </c>
      <c r="J12535" s="27">
        <v>9100</v>
      </c>
      <c r="K12535" s="18">
        <f t="shared" si="391"/>
        <v>9100</v>
      </c>
      <c r="L12535" s="27">
        <v>8645</v>
      </c>
      <c r="M12535" s="36">
        <v>0</v>
      </c>
      <c r="T12535" s="41">
        <v>0</v>
      </c>
      <c r="U12535" s="41">
        <v>0</v>
      </c>
      <c r="V12535" s="42" t="s">
        <v>113</v>
      </c>
      <c r="W12535" s="42">
        <v>9100</v>
      </c>
      <c r="X12535" s="42">
        <v>9100</v>
      </c>
    </row>
    <row r="12536" spans="1:24">
      <c r="A12536" s="27" t="s">
        <v>22520</v>
      </c>
      <c r="B12536" s="28" t="s">
        <v>19918</v>
      </c>
      <c r="C12536" s="27" t="s">
        <v>22521</v>
      </c>
      <c r="D12536" s="27" t="s">
        <v>17578</v>
      </c>
      <c r="E12536" s="29">
        <v>39813</v>
      </c>
      <c r="F12536" s="27">
        <v>5</v>
      </c>
      <c r="G12536" s="18">
        <v>24900</v>
      </c>
      <c r="H12536" s="27">
        <f t="shared" si="390"/>
        <v>24900</v>
      </c>
      <c r="I12536" s="18">
        <v>23655</v>
      </c>
      <c r="J12536" s="27">
        <v>24900</v>
      </c>
      <c r="K12536" s="18">
        <f t="shared" si="391"/>
        <v>24900</v>
      </c>
      <c r="L12536" s="27">
        <v>23655</v>
      </c>
      <c r="M12536" s="36">
        <v>0</v>
      </c>
      <c r="T12536" s="41">
        <v>0</v>
      </c>
      <c r="U12536" s="41">
        <v>0</v>
      </c>
      <c r="V12536" s="42" t="s">
        <v>113</v>
      </c>
      <c r="W12536" s="42">
        <v>24900</v>
      </c>
      <c r="X12536" s="42">
        <v>24900</v>
      </c>
    </row>
    <row r="12537" spans="1:24">
      <c r="A12537" s="27" t="s">
        <v>22522</v>
      </c>
      <c r="B12537" s="28" t="s">
        <v>19918</v>
      </c>
      <c r="C12537" s="27" t="s">
        <v>22523</v>
      </c>
      <c r="D12537" s="27" t="s">
        <v>17578</v>
      </c>
      <c r="E12537" s="29">
        <v>39933</v>
      </c>
      <c r="F12537" s="27">
        <v>5</v>
      </c>
      <c r="G12537" s="18">
        <v>14400</v>
      </c>
      <c r="H12537" s="27">
        <f t="shared" si="390"/>
        <v>14400</v>
      </c>
      <c r="I12537" s="18">
        <v>13680</v>
      </c>
      <c r="J12537" s="27">
        <v>14400</v>
      </c>
      <c r="K12537" s="18">
        <f t="shared" si="391"/>
        <v>14400</v>
      </c>
      <c r="L12537" s="27">
        <v>13680</v>
      </c>
      <c r="M12537" s="36">
        <v>0</v>
      </c>
      <c r="T12537" s="41">
        <v>0</v>
      </c>
      <c r="U12537" s="41">
        <v>0</v>
      </c>
      <c r="V12537" s="42" t="s">
        <v>113</v>
      </c>
      <c r="W12537" s="42">
        <v>14400</v>
      </c>
      <c r="X12537" s="42">
        <v>14400</v>
      </c>
    </row>
    <row r="12538" spans="1:24">
      <c r="A12538" s="27" t="s">
        <v>22524</v>
      </c>
      <c r="B12538" s="28" t="s">
        <v>19918</v>
      </c>
      <c r="C12538" s="27" t="s">
        <v>22486</v>
      </c>
      <c r="D12538" s="27" t="s">
        <v>17578</v>
      </c>
      <c r="E12538" s="29">
        <v>39963</v>
      </c>
      <c r="F12538" s="27">
        <v>5</v>
      </c>
      <c r="G12538" s="18">
        <v>4900</v>
      </c>
      <c r="H12538" s="27">
        <f t="shared" si="390"/>
        <v>4900</v>
      </c>
      <c r="I12538" s="18">
        <v>4900</v>
      </c>
      <c r="J12538" s="27">
        <v>4900</v>
      </c>
      <c r="K12538" s="18">
        <f t="shared" si="391"/>
        <v>4900</v>
      </c>
      <c r="L12538" s="27">
        <v>4900</v>
      </c>
      <c r="M12538" s="36">
        <v>0</v>
      </c>
      <c r="T12538" s="41">
        <v>0</v>
      </c>
      <c r="U12538" s="41">
        <v>0</v>
      </c>
      <c r="V12538" s="42" t="s">
        <v>113</v>
      </c>
      <c r="W12538" s="42">
        <v>4900</v>
      </c>
      <c r="X12538" s="42">
        <v>4900</v>
      </c>
    </row>
    <row r="12539" spans="1:24">
      <c r="A12539" s="27" t="s">
        <v>22525</v>
      </c>
      <c r="B12539" s="28" t="s">
        <v>19918</v>
      </c>
      <c r="C12539" s="27" t="s">
        <v>22486</v>
      </c>
      <c r="D12539" s="27" t="s">
        <v>17578</v>
      </c>
      <c r="E12539" s="29">
        <v>39963</v>
      </c>
      <c r="F12539" s="27">
        <v>5</v>
      </c>
      <c r="G12539" s="18">
        <v>4900</v>
      </c>
      <c r="H12539" s="27">
        <f t="shared" si="390"/>
        <v>4900</v>
      </c>
      <c r="I12539" s="18">
        <v>4900</v>
      </c>
      <c r="J12539" s="27">
        <v>4900</v>
      </c>
      <c r="K12539" s="18">
        <f t="shared" si="391"/>
        <v>4900</v>
      </c>
      <c r="L12539" s="27">
        <v>4900</v>
      </c>
      <c r="M12539" s="36">
        <v>0</v>
      </c>
      <c r="T12539" s="41">
        <v>0</v>
      </c>
      <c r="U12539" s="41">
        <v>0</v>
      </c>
      <c r="V12539" s="42" t="s">
        <v>113</v>
      </c>
      <c r="W12539" s="42">
        <v>4900</v>
      </c>
      <c r="X12539" s="42">
        <v>4900</v>
      </c>
    </row>
    <row r="12540" spans="1:24">
      <c r="A12540" s="27" t="s">
        <v>22526</v>
      </c>
      <c r="B12540" s="28" t="s">
        <v>19918</v>
      </c>
      <c r="C12540" s="27" t="s">
        <v>22527</v>
      </c>
      <c r="D12540" s="27" t="s">
        <v>17578</v>
      </c>
      <c r="E12540" s="29">
        <v>39963</v>
      </c>
      <c r="F12540" s="27">
        <v>5</v>
      </c>
      <c r="G12540" s="18">
        <v>4900</v>
      </c>
      <c r="H12540" s="27">
        <f t="shared" si="390"/>
        <v>4900</v>
      </c>
      <c r="I12540" s="18">
        <v>4900</v>
      </c>
      <c r="J12540" s="27">
        <v>4900</v>
      </c>
      <c r="K12540" s="18">
        <f t="shared" si="391"/>
        <v>4900</v>
      </c>
      <c r="L12540" s="27">
        <v>4900</v>
      </c>
      <c r="M12540" s="36">
        <v>0</v>
      </c>
      <c r="T12540" s="41">
        <v>0</v>
      </c>
      <c r="U12540" s="41">
        <v>0</v>
      </c>
      <c r="V12540" s="42" t="s">
        <v>113</v>
      </c>
      <c r="W12540" s="42">
        <v>4900</v>
      </c>
      <c r="X12540" s="42">
        <v>4900</v>
      </c>
    </row>
    <row r="12541" spans="1:24">
      <c r="A12541" s="27" t="s">
        <v>22528</v>
      </c>
      <c r="B12541" s="28" t="s">
        <v>19918</v>
      </c>
      <c r="C12541" s="27" t="s">
        <v>22486</v>
      </c>
      <c r="D12541" s="27" t="s">
        <v>17578</v>
      </c>
      <c r="E12541" s="29">
        <v>39963</v>
      </c>
      <c r="F12541" s="27">
        <v>5</v>
      </c>
      <c r="G12541" s="18">
        <v>4900</v>
      </c>
      <c r="H12541" s="27">
        <f t="shared" si="390"/>
        <v>4900</v>
      </c>
      <c r="I12541" s="18">
        <v>4900</v>
      </c>
      <c r="J12541" s="27">
        <v>4900</v>
      </c>
      <c r="K12541" s="18">
        <f t="shared" si="391"/>
        <v>4900</v>
      </c>
      <c r="L12541" s="27">
        <v>4900</v>
      </c>
      <c r="M12541" s="36">
        <v>0</v>
      </c>
      <c r="T12541" s="41">
        <v>0</v>
      </c>
      <c r="U12541" s="41">
        <v>0</v>
      </c>
      <c r="V12541" s="42" t="s">
        <v>113</v>
      </c>
      <c r="W12541" s="42">
        <v>4900</v>
      </c>
      <c r="X12541" s="42">
        <v>4900</v>
      </c>
    </row>
    <row r="12542" spans="1:24">
      <c r="A12542" s="27" t="s">
        <v>22529</v>
      </c>
      <c r="B12542" s="28" t="s">
        <v>19918</v>
      </c>
      <c r="C12542" s="27" t="s">
        <v>22527</v>
      </c>
      <c r="D12542" s="27" t="s">
        <v>17578</v>
      </c>
      <c r="E12542" s="29">
        <v>39963</v>
      </c>
      <c r="F12542" s="27">
        <v>5</v>
      </c>
      <c r="G12542" s="18">
        <v>24500</v>
      </c>
      <c r="H12542" s="27">
        <f t="shared" si="390"/>
        <v>24500</v>
      </c>
      <c r="I12542" s="18">
        <v>23275</v>
      </c>
      <c r="J12542" s="27">
        <v>24500</v>
      </c>
      <c r="K12542" s="18">
        <f t="shared" si="391"/>
        <v>24500</v>
      </c>
      <c r="L12542" s="27">
        <v>23275</v>
      </c>
      <c r="M12542" s="36">
        <v>0</v>
      </c>
      <c r="T12542" s="41">
        <v>0</v>
      </c>
      <c r="U12542" s="41">
        <v>0</v>
      </c>
      <c r="V12542" s="42" t="s">
        <v>113</v>
      </c>
      <c r="W12542" s="42">
        <v>24500</v>
      </c>
      <c r="X12542" s="42">
        <v>24500</v>
      </c>
    </row>
    <row r="12543" spans="1:24">
      <c r="A12543" s="27" t="s">
        <v>22530</v>
      </c>
      <c r="B12543" s="28" t="s">
        <v>19918</v>
      </c>
      <c r="C12543" s="27" t="s">
        <v>22531</v>
      </c>
      <c r="D12543" s="27" t="s">
        <v>17578</v>
      </c>
      <c r="E12543" s="29">
        <v>40086</v>
      </c>
      <c r="F12543" s="27">
        <v>5</v>
      </c>
      <c r="G12543" s="18">
        <v>4850</v>
      </c>
      <c r="H12543" s="27">
        <f t="shared" si="390"/>
        <v>4850</v>
      </c>
      <c r="I12543" s="18">
        <v>4850</v>
      </c>
      <c r="J12543" s="27">
        <v>4850</v>
      </c>
      <c r="K12543" s="18">
        <f t="shared" si="391"/>
        <v>4850</v>
      </c>
      <c r="L12543" s="27">
        <v>4850</v>
      </c>
      <c r="M12543" s="36">
        <v>0</v>
      </c>
      <c r="T12543" s="41">
        <v>0</v>
      </c>
      <c r="U12543" s="41">
        <v>0</v>
      </c>
      <c r="V12543" s="42" t="s">
        <v>113</v>
      </c>
      <c r="W12543" s="42">
        <v>4850</v>
      </c>
      <c r="X12543" s="42">
        <v>4850</v>
      </c>
    </row>
    <row r="12544" spans="1:24">
      <c r="A12544" s="27" t="s">
        <v>22532</v>
      </c>
      <c r="B12544" s="28" t="s">
        <v>19918</v>
      </c>
      <c r="C12544" s="27" t="s">
        <v>22533</v>
      </c>
      <c r="D12544" s="27" t="s">
        <v>17578</v>
      </c>
      <c r="E12544" s="29">
        <v>40086</v>
      </c>
      <c r="F12544" s="27">
        <v>5</v>
      </c>
      <c r="G12544" s="18">
        <v>8700</v>
      </c>
      <c r="H12544" s="27">
        <f t="shared" si="390"/>
        <v>8700</v>
      </c>
      <c r="I12544" s="18">
        <v>8265</v>
      </c>
      <c r="J12544" s="27">
        <v>8700</v>
      </c>
      <c r="K12544" s="18">
        <f t="shared" si="391"/>
        <v>8700</v>
      </c>
      <c r="L12544" s="27">
        <v>8265</v>
      </c>
      <c r="M12544" s="36">
        <v>0</v>
      </c>
      <c r="T12544" s="41">
        <v>0</v>
      </c>
      <c r="U12544" s="41">
        <v>0</v>
      </c>
      <c r="V12544" s="42" t="s">
        <v>113</v>
      </c>
      <c r="W12544" s="42">
        <v>8700</v>
      </c>
      <c r="X12544" s="42">
        <v>8700</v>
      </c>
    </row>
    <row r="12545" spans="1:24">
      <c r="A12545" s="27" t="s">
        <v>22534</v>
      </c>
      <c r="B12545" s="28" t="s">
        <v>19918</v>
      </c>
      <c r="C12545" s="27" t="s">
        <v>22535</v>
      </c>
      <c r="D12545" s="27" t="s">
        <v>17578</v>
      </c>
      <c r="E12545" s="29">
        <v>40086</v>
      </c>
      <c r="F12545" s="27">
        <v>5</v>
      </c>
      <c r="G12545" s="18">
        <v>9700</v>
      </c>
      <c r="H12545" s="27">
        <f t="shared" si="390"/>
        <v>9700</v>
      </c>
      <c r="I12545" s="18">
        <v>9215</v>
      </c>
      <c r="J12545" s="27">
        <v>9700</v>
      </c>
      <c r="K12545" s="18">
        <f t="shared" si="391"/>
        <v>9700</v>
      </c>
      <c r="L12545" s="27">
        <v>9215</v>
      </c>
      <c r="M12545" s="36">
        <v>0</v>
      </c>
      <c r="T12545" s="41">
        <v>0</v>
      </c>
      <c r="U12545" s="41">
        <v>0</v>
      </c>
      <c r="V12545" s="42" t="s">
        <v>113</v>
      </c>
      <c r="W12545" s="42">
        <v>9700</v>
      </c>
      <c r="X12545" s="42">
        <v>9700</v>
      </c>
    </row>
    <row r="12546" spans="1:24">
      <c r="A12546" s="27" t="s">
        <v>22536</v>
      </c>
      <c r="B12546" s="28" t="s">
        <v>19918</v>
      </c>
      <c r="C12546" s="27" t="s">
        <v>22537</v>
      </c>
      <c r="D12546" s="27" t="s">
        <v>17578</v>
      </c>
      <c r="E12546" s="29">
        <v>40086</v>
      </c>
      <c r="F12546" s="27">
        <v>5</v>
      </c>
      <c r="G12546" s="18">
        <v>8800</v>
      </c>
      <c r="H12546" s="27">
        <f t="shared" si="390"/>
        <v>8800</v>
      </c>
      <c r="I12546" s="18">
        <v>8360</v>
      </c>
      <c r="J12546" s="27">
        <v>8800</v>
      </c>
      <c r="K12546" s="18">
        <f t="shared" si="391"/>
        <v>8800</v>
      </c>
      <c r="L12546" s="27">
        <v>8360</v>
      </c>
      <c r="M12546" s="36">
        <v>0</v>
      </c>
      <c r="T12546" s="41">
        <v>0</v>
      </c>
      <c r="U12546" s="41">
        <v>0</v>
      </c>
      <c r="V12546" s="42" t="s">
        <v>113</v>
      </c>
      <c r="W12546" s="42">
        <v>8800</v>
      </c>
      <c r="X12546" s="42">
        <v>8800</v>
      </c>
    </row>
    <row r="12547" spans="1:24">
      <c r="A12547" s="27" t="s">
        <v>22538</v>
      </c>
      <c r="B12547" s="28" t="s">
        <v>19918</v>
      </c>
      <c r="C12547" s="27" t="s">
        <v>22539</v>
      </c>
      <c r="D12547" s="27" t="s">
        <v>17578</v>
      </c>
      <c r="E12547" s="29">
        <v>40086</v>
      </c>
      <c r="F12547" s="27">
        <v>5</v>
      </c>
      <c r="G12547" s="18">
        <v>49000</v>
      </c>
      <c r="H12547" s="27">
        <f t="shared" si="390"/>
        <v>49000</v>
      </c>
      <c r="I12547" s="18">
        <v>46550</v>
      </c>
      <c r="J12547" s="27">
        <v>49000</v>
      </c>
      <c r="K12547" s="18">
        <f t="shared" si="391"/>
        <v>49000</v>
      </c>
      <c r="L12547" s="27">
        <v>46550</v>
      </c>
      <c r="M12547" s="36">
        <v>0</v>
      </c>
      <c r="T12547" s="41">
        <v>0</v>
      </c>
      <c r="U12547" s="41">
        <v>0</v>
      </c>
      <c r="V12547" s="42" t="s">
        <v>113</v>
      </c>
      <c r="W12547" s="42">
        <v>49000</v>
      </c>
      <c r="X12547" s="42">
        <v>49000</v>
      </c>
    </row>
    <row r="12548" spans="1:24">
      <c r="A12548" s="27" t="s">
        <v>22540</v>
      </c>
      <c r="B12548" s="28" t="s">
        <v>19918</v>
      </c>
      <c r="C12548" s="27" t="s">
        <v>22541</v>
      </c>
      <c r="D12548" s="27" t="s">
        <v>17578</v>
      </c>
      <c r="E12548" s="29">
        <v>40116</v>
      </c>
      <c r="F12548" s="27">
        <v>5</v>
      </c>
      <c r="G12548" s="18">
        <v>7500</v>
      </c>
      <c r="H12548" s="27">
        <f t="shared" si="390"/>
        <v>7500</v>
      </c>
      <c r="I12548" s="18">
        <v>7125</v>
      </c>
      <c r="J12548" s="27">
        <v>7500</v>
      </c>
      <c r="K12548" s="18">
        <f t="shared" si="391"/>
        <v>7500</v>
      </c>
      <c r="L12548" s="27">
        <v>7125</v>
      </c>
      <c r="M12548" s="36">
        <v>0</v>
      </c>
      <c r="T12548" s="41">
        <v>0</v>
      </c>
      <c r="U12548" s="41">
        <v>0</v>
      </c>
      <c r="V12548" s="42" t="s">
        <v>113</v>
      </c>
      <c r="W12548" s="42">
        <v>7500</v>
      </c>
      <c r="X12548" s="42">
        <v>7500</v>
      </c>
    </row>
    <row r="12549" spans="1:24">
      <c r="A12549" s="27" t="s">
        <v>22542</v>
      </c>
      <c r="B12549" s="28" t="s">
        <v>19918</v>
      </c>
      <c r="C12549" s="27" t="s">
        <v>22537</v>
      </c>
      <c r="D12549" s="27" t="s">
        <v>17578</v>
      </c>
      <c r="E12549" s="29">
        <v>40116</v>
      </c>
      <c r="F12549" s="27">
        <v>5</v>
      </c>
      <c r="G12549" s="18">
        <v>48720</v>
      </c>
      <c r="H12549" s="27">
        <f t="shared" si="390"/>
        <v>48720</v>
      </c>
      <c r="I12549" s="18">
        <v>46284</v>
      </c>
      <c r="J12549" s="27">
        <v>48720</v>
      </c>
      <c r="K12549" s="18">
        <f t="shared" si="391"/>
        <v>48720</v>
      </c>
      <c r="L12549" s="27">
        <v>46284</v>
      </c>
      <c r="M12549" s="36">
        <v>0</v>
      </c>
      <c r="T12549" s="41">
        <v>0</v>
      </c>
      <c r="U12549" s="41">
        <v>0</v>
      </c>
      <c r="V12549" s="42" t="s">
        <v>113</v>
      </c>
      <c r="W12549" s="42">
        <v>48720</v>
      </c>
      <c r="X12549" s="42">
        <v>48720</v>
      </c>
    </row>
    <row r="12550" spans="1:24">
      <c r="A12550" s="27" t="s">
        <v>22543</v>
      </c>
      <c r="B12550" s="28" t="s">
        <v>19918</v>
      </c>
      <c r="C12550" s="27" t="s">
        <v>22544</v>
      </c>
      <c r="D12550" s="27" t="s">
        <v>17578</v>
      </c>
      <c r="E12550" s="29">
        <v>40178</v>
      </c>
      <c r="F12550" s="27">
        <v>5</v>
      </c>
      <c r="G12550" s="18">
        <v>6410.26</v>
      </c>
      <c r="H12550" s="27">
        <f t="shared" ref="H12550:H12613" si="392">IFERROR(IF(ROUND((G12550-I12550)/G12550,2)&lt;=0.05,G12550,0),0)</f>
        <v>6410.26</v>
      </c>
      <c r="I12550" s="18">
        <v>6089.75</v>
      </c>
      <c r="J12550" s="27">
        <v>6410.26</v>
      </c>
      <c r="K12550" s="18">
        <f t="shared" ref="K12550:K12613" si="393">IFERROR(IF(ROUND((J12550-L12550)/J12550,2)&lt;=0.05,J12550,0),0)</f>
        <v>6410.26</v>
      </c>
      <c r="L12550" s="27">
        <v>6089.75</v>
      </c>
      <c r="M12550" s="36">
        <v>0</v>
      </c>
      <c r="T12550" s="41">
        <v>0</v>
      </c>
      <c r="U12550" s="41">
        <v>0</v>
      </c>
      <c r="V12550" s="42" t="s">
        <v>113</v>
      </c>
      <c r="W12550" s="42">
        <v>6410.26</v>
      </c>
      <c r="X12550" s="42">
        <v>6410.26</v>
      </c>
    </row>
    <row r="12551" spans="1:24">
      <c r="A12551" s="27" t="s">
        <v>22545</v>
      </c>
      <c r="B12551" s="28" t="s">
        <v>19918</v>
      </c>
      <c r="C12551" s="27" t="s">
        <v>22546</v>
      </c>
      <c r="D12551" s="27" t="s">
        <v>17578</v>
      </c>
      <c r="E12551" s="29">
        <v>40178</v>
      </c>
      <c r="F12551" s="27">
        <v>5</v>
      </c>
      <c r="G12551" s="18">
        <v>34110</v>
      </c>
      <c r="H12551" s="27">
        <f t="shared" si="392"/>
        <v>34110</v>
      </c>
      <c r="I12551" s="18">
        <v>32404.5</v>
      </c>
      <c r="J12551" s="27">
        <v>34110</v>
      </c>
      <c r="K12551" s="18">
        <f t="shared" si="393"/>
        <v>34110</v>
      </c>
      <c r="L12551" s="27">
        <v>32404.5</v>
      </c>
      <c r="M12551" s="36">
        <v>0</v>
      </c>
      <c r="T12551" s="41">
        <v>0</v>
      </c>
      <c r="U12551" s="41">
        <v>0</v>
      </c>
      <c r="V12551" s="42" t="s">
        <v>113</v>
      </c>
      <c r="W12551" s="42">
        <v>34110</v>
      </c>
      <c r="X12551" s="42">
        <v>34110</v>
      </c>
    </row>
    <row r="12552" spans="1:24">
      <c r="A12552" s="27" t="s">
        <v>22547</v>
      </c>
      <c r="B12552" s="28" t="s">
        <v>19918</v>
      </c>
      <c r="C12552" s="27" t="s">
        <v>22548</v>
      </c>
      <c r="D12552" s="27" t="s">
        <v>17578</v>
      </c>
      <c r="E12552" s="29">
        <v>40178</v>
      </c>
      <c r="F12552" s="27">
        <v>5</v>
      </c>
      <c r="G12552" s="18">
        <v>113700</v>
      </c>
      <c r="H12552" s="27">
        <f t="shared" si="392"/>
        <v>113700</v>
      </c>
      <c r="I12552" s="18">
        <v>108015</v>
      </c>
      <c r="J12552" s="27">
        <v>113700</v>
      </c>
      <c r="K12552" s="18">
        <f t="shared" si="393"/>
        <v>113700</v>
      </c>
      <c r="L12552" s="27">
        <v>108015</v>
      </c>
      <c r="M12552" s="36">
        <v>0</v>
      </c>
      <c r="T12552" s="41">
        <v>0</v>
      </c>
      <c r="U12552" s="41">
        <v>0</v>
      </c>
      <c r="V12552" s="42" t="s">
        <v>113</v>
      </c>
      <c r="W12552" s="42">
        <v>113700</v>
      </c>
      <c r="X12552" s="42">
        <v>113700</v>
      </c>
    </row>
    <row r="12553" spans="1:24">
      <c r="A12553" s="27" t="s">
        <v>22549</v>
      </c>
      <c r="B12553" s="28" t="s">
        <v>19918</v>
      </c>
      <c r="C12553" s="27" t="s">
        <v>22550</v>
      </c>
      <c r="D12553" s="27" t="s">
        <v>17578</v>
      </c>
      <c r="E12553" s="29">
        <v>41057</v>
      </c>
      <c r="F12553" s="27">
        <v>5</v>
      </c>
      <c r="G12553" s="18">
        <v>12617.95</v>
      </c>
      <c r="H12553" s="27">
        <f t="shared" si="392"/>
        <v>12617.95</v>
      </c>
      <c r="I12553" s="18">
        <v>11987.05</v>
      </c>
      <c r="J12553" s="27">
        <v>12617.95</v>
      </c>
      <c r="K12553" s="18">
        <f t="shared" si="393"/>
        <v>12617.95</v>
      </c>
      <c r="L12553" s="27">
        <v>11987.05</v>
      </c>
      <c r="M12553" s="36">
        <v>0</v>
      </c>
      <c r="T12553" s="41">
        <v>0</v>
      </c>
      <c r="U12553" s="41">
        <v>0</v>
      </c>
      <c r="V12553" s="42" t="s">
        <v>113</v>
      </c>
      <c r="W12553" s="42">
        <v>12617.95</v>
      </c>
      <c r="X12553" s="42">
        <v>12617.95</v>
      </c>
    </row>
    <row r="12554" spans="1:24">
      <c r="A12554" s="27" t="s">
        <v>22551</v>
      </c>
      <c r="B12554" s="28" t="s">
        <v>19918</v>
      </c>
      <c r="C12554" s="27" t="s">
        <v>22552</v>
      </c>
      <c r="D12554" s="27" t="s">
        <v>17578</v>
      </c>
      <c r="E12554" s="29">
        <v>41057</v>
      </c>
      <c r="F12554" s="27">
        <v>5</v>
      </c>
      <c r="G12554" s="18">
        <v>4256.41</v>
      </c>
      <c r="H12554" s="27">
        <f t="shared" si="392"/>
        <v>4256.41</v>
      </c>
      <c r="I12554" s="18">
        <v>4256.41</v>
      </c>
      <c r="J12554" s="27">
        <v>4256.41</v>
      </c>
      <c r="K12554" s="18">
        <f t="shared" si="393"/>
        <v>4256.41</v>
      </c>
      <c r="L12554" s="27">
        <v>4256.41</v>
      </c>
      <c r="M12554" s="36">
        <v>0</v>
      </c>
      <c r="T12554" s="41">
        <v>0</v>
      </c>
      <c r="U12554" s="41">
        <v>0</v>
      </c>
      <c r="V12554" s="42" t="s">
        <v>113</v>
      </c>
      <c r="W12554" s="42">
        <v>4256.41</v>
      </c>
      <c r="X12554" s="42">
        <v>4256.41</v>
      </c>
    </row>
    <row r="12555" spans="1:24">
      <c r="A12555" s="27" t="s">
        <v>22553</v>
      </c>
      <c r="B12555" s="28" t="s">
        <v>19918</v>
      </c>
      <c r="C12555" s="27" t="s">
        <v>22552</v>
      </c>
      <c r="D12555" s="27" t="s">
        <v>17578</v>
      </c>
      <c r="E12555" s="29">
        <v>41057</v>
      </c>
      <c r="F12555" s="27">
        <v>5</v>
      </c>
      <c r="G12555" s="18">
        <v>4256.41</v>
      </c>
      <c r="H12555" s="27">
        <f t="shared" si="392"/>
        <v>4256.41</v>
      </c>
      <c r="I12555" s="18">
        <v>4256.41</v>
      </c>
      <c r="J12555" s="27">
        <v>4256.41</v>
      </c>
      <c r="K12555" s="18">
        <f t="shared" si="393"/>
        <v>4256.41</v>
      </c>
      <c r="L12555" s="27">
        <v>4256.41</v>
      </c>
      <c r="M12555" s="36">
        <v>0</v>
      </c>
      <c r="T12555" s="41">
        <v>0</v>
      </c>
      <c r="U12555" s="41">
        <v>0</v>
      </c>
      <c r="V12555" s="42" t="s">
        <v>113</v>
      </c>
      <c r="W12555" s="42">
        <v>4256.41</v>
      </c>
      <c r="X12555" s="42">
        <v>4256.41</v>
      </c>
    </row>
    <row r="12556" spans="1:24">
      <c r="A12556" s="27" t="s">
        <v>22554</v>
      </c>
      <c r="B12556" s="28" t="s">
        <v>19918</v>
      </c>
      <c r="C12556" s="27" t="s">
        <v>22552</v>
      </c>
      <c r="D12556" s="27" t="s">
        <v>17578</v>
      </c>
      <c r="E12556" s="29">
        <v>41057</v>
      </c>
      <c r="F12556" s="27">
        <v>5</v>
      </c>
      <c r="G12556" s="18">
        <v>4256.41</v>
      </c>
      <c r="H12556" s="27">
        <f t="shared" si="392"/>
        <v>4256.41</v>
      </c>
      <c r="I12556" s="18">
        <v>4256.41</v>
      </c>
      <c r="J12556" s="27">
        <v>4256.41</v>
      </c>
      <c r="K12556" s="18">
        <f t="shared" si="393"/>
        <v>4256.41</v>
      </c>
      <c r="L12556" s="27">
        <v>4256.41</v>
      </c>
      <c r="M12556" s="36">
        <v>0</v>
      </c>
      <c r="T12556" s="41">
        <v>0</v>
      </c>
      <c r="U12556" s="41">
        <v>0</v>
      </c>
      <c r="V12556" s="42" t="s">
        <v>113</v>
      </c>
      <c r="W12556" s="42">
        <v>4256.41</v>
      </c>
      <c r="X12556" s="42">
        <v>4256.41</v>
      </c>
    </row>
    <row r="12557" spans="1:24">
      <c r="A12557" s="27" t="s">
        <v>22555</v>
      </c>
      <c r="B12557" s="28" t="s">
        <v>19918</v>
      </c>
      <c r="C12557" s="27" t="s">
        <v>22550</v>
      </c>
      <c r="D12557" s="27" t="s">
        <v>17578</v>
      </c>
      <c r="E12557" s="29">
        <v>41057</v>
      </c>
      <c r="F12557" s="27">
        <v>5</v>
      </c>
      <c r="G12557" s="18">
        <v>12617.95</v>
      </c>
      <c r="H12557" s="27">
        <f t="shared" si="392"/>
        <v>12617.95</v>
      </c>
      <c r="I12557" s="18">
        <v>11987.05</v>
      </c>
      <c r="J12557" s="27">
        <v>12617.95</v>
      </c>
      <c r="K12557" s="18">
        <f t="shared" si="393"/>
        <v>12617.95</v>
      </c>
      <c r="L12557" s="27">
        <v>11987.05</v>
      </c>
      <c r="M12557" s="36">
        <v>0</v>
      </c>
      <c r="T12557" s="41">
        <v>0</v>
      </c>
      <c r="U12557" s="41">
        <v>0</v>
      </c>
      <c r="V12557" s="42" t="s">
        <v>113</v>
      </c>
      <c r="W12557" s="42">
        <v>12617.95</v>
      </c>
      <c r="X12557" s="42">
        <v>12617.95</v>
      </c>
    </row>
    <row r="12558" spans="1:24">
      <c r="A12558" s="27" t="s">
        <v>22556</v>
      </c>
      <c r="B12558" s="28" t="s">
        <v>19918</v>
      </c>
      <c r="C12558" s="27" t="s">
        <v>22550</v>
      </c>
      <c r="D12558" s="27" t="s">
        <v>17578</v>
      </c>
      <c r="E12558" s="29">
        <v>41057</v>
      </c>
      <c r="F12558" s="27">
        <v>5</v>
      </c>
      <c r="G12558" s="18">
        <v>12617.95</v>
      </c>
      <c r="H12558" s="27">
        <f t="shared" si="392"/>
        <v>12617.95</v>
      </c>
      <c r="I12558" s="18">
        <v>11987.05</v>
      </c>
      <c r="J12558" s="27">
        <v>12617.95</v>
      </c>
      <c r="K12558" s="18">
        <f t="shared" si="393"/>
        <v>12617.95</v>
      </c>
      <c r="L12558" s="27">
        <v>11987.05</v>
      </c>
      <c r="M12558" s="36">
        <v>0</v>
      </c>
      <c r="T12558" s="41">
        <v>0</v>
      </c>
      <c r="U12558" s="41">
        <v>0</v>
      </c>
      <c r="V12558" s="42" t="s">
        <v>113</v>
      </c>
      <c r="W12558" s="42">
        <v>12617.95</v>
      </c>
      <c r="X12558" s="42">
        <v>12617.95</v>
      </c>
    </row>
    <row r="12559" spans="1:24">
      <c r="A12559" s="27" t="s">
        <v>22557</v>
      </c>
      <c r="B12559" s="28" t="s">
        <v>19918</v>
      </c>
      <c r="C12559" s="27" t="s">
        <v>22552</v>
      </c>
      <c r="D12559" s="27" t="s">
        <v>17578</v>
      </c>
      <c r="E12559" s="29">
        <v>41057</v>
      </c>
      <c r="F12559" s="27">
        <v>5</v>
      </c>
      <c r="G12559" s="18">
        <v>4256.41</v>
      </c>
      <c r="H12559" s="27">
        <f t="shared" si="392"/>
        <v>4256.41</v>
      </c>
      <c r="I12559" s="18">
        <v>4256.41</v>
      </c>
      <c r="J12559" s="27">
        <v>4256.41</v>
      </c>
      <c r="K12559" s="18">
        <f t="shared" si="393"/>
        <v>4256.41</v>
      </c>
      <c r="L12559" s="27">
        <v>4256.41</v>
      </c>
      <c r="M12559" s="36">
        <v>0</v>
      </c>
      <c r="T12559" s="41">
        <v>0</v>
      </c>
      <c r="U12559" s="41">
        <v>0</v>
      </c>
      <c r="V12559" s="42" t="s">
        <v>113</v>
      </c>
      <c r="W12559" s="42">
        <v>4256.41</v>
      </c>
      <c r="X12559" s="42">
        <v>4256.41</v>
      </c>
    </row>
    <row r="12560" spans="1:24">
      <c r="A12560" s="27" t="s">
        <v>22558</v>
      </c>
      <c r="B12560" s="28" t="s">
        <v>19918</v>
      </c>
      <c r="C12560" s="27" t="s">
        <v>22552</v>
      </c>
      <c r="D12560" s="27" t="s">
        <v>17578</v>
      </c>
      <c r="E12560" s="29">
        <v>41057</v>
      </c>
      <c r="F12560" s="27">
        <v>5</v>
      </c>
      <c r="G12560" s="18">
        <v>4256.41</v>
      </c>
      <c r="H12560" s="27">
        <f t="shared" si="392"/>
        <v>4256.41</v>
      </c>
      <c r="I12560" s="18">
        <v>4256.41</v>
      </c>
      <c r="J12560" s="27">
        <v>4256.41</v>
      </c>
      <c r="K12560" s="18">
        <f t="shared" si="393"/>
        <v>4256.41</v>
      </c>
      <c r="L12560" s="27">
        <v>4256.41</v>
      </c>
      <c r="M12560" s="36">
        <v>0</v>
      </c>
      <c r="T12560" s="41">
        <v>0</v>
      </c>
      <c r="U12560" s="41">
        <v>0</v>
      </c>
      <c r="V12560" s="42" t="s">
        <v>113</v>
      </c>
      <c r="W12560" s="42">
        <v>4256.41</v>
      </c>
      <c r="X12560" s="42">
        <v>4256.41</v>
      </c>
    </row>
    <row r="12561" spans="1:24">
      <c r="A12561" s="27" t="s">
        <v>22559</v>
      </c>
      <c r="B12561" s="28" t="s">
        <v>19918</v>
      </c>
      <c r="C12561" s="27" t="s">
        <v>22550</v>
      </c>
      <c r="D12561" s="27" t="s">
        <v>17578</v>
      </c>
      <c r="E12561" s="29">
        <v>41057</v>
      </c>
      <c r="F12561" s="27">
        <v>5</v>
      </c>
      <c r="G12561" s="18">
        <v>12617.95</v>
      </c>
      <c r="H12561" s="27">
        <f t="shared" si="392"/>
        <v>12617.95</v>
      </c>
      <c r="I12561" s="18">
        <v>11987.05</v>
      </c>
      <c r="J12561" s="27">
        <v>12617.95</v>
      </c>
      <c r="K12561" s="18">
        <f t="shared" si="393"/>
        <v>12617.95</v>
      </c>
      <c r="L12561" s="27">
        <v>11987.05</v>
      </c>
      <c r="M12561" s="36">
        <v>0</v>
      </c>
      <c r="T12561" s="41">
        <v>0</v>
      </c>
      <c r="U12561" s="41">
        <v>0</v>
      </c>
      <c r="V12561" s="42" t="s">
        <v>113</v>
      </c>
      <c r="W12561" s="42">
        <v>12617.95</v>
      </c>
      <c r="X12561" s="42">
        <v>12617.95</v>
      </c>
    </row>
    <row r="12562" spans="1:24">
      <c r="A12562" s="27" t="s">
        <v>22560</v>
      </c>
      <c r="B12562" s="28" t="s">
        <v>19918</v>
      </c>
      <c r="C12562" s="27" t="s">
        <v>22550</v>
      </c>
      <c r="D12562" s="27" t="s">
        <v>17578</v>
      </c>
      <c r="E12562" s="29">
        <v>41057</v>
      </c>
      <c r="F12562" s="27">
        <v>5</v>
      </c>
      <c r="G12562" s="18">
        <v>12617.95</v>
      </c>
      <c r="H12562" s="27">
        <f t="shared" si="392"/>
        <v>12617.95</v>
      </c>
      <c r="I12562" s="18">
        <v>11987.05</v>
      </c>
      <c r="J12562" s="27">
        <v>12617.95</v>
      </c>
      <c r="K12562" s="18">
        <f t="shared" si="393"/>
        <v>12617.95</v>
      </c>
      <c r="L12562" s="27">
        <v>11987.05</v>
      </c>
      <c r="M12562" s="36">
        <v>0</v>
      </c>
      <c r="T12562" s="41">
        <v>0</v>
      </c>
      <c r="U12562" s="41">
        <v>0</v>
      </c>
      <c r="V12562" s="42" t="s">
        <v>113</v>
      </c>
      <c r="W12562" s="42">
        <v>12617.95</v>
      </c>
      <c r="X12562" s="42">
        <v>12617.95</v>
      </c>
    </row>
    <row r="12563" spans="1:24">
      <c r="A12563" s="27" t="s">
        <v>22561</v>
      </c>
      <c r="B12563" s="28" t="s">
        <v>19918</v>
      </c>
      <c r="C12563" s="27" t="s">
        <v>22550</v>
      </c>
      <c r="D12563" s="27" t="s">
        <v>17578</v>
      </c>
      <c r="E12563" s="29">
        <v>41057</v>
      </c>
      <c r="F12563" s="27">
        <v>5</v>
      </c>
      <c r="G12563" s="18">
        <v>12617.95</v>
      </c>
      <c r="H12563" s="27">
        <f t="shared" si="392"/>
        <v>12617.95</v>
      </c>
      <c r="I12563" s="18">
        <v>11987.05</v>
      </c>
      <c r="J12563" s="27">
        <v>12617.95</v>
      </c>
      <c r="K12563" s="18">
        <f t="shared" si="393"/>
        <v>12617.95</v>
      </c>
      <c r="L12563" s="27">
        <v>11987.05</v>
      </c>
      <c r="M12563" s="36">
        <v>0</v>
      </c>
      <c r="T12563" s="41">
        <v>0</v>
      </c>
      <c r="U12563" s="41">
        <v>0</v>
      </c>
      <c r="V12563" s="42" t="s">
        <v>113</v>
      </c>
      <c r="W12563" s="42">
        <v>12617.95</v>
      </c>
      <c r="X12563" s="42">
        <v>12617.95</v>
      </c>
    </row>
    <row r="12564" spans="1:24">
      <c r="A12564" s="27" t="s">
        <v>22562</v>
      </c>
      <c r="B12564" s="28" t="s">
        <v>19918</v>
      </c>
      <c r="C12564" s="27" t="s">
        <v>22552</v>
      </c>
      <c r="D12564" s="27" t="s">
        <v>17578</v>
      </c>
      <c r="E12564" s="29">
        <v>41057</v>
      </c>
      <c r="F12564" s="27">
        <v>5</v>
      </c>
      <c r="G12564" s="18">
        <v>4256.41</v>
      </c>
      <c r="H12564" s="27">
        <f t="shared" si="392"/>
        <v>4256.41</v>
      </c>
      <c r="I12564" s="18">
        <v>4256.41</v>
      </c>
      <c r="J12564" s="27">
        <v>4256.41</v>
      </c>
      <c r="K12564" s="18">
        <f t="shared" si="393"/>
        <v>4256.41</v>
      </c>
      <c r="L12564" s="27">
        <v>4256.41</v>
      </c>
      <c r="M12564" s="36">
        <v>0</v>
      </c>
      <c r="T12564" s="41">
        <v>0</v>
      </c>
      <c r="U12564" s="41">
        <v>0</v>
      </c>
      <c r="V12564" s="42" t="s">
        <v>113</v>
      </c>
      <c r="W12564" s="42">
        <v>4256.41</v>
      </c>
      <c r="X12564" s="42">
        <v>4256.41</v>
      </c>
    </row>
    <row r="12565" spans="1:24">
      <c r="A12565" s="27" t="s">
        <v>22563</v>
      </c>
      <c r="B12565" s="28" t="s">
        <v>19918</v>
      </c>
      <c r="C12565" s="27" t="s">
        <v>22550</v>
      </c>
      <c r="D12565" s="27" t="s">
        <v>17578</v>
      </c>
      <c r="E12565" s="29">
        <v>41057</v>
      </c>
      <c r="F12565" s="27">
        <v>5</v>
      </c>
      <c r="G12565" s="18">
        <v>25235.9</v>
      </c>
      <c r="H12565" s="27">
        <f t="shared" si="392"/>
        <v>25235.9</v>
      </c>
      <c r="I12565" s="18">
        <v>23974.1</v>
      </c>
      <c r="J12565" s="27">
        <v>25235.9</v>
      </c>
      <c r="K12565" s="18">
        <f t="shared" si="393"/>
        <v>25235.9</v>
      </c>
      <c r="L12565" s="27">
        <v>23974.1</v>
      </c>
      <c r="M12565" s="36">
        <v>0</v>
      </c>
      <c r="T12565" s="41">
        <v>0</v>
      </c>
      <c r="U12565" s="41">
        <v>0</v>
      </c>
      <c r="V12565" s="42" t="s">
        <v>113</v>
      </c>
      <c r="W12565" s="42">
        <v>25235.9</v>
      </c>
      <c r="X12565" s="42">
        <v>25235.9</v>
      </c>
    </row>
    <row r="12566" spans="1:24">
      <c r="A12566" s="27" t="s">
        <v>22564</v>
      </c>
      <c r="B12566" s="28" t="s">
        <v>19918</v>
      </c>
      <c r="C12566" s="27" t="s">
        <v>22550</v>
      </c>
      <c r="D12566" s="27" t="s">
        <v>17578</v>
      </c>
      <c r="E12566" s="29">
        <v>41057</v>
      </c>
      <c r="F12566" s="27">
        <v>5</v>
      </c>
      <c r="G12566" s="18">
        <v>25235.89</v>
      </c>
      <c r="H12566" s="27">
        <f t="shared" si="392"/>
        <v>25235.89</v>
      </c>
      <c r="I12566" s="18">
        <v>23974.1</v>
      </c>
      <c r="J12566" s="27">
        <v>25235.89</v>
      </c>
      <c r="K12566" s="18">
        <f t="shared" si="393"/>
        <v>25235.89</v>
      </c>
      <c r="L12566" s="27">
        <v>23974.1</v>
      </c>
      <c r="M12566" s="36">
        <v>0</v>
      </c>
      <c r="T12566" s="41">
        <v>0</v>
      </c>
      <c r="U12566" s="41">
        <v>0</v>
      </c>
      <c r="V12566" s="42" t="s">
        <v>113</v>
      </c>
      <c r="W12566" s="42">
        <v>25235.89</v>
      </c>
      <c r="X12566" s="42">
        <v>25235.89</v>
      </c>
    </row>
    <row r="12567" spans="1:24">
      <c r="A12567" s="27" t="s">
        <v>22565</v>
      </c>
      <c r="B12567" s="28" t="s">
        <v>19918</v>
      </c>
      <c r="C12567" s="27" t="s">
        <v>22550</v>
      </c>
      <c r="D12567" s="27" t="s">
        <v>17578</v>
      </c>
      <c r="E12567" s="29">
        <v>41057</v>
      </c>
      <c r="F12567" s="27">
        <v>5</v>
      </c>
      <c r="G12567" s="18">
        <v>25235.89</v>
      </c>
      <c r="H12567" s="27">
        <f t="shared" si="392"/>
        <v>25235.89</v>
      </c>
      <c r="I12567" s="18">
        <v>23974.1</v>
      </c>
      <c r="J12567" s="27">
        <v>25235.89</v>
      </c>
      <c r="K12567" s="18">
        <f t="shared" si="393"/>
        <v>25235.89</v>
      </c>
      <c r="L12567" s="27">
        <v>23974.1</v>
      </c>
      <c r="M12567" s="36">
        <v>0</v>
      </c>
      <c r="T12567" s="41">
        <v>0</v>
      </c>
      <c r="U12567" s="41">
        <v>0</v>
      </c>
      <c r="V12567" s="42" t="s">
        <v>113</v>
      </c>
      <c r="W12567" s="42">
        <v>25235.89</v>
      </c>
      <c r="X12567" s="42">
        <v>25235.89</v>
      </c>
    </row>
    <row r="12568" spans="1:24">
      <c r="A12568" s="27" t="s">
        <v>22566</v>
      </c>
      <c r="B12568" s="28" t="s">
        <v>19918</v>
      </c>
      <c r="C12568" s="27" t="s">
        <v>22550</v>
      </c>
      <c r="D12568" s="27" t="s">
        <v>17578</v>
      </c>
      <c r="E12568" s="29">
        <v>41057</v>
      </c>
      <c r="F12568" s="27">
        <v>5</v>
      </c>
      <c r="G12568" s="18">
        <v>25235.9</v>
      </c>
      <c r="H12568" s="27">
        <f t="shared" si="392"/>
        <v>25235.9</v>
      </c>
      <c r="I12568" s="18">
        <v>23974.1</v>
      </c>
      <c r="J12568" s="27">
        <v>25235.9</v>
      </c>
      <c r="K12568" s="18">
        <f t="shared" si="393"/>
        <v>25235.9</v>
      </c>
      <c r="L12568" s="27">
        <v>23974.1</v>
      </c>
      <c r="M12568" s="36">
        <v>0</v>
      </c>
      <c r="T12568" s="41">
        <v>0</v>
      </c>
      <c r="U12568" s="41">
        <v>0</v>
      </c>
      <c r="V12568" s="42" t="s">
        <v>113</v>
      </c>
      <c r="W12568" s="42">
        <v>25235.9</v>
      </c>
      <c r="X12568" s="42">
        <v>25235.9</v>
      </c>
    </row>
    <row r="12569" spans="1:24">
      <c r="A12569" s="27" t="s">
        <v>22567</v>
      </c>
      <c r="B12569" s="28" t="s">
        <v>19918</v>
      </c>
      <c r="C12569" s="27" t="s">
        <v>22486</v>
      </c>
      <c r="D12569" s="27" t="s">
        <v>17578</v>
      </c>
      <c r="E12569" s="29">
        <v>39782</v>
      </c>
      <c r="F12569" s="27">
        <v>5</v>
      </c>
      <c r="G12569" s="18">
        <v>3201.33</v>
      </c>
      <c r="H12569" s="27">
        <f t="shared" si="392"/>
        <v>3201.33</v>
      </c>
      <c r="I12569" s="18">
        <v>3201.33</v>
      </c>
      <c r="J12569" s="27">
        <v>3201.33</v>
      </c>
      <c r="K12569" s="18">
        <f t="shared" si="393"/>
        <v>3201.33</v>
      </c>
      <c r="L12569" s="27">
        <v>3201.33</v>
      </c>
      <c r="M12569" s="36">
        <v>0</v>
      </c>
      <c r="T12569" s="41">
        <v>0</v>
      </c>
      <c r="U12569" s="41">
        <v>0</v>
      </c>
      <c r="V12569" s="42" t="s">
        <v>113</v>
      </c>
      <c r="W12569" s="42">
        <v>3201.33</v>
      </c>
      <c r="X12569" s="42">
        <v>3201.33</v>
      </c>
    </row>
    <row r="12570" spans="1:24">
      <c r="A12570" s="27" t="s">
        <v>22568</v>
      </c>
      <c r="B12570" s="28" t="s">
        <v>19918</v>
      </c>
      <c r="C12570" s="27" t="s">
        <v>22486</v>
      </c>
      <c r="D12570" s="27" t="s">
        <v>17578</v>
      </c>
      <c r="E12570" s="29">
        <v>39782</v>
      </c>
      <c r="F12570" s="27">
        <v>5</v>
      </c>
      <c r="G12570" s="18">
        <v>3201.33</v>
      </c>
      <c r="H12570" s="27">
        <f t="shared" si="392"/>
        <v>3201.33</v>
      </c>
      <c r="I12570" s="18">
        <v>3201.33</v>
      </c>
      <c r="J12570" s="27">
        <v>3201.33</v>
      </c>
      <c r="K12570" s="18">
        <f t="shared" si="393"/>
        <v>3201.33</v>
      </c>
      <c r="L12570" s="27">
        <v>3201.33</v>
      </c>
      <c r="M12570" s="36">
        <v>0</v>
      </c>
      <c r="T12570" s="41">
        <v>0</v>
      </c>
      <c r="U12570" s="41">
        <v>0</v>
      </c>
      <c r="V12570" s="42" t="s">
        <v>113</v>
      </c>
      <c r="W12570" s="42">
        <v>3201.33</v>
      </c>
      <c r="X12570" s="42">
        <v>3201.33</v>
      </c>
    </row>
    <row r="12571" spans="1:24">
      <c r="A12571" s="27" t="s">
        <v>22569</v>
      </c>
      <c r="B12571" s="28" t="s">
        <v>19918</v>
      </c>
      <c r="C12571" s="27" t="s">
        <v>22570</v>
      </c>
      <c r="D12571" s="27" t="s">
        <v>17578</v>
      </c>
      <c r="E12571" s="29">
        <v>39782</v>
      </c>
      <c r="F12571" s="27">
        <v>5</v>
      </c>
      <c r="G12571" s="18">
        <v>3201.33</v>
      </c>
      <c r="H12571" s="27">
        <f t="shared" si="392"/>
        <v>3201.33</v>
      </c>
      <c r="I12571" s="18">
        <v>3201.33</v>
      </c>
      <c r="J12571" s="27">
        <v>3201.33</v>
      </c>
      <c r="K12571" s="18">
        <f t="shared" si="393"/>
        <v>3201.33</v>
      </c>
      <c r="L12571" s="27">
        <v>3201.33</v>
      </c>
      <c r="M12571" s="36">
        <v>0</v>
      </c>
      <c r="T12571" s="41">
        <v>0</v>
      </c>
      <c r="U12571" s="41">
        <v>0</v>
      </c>
      <c r="V12571" s="42" t="s">
        <v>113</v>
      </c>
      <c r="W12571" s="42">
        <v>3201.33</v>
      </c>
      <c r="X12571" s="42">
        <v>3201.33</v>
      </c>
    </row>
    <row r="12572" spans="1:24">
      <c r="A12572" s="27" t="s">
        <v>22571</v>
      </c>
      <c r="B12572" s="28" t="s">
        <v>19918</v>
      </c>
      <c r="C12572" s="27" t="s">
        <v>22486</v>
      </c>
      <c r="D12572" s="27" t="s">
        <v>17578</v>
      </c>
      <c r="E12572" s="29">
        <v>39782</v>
      </c>
      <c r="F12572" s="27">
        <v>5</v>
      </c>
      <c r="G12572" s="18">
        <v>3201.33</v>
      </c>
      <c r="H12572" s="27">
        <f t="shared" si="392"/>
        <v>3201.33</v>
      </c>
      <c r="I12572" s="18">
        <v>3201.33</v>
      </c>
      <c r="J12572" s="27">
        <v>3201.33</v>
      </c>
      <c r="K12572" s="18">
        <f t="shared" si="393"/>
        <v>3201.33</v>
      </c>
      <c r="L12572" s="27">
        <v>3201.33</v>
      </c>
      <c r="M12572" s="36">
        <v>0</v>
      </c>
      <c r="T12572" s="41">
        <v>0</v>
      </c>
      <c r="U12572" s="41">
        <v>0</v>
      </c>
      <c r="V12572" s="42" t="s">
        <v>113</v>
      </c>
      <c r="W12572" s="42">
        <v>3201.33</v>
      </c>
      <c r="X12572" s="42">
        <v>3201.33</v>
      </c>
    </row>
    <row r="12573" spans="1:24">
      <c r="A12573" s="27" t="s">
        <v>22572</v>
      </c>
      <c r="B12573" s="28" t="s">
        <v>19918</v>
      </c>
      <c r="C12573" s="27" t="s">
        <v>22486</v>
      </c>
      <c r="D12573" s="27" t="s">
        <v>17578</v>
      </c>
      <c r="E12573" s="29">
        <v>39782</v>
      </c>
      <c r="F12573" s="27">
        <v>5</v>
      </c>
      <c r="G12573" s="18">
        <v>3201.33</v>
      </c>
      <c r="H12573" s="27">
        <f t="shared" si="392"/>
        <v>3201.33</v>
      </c>
      <c r="I12573" s="18">
        <v>3201.33</v>
      </c>
      <c r="J12573" s="27">
        <v>3201.33</v>
      </c>
      <c r="K12573" s="18">
        <f t="shared" si="393"/>
        <v>3201.33</v>
      </c>
      <c r="L12573" s="27">
        <v>3201.33</v>
      </c>
      <c r="M12573" s="36">
        <v>0</v>
      </c>
      <c r="T12573" s="41">
        <v>0</v>
      </c>
      <c r="U12573" s="41">
        <v>0</v>
      </c>
      <c r="V12573" s="42" t="s">
        <v>113</v>
      </c>
      <c r="W12573" s="42">
        <v>3201.33</v>
      </c>
      <c r="X12573" s="42">
        <v>3201.33</v>
      </c>
    </row>
    <row r="12574" spans="1:24">
      <c r="A12574" s="27" t="s">
        <v>22573</v>
      </c>
      <c r="B12574" s="28" t="s">
        <v>19918</v>
      </c>
      <c r="C12574" s="27" t="s">
        <v>22486</v>
      </c>
      <c r="D12574" s="27" t="s">
        <v>17578</v>
      </c>
      <c r="E12574" s="29">
        <v>39782</v>
      </c>
      <c r="F12574" s="27">
        <v>5</v>
      </c>
      <c r="G12574" s="18">
        <v>3201.33</v>
      </c>
      <c r="H12574" s="27">
        <f t="shared" si="392"/>
        <v>3201.33</v>
      </c>
      <c r="I12574" s="18">
        <v>3201.33</v>
      </c>
      <c r="J12574" s="27">
        <v>3201.33</v>
      </c>
      <c r="K12574" s="18">
        <f t="shared" si="393"/>
        <v>3201.33</v>
      </c>
      <c r="L12574" s="27">
        <v>3201.33</v>
      </c>
      <c r="M12574" s="36">
        <v>0</v>
      </c>
      <c r="T12574" s="41">
        <v>0</v>
      </c>
      <c r="U12574" s="41">
        <v>0</v>
      </c>
      <c r="V12574" s="42" t="s">
        <v>113</v>
      </c>
      <c r="W12574" s="42">
        <v>3201.33</v>
      </c>
      <c r="X12574" s="42">
        <v>3201.33</v>
      </c>
    </row>
    <row r="12575" spans="1:24">
      <c r="A12575" s="27" t="s">
        <v>22574</v>
      </c>
      <c r="B12575" s="28" t="s">
        <v>19918</v>
      </c>
      <c r="C12575" s="27" t="s">
        <v>22486</v>
      </c>
      <c r="D12575" s="27" t="s">
        <v>17578</v>
      </c>
      <c r="E12575" s="29">
        <v>39782</v>
      </c>
      <c r="F12575" s="27">
        <v>5</v>
      </c>
      <c r="G12575" s="18">
        <v>3201.33</v>
      </c>
      <c r="H12575" s="27">
        <f t="shared" si="392"/>
        <v>3201.33</v>
      </c>
      <c r="I12575" s="18">
        <v>3201.33</v>
      </c>
      <c r="J12575" s="27">
        <v>3201.33</v>
      </c>
      <c r="K12575" s="18">
        <f t="shared" si="393"/>
        <v>3201.33</v>
      </c>
      <c r="L12575" s="27">
        <v>3201.33</v>
      </c>
      <c r="M12575" s="36">
        <v>0</v>
      </c>
      <c r="T12575" s="41">
        <v>0</v>
      </c>
      <c r="U12575" s="41">
        <v>0</v>
      </c>
      <c r="V12575" s="42" t="s">
        <v>113</v>
      </c>
      <c r="W12575" s="42">
        <v>3201.33</v>
      </c>
      <c r="X12575" s="42">
        <v>3201.33</v>
      </c>
    </row>
    <row r="12576" spans="1:24">
      <c r="A12576" s="27" t="s">
        <v>22575</v>
      </c>
      <c r="B12576" s="28" t="s">
        <v>19918</v>
      </c>
      <c r="C12576" s="27" t="s">
        <v>22486</v>
      </c>
      <c r="D12576" s="27" t="s">
        <v>17578</v>
      </c>
      <c r="E12576" s="29">
        <v>39782</v>
      </c>
      <c r="F12576" s="27">
        <v>5</v>
      </c>
      <c r="G12576" s="18">
        <v>3201.33</v>
      </c>
      <c r="H12576" s="27">
        <f t="shared" si="392"/>
        <v>3201.33</v>
      </c>
      <c r="I12576" s="18">
        <v>3201.33</v>
      </c>
      <c r="J12576" s="27">
        <v>3201.33</v>
      </c>
      <c r="K12576" s="18">
        <f t="shared" si="393"/>
        <v>3201.33</v>
      </c>
      <c r="L12576" s="27">
        <v>3201.33</v>
      </c>
      <c r="M12576" s="36">
        <v>0</v>
      </c>
      <c r="T12576" s="41">
        <v>0</v>
      </c>
      <c r="U12576" s="41">
        <v>0</v>
      </c>
      <c r="V12576" s="42" t="s">
        <v>113</v>
      </c>
      <c r="W12576" s="42">
        <v>3201.33</v>
      </c>
      <c r="X12576" s="42">
        <v>3201.33</v>
      </c>
    </row>
    <row r="12577" spans="1:24">
      <c r="A12577" s="27" t="s">
        <v>22576</v>
      </c>
      <c r="B12577" s="28" t="s">
        <v>19918</v>
      </c>
      <c r="C12577" s="27" t="s">
        <v>22486</v>
      </c>
      <c r="D12577" s="27" t="s">
        <v>17578</v>
      </c>
      <c r="E12577" s="29">
        <v>39782</v>
      </c>
      <c r="F12577" s="27">
        <v>5</v>
      </c>
      <c r="G12577" s="18">
        <v>3201.33</v>
      </c>
      <c r="H12577" s="27">
        <f t="shared" si="392"/>
        <v>3201.33</v>
      </c>
      <c r="I12577" s="18">
        <v>3201.33</v>
      </c>
      <c r="J12577" s="27">
        <v>3201.33</v>
      </c>
      <c r="K12577" s="18">
        <f t="shared" si="393"/>
        <v>3201.33</v>
      </c>
      <c r="L12577" s="27">
        <v>3201.33</v>
      </c>
      <c r="M12577" s="36">
        <v>0</v>
      </c>
      <c r="T12577" s="41">
        <v>0</v>
      </c>
      <c r="U12577" s="41">
        <v>0</v>
      </c>
      <c r="V12577" s="42" t="s">
        <v>113</v>
      </c>
      <c r="W12577" s="42">
        <v>3201.33</v>
      </c>
      <c r="X12577" s="42">
        <v>3201.33</v>
      </c>
    </row>
    <row r="12578" spans="1:24">
      <c r="A12578" s="27" t="s">
        <v>22577</v>
      </c>
      <c r="B12578" s="28" t="s">
        <v>19918</v>
      </c>
      <c r="C12578" s="27" t="s">
        <v>22486</v>
      </c>
      <c r="D12578" s="27" t="s">
        <v>17578</v>
      </c>
      <c r="E12578" s="29">
        <v>39782</v>
      </c>
      <c r="F12578" s="27">
        <v>5</v>
      </c>
      <c r="G12578" s="18">
        <v>3201.33</v>
      </c>
      <c r="H12578" s="27">
        <f t="shared" si="392"/>
        <v>3201.33</v>
      </c>
      <c r="I12578" s="18">
        <v>3201.33</v>
      </c>
      <c r="J12578" s="27">
        <v>3201.33</v>
      </c>
      <c r="K12578" s="18">
        <f t="shared" si="393"/>
        <v>3201.33</v>
      </c>
      <c r="L12578" s="27">
        <v>3201.33</v>
      </c>
      <c r="M12578" s="36">
        <v>0</v>
      </c>
      <c r="T12578" s="41">
        <v>0</v>
      </c>
      <c r="U12578" s="41">
        <v>0</v>
      </c>
      <c r="V12578" s="42" t="s">
        <v>113</v>
      </c>
      <c r="W12578" s="42">
        <v>3201.33</v>
      </c>
      <c r="X12578" s="42">
        <v>3201.33</v>
      </c>
    </row>
    <row r="12579" spans="1:24">
      <c r="A12579" s="27" t="s">
        <v>22578</v>
      </c>
      <c r="B12579" s="28" t="s">
        <v>19918</v>
      </c>
      <c r="C12579" s="27" t="s">
        <v>22486</v>
      </c>
      <c r="D12579" s="27" t="s">
        <v>17578</v>
      </c>
      <c r="E12579" s="29">
        <v>39782</v>
      </c>
      <c r="F12579" s="27">
        <v>5</v>
      </c>
      <c r="G12579" s="18">
        <v>4802</v>
      </c>
      <c r="H12579" s="27">
        <f t="shared" si="392"/>
        <v>4802</v>
      </c>
      <c r="I12579" s="18">
        <v>4802</v>
      </c>
      <c r="J12579" s="27">
        <v>4802</v>
      </c>
      <c r="K12579" s="18">
        <f t="shared" si="393"/>
        <v>4802</v>
      </c>
      <c r="L12579" s="27">
        <v>4802</v>
      </c>
      <c r="M12579" s="36">
        <v>0</v>
      </c>
      <c r="T12579" s="41">
        <v>0</v>
      </c>
      <c r="U12579" s="41">
        <v>0</v>
      </c>
      <c r="V12579" s="42" t="s">
        <v>113</v>
      </c>
      <c r="W12579" s="42">
        <v>4802</v>
      </c>
      <c r="X12579" s="42">
        <v>4802</v>
      </c>
    </row>
    <row r="12580" spans="1:24">
      <c r="A12580" s="27" t="s">
        <v>22579</v>
      </c>
      <c r="B12580" s="28" t="s">
        <v>19918</v>
      </c>
      <c r="C12580" s="27" t="s">
        <v>22486</v>
      </c>
      <c r="D12580" s="27" t="s">
        <v>17578</v>
      </c>
      <c r="E12580" s="29">
        <v>39782</v>
      </c>
      <c r="F12580" s="27">
        <v>5</v>
      </c>
      <c r="G12580" s="18">
        <v>4802</v>
      </c>
      <c r="H12580" s="27">
        <f t="shared" si="392"/>
        <v>4802</v>
      </c>
      <c r="I12580" s="18">
        <v>4802</v>
      </c>
      <c r="J12580" s="27">
        <v>4802</v>
      </c>
      <c r="K12580" s="18">
        <f t="shared" si="393"/>
        <v>4802</v>
      </c>
      <c r="L12580" s="27">
        <v>4802</v>
      </c>
      <c r="M12580" s="36">
        <v>0</v>
      </c>
      <c r="T12580" s="41">
        <v>0</v>
      </c>
      <c r="U12580" s="41">
        <v>0</v>
      </c>
      <c r="V12580" s="42" t="s">
        <v>113</v>
      </c>
      <c r="W12580" s="42">
        <v>4802</v>
      </c>
      <c r="X12580" s="42">
        <v>4802</v>
      </c>
    </row>
    <row r="12581" spans="1:24">
      <c r="A12581" s="27" t="s">
        <v>22580</v>
      </c>
      <c r="B12581" s="28" t="s">
        <v>19918</v>
      </c>
      <c r="C12581" s="27" t="s">
        <v>22486</v>
      </c>
      <c r="D12581" s="27" t="s">
        <v>17578</v>
      </c>
      <c r="E12581" s="29">
        <v>39782</v>
      </c>
      <c r="F12581" s="27">
        <v>5</v>
      </c>
      <c r="G12581" s="18">
        <v>3841.6</v>
      </c>
      <c r="H12581" s="27">
        <f t="shared" si="392"/>
        <v>3841.6</v>
      </c>
      <c r="I12581" s="18">
        <v>3841.6</v>
      </c>
      <c r="J12581" s="27">
        <v>3841.6</v>
      </c>
      <c r="K12581" s="18">
        <f t="shared" si="393"/>
        <v>3841.6</v>
      </c>
      <c r="L12581" s="27">
        <v>3841.6</v>
      </c>
      <c r="M12581" s="36">
        <v>0</v>
      </c>
      <c r="T12581" s="41">
        <v>0</v>
      </c>
      <c r="U12581" s="41">
        <v>0</v>
      </c>
      <c r="V12581" s="42" t="s">
        <v>113</v>
      </c>
      <c r="W12581" s="42">
        <v>3841.6</v>
      </c>
      <c r="X12581" s="42">
        <v>3841.6</v>
      </c>
    </row>
    <row r="12582" spans="1:24">
      <c r="A12582" s="27" t="s">
        <v>22581</v>
      </c>
      <c r="B12582" s="28" t="s">
        <v>19918</v>
      </c>
      <c r="C12582" s="27" t="s">
        <v>22486</v>
      </c>
      <c r="D12582" s="27" t="s">
        <v>17578</v>
      </c>
      <c r="E12582" s="29">
        <v>39782</v>
      </c>
      <c r="F12582" s="27">
        <v>5</v>
      </c>
      <c r="G12582" s="18">
        <v>3841.6</v>
      </c>
      <c r="H12582" s="27">
        <f t="shared" si="392"/>
        <v>3841.6</v>
      </c>
      <c r="I12582" s="18">
        <v>3841.6</v>
      </c>
      <c r="J12582" s="27">
        <v>3841.6</v>
      </c>
      <c r="K12582" s="18">
        <f t="shared" si="393"/>
        <v>3841.6</v>
      </c>
      <c r="L12582" s="27">
        <v>3841.6</v>
      </c>
      <c r="M12582" s="36">
        <v>0</v>
      </c>
      <c r="T12582" s="41">
        <v>0</v>
      </c>
      <c r="U12582" s="41">
        <v>0</v>
      </c>
      <c r="V12582" s="42" t="s">
        <v>113</v>
      </c>
      <c r="W12582" s="42">
        <v>3841.6</v>
      </c>
      <c r="X12582" s="42">
        <v>3841.6</v>
      </c>
    </row>
    <row r="12583" spans="1:24">
      <c r="A12583" s="27" t="s">
        <v>22582</v>
      </c>
      <c r="B12583" s="28" t="s">
        <v>19918</v>
      </c>
      <c r="C12583" s="27" t="s">
        <v>22486</v>
      </c>
      <c r="D12583" s="27" t="s">
        <v>17578</v>
      </c>
      <c r="E12583" s="29">
        <v>39782</v>
      </c>
      <c r="F12583" s="27">
        <v>5</v>
      </c>
      <c r="G12583" s="18">
        <v>3841.6</v>
      </c>
      <c r="H12583" s="27">
        <f t="shared" si="392"/>
        <v>3841.6</v>
      </c>
      <c r="I12583" s="18">
        <v>3841.6</v>
      </c>
      <c r="J12583" s="27">
        <v>3841.6</v>
      </c>
      <c r="K12583" s="18">
        <f t="shared" si="393"/>
        <v>3841.6</v>
      </c>
      <c r="L12583" s="27">
        <v>3841.6</v>
      </c>
      <c r="M12583" s="36">
        <v>0</v>
      </c>
      <c r="T12583" s="41">
        <v>0</v>
      </c>
      <c r="U12583" s="41">
        <v>0</v>
      </c>
      <c r="V12583" s="42" t="s">
        <v>113</v>
      </c>
      <c r="W12583" s="42">
        <v>3841.6</v>
      </c>
      <c r="X12583" s="42">
        <v>3841.6</v>
      </c>
    </row>
    <row r="12584" spans="1:24">
      <c r="A12584" s="27" t="s">
        <v>22583</v>
      </c>
      <c r="B12584" s="28" t="s">
        <v>19918</v>
      </c>
      <c r="C12584" s="27" t="s">
        <v>22486</v>
      </c>
      <c r="D12584" s="27" t="s">
        <v>17578</v>
      </c>
      <c r="E12584" s="29">
        <v>39782</v>
      </c>
      <c r="F12584" s="27">
        <v>5</v>
      </c>
      <c r="G12584" s="18">
        <v>3841.6</v>
      </c>
      <c r="H12584" s="27">
        <f t="shared" si="392"/>
        <v>3841.6</v>
      </c>
      <c r="I12584" s="18">
        <v>3841.6</v>
      </c>
      <c r="J12584" s="27">
        <v>3841.6</v>
      </c>
      <c r="K12584" s="18">
        <f t="shared" si="393"/>
        <v>3841.6</v>
      </c>
      <c r="L12584" s="27">
        <v>3841.6</v>
      </c>
      <c r="M12584" s="36">
        <v>0</v>
      </c>
      <c r="T12584" s="41">
        <v>0</v>
      </c>
      <c r="U12584" s="41">
        <v>0</v>
      </c>
      <c r="V12584" s="42" t="s">
        <v>113</v>
      </c>
      <c r="W12584" s="42">
        <v>3841.6</v>
      </c>
      <c r="X12584" s="42">
        <v>3841.6</v>
      </c>
    </row>
    <row r="12585" spans="1:24">
      <c r="A12585" s="27" t="s">
        <v>22584</v>
      </c>
      <c r="B12585" s="28" t="s">
        <v>19918</v>
      </c>
      <c r="C12585" s="27" t="s">
        <v>22486</v>
      </c>
      <c r="D12585" s="27" t="s">
        <v>17578</v>
      </c>
      <c r="E12585" s="29">
        <v>39782</v>
      </c>
      <c r="F12585" s="27">
        <v>5</v>
      </c>
      <c r="G12585" s="18">
        <v>3841.6</v>
      </c>
      <c r="H12585" s="27">
        <f t="shared" si="392"/>
        <v>3841.6</v>
      </c>
      <c r="I12585" s="18">
        <v>3841.6</v>
      </c>
      <c r="J12585" s="27">
        <v>3841.6</v>
      </c>
      <c r="K12585" s="18">
        <f t="shared" si="393"/>
        <v>3841.6</v>
      </c>
      <c r="L12585" s="27">
        <v>3841.6</v>
      </c>
      <c r="M12585" s="36">
        <v>0</v>
      </c>
      <c r="T12585" s="41">
        <v>0</v>
      </c>
      <c r="U12585" s="41">
        <v>0</v>
      </c>
      <c r="V12585" s="42" t="s">
        <v>113</v>
      </c>
      <c r="W12585" s="42">
        <v>3841.6</v>
      </c>
      <c r="X12585" s="42">
        <v>3841.6</v>
      </c>
    </row>
    <row r="12586" spans="1:24">
      <c r="A12586" s="27" t="s">
        <v>22585</v>
      </c>
      <c r="B12586" s="28" t="s">
        <v>19918</v>
      </c>
      <c r="C12586" s="27" t="s">
        <v>22486</v>
      </c>
      <c r="D12586" s="27" t="s">
        <v>17578</v>
      </c>
      <c r="E12586" s="29">
        <v>39782</v>
      </c>
      <c r="F12586" s="27">
        <v>5</v>
      </c>
      <c r="G12586" s="18">
        <v>3841.6</v>
      </c>
      <c r="H12586" s="27">
        <f t="shared" si="392"/>
        <v>3841.6</v>
      </c>
      <c r="I12586" s="18">
        <v>3841.6</v>
      </c>
      <c r="J12586" s="27">
        <v>3841.6</v>
      </c>
      <c r="K12586" s="18">
        <f t="shared" si="393"/>
        <v>3841.6</v>
      </c>
      <c r="L12586" s="27">
        <v>3841.6</v>
      </c>
      <c r="M12586" s="36">
        <v>0</v>
      </c>
      <c r="T12586" s="41">
        <v>0</v>
      </c>
      <c r="U12586" s="41">
        <v>0</v>
      </c>
      <c r="V12586" s="42" t="s">
        <v>113</v>
      </c>
      <c r="W12586" s="42">
        <v>3841.6</v>
      </c>
      <c r="X12586" s="42">
        <v>3841.6</v>
      </c>
    </row>
    <row r="12587" spans="1:24">
      <c r="A12587" s="27" t="s">
        <v>22586</v>
      </c>
      <c r="B12587" s="28" t="s">
        <v>19918</v>
      </c>
      <c r="C12587" s="27" t="s">
        <v>22486</v>
      </c>
      <c r="D12587" s="27" t="s">
        <v>17578</v>
      </c>
      <c r="E12587" s="29">
        <v>39782</v>
      </c>
      <c r="F12587" s="27">
        <v>5</v>
      </c>
      <c r="G12587" s="18">
        <v>3841.6</v>
      </c>
      <c r="H12587" s="27">
        <f t="shared" si="392"/>
        <v>3841.6</v>
      </c>
      <c r="I12587" s="18">
        <v>3841.6</v>
      </c>
      <c r="J12587" s="27">
        <v>3841.6</v>
      </c>
      <c r="K12587" s="18">
        <f t="shared" si="393"/>
        <v>3841.6</v>
      </c>
      <c r="L12587" s="27">
        <v>3841.6</v>
      </c>
      <c r="M12587" s="36">
        <v>0</v>
      </c>
      <c r="T12587" s="41">
        <v>0</v>
      </c>
      <c r="U12587" s="41">
        <v>0</v>
      </c>
      <c r="V12587" s="42" t="s">
        <v>113</v>
      </c>
      <c r="W12587" s="42">
        <v>3841.6</v>
      </c>
      <c r="X12587" s="42">
        <v>3841.6</v>
      </c>
    </row>
    <row r="12588" spans="1:24">
      <c r="A12588" s="27" t="s">
        <v>22587</v>
      </c>
      <c r="B12588" s="28" t="s">
        <v>19918</v>
      </c>
      <c r="C12588" s="27" t="s">
        <v>22486</v>
      </c>
      <c r="D12588" s="27" t="s">
        <v>17578</v>
      </c>
      <c r="E12588" s="29">
        <v>39782</v>
      </c>
      <c r="F12588" s="27">
        <v>5</v>
      </c>
      <c r="G12588" s="18">
        <v>3841.6</v>
      </c>
      <c r="H12588" s="27">
        <f t="shared" si="392"/>
        <v>3841.6</v>
      </c>
      <c r="I12588" s="18">
        <v>3841.6</v>
      </c>
      <c r="J12588" s="27">
        <v>3841.6</v>
      </c>
      <c r="K12588" s="18">
        <f t="shared" si="393"/>
        <v>3841.6</v>
      </c>
      <c r="L12588" s="27">
        <v>3841.6</v>
      </c>
      <c r="M12588" s="36">
        <v>0</v>
      </c>
      <c r="T12588" s="41">
        <v>0</v>
      </c>
      <c r="U12588" s="41">
        <v>0</v>
      </c>
      <c r="V12588" s="42" t="s">
        <v>113</v>
      </c>
      <c r="W12588" s="42">
        <v>3841.6</v>
      </c>
      <c r="X12588" s="42">
        <v>3841.6</v>
      </c>
    </row>
    <row r="12589" spans="1:24">
      <c r="A12589" s="27" t="s">
        <v>22588</v>
      </c>
      <c r="B12589" s="28" t="s">
        <v>19918</v>
      </c>
      <c r="C12589" s="27" t="s">
        <v>22486</v>
      </c>
      <c r="D12589" s="27" t="s">
        <v>17578</v>
      </c>
      <c r="E12589" s="29">
        <v>39782</v>
      </c>
      <c r="F12589" s="27">
        <v>5</v>
      </c>
      <c r="G12589" s="18">
        <v>3841.6</v>
      </c>
      <c r="H12589" s="27">
        <f t="shared" si="392"/>
        <v>3841.6</v>
      </c>
      <c r="I12589" s="18">
        <v>3841.6</v>
      </c>
      <c r="J12589" s="27">
        <v>3841.6</v>
      </c>
      <c r="K12589" s="18">
        <f t="shared" si="393"/>
        <v>3841.6</v>
      </c>
      <c r="L12589" s="27">
        <v>3841.6</v>
      </c>
      <c r="M12589" s="36">
        <v>0</v>
      </c>
      <c r="T12589" s="41">
        <v>0</v>
      </c>
      <c r="U12589" s="41">
        <v>0</v>
      </c>
      <c r="V12589" s="42" t="s">
        <v>113</v>
      </c>
      <c r="W12589" s="42">
        <v>3841.6</v>
      </c>
      <c r="X12589" s="42">
        <v>3841.6</v>
      </c>
    </row>
    <row r="12590" spans="1:24">
      <c r="A12590" s="27" t="s">
        <v>22589</v>
      </c>
      <c r="B12590" s="28" t="s">
        <v>19918</v>
      </c>
      <c r="C12590" s="27" t="s">
        <v>22486</v>
      </c>
      <c r="D12590" s="27" t="s">
        <v>17578</v>
      </c>
      <c r="E12590" s="29">
        <v>39782</v>
      </c>
      <c r="F12590" s="27">
        <v>5</v>
      </c>
      <c r="G12590" s="18">
        <v>3841.6</v>
      </c>
      <c r="H12590" s="27">
        <f t="shared" si="392"/>
        <v>3841.6</v>
      </c>
      <c r="I12590" s="18">
        <v>3841.6</v>
      </c>
      <c r="J12590" s="27">
        <v>3841.6</v>
      </c>
      <c r="K12590" s="18">
        <f t="shared" si="393"/>
        <v>3841.6</v>
      </c>
      <c r="L12590" s="27">
        <v>3841.6</v>
      </c>
      <c r="M12590" s="36">
        <v>0</v>
      </c>
      <c r="T12590" s="41">
        <v>0</v>
      </c>
      <c r="U12590" s="41">
        <v>0</v>
      </c>
      <c r="V12590" s="42" t="s">
        <v>113</v>
      </c>
      <c r="W12590" s="42">
        <v>3841.6</v>
      </c>
      <c r="X12590" s="42">
        <v>3841.6</v>
      </c>
    </row>
    <row r="12591" spans="1:24">
      <c r="A12591" s="27" t="s">
        <v>22590</v>
      </c>
      <c r="B12591" s="28" t="s">
        <v>19918</v>
      </c>
      <c r="C12591" s="27" t="s">
        <v>22486</v>
      </c>
      <c r="D12591" s="27" t="s">
        <v>17578</v>
      </c>
      <c r="E12591" s="29">
        <v>39782</v>
      </c>
      <c r="F12591" s="27">
        <v>5</v>
      </c>
      <c r="G12591" s="18">
        <v>3841.6</v>
      </c>
      <c r="H12591" s="27">
        <f t="shared" si="392"/>
        <v>3841.6</v>
      </c>
      <c r="I12591" s="18">
        <v>3841.6</v>
      </c>
      <c r="J12591" s="27">
        <v>3841.6</v>
      </c>
      <c r="K12591" s="18">
        <f t="shared" si="393"/>
        <v>3841.6</v>
      </c>
      <c r="L12591" s="27">
        <v>3841.6</v>
      </c>
      <c r="M12591" s="36">
        <v>0</v>
      </c>
      <c r="T12591" s="41">
        <v>0</v>
      </c>
      <c r="U12591" s="41">
        <v>0</v>
      </c>
      <c r="V12591" s="42" t="s">
        <v>113</v>
      </c>
      <c r="W12591" s="42">
        <v>3841.6</v>
      </c>
      <c r="X12591" s="42">
        <v>3841.6</v>
      </c>
    </row>
    <row r="12592" spans="1:24">
      <c r="A12592" s="27" t="s">
        <v>22591</v>
      </c>
      <c r="B12592" s="28" t="s">
        <v>19918</v>
      </c>
      <c r="C12592" s="27" t="s">
        <v>22486</v>
      </c>
      <c r="D12592" s="27" t="s">
        <v>17578</v>
      </c>
      <c r="E12592" s="29">
        <v>39782</v>
      </c>
      <c r="F12592" s="27">
        <v>5</v>
      </c>
      <c r="G12592" s="18">
        <v>3841.6</v>
      </c>
      <c r="H12592" s="27">
        <f t="shared" si="392"/>
        <v>3841.6</v>
      </c>
      <c r="I12592" s="18">
        <v>3841.6</v>
      </c>
      <c r="J12592" s="27">
        <v>3841.6</v>
      </c>
      <c r="K12592" s="18">
        <f t="shared" si="393"/>
        <v>3841.6</v>
      </c>
      <c r="L12592" s="27">
        <v>3841.6</v>
      </c>
      <c r="M12592" s="36">
        <v>0</v>
      </c>
      <c r="T12592" s="41">
        <v>0</v>
      </c>
      <c r="U12592" s="41">
        <v>0</v>
      </c>
      <c r="V12592" s="42" t="s">
        <v>113</v>
      </c>
      <c r="W12592" s="42">
        <v>3841.6</v>
      </c>
      <c r="X12592" s="42">
        <v>3841.6</v>
      </c>
    </row>
    <row r="12593" spans="1:24">
      <c r="A12593" s="27" t="s">
        <v>22592</v>
      </c>
      <c r="B12593" s="28" t="s">
        <v>19918</v>
      </c>
      <c r="C12593" s="27" t="s">
        <v>22486</v>
      </c>
      <c r="D12593" s="27" t="s">
        <v>17578</v>
      </c>
      <c r="E12593" s="29">
        <v>39782</v>
      </c>
      <c r="F12593" s="27">
        <v>5</v>
      </c>
      <c r="G12593" s="18">
        <v>3841.6</v>
      </c>
      <c r="H12593" s="27">
        <f t="shared" si="392"/>
        <v>3841.6</v>
      </c>
      <c r="I12593" s="18">
        <v>3841.6</v>
      </c>
      <c r="J12593" s="27">
        <v>3841.6</v>
      </c>
      <c r="K12593" s="18">
        <f t="shared" si="393"/>
        <v>3841.6</v>
      </c>
      <c r="L12593" s="27">
        <v>3841.6</v>
      </c>
      <c r="M12593" s="36">
        <v>0</v>
      </c>
      <c r="T12593" s="41">
        <v>0</v>
      </c>
      <c r="U12593" s="41">
        <v>0</v>
      </c>
      <c r="V12593" s="42" t="s">
        <v>113</v>
      </c>
      <c r="W12593" s="42">
        <v>3841.6</v>
      </c>
      <c r="X12593" s="42">
        <v>3841.6</v>
      </c>
    </row>
    <row r="12594" spans="1:24">
      <c r="A12594" s="27" t="s">
        <v>22593</v>
      </c>
      <c r="B12594" s="28" t="s">
        <v>19918</v>
      </c>
      <c r="C12594" s="27" t="s">
        <v>22486</v>
      </c>
      <c r="D12594" s="27" t="s">
        <v>17578</v>
      </c>
      <c r="E12594" s="29">
        <v>39782</v>
      </c>
      <c r="F12594" s="27">
        <v>5</v>
      </c>
      <c r="G12594" s="18">
        <v>3841.6</v>
      </c>
      <c r="H12594" s="27">
        <f t="shared" si="392"/>
        <v>3841.6</v>
      </c>
      <c r="I12594" s="18">
        <v>3841.6</v>
      </c>
      <c r="J12594" s="27">
        <v>3841.6</v>
      </c>
      <c r="K12594" s="18">
        <f t="shared" si="393"/>
        <v>3841.6</v>
      </c>
      <c r="L12594" s="27">
        <v>3841.6</v>
      </c>
      <c r="M12594" s="36">
        <v>0</v>
      </c>
      <c r="T12594" s="41">
        <v>0</v>
      </c>
      <c r="U12594" s="41">
        <v>0</v>
      </c>
      <c r="V12594" s="42" t="s">
        <v>113</v>
      </c>
      <c r="W12594" s="42">
        <v>3841.6</v>
      </c>
      <c r="X12594" s="42">
        <v>3841.6</v>
      </c>
    </row>
    <row r="12595" spans="1:24">
      <c r="A12595" s="27" t="s">
        <v>22594</v>
      </c>
      <c r="B12595" s="28" t="s">
        <v>19918</v>
      </c>
      <c r="C12595" s="27" t="s">
        <v>22486</v>
      </c>
      <c r="D12595" s="27" t="s">
        <v>17578</v>
      </c>
      <c r="E12595" s="29">
        <v>39782</v>
      </c>
      <c r="F12595" s="27">
        <v>5</v>
      </c>
      <c r="G12595" s="18">
        <v>3841.6</v>
      </c>
      <c r="H12595" s="27">
        <f t="shared" si="392"/>
        <v>3841.6</v>
      </c>
      <c r="I12595" s="18">
        <v>3841.6</v>
      </c>
      <c r="J12595" s="27">
        <v>3841.6</v>
      </c>
      <c r="K12595" s="18">
        <f t="shared" si="393"/>
        <v>3841.6</v>
      </c>
      <c r="L12595" s="27">
        <v>3841.6</v>
      </c>
      <c r="M12595" s="36">
        <v>0</v>
      </c>
      <c r="T12595" s="41">
        <v>0</v>
      </c>
      <c r="U12595" s="41">
        <v>0</v>
      </c>
      <c r="V12595" s="42" t="s">
        <v>113</v>
      </c>
      <c r="W12595" s="42">
        <v>3841.6</v>
      </c>
      <c r="X12595" s="42">
        <v>3841.6</v>
      </c>
    </row>
    <row r="12596" spans="1:24">
      <c r="A12596" s="27" t="s">
        <v>22595</v>
      </c>
      <c r="B12596" s="28" t="s">
        <v>19918</v>
      </c>
      <c r="C12596" s="27" t="s">
        <v>22486</v>
      </c>
      <c r="D12596" s="27" t="s">
        <v>17578</v>
      </c>
      <c r="E12596" s="29">
        <v>39782</v>
      </c>
      <c r="F12596" s="27">
        <v>5</v>
      </c>
      <c r="G12596" s="18">
        <v>3841.6</v>
      </c>
      <c r="H12596" s="27">
        <f t="shared" si="392"/>
        <v>3841.6</v>
      </c>
      <c r="I12596" s="18">
        <v>3841.6</v>
      </c>
      <c r="J12596" s="27">
        <v>3841.6</v>
      </c>
      <c r="K12596" s="18">
        <f t="shared" si="393"/>
        <v>3841.6</v>
      </c>
      <c r="L12596" s="27">
        <v>3841.6</v>
      </c>
      <c r="M12596" s="36">
        <v>0</v>
      </c>
      <c r="T12596" s="41">
        <v>0</v>
      </c>
      <c r="U12596" s="41">
        <v>0</v>
      </c>
      <c r="V12596" s="42" t="s">
        <v>113</v>
      </c>
      <c r="W12596" s="42">
        <v>3841.6</v>
      </c>
      <c r="X12596" s="42">
        <v>3841.6</v>
      </c>
    </row>
    <row r="12597" spans="1:24">
      <c r="A12597" s="27" t="s">
        <v>22596</v>
      </c>
      <c r="B12597" s="28" t="s">
        <v>19918</v>
      </c>
      <c r="C12597" s="27" t="s">
        <v>22486</v>
      </c>
      <c r="D12597" s="27" t="s">
        <v>17578</v>
      </c>
      <c r="E12597" s="29">
        <v>39782</v>
      </c>
      <c r="F12597" s="27">
        <v>5</v>
      </c>
      <c r="G12597" s="18">
        <v>3841.6</v>
      </c>
      <c r="H12597" s="27">
        <f t="shared" si="392"/>
        <v>3841.6</v>
      </c>
      <c r="I12597" s="18">
        <v>3841.6</v>
      </c>
      <c r="J12597" s="27">
        <v>3841.6</v>
      </c>
      <c r="K12597" s="18">
        <f t="shared" si="393"/>
        <v>3841.6</v>
      </c>
      <c r="L12597" s="27">
        <v>3841.6</v>
      </c>
      <c r="M12597" s="36">
        <v>0</v>
      </c>
      <c r="T12597" s="41">
        <v>0</v>
      </c>
      <c r="U12597" s="41">
        <v>0</v>
      </c>
      <c r="V12597" s="42" t="s">
        <v>113</v>
      </c>
      <c r="W12597" s="42">
        <v>3841.6</v>
      </c>
      <c r="X12597" s="42">
        <v>3841.6</v>
      </c>
    </row>
    <row r="12598" spans="1:24">
      <c r="A12598" s="27" t="s">
        <v>22597</v>
      </c>
      <c r="B12598" s="28" t="s">
        <v>19918</v>
      </c>
      <c r="C12598" s="27" t="s">
        <v>22486</v>
      </c>
      <c r="D12598" s="27" t="s">
        <v>17578</v>
      </c>
      <c r="E12598" s="29">
        <v>39782</v>
      </c>
      <c r="F12598" s="27">
        <v>5</v>
      </c>
      <c r="G12598" s="18">
        <v>3841.6</v>
      </c>
      <c r="H12598" s="27">
        <f t="shared" si="392"/>
        <v>3841.6</v>
      </c>
      <c r="I12598" s="18">
        <v>3841.6</v>
      </c>
      <c r="J12598" s="27">
        <v>3841.6</v>
      </c>
      <c r="K12598" s="18">
        <f t="shared" si="393"/>
        <v>3841.6</v>
      </c>
      <c r="L12598" s="27">
        <v>3841.6</v>
      </c>
      <c r="M12598" s="36">
        <v>0</v>
      </c>
      <c r="T12598" s="41">
        <v>0</v>
      </c>
      <c r="U12598" s="41">
        <v>0</v>
      </c>
      <c r="V12598" s="42" t="s">
        <v>113</v>
      </c>
      <c r="W12598" s="42">
        <v>3841.6</v>
      </c>
      <c r="X12598" s="42">
        <v>3841.6</v>
      </c>
    </row>
    <row r="12599" spans="1:24">
      <c r="A12599" s="27" t="s">
        <v>22598</v>
      </c>
      <c r="B12599" s="28" t="s">
        <v>19918</v>
      </c>
      <c r="C12599" s="27" t="s">
        <v>22486</v>
      </c>
      <c r="D12599" s="27" t="s">
        <v>17578</v>
      </c>
      <c r="E12599" s="29">
        <v>39782</v>
      </c>
      <c r="F12599" s="27">
        <v>5</v>
      </c>
      <c r="G12599" s="18">
        <v>3841.6</v>
      </c>
      <c r="H12599" s="27">
        <f t="shared" si="392"/>
        <v>3841.6</v>
      </c>
      <c r="I12599" s="18">
        <v>3841.6</v>
      </c>
      <c r="J12599" s="27">
        <v>3841.6</v>
      </c>
      <c r="K12599" s="18">
        <f t="shared" si="393"/>
        <v>3841.6</v>
      </c>
      <c r="L12599" s="27">
        <v>3841.6</v>
      </c>
      <c r="M12599" s="36">
        <v>0</v>
      </c>
      <c r="T12599" s="41">
        <v>0</v>
      </c>
      <c r="U12599" s="41">
        <v>0</v>
      </c>
      <c r="V12599" s="42" t="s">
        <v>113</v>
      </c>
      <c r="W12599" s="42">
        <v>3841.6</v>
      </c>
      <c r="X12599" s="42">
        <v>3841.6</v>
      </c>
    </row>
    <row r="12600" spans="1:24">
      <c r="A12600" s="27" t="s">
        <v>22599</v>
      </c>
      <c r="B12600" s="28" t="s">
        <v>19918</v>
      </c>
      <c r="C12600" s="27" t="s">
        <v>22486</v>
      </c>
      <c r="D12600" s="27" t="s">
        <v>17578</v>
      </c>
      <c r="E12600" s="29">
        <v>39782</v>
      </c>
      <c r="F12600" s="27">
        <v>5</v>
      </c>
      <c r="G12600" s="18">
        <v>3841.6</v>
      </c>
      <c r="H12600" s="27">
        <f t="shared" si="392"/>
        <v>3841.6</v>
      </c>
      <c r="I12600" s="18">
        <v>3841.6</v>
      </c>
      <c r="J12600" s="27">
        <v>3841.6</v>
      </c>
      <c r="K12600" s="18">
        <f t="shared" si="393"/>
        <v>3841.6</v>
      </c>
      <c r="L12600" s="27">
        <v>3841.6</v>
      </c>
      <c r="M12600" s="36">
        <v>0</v>
      </c>
      <c r="T12600" s="41">
        <v>0</v>
      </c>
      <c r="U12600" s="41">
        <v>0</v>
      </c>
      <c r="V12600" s="42" t="s">
        <v>113</v>
      </c>
      <c r="W12600" s="42">
        <v>3841.6</v>
      </c>
      <c r="X12600" s="42">
        <v>3841.6</v>
      </c>
    </row>
    <row r="12601" spans="1:24">
      <c r="A12601" s="27" t="s">
        <v>22600</v>
      </c>
      <c r="B12601" s="28" t="s">
        <v>19918</v>
      </c>
      <c r="C12601" s="27" t="s">
        <v>22486</v>
      </c>
      <c r="D12601" s="27" t="s">
        <v>17578</v>
      </c>
      <c r="E12601" s="29">
        <v>39963</v>
      </c>
      <c r="F12601" s="27">
        <v>5</v>
      </c>
      <c r="G12601" s="18">
        <v>4900</v>
      </c>
      <c r="H12601" s="27">
        <f t="shared" si="392"/>
        <v>4900</v>
      </c>
      <c r="I12601" s="18">
        <v>4900</v>
      </c>
      <c r="J12601" s="27">
        <v>4900</v>
      </c>
      <c r="K12601" s="18">
        <f t="shared" si="393"/>
        <v>4900</v>
      </c>
      <c r="L12601" s="27">
        <v>4900</v>
      </c>
      <c r="M12601" s="36">
        <v>0</v>
      </c>
      <c r="T12601" s="41">
        <v>0</v>
      </c>
      <c r="U12601" s="41">
        <v>0</v>
      </c>
      <c r="V12601" s="42" t="s">
        <v>113</v>
      </c>
      <c r="W12601" s="42">
        <v>4900</v>
      </c>
      <c r="X12601" s="42">
        <v>4900</v>
      </c>
    </row>
    <row r="12602" spans="1:24">
      <c r="A12602" s="27" t="s">
        <v>22601</v>
      </c>
      <c r="B12602" s="28" t="s">
        <v>19918</v>
      </c>
      <c r="C12602" s="27" t="s">
        <v>22602</v>
      </c>
      <c r="D12602" s="27" t="s">
        <v>17578</v>
      </c>
      <c r="E12602" s="29">
        <v>41570</v>
      </c>
      <c r="F12602" s="27">
        <v>5</v>
      </c>
      <c r="G12602" s="18">
        <v>7470.09</v>
      </c>
      <c r="H12602" s="27">
        <f t="shared" si="392"/>
        <v>7470.09</v>
      </c>
      <c r="I12602" s="18">
        <v>7096.59</v>
      </c>
      <c r="J12602" s="27">
        <v>7470.09</v>
      </c>
      <c r="K12602" s="18">
        <f t="shared" si="393"/>
        <v>7470.09</v>
      </c>
      <c r="L12602" s="27">
        <v>7096.59</v>
      </c>
      <c r="M12602" s="36">
        <v>0</v>
      </c>
      <c r="T12602" s="41">
        <v>0</v>
      </c>
      <c r="U12602" s="41">
        <v>0</v>
      </c>
      <c r="V12602" s="42" t="s">
        <v>113</v>
      </c>
      <c r="W12602" s="42">
        <v>7470.09</v>
      </c>
      <c r="X12602" s="42">
        <v>7470.09</v>
      </c>
    </row>
    <row r="12603" spans="1:24">
      <c r="A12603" s="27" t="s">
        <v>22603</v>
      </c>
      <c r="B12603" s="28" t="s">
        <v>19918</v>
      </c>
      <c r="C12603" s="27" t="s">
        <v>22604</v>
      </c>
      <c r="D12603" s="27" t="s">
        <v>17578</v>
      </c>
      <c r="E12603" s="29">
        <v>41570</v>
      </c>
      <c r="F12603" s="27">
        <v>5</v>
      </c>
      <c r="G12603" s="18">
        <v>20700.849999999999</v>
      </c>
      <c r="H12603" s="27">
        <f t="shared" si="392"/>
        <v>20700.849999999999</v>
      </c>
      <c r="I12603" s="18">
        <v>19665.810000000001</v>
      </c>
      <c r="J12603" s="27">
        <v>20700.849999999999</v>
      </c>
      <c r="K12603" s="18">
        <f t="shared" si="393"/>
        <v>20700.849999999999</v>
      </c>
      <c r="L12603" s="27">
        <v>19665.810000000001</v>
      </c>
      <c r="M12603" s="36">
        <v>0</v>
      </c>
      <c r="T12603" s="41">
        <v>0</v>
      </c>
      <c r="U12603" s="41">
        <v>0</v>
      </c>
      <c r="V12603" s="42" t="s">
        <v>113</v>
      </c>
      <c r="W12603" s="42">
        <v>20700.849999999999</v>
      </c>
      <c r="X12603" s="42">
        <v>20700.849999999999</v>
      </c>
    </row>
    <row r="12604" spans="1:24">
      <c r="A12604" s="27" t="s">
        <v>22605</v>
      </c>
      <c r="B12604" s="28" t="s">
        <v>19918</v>
      </c>
      <c r="C12604" s="27" t="s">
        <v>22606</v>
      </c>
      <c r="D12604" s="27" t="s">
        <v>17578</v>
      </c>
      <c r="E12604" s="29">
        <v>41872</v>
      </c>
      <c r="F12604" s="27">
        <v>5</v>
      </c>
      <c r="G12604" s="18">
        <v>4273.51</v>
      </c>
      <c r="H12604" s="27">
        <f t="shared" si="392"/>
        <v>4273.51</v>
      </c>
      <c r="I12604" s="18">
        <v>4273.51</v>
      </c>
      <c r="J12604" s="27">
        <v>4273.51</v>
      </c>
      <c r="K12604" s="18">
        <f t="shared" si="393"/>
        <v>4273.51</v>
      </c>
      <c r="L12604" s="27">
        <v>4273.51</v>
      </c>
      <c r="M12604" s="36">
        <v>0</v>
      </c>
      <c r="T12604" s="41">
        <v>0</v>
      </c>
      <c r="U12604" s="41">
        <v>0</v>
      </c>
      <c r="V12604" s="42" t="s">
        <v>113</v>
      </c>
      <c r="W12604" s="42">
        <v>4273.51</v>
      </c>
      <c r="X12604" s="42">
        <v>4273.51</v>
      </c>
    </row>
    <row r="12605" spans="1:24">
      <c r="A12605" s="27" t="s">
        <v>22607</v>
      </c>
      <c r="B12605" s="28" t="s">
        <v>19918</v>
      </c>
      <c r="C12605" s="27" t="s">
        <v>22608</v>
      </c>
      <c r="D12605" s="27" t="s">
        <v>17578</v>
      </c>
      <c r="E12605" s="29">
        <v>41872</v>
      </c>
      <c r="F12605" s="27">
        <v>5</v>
      </c>
      <c r="G12605" s="18">
        <v>4273.51</v>
      </c>
      <c r="H12605" s="27">
        <f t="shared" si="392"/>
        <v>4273.51</v>
      </c>
      <c r="I12605" s="18">
        <v>4273.51</v>
      </c>
      <c r="J12605" s="27">
        <v>4273.51</v>
      </c>
      <c r="K12605" s="18">
        <f t="shared" si="393"/>
        <v>4273.51</v>
      </c>
      <c r="L12605" s="27">
        <v>4273.51</v>
      </c>
      <c r="M12605" s="36">
        <v>0</v>
      </c>
      <c r="T12605" s="41">
        <v>0</v>
      </c>
      <c r="U12605" s="41">
        <v>0</v>
      </c>
      <c r="V12605" s="42" t="s">
        <v>113</v>
      </c>
      <c r="W12605" s="42">
        <v>4273.51</v>
      </c>
      <c r="X12605" s="42">
        <v>4273.51</v>
      </c>
    </row>
    <row r="12606" spans="1:24">
      <c r="A12606" s="27" t="s">
        <v>22609</v>
      </c>
      <c r="B12606" s="28" t="s">
        <v>19918</v>
      </c>
      <c r="C12606" s="27" t="s">
        <v>22610</v>
      </c>
      <c r="D12606" s="27" t="s">
        <v>17578</v>
      </c>
      <c r="E12606" s="29">
        <v>41872</v>
      </c>
      <c r="F12606" s="27">
        <v>5</v>
      </c>
      <c r="G12606" s="18">
        <v>4273.51</v>
      </c>
      <c r="H12606" s="27">
        <f t="shared" si="392"/>
        <v>4273.51</v>
      </c>
      <c r="I12606" s="18">
        <v>4273.51</v>
      </c>
      <c r="J12606" s="27">
        <v>4273.51</v>
      </c>
      <c r="K12606" s="18">
        <f t="shared" si="393"/>
        <v>4273.51</v>
      </c>
      <c r="L12606" s="27">
        <v>4273.51</v>
      </c>
      <c r="M12606" s="36">
        <v>0</v>
      </c>
      <c r="T12606" s="41">
        <v>0</v>
      </c>
      <c r="U12606" s="41">
        <v>0</v>
      </c>
      <c r="V12606" s="42" t="s">
        <v>113</v>
      </c>
      <c r="W12606" s="42">
        <v>4273.51</v>
      </c>
      <c r="X12606" s="42">
        <v>4273.51</v>
      </c>
    </row>
    <row r="12607" spans="1:24">
      <c r="A12607" s="27" t="s">
        <v>22611</v>
      </c>
      <c r="B12607" s="28" t="s">
        <v>19918</v>
      </c>
      <c r="C12607" s="27" t="s">
        <v>22612</v>
      </c>
      <c r="D12607" s="27" t="s">
        <v>17578</v>
      </c>
      <c r="E12607" s="29">
        <v>41872</v>
      </c>
      <c r="F12607" s="27">
        <v>5</v>
      </c>
      <c r="G12607" s="18">
        <v>4273.51</v>
      </c>
      <c r="H12607" s="27">
        <f t="shared" si="392"/>
        <v>4273.51</v>
      </c>
      <c r="I12607" s="18">
        <v>4273.51</v>
      </c>
      <c r="J12607" s="27">
        <v>4273.51</v>
      </c>
      <c r="K12607" s="18">
        <f t="shared" si="393"/>
        <v>4273.51</v>
      </c>
      <c r="L12607" s="27">
        <v>4273.51</v>
      </c>
      <c r="M12607" s="36">
        <v>0</v>
      </c>
      <c r="T12607" s="41">
        <v>0</v>
      </c>
      <c r="U12607" s="41">
        <v>0</v>
      </c>
      <c r="V12607" s="42" t="s">
        <v>113</v>
      </c>
      <c r="W12607" s="42">
        <v>4273.51</v>
      </c>
      <c r="X12607" s="42">
        <v>4273.51</v>
      </c>
    </row>
    <row r="12608" spans="1:24">
      <c r="A12608" s="27" t="s">
        <v>22613</v>
      </c>
      <c r="B12608" s="28" t="s">
        <v>19918</v>
      </c>
      <c r="C12608" s="27" t="s">
        <v>22614</v>
      </c>
      <c r="D12608" s="27" t="s">
        <v>17578</v>
      </c>
      <c r="E12608" s="29">
        <v>41872</v>
      </c>
      <c r="F12608" s="27">
        <v>5</v>
      </c>
      <c r="G12608" s="18">
        <v>8547.01</v>
      </c>
      <c r="H12608" s="27">
        <f t="shared" si="392"/>
        <v>0</v>
      </c>
      <c r="I12608" s="18">
        <v>7037.04</v>
      </c>
      <c r="J12608" s="27">
        <v>8547.01</v>
      </c>
      <c r="K12608" s="18">
        <f t="shared" si="393"/>
        <v>8547.01</v>
      </c>
      <c r="L12608" s="27">
        <v>8119.66</v>
      </c>
      <c r="M12608" s="36">
        <v>1082.6199999999999</v>
      </c>
      <c r="T12608" s="41">
        <v>0</v>
      </c>
      <c r="U12608" s="41">
        <v>0</v>
      </c>
      <c r="V12608" s="42" t="s">
        <v>113</v>
      </c>
      <c r="W12608" s="42">
        <v>8547.01</v>
      </c>
      <c r="X12608" s="42">
        <v>8547.01</v>
      </c>
    </row>
    <row r="12609" spans="1:24">
      <c r="A12609" s="27" t="s">
        <v>22615</v>
      </c>
      <c r="B12609" s="28" t="s">
        <v>19918</v>
      </c>
      <c r="C12609" s="27" t="s">
        <v>22616</v>
      </c>
      <c r="D12609" s="27" t="s">
        <v>17578</v>
      </c>
      <c r="E12609" s="29">
        <v>41872</v>
      </c>
      <c r="F12609" s="27">
        <v>5</v>
      </c>
      <c r="G12609" s="18">
        <v>8547.01</v>
      </c>
      <c r="H12609" s="27">
        <f t="shared" si="392"/>
        <v>0</v>
      </c>
      <c r="I12609" s="18">
        <v>7037.04</v>
      </c>
      <c r="J12609" s="27">
        <v>8547.01</v>
      </c>
      <c r="K12609" s="18">
        <f t="shared" si="393"/>
        <v>8547.01</v>
      </c>
      <c r="L12609" s="27">
        <v>8119.66</v>
      </c>
      <c r="M12609" s="36">
        <v>1082.6199999999999</v>
      </c>
      <c r="T12609" s="41">
        <v>0</v>
      </c>
      <c r="U12609" s="41">
        <v>0</v>
      </c>
      <c r="V12609" s="42" t="s">
        <v>113</v>
      </c>
      <c r="W12609" s="42">
        <v>8547.01</v>
      </c>
      <c r="X12609" s="42">
        <v>8547.01</v>
      </c>
    </row>
    <row r="12610" spans="1:24">
      <c r="A12610" s="27" t="s">
        <v>22617</v>
      </c>
      <c r="B12610" s="28" t="s">
        <v>19918</v>
      </c>
      <c r="C12610" s="27" t="s">
        <v>22618</v>
      </c>
      <c r="D12610" s="27" t="s">
        <v>17578</v>
      </c>
      <c r="E12610" s="29">
        <v>41872</v>
      </c>
      <c r="F12610" s="27">
        <v>5</v>
      </c>
      <c r="G12610" s="18">
        <v>8547.01</v>
      </c>
      <c r="H12610" s="27">
        <f t="shared" si="392"/>
        <v>0</v>
      </c>
      <c r="I12610" s="18">
        <v>7037.04</v>
      </c>
      <c r="J12610" s="27">
        <v>8547.01</v>
      </c>
      <c r="K12610" s="18">
        <f t="shared" si="393"/>
        <v>8547.01</v>
      </c>
      <c r="L12610" s="27">
        <v>8119.66</v>
      </c>
      <c r="M12610" s="36">
        <v>1082.6199999999999</v>
      </c>
      <c r="T12610" s="41">
        <v>0</v>
      </c>
      <c r="U12610" s="41">
        <v>0</v>
      </c>
      <c r="V12610" s="42" t="s">
        <v>113</v>
      </c>
      <c r="W12610" s="42">
        <v>8547.01</v>
      </c>
      <c r="X12610" s="42">
        <v>8547.01</v>
      </c>
    </row>
    <row r="12611" spans="1:24">
      <c r="A12611" s="27" t="s">
        <v>22619</v>
      </c>
      <c r="B12611" s="28" t="s">
        <v>19918</v>
      </c>
      <c r="C12611" s="27" t="s">
        <v>22620</v>
      </c>
      <c r="D12611" s="27" t="s">
        <v>17578</v>
      </c>
      <c r="E12611" s="29">
        <v>41872</v>
      </c>
      <c r="F12611" s="27">
        <v>5</v>
      </c>
      <c r="G12611" s="18">
        <v>5940.17</v>
      </c>
      <c r="H12611" s="27">
        <f t="shared" si="392"/>
        <v>0</v>
      </c>
      <c r="I12611" s="18">
        <v>4890.74</v>
      </c>
      <c r="J12611" s="27">
        <v>5940.17</v>
      </c>
      <c r="K12611" s="18">
        <f t="shared" si="393"/>
        <v>5940.17</v>
      </c>
      <c r="L12611" s="27">
        <v>5643.16</v>
      </c>
      <c r="M12611" s="36">
        <v>752.42</v>
      </c>
      <c r="T12611" s="41">
        <v>0</v>
      </c>
      <c r="U12611" s="41">
        <v>0</v>
      </c>
      <c r="V12611" s="42" t="s">
        <v>113</v>
      </c>
      <c r="W12611" s="42">
        <v>5940.17</v>
      </c>
      <c r="X12611" s="42">
        <v>5940.17</v>
      </c>
    </row>
    <row r="12612" spans="1:24">
      <c r="A12612" s="27" t="s">
        <v>22621</v>
      </c>
      <c r="B12612" s="28" t="s">
        <v>19918</v>
      </c>
      <c r="C12612" s="27" t="s">
        <v>22622</v>
      </c>
      <c r="D12612" s="27" t="s">
        <v>17578</v>
      </c>
      <c r="E12612" s="29">
        <v>41872</v>
      </c>
      <c r="F12612" s="27">
        <v>5</v>
      </c>
      <c r="G12612" s="18">
        <v>5940.17</v>
      </c>
      <c r="H12612" s="27">
        <f t="shared" si="392"/>
        <v>0</v>
      </c>
      <c r="I12612" s="18">
        <v>4890.74</v>
      </c>
      <c r="J12612" s="27">
        <v>5940.17</v>
      </c>
      <c r="K12612" s="18">
        <f t="shared" si="393"/>
        <v>5940.17</v>
      </c>
      <c r="L12612" s="27">
        <v>5643.16</v>
      </c>
      <c r="M12612" s="36">
        <v>752.42</v>
      </c>
      <c r="T12612" s="41">
        <v>0</v>
      </c>
      <c r="U12612" s="41">
        <v>0</v>
      </c>
      <c r="V12612" s="42" t="s">
        <v>113</v>
      </c>
      <c r="W12612" s="42">
        <v>5940.17</v>
      </c>
      <c r="X12612" s="42">
        <v>5940.17</v>
      </c>
    </row>
    <row r="12613" spans="1:24">
      <c r="A12613" s="27" t="s">
        <v>22623</v>
      </c>
      <c r="B12613" s="28" t="s">
        <v>19918</v>
      </c>
      <c r="C12613" s="27" t="s">
        <v>22624</v>
      </c>
      <c r="D12613" s="27" t="s">
        <v>17578</v>
      </c>
      <c r="E12613" s="29">
        <v>41872</v>
      </c>
      <c r="F12613" s="27">
        <v>5</v>
      </c>
      <c r="G12613" s="18">
        <v>5940.17</v>
      </c>
      <c r="H12613" s="27">
        <f t="shared" si="392"/>
        <v>0</v>
      </c>
      <c r="I12613" s="18">
        <v>4890.74</v>
      </c>
      <c r="J12613" s="27">
        <v>5940.17</v>
      </c>
      <c r="K12613" s="18">
        <f t="shared" si="393"/>
        <v>5940.17</v>
      </c>
      <c r="L12613" s="27">
        <v>5643.16</v>
      </c>
      <c r="M12613" s="36">
        <v>752.42</v>
      </c>
      <c r="T12613" s="41">
        <v>0</v>
      </c>
      <c r="U12613" s="41">
        <v>0</v>
      </c>
      <c r="V12613" s="42" t="s">
        <v>113</v>
      </c>
      <c r="W12613" s="42">
        <v>5940.17</v>
      </c>
      <c r="X12613" s="42">
        <v>5940.17</v>
      </c>
    </row>
    <row r="12614" spans="1:24">
      <c r="A12614" s="27" t="s">
        <v>22625</v>
      </c>
      <c r="B12614" s="28" t="s">
        <v>19918</v>
      </c>
      <c r="C12614" s="27" t="s">
        <v>22626</v>
      </c>
      <c r="D12614" s="27" t="s">
        <v>17578</v>
      </c>
      <c r="E12614" s="29">
        <v>41872</v>
      </c>
      <c r="F12614" s="27">
        <v>5</v>
      </c>
      <c r="G12614" s="18">
        <v>5940.17</v>
      </c>
      <c r="H12614" s="27">
        <f t="shared" ref="H12614:H12677" si="394">IFERROR(IF(ROUND((G12614-I12614)/G12614,2)&lt;=0.05,G12614,0),0)</f>
        <v>0</v>
      </c>
      <c r="I12614" s="18">
        <v>4890.74</v>
      </c>
      <c r="J12614" s="27">
        <v>5940.17</v>
      </c>
      <c r="K12614" s="18">
        <f t="shared" ref="K12614:K12677" si="395">IFERROR(IF(ROUND((J12614-L12614)/J12614,2)&lt;=0.05,J12614,0),0)</f>
        <v>5940.17</v>
      </c>
      <c r="L12614" s="27">
        <v>5643.16</v>
      </c>
      <c r="M12614" s="36">
        <v>752.42</v>
      </c>
      <c r="T12614" s="41">
        <v>0</v>
      </c>
      <c r="U12614" s="41">
        <v>0</v>
      </c>
      <c r="V12614" s="42" t="s">
        <v>113</v>
      </c>
      <c r="W12614" s="42">
        <v>5940.17</v>
      </c>
      <c r="X12614" s="42">
        <v>5940.17</v>
      </c>
    </row>
    <row r="12615" spans="1:24">
      <c r="A12615" s="27" t="s">
        <v>22627</v>
      </c>
      <c r="B12615" s="28" t="s">
        <v>19918</v>
      </c>
      <c r="C12615" s="27" t="s">
        <v>22628</v>
      </c>
      <c r="D12615" s="27" t="s">
        <v>17578</v>
      </c>
      <c r="E12615" s="29">
        <v>42318</v>
      </c>
      <c r="F12615" s="27">
        <v>5</v>
      </c>
      <c r="G12615" s="18">
        <v>2948.71</v>
      </c>
      <c r="H12615" s="27">
        <f t="shared" si="394"/>
        <v>2948.71</v>
      </c>
      <c r="I12615" s="18">
        <v>2948.71</v>
      </c>
      <c r="J12615" s="27">
        <v>2948.71</v>
      </c>
      <c r="K12615" s="18">
        <f t="shared" si="395"/>
        <v>2948.71</v>
      </c>
      <c r="L12615" s="27">
        <v>2948.71</v>
      </c>
      <c r="M12615" s="36">
        <v>0</v>
      </c>
      <c r="T12615" s="41">
        <v>0</v>
      </c>
      <c r="U12615" s="41">
        <v>0</v>
      </c>
      <c r="V12615" s="42" t="s">
        <v>113</v>
      </c>
      <c r="W12615" s="42">
        <v>2948.71</v>
      </c>
      <c r="X12615" s="42">
        <v>2948.71</v>
      </c>
    </row>
    <row r="12616" spans="1:24">
      <c r="A12616" s="27" t="s">
        <v>22629</v>
      </c>
      <c r="B12616" s="28" t="s">
        <v>19918</v>
      </c>
      <c r="C12616" s="27" t="s">
        <v>22630</v>
      </c>
      <c r="D12616" s="27" t="s">
        <v>17578</v>
      </c>
      <c r="E12616" s="29">
        <v>42318</v>
      </c>
      <c r="F12616" s="27">
        <v>5</v>
      </c>
      <c r="G12616" s="18">
        <v>2948.72</v>
      </c>
      <c r="H12616" s="27">
        <f t="shared" si="394"/>
        <v>2948.72</v>
      </c>
      <c r="I12616" s="18">
        <v>2948.72</v>
      </c>
      <c r="J12616" s="27">
        <v>2948.72</v>
      </c>
      <c r="K12616" s="18">
        <f t="shared" si="395"/>
        <v>2948.72</v>
      </c>
      <c r="L12616" s="27">
        <v>2948.72</v>
      </c>
      <c r="M12616" s="36">
        <v>0</v>
      </c>
      <c r="T12616" s="41">
        <v>0</v>
      </c>
      <c r="U12616" s="41">
        <v>0</v>
      </c>
      <c r="V12616" s="42" t="s">
        <v>113</v>
      </c>
      <c r="W12616" s="42">
        <v>2948.72</v>
      </c>
      <c r="X12616" s="42">
        <v>2948.72</v>
      </c>
    </row>
    <row r="12617" spans="1:24">
      <c r="A12617" s="27" t="s">
        <v>22631</v>
      </c>
      <c r="B12617" s="28" t="s">
        <v>19918</v>
      </c>
      <c r="C12617" s="27" t="s">
        <v>22632</v>
      </c>
      <c r="D12617" s="27" t="s">
        <v>17578</v>
      </c>
      <c r="E12617" s="29">
        <v>42318</v>
      </c>
      <c r="F12617" s="27">
        <v>5</v>
      </c>
      <c r="G12617" s="18">
        <v>2948.72</v>
      </c>
      <c r="H12617" s="27">
        <f t="shared" si="394"/>
        <v>2948.72</v>
      </c>
      <c r="I12617" s="18">
        <v>2948.72</v>
      </c>
      <c r="J12617" s="27">
        <v>2948.72</v>
      </c>
      <c r="K12617" s="18">
        <f t="shared" si="395"/>
        <v>2948.72</v>
      </c>
      <c r="L12617" s="27">
        <v>2948.72</v>
      </c>
      <c r="M12617" s="36">
        <v>0</v>
      </c>
      <c r="T12617" s="41">
        <v>0</v>
      </c>
      <c r="U12617" s="41">
        <v>0</v>
      </c>
      <c r="V12617" s="42" t="s">
        <v>113</v>
      </c>
      <c r="W12617" s="42">
        <v>2948.72</v>
      </c>
      <c r="X12617" s="42">
        <v>2948.72</v>
      </c>
    </row>
    <row r="12618" spans="1:24">
      <c r="A12618" s="27" t="s">
        <v>22633</v>
      </c>
      <c r="B12618" s="28" t="s">
        <v>19918</v>
      </c>
      <c r="C12618" s="27" t="s">
        <v>22634</v>
      </c>
      <c r="D12618" s="27" t="s">
        <v>17578</v>
      </c>
      <c r="E12618" s="29">
        <v>42318</v>
      </c>
      <c r="F12618" s="27">
        <v>5</v>
      </c>
      <c r="G12618" s="18">
        <v>2948.72</v>
      </c>
      <c r="H12618" s="27">
        <f t="shared" si="394"/>
        <v>2948.72</v>
      </c>
      <c r="I12618" s="18">
        <v>2948.72</v>
      </c>
      <c r="J12618" s="27">
        <v>2948.72</v>
      </c>
      <c r="K12618" s="18">
        <f t="shared" si="395"/>
        <v>2948.72</v>
      </c>
      <c r="L12618" s="27">
        <v>2948.72</v>
      </c>
      <c r="M12618" s="36">
        <v>0</v>
      </c>
      <c r="T12618" s="41">
        <v>0</v>
      </c>
      <c r="U12618" s="41">
        <v>0</v>
      </c>
      <c r="V12618" s="42" t="s">
        <v>113</v>
      </c>
      <c r="W12618" s="42">
        <v>2948.72</v>
      </c>
      <c r="X12618" s="42">
        <v>2948.72</v>
      </c>
    </row>
    <row r="12619" spans="1:24">
      <c r="A12619" s="27" t="s">
        <v>22635</v>
      </c>
      <c r="B12619" s="28" t="s">
        <v>19918</v>
      </c>
      <c r="C12619" s="27" t="s">
        <v>22636</v>
      </c>
      <c r="D12619" s="27" t="s">
        <v>17578</v>
      </c>
      <c r="E12619" s="29">
        <v>40543</v>
      </c>
      <c r="F12619" s="27">
        <v>5</v>
      </c>
      <c r="G12619" s="18">
        <v>683538.47</v>
      </c>
      <c r="H12619" s="27">
        <f t="shared" si="394"/>
        <v>683538.47</v>
      </c>
      <c r="I12619" s="18">
        <v>649361.55000000005</v>
      </c>
      <c r="J12619" s="27">
        <v>683538.47</v>
      </c>
      <c r="K12619" s="18">
        <f t="shared" si="395"/>
        <v>683538.47</v>
      </c>
      <c r="L12619" s="27">
        <v>649361.55000000005</v>
      </c>
      <c r="M12619" s="36">
        <v>0</v>
      </c>
      <c r="T12619" s="41">
        <v>0</v>
      </c>
      <c r="U12619" s="41">
        <v>0</v>
      </c>
      <c r="V12619" s="42" t="s">
        <v>113</v>
      </c>
      <c r="W12619" s="42">
        <v>683538.47</v>
      </c>
      <c r="X12619" s="42">
        <v>683538.47</v>
      </c>
    </row>
    <row r="12620" spans="1:24">
      <c r="A12620" s="27" t="s">
        <v>22637</v>
      </c>
      <c r="B12620" s="28" t="s">
        <v>19918</v>
      </c>
      <c r="C12620" s="27" t="s">
        <v>22638</v>
      </c>
      <c r="D12620" s="27" t="s">
        <v>17578</v>
      </c>
      <c r="E12620" s="29">
        <v>40543</v>
      </c>
      <c r="F12620" s="27">
        <v>5</v>
      </c>
      <c r="G12620" s="18">
        <v>7265.04</v>
      </c>
      <c r="H12620" s="27">
        <f t="shared" si="394"/>
        <v>7265.04</v>
      </c>
      <c r="I12620" s="18">
        <v>6901.79</v>
      </c>
      <c r="J12620" s="27">
        <v>7265.04</v>
      </c>
      <c r="K12620" s="18">
        <f t="shared" si="395"/>
        <v>7265.04</v>
      </c>
      <c r="L12620" s="27">
        <v>6901.79</v>
      </c>
      <c r="M12620" s="36">
        <v>0</v>
      </c>
      <c r="T12620" s="41">
        <v>0</v>
      </c>
      <c r="U12620" s="41">
        <v>0</v>
      </c>
      <c r="V12620" s="42" t="s">
        <v>113</v>
      </c>
      <c r="W12620" s="42">
        <v>7265.04</v>
      </c>
      <c r="X12620" s="42">
        <v>7265.04</v>
      </c>
    </row>
    <row r="12621" spans="1:24">
      <c r="A12621" s="27" t="s">
        <v>22639</v>
      </c>
      <c r="B12621" s="28" t="s">
        <v>19918</v>
      </c>
      <c r="C12621" s="27" t="s">
        <v>22638</v>
      </c>
      <c r="D12621" s="27" t="s">
        <v>17578</v>
      </c>
      <c r="E12621" s="29">
        <v>40543</v>
      </c>
      <c r="F12621" s="27">
        <v>5</v>
      </c>
      <c r="G12621" s="18">
        <v>7264.95</v>
      </c>
      <c r="H12621" s="27">
        <f t="shared" si="394"/>
        <v>7264.95</v>
      </c>
      <c r="I12621" s="18">
        <v>6901.7</v>
      </c>
      <c r="J12621" s="27">
        <v>7264.95</v>
      </c>
      <c r="K12621" s="18">
        <f t="shared" si="395"/>
        <v>7264.95</v>
      </c>
      <c r="L12621" s="27">
        <v>6901.7</v>
      </c>
      <c r="M12621" s="36">
        <v>0</v>
      </c>
      <c r="T12621" s="41">
        <v>0</v>
      </c>
      <c r="U12621" s="41">
        <v>0</v>
      </c>
      <c r="V12621" s="42" t="s">
        <v>113</v>
      </c>
      <c r="W12621" s="42">
        <v>7264.95</v>
      </c>
      <c r="X12621" s="42">
        <v>7264.95</v>
      </c>
    </row>
    <row r="12622" spans="1:24">
      <c r="A12622" s="27" t="s">
        <v>22640</v>
      </c>
      <c r="B12622" s="28" t="s">
        <v>19918</v>
      </c>
      <c r="C12622" s="27" t="s">
        <v>22638</v>
      </c>
      <c r="D12622" s="27" t="s">
        <v>17578</v>
      </c>
      <c r="E12622" s="29">
        <v>40543</v>
      </c>
      <c r="F12622" s="27">
        <v>5</v>
      </c>
      <c r="G12622" s="18">
        <v>7264.95</v>
      </c>
      <c r="H12622" s="27">
        <f t="shared" si="394"/>
        <v>7264.95</v>
      </c>
      <c r="I12622" s="18">
        <v>6901.7</v>
      </c>
      <c r="J12622" s="27">
        <v>7264.95</v>
      </c>
      <c r="K12622" s="18">
        <f t="shared" si="395"/>
        <v>7264.95</v>
      </c>
      <c r="L12622" s="27">
        <v>6901.7</v>
      </c>
      <c r="M12622" s="36">
        <v>0</v>
      </c>
      <c r="T12622" s="41">
        <v>0</v>
      </c>
      <c r="U12622" s="41">
        <v>0</v>
      </c>
      <c r="V12622" s="42" t="s">
        <v>113</v>
      </c>
      <c r="W12622" s="42">
        <v>7264.95</v>
      </c>
      <c r="X12622" s="42">
        <v>7264.95</v>
      </c>
    </row>
    <row r="12623" spans="1:24">
      <c r="A12623" s="27" t="s">
        <v>22641</v>
      </c>
      <c r="B12623" s="28" t="s">
        <v>19918</v>
      </c>
      <c r="C12623" s="27" t="s">
        <v>22638</v>
      </c>
      <c r="D12623" s="27" t="s">
        <v>17578</v>
      </c>
      <c r="E12623" s="29">
        <v>40543</v>
      </c>
      <c r="F12623" s="27">
        <v>5</v>
      </c>
      <c r="G12623" s="18">
        <v>7264.95</v>
      </c>
      <c r="H12623" s="27">
        <f t="shared" si="394"/>
        <v>7264.95</v>
      </c>
      <c r="I12623" s="18">
        <v>6901.7</v>
      </c>
      <c r="J12623" s="27">
        <v>7264.95</v>
      </c>
      <c r="K12623" s="18">
        <f t="shared" si="395"/>
        <v>7264.95</v>
      </c>
      <c r="L12623" s="27">
        <v>6901.7</v>
      </c>
      <c r="M12623" s="36">
        <v>0</v>
      </c>
      <c r="T12623" s="41">
        <v>0</v>
      </c>
      <c r="U12623" s="41">
        <v>0</v>
      </c>
      <c r="V12623" s="42" t="s">
        <v>113</v>
      </c>
      <c r="W12623" s="42">
        <v>7264.95</v>
      </c>
      <c r="X12623" s="42">
        <v>7264.95</v>
      </c>
    </row>
    <row r="12624" spans="1:24">
      <c r="A12624" s="27" t="s">
        <v>22642</v>
      </c>
      <c r="B12624" s="28" t="s">
        <v>19918</v>
      </c>
      <c r="C12624" s="27" t="s">
        <v>22638</v>
      </c>
      <c r="D12624" s="27" t="s">
        <v>17578</v>
      </c>
      <c r="E12624" s="29">
        <v>40543</v>
      </c>
      <c r="F12624" s="27">
        <v>5</v>
      </c>
      <c r="G12624" s="18">
        <v>7264.95</v>
      </c>
      <c r="H12624" s="27">
        <f t="shared" si="394"/>
        <v>7264.95</v>
      </c>
      <c r="I12624" s="18">
        <v>6901.7</v>
      </c>
      <c r="J12624" s="27">
        <v>7264.95</v>
      </c>
      <c r="K12624" s="18">
        <f t="shared" si="395"/>
        <v>7264.95</v>
      </c>
      <c r="L12624" s="27">
        <v>6901.7</v>
      </c>
      <c r="M12624" s="36">
        <v>0</v>
      </c>
      <c r="T12624" s="41">
        <v>0</v>
      </c>
      <c r="U12624" s="41">
        <v>0</v>
      </c>
      <c r="V12624" s="42" t="s">
        <v>113</v>
      </c>
      <c r="W12624" s="42">
        <v>7264.95</v>
      </c>
      <c r="X12624" s="42">
        <v>7264.95</v>
      </c>
    </row>
    <row r="12625" spans="1:24">
      <c r="A12625" s="27" t="s">
        <v>22643</v>
      </c>
      <c r="B12625" s="28" t="s">
        <v>19918</v>
      </c>
      <c r="C12625" s="27" t="s">
        <v>22638</v>
      </c>
      <c r="D12625" s="27" t="s">
        <v>17578</v>
      </c>
      <c r="E12625" s="29">
        <v>40543</v>
      </c>
      <c r="F12625" s="27">
        <v>5</v>
      </c>
      <c r="G12625" s="18">
        <v>7264.95</v>
      </c>
      <c r="H12625" s="27">
        <f t="shared" si="394"/>
        <v>7264.95</v>
      </c>
      <c r="I12625" s="18">
        <v>6901.7</v>
      </c>
      <c r="J12625" s="27">
        <v>7264.95</v>
      </c>
      <c r="K12625" s="18">
        <f t="shared" si="395"/>
        <v>7264.95</v>
      </c>
      <c r="L12625" s="27">
        <v>6901.7</v>
      </c>
      <c r="M12625" s="36">
        <v>0</v>
      </c>
      <c r="T12625" s="41">
        <v>0</v>
      </c>
      <c r="U12625" s="41">
        <v>0</v>
      </c>
      <c r="V12625" s="42" t="s">
        <v>113</v>
      </c>
      <c r="W12625" s="42">
        <v>7264.95</v>
      </c>
      <c r="X12625" s="42">
        <v>7264.95</v>
      </c>
    </row>
    <row r="12626" spans="1:24">
      <c r="A12626" s="27" t="s">
        <v>22644</v>
      </c>
      <c r="B12626" s="28" t="s">
        <v>19918</v>
      </c>
      <c r="C12626" s="27" t="s">
        <v>22638</v>
      </c>
      <c r="D12626" s="27" t="s">
        <v>17578</v>
      </c>
      <c r="E12626" s="29">
        <v>40543</v>
      </c>
      <c r="F12626" s="27">
        <v>5</v>
      </c>
      <c r="G12626" s="18">
        <v>7264.95</v>
      </c>
      <c r="H12626" s="27">
        <f t="shared" si="394"/>
        <v>7264.95</v>
      </c>
      <c r="I12626" s="18">
        <v>6901.7</v>
      </c>
      <c r="J12626" s="27">
        <v>7264.95</v>
      </c>
      <c r="K12626" s="18">
        <f t="shared" si="395"/>
        <v>7264.95</v>
      </c>
      <c r="L12626" s="27">
        <v>6901.7</v>
      </c>
      <c r="M12626" s="36">
        <v>0</v>
      </c>
      <c r="T12626" s="41">
        <v>0</v>
      </c>
      <c r="U12626" s="41">
        <v>0</v>
      </c>
      <c r="V12626" s="42" t="s">
        <v>113</v>
      </c>
      <c r="W12626" s="42">
        <v>7264.95</v>
      </c>
      <c r="X12626" s="42">
        <v>7264.95</v>
      </c>
    </row>
    <row r="12627" spans="1:24">
      <c r="A12627" s="27" t="s">
        <v>22645</v>
      </c>
      <c r="B12627" s="28" t="s">
        <v>19918</v>
      </c>
      <c r="C12627" s="27" t="s">
        <v>22638</v>
      </c>
      <c r="D12627" s="27" t="s">
        <v>17578</v>
      </c>
      <c r="E12627" s="29">
        <v>40543</v>
      </c>
      <c r="F12627" s="27">
        <v>5</v>
      </c>
      <c r="G12627" s="18">
        <v>7264.95</v>
      </c>
      <c r="H12627" s="27">
        <f t="shared" si="394"/>
        <v>7264.95</v>
      </c>
      <c r="I12627" s="18">
        <v>6901.7</v>
      </c>
      <c r="J12627" s="27">
        <v>7264.95</v>
      </c>
      <c r="K12627" s="18">
        <f t="shared" si="395"/>
        <v>7264.95</v>
      </c>
      <c r="L12627" s="27">
        <v>6901.7</v>
      </c>
      <c r="M12627" s="36">
        <v>0</v>
      </c>
      <c r="T12627" s="41">
        <v>0</v>
      </c>
      <c r="U12627" s="41">
        <v>0</v>
      </c>
      <c r="V12627" s="42" t="s">
        <v>113</v>
      </c>
      <c r="W12627" s="42">
        <v>7264.95</v>
      </c>
      <c r="X12627" s="42">
        <v>7264.95</v>
      </c>
    </row>
    <row r="12628" spans="1:24">
      <c r="A12628" s="27" t="s">
        <v>22646</v>
      </c>
      <c r="B12628" s="28" t="s">
        <v>19918</v>
      </c>
      <c r="C12628" s="27" t="s">
        <v>22638</v>
      </c>
      <c r="D12628" s="27" t="s">
        <v>17578</v>
      </c>
      <c r="E12628" s="29">
        <v>40543</v>
      </c>
      <c r="F12628" s="27">
        <v>5</v>
      </c>
      <c r="G12628" s="18">
        <v>7264.95</v>
      </c>
      <c r="H12628" s="27">
        <f t="shared" si="394"/>
        <v>7264.95</v>
      </c>
      <c r="I12628" s="18">
        <v>6901.7</v>
      </c>
      <c r="J12628" s="27">
        <v>7264.95</v>
      </c>
      <c r="K12628" s="18">
        <f t="shared" si="395"/>
        <v>7264.95</v>
      </c>
      <c r="L12628" s="27">
        <v>6901.7</v>
      </c>
      <c r="M12628" s="36">
        <v>0</v>
      </c>
      <c r="T12628" s="41">
        <v>0</v>
      </c>
      <c r="U12628" s="41">
        <v>0</v>
      </c>
      <c r="V12628" s="42" t="s">
        <v>113</v>
      </c>
      <c r="W12628" s="42">
        <v>7264.95</v>
      </c>
      <c r="X12628" s="42">
        <v>7264.95</v>
      </c>
    </row>
    <row r="12629" spans="1:24">
      <c r="A12629" s="27" t="s">
        <v>22647</v>
      </c>
      <c r="B12629" s="28" t="s">
        <v>19918</v>
      </c>
      <c r="C12629" s="27" t="s">
        <v>22638</v>
      </c>
      <c r="D12629" s="27" t="s">
        <v>17578</v>
      </c>
      <c r="E12629" s="29">
        <v>40543</v>
      </c>
      <c r="F12629" s="27">
        <v>5</v>
      </c>
      <c r="G12629" s="18">
        <v>7264.95</v>
      </c>
      <c r="H12629" s="27">
        <f t="shared" si="394"/>
        <v>7264.95</v>
      </c>
      <c r="I12629" s="18">
        <v>6901.7</v>
      </c>
      <c r="J12629" s="27">
        <v>7264.95</v>
      </c>
      <c r="K12629" s="18">
        <f t="shared" si="395"/>
        <v>7264.95</v>
      </c>
      <c r="L12629" s="27">
        <v>6901.7</v>
      </c>
      <c r="M12629" s="36">
        <v>0</v>
      </c>
      <c r="T12629" s="41">
        <v>0</v>
      </c>
      <c r="U12629" s="41">
        <v>0</v>
      </c>
      <c r="V12629" s="42" t="s">
        <v>113</v>
      </c>
      <c r="W12629" s="42">
        <v>7264.95</v>
      </c>
      <c r="X12629" s="42">
        <v>7264.95</v>
      </c>
    </row>
    <row r="12630" spans="1:24">
      <c r="A12630" s="27" t="s">
        <v>22648</v>
      </c>
      <c r="B12630" s="28" t="s">
        <v>19918</v>
      </c>
      <c r="C12630" s="27" t="s">
        <v>22638</v>
      </c>
      <c r="D12630" s="27" t="s">
        <v>17578</v>
      </c>
      <c r="E12630" s="29">
        <v>40543</v>
      </c>
      <c r="F12630" s="27">
        <v>5</v>
      </c>
      <c r="G12630" s="18">
        <v>7264.95</v>
      </c>
      <c r="H12630" s="27">
        <f t="shared" si="394"/>
        <v>7264.95</v>
      </c>
      <c r="I12630" s="18">
        <v>6901.7</v>
      </c>
      <c r="J12630" s="27">
        <v>7264.95</v>
      </c>
      <c r="K12630" s="18">
        <f t="shared" si="395"/>
        <v>7264.95</v>
      </c>
      <c r="L12630" s="27">
        <v>6901.7</v>
      </c>
      <c r="M12630" s="36">
        <v>0</v>
      </c>
      <c r="T12630" s="41">
        <v>0</v>
      </c>
      <c r="U12630" s="41">
        <v>0</v>
      </c>
      <c r="V12630" s="42" t="s">
        <v>113</v>
      </c>
      <c r="W12630" s="42">
        <v>7264.95</v>
      </c>
      <c r="X12630" s="42">
        <v>7264.95</v>
      </c>
    </row>
    <row r="12631" spans="1:24">
      <c r="A12631" s="27" t="s">
        <v>22649</v>
      </c>
      <c r="B12631" s="28" t="s">
        <v>19918</v>
      </c>
      <c r="C12631" s="27" t="s">
        <v>22638</v>
      </c>
      <c r="D12631" s="27" t="s">
        <v>17578</v>
      </c>
      <c r="E12631" s="29">
        <v>40543</v>
      </c>
      <c r="F12631" s="27">
        <v>5</v>
      </c>
      <c r="G12631" s="18">
        <v>7264.95</v>
      </c>
      <c r="H12631" s="27">
        <f t="shared" si="394"/>
        <v>7264.95</v>
      </c>
      <c r="I12631" s="18">
        <v>6901.7</v>
      </c>
      <c r="J12631" s="27">
        <v>7264.95</v>
      </c>
      <c r="K12631" s="18">
        <f t="shared" si="395"/>
        <v>7264.95</v>
      </c>
      <c r="L12631" s="27">
        <v>6901.7</v>
      </c>
      <c r="M12631" s="36">
        <v>0</v>
      </c>
      <c r="T12631" s="41">
        <v>0</v>
      </c>
      <c r="U12631" s="41">
        <v>0</v>
      </c>
      <c r="V12631" s="42" t="s">
        <v>113</v>
      </c>
      <c r="W12631" s="42">
        <v>7264.95</v>
      </c>
      <c r="X12631" s="42">
        <v>7264.95</v>
      </c>
    </row>
    <row r="12632" spans="1:24">
      <c r="A12632" s="27" t="s">
        <v>22650</v>
      </c>
      <c r="B12632" s="28" t="s">
        <v>19918</v>
      </c>
      <c r="C12632" s="27" t="s">
        <v>22638</v>
      </c>
      <c r="D12632" s="27" t="s">
        <v>17578</v>
      </c>
      <c r="E12632" s="29">
        <v>40543</v>
      </c>
      <c r="F12632" s="27">
        <v>5</v>
      </c>
      <c r="G12632" s="18">
        <v>7264.95</v>
      </c>
      <c r="H12632" s="27">
        <f t="shared" si="394"/>
        <v>7264.95</v>
      </c>
      <c r="I12632" s="18">
        <v>6901.7</v>
      </c>
      <c r="J12632" s="27">
        <v>7264.95</v>
      </c>
      <c r="K12632" s="18">
        <f t="shared" si="395"/>
        <v>7264.95</v>
      </c>
      <c r="L12632" s="27">
        <v>6901.7</v>
      </c>
      <c r="M12632" s="36">
        <v>0</v>
      </c>
      <c r="T12632" s="41">
        <v>0</v>
      </c>
      <c r="U12632" s="41">
        <v>0</v>
      </c>
      <c r="V12632" s="42" t="s">
        <v>113</v>
      </c>
      <c r="W12632" s="42">
        <v>7264.95</v>
      </c>
      <c r="X12632" s="42">
        <v>7264.95</v>
      </c>
    </row>
    <row r="12633" spans="1:24">
      <c r="A12633" s="27" t="s">
        <v>22651</v>
      </c>
      <c r="B12633" s="28" t="s">
        <v>19918</v>
      </c>
      <c r="C12633" s="27" t="s">
        <v>22652</v>
      </c>
      <c r="D12633" s="27" t="s">
        <v>17578</v>
      </c>
      <c r="E12633" s="29">
        <v>41254</v>
      </c>
      <c r="F12633" s="27">
        <v>5</v>
      </c>
      <c r="G12633" s="18">
        <v>321367.52</v>
      </c>
      <c r="H12633" s="27">
        <f t="shared" si="394"/>
        <v>321367.52</v>
      </c>
      <c r="I12633" s="18">
        <v>305299.14</v>
      </c>
      <c r="J12633" s="27">
        <v>321367.52</v>
      </c>
      <c r="K12633" s="18">
        <f t="shared" si="395"/>
        <v>321367.52</v>
      </c>
      <c r="L12633" s="27">
        <v>305299.14</v>
      </c>
      <c r="M12633" s="36">
        <v>0</v>
      </c>
      <c r="T12633" s="41">
        <v>0</v>
      </c>
      <c r="U12633" s="41">
        <v>0</v>
      </c>
      <c r="V12633" s="42" t="s">
        <v>113</v>
      </c>
      <c r="W12633" s="42">
        <v>321367.52</v>
      </c>
      <c r="X12633" s="42">
        <v>321367.52</v>
      </c>
    </row>
    <row r="12634" spans="1:24">
      <c r="A12634" s="27" t="s">
        <v>22653</v>
      </c>
      <c r="B12634" s="28" t="s">
        <v>19918</v>
      </c>
      <c r="C12634" s="27" t="s">
        <v>22654</v>
      </c>
      <c r="D12634" s="27" t="s">
        <v>17578</v>
      </c>
      <c r="E12634" s="29">
        <v>40543</v>
      </c>
      <c r="F12634" s="27">
        <v>5</v>
      </c>
      <c r="G12634" s="18">
        <v>4059.83</v>
      </c>
      <c r="H12634" s="27">
        <f t="shared" si="394"/>
        <v>4059.83</v>
      </c>
      <c r="I12634" s="18">
        <v>4059.83</v>
      </c>
      <c r="J12634" s="27">
        <v>4059.83</v>
      </c>
      <c r="K12634" s="18">
        <f t="shared" si="395"/>
        <v>4059.83</v>
      </c>
      <c r="L12634" s="27">
        <v>4059.83</v>
      </c>
      <c r="M12634" s="36">
        <v>0</v>
      </c>
      <c r="T12634" s="41">
        <v>0</v>
      </c>
      <c r="U12634" s="41">
        <v>0</v>
      </c>
      <c r="V12634" s="42" t="s">
        <v>113</v>
      </c>
      <c r="W12634" s="42">
        <v>4059.83</v>
      </c>
      <c r="X12634" s="42">
        <v>4059.83</v>
      </c>
    </row>
    <row r="12635" spans="1:24">
      <c r="A12635" s="27" t="s">
        <v>22655</v>
      </c>
      <c r="B12635" s="28" t="s">
        <v>19918</v>
      </c>
      <c r="C12635" s="27" t="s">
        <v>22654</v>
      </c>
      <c r="D12635" s="27" t="s">
        <v>17578</v>
      </c>
      <c r="E12635" s="29">
        <v>40543</v>
      </c>
      <c r="F12635" s="27">
        <v>5</v>
      </c>
      <c r="G12635" s="18">
        <v>4059.83</v>
      </c>
      <c r="H12635" s="27">
        <f t="shared" si="394"/>
        <v>4059.83</v>
      </c>
      <c r="I12635" s="18">
        <v>4059.83</v>
      </c>
      <c r="J12635" s="27">
        <v>4059.83</v>
      </c>
      <c r="K12635" s="18">
        <f t="shared" si="395"/>
        <v>4059.83</v>
      </c>
      <c r="L12635" s="27">
        <v>4059.83</v>
      </c>
      <c r="M12635" s="36">
        <v>0</v>
      </c>
      <c r="T12635" s="41">
        <v>0</v>
      </c>
      <c r="U12635" s="41">
        <v>0</v>
      </c>
      <c r="V12635" s="42" t="s">
        <v>113</v>
      </c>
      <c r="W12635" s="42">
        <v>4059.83</v>
      </c>
      <c r="X12635" s="42">
        <v>4059.83</v>
      </c>
    </row>
    <row r="12636" spans="1:24">
      <c r="A12636" s="27" t="s">
        <v>22656</v>
      </c>
      <c r="B12636" s="28" t="s">
        <v>19918</v>
      </c>
      <c r="C12636" s="27" t="s">
        <v>22657</v>
      </c>
      <c r="D12636" s="27" t="s">
        <v>17578</v>
      </c>
      <c r="E12636" s="29">
        <v>42613</v>
      </c>
      <c r="F12636" s="27">
        <v>5</v>
      </c>
      <c r="G12636" s="18">
        <v>4200</v>
      </c>
      <c r="H12636" s="27">
        <f t="shared" si="394"/>
        <v>0</v>
      </c>
      <c r="I12636" s="18">
        <v>2261</v>
      </c>
      <c r="J12636" s="27">
        <v>4200</v>
      </c>
      <c r="K12636" s="18">
        <f t="shared" si="395"/>
        <v>0</v>
      </c>
      <c r="L12636" s="27">
        <v>3059</v>
      </c>
      <c r="M12636" s="36">
        <v>798</v>
      </c>
      <c r="T12636" s="41">
        <v>0</v>
      </c>
      <c r="U12636" s="41">
        <v>0</v>
      </c>
      <c r="V12636" s="42" t="s">
        <v>113</v>
      </c>
      <c r="W12636" s="42">
        <v>0</v>
      </c>
      <c r="X12636" s="42">
        <v>4200</v>
      </c>
    </row>
    <row r="12637" spans="1:24">
      <c r="A12637" s="27" t="s">
        <v>22658</v>
      </c>
      <c r="B12637" s="28" t="s">
        <v>19918</v>
      </c>
      <c r="C12637" s="27" t="s">
        <v>22659</v>
      </c>
      <c r="D12637" s="27" t="s">
        <v>17578</v>
      </c>
      <c r="E12637" s="29">
        <v>42613</v>
      </c>
      <c r="F12637" s="27">
        <v>5</v>
      </c>
      <c r="G12637" s="18">
        <v>3399.91</v>
      </c>
      <c r="H12637" s="27">
        <f t="shared" si="394"/>
        <v>0</v>
      </c>
      <c r="I12637" s="18">
        <v>1830.28</v>
      </c>
      <c r="J12637" s="27">
        <v>3399.91</v>
      </c>
      <c r="K12637" s="18">
        <f t="shared" si="395"/>
        <v>0</v>
      </c>
      <c r="L12637" s="27">
        <v>2476.2600000000002</v>
      </c>
      <c r="M12637" s="36">
        <v>645.98</v>
      </c>
      <c r="T12637" s="41">
        <v>0</v>
      </c>
      <c r="U12637" s="41">
        <v>0</v>
      </c>
      <c r="V12637" s="42" t="s">
        <v>113</v>
      </c>
      <c r="W12637" s="42">
        <v>0</v>
      </c>
      <c r="X12637" s="42">
        <v>3399.91</v>
      </c>
    </row>
    <row r="12638" spans="1:24">
      <c r="A12638" s="27" t="s">
        <v>22660</v>
      </c>
      <c r="B12638" s="28" t="s">
        <v>19918</v>
      </c>
      <c r="C12638" s="27" t="s">
        <v>22661</v>
      </c>
      <c r="D12638" s="27" t="s">
        <v>17578</v>
      </c>
      <c r="E12638" s="29">
        <v>42613</v>
      </c>
      <c r="F12638" s="27">
        <v>5</v>
      </c>
      <c r="G12638" s="18">
        <v>4200</v>
      </c>
      <c r="H12638" s="27">
        <f t="shared" si="394"/>
        <v>0</v>
      </c>
      <c r="I12638" s="18">
        <v>2261</v>
      </c>
      <c r="J12638" s="27">
        <v>4200</v>
      </c>
      <c r="K12638" s="18">
        <f t="shared" si="395"/>
        <v>0</v>
      </c>
      <c r="L12638" s="27">
        <v>3059</v>
      </c>
      <c r="M12638" s="36">
        <v>798</v>
      </c>
      <c r="T12638" s="41">
        <v>0</v>
      </c>
      <c r="U12638" s="41">
        <v>0</v>
      </c>
      <c r="V12638" s="42" t="s">
        <v>113</v>
      </c>
      <c r="W12638" s="42">
        <v>0</v>
      </c>
      <c r="X12638" s="42">
        <v>4200</v>
      </c>
    </row>
    <row r="12639" spans="1:24">
      <c r="A12639" s="27" t="s">
        <v>22662</v>
      </c>
      <c r="B12639" s="28" t="s">
        <v>19918</v>
      </c>
      <c r="C12639" s="27" t="s">
        <v>22663</v>
      </c>
      <c r="D12639" s="27" t="s">
        <v>17578</v>
      </c>
      <c r="E12639" s="29">
        <v>42613</v>
      </c>
      <c r="F12639" s="27">
        <v>5</v>
      </c>
      <c r="G12639" s="18">
        <v>3399.91</v>
      </c>
      <c r="H12639" s="27">
        <f t="shared" si="394"/>
        <v>0</v>
      </c>
      <c r="I12639" s="18">
        <v>1830.28</v>
      </c>
      <c r="J12639" s="27">
        <v>3399.91</v>
      </c>
      <c r="K12639" s="18">
        <f t="shared" si="395"/>
        <v>0</v>
      </c>
      <c r="L12639" s="27">
        <v>2476.2600000000002</v>
      </c>
      <c r="M12639" s="36">
        <v>645.98</v>
      </c>
      <c r="T12639" s="41">
        <v>0</v>
      </c>
      <c r="U12639" s="41">
        <v>0</v>
      </c>
      <c r="V12639" s="42" t="s">
        <v>113</v>
      </c>
      <c r="W12639" s="42">
        <v>0</v>
      </c>
      <c r="X12639" s="42">
        <v>3399.91</v>
      </c>
    </row>
    <row r="12640" spans="1:24">
      <c r="A12640" s="27" t="s">
        <v>22664</v>
      </c>
      <c r="B12640" s="28" t="s">
        <v>19918</v>
      </c>
      <c r="C12640" s="27" t="s">
        <v>22665</v>
      </c>
      <c r="D12640" s="27" t="s">
        <v>17578</v>
      </c>
      <c r="E12640" s="29">
        <v>42720</v>
      </c>
      <c r="F12640" s="27">
        <v>5</v>
      </c>
      <c r="G12640" s="18">
        <v>6222</v>
      </c>
      <c r="H12640" s="27">
        <f t="shared" si="394"/>
        <v>0</v>
      </c>
      <c r="I12640" s="18">
        <v>2364.36</v>
      </c>
      <c r="J12640" s="27">
        <v>6222</v>
      </c>
      <c r="K12640" s="18">
        <f t="shared" si="395"/>
        <v>0</v>
      </c>
      <c r="L12640" s="27">
        <v>3546.54</v>
      </c>
      <c r="M12640" s="36">
        <v>1182.18</v>
      </c>
      <c r="T12640" s="41">
        <v>0</v>
      </c>
      <c r="U12640" s="41">
        <v>0</v>
      </c>
      <c r="V12640" s="42" t="s">
        <v>113</v>
      </c>
      <c r="W12640" s="42">
        <v>0</v>
      </c>
      <c r="X12640" s="42">
        <v>6222</v>
      </c>
    </row>
    <row r="12641" spans="1:24">
      <c r="A12641" s="27" t="s">
        <v>22666</v>
      </c>
      <c r="B12641" s="28" t="s">
        <v>19918</v>
      </c>
      <c r="C12641" s="27" t="s">
        <v>22667</v>
      </c>
      <c r="D12641" s="27" t="s">
        <v>17578</v>
      </c>
      <c r="E12641" s="29">
        <v>42720</v>
      </c>
      <c r="F12641" s="27">
        <v>5</v>
      </c>
      <c r="G12641" s="18">
        <v>6222</v>
      </c>
      <c r="H12641" s="27">
        <f t="shared" si="394"/>
        <v>0</v>
      </c>
      <c r="I12641" s="18">
        <v>2364.36</v>
      </c>
      <c r="J12641" s="27">
        <v>6222</v>
      </c>
      <c r="K12641" s="18">
        <f t="shared" si="395"/>
        <v>0</v>
      </c>
      <c r="L12641" s="27">
        <v>3546.54</v>
      </c>
      <c r="M12641" s="36">
        <v>1182.18</v>
      </c>
      <c r="T12641" s="41">
        <v>0</v>
      </c>
      <c r="U12641" s="41">
        <v>0</v>
      </c>
      <c r="V12641" s="42" t="s">
        <v>113</v>
      </c>
      <c r="W12641" s="42">
        <v>0</v>
      </c>
      <c r="X12641" s="42">
        <v>6222</v>
      </c>
    </row>
    <row r="12642" spans="1:24">
      <c r="A12642" s="27" t="s">
        <v>22668</v>
      </c>
      <c r="B12642" s="28" t="s">
        <v>19918</v>
      </c>
      <c r="C12642" s="27" t="s">
        <v>22669</v>
      </c>
      <c r="D12642" s="27" t="s">
        <v>17578</v>
      </c>
      <c r="E12642" s="29">
        <v>42720</v>
      </c>
      <c r="F12642" s="27">
        <v>5</v>
      </c>
      <c r="G12642" s="18">
        <v>6222</v>
      </c>
      <c r="H12642" s="27">
        <f t="shared" si="394"/>
        <v>0</v>
      </c>
      <c r="I12642" s="18">
        <v>2364.36</v>
      </c>
      <c r="J12642" s="27">
        <v>6222</v>
      </c>
      <c r="K12642" s="18">
        <f t="shared" si="395"/>
        <v>0</v>
      </c>
      <c r="L12642" s="27">
        <v>3546.54</v>
      </c>
      <c r="M12642" s="36">
        <v>1182.18</v>
      </c>
      <c r="T12642" s="41">
        <v>0</v>
      </c>
      <c r="U12642" s="41">
        <v>0</v>
      </c>
      <c r="V12642" s="42" t="s">
        <v>113</v>
      </c>
      <c r="W12642" s="42">
        <v>0</v>
      </c>
      <c r="X12642" s="42">
        <v>6222</v>
      </c>
    </row>
    <row r="12643" spans="1:24">
      <c r="A12643" s="27" t="s">
        <v>22670</v>
      </c>
      <c r="B12643" s="28" t="s">
        <v>19918</v>
      </c>
      <c r="C12643" s="27" t="s">
        <v>22671</v>
      </c>
      <c r="D12643" s="27" t="s">
        <v>17578</v>
      </c>
      <c r="E12643" s="29">
        <v>42720</v>
      </c>
      <c r="F12643" s="27">
        <v>5</v>
      </c>
      <c r="G12643" s="18">
        <v>6222</v>
      </c>
      <c r="H12643" s="27">
        <f t="shared" si="394"/>
        <v>0</v>
      </c>
      <c r="I12643" s="18">
        <v>2364.36</v>
      </c>
      <c r="J12643" s="27">
        <v>6222</v>
      </c>
      <c r="K12643" s="18">
        <f t="shared" si="395"/>
        <v>0</v>
      </c>
      <c r="L12643" s="27">
        <v>3546.54</v>
      </c>
      <c r="M12643" s="36">
        <v>1182.18</v>
      </c>
      <c r="T12643" s="41">
        <v>0</v>
      </c>
      <c r="U12643" s="41">
        <v>0</v>
      </c>
      <c r="V12643" s="42" t="s">
        <v>113</v>
      </c>
      <c r="W12643" s="42">
        <v>0</v>
      </c>
      <c r="X12643" s="42">
        <v>6222</v>
      </c>
    </row>
    <row r="12644" spans="1:24">
      <c r="A12644" s="27" t="s">
        <v>22672</v>
      </c>
      <c r="B12644" s="28" t="s">
        <v>19918</v>
      </c>
      <c r="C12644" s="27" t="s">
        <v>22673</v>
      </c>
      <c r="D12644" s="27" t="s">
        <v>17578</v>
      </c>
      <c r="E12644" s="29">
        <v>42370</v>
      </c>
      <c r="F12644" s="27">
        <v>5</v>
      </c>
      <c r="G12644" s="18">
        <v>3376.07</v>
      </c>
      <c r="H12644" s="27">
        <f t="shared" si="394"/>
        <v>0</v>
      </c>
      <c r="I12644" s="18">
        <v>1870.91</v>
      </c>
      <c r="J12644" s="27">
        <v>3376.07</v>
      </c>
      <c r="K12644" s="18">
        <f t="shared" si="395"/>
        <v>0</v>
      </c>
      <c r="L12644" s="27">
        <v>2512.36</v>
      </c>
      <c r="M12644" s="36">
        <v>641.45000000000005</v>
      </c>
      <c r="T12644" s="41">
        <v>0</v>
      </c>
      <c r="U12644" s="41">
        <v>0</v>
      </c>
      <c r="V12644" s="42" t="s">
        <v>113</v>
      </c>
      <c r="W12644" s="42">
        <v>0</v>
      </c>
      <c r="X12644" s="42">
        <v>3376.07</v>
      </c>
    </row>
    <row r="12645" spans="1:24">
      <c r="A12645" s="27" t="s">
        <v>22674</v>
      </c>
      <c r="B12645" s="28" t="s">
        <v>19918</v>
      </c>
      <c r="C12645" s="27" t="s">
        <v>22673</v>
      </c>
      <c r="D12645" s="27" t="s">
        <v>17578</v>
      </c>
      <c r="E12645" s="29">
        <v>42370</v>
      </c>
      <c r="F12645" s="27">
        <v>5</v>
      </c>
      <c r="G12645" s="18">
        <v>3376.07</v>
      </c>
      <c r="H12645" s="27">
        <f t="shared" si="394"/>
        <v>0</v>
      </c>
      <c r="I12645" s="18">
        <v>1870.91</v>
      </c>
      <c r="J12645" s="27">
        <v>3376.07</v>
      </c>
      <c r="K12645" s="18">
        <f t="shared" si="395"/>
        <v>0</v>
      </c>
      <c r="L12645" s="27">
        <v>2512.36</v>
      </c>
      <c r="M12645" s="36">
        <v>641.45000000000005</v>
      </c>
      <c r="T12645" s="41">
        <v>0</v>
      </c>
      <c r="U12645" s="41">
        <v>0</v>
      </c>
      <c r="V12645" s="42" t="s">
        <v>113</v>
      </c>
      <c r="W12645" s="42">
        <v>0</v>
      </c>
      <c r="X12645" s="42">
        <v>3376.07</v>
      </c>
    </row>
    <row r="12646" spans="1:24">
      <c r="A12646" s="27" t="s">
        <v>22675</v>
      </c>
      <c r="B12646" s="28" t="s">
        <v>19918</v>
      </c>
      <c r="C12646" s="27" t="s">
        <v>22673</v>
      </c>
      <c r="D12646" s="27" t="s">
        <v>17578</v>
      </c>
      <c r="E12646" s="29">
        <v>42370</v>
      </c>
      <c r="F12646" s="27">
        <v>5</v>
      </c>
      <c r="G12646" s="18">
        <v>3376.07</v>
      </c>
      <c r="H12646" s="27">
        <f t="shared" si="394"/>
        <v>0</v>
      </c>
      <c r="I12646" s="18">
        <v>1870.91</v>
      </c>
      <c r="J12646" s="27">
        <v>3376.07</v>
      </c>
      <c r="K12646" s="18">
        <f t="shared" si="395"/>
        <v>0</v>
      </c>
      <c r="L12646" s="27">
        <v>2512.36</v>
      </c>
      <c r="M12646" s="36">
        <v>641.45000000000005</v>
      </c>
      <c r="T12646" s="41">
        <v>0</v>
      </c>
      <c r="U12646" s="41">
        <v>0</v>
      </c>
      <c r="V12646" s="42" t="s">
        <v>113</v>
      </c>
      <c r="W12646" s="42">
        <v>0</v>
      </c>
      <c r="X12646" s="42">
        <v>3376.07</v>
      </c>
    </row>
    <row r="12647" spans="1:24">
      <c r="A12647" s="27" t="s">
        <v>22676</v>
      </c>
      <c r="B12647" s="28" t="s">
        <v>19918</v>
      </c>
      <c r="C12647" s="27" t="s">
        <v>22673</v>
      </c>
      <c r="D12647" s="27" t="s">
        <v>17578</v>
      </c>
      <c r="E12647" s="29">
        <v>42370</v>
      </c>
      <c r="F12647" s="27">
        <v>5</v>
      </c>
      <c r="G12647" s="18">
        <v>3376.07</v>
      </c>
      <c r="H12647" s="27">
        <f t="shared" si="394"/>
        <v>0</v>
      </c>
      <c r="I12647" s="18">
        <v>1870.91</v>
      </c>
      <c r="J12647" s="27">
        <v>3376.07</v>
      </c>
      <c r="K12647" s="18">
        <f t="shared" si="395"/>
        <v>0</v>
      </c>
      <c r="L12647" s="27">
        <v>2512.36</v>
      </c>
      <c r="M12647" s="36">
        <v>641.45000000000005</v>
      </c>
      <c r="T12647" s="41">
        <v>0</v>
      </c>
      <c r="U12647" s="41">
        <v>0</v>
      </c>
      <c r="V12647" s="42" t="s">
        <v>113</v>
      </c>
      <c r="W12647" s="42">
        <v>0</v>
      </c>
      <c r="X12647" s="42">
        <v>3376.07</v>
      </c>
    </row>
    <row r="12648" spans="1:24">
      <c r="A12648" s="27" t="s">
        <v>22677</v>
      </c>
      <c r="B12648" s="28" t="s">
        <v>19918</v>
      </c>
      <c r="C12648" s="27" t="s">
        <v>22678</v>
      </c>
      <c r="D12648" s="27" t="s">
        <v>17578</v>
      </c>
      <c r="E12648" s="29">
        <v>42370</v>
      </c>
      <c r="F12648" s="27">
        <v>5</v>
      </c>
      <c r="G12648" s="18">
        <v>4598.29</v>
      </c>
      <c r="H12648" s="27">
        <f t="shared" si="394"/>
        <v>0</v>
      </c>
      <c r="I12648" s="18">
        <v>2548.2199999999998</v>
      </c>
      <c r="J12648" s="27">
        <v>4598.29</v>
      </c>
      <c r="K12648" s="18">
        <f t="shared" si="395"/>
        <v>0</v>
      </c>
      <c r="L12648" s="27">
        <v>3421.9</v>
      </c>
      <c r="M12648" s="36">
        <v>873.68</v>
      </c>
      <c r="T12648" s="41">
        <v>0</v>
      </c>
      <c r="U12648" s="41">
        <v>0</v>
      </c>
      <c r="V12648" s="42" t="s">
        <v>113</v>
      </c>
      <c r="W12648" s="42">
        <v>0</v>
      </c>
      <c r="X12648" s="42">
        <v>4598.29</v>
      </c>
    </row>
    <row r="12649" spans="1:24">
      <c r="A12649" s="27" t="s">
        <v>22679</v>
      </c>
      <c r="B12649" s="28" t="s">
        <v>19918</v>
      </c>
      <c r="C12649" s="27" t="s">
        <v>22673</v>
      </c>
      <c r="D12649" s="27" t="s">
        <v>17578</v>
      </c>
      <c r="E12649" s="29">
        <v>42370</v>
      </c>
      <c r="F12649" s="27">
        <v>5</v>
      </c>
      <c r="G12649" s="18">
        <v>3376.07</v>
      </c>
      <c r="H12649" s="27">
        <f t="shared" si="394"/>
        <v>0</v>
      </c>
      <c r="I12649" s="18">
        <v>1870.91</v>
      </c>
      <c r="J12649" s="27">
        <v>3376.07</v>
      </c>
      <c r="K12649" s="18">
        <f t="shared" si="395"/>
        <v>0</v>
      </c>
      <c r="L12649" s="27">
        <v>2512.36</v>
      </c>
      <c r="M12649" s="36">
        <v>641.45000000000005</v>
      </c>
      <c r="T12649" s="41">
        <v>0</v>
      </c>
      <c r="U12649" s="41">
        <v>0</v>
      </c>
      <c r="V12649" s="42" t="s">
        <v>113</v>
      </c>
      <c r="W12649" s="42">
        <v>0</v>
      </c>
      <c r="X12649" s="42">
        <v>3376.07</v>
      </c>
    </row>
    <row r="12650" spans="1:24">
      <c r="A12650" s="27" t="s">
        <v>22680</v>
      </c>
      <c r="B12650" s="28" t="s">
        <v>19918</v>
      </c>
      <c r="C12650" s="27" t="s">
        <v>22678</v>
      </c>
      <c r="D12650" s="27" t="s">
        <v>17578</v>
      </c>
      <c r="E12650" s="29">
        <v>42370</v>
      </c>
      <c r="F12650" s="27">
        <v>5</v>
      </c>
      <c r="G12650" s="18">
        <v>4598.29</v>
      </c>
      <c r="H12650" s="27">
        <f t="shared" si="394"/>
        <v>0</v>
      </c>
      <c r="I12650" s="18">
        <v>2548.2199999999998</v>
      </c>
      <c r="J12650" s="27">
        <v>4598.29</v>
      </c>
      <c r="K12650" s="18">
        <f t="shared" si="395"/>
        <v>0</v>
      </c>
      <c r="L12650" s="27">
        <v>3421.9</v>
      </c>
      <c r="M12650" s="36">
        <v>873.68</v>
      </c>
      <c r="T12650" s="41">
        <v>0</v>
      </c>
      <c r="U12650" s="41">
        <v>0</v>
      </c>
      <c r="V12650" s="42" t="s">
        <v>113</v>
      </c>
      <c r="W12650" s="42">
        <v>0</v>
      </c>
      <c r="X12650" s="42">
        <v>4598.29</v>
      </c>
    </row>
    <row r="12651" spans="1:24">
      <c r="A12651" s="27" t="s">
        <v>22681</v>
      </c>
      <c r="B12651" s="28" t="s">
        <v>19918</v>
      </c>
      <c r="C12651" s="27" t="s">
        <v>22682</v>
      </c>
      <c r="D12651" s="27" t="s">
        <v>17578</v>
      </c>
      <c r="E12651" s="29">
        <v>42370</v>
      </c>
      <c r="F12651" s="27">
        <v>5</v>
      </c>
      <c r="G12651" s="18">
        <v>6600</v>
      </c>
      <c r="H12651" s="27">
        <f t="shared" si="394"/>
        <v>0</v>
      </c>
      <c r="I12651" s="18">
        <v>3657.5</v>
      </c>
      <c r="J12651" s="27">
        <v>6600</v>
      </c>
      <c r="K12651" s="18">
        <f t="shared" si="395"/>
        <v>0</v>
      </c>
      <c r="L12651" s="27">
        <v>4911.5</v>
      </c>
      <c r="M12651" s="36">
        <v>1254</v>
      </c>
      <c r="T12651" s="41">
        <v>0</v>
      </c>
      <c r="U12651" s="41">
        <v>0</v>
      </c>
      <c r="V12651" s="42" t="s">
        <v>113</v>
      </c>
      <c r="W12651" s="42">
        <v>0</v>
      </c>
      <c r="X12651" s="42">
        <v>6600</v>
      </c>
    </row>
    <row r="12652" spans="1:24">
      <c r="A12652" s="27" t="s">
        <v>22683</v>
      </c>
      <c r="B12652" s="28" t="s">
        <v>19918</v>
      </c>
      <c r="C12652" s="27" t="s">
        <v>22673</v>
      </c>
      <c r="D12652" s="27" t="s">
        <v>17578</v>
      </c>
      <c r="E12652" s="29">
        <v>42370</v>
      </c>
      <c r="F12652" s="27">
        <v>5</v>
      </c>
      <c r="G12652" s="18">
        <v>3376.07</v>
      </c>
      <c r="H12652" s="27">
        <f t="shared" si="394"/>
        <v>0</v>
      </c>
      <c r="I12652" s="18">
        <v>1870.91</v>
      </c>
      <c r="J12652" s="27">
        <v>3376.07</v>
      </c>
      <c r="K12652" s="18">
        <f t="shared" si="395"/>
        <v>0</v>
      </c>
      <c r="L12652" s="27">
        <v>2512.36</v>
      </c>
      <c r="M12652" s="36">
        <v>641.45000000000005</v>
      </c>
      <c r="T12652" s="41">
        <v>0</v>
      </c>
      <c r="U12652" s="41">
        <v>0</v>
      </c>
      <c r="V12652" s="42" t="s">
        <v>113</v>
      </c>
      <c r="W12652" s="42">
        <v>0</v>
      </c>
      <c r="X12652" s="42">
        <v>3376.07</v>
      </c>
    </row>
    <row r="12653" spans="1:24">
      <c r="A12653" s="27" t="s">
        <v>22684</v>
      </c>
      <c r="B12653" s="28" t="s">
        <v>19918</v>
      </c>
      <c r="C12653" s="27" t="s">
        <v>22673</v>
      </c>
      <c r="D12653" s="27" t="s">
        <v>17578</v>
      </c>
      <c r="E12653" s="29">
        <v>42370</v>
      </c>
      <c r="F12653" s="27">
        <v>5</v>
      </c>
      <c r="G12653" s="18">
        <v>3376.07</v>
      </c>
      <c r="H12653" s="27">
        <f t="shared" si="394"/>
        <v>0</v>
      </c>
      <c r="I12653" s="18">
        <v>1870.91</v>
      </c>
      <c r="J12653" s="27">
        <v>3376.07</v>
      </c>
      <c r="K12653" s="18">
        <f t="shared" si="395"/>
        <v>0</v>
      </c>
      <c r="L12653" s="27">
        <v>2512.36</v>
      </c>
      <c r="M12653" s="36">
        <v>641.45000000000005</v>
      </c>
      <c r="T12653" s="41">
        <v>0</v>
      </c>
      <c r="U12653" s="41">
        <v>0</v>
      </c>
      <c r="V12653" s="42" t="s">
        <v>113</v>
      </c>
      <c r="W12653" s="42">
        <v>0</v>
      </c>
      <c r="X12653" s="42">
        <v>3376.07</v>
      </c>
    </row>
    <row r="12654" spans="1:24">
      <c r="A12654" s="27" t="s">
        <v>22685</v>
      </c>
      <c r="B12654" s="28" t="s">
        <v>19918</v>
      </c>
      <c r="C12654" s="27" t="s">
        <v>22686</v>
      </c>
      <c r="D12654" s="27" t="s">
        <v>17578</v>
      </c>
      <c r="E12654" s="29">
        <v>42370</v>
      </c>
      <c r="F12654" s="27">
        <v>5</v>
      </c>
      <c r="G12654" s="18">
        <v>3162.39</v>
      </c>
      <c r="H12654" s="27">
        <f t="shared" si="394"/>
        <v>0</v>
      </c>
      <c r="I12654" s="18">
        <v>1752.49</v>
      </c>
      <c r="J12654" s="27">
        <v>3162.39</v>
      </c>
      <c r="K12654" s="18">
        <f t="shared" si="395"/>
        <v>0</v>
      </c>
      <c r="L12654" s="27">
        <v>2353.34</v>
      </c>
      <c r="M12654" s="36">
        <v>600.85</v>
      </c>
      <c r="T12654" s="41">
        <v>0</v>
      </c>
      <c r="U12654" s="41">
        <v>0</v>
      </c>
      <c r="V12654" s="42" t="s">
        <v>113</v>
      </c>
      <c r="W12654" s="42">
        <v>0</v>
      </c>
      <c r="X12654" s="42">
        <v>3162.39</v>
      </c>
    </row>
    <row r="12655" spans="1:24">
      <c r="A12655" s="27" t="s">
        <v>22687</v>
      </c>
      <c r="B12655" s="28" t="s">
        <v>19918</v>
      </c>
      <c r="C12655" s="27" t="s">
        <v>22673</v>
      </c>
      <c r="D12655" s="27" t="s">
        <v>17578</v>
      </c>
      <c r="E12655" s="29">
        <v>42370</v>
      </c>
      <c r="F12655" s="27">
        <v>5</v>
      </c>
      <c r="G12655" s="18">
        <v>3376.06</v>
      </c>
      <c r="H12655" s="27">
        <f t="shared" si="394"/>
        <v>0</v>
      </c>
      <c r="I12655" s="18">
        <v>1870.9</v>
      </c>
      <c r="J12655" s="27">
        <v>3376.06</v>
      </c>
      <c r="K12655" s="18">
        <f t="shared" si="395"/>
        <v>0</v>
      </c>
      <c r="L12655" s="27">
        <v>2512.35</v>
      </c>
      <c r="M12655" s="36">
        <v>641.45000000000005</v>
      </c>
      <c r="T12655" s="41">
        <v>0</v>
      </c>
      <c r="U12655" s="41">
        <v>0</v>
      </c>
      <c r="V12655" s="42" t="s">
        <v>113</v>
      </c>
      <c r="W12655" s="42">
        <v>0</v>
      </c>
      <c r="X12655" s="42">
        <v>3376.06</v>
      </c>
    </row>
    <row r="12656" spans="1:24">
      <c r="A12656" s="27" t="s">
        <v>22688</v>
      </c>
      <c r="B12656" s="28" t="s">
        <v>19918</v>
      </c>
      <c r="C12656" s="27" t="s">
        <v>22689</v>
      </c>
      <c r="D12656" s="27" t="s">
        <v>17578</v>
      </c>
      <c r="E12656" s="29">
        <v>43061</v>
      </c>
      <c r="F12656" s="27">
        <v>5</v>
      </c>
      <c r="G12656" s="18">
        <v>3632.48</v>
      </c>
      <c r="H12656" s="27">
        <f t="shared" si="394"/>
        <v>0</v>
      </c>
      <c r="I12656" s="18">
        <v>747.68</v>
      </c>
      <c r="J12656" s="27">
        <v>3632.48</v>
      </c>
      <c r="K12656" s="18">
        <f t="shared" si="395"/>
        <v>0</v>
      </c>
      <c r="L12656" s="27">
        <v>1437.85</v>
      </c>
      <c r="M12656" s="36">
        <v>690.17</v>
      </c>
      <c r="T12656" s="41">
        <v>0</v>
      </c>
      <c r="U12656" s="41">
        <v>0</v>
      </c>
      <c r="V12656" s="42" t="s">
        <v>113</v>
      </c>
      <c r="W12656" s="42">
        <v>0</v>
      </c>
      <c r="X12656" s="42">
        <v>0</v>
      </c>
    </row>
    <row r="12657" spans="1:24">
      <c r="A12657" s="27" t="s">
        <v>22690</v>
      </c>
      <c r="B12657" s="28" t="s">
        <v>19918</v>
      </c>
      <c r="C12657" s="27" t="s">
        <v>22691</v>
      </c>
      <c r="D12657" s="27" t="s">
        <v>17578</v>
      </c>
      <c r="E12657" s="29">
        <v>42720</v>
      </c>
      <c r="F12657" s="27">
        <v>5</v>
      </c>
      <c r="G12657" s="18">
        <v>6222</v>
      </c>
      <c r="H12657" s="27">
        <f t="shared" si="394"/>
        <v>0</v>
      </c>
      <c r="I12657" s="18">
        <v>2364.36</v>
      </c>
      <c r="J12657" s="27">
        <v>6222</v>
      </c>
      <c r="K12657" s="18">
        <f t="shared" si="395"/>
        <v>0</v>
      </c>
      <c r="L12657" s="27">
        <v>3546.54</v>
      </c>
      <c r="M12657" s="36">
        <v>1182.18</v>
      </c>
      <c r="T12657" s="41">
        <v>0</v>
      </c>
      <c r="U12657" s="41">
        <v>0</v>
      </c>
      <c r="V12657" s="42" t="s">
        <v>113</v>
      </c>
      <c r="W12657" s="42">
        <v>0</v>
      </c>
      <c r="X12657" s="42">
        <v>6222</v>
      </c>
    </row>
    <row r="12658" spans="1:24">
      <c r="A12658" s="27" t="s">
        <v>22692</v>
      </c>
      <c r="B12658" s="28" t="s">
        <v>19918</v>
      </c>
      <c r="C12658" s="27" t="s">
        <v>22691</v>
      </c>
      <c r="D12658" s="27" t="s">
        <v>17578</v>
      </c>
      <c r="E12658" s="29">
        <v>42720</v>
      </c>
      <c r="F12658" s="27">
        <v>5</v>
      </c>
      <c r="G12658" s="18">
        <v>6222</v>
      </c>
      <c r="H12658" s="27">
        <f t="shared" si="394"/>
        <v>0</v>
      </c>
      <c r="I12658" s="18">
        <v>2364.36</v>
      </c>
      <c r="J12658" s="27">
        <v>6222</v>
      </c>
      <c r="K12658" s="18">
        <f t="shared" si="395"/>
        <v>0</v>
      </c>
      <c r="L12658" s="27">
        <v>3546.54</v>
      </c>
      <c r="M12658" s="36">
        <v>1182.18</v>
      </c>
      <c r="T12658" s="41">
        <v>0</v>
      </c>
      <c r="U12658" s="41">
        <v>0</v>
      </c>
      <c r="V12658" s="42" t="s">
        <v>113</v>
      </c>
      <c r="W12658" s="42">
        <v>0</v>
      </c>
      <c r="X12658" s="42">
        <v>6222</v>
      </c>
    </row>
    <row r="12659" spans="1:24">
      <c r="A12659" s="27" t="s">
        <v>22693</v>
      </c>
      <c r="B12659" s="28" t="s">
        <v>19918</v>
      </c>
      <c r="C12659" s="27" t="s">
        <v>22691</v>
      </c>
      <c r="D12659" s="27" t="s">
        <v>17578</v>
      </c>
      <c r="E12659" s="29">
        <v>42720</v>
      </c>
      <c r="F12659" s="27">
        <v>5</v>
      </c>
      <c r="G12659" s="18">
        <v>6222</v>
      </c>
      <c r="H12659" s="27">
        <f t="shared" si="394"/>
        <v>0</v>
      </c>
      <c r="I12659" s="18">
        <v>2364.36</v>
      </c>
      <c r="J12659" s="27">
        <v>6222</v>
      </c>
      <c r="K12659" s="18">
        <f t="shared" si="395"/>
        <v>0</v>
      </c>
      <c r="L12659" s="27">
        <v>3546.54</v>
      </c>
      <c r="M12659" s="36">
        <v>1182.18</v>
      </c>
      <c r="T12659" s="41">
        <v>0</v>
      </c>
      <c r="U12659" s="41">
        <v>0</v>
      </c>
      <c r="V12659" s="42" t="s">
        <v>113</v>
      </c>
      <c r="W12659" s="42">
        <v>0</v>
      </c>
      <c r="X12659" s="42">
        <v>6222</v>
      </c>
    </row>
    <row r="12660" spans="1:24">
      <c r="A12660" s="27" t="s">
        <v>22694</v>
      </c>
      <c r="B12660" s="28" t="s">
        <v>19918</v>
      </c>
      <c r="C12660" s="27" t="s">
        <v>22691</v>
      </c>
      <c r="D12660" s="27" t="s">
        <v>17578</v>
      </c>
      <c r="E12660" s="29">
        <v>42720</v>
      </c>
      <c r="F12660" s="27">
        <v>5</v>
      </c>
      <c r="G12660" s="18">
        <v>6222</v>
      </c>
      <c r="H12660" s="27">
        <f t="shared" si="394"/>
        <v>0</v>
      </c>
      <c r="I12660" s="18">
        <v>2364.36</v>
      </c>
      <c r="J12660" s="27">
        <v>6222</v>
      </c>
      <c r="K12660" s="18">
        <f t="shared" si="395"/>
        <v>0</v>
      </c>
      <c r="L12660" s="27">
        <v>3546.54</v>
      </c>
      <c r="M12660" s="36">
        <v>1182.18</v>
      </c>
      <c r="T12660" s="41">
        <v>0</v>
      </c>
      <c r="U12660" s="41">
        <v>0</v>
      </c>
      <c r="V12660" s="42" t="s">
        <v>113</v>
      </c>
      <c r="W12660" s="42">
        <v>0</v>
      </c>
      <c r="X12660" s="42">
        <v>6222</v>
      </c>
    </row>
    <row r="12661" spans="1:24">
      <c r="A12661" s="27" t="s">
        <v>22695</v>
      </c>
      <c r="B12661" s="28" t="s">
        <v>19918</v>
      </c>
      <c r="C12661" s="27" t="s">
        <v>22691</v>
      </c>
      <c r="D12661" s="27" t="s">
        <v>17578</v>
      </c>
      <c r="E12661" s="29">
        <v>42720</v>
      </c>
      <c r="F12661" s="27">
        <v>5</v>
      </c>
      <c r="G12661" s="18">
        <v>6222</v>
      </c>
      <c r="H12661" s="27">
        <f t="shared" si="394"/>
        <v>0</v>
      </c>
      <c r="I12661" s="18">
        <v>2364.36</v>
      </c>
      <c r="J12661" s="27">
        <v>6222</v>
      </c>
      <c r="K12661" s="18">
        <f t="shared" si="395"/>
        <v>0</v>
      </c>
      <c r="L12661" s="27">
        <v>3546.54</v>
      </c>
      <c r="M12661" s="36">
        <v>1182.18</v>
      </c>
      <c r="T12661" s="41">
        <v>0</v>
      </c>
      <c r="U12661" s="41">
        <v>0</v>
      </c>
      <c r="V12661" s="42" t="s">
        <v>113</v>
      </c>
      <c r="W12661" s="42">
        <v>0</v>
      </c>
      <c r="X12661" s="42">
        <v>6222</v>
      </c>
    </row>
    <row r="12662" spans="1:24">
      <c r="A12662" s="27" t="s">
        <v>22696</v>
      </c>
      <c r="B12662" s="28" t="s">
        <v>19918</v>
      </c>
      <c r="C12662" s="27" t="s">
        <v>22691</v>
      </c>
      <c r="D12662" s="27" t="s">
        <v>17578</v>
      </c>
      <c r="E12662" s="29">
        <v>42720</v>
      </c>
      <c r="F12662" s="27">
        <v>5</v>
      </c>
      <c r="G12662" s="18">
        <v>6222</v>
      </c>
      <c r="H12662" s="27">
        <f t="shared" si="394"/>
        <v>0</v>
      </c>
      <c r="I12662" s="18">
        <v>2364.36</v>
      </c>
      <c r="J12662" s="27">
        <v>6222</v>
      </c>
      <c r="K12662" s="18">
        <f t="shared" si="395"/>
        <v>0</v>
      </c>
      <c r="L12662" s="27">
        <v>3546.54</v>
      </c>
      <c r="M12662" s="36">
        <v>1182.18</v>
      </c>
      <c r="T12662" s="41">
        <v>0</v>
      </c>
      <c r="U12662" s="41">
        <v>0</v>
      </c>
      <c r="V12662" s="42" t="s">
        <v>113</v>
      </c>
      <c r="W12662" s="42">
        <v>0</v>
      </c>
      <c r="X12662" s="42">
        <v>6222</v>
      </c>
    </row>
    <row r="12663" spans="1:24">
      <c r="A12663" s="27" t="s">
        <v>22697</v>
      </c>
      <c r="B12663" s="28" t="s">
        <v>19918</v>
      </c>
      <c r="C12663" s="27" t="s">
        <v>22691</v>
      </c>
      <c r="D12663" s="27" t="s">
        <v>17578</v>
      </c>
      <c r="E12663" s="29">
        <v>42720</v>
      </c>
      <c r="F12663" s="27">
        <v>5</v>
      </c>
      <c r="G12663" s="18">
        <v>6222</v>
      </c>
      <c r="H12663" s="27">
        <f t="shared" si="394"/>
        <v>0</v>
      </c>
      <c r="I12663" s="18">
        <v>2364.36</v>
      </c>
      <c r="J12663" s="27">
        <v>6222</v>
      </c>
      <c r="K12663" s="18">
        <f t="shared" si="395"/>
        <v>0</v>
      </c>
      <c r="L12663" s="27">
        <v>3546.54</v>
      </c>
      <c r="M12663" s="36">
        <v>1182.18</v>
      </c>
      <c r="T12663" s="41">
        <v>0</v>
      </c>
      <c r="U12663" s="41">
        <v>0</v>
      </c>
      <c r="V12663" s="42" t="s">
        <v>113</v>
      </c>
      <c r="W12663" s="42">
        <v>0</v>
      </c>
      <c r="X12663" s="42">
        <v>6222</v>
      </c>
    </row>
    <row r="12664" spans="1:24">
      <c r="A12664" s="27" t="s">
        <v>22698</v>
      </c>
      <c r="B12664" s="28" t="s">
        <v>19918</v>
      </c>
      <c r="C12664" s="27" t="s">
        <v>22699</v>
      </c>
      <c r="D12664" s="27" t="s">
        <v>17578</v>
      </c>
      <c r="E12664" s="29">
        <v>43228</v>
      </c>
      <c r="F12664" s="27">
        <v>5</v>
      </c>
      <c r="G12664" s="18">
        <v>12991.42</v>
      </c>
      <c r="H12664" s="27">
        <f t="shared" si="394"/>
        <v>0</v>
      </c>
      <c r="I12664" s="18">
        <v>1439.88</v>
      </c>
      <c r="J12664" s="27">
        <v>12991.42</v>
      </c>
      <c r="K12664" s="18">
        <f t="shared" si="395"/>
        <v>0</v>
      </c>
      <c r="L12664" s="27">
        <v>3908.25</v>
      </c>
      <c r="M12664" s="36">
        <v>2468.37</v>
      </c>
      <c r="T12664" s="41">
        <v>0</v>
      </c>
      <c r="U12664" s="41">
        <v>0</v>
      </c>
      <c r="V12664" s="42" t="s">
        <v>113</v>
      </c>
      <c r="W12664" s="42">
        <v>0</v>
      </c>
      <c r="X12664" s="42">
        <v>0</v>
      </c>
    </row>
    <row r="12665" spans="1:24">
      <c r="A12665" s="27" t="s">
        <v>22700</v>
      </c>
      <c r="B12665" s="28" t="s">
        <v>19918</v>
      </c>
      <c r="C12665" s="27" t="s">
        <v>22701</v>
      </c>
      <c r="D12665" s="27" t="s">
        <v>17578</v>
      </c>
      <c r="E12665" s="29">
        <v>43209</v>
      </c>
      <c r="F12665" s="27">
        <v>5</v>
      </c>
      <c r="G12665" s="18">
        <v>4924</v>
      </c>
      <c r="H12665" s="27">
        <f t="shared" si="394"/>
        <v>0</v>
      </c>
      <c r="I12665" s="18">
        <v>623.71</v>
      </c>
      <c r="J12665" s="27">
        <v>4924</v>
      </c>
      <c r="K12665" s="18">
        <f t="shared" si="395"/>
        <v>0</v>
      </c>
      <c r="L12665" s="27">
        <v>1559.27</v>
      </c>
      <c r="M12665" s="36">
        <v>935.56</v>
      </c>
      <c r="T12665" s="41">
        <v>0</v>
      </c>
      <c r="U12665" s="41">
        <v>0</v>
      </c>
      <c r="V12665" s="42" t="s">
        <v>113</v>
      </c>
      <c r="W12665" s="42">
        <v>0</v>
      </c>
      <c r="X12665" s="42">
        <v>0</v>
      </c>
    </row>
    <row r="12666" spans="1:24">
      <c r="A12666" s="27" t="s">
        <v>22702</v>
      </c>
      <c r="B12666" s="28" t="s">
        <v>19918</v>
      </c>
      <c r="C12666" s="27" t="s">
        <v>22703</v>
      </c>
      <c r="D12666" s="27" t="s">
        <v>17578</v>
      </c>
      <c r="E12666" s="29">
        <v>43209</v>
      </c>
      <c r="F12666" s="27">
        <v>5</v>
      </c>
      <c r="G12666" s="18">
        <v>4795</v>
      </c>
      <c r="H12666" s="27">
        <f t="shared" si="394"/>
        <v>0</v>
      </c>
      <c r="I12666" s="18">
        <v>607.37</v>
      </c>
      <c r="J12666" s="27">
        <v>4795</v>
      </c>
      <c r="K12666" s="18">
        <f t="shared" si="395"/>
        <v>0</v>
      </c>
      <c r="L12666" s="27">
        <v>1518.42</v>
      </c>
      <c r="M12666" s="36">
        <v>911.05</v>
      </c>
      <c r="T12666" s="41">
        <v>0</v>
      </c>
      <c r="U12666" s="41">
        <v>0</v>
      </c>
      <c r="V12666" s="42" t="s">
        <v>113</v>
      </c>
      <c r="W12666" s="42">
        <v>0</v>
      </c>
      <c r="X12666" s="42">
        <v>0</v>
      </c>
    </row>
    <row r="12667" spans="1:24">
      <c r="A12667" s="27" t="s">
        <v>22704</v>
      </c>
      <c r="B12667" s="28" t="s">
        <v>19918</v>
      </c>
      <c r="C12667" s="27" t="s">
        <v>22703</v>
      </c>
      <c r="D12667" s="27" t="s">
        <v>17578</v>
      </c>
      <c r="E12667" s="29">
        <v>43209</v>
      </c>
      <c r="F12667" s="27">
        <v>5</v>
      </c>
      <c r="G12667" s="18">
        <v>4795</v>
      </c>
      <c r="H12667" s="27">
        <f t="shared" si="394"/>
        <v>0</v>
      </c>
      <c r="I12667" s="18">
        <v>607.37</v>
      </c>
      <c r="J12667" s="27">
        <v>4795</v>
      </c>
      <c r="K12667" s="18">
        <f t="shared" si="395"/>
        <v>0</v>
      </c>
      <c r="L12667" s="27">
        <v>1518.42</v>
      </c>
      <c r="M12667" s="36">
        <v>911.05</v>
      </c>
      <c r="T12667" s="41">
        <v>0</v>
      </c>
      <c r="U12667" s="41">
        <v>0</v>
      </c>
      <c r="V12667" s="42" t="s">
        <v>113</v>
      </c>
      <c r="W12667" s="42">
        <v>0</v>
      </c>
      <c r="X12667" s="42">
        <v>0</v>
      </c>
    </row>
    <row r="12668" spans="1:24">
      <c r="A12668" s="27" t="s">
        <v>22705</v>
      </c>
      <c r="B12668" s="28" t="s">
        <v>19918</v>
      </c>
      <c r="C12668" s="27" t="s">
        <v>22703</v>
      </c>
      <c r="D12668" s="27" t="s">
        <v>17578</v>
      </c>
      <c r="E12668" s="29">
        <v>43209</v>
      </c>
      <c r="F12668" s="27">
        <v>5</v>
      </c>
      <c r="G12668" s="18">
        <v>4795</v>
      </c>
      <c r="H12668" s="27">
        <f t="shared" si="394"/>
        <v>0</v>
      </c>
      <c r="I12668" s="18">
        <v>607.37</v>
      </c>
      <c r="J12668" s="27">
        <v>4795</v>
      </c>
      <c r="K12668" s="18">
        <f t="shared" si="395"/>
        <v>0</v>
      </c>
      <c r="L12668" s="27">
        <v>1518.42</v>
      </c>
      <c r="M12668" s="36">
        <v>911.05</v>
      </c>
      <c r="T12668" s="41">
        <v>0</v>
      </c>
      <c r="U12668" s="41">
        <v>0</v>
      </c>
      <c r="V12668" s="42" t="s">
        <v>113</v>
      </c>
      <c r="W12668" s="42">
        <v>0</v>
      </c>
      <c r="X12668" s="42">
        <v>0</v>
      </c>
    </row>
    <row r="12669" spans="1:24">
      <c r="A12669" s="27" t="s">
        <v>22706</v>
      </c>
      <c r="B12669" s="28" t="s">
        <v>19918</v>
      </c>
      <c r="C12669" s="27" t="s">
        <v>22703</v>
      </c>
      <c r="D12669" s="27" t="s">
        <v>17578</v>
      </c>
      <c r="E12669" s="29">
        <v>43209</v>
      </c>
      <c r="F12669" s="27">
        <v>5</v>
      </c>
      <c r="G12669" s="18">
        <v>4795</v>
      </c>
      <c r="H12669" s="27">
        <f t="shared" si="394"/>
        <v>0</v>
      </c>
      <c r="I12669" s="18">
        <v>607.37</v>
      </c>
      <c r="J12669" s="27">
        <v>4795</v>
      </c>
      <c r="K12669" s="18">
        <f t="shared" si="395"/>
        <v>0</v>
      </c>
      <c r="L12669" s="27">
        <v>1518.42</v>
      </c>
      <c r="M12669" s="36">
        <v>911.05</v>
      </c>
      <c r="T12669" s="41">
        <v>0</v>
      </c>
      <c r="U12669" s="41">
        <v>0</v>
      </c>
      <c r="V12669" s="42" t="s">
        <v>113</v>
      </c>
      <c r="W12669" s="42">
        <v>0</v>
      </c>
      <c r="X12669" s="42">
        <v>0</v>
      </c>
    </row>
    <row r="12670" spans="1:24">
      <c r="A12670" s="27" t="s">
        <v>22707</v>
      </c>
      <c r="B12670" s="28" t="s">
        <v>19918</v>
      </c>
      <c r="C12670" s="27" t="s">
        <v>22703</v>
      </c>
      <c r="D12670" s="27" t="s">
        <v>17578</v>
      </c>
      <c r="E12670" s="29">
        <v>43209</v>
      </c>
      <c r="F12670" s="27">
        <v>5</v>
      </c>
      <c r="G12670" s="18">
        <v>4795</v>
      </c>
      <c r="H12670" s="27">
        <f t="shared" si="394"/>
        <v>0</v>
      </c>
      <c r="I12670" s="18">
        <v>607.37</v>
      </c>
      <c r="J12670" s="27">
        <v>4795</v>
      </c>
      <c r="K12670" s="18">
        <f t="shared" si="395"/>
        <v>0</v>
      </c>
      <c r="L12670" s="27">
        <v>1518.42</v>
      </c>
      <c r="M12670" s="36">
        <v>911.05</v>
      </c>
      <c r="T12670" s="41">
        <v>0</v>
      </c>
      <c r="U12670" s="41">
        <v>0</v>
      </c>
      <c r="V12670" s="42" t="s">
        <v>113</v>
      </c>
      <c r="W12670" s="42">
        <v>0</v>
      </c>
      <c r="X12670" s="42">
        <v>0</v>
      </c>
    </row>
    <row r="12671" spans="1:24">
      <c r="A12671" s="27" t="s">
        <v>22708</v>
      </c>
      <c r="B12671" s="28" t="s">
        <v>19918</v>
      </c>
      <c r="C12671" s="27" t="s">
        <v>22703</v>
      </c>
      <c r="D12671" s="27" t="s">
        <v>17578</v>
      </c>
      <c r="E12671" s="29">
        <v>43209</v>
      </c>
      <c r="F12671" s="27">
        <v>5</v>
      </c>
      <c r="G12671" s="18">
        <v>4795</v>
      </c>
      <c r="H12671" s="27">
        <f t="shared" si="394"/>
        <v>0</v>
      </c>
      <c r="I12671" s="18">
        <v>607.37</v>
      </c>
      <c r="J12671" s="27">
        <v>4795</v>
      </c>
      <c r="K12671" s="18">
        <f t="shared" si="395"/>
        <v>0</v>
      </c>
      <c r="L12671" s="27">
        <v>1518.42</v>
      </c>
      <c r="M12671" s="36">
        <v>911.05</v>
      </c>
      <c r="T12671" s="41">
        <v>0</v>
      </c>
      <c r="U12671" s="41">
        <v>0</v>
      </c>
      <c r="V12671" s="42" t="s">
        <v>113</v>
      </c>
      <c r="W12671" s="42">
        <v>0</v>
      </c>
      <c r="X12671" s="42">
        <v>0</v>
      </c>
    </row>
    <row r="12672" spans="1:24">
      <c r="A12672" s="27" t="s">
        <v>22709</v>
      </c>
      <c r="B12672" s="28" t="s">
        <v>19918</v>
      </c>
      <c r="C12672" s="27" t="s">
        <v>22703</v>
      </c>
      <c r="D12672" s="27" t="s">
        <v>17578</v>
      </c>
      <c r="E12672" s="29">
        <v>43209</v>
      </c>
      <c r="F12672" s="27">
        <v>5</v>
      </c>
      <c r="G12672" s="18">
        <v>4795</v>
      </c>
      <c r="H12672" s="27">
        <f t="shared" si="394"/>
        <v>0</v>
      </c>
      <c r="I12672" s="18">
        <v>607.37</v>
      </c>
      <c r="J12672" s="27">
        <v>4795</v>
      </c>
      <c r="K12672" s="18">
        <f t="shared" si="395"/>
        <v>0</v>
      </c>
      <c r="L12672" s="27">
        <v>1518.42</v>
      </c>
      <c r="M12672" s="36">
        <v>911.05</v>
      </c>
      <c r="T12672" s="41">
        <v>0</v>
      </c>
      <c r="U12672" s="41">
        <v>0</v>
      </c>
      <c r="V12672" s="42" t="s">
        <v>113</v>
      </c>
      <c r="W12672" s="42">
        <v>0</v>
      </c>
      <c r="X12672" s="42">
        <v>0</v>
      </c>
    </row>
    <row r="12673" spans="1:24">
      <c r="A12673" s="27" t="s">
        <v>22710</v>
      </c>
      <c r="B12673" s="28" t="s">
        <v>19918</v>
      </c>
      <c r="C12673" s="27" t="s">
        <v>22703</v>
      </c>
      <c r="D12673" s="27" t="s">
        <v>17578</v>
      </c>
      <c r="E12673" s="29">
        <v>43209</v>
      </c>
      <c r="F12673" s="27">
        <v>5</v>
      </c>
      <c r="G12673" s="18">
        <v>4795</v>
      </c>
      <c r="H12673" s="27">
        <f t="shared" si="394"/>
        <v>0</v>
      </c>
      <c r="I12673" s="18">
        <v>607.37</v>
      </c>
      <c r="J12673" s="27">
        <v>4795</v>
      </c>
      <c r="K12673" s="18">
        <f t="shared" si="395"/>
        <v>0</v>
      </c>
      <c r="L12673" s="27">
        <v>1518.42</v>
      </c>
      <c r="M12673" s="36">
        <v>911.05</v>
      </c>
      <c r="T12673" s="41">
        <v>0</v>
      </c>
      <c r="U12673" s="41">
        <v>0</v>
      </c>
      <c r="V12673" s="42" t="s">
        <v>113</v>
      </c>
      <c r="W12673" s="42">
        <v>0</v>
      </c>
      <c r="X12673" s="42">
        <v>0</v>
      </c>
    </row>
    <row r="12674" spans="1:24">
      <c r="A12674" s="27" t="s">
        <v>22711</v>
      </c>
      <c r="B12674" s="28" t="s">
        <v>19918</v>
      </c>
      <c r="C12674" s="27" t="s">
        <v>22701</v>
      </c>
      <c r="D12674" s="27" t="s">
        <v>17578</v>
      </c>
      <c r="E12674" s="29">
        <v>43209</v>
      </c>
      <c r="F12674" s="27">
        <v>5</v>
      </c>
      <c r="G12674" s="18">
        <v>4924</v>
      </c>
      <c r="H12674" s="27">
        <f t="shared" si="394"/>
        <v>0</v>
      </c>
      <c r="I12674" s="18">
        <v>623.71</v>
      </c>
      <c r="J12674" s="27">
        <v>4924</v>
      </c>
      <c r="K12674" s="18">
        <f t="shared" si="395"/>
        <v>0</v>
      </c>
      <c r="L12674" s="27">
        <v>1559.27</v>
      </c>
      <c r="M12674" s="36">
        <v>935.56</v>
      </c>
      <c r="T12674" s="41">
        <v>0</v>
      </c>
      <c r="U12674" s="41">
        <v>0</v>
      </c>
      <c r="V12674" s="42" t="s">
        <v>113</v>
      </c>
      <c r="W12674" s="42">
        <v>0</v>
      </c>
      <c r="X12674" s="42">
        <v>0</v>
      </c>
    </row>
    <row r="12675" spans="1:24">
      <c r="A12675" s="27" t="s">
        <v>22712</v>
      </c>
      <c r="B12675" s="28" t="s">
        <v>19918</v>
      </c>
      <c r="C12675" s="27" t="s">
        <v>22703</v>
      </c>
      <c r="D12675" s="27" t="s">
        <v>17578</v>
      </c>
      <c r="E12675" s="29">
        <v>43209</v>
      </c>
      <c r="F12675" s="27">
        <v>5</v>
      </c>
      <c r="G12675" s="18">
        <v>4795</v>
      </c>
      <c r="H12675" s="27">
        <f t="shared" si="394"/>
        <v>0</v>
      </c>
      <c r="I12675" s="18">
        <v>607.37</v>
      </c>
      <c r="J12675" s="27">
        <v>4795</v>
      </c>
      <c r="K12675" s="18">
        <f t="shared" si="395"/>
        <v>0</v>
      </c>
      <c r="L12675" s="27">
        <v>1518.42</v>
      </c>
      <c r="M12675" s="36">
        <v>911.05</v>
      </c>
      <c r="T12675" s="41">
        <v>0</v>
      </c>
      <c r="U12675" s="41">
        <v>0</v>
      </c>
      <c r="V12675" s="42" t="s">
        <v>113</v>
      </c>
      <c r="W12675" s="42">
        <v>0</v>
      </c>
      <c r="X12675" s="42">
        <v>0</v>
      </c>
    </row>
    <row r="12676" spans="1:24">
      <c r="A12676" s="27" t="s">
        <v>22713</v>
      </c>
      <c r="B12676" s="28" t="s">
        <v>19918</v>
      </c>
      <c r="C12676" s="27" t="s">
        <v>22701</v>
      </c>
      <c r="D12676" s="27" t="s">
        <v>17578</v>
      </c>
      <c r="E12676" s="29">
        <v>43209</v>
      </c>
      <c r="F12676" s="27">
        <v>5</v>
      </c>
      <c r="G12676" s="18">
        <v>4924</v>
      </c>
      <c r="H12676" s="27">
        <f t="shared" si="394"/>
        <v>0</v>
      </c>
      <c r="I12676" s="18">
        <v>623.71</v>
      </c>
      <c r="J12676" s="27">
        <v>4924</v>
      </c>
      <c r="K12676" s="18">
        <f t="shared" si="395"/>
        <v>0</v>
      </c>
      <c r="L12676" s="27">
        <v>1559.27</v>
      </c>
      <c r="M12676" s="36">
        <v>935.56</v>
      </c>
      <c r="T12676" s="41">
        <v>0</v>
      </c>
      <c r="U12676" s="41">
        <v>0</v>
      </c>
      <c r="V12676" s="42" t="s">
        <v>113</v>
      </c>
      <c r="W12676" s="42">
        <v>0</v>
      </c>
      <c r="X12676" s="42">
        <v>0</v>
      </c>
    </row>
    <row r="12677" spans="1:24">
      <c r="A12677" s="27" t="s">
        <v>22714</v>
      </c>
      <c r="B12677" s="28" t="s">
        <v>19918</v>
      </c>
      <c r="C12677" s="27" t="s">
        <v>22703</v>
      </c>
      <c r="D12677" s="27" t="s">
        <v>17578</v>
      </c>
      <c r="E12677" s="29">
        <v>43209</v>
      </c>
      <c r="F12677" s="27">
        <v>5</v>
      </c>
      <c r="G12677" s="18">
        <v>4795</v>
      </c>
      <c r="H12677" s="27">
        <f t="shared" si="394"/>
        <v>0</v>
      </c>
      <c r="I12677" s="18">
        <v>607.37</v>
      </c>
      <c r="J12677" s="27">
        <v>4795</v>
      </c>
      <c r="K12677" s="18">
        <f t="shared" si="395"/>
        <v>0</v>
      </c>
      <c r="L12677" s="27">
        <v>1518.42</v>
      </c>
      <c r="M12677" s="36">
        <v>911.05</v>
      </c>
      <c r="T12677" s="41">
        <v>0</v>
      </c>
      <c r="U12677" s="41">
        <v>0</v>
      </c>
      <c r="V12677" s="42" t="s">
        <v>113</v>
      </c>
      <c r="W12677" s="42">
        <v>0</v>
      </c>
      <c r="X12677" s="42">
        <v>0</v>
      </c>
    </row>
    <row r="12678" spans="1:24">
      <c r="A12678" s="27" t="s">
        <v>22715</v>
      </c>
      <c r="B12678" s="28" t="s">
        <v>19918</v>
      </c>
      <c r="C12678" s="27" t="s">
        <v>22703</v>
      </c>
      <c r="D12678" s="27" t="s">
        <v>17578</v>
      </c>
      <c r="E12678" s="29">
        <v>43209</v>
      </c>
      <c r="F12678" s="27">
        <v>5</v>
      </c>
      <c r="G12678" s="18">
        <v>4795</v>
      </c>
      <c r="H12678" s="27">
        <f t="shared" ref="H12678:H12741" si="396">IFERROR(IF(ROUND((G12678-I12678)/G12678,2)&lt;=0.05,G12678,0),0)</f>
        <v>0</v>
      </c>
      <c r="I12678" s="18">
        <v>607.37</v>
      </c>
      <c r="J12678" s="27">
        <v>4795</v>
      </c>
      <c r="K12678" s="18">
        <f t="shared" ref="K12678:K12741" si="397">IFERROR(IF(ROUND((J12678-L12678)/J12678,2)&lt;=0.05,J12678,0),0)</f>
        <v>0</v>
      </c>
      <c r="L12678" s="27">
        <v>1518.42</v>
      </c>
      <c r="M12678" s="36">
        <v>911.05</v>
      </c>
      <c r="T12678" s="41">
        <v>0</v>
      </c>
      <c r="U12678" s="41">
        <v>0</v>
      </c>
      <c r="V12678" s="42" t="s">
        <v>113</v>
      </c>
      <c r="W12678" s="42">
        <v>0</v>
      </c>
      <c r="X12678" s="42">
        <v>0</v>
      </c>
    </row>
    <row r="12679" spans="1:24">
      <c r="A12679" s="27" t="s">
        <v>22716</v>
      </c>
      <c r="B12679" s="28" t="s">
        <v>19918</v>
      </c>
      <c r="C12679" s="27" t="s">
        <v>22703</v>
      </c>
      <c r="D12679" s="27" t="s">
        <v>17578</v>
      </c>
      <c r="E12679" s="29">
        <v>43209</v>
      </c>
      <c r="F12679" s="27">
        <v>5</v>
      </c>
      <c r="G12679" s="18">
        <v>4795</v>
      </c>
      <c r="H12679" s="27">
        <f t="shared" si="396"/>
        <v>0</v>
      </c>
      <c r="I12679" s="18">
        <v>607.37</v>
      </c>
      <c r="J12679" s="27">
        <v>4795</v>
      </c>
      <c r="K12679" s="18">
        <f t="shared" si="397"/>
        <v>0</v>
      </c>
      <c r="L12679" s="27">
        <v>1518.42</v>
      </c>
      <c r="M12679" s="36">
        <v>911.05</v>
      </c>
      <c r="T12679" s="41">
        <v>0</v>
      </c>
      <c r="U12679" s="41">
        <v>0</v>
      </c>
      <c r="V12679" s="42" t="s">
        <v>113</v>
      </c>
      <c r="W12679" s="42">
        <v>0</v>
      </c>
      <c r="X12679" s="42">
        <v>0</v>
      </c>
    </row>
    <row r="12680" spans="1:24">
      <c r="A12680" s="27" t="s">
        <v>22717</v>
      </c>
      <c r="B12680" s="28" t="s">
        <v>19918</v>
      </c>
      <c r="C12680" s="27" t="s">
        <v>22703</v>
      </c>
      <c r="D12680" s="27" t="s">
        <v>17578</v>
      </c>
      <c r="E12680" s="29">
        <v>43209</v>
      </c>
      <c r="F12680" s="27">
        <v>5</v>
      </c>
      <c r="G12680" s="18">
        <v>4795</v>
      </c>
      <c r="H12680" s="27">
        <f t="shared" si="396"/>
        <v>0</v>
      </c>
      <c r="I12680" s="18">
        <v>607.37</v>
      </c>
      <c r="J12680" s="27">
        <v>4795</v>
      </c>
      <c r="K12680" s="18">
        <f t="shared" si="397"/>
        <v>0</v>
      </c>
      <c r="L12680" s="27">
        <v>1518.42</v>
      </c>
      <c r="M12680" s="36">
        <v>911.05</v>
      </c>
      <c r="T12680" s="41">
        <v>0</v>
      </c>
      <c r="U12680" s="41">
        <v>0</v>
      </c>
      <c r="V12680" s="42" t="s">
        <v>113</v>
      </c>
      <c r="W12680" s="42">
        <v>0</v>
      </c>
      <c r="X12680" s="42">
        <v>0</v>
      </c>
    </row>
    <row r="12681" spans="1:24">
      <c r="A12681" s="27" t="s">
        <v>22718</v>
      </c>
      <c r="B12681" s="28" t="s">
        <v>19918</v>
      </c>
      <c r="C12681" s="27" t="s">
        <v>22701</v>
      </c>
      <c r="D12681" s="27" t="s">
        <v>17578</v>
      </c>
      <c r="E12681" s="29">
        <v>43209</v>
      </c>
      <c r="F12681" s="27">
        <v>5</v>
      </c>
      <c r="G12681" s="18">
        <v>4924</v>
      </c>
      <c r="H12681" s="27">
        <f t="shared" si="396"/>
        <v>0</v>
      </c>
      <c r="I12681" s="18">
        <v>623.71</v>
      </c>
      <c r="J12681" s="27">
        <v>4924</v>
      </c>
      <c r="K12681" s="18">
        <f t="shared" si="397"/>
        <v>0</v>
      </c>
      <c r="L12681" s="27">
        <v>1559.27</v>
      </c>
      <c r="M12681" s="36">
        <v>935.56</v>
      </c>
      <c r="T12681" s="41">
        <v>0</v>
      </c>
      <c r="U12681" s="41">
        <v>0</v>
      </c>
      <c r="V12681" s="42" t="s">
        <v>113</v>
      </c>
      <c r="W12681" s="42">
        <v>0</v>
      </c>
      <c r="X12681" s="42">
        <v>0</v>
      </c>
    </row>
    <row r="12682" spans="1:24">
      <c r="A12682" s="27" t="s">
        <v>22719</v>
      </c>
      <c r="B12682" s="28" t="s">
        <v>19918</v>
      </c>
      <c r="C12682" s="27" t="s">
        <v>22701</v>
      </c>
      <c r="D12682" s="27" t="s">
        <v>17578</v>
      </c>
      <c r="E12682" s="29">
        <v>43209</v>
      </c>
      <c r="F12682" s="27">
        <v>5</v>
      </c>
      <c r="G12682" s="18">
        <v>4924</v>
      </c>
      <c r="H12682" s="27">
        <f t="shared" si="396"/>
        <v>0</v>
      </c>
      <c r="I12682" s="18">
        <v>623.71</v>
      </c>
      <c r="J12682" s="27">
        <v>4924</v>
      </c>
      <c r="K12682" s="18">
        <f t="shared" si="397"/>
        <v>0</v>
      </c>
      <c r="L12682" s="27">
        <v>1559.27</v>
      </c>
      <c r="M12682" s="36">
        <v>935.56</v>
      </c>
      <c r="T12682" s="41">
        <v>0</v>
      </c>
      <c r="U12682" s="41">
        <v>0</v>
      </c>
      <c r="V12682" s="42" t="s">
        <v>113</v>
      </c>
      <c r="W12682" s="42">
        <v>0</v>
      </c>
      <c r="X12682" s="42">
        <v>0</v>
      </c>
    </row>
    <row r="12683" spans="1:24">
      <c r="A12683" s="27" t="s">
        <v>22720</v>
      </c>
      <c r="B12683" s="28" t="s">
        <v>19918</v>
      </c>
      <c r="C12683" s="27" t="s">
        <v>22703</v>
      </c>
      <c r="D12683" s="27" t="s">
        <v>17578</v>
      </c>
      <c r="E12683" s="29">
        <v>43210</v>
      </c>
      <c r="F12683" s="27">
        <v>5</v>
      </c>
      <c r="G12683" s="18">
        <v>4795</v>
      </c>
      <c r="H12683" s="27">
        <f t="shared" si="396"/>
        <v>0</v>
      </c>
      <c r="I12683" s="18">
        <v>607.37</v>
      </c>
      <c r="J12683" s="27">
        <v>4795</v>
      </c>
      <c r="K12683" s="18">
        <f t="shared" si="397"/>
        <v>0</v>
      </c>
      <c r="L12683" s="27">
        <v>1518.42</v>
      </c>
      <c r="M12683" s="36">
        <v>911.05</v>
      </c>
      <c r="T12683" s="41">
        <v>0</v>
      </c>
      <c r="U12683" s="41">
        <v>0</v>
      </c>
      <c r="V12683" s="42" t="s">
        <v>113</v>
      </c>
      <c r="W12683" s="42">
        <v>0</v>
      </c>
      <c r="X12683" s="42">
        <v>0</v>
      </c>
    </row>
    <row r="12684" spans="1:24">
      <c r="A12684" s="27" t="s">
        <v>22721</v>
      </c>
      <c r="B12684" s="28" t="s">
        <v>19918</v>
      </c>
      <c r="C12684" s="27" t="s">
        <v>22703</v>
      </c>
      <c r="D12684" s="27" t="s">
        <v>17578</v>
      </c>
      <c r="E12684" s="29">
        <v>43209</v>
      </c>
      <c r="F12684" s="27">
        <v>5</v>
      </c>
      <c r="G12684" s="18">
        <v>4795</v>
      </c>
      <c r="H12684" s="27">
        <f t="shared" si="396"/>
        <v>0</v>
      </c>
      <c r="I12684" s="18">
        <v>607.37</v>
      </c>
      <c r="J12684" s="27">
        <v>4795</v>
      </c>
      <c r="K12684" s="18">
        <f t="shared" si="397"/>
        <v>0</v>
      </c>
      <c r="L12684" s="27">
        <v>1518.42</v>
      </c>
      <c r="M12684" s="36">
        <v>911.05</v>
      </c>
      <c r="T12684" s="41">
        <v>0</v>
      </c>
      <c r="U12684" s="41">
        <v>0</v>
      </c>
      <c r="V12684" s="42" t="s">
        <v>113</v>
      </c>
      <c r="W12684" s="42">
        <v>0</v>
      </c>
      <c r="X12684" s="42">
        <v>0</v>
      </c>
    </row>
    <row r="12685" spans="1:24">
      <c r="A12685" s="27" t="s">
        <v>22722</v>
      </c>
      <c r="B12685" s="28" t="s">
        <v>19918</v>
      </c>
      <c r="C12685" s="27" t="s">
        <v>22723</v>
      </c>
      <c r="D12685" s="27" t="s">
        <v>17578</v>
      </c>
      <c r="E12685" s="29">
        <v>37196</v>
      </c>
      <c r="F12685" s="27">
        <v>5</v>
      </c>
      <c r="G12685" s="18">
        <v>1638.75</v>
      </c>
      <c r="H12685" s="27">
        <f t="shared" si="396"/>
        <v>1638.75</v>
      </c>
      <c r="I12685" s="18">
        <v>1638.75</v>
      </c>
      <c r="J12685" s="27">
        <v>1638.75</v>
      </c>
      <c r="K12685" s="18">
        <f t="shared" si="397"/>
        <v>1638.75</v>
      </c>
      <c r="L12685" s="27">
        <v>1638.75</v>
      </c>
      <c r="M12685" s="36">
        <v>0</v>
      </c>
      <c r="T12685" s="41">
        <v>0</v>
      </c>
      <c r="U12685" s="41">
        <v>0</v>
      </c>
      <c r="V12685" s="42" t="s">
        <v>113</v>
      </c>
      <c r="W12685" s="42">
        <v>1638.75</v>
      </c>
      <c r="X12685" s="42">
        <v>1638.75</v>
      </c>
    </row>
    <row r="12686" spans="1:24">
      <c r="A12686" s="27" t="s">
        <v>22724</v>
      </c>
      <c r="B12686" s="28" t="s">
        <v>19918</v>
      </c>
      <c r="C12686" s="27" t="s">
        <v>22723</v>
      </c>
      <c r="D12686" s="27" t="s">
        <v>17578</v>
      </c>
      <c r="E12686" s="29">
        <v>37196</v>
      </c>
      <c r="F12686" s="27">
        <v>5</v>
      </c>
      <c r="G12686" s="18">
        <v>1638.75</v>
      </c>
      <c r="H12686" s="27">
        <f t="shared" si="396"/>
        <v>1638.75</v>
      </c>
      <c r="I12686" s="18">
        <v>1638.75</v>
      </c>
      <c r="J12686" s="27">
        <v>1638.75</v>
      </c>
      <c r="K12686" s="18">
        <f t="shared" si="397"/>
        <v>1638.75</v>
      </c>
      <c r="L12686" s="27">
        <v>1638.75</v>
      </c>
      <c r="M12686" s="36">
        <v>0</v>
      </c>
      <c r="T12686" s="41">
        <v>0</v>
      </c>
      <c r="U12686" s="41">
        <v>0</v>
      </c>
      <c r="V12686" s="42" t="s">
        <v>113</v>
      </c>
      <c r="W12686" s="42">
        <v>1638.75</v>
      </c>
      <c r="X12686" s="42">
        <v>1638.75</v>
      </c>
    </row>
    <row r="12687" spans="1:24">
      <c r="A12687" s="27" t="s">
        <v>22725</v>
      </c>
      <c r="B12687" s="28" t="s">
        <v>19918</v>
      </c>
      <c r="C12687" s="27" t="s">
        <v>22723</v>
      </c>
      <c r="D12687" s="27" t="s">
        <v>17578</v>
      </c>
      <c r="E12687" s="29">
        <v>37196</v>
      </c>
      <c r="F12687" s="27">
        <v>5</v>
      </c>
      <c r="G12687" s="18">
        <v>1638.75</v>
      </c>
      <c r="H12687" s="27">
        <f t="shared" si="396"/>
        <v>1638.75</v>
      </c>
      <c r="I12687" s="18">
        <v>1638.75</v>
      </c>
      <c r="J12687" s="27">
        <v>1638.75</v>
      </c>
      <c r="K12687" s="18">
        <f t="shared" si="397"/>
        <v>1638.75</v>
      </c>
      <c r="L12687" s="27">
        <v>1638.75</v>
      </c>
      <c r="M12687" s="36">
        <v>0</v>
      </c>
      <c r="T12687" s="41">
        <v>0</v>
      </c>
      <c r="U12687" s="41">
        <v>0</v>
      </c>
      <c r="V12687" s="42" t="s">
        <v>113</v>
      </c>
      <c r="W12687" s="42">
        <v>1638.75</v>
      </c>
      <c r="X12687" s="42">
        <v>1638.75</v>
      </c>
    </row>
    <row r="12688" spans="1:24">
      <c r="A12688" s="27" t="s">
        <v>22726</v>
      </c>
      <c r="B12688" s="28" t="s">
        <v>19918</v>
      </c>
      <c r="C12688" s="27" t="s">
        <v>22727</v>
      </c>
      <c r="D12688" s="27" t="s">
        <v>17578</v>
      </c>
      <c r="E12688" s="29">
        <v>37196</v>
      </c>
      <c r="F12688" s="27">
        <v>5</v>
      </c>
      <c r="G12688" s="18">
        <v>2000</v>
      </c>
      <c r="H12688" s="27">
        <f t="shared" si="396"/>
        <v>2000</v>
      </c>
      <c r="I12688" s="18">
        <v>2000</v>
      </c>
      <c r="J12688" s="27">
        <v>2000</v>
      </c>
      <c r="K12688" s="18">
        <f t="shared" si="397"/>
        <v>2000</v>
      </c>
      <c r="L12688" s="27">
        <v>2000</v>
      </c>
      <c r="M12688" s="36">
        <v>0</v>
      </c>
      <c r="T12688" s="41">
        <v>0</v>
      </c>
      <c r="U12688" s="41">
        <v>0</v>
      </c>
      <c r="V12688" s="42" t="s">
        <v>113</v>
      </c>
      <c r="W12688" s="42">
        <v>2000</v>
      </c>
      <c r="X12688" s="42">
        <v>2000</v>
      </c>
    </row>
    <row r="12689" spans="1:24">
      <c r="A12689" s="27" t="s">
        <v>22728</v>
      </c>
      <c r="B12689" s="28" t="s">
        <v>19918</v>
      </c>
      <c r="C12689" s="27" t="s">
        <v>22727</v>
      </c>
      <c r="D12689" s="27" t="s">
        <v>17578</v>
      </c>
      <c r="E12689" s="29">
        <v>37591</v>
      </c>
      <c r="F12689" s="27">
        <v>5</v>
      </c>
      <c r="G12689" s="18">
        <v>2000</v>
      </c>
      <c r="H12689" s="27">
        <f t="shared" si="396"/>
        <v>2000</v>
      </c>
      <c r="I12689" s="18">
        <v>2000</v>
      </c>
      <c r="J12689" s="27">
        <v>2000</v>
      </c>
      <c r="K12689" s="18">
        <f t="shared" si="397"/>
        <v>2000</v>
      </c>
      <c r="L12689" s="27">
        <v>2000</v>
      </c>
      <c r="M12689" s="36">
        <v>0</v>
      </c>
      <c r="T12689" s="41">
        <v>0</v>
      </c>
      <c r="U12689" s="41">
        <v>0</v>
      </c>
      <c r="V12689" s="42" t="s">
        <v>113</v>
      </c>
      <c r="W12689" s="42">
        <v>2000</v>
      </c>
      <c r="X12689" s="42">
        <v>2000</v>
      </c>
    </row>
    <row r="12690" spans="1:24">
      <c r="A12690" s="27" t="s">
        <v>22729</v>
      </c>
      <c r="B12690" s="28" t="s">
        <v>19918</v>
      </c>
      <c r="C12690" s="27" t="s">
        <v>22730</v>
      </c>
      <c r="D12690" s="27" t="s">
        <v>17578</v>
      </c>
      <c r="E12690" s="29">
        <v>39539</v>
      </c>
      <c r="F12690" s="27">
        <v>5</v>
      </c>
      <c r="G12690" s="18">
        <v>2900</v>
      </c>
      <c r="H12690" s="27">
        <f t="shared" si="396"/>
        <v>2900</v>
      </c>
      <c r="I12690" s="18">
        <v>2900</v>
      </c>
      <c r="J12690" s="27">
        <v>2900</v>
      </c>
      <c r="K12690" s="18">
        <f t="shared" si="397"/>
        <v>2900</v>
      </c>
      <c r="L12690" s="27">
        <v>2900</v>
      </c>
      <c r="M12690" s="36">
        <v>0</v>
      </c>
      <c r="T12690" s="41">
        <v>0</v>
      </c>
      <c r="U12690" s="41">
        <v>0</v>
      </c>
      <c r="V12690" s="42" t="s">
        <v>113</v>
      </c>
      <c r="W12690" s="42">
        <v>2900</v>
      </c>
      <c r="X12690" s="42">
        <v>2900</v>
      </c>
    </row>
    <row r="12691" spans="1:24">
      <c r="A12691" s="27" t="s">
        <v>22731</v>
      </c>
      <c r="B12691" s="28" t="s">
        <v>19918</v>
      </c>
      <c r="C12691" s="27" t="s">
        <v>22730</v>
      </c>
      <c r="D12691" s="27" t="s">
        <v>17578</v>
      </c>
      <c r="E12691" s="29">
        <v>40544</v>
      </c>
      <c r="F12691" s="27">
        <v>5</v>
      </c>
      <c r="G12691" s="18">
        <v>581.20000000000005</v>
      </c>
      <c r="H12691" s="27">
        <f t="shared" si="396"/>
        <v>581.20000000000005</v>
      </c>
      <c r="I12691" s="18">
        <v>581.20000000000005</v>
      </c>
      <c r="J12691" s="27">
        <v>581.20000000000005</v>
      </c>
      <c r="K12691" s="18">
        <f t="shared" si="397"/>
        <v>581.20000000000005</v>
      </c>
      <c r="L12691" s="27">
        <v>581.20000000000005</v>
      </c>
      <c r="M12691" s="36">
        <v>0</v>
      </c>
      <c r="T12691" s="41">
        <v>0</v>
      </c>
      <c r="U12691" s="41">
        <v>0</v>
      </c>
      <c r="V12691" s="42" t="s">
        <v>113</v>
      </c>
      <c r="W12691" s="42">
        <v>581.20000000000005</v>
      </c>
      <c r="X12691" s="42">
        <v>581.20000000000005</v>
      </c>
    </row>
    <row r="12692" spans="1:24">
      <c r="A12692" s="27" t="s">
        <v>22732</v>
      </c>
      <c r="B12692" s="28" t="s">
        <v>19918</v>
      </c>
      <c r="C12692" s="27" t="s">
        <v>22733</v>
      </c>
      <c r="D12692" s="27" t="s">
        <v>17578</v>
      </c>
      <c r="E12692" s="29">
        <v>40809</v>
      </c>
      <c r="F12692" s="27">
        <v>5</v>
      </c>
      <c r="G12692" s="18">
        <v>9914.52</v>
      </c>
      <c r="H12692" s="27">
        <f t="shared" si="396"/>
        <v>9914.52</v>
      </c>
      <c r="I12692" s="18">
        <v>9418.7900000000009</v>
      </c>
      <c r="J12692" s="27">
        <v>9914.52</v>
      </c>
      <c r="K12692" s="18">
        <f t="shared" si="397"/>
        <v>9914.52</v>
      </c>
      <c r="L12692" s="27">
        <v>9418.7900000000009</v>
      </c>
      <c r="M12692" s="36">
        <v>0</v>
      </c>
      <c r="T12692" s="41">
        <v>0</v>
      </c>
      <c r="U12692" s="41">
        <v>0</v>
      </c>
      <c r="V12692" s="42" t="s">
        <v>113</v>
      </c>
      <c r="W12692" s="42">
        <v>9914.52</v>
      </c>
      <c r="X12692" s="42">
        <v>9914.52</v>
      </c>
    </row>
    <row r="12693" spans="1:24">
      <c r="A12693" s="27" t="s">
        <v>22734</v>
      </c>
      <c r="B12693" s="28" t="s">
        <v>19918</v>
      </c>
      <c r="C12693" s="27" t="s">
        <v>22730</v>
      </c>
      <c r="D12693" s="27" t="s">
        <v>17578</v>
      </c>
      <c r="E12693" s="29">
        <v>40814</v>
      </c>
      <c r="F12693" s="27">
        <v>5</v>
      </c>
      <c r="G12693" s="18">
        <v>1256.4100000000001</v>
      </c>
      <c r="H12693" s="27">
        <f t="shared" si="396"/>
        <v>1256.4100000000001</v>
      </c>
      <c r="I12693" s="18">
        <v>1256.4100000000001</v>
      </c>
      <c r="J12693" s="27">
        <v>1256.4100000000001</v>
      </c>
      <c r="K12693" s="18">
        <f t="shared" si="397"/>
        <v>1256.4100000000001</v>
      </c>
      <c r="L12693" s="27">
        <v>1256.4100000000001</v>
      </c>
      <c r="M12693" s="36">
        <v>0</v>
      </c>
      <c r="T12693" s="41">
        <v>0</v>
      </c>
      <c r="U12693" s="41">
        <v>0</v>
      </c>
      <c r="V12693" s="42" t="s">
        <v>113</v>
      </c>
      <c r="W12693" s="42">
        <v>1256.4100000000001</v>
      </c>
      <c r="X12693" s="42">
        <v>1256.4100000000001</v>
      </c>
    </row>
    <row r="12694" spans="1:24">
      <c r="A12694" s="27" t="s">
        <v>22735</v>
      </c>
      <c r="B12694" s="28" t="s">
        <v>19918</v>
      </c>
      <c r="C12694" s="27" t="s">
        <v>22730</v>
      </c>
      <c r="D12694" s="27" t="s">
        <v>17578</v>
      </c>
      <c r="E12694" s="29">
        <v>40814</v>
      </c>
      <c r="F12694" s="27">
        <v>5</v>
      </c>
      <c r="G12694" s="18">
        <v>1256.4100000000001</v>
      </c>
      <c r="H12694" s="27">
        <f t="shared" si="396"/>
        <v>1256.4100000000001</v>
      </c>
      <c r="I12694" s="18">
        <v>1256.4100000000001</v>
      </c>
      <c r="J12694" s="27">
        <v>1256.4100000000001</v>
      </c>
      <c r="K12694" s="18">
        <f t="shared" si="397"/>
        <v>1256.4100000000001</v>
      </c>
      <c r="L12694" s="27">
        <v>1256.4100000000001</v>
      </c>
      <c r="M12694" s="36">
        <v>0</v>
      </c>
      <c r="T12694" s="41">
        <v>0</v>
      </c>
      <c r="U12694" s="41">
        <v>0</v>
      </c>
      <c r="V12694" s="42" t="s">
        <v>113</v>
      </c>
      <c r="W12694" s="42">
        <v>1256.4100000000001</v>
      </c>
      <c r="X12694" s="42">
        <v>1256.4100000000001</v>
      </c>
    </row>
    <row r="12695" spans="1:24">
      <c r="A12695" s="27" t="s">
        <v>22736</v>
      </c>
      <c r="B12695" s="28" t="s">
        <v>19918</v>
      </c>
      <c r="C12695" s="27" t="s">
        <v>22730</v>
      </c>
      <c r="D12695" s="27" t="s">
        <v>17578</v>
      </c>
      <c r="E12695" s="29">
        <v>40814</v>
      </c>
      <c r="F12695" s="27">
        <v>5</v>
      </c>
      <c r="G12695" s="18">
        <v>1256.4100000000001</v>
      </c>
      <c r="H12695" s="27">
        <f t="shared" si="396"/>
        <v>1256.4100000000001</v>
      </c>
      <c r="I12695" s="18">
        <v>1256.4100000000001</v>
      </c>
      <c r="J12695" s="27">
        <v>1256.4100000000001</v>
      </c>
      <c r="K12695" s="18">
        <f t="shared" si="397"/>
        <v>1256.4100000000001</v>
      </c>
      <c r="L12695" s="27">
        <v>1256.4100000000001</v>
      </c>
      <c r="M12695" s="36">
        <v>0</v>
      </c>
      <c r="T12695" s="41">
        <v>0</v>
      </c>
      <c r="U12695" s="41">
        <v>0</v>
      </c>
      <c r="V12695" s="42" t="s">
        <v>113</v>
      </c>
      <c r="W12695" s="42">
        <v>1256.4100000000001</v>
      </c>
      <c r="X12695" s="42">
        <v>1256.4100000000001</v>
      </c>
    </row>
    <row r="12696" spans="1:24">
      <c r="A12696" s="27" t="s">
        <v>22737</v>
      </c>
      <c r="B12696" s="28" t="s">
        <v>19918</v>
      </c>
      <c r="C12696" s="27" t="s">
        <v>22738</v>
      </c>
      <c r="D12696" s="27" t="s">
        <v>17558</v>
      </c>
      <c r="E12696" s="29">
        <v>41272</v>
      </c>
      <c r="F12696" s="27">
        <v>5</v>
      </c>
      <c r="G12696" s="18">
        <v>156837.60999999999</v>
      </c>
      <c r="H12696" s="27">
        <f t="shared" si="396"/>
        <v>156837.60999999999</v>
      </c>
      <c r="I12696" s="18">
        <v>156837.60999999999</v>
      </c>
      <c r="J12696" s="27">
        <v>156837.60999999999</v>
      </c>
      <c r="K12696" s="18">
        <f t="shared" si="397"/>
        <v>156837.60999999999</v>
      </c>
      <c r="L12696" s="27">
        <v>148995.73000000001</v>
      </c>
      <c r="M12696" s="36">
        <v>-7841.88</v>
      </c>
      <c r="T12696" s="41">
        <v>0</v>
      </c>
      <c r="U12696" s="41">
        <v>0</v>
      </c>
      <c r="V12696" s="42" t="s">
        <v>113</v>
      </c>
      <c r="W12696" s="42">
        <v>156837.60999999999</v>
      </c>
      <c r="X12696" s="42">
        <v>156837.60999999999</v>
      </c>
    </row>
    <row r="12697" spans="1:24">
      <c r="A12697" s="27" t="s">
        <v>22739</v>
      </c>
      <c r="B12697" s="28" t="s">
        <v>19918</v>
      </c>
      <c r="C12697" s="27" t="s">
        <v>22740</v>
      </c>
      <c r="D12697" s="27" t="s">
        <v>17578</v>
      </c>
      <c r="E12697" s="29">
        <v>41997</v>
      </c>
      <c r="F12697" s="27">
        <v>5</v>
      </c>
      <c r="G12697" s="18">
        <v>1324.57</v>
      </c>
      <c r="H12697" s="27">
        <f t="shared" si="396"/>
        <v>1324.57</v>
      </c>
      <c r="I12697" s="18">
        <v>1324.57</v>
      </c>
      <c r="J12697" s="27">
        <v>1324.57</v>
      </c>
      <c r="K12697" s="18">
        <f t="shared" si="397"/>
        <v>1324.57</v>
      </c>
      <c r="L12697" s="27">
        <v>1324.57</v>
      </c>
      <c r="M12697" s="36">
        <v>0</v>
      </c>
      <c r="T12697" s="41">
        <v>0</v>
      </c>
      <c r="U12697" s="41">
        <v>0</v>
      </c>
      <c r="V12697" s="42" t="s">
        <v>113</v>
      </c>
      <c r="W12697" s="42">
        <v>1324.57</v>
      </c>
      <c r="X12697" s="42">
        <v>1324.57</v>
      </c>
    </row>
    <row r="12698" spans="1:24">
      <c r="A12698" s="27" t="s">
        <v>22741</v>
      </c>
      <c r="B12698" s="28" t="s">
        <v>19918</v>
      </c>
      <c r="C12698" s="27" t="s">
        <v>22740</v>
      </c>
      <c r="D12698" s="27" t="s">
        <v>17578</v>
      </c>
      <c r="E12698" s="29">
        <v>41997</v>
      </c>
      <c r="F12698" s="27">
        <v>5</v>
      </c>
      <c r="G12698" s="18">
        <v>1324.6</v>
      </c>
      <c r="H12698" s="27">
        <f t="shared" si="396"/>
        <v>1324.6</v>
      </c>
      <c r="I12698" s="18">
        <v>1324.6</v>
      </c>
      <c r="J12698" s="27">
        <v>1324.6</v>
      </c>
      <c r="K12698" s="18">
        <f t="shared" si="397"/>
        <v>1324.6</v>
      </c>
      <c r="L12698" s="27">
        <v>1324.6</v>
      </c>
      <c r="M12698" s="36">
        <v>0</v>
      </c>
      <c r="T12698" s="41">
        <v>0</v>
      </c>
      <c r="U12698" s="41">
        <v>0</v>
      </c>
      <c r="V12698" s="42" t="s">
        <v>113</v>
      </c>
      <c r="W12698" s="42">
        <v>1324.6</v>
      </c>
      <c r="X12698" s="42">
        <v>1324.6</v>
      </c>
    </row>
    <row r="12699" spans="1:24">
      <c r="A12699" s="27" t="s">
        <v>22742</v>
      </c>
      <c r="B12699" s="28" t="s">
        <v>19918</v>
      </c>
      <c r="C12699" s="27" t="s">
        <v>22740</v>
      </c>
      <c r="D12699" s="27" t="s">
        <v>17578</v>
      </c>
      <c r="E12699" s="29">
        <v>41997</v>
      </c>
      <c r="F12699" s="27">
        <v>5</v>
      </c>
      <c r="G12699" s="18">
        <v>1324.6</v>
      </c>
      <c r="H12699" s="27">
        <f t="shared" si="396"/>
        <v>1324.6</v>
      </c>
      <c r="I12699" s="18">
        <v>1324.6</v>
      </c>
      <c r="J12699" s="27">
        <v>1324.6</v>
      </c>
      <c r="K12699" s="18">
        <f t="shared" si="397"/>
        <v>1324.6</v>
      </c>
      <c r="L12699" s="27">
        <v>1324.6</v>
      </c>
      <c r="M12699" s="36">
        <v>0</v>
      </c>
      <c r="T12699" s="41">
        <v>0</v>
      </c>
      <c r="U12699" s="41">
        <v>0</v>
      </c>
      <c r="V12699" s="42" t="s">
        <v>113</v>
      </c>
      <c r="W12699" s="42">
        <v>1324.6</v>
      </c>
      <c r="X12699" s="42">
        <v>1324.6</v>
      </c>
    </row>
    <row r="12700" spans="1:24">
      <c r="A12700" s="27" t="s">
        <v>22743</v>
      </c>
      <c r="B12700" s="28" t="s">
        <v>19918</v>
      </c>
      <c r="C12700" s="27" t="s">
        <v>22740</v>
      </c>
      <c r="D12700" s="27" t="s">
        <v>17578</v>
      </c>
      <c r="E12700" s="29">
        <v>41997</v>
      </c>
      <c r="F12700" s="27">
        <v>5</v>
      </c>
      <c r="G12700" s="18">
        <v>1324.6</v>
      </c>
      <c r="H12700" s="27">
        <f t="shared" si="396"/>
        <v>1324.6</v>
      </c>
      <c r="I12700" s="18">
        <v>1324.6</v>
      </c>
      <c r="J12700" s="27">
        <v>1324.6</v>
      </c>
      <c r="K12700" s="18">
        <f t="shared" si="397"/>
        <v>1324.6</v>
      </c>
      <c r="L12700" s="27">
        <v>1324.6</v>
      </c>
      <c r="M12700" s="36">
        <v>0</v>
      </c>
      <c r="T12700" s="41">
        <v>0</v>
      </c>
      <c r="U12700" s="41">
        <v>0</v>
      </c>
      <c r="V12700" s="42" t="s">
        <v>113</v>
      </c>
      <c r="W12700" s="42">
        <v>1324.6</v>
      </c>
      <c r="X12700" s="42">
        <v>1324.6</v>
      </c>
    </row>
    <row r="12701" spans="1:24">
      <c r="A12701" s="27" t="s">
        <v>22744</v>
      </c>
      <c r="B12701" s="28" t="s">
        <v>19918</v>
      </c>
      <c r="C12701" s="27" t="s">
        <v>22740</v>
      </c>
      <c r="D12701" s="27" t="s">
        <v>17578</v>
      </c>
      <c r="E12701" s="29">
        <v>41997</v>
      </c>
      <c r="F12701" s="27">
        <v>5</v>
      </c>
      <c r="G12701" s="18">
        <v>1324.6</v>
      </c>
      <c r="H12701" s="27">
        <f t="shared" si="396"/>
        <v>1324.6</v>
      </c>
      <c r="I12701" s="18">
        <v>1324.6</v>
      </c>
      <c r="J12701" s="27">
        <v>1324.6</v>
      </c>
      <c r="K12701" s="18">
        <f t="shared" si="397"/>
        <v>1324.6</v>
      </c>
      <c r="L12701" s="27">
        <v>1324.6</v>
      </c>
      <c r="M12701" s="36">
        <v>0</v>
      </c>
      <c r="T12701" s="41">
        <v>0</v>
      </c>
      <c r="U12701" s="41">
        <v>0</v>
      </c>
      <c r="V12701" s="42" t="s">
        <v>113</v>
      </c>
      <c r="W12701" s="42">
        <v>1324.6</v>
      </c>
      <c r="X12701" s="42">
        <v>1324.6</v>
      </c>
    </row>
    <row r="12702" spans="1:24">
      <c r="A12702" s="27" t="s">
        <v>22745</v>
      </c>
      <c r="B12702" s="28" t="s">
        <v>19918</v>
      </c>
      <c r="C12702" s="27" t="s">
        <v>22740</v>
      </c>
      <c r="D12702" s="27" t="s">
        <v>17578</v>
      </c>
      <c r="E12702" s="29">
        <v>41997</v>
      </c>
      <c r="F12702" s="27">
        <v>5</v>
      </c>
      <c r="G12702" s="18">
        <v>1324.6</v>
      </c>
      <c r="H12702" s="27">
        <f t="shared" si="396"/>
        <v>1324.6</v>
      </c>
      <c r="I12702" s="18">
        <v>1324.6</v>
      </c>
      <c r="J12702" s="27">
        <v>1324.6</v>
      </c>
      <c r="K12702" s="18">
        <f t="shared" si="397"/>
        <v>1324.6</v>
      </c>
      <c r="L12702" s="27">
        <v>1324.6</v>
      </c>
      <c r="M12702" s="36">
        <v>0</v>
      </c>
      <c r="T12702" s="41">
        <v>0</v>
      </c>
      <c r="U12702" s="41">
        <v>0</v>
      </c>
      <c r="V12702" s="42" t="s">
        <v>113</v>
      </c>
      <c r="W12702" s="42">
        <v>1324.6</v>
      </c>
      <c r="X12702" s="42">
        <v>1324.6</v>
      </c>
    </row>
    <row r="12703" spans="1:24">
      <c r="A12703" s="27" t="s">
        <v>22746</v>
      </c>
      <c r="B12703" s="28" t="s">
        <v>19918</v>
      </c>
      <c r="C12703" s="27" t="s">
        <v>22740</v>
      </c>
      <c r="D12703" s="27" t="s">
        <v>17578</v>
      </c>
      <c r="E12703" s="29">
        <v>41997</v>
      </c>
      <c r="F12703" s="27">
        <v>5</v>
      </c>
      <c r="G12703" s="18">
        <v>1324.6</v>
      </c>
      <c r="H12703" s="27">
        <f t="shared" si="396"/>
        <v>1324.6</v>
      </c>
      <c r="I12703" s="18">
        <v>1324.6</v>
      </c>
      <c r="J12703" s="27">
        <v>1324.6</v>
      </c>
      <c r="K12703" s="18">
        <f t="shared" si="397"/>
        <v>1324.6</v>
      </c>
      <c r="L12703" s="27">
        <v>1324.6</v>
      </c>
      <c r="M12703" s="36">
        <v>0</v>
      </c>
      <c r="T12703" s="41">
        <v>0</v>
      </c>
      <c r="U12703" s="41">
        <v>0</v>
      </c>
      <c r="V12703" s="42" t="s">
        <v>113</v>
      </c>
      <c r="W12703" s="42">
        <v>1324.6</v>
      </c>
      <c r="X12703" s="42">
        <v>1324.6</v>
      </c>
    </row>
    <row r="12704" spans="1:24">
      <c r="A12704" s="27" t="s">
        <v>22747</v>
      </c>
      <c r="B12704" s="28" t="s">
        <v>19918</v>
      </c>
      <c r="C12704" s="27" t="s">
        <v>22740</v>
      </c>
      <c r="D12704" s="27" t="s">
        <v>17578</v>
      </c>
      <c r="E12704" s="29">
        <v>41997</v>
      </c>
      <c r="F12704" s="27">
        <v>5</v>
      </c>
      <c r="G12704" s="18">
        <v>1324.6</v>
      </c>
      <c r="H12704" s="27">
        <f t="shared" si="396"/>
        <v>1324.6</v>
      </c>
      <c r="I12704" s="18">
        <v>1324.6</v>
      </c>
      <c r="J12704" s="27">
        <v>1324.6</v>
      </c>
      <c r="K12704" s="18">
        <f t="shared" si="397"/>
        <v>1324.6</v>
      </c>
      <c r="L12704" s="27">
        <v>1324.6</v>
      </c>
      <c r="M12704" s="36">
        <v>0</v>
      </c>
      <c r="T12704" s="41">
        <v>0</v>
      </c>
      <c r="U12704" s="41">
        <v>0</v>
      </c>
      <c r="V12704" s="42" t="s">
        <v>113</v>
      </c>
      <c r="W12704" s="42">
        <v>1324.6</v>
      </c>
      <c r="X12704" s="42">
        <v>1324.6</v>
      </c>
    </row>
    <row r="12705" spans="1:24">
      <c r="A12705" s="27" t="s">
        <v>22748</v>
      </c>
      <c r="B12705" s="28" t="s">
        <v>19918</v>
      </c>
      <c r="C12705" s="27" t="s">
        <v>22740</v>
      </c>
      <c r="D12705" s="27" t="s">
        <v>17578</v>
      </c>
      <c r="E12705" s="29">
        <v>41997</v>
      </c>
      <c r="F12705" s="27">
        <v>5</v>
      </c>
      <c r="G12705" s="18">
        <v>1324.6</v>
      </c>
      <c r="H12705" s="27">
        <f t="shared" si="396"/>
        <v>1324.6</v>
      </c>
      <c r="I12705" s="18">
        <v>1324.6</v>
      </c>
      <c r="J12705" s="27">
        <v>1324.6</v>
      </c>
      <c r="K12705" s="18">
        <f t="shared" si="397"/>
        <v>1324.6</v>
      </c>
      <c r="L12705" s="27">
        <v>1324.6</v>
      </c>
      <c r="M12705" s="36">
        <v>0</v>
      </c>
      <c r="T12705" s="41">
        <v>0</v>
      </c>
      <c r="U12705" s="41">
        <v>0</v>
      </c>
      <c r="V12705" s="42" t="s">
        <v>113</v>
      </c>
      <c r="W12705" s="42">
        <v>1324.6</v>
      </c>
      <c r="X12705" s="42">
        <v>1324.6</v>
      </c>
    </row>
    <row r="12706" spans="1:24">
      <c r="A12706" s="27" t="s">
        <v>22749</v>
      </c>
      <c r="B12706" s="28" t="s">
        <v>19918</v>
      </c>
      <c r="C12706" s="27" t="s">
        <v>22740</v>
      </c>
      <c r="D12706" s="27" t="s">
        <v>17578</v>
      </c>
      <c r="E12706" s="29">
        <v>41997</v>
      </c>
      <c r="F12706" s="27">
        <v>5</v>
      </c>
      <c r="G12706" s="18">
        <v>1324.6</v>
      </c>
      <c r="H12706" s="27">
        <f t="shared" si="396"/>
        <v>1324.6</v>
      </c>
      <c r="I12706" s="18">
        <v>1324.6</v>
      </c>
      <c r="J12706" s="27">
        <v>1324.6</v>
      </c>
      <c r="K12706" s="18">
        <f t="shared" si="397"/>
        <v>1324.6</v>
      </c>
      <c r="L12706" s="27">
        <v>1324.6</v>
      </c>
      <c r="M12706" s="36">
        <v>0</v>
      </c>
      <c r="T12706" s="41">
        <v>0</v>
      </c>
      <c r="U12706" s="41">
        <v>0</v>
      </c>
      <c r="V12706" s="42" t="s">
        <v>113</v>
      </c>
      <c r="W12706" s="42">
        <v>1324.6</v>
      </c>
      <c r="X12706" s="42">
        <v>1324.6</v>
      </c>
    </row>
    <row r="12707" spans="1:24">
      <c r="A12707" s="27" t="s">
        <v>22750</v>
      </c>
      <c r="B12707" s="28" t="s">
        <v>19918</v>
      </c>
      <c r="C12707" s="27" t="s">
        <v>22740</v>
      </c>
      <c r="D12707" s="27" t="s">
        <v>17578</v>
      </c>
      <c r="E12707" s="29">
        <v>41997</v>
      </c>
      <c r="F12707" s="27">
        <v>5</v>
      </c>
      <c r="G12707" s="18">
        <v>1324.6</v>
      </c>
      <c r="H12707" s="27">
        <f t="shared" si="396"/>
        <v>1324.6</v>
      </c>
      <c r="I12707" s="18">
        <v>1324.6</v>
      </c>
      <c r="J12707" s="27">
        <v>1324.6</v>
      </c>
      <c r="K12707" s="18">
        <f t="shared" si="397"/>
        <v>1324.6</v>
      </c>
      <c r="L12707" s="27">
        <v>1324.6</v>
      </c>
      <c r="M12707" s="36">
        <v>0</v>
      </c>
      <c r="T12707" s="41">
        <v>0</v>
      </c>
      <c r="U12707" s="41">
        <v>0</v>
      </c>
      <c r="V12707" s="42" t="s">
        <v>113</v>
      </c>
      <c r="W12707" s="42">
        <v>1324.6</v>
      </c>
      <c r="X12707" s="42">
        <v>1324.6</v>
      </c>
    </row>
    <row r="12708" spans="1:24">
      <c r="A12708" s="27" t="s">
        <v>22751</v>
      </c>
      <c r="B12708" s="28" t="s">
        <v>19918</v>
      </c>
      <c r="C12708" s="27" t="s">
        <v>22740</v>
      </c>
      <c r="D12708" s="27" t="s">
        <v>17578</v>
      </c>
      <c r="E12708" s="29">
        <v>41997</v>
      </c>
      <c r="F12708" s="27">
        <v>5</v>
      </c>
      <c r="G12708" s="18">
        <v>1324.6</v>
      </c>
      <c r="H12708" s="27">
        <f t="shared" si="396"/>
        <v>1324.6</v>
      </c>
      <c r="I12708" s="18">
        <v>1324.6</v>
      </c>
      <c r="J12708" s="27">
        <v>1324.6</v>
      </c>
      <c r="K12708" s="18">
        <f t="shared" si="397"/>
        <v>1324.6</v>
      </c>
      <c r="L12708" s="27">
        <v>1324.6</v>
      </c>
      <c r="M12708" s="36">
        <v>0</v>
      </c>
      <c r="T12708" s="41">
        <v>0</v>
      </c>
      <c r="U12708" s="41">
        <v>0</v>
      </c>
      <c r="V12708" s="42" t="s">
        <v>113</v>
      </c>
      <c r="W12708" s="42">
        <v>1324.6</v>
      </c>
      <c r="X12708" s="42">
        <v>1324.6</v>
      </c>
    </row>
    <row r="12709" spans="1:24">
      <c r="A12709" s="27" t="s">
        <v>22752</v>
      </c>
      <c r="B12709" s="28" t="s">
        <v>19918</v>
      </c>
      <c r="C12709" s="27" t="s">
        <v>22740</v>
      </c>
      <c r="D12709" s="27" t="s">
        <v>17578</v>
      </c>
      <c r="E12709" s="29">
        <v>41997</v>
      </c>
      <c r="F12709" s="27">
        <v>5</v>
      </c>
      <c r="G12709" s="18">
        <v>1324.6</v>
      </c>
      <c r="H12709" s="27">
        <f t="shared" si="396"/>
        <v>1324.6</v>
      </c>
      <c r="I12709" s="18">
        <v>1324.6</v>
      </c>
      <c r="J12709" s="27">
        <v>1324.6</v>
      </c>
      <c r="K12709" s="18">
        <f t="shared" si="397"/>
        <v>1324.6</v>
      </c>
      <c r="L12709" s="27">
        <v>1324.6</v>
      </c>
      <c r="M12709" s="36">
        <v>0</v>
      </c>
      <c r="T12709" s="41">
        <v>0</v>
      </c>
      <c r="U12709" s="41">
        <v>0</v>
      </c>
      <c r="V12709" s="42" t="s">
        <v>113</v>
      </c>
      <c r="W12709" s="42">
        <v>1324.6</v>
      </c>
      <c r="X12709" s="42">
        <v>1324.6</v>
      </c>
    </row>
    <row r="12710" spans="1:24">
      <c r="A12710" s="27" t="s">
        <v>22753</v>
      </c>
      <c r="B12710" s="28" t="s">
        <v>19918</v>
      </c>
      <c r="C12710" s="27" t="s">
        <v>22740</v>
      </c>
      <c r="D12710" s="27" t="s">
        <v>17578</v>
      </c>
      <c r="E12710" s="29">
        <v>41997</v>
      </c>
      <c r="F12710" s="27">
        <v>5</v>
      </c>
      <c r="G12710" s="18">
        <v>1324.6</v>
      </c>
      <c r="H12710" s="27">
        <f t="shared" si="396"/>
        <v>1324.6</v>
      </c>
      <c r="I12710" s="18">
        <v>1324.6</v>
      </c>
      <c r="J12710" s="27">
        <v>1324.6</v>
      </c>
      <c r="K12710" s="18">
        <f t="shared" si="397"/>
        <v>1324.6</v>
      </c>
      <c r="L12710" s="27">
        <v>1324.6</v>
      </c>
      <c r="M12710" s="36">
        <v>0</v>
      </c>
      <c r="T12710" s="41">
        <v>0</v>
      </c>
      <c r="U12710" s="41">
        <v>0</v>
      </c>
      <c r="V12710" s="42" t="s">
        <v>113</v>
      </c>
      <c r="W12710" s="42">
        <v>1324.6</v>
      </c>
      <c r="X12710" s="42">
        <v>1324.6</v>
      </c>
    </row>
    <row r="12711" spans="1:24">
      <c r="A12711" s="27" t="s">
        <v>22754</v>
      </c>
      <c r="B12711" s="28" t="s">
        <v>19918</v>
      </c>
      <c r="C12711" s="27" t="s">
        <v>22740</v>
      </c>
      <c r="D12711" s="27" t="s">
        <v>17578</v>
      </c>
      <c r="E12711" s="29">
        <v>41997</v>
      </c>
      <c r="F12711" s="27">
        <v>5</v>
      </c>
      <c r="G12711" s="18">
        <v>1324.6</v>
      </c>
      <c r="H12711" s="27">
        <f t="shared" si="396"/>
        <v>1324.6</v>
      </c>
      <c r="I12711" s="18">
        <v>1324.6</v>
      </c>
      <c r="J12711" s="27">
        <v>1324.6</v>
      </c>
      <c r="K12711" s="18">
        <f t="shared" si="397"/>
        <v>1324.6</v>
      </c>
      <c r="L12711" s="27">
        <v>1324.6</v>
      </c>
      <c r="M12711" s="36">
        <v>0</v>
      </c>
      <c r="T12711" s="41">
        <v>0</v>
      </c>
      <c r="U12711" s="41">
        <v>0</v>
      </c>
      <c r="V12711" s="42" t="s">
        <v>113</v>
      </c>
      <c r="W12711" s="42">
        <v>1324.6</v>
      </c>
      <c r="X12711" s="42">
        <v>1324.6</v>
      </c>
    </row>
    <row r="12712" spans="1:24">
      <c r="A12712" s="27" t="s">
        <v>22755</v>
      </c>
      <c r="B12712" s="28" t="s">
        <v>19918</v>
      </c>
      <c r="C12712" s="27" t="s">
        <v>22740</v>
      </c>
      <c r="D12712" s="27" t="s">
        <v>17578</v>
      </c>
      <c r="E12712" s="29">
        <v>41997</v>
      </c>
      <c r="F12712" s="27">
        <v>5</v>
      </c>
      <c r="G12712" s="18">
        <v>1324.6</v>
      </c>
      <c r="H12712" s="27">
        <f t="shared" si="396"/>
        <v>1324.6</v>
      </c>
      <c r="I12712" s="18">
        <v>1324.6</v>
      </c>
      <c r="J12712" s="27">
        <v>1324.6</v>
      </c>
      <c r="K12712" s="18">
        <f t="shared" si="397"/>
        <v>1324.6</v>
      </c>
      <c r="L12712" s="27">
        <v>1324.6</v>
      </c>
      <c r="M12712" s="36">
        <v>0</v>
      </c>
      <c r="T12712" s="41">
        <v>0</v>
      </c>
      <c r="U12712" s="41">
        <v>0</v>
      </c>
      <c r="V12712" s="42" t="s">
        <v>113</v>
      </c>
      <c r="W12712" s="42">
        <v>1324.6</v>
      </c>
      <c r="X12712" s="42">
        <v>1324.6</v>
      </c>
    </row>
    <row r="12713" spans="1:24">
      <c r="A12713" s="27" t="s">
        <v>22756</v>
      </c>
      <c r="B12713" s="28" t="s">
        <v>19918</v>
      </c>
      <c r="C12713" s="27" t="s">
        <v>22740</v>
      </c>
      <c r="D12713" s="27" t="s">
        <v>17578</v>
      </c>
      <c r="E12713" s="29">
        <v>41997</v>
      </c>
      <c r="F12713" s="27">
        <v>5</v>
      </c>
      <c r="G12713" s="18">
        <v>1324.6</v>
      </c>
      <c r="H12713" s="27">
        <f t="shared" si="396"/>
        <v>1324.6</v>
      </c>
      <c r="I12713" s="18">
        <v>1324.6</v>
      </c>
      <c r="J12713" s="27">
        <v>1324.6</v>
      </c>
      <c r="K12713" s="18">
        <f t="shared" si="397"/>
        <v>1324.6</v>
      </c>
      <c r="L12713" s="27">
        <v>1324.6</v>
      </c>
      <c r="M12713" s="36">
        <v>0</v>
      </c>
      <c r="T12713" s="41">
        <v>0</v>
      </c>
      <c r="U12713" s="41">
        <v>0</v>
      </c>
      <c r="V12713" s="42" t="s">
        <v>113</v>
      </c>
      <c r="W12713" s="42">
        <v>1324.6</v>
      </c>
      <c r="X12713" s="42">
        <v>1324.6</v>
      </c>
    </row>
    <row r="12714" spans="1:24">
      <c r="A12714" s="27" t="s">
        <v>22757</v>
      </c>
      <c r="B12714" s="28" t="s">
        <v>19918</v>
      </c>
      <c r="C12714" s="27" t="s">
        <v>22740</v>
      </c>
      <c r="D12714" s="27" t="s">
        <v>17578</v>
      </c>
      <c r="E12714" s="29">
        <v>41997</v>
      </c>
      <c r="F12714" s="27">
        <v>5</v>
      </c>
      <c r="G12714" s="18">
        <v>1324.6</v>
      </c>
      <c r="H12714" s="27">
        <f t="shared" si="396"/>
        <v>1324.6</v>
      </c>
      <c r="I12714" s="18">
        <v>1324.6</v>
      </c>
      <c r="J12714" s="27">
        <v>1324.6</v>
      </c>
      <c r="K12714" s="18">
        <f t="shared" si="397"/>
        <v>1324.6</v>
      </c>
      <c r="L12714" s="27">
        <v>1324.6</v>
      </c>
      <c r="M12714" s="36">
        <v>0</v>
      </c>
      <c r="T12714" s="41">
        <v>0</v>
      </c>
      <c r="U12714" s="41">
        <v>0</v>
      </c>
      <c r="V12714" s="42" t="s">
        <v>113</v>
      </c>
      <c r="W12714" s="42">
        <v>1324.6</v>
      </c>
      <c r="X12714" s="42">
        <v>1324.6</v>
      </c>
    </row>
    <row r="12715" spans="1:24">
      <c r="A12715" s="27" t="s">
        <v>22758</v>
      </c>
      <c r="B12715" s="28" t="s">
        <v>19918</v>
      </c>
      <c r="C12715" s="27" t="s">
        <v>22740</v>
      </c>
      <c r="D12715" s="27" t="s">
        <v>17578</v>
      </c>
      <c r="E12715" s="29">
        <v>41997</v>
      </c>
      <c r="F12715" s="27">
        <v>5</v>
      </c>
      <c r="G12715" s="18">
        <v>1324.6</v>
      </c>
      <c r="H12715" s="27">
        <f t="shared" si="396"/>
        <v>1324.6</v>
      </c>
      <c r="I12715" s="18">
        <v>1324.6</v>
      </c>
      <c r="J12715" s="27">
        <v>1324.6</v>
      </c>
      <c r="K12715" s="18">
        <f t="shared" si="397"/>
        <v>1324.6</v>
      </c>
      <c r="L12715" s="27">
        <v>1324.6</v>
      </c>
      <c r="M12715" s="36">
        <v>0</v>
      </c>
      <c r="T12715" s="41">
        <v>0</v>
      </c>
      <c r="U12715" s="41">
        <v>0</v>
      </c>
      <c r="V12715" s="42" t="s">
        <v>113</v>
      </c>
      <c r="W12715" s="42">
        <v>1324.6</v>
      </c>
      <c r="X12715" s="42">
        <v>1324.6</v>
      </c>
    </row>
    <row r="12716" spans="1:24">
      <c r="A12716" s="27" t="s">
        <v>22759</v>
      </c>
      <c r="B12716" s="28" t="s">
        <v>19918</v>
      </c>
      <c r="C12716" s="27" t="s">
        <v>22740</v>
      </c>
      <c r="D12716" s="27" t="s">
        <v>17578</v>
      </c>
      <c r="E12716" s="29">
        <v>41997</v>
      </c>
      <c r="F12716" s="27">
        <v>5</v>
      </c>
      <c r="G12716" s="18">
        <v>1324.6</v>
      </c>
      <c r="H12716" s="27">
        <f t="shared" si="396"/>
        <v>1324.6</v>
      </c>
      <c r="I12716" s="18">
        <v>1324.6</v>
      </c>
      <c r="J12716" s="27">
        <v>1324.6</v>
      </c>
      <c r="K12716" s="18">
        <f t="shared" si="397"/>
        <v>1324.6</v>
      </c>
      <c r="L12716" s="27">
        <v>1324.6</v>
      </c>
      <c r="M12716" s="36">
        <v>0</v>
      </c>
      <c r="T12716" s="41">
        <v>0</v>
      </c>
      <c r="U12716" s="41">
        <v>0</v>
      </c>
      <c r="V12716" s="42" t="s">
        <v>113</v>
      </c>
      <c r="W12716" s="42">
        <v>1324.6</v>
      </c>
      <c r="X12716" s="42">
        <v>1324.6</v>
      </c>
    </row>
    <row r="12717" spans="1:24">
      <c r="A12717" s="27" t="s">
        <v>22760</v>
      </c>
      <c r="B12717" s="28" t="s">
        <v>19918</v>
      </c>
      <c r="C12717" s="27" t="s">
        <v>22761</v>
      </c>
      <c r="D12717" s="27" t="s">
        <v>17558</v>
      </c>
      <c r="E12717" s="29">
        <v>42579</v>
      </c>
      <c r="F12717" s="27">
        <v>5</v>
      </c>
      <c r="G12717" s="18">
        <v>5523.46</v>
      </c>
      <c r="H12717" s="27">
        <f t="shared" si="396"/>
        <v>0</v>
      </c>
      <c r="I12717" s="18">
        <v>2536.19</v>
      </c>
      <c r="J12717" s="27">
        <v>5523.46</v>
      </c>
      <c r="K12717" s="18">
        <f t="shared" si="397"/>
        <v>0</v>
      </c>
      <c r="L12717" s="27">
        <v>3585.65</v>
      </c>
      <c r="M12717" s="36">
        <v>1049.46</v>
      </c>
      <c r="T12717" s="41">
        <v>0</v>
      </c>
      <c r="U12717" s="41">
        <v>0</v>
      </c>
      <c r="V12717" s="42" t="s">
        <v>113</v>
      </c>
      <c r="W12717" s="42">
        <v>0</v>
      </c>
      <c r="X12717" s="42">
        <v>5523.46</v>
      </c>
    </row>
    <row r="12718" spans="1:24">
      <c r="A12718" s="27" t="s">
        <v>22762</v>
      </c>
      <c r="B12718" s="28" t="s">
        <v>19918</v>
      </c>
      <c r="C12718" s="27" t="s">
        <v>22763</v>
      </c>
      <c r="D12718" s="27" t="s">
        <v>17558</v>
      </c>
      <c r="E12718" s="29">
        <v>42579</v>
      </c>
      <c r="F12718" s="27">
        <v>5</v>
      </c>
      <c r="G12718" s="18">
        <v>278.58</v>
      </c>
      <c r="H12718" s="27">
        <f t="shared" si="396"/>
        <v>0</v>
      </c>
      <c r="I12718" s="18">
        <v>127.91</v>
      </c>
      <c r="J12718" s="27">
        <v>278.58</v>
      </c>
      <c r="K12718" s="18">
        <f t="shared" si="397"/>
        <v>0</v>
      </c>
      <c r="L12718" s="27">
        <v>180.84</v>
      </c>
      <c r="M12718" s="36">
        <v>52.93</v>
      </c>
      <c r="T12718" s="41">
        <v>0</v>
      </c>
      <c r="U12718" s="41">
        <v>0</v>
      </c>
      <c r="V12718" s="42" t="s">
        <v>113</v>
      </c>
      <c r="W12718" s="42">
        <v>0</v>
      </c>
      <c r="X12718" s="42">
        <v>278.58</v>
      </c>
    </row>
    <row r="12719" spans="1:24">
      <c r="A12719" s="27" t="s">
        <v>22764</v>
      </c>
      <c r="B12719" s="28" t="s">
        <v>19918</v>
      </c>
      <c r="C12719" s="27" t="s">
        <v>22765</v>
      </c>
      <c r="D12719" s="27" t="s">
        <v>17558</v>
      </c>
      <c r="E12719" s="29">
        <v>42579</v>
      </c>
      <c r="F12719" s="27">
        <v>5</v>
      </c>
      <c r="G12719" s="18">
        <v>278.58</v>
      </c>
      <c r="H12719" s="27">
        <f t="shared" si="396"/>
        <v>0</v>
      </c>
      <c r="I12719" s="18">
        <v>127.91</v>
      </c>
      <c r="J12719" s="27">
        <v>278.58</v>
      </c>
      <c r="K12719" s="18">
        <f t="shared" si="397"/>
        <v>0</v>
      </c>
      <c r="L12719" s="27">
        <v>180.84</v>
      </c>
      <c r="M12719" s="36">
        <v>52.93</v>
      </c>
      <c r="T12719" s="41">
        <v>0</v>
      </c>
      <c r="U12719" s="41">
        <v>0</v>
      </c>
      <c r="V12719" s="42" t="s">
        <v>113</v>
      </c>
      <c r="W12719" s="42">
        <v>0</v>
      </c>
      <c r="X12719" s="42">
        <v>278.58</v>
      </c>
    </row>
    <row r="12720" spans="1:24">
      <c r="A12720" s="27" t="s">
        <v>22766</v>
      </c>
      <c r="B12720" s="28" t="s">
        <v>19918</v>
      </c>
      <c r="C12720" s="27" t="s">
        <v>22767</v>
      </c>
      <c r="D12720" s="27" t="s">
        <v>17558</v>
      </c>
      <c r="E12720" s="29">
        <v>42579</v>
      </c>
      <c r="F12720" s="27">
        <v>5</v>
      </c>
      <c r="G12720" s="18">
        <v>278.58</v>
      </c>
      <c r="H12720" s="27">
        <f t="shared" si="396"/>
        <v>0</v>
      </c>
      <c r="I12720" s="18">
        <v>127.91</v>
      </c>
      <c r="J12720" s="27">
        <v>278.58</v>
      </c>
      <c r="K12720" s="18">
        <f t="shared" si="397"/>
        <v>0</v>
      </c>
      <c r="L12720" s="27">
        <v>180.84</v>
      </c>
      <c r="M12720" s="36">
        <v>52.93</v>
      </c>
      <c r="T12720" s="41">
        <v>0</v>
      </c>
      <c r="U12720" s="41">
        <v>0</v>
      </c>
      <c r="V12720" s="42" t="s">
        <v>113</v>
      </c>
      <c r="W12720" s="42">
        <v>0</v>
      </c>
      <c r="X12720" s="42">
        <v>278.58</v>
      </c>
    </row>
    <row r="12721" spans="1:24">
      <c r="A12721" s="27" t="s">
        <v>22768</v>
      </c>
      <c r="B12721" s="28" t="s">
        <v>19918</v>
      </c>
      <c r="C12721" s="27" t="s">
        <v>22769</v>
      </c>
      <c r="D12721" s="27" t="s">
        <v>17558</v>
      </c>
      <c r="E12721" s="29">
        <v>42579</v>
      </c>
      <c r="F12721" s="27">
        <v>5</v>
      </c>
      <c r="G12721" s="18">
        <v>278.58</v>
      </c>
      <c r="H12721" s="27">
        <f t="shared" si="396"/>
        <v>0</v>
      </c>
      <c r="I12721" s="18">
        <v>127.91</v>
      </c>
      <c r="J12721" s="27">
        <v>278.58</v>
      </c>
      <c r="K12721" s="18">
        <f t="shared" si="397"/>
        <v>0</v>
      </c>
      <c r="L12721" s="27">
        <v>180.84</v>
      </c>
      <c r="M12721" s="36">
        <v>52.93</v>
      </c>
      <c r="T12721" s="41">
        <v>0</v>
      </c>
      <c r="U12721" s="41">
        <v>0</v>
      </c>
      <c r="V12721" s="42" t="s">
        <v>113</v>
      </c>
      <c r="W12721" s="42">
        <v>0</v>
      </c>
      <c r="X12721" s="42">
        <v>278.58</v>
      </c>
    </row>
    <row r="12722" spans="1:24">
      <c r="A12722" s="27" t="s">
        <v>22770</v>
      </c>
      <c r="B12722" s="28" t="s">
        <v>19918</v>
      </c>
      <c r="C12722" s="27" t="s">
        <v>22771</v>
      </c>
      <c r="D12722" s="27" t="s">
        <v>17558</v>
      </c>
      <c r="E12722" s="29">
        <v>42579</v>
      </c>
      <c r="F12722" s="27">
        <v>5</v>
      </c>
      <c r="G12722" s="18">
        <v>278.58</v>
      </c>
      <c r="H12722" s="27">
        <f t="shared" si="396"/>
        <v>0</v>
      </c>
      <c r="I12722" s="18">
        <v>127.91</v>
      </c>
      <c r="J12722" s="27">
        <v>278.58</v>
      </c>
      <c r="K12722" s="18">
        <f t="shared" si="397"/>
        <v>0</v>
      </c>
      <c r="L12722" s="27">
        <v>180.84</v>
      </c>
      <c r="M12722" s="36">
        <v>52.93</v>
      </c>
      <c r="T12722" s="41">
        <v>0</v>
      </c>
      <c r="U12722" s="41">
        <v>0</v>
      </c>
      <c r="V12722" s="42" t="s">
        <v>113</v>
      </c>
      <c r="W12722" s="42">
        <v>0</v>
      </c>
      <c r="X12722" s="42">
        <v>278.58</v>
      </c>
    </row>
    <row r="12723" spans="1:24">
      <c r="A12723" s="27" t="s">
        <v>22772</v>
      </c>
      <c r="B12723" s="28" t="s">
        <v>19918</v>
      </c>
      <c r="C12723" s="27" t="s">
        <v>22773</v>
      </c>
      <c r="D12723" s="27" t="s">
        <v>17558</v>
      </c>
      <c r="E12723" s="29">
        <v>42579</v>
      </c>
      <c r="F12723" s="27">
        <v>5</v>
      </c>
      <c r="G12723" s="18">
        <v>278.58</v>
      </c>
      <c r="H12723" s="27">
        <f t="shared" si="396"/>
        <v>0</v>
      </c>
      <c r="I12723" s="18">
        <v>127.91</v>
      </c>
      <c r="J12723" s="27">
        <v>278.58</v>
      </c>
      <c r="K12723" s="18">
        <f t="shared" si="397"/>
        <v>0</v>
      </c>
      <c r="L12723" s="27">
        <v>180.84</v>
      </c>
      <c r="M12723" s="36">
        <v>52.93</v>
      </c>
      <c r="T12723" s="41">
        <v>0</v>
      </c>
      <c r="U12723" s="41">
        <v>0</v>
      </c>
      <c r="V12723" s="42" t="s">
        <v>113</v>
      </c>
      <c r="W12723" s="42">
        <v>0</v>
      </c>
      <c r="X12723" s="42">
        <v>278.58</v>
      </c>
    </row>
    <row r="12724" spans="1:24">
      <c r="A12724" s="27" t="s">
        <v>22774</v>
      </c>
      <c r="B12724" s="28" t="s">
        <v>19918</v>
      </c>
      <c r="C12724" s="27" t="s">
        <v>22775</v>
      </c>
      <c r="D12724" s="27" t="s">
        <v>17558</v>
      </c>
      <c r="E12724" s="29">
        <v>42579</v>
      </c>
      <c r="F12724" s="27">
        <v>5</v>
      </c>
      <c r="G12724" s="18">
        <v>278.58</v>
      </c>
      <c r="H12724" s="27">
        <f t="shared" si="396"/>
        <v>0</v>
      </c>
      <c r="I12724" s="18">
        <v>127.91</v>
      </c>
      <c r="J12724" s="27">
        <v>278.58</v>
      </c>
      <c r="K12724" s="18">
        <f t="shared" si="397"/>
        <v>0</v>
      </c>
      <c r="L12724" s="27">
        <v>180.84</v>
      </c>
      <c r="M12724" s="36">
        <v>52.93</v>
      </c>
      <c r="T12724" s="41">
        <v>0</v>
      </c>
      <c r="U12724" s="41">
        <v>0</v>
      </c>
      <c r="V12724" s="42" t="s">
        <v>113</v>
      </c>
      <c r="W12724" s="42">
        <v>0</v>
      </c>
      <c r="X12724" s="42">
        <v>278.58</v>
      </c>
    </row>
    <row r="12725" spans="1:24">
      <c r="A12725" s="27" t="s">
        <v>22776</v>
      </c>
      <c r="B12725" s="28" t="s">
        <v>19918</v>
      </c>
      <c r="C12725" s="27" t="s">
        <v>22777</v>
      </c>
      <c r="D12725" s="27" t="s">
        <v>17558</v>
      </c>
      <c r="E12725" s="29">
        <v>42579</v>
      </c>
      <c r="F12725" s="27">
        <v>5</v>
      </c>
      <c r="G12725" s="18">
        <v>278.58</v>
      </c>
      <c r="H12725" s="27">
        <f t="shared" si="396"/>
        <v>0</v>
      </c>
      <c r="I12725" s="18">
        <v>127.91</v>
      </c>
      <c r="J12725" s="27">
        <v>278.58</v>
      </c>
      <c r="K12725" s="18">
        <f t="shared" si="397"/>
        <v>0</v>
      </c>
      <c r="L12725" s="27">
        <v>180.84</v>
      </c>
      <c r="M12725" s="36">
        <v>52.93</v>
      </c>
      <c r="T12725" s="41">
        <v>0</v>
      </c>
      <c r="U12725" s="41">
        <v>0</v>
      </c>
      <c r="V12725" s="42" t="s">
        <v>113</v>
      </c>
      <c r="W12725" s="42">
        <v>0</v>
      </c>
      <c r="X12725" s="42">
        <v>278.58</v>
      </c>
    </row>
    <row r="12726" spans="1:24">
      <c r="A12726" s="27" t="s">
        <v>22778</v>
      </c>
      <c r="B12726" s="28" t="s">
        <v>19918</v>
      </c>
      <c r="C12726" s="27" t="s">
        <v>22779</v>
      </c>
      <c r="D12726" s="27" t="s">
        <v>17558</v>
      </c>
      <c r="E12726" s="29">
        <v>42579</v>
      </c>
      <c r="F12726" s="27">
        <v>5</v>
      </c>
      <c r="G12726" s="18">
        <v>278.58</v>
      </c>
      <c r="H12726" s="27">
        <f t="shared" si="396"/>
        <v>0</v>
      </c>
      <c r="I12726" s="18">
        <v>127.91</v>
      </c>
      <c r="J12726" s="27">
        <v>278.58</v>
      </c>
      <c r="K12726" s="18">
        <f t="shared" si="397"/>
        <v>0</v>
      </c>
      <c r="L12726" s="27">
        <v>180.84</v>
      </c>
      <c r="M12726" s="36">
        <v>52.93</v>
      </c>
      <c r="T12726" s="41">
        <v>0</v>
      </c>
      <c r="U12726" s="41">
        <v>0</v>
      </c>
      <c r="V12726" s="42" t="s">
        <v>113</v>
      </c>
      <c r="W12726" s="42">
        <v>0</v>
      </c>
      <c r="X12726" s="42">
        <v>278.58</v>
      </c>
    </row>
    <row r="12727" spans="1:24">
      <c r="A12727" s="27" t="s">
        <v>22780</v>
      </c>
      <c r="B12727" s="28" t="s">
        <v>19918</v>
      </c>
      <c r="C12727" s="27" t="s">
        <v>22781</v>
      </c>
      <c r="D12727" s="27" t="s">
        <v>17558</v>
      </c>
      <c r="E12727" s="29">
        <v>42579</v>
      </c>
      <c r="F12727" s="27">
        <v>5</v>
      </c>
      <c r="G12727" s="18">
        <v>278.58</v>
      </c>
      <c r="H12727" s="27">
        <f t="shared" si="396"/>
        <v>0</v>
      </c>
      <c r="I12727" s="18">
        <v>127.91</v>
      </c>
      <c r="J12727" s="27">
        <v>278.58</v>
      </c>
      <c r="K12727" s="18">
        <f t="shared" si="397"/>
        <v>0</v>
      </c>
      <c r="L12727" s="27">
        <v>180.84</v>
      </c>
      <c r="M12727" s="36">
        <v>52.93</v>
      </c>
      <c r="T12727" s="41">
        <v>0</v>
      </c>
      <c r="U12727" s="41">
        <v>0</v>
      </c>
      <c r="V12727" s="42" t="s">
        <v>113</v>
      </c>
      <c r="W12727" s="42">
        <v>0</v>
      </c>
      <c r="X12727" s="42">
        <v>278.58</v>
      </c>
    </row>
    <row r="12728" spans="1:24">
      <c r="A12728" s="27" t="s">
        <v>22782</v>
      </c>
      <c r="B12728" s="28" t="s">
        <v>19918</v>
      </c>
      <c r="C12728" s="27" t="s">
        <v>22783</v>
      </c>
      <c r="D12728" s="27" t="s">
        <v>17558</v>
      </c>
      <c r="E12728" s="29">
        <v>42579</v>
      </c>
      <c r="F12728" s="27">
        <v>5</v>
      </c>
      <c r="G12728" s="18">
        <v>278.58</v>
      </c>
      <c r="H12728" s="27">
        <f t="shared" si="396"/>
        <v>0</v>
      </c>
      <c r="I12728" s="18">
        <v>127.91</v>
      </c>
      <c r="J12728" s="27">
        <v>278.58</v>
      </c>
      <c r="K12728" s="18">
        <f t="shared" si="397"/>
        <v>0</v>
      </c>
      <c r="L12728" s="27">
        <v>180.84</v>
      </c>
      <c r="M12728" s="36">
        <v>52.93</v>
      </c>
      <c r="T12728" s="41">
        <v>0</v>
      </c>
      <c r="U12728" s="41">
        <v>0</v>
      </c>
      <c r="V12728" s="42" t="s">
        <v>113</v>
      </c>
      <c r="W12728" s="42">
        <v>0</v>
      </c>
      <c r="X12728" s="42">
        <v>278.58</v>
      </c>
    </row>
    <row r="12729" spans="1:24">
      <c r="A12729" s="27" t="s">
        <v>22784</v>
      </c>
      <c r="B12729" s="28" t="s">
        <v>19918</v>
      </c>
      <c r="C12729" s="27" t="s">
        <v>22785</v>
      </c>
      <c r="D12729" s="27" t="s">
        <v>17558</v>
      </c>
      <c r="E12729" s="29">
        <v>42579</v>
      </c>
      <c r="F12729" s="27">
        <v>5</v>
      </c>
      <c r="G12729" s="18">
        <v>278.58</v>
      </c>
      <c r="H12729" s="27">
        <f t="shared" si="396"/>
        <v>0</v>
      </c>
      <c r="I12729" s="18">
        <v>127.91</v>
      </c>
      <c r="J12729" s="27">
        <v>278.58</v>
      </c>
      <c r="K12729" s="18">
        <f t="shared" si="397"/>
        <v>0</v>
      </c>
      <c r="L12729" s="27">
        <v>180.84</v>
      </c>
      <c r="M12729" s="36">
        <v>52.93</v>
      </c>
      <c r="T12729" s="41">
        <v>0</v>
      </c>
      <c r="U12729" s="41">
        <v>0</v>
      </c>
      <c r="V12729" s="42" t="s">
        <v>113</v>
      </c>
      <c r="W12729" s="42">
        <v>0</v>
      </c>
      <c r="X12729" s="42">
        <v>278.58</v>
      </c>
    </row>
    <row r="12730" spans="1:24">
      <c r="A12730" s="27" t="s">
        <v>22786</v>
      </c>
      <c r="B12730" s="28" t="s">
        <v>19918</v>
      </c>
      <c r="C12730" s="27" t="s">
        <v>22787</v>
      </c>
      <c r="D12730" s="27" t="s">
        <v>17558</v>
      </c>
      <c r="E12730" s="29">
        <v>42579</v>
      </c>
      <c r="F12730" s="27">
        <v>5</v>
      </c>
      <c r="G12730" s="18">
        <v>278.58</v>
      </c>
      <c r="H12730" s="27">
        <f t="shared" si="396"/>
        <v>0</v>
      </c>
      <c r="I12730" s="18">
        <v>127.91</v>
      </c>
      <c r="J12730" s="27">
        <v>278.58</v>
      </c>
      <c r="K12730" s="18">
        <f t="shared" si="397"/>
        <v>0</v>
      </c>
      <c r="L12730" s="27">
        <v>180.84</v>
      </c>
      <c r="M12730" s="36">
        <v>52.93</v>
      </c>
      <c r="T12730" s="41">
        <v>0</v>
      </c>
      <c r="U12730" s="41">
        <v>0</v>
      </c>
      <c r="V12730" s="42" t="s">
        <v>113</v>
      </c>
      <c r="W12730" s="42">
        <v>0</v>
      </c>
      <c r="X12730" s="42">
        <v>278.58</v>
      </c>
    </row>
    <row r="12731" spans="1:24">
      <c r="A12731" s="27" t="s">
        <v>22788</v>
      </c>
      <c r="B12731" s="28" t="s">
        <v>19918</v>
      </c>
      <c r="C12731" s="27" t="s">
        <v>22789</v>
      </c>
      <c r="D12731" s="27" t="s">
        <v>17558</v>
      </c>
      <c r="E12731" s="29">
        <v>42579</v>
      </c>
      <c r="F12731" s="27">
        <v>5</v>
      </c>
      <c r="G12731" s="18">
        <v>278.58</v>
      </c>
      <c r="H12731" s="27">
        <f t="shared" si="396"/>
        <v>0</v>
      </c>
      <c r="I12731" s="18">
        <v>127.91</v>
      </c>
      <c r="J12731" s="27">
        <v>278.58</v>
      </c>
      <c r="K12731" s="18">
        <f t="shared" si="397"/>
        <v>0</v>
      </c>
      <c r="L12731" s="27">
        <v>180.84</v>
      </c>
      <c r="M12731" s="36">
        <v>52.93</v>
      </c>
      <c r="T12731" s="41">
        <v>0</v>
      </c>
      <c r="U12731" s="41">
        <v>0</v>
      </c>
      <c r="V12731" s="42" t="s">
        <v>113</v>
      </c>
      <c r="W12731" s="42">
        <v>0</v>
      </c>
      <c r="X12731" s="42">
        <v>278.58</v>
      </c>
    </row>
    <row r="12732" spans="1:24">
      <c r="A12732" s="27" t="s">
        <v>22790</v>
      </c>
      <c r="B12732" s="28" t="s">
        <v>19918</v>
      </c>
      <c r="C12732" s="27" t="s">
        <v>22791</v>
      </c>
      <c r="D12732" s="27" t="s">
        <v>17558</v>
      </c>
      <c r="E12732" s="29">
        <v>42579</v>
      </c>
      <c r="F12732" s="27">
        <v>5</v>
      </c>
      <c r="G12732" s="18">
        <v>278.58</v>
      </c>
      <c r="H12732" s="27">
        <f t="shared" si="396"/>
        <v>0</v>
      </c>
      <c r="I12732" s="18">
        <v>127.91</v>
      </c>
      <c r="J12732" s="27">
        <v>278.58</v>
      </c>
      <c r="K12732" s="18">
        <f t="shared" si="397"/>
        <v>0</v>
      </c>
      <c r="L12732" s="27">
        <v>180.84</v>
      </c>
      <c r="M12732" s="36">
        <v>52.93</v>
      </c>
      <c r="T12732" s="41">
        <v>0</v>
      </c>
      <c r="U12732" s="41">
        <v>0</v>
      </c>
      <c r="V12732" s="42" t="s">
        <v>113</v>
      </c>
      <c r="W12732" s="42">
        <v>0</v>
      </c>
      <c r="X12732" s="42">
        <v>278.58</v>
      </c>
    </row>
    <row r="12733" spans="1:24">
      <c r="A12733" s="27" t="s">
        <v>22792</v>
      </c>
      <c r="B12733" s="28" t="s">
        <v>19918</v>
      </c>
      <c r="C12733" s="27" t="s">
        <v>22793</v>
      </c>
      <c r="D12733" s="27" t="s">
        <v>17558</v>
      </c>
      <c r="E12733" s="29">
        <v>42579</v>
      </c>
      <c r="F12733" s="27">
        <v>5</v>
      </c>
      <c r="G12733" s="18">
        <v>278.58</v>
      </c>
      <c r="H12733" s="27">
        <f t="shared" si="396"/>
        <v>0</v>
      </c>
      <c r="I12733" s="18">
        <v>127.91</v>
      </c>
      <c r="J12733" s="27">
        <v>278.58</v>
      </c>
      <c r="K12733" s="18">
        <f t="shared" si="397"/>
        <v>0</v>
      </c>
      <c r="L12733" s="27">
        <v>180.84</v>
      </c>
      <c r="M12733" s="36">
        <v>52.93</v>
      </c>
      <c r="T12733" s="41">
        <v>0</v>
      </c>
      <c r="U12733" s="41">
        <v>0</v>
      </c>
      <c r="V12733" s="42" t="s">
        <v>113</v>
      </c>
      <c r="W12733" s="42">
        <v>0</v>
      </c>
      <c r="X12733" s="42">
        <v>278.58</v>
      </c>
    </row>
    <row r="12734" spans="1:24">
      <c r="A12734" s="27" t="s">
        <v>22794</v>
      </c>
      <c r="B12734" s="28" t="s">
        <v>19918</v>
      </c>
      <c r="C12734" s="27" t="s">
        <v>22795</v>
      </c>
      <c r="D12734" s="27" t="s">
        <v>17558</v>
      </c>
      <c r="E12734" s="29">
        <v>42579</v>
      </c>
      <c r="F12734" s="27">
        <v>5</v>
      </c>
      <c r="G12734" s="18">
        <v>278.58</v>
      </c>
      <c r="H12734" s="27">
        <f t="shared" si="396"/>
        <v>0</v>
      </c>
      <c r="I12734" s="18">
        <v>127.91</v>
      </c>
      <c r="J12734" s="27">
        <v>278.58</v>
      </c>
      <c r="K12734" s="18">
        <f t="shared" si="397"/>
        <v>0</v>
      </c>
      <c r="L12734" s="27">
        <v>180.84</v>
      </c>
      <c r="M12734" s="36">
        <v>52.93</v>
      </c>
      <c r="T12734" s="41">
        <v>0</v>
      </c>
      <c r="U12734" s="41">
        <v>0</v>
      </c>
      <c r="V12734" s="42" t="s">
        <v>113</v>
      </c>
      <c r="W12734" s="42">
        <v>0</v>
      </c>
      <c r="X12734" s="42">
        <v>278.58</v>
      </c>
    </row>
    <row r="12735" spans="1:24">
      <c r="A12735" s="27" t="s">
        <v>22796</v>
      </c>
      <c r="B12735" s="28" t="s">
        <v>19918</v>
      </c>
      <c r="C12735" s="27" t="s">
        <v>22797</v>
      </c>
      <c r="D12735" s="27" t="s">
        <v>17558</v>
      </c>
      <c r="E12735" s="29">
        <v>42579</v>
      </c>
      <c r="F12735" s="27">
        <v>5</v>
      </c>
      <c r="G12735" s="18">
        <v>278.58999999999997</v>
      </c>
      <c r="H12735" s="27">
        <f t="shared" si="396"/>
        <v>0</v>
      </c>
      <c r="I12735" s="18">
        <v>127.92</v>
      </c>
      <c r="J12735" s="27">
        <v>278.58999999999997</v>
      </c>
      <c r="K12735" s="18">
        <f t="shared" si="397"/>
        <v>0</v>
      </c>
      <c r="L12735" s="27">
        <v>180.85</v>
      </c>
      <c r="M12735" s="36">
        <v>52.93</v>
      </c>
      <c r="T12735" s="41">
        <v>0</v>
      </c>
      <c r="U12735" s="41">
        <v>0</v>
      </c>
      <c r="V12735" s="42" t="s">
        <v>113</v>
      </c>
      <c r="W12735" s="42">
        <v>0</v>
      </c>
      <c r="X12735" s="42">
        <v>278.58999999999997</v>
      </c>
    </row>
    <row r="12736" spans="1:24">
      <c r="A12736" s="27" t="s">
        <v>22798</v>
      </c>
      <c r="B12736" s="28" t="s">
        <v>19918</v>
      </c>
      <c r="C12736" s="27" t="s">
        <v>22799</v>
      </c>
      <c r="D12736" s="27" t="s">
        <v>17558</v>
      </c>
      <c r="E12736" s="29">
        <v>42579</v>
      </c>
      <c r="F12736" s="27">
        <v>5</v>
      </c>
      <c r="G12736" s="18">
        <v>278.58</v>
      </c>
      <c r="H12736" s="27">
        <f t="shared" si="396"/>
        <v>0</v>
      </c>
      <c r="I12736" s="18">
        <v>127.91</v>
      </c>
      <c r="J12736" s="27">
        <v>278.58</v>
      </c>
      <c r="K12736" s="18">
        <f t="shared" si="397"/>
        <v>0</v>
      </c>
      <c r="L12736" s="27">
        <v>180.84</v>
      </c>
      <c r="M12736" s="36">
        <v>52.93</v>
      </c>
      <c r="T12736" s="41">
        <v>0</v>
      </c>
      <c r="U12736" s="41">
        <v>0</v>
      </c>
      <c r="V12736" s="42" t="s">
        <v>113</v>
      </c>
      <c r="W12736" s="42">
        <v>0</v>
      </c>
      <c r="X12736" s="42">
        <v>278.58</v>
      </c>
    </row>
    <row r="12737" spans="1:24">
      <c r="A12737" s="27" t="s">
        <v>22800</v>
      </c>
      <c r="B12737" s="28" t="s">
        <v>19918</v>
      </c>
      <c r="C12737" s="27" t="s">
        <v>22801</v>
      </c>
      <c r="D12737" s="27" t="s">
        <v>17558</v>
      </c>
      <c r="E12737" s="29">
        <v>42579</v>
      </c>
      <c r="F12737" s="27">
        <v>5</v>
      </c>
      <c r="G12737" s="18">
        <v>278.58999999999997</v>
      </c>
      <c r="H12737" s="27">
        <f t="shared" si="396"/>
        <v>0</v>
      </c>
      <c r="I12737" s="18">
        <v>127.92</v>
      </c>
      <c r="J12737" s="27">
        <v>278.58999999999997</v>
      </c>
      <c r="K12737" s="18">
        <f t="shared" si="397"/>
        <v>0</v>
      </c>
      <c r="L12737" s="27">
        <v>180.85</v>
      </c>
      <c r="M12737" s="36">
        <v>52.93</v>
      </c>
      <c r="T12737" s="41">
        <v>0</v>
      </c>
      <c r="U12737" s="41">
        <v>0</v>
      </c>
      <c r="V12737" s="42" t="s">
        <v>113</v>
      </c>
      <c r="W12737" s="42">
        <v>0</v>
      </c>
      <c r="X12737" s="42">
        <v>278.58999999999997</v>
      </c>
    </row>
    <row r="12738" spans="1:24">
      <c r="A12738" s="27" t="s">
        <v>22802</v>
      </c>
      <c r="B12738" s="28" t="s">
        <v>19918</v>
      </c>
      <c r="C12738" s="27" t="s">
        <v>22803</v>
      </c>
      <c r="D12738" s="27" t="s">
        <v>17558</v>
      </c>
      <c r="E12738" s="29">
        <v>42579</v>
      </c>
      <c r="F12738" s="27">
        <v>5</v>
      </c>
      <c r="G12738" s="18">
        <v>278.58999999999997</v>
      </c>
      <c r="H12738" s="27">
        <f t="shared" si="396"/>
        <v>0</v>
      </c>
      <c r="I12738" s="18">
        <v>127.92</v>
      </c>
      <c r="J12738" s="27">
        <v>278.58999999999997</v>
      </c>
      <c r="K12738" s="18">
        <f t="shared" si="397"/>
        <v>0</v>
      </c>
      <c r="L12738" s="27">
        <v>180.85</v>
      </c>
      <c r="M12738" s="36">
        <v>52.93</v>
      </c>
      <c r="T12738" s="41">
        <v>0</v>
      </c>
      <c r="U12738" s="41">
        <v>0</v>
      </c>
      <c r="V12738" s="42" t="s">
        <v>113</v>
      </c>
      <c r="W12738" s="42">
        <v>0</v>
      </c>
      <c r="X12738" s="42">
        <v>278.58999999999997</v>
      </c>
    </row>
    <row r="12739" spans="1:24">
      <c r="A12739" s="27" t="s">
        <v>22804</v>
      </c>
      <c r="B12739" s="28" t="s">
        <v>19918</v>
      </c>
      <c r="C12739" s="27" t="s">
        <v>22805</v>
      </c>
      <c r="D12739" s="27" t="s">
        <v>17558</v>
      </c>
      <c r="E12739" s="29">
        <v>42579</v>
      </c>
      <c r="F12739" s="27">
        <v>5</v>
      </c>
      <c r="G12739" s="18">
        <v>278.58999999999997</v>
      </c>
      <c r="H12739" s="27">
        <f t="shared" si="396"/>
        <v>0</v>
      </c>
      <c r="I12739" s="18">
        <v>127.92</v>
      </c>
      <c r="J12739" s="27">
        <v>278.58999999999997</v>
      </c>
      <c r="K12739" s="18">
        <f t="shared" si="397"/>
        <v>0</v>
      </c>
      <c r="L12739" s="27">
        <v>180.85</v>
      </c>
      <c r="M12739" s="36">
        <v>52.93</v>
      </c>
      <c r="T12739" s="41">
        <v>0</v>
      </c>
      <c r="U12739" s="41">
        <v>0</v>
      </c>
      <c r="V12739" s="42" t="s">
        <v>113</v>
      </c>
      <c r="W12739" s="42">
        <v>0</v>
      </c>
      <c r="X12739" s="42">
        <v>278.58999999999997</v>
      </c>
    </row>
    <row r="12740" spans="1:24">
      <c r="A12740" s="27" t="s">
        <v>22806</v>
      </c>
      <c r="B12740" s="28" t="s">
        <v>19918</v>
      </c>
      <c r="C12740" s="27" t="s">
        <v>22807</v>
      </c>
      <c r="D12740" s="27" t="s">
        <v>17558</v>
      </c>
      <c r="E12740" s="29">
        <v>42579</v>
      </c>
      <c r="F12740" s="27">
        <v>5</v>
      </c>
      <c r="G12740" s="18">
        <v>278.58999999999997</v>
      </c>
      <c r="H12740" s="27">
        <f t="shared" si="396"/>
        <v>0</v>
      </c>
      <c r="I12740" s="18">
        <v>127.92</v>
      </c>
      <c r="J12740" s="27">
        <v>278.58999999999997</v>
      </c>
      <c r="K12740" s="18">
        <f t="shared" si="397"/>
        <v>0</v>
      </c>
      <c r="L12740" s="27">
        <v>180.85</v>
      </c>
      <c r="M12740" s="36">
        <v>52.93</v>
      </c>
      <c r="T12740" s="41">
        <v>0</v>
      </c>
      <c r="U12740" s="41">
        <v>0</v>
      </c>
      <c r="V12740" s="42" t="s">
        <v>113</v>
      </c>
      <c r="W12740" s="42">
        <v>0</v>
      </c>
      <c r="X12740" s="42">
        <v>278.58999999999997</v>
      </c>
    </row>
    <row r="12741" spans="1:24">
      <c r="A12741" s="27" t="s">
        <v>22808</v>
      </c>
      <c r="B12741" s="28" t="s">
        <v>19918</v>
      </c>
      <c r="C12741" s="27" t="s">
        <v>22809</v>
      </c>
      <c r="D12741" s="27" t="s">
        <v>17558</v>
      </c>
      <c r="E12741" s="29">
        <v>42579</v>
      </c>
      <c r="F12741" s="27">
        <v>5</v>
      </c>
      <c r="G12741" s="18">
        <v>278.58999999999997</v>
      </c>
      <c r="H12741" s="27">
        <f t="shared" si="396"/>
        <v>0</v>
      </c>
      <c r="I12741" s="18">
        <v>127.92</v>
      </c>
      <c r="J12741" s="27">
        <v>278.58999999999997</v>
      </c>
      <c r="K12741" s="18">
        <f t="shared" si="397"/>
        <v>0</v>
      </c>
      <c r="L12741" s="27">
        <v>180.85</v>
      </c>
      <c r="M12741" s="36">
        <v>52.93</v>
      </c>
      <c r="T12741" s="41">
        <v>0</v>
      </c>
      <c r="U12741" s="41">
        <v>0</v>
      </c>
      <c r="V12741" s="42" t="s">
        <v>113</v>
      </c>
      <c r="W12741" s="42">
        <v>0</v>
      </c>
      <c r="X12741" s="42">
        <v>278.58999999999997</v>
      </c>
    </row>
    <row r="12742" spans="1:24">
      <c r="A12742" s="27" t="s">
        <v>22810</v>
      </c>
      <c r="B12742" s="28" t="s">
        <v>19918</v>
      </c>
      <c r="C12742" s="27" t="s">
        <v>22811</v>
      </c>
      <c r="D12742" s="27" t="s">
        <v>17558</v>
      </c>
      <c r="E12742" s="29">
        <v>42579</v>
      </c>
      <c r="F12742" s="27">
        <v>5</v>
      </c>
      <c r="G12742" s="18">
        <v>278.58999999999997</v>
      </c>
      <c r="H12742" s="27">
        <f t="shared" ref="H12742:H12805" si="398">IFERROR(IF(ROUND((G12742-I12742)/G12742,2)&lt;=0.05,G12742,0),0)</f>
        <v>0</v>
      </c>
      <c r="I12742" s="18">
        <v>127.92</v>
      </c>
      <c r="J12742" s="27">
        <v>278.58999999999997</v>
      </c>
      <c r="K12742" s="18">
        <f t="shared" ref="K12742:K12805" si="399">IFERROR(IF(ROUND((J12742-L12742)/J12742,2)&lt;=0.05,J12742,0),0)</f>
        <v>0</v>
      </c>
      <c r="L12742" s="27">
        <v>180.85</v>
      </c>
      <c r="M12742" s="36">
        <v>52.93</v>
      </c>
      <c r="T12742" s="41">
        <v>0</v>
      </c>
      <c r="U12742" s="41">
        <v>0</v>
      </c>
      <c r="V12742" s="42" t="s">
        <v>113</v>
      </c>
      <c r="W12742" s="42">
        <v>0</v>
      </c>
      <c r="X12742" s="42">
        <v>278.58999999999997</v>
      </c>
    </row>
    <row r="12743" spans="1:24">
      <c r="A12743" s="27" t="s">
        <v>22812</v>
      </c>
      <c r="B12743" s="28" t="s">
        <v>19918</v>
      </c>
      <c r="C12743" s="27" t="s">
        <v>22813</v>
      </c>
      <c r="D12743" s="27" t="s">
        <v>17558</v>
      </c>
      <c r="E12743" s="29">
        <v>42579</v>
      </c>
      <c r="F12743" s="27">
        <v>5</v>
      </c>
      <c r="G12743" s="18">
        <v>278.58</v>
      </c>
      <c r="H12743" s="27">
        <f t="shared" si="398"/>
        <v>0</v>
      </c>
      <c r="I12743" s="18">
        <v>127.91</v>
      </c>
      <c r="J12743" s="27">
        <v>278.58</v>
      </c>
      <c r="K12743" s="18">
        <f t="shared" si="399"/>
        <v>0</v>
      </c>
      <c r="L12743" s="27">
        <v>180.84</v>
      </c>
      <c r="M12743" s="36">
        <v>52.93</v>
      </c>
      <c r="T12743" s="41">
        <v>0</v>
      </c>
      <c r="U12743" s="41">
        <v>0</v>
      </c>
      <c r="V12743" s="42" t="s">
        <v>113</v>
      </c>
      <c r="W12743" s="42">
        <v>0</v>
      </c>
      <c r="X12743" s="42">
        <v>278.58</v>
      </c>
    </row>
    <row r="12744" spans="1:24">
      <c r="A12744" s="27" t="s">
        <v>22814</v>
      </c>
      <c r="B12744" s="28" t="s">
        <v>19918</v>
      </c>
      <c r="C12744" s="27" t="s">
        <v>22815</v>
      </c>
      <c r="D12744" s="27" t="s">
        <v>17558</v>
      </c>
      <c r="E12744" s="29">
        <v>42579</v>
      </c>
      <c r="F12744" s="27">
        <v>5</v>
      </c>
      <c r="G12744" s="18">
        <v>278.58999999999997</v>
      </c>
      <c r="H12744" s="27">
        <f t="shared" si="398"/>
        <v>0</v>
      </c>
      <c r="I12744" s="18">
        <v>127.92</v>
      </c>
      <c r="J12744" s="27">
        <v>278.58999999999997</v>
      </c>
      <c r="K12744" s="18">
        <f t="shared" si="399"/>
        <v>0</v>
      </c>
      <c r="L12744" s="27">
        <v>180.85</v>
      </c>
      <c r="M12744" s="36">
        <v>52.93</v>
      </c>
      <c r="T12744" s="41">
        <v>0</v>
      </c>
      <c r="U12744" s="41">
        <v>0</v>
      </c>
      <c r="V12744" s="42" t="s">
        <v>113</v>
      </c>
      <c r="W12744" s="42">
        <v>0</v>
      </c>
      <c r="X12744" s="42">
        <v>278.58999999999997</v>
      </c>
    </row>
    <row r="12745" spans="1:24">
      <c r="A12745" s="27" t="s">
        <v>22816</v>
      </c>
      <c r="B12745" s="28" t="s">
        <v>19918</v>
      </c>
      <c r="C12745" s="27" t="s">
        <v>22817</v>
      </c>
      <c r="D12745" s="27" t="s">
        <v>17558</v>
      </c>
      <c r="E12745" s="29">
        <v>42579</v>
      </c>
      <c r="F12745" s="27">
        <v>5</v>
      </c>
      <c r="G12745" s="18">
        <v>278.58999999999997</v>
      </c>
      <c r="H12745" s="27">
        <f t="shared" si="398"/>
        <v>0</v>
      </c>
      <c r="I12745" s="18">
        <v>127.92</v>
      </c>
      <c r="J12745" s="27">
        <v>278.58999999999997</v>
      </c>
      <c r="K12745" s="18">
        <f t="shared" si="399"/>
        <v>0</v>
      </c>
      <c r="L12745" s="27">
        <v>180.85</v>
      </c>
      <c r="M12745" s="36">
        <v>52.93</v>
      </c>
      <c r="T12745" s="41">
        <v>0</v>
      </c>
      <c r="U12745" s="41">
        <v>0</v>
      </c>
      <c r="V12745" s="42" t="s">
        <v>113</v>
      </c>
      <c r="W12745" s="42">
        <v>0</v>
      </c>
      <c r="X12745" s="42">
        <v>278.58999999999997</v>
      </c>
    </row>
    <row r="12746" spans="1:24">
      <c r="A12746" s="27" t="s">
        <v>22818</v>
      </c>
      <c r="B12746" s="28" t="s">
        <v>19918</v>
      </c>
      <c r="C12746" s="27" t="s">
        <v>22819</v>
      </c>
      <c r="D12746" s="27" t="s">
        <v>17558</v>
      </c>
      <c r="E12746" s="29">
        <v>42579</v>
      </c>
      <c r="F12746" s="27">
        <v>5</v>
      </c>
      <c r="G12746" s="18">
        <v>278.58</v>
      </c>
      <c r="H12746" s="27">
        <f t="shared" si="398"/>
        <v>0</v>
      </c>
      <c r="I12746" s="18">
        <v>127.91</v>
      </c>
      <c r="J12746" s="27">
        <v>278.58</v>
      </c>
      <c r="K12746" s="18">
        <f t="shared" si="399"/>
        <v>0</v>
      </c>
      <c r="L12746" s="27">
        <v>180.84</v>
      </c>
      <c r="M12746" s="36">
        <v>52.93</v>
      </c>
      <c r="T12746" s="41">
        <v>0</v>
      </c>
      <c r="U12746" s="41">
        <v>0</v>
      </c>
      <c r="V12746" s="42" t="s">
        <v>113</v>
      </c>
      <c r="W12746" s="42">
        <v>0</v>
      </c>
      <c r="X12746" s="42">
        <v>278.58</v>
      </c>
    </row>
    <row r="12747" spans="1:24">
      <c r="A12747" s="27" t="s">
        <v>22820</v>
      </c>
      <c r="B12747" s="28" t="s">
        <v>19918</v>
      </c>
      <c r="C12747" s="27" t="s">
        <v>22821</v>
      </c>
      <c r="D12747" s="27" t="s">
        <v>17558</v>
      </c>
      <c r="E12747" s="29">
        <v>42579</v>
      </c>
      <c r="F12747" s="27">
        <v>5</v>
      </c>
      <c r="G12747" s="18">
        <v>278.58</v>
      </c>
      <c r="H12747" s="27">
        <f t="shared" si="398"/>
        <v>0</v>
      </c>
      <c r="I12747" s="18">
        <v>127.91</v>
      </c>
      <c r="J12747" s="27">
        <v>278.58</v>
      </c>
      <c r="K12747" s="18">
        <f t="shared" si="399"/>
        <v>0</v>
      </c>
      <c r="L12747" s="27">
        <v>180.84</v>
      </c>
      <c r="M12747" s="36">
        <v>52.93</v>
      </c>
      <c r="T12747" s="41">
        <v>0</v>
      </c>
      <c r="U12747" s="41">
        <v>0</v>
      </c>
      <c r="V12747" s="42" t="s">
        <v>113</v>
      </c>
      <c r="W12747" s="42">
        <v>0</v>
      </c>
      <c r="X12747" s="42">
        <v>278.58</v>
      </c>
    </row>
    <row r="12748" spans="1:24">
      <c r="A12748" s="27" t="s">
        <v>22822</v>
      </c>
      <c r="B12748" s="28" t="s">
        <v>19918</v>
      </c>
      <c r="C12748" s="27" t="s">
        <v>22823</v>
      </c>
      <c r="D12748" s="27" t="s">
        <v>17558</v>
      </c>
      <c r="E12748" s="29">
        <v>42579</v>
      </c>
      <c r="F12748" s="27">
        <v>5</v>
      </c>
      <c r="G12748" s="18">
        <v>278.58</v>
      </c>
      <c r="H12748" s="27">
        <f t="shared" si="398"/>
        <v>0</v>
      </c>
      <c r="I12748" s="18">
        <v>127.91</v>
      </c>
      <c r="J12748" s="27">
        <v>278.58</v>
      </c>
      <c r="K12748" s="18">
        <f t="shared" si="399"/>
        <v>0</v>
      </c>
      <c r="L12748" s="27">
        <v>180.84</v>
      </c>
      <c r="M12748" s="36">
        <v>52.93</v>
      </c>
      <c r="T12748" s="41">
        <v>0</v>
      </c>
      <c r="U12748" s="41">
        <v>0</v>
      </c>
      <c r="V12748" s="42" t="s">
        <v>113</v>
      </c>
      <c r="W12748" s="42">
        <v>0</v>
      </c>
      <c r="X12748" s="42">
        <v>278.58</v>
      </c>
    </row>
    <row r="12749" spans="1:24">
      <c r="A12749" s="27" t="s">
        <v>22824</v>
      </c>
      <c r="B12749" s="28" t="s">
        <v>19918</v>
      </c>
      <c r="C12749" s="27" t="s">
        <v>22825</v>
      </c>
      <c r="D12749" s="27" t="s">
        <v>17558</v>
      </c>
      <c r="E12749" s="29">
        <v>42579</v>
      </c>
      <c r="F12749" s="27">
        <v>5</v>
      </c>
      <c r="G12749" s="18">
        <v>278.58</v>
      </c>
      <c r="H12749" s="27">
        <f t="shared" si="398"/>
        <v>0</v>
      </c>
      <c r="I12749" s="18">
        <v>127.91</v>
      </c>
      <c r="J12749" s="27">
        <v>278.58</v>
      </c>
      <c r="K12749" s="18">
        <f t="shared" si="399"/>
        <v>0</v>
      </c>
      <c r="L12749" s="27">
        <v>180.84</v>
      </c>
      <c r="M12749" s="36">
        <v>52.93</v>
      </c>
      <c r="T12749" s="41">
        <v>0</v>
      </c>
      <c r="U12749" s="41">
        <v>0</v>
      </c>
      <c r="V12749" s="42" t="s">
        <v>113</v>
      </c>
      <c r="W12749" s="42">
        <v>0</v>
      </c>
      <c r="X12749" s="42">
        <v>278.58</v>
      </c>
    </row>
    <row r="12750" spans="1:24">
      <c r="A12750" s="27" t="s">
        <v>22826</v>
      </c>
      <c r="B12750" s="28" t="s">
        <v>19918</v>
      </c>
      <c r="C12750" s="27" t="s">
        <v>22827</v>
      </c>
      <c r="D12750" s="27" t="s">
        <v>17558</v>
      </c>
      <c r="E12750" s="29">
        <v>42579</v>
      </c>
      <c r="F12750" s="27">
        <v>5</v>
      </c>
      <c r="G12750" s="18">
        <v>278.58</v>
      </c>
      <c r="H12750" s="27">
        <f t="shared" si="398"/>
        <v>0</v>
      </c>
      <c r="I12750" s="18">
        <v>127.91</v>
      </c>
      <c r="J12750" s="27">
        <v>278.58</v>
      </c>
      <c r="K12750" s="18">
        <f t="shared" si="399"/>
        <v>0</v>
      </c>
      <c r="L12750" s="27">
        <v>180.84</v>
      </c>
      <c r="M12750" s="36">
        <v>52.93</v>
      </c>
      <c r="T12750" s="41">
        <v>0</v>
      </c>
      <c r="U12750" s="41">
        <v>0</v>
      </c>
      <c r="V12750" s="42" t="s">
        <v>113</v>
      </c>
      <c r="W12750" s="42">
        <v>0</v>
      </c>
      <c r="X12750" s="42">
        <v>278.58</v>
      </c>
    </row>
    <row r="12751" spans="1:24">
      <c r="A12751" s="27" t="s">
        <v>22828</v>
      </c>
      <c r="B12751" s="28" t="s">
        <v>19918</v>
      </c>
      <c r="C12751" s="27" t="s">
        <v>22829</v>
      </c>
      <c r="D12751" s="27" t="s">
        <v>17558</v>
      </c>
      <c r="E12751" s="29">
        <v>42579</v>
      </c>
      <c r="F12751" s="27">
        <v>5</v>
      </c>
      <c r="G12751" s="18">
        <v>278.58</v>
      </c>
      <c r="H12751" s="27">
        <f t="shared" si="398"/>
        <v>0</v>
      </c>
      <c r="I12751" s="18">
        <v>127.91</v>
      </c>
      <c r="J12751" s="27">
        <v>278.58</v>
      </c>
      <c r="K12751" s="18">
        <f t="shared" si="399"/>
        <v>0</v>
      </c>
      <c r="L12751" s="27">
        <v>180.84</v>
      </c>
      <c r="M12751" s="36">
        <v>52.93</v>
      </c>
      <c r="T12751" s="41">
        <v>0</v>
      </c>
      <c r="U12751" s="41">
        <v>0</v>
      </c>
      <c r="V12751" s="42" t="s">
        <v>113</v>
      </c>
      <c r="W12751" s="42">
        <v>0</v>
      </c>
      <c r="X12751" s="42">
        <v>278.58</v>
      </c>
    </row>
    <row r="12752" spans="1:24">
      <c r="A12752" s="27" t="s">
        <v>22830</v>
      </c>
      <c r="B12752" s="28" t="s">
        <v>19918</v>
      </c>
      <c r="C12752" s="27" t="s">
        <v>22831</v>
      </c>
      <c r="D12752" s="27" t="s">
        <v>17558</v>
      </c>
      <c r="E12752" s="29">
        <v>42579</v>
      </c>
      <c r="F12752" s="27">
        <v>5</v>
      </c>
      <c r="G12752" s="18">
        <v>278.58</v>
      </c>
      <c r="H12752" s="27">
        <f t="shared" si="398"/>
        <v>0</v>
      </c>
      <c r="I12752" s="18">
        <v>127.91</v>
      </c>
      <c r="J12752" s="27">
        <v>278.58</v>
      </c>
      <c r="K12752" s="18">
        <f t="shared" si="399"/>
        <v>0</v>
      </c>
      <c r="L12752" s="27">
        <v>180.84</v>
      </c>
      <c r="M12752" s="36">
        <v>52.93</v>
      </c>
      <c r="T12752" s="41">
        <v>0</v>
      </c>
      <c r="U12752" s="41">
        <v>0</v>
      </c>
      <c r="V12752" s="42" t="s">
        <v>113</v>
      </c>
      <c r="W12752" s="42">
        <v>0</v>
      </c>
      <c r="X12752" s="42">
        <v>278.58</v>
      </c>
    </row>
    <row r="12753" spans="1:24">
      <c r="A12753" s="27" t="s">
        <v>22832</v>
      </c>
      <c r="B12753" s="28" t="s">
        <v>19918</v>
      </c>
      <c r="C12753" s="27" t="s">
        <v>22833</v>
      </c>
      <c r="D12753" s="27" t="s">
        <v>17558</v>
      </c>
      <c r="E12753" s="29">
        <v>42579</v>
      </c>
      <c r="F12753" s="27">
        <v>5</v>
      </c>
      <c r="G12753" s="18">
        <v>278.58</v>
      </c>
      <c r="H12753" s="27">
        <f t="shared" si="398"/>
        <v>0</v>
      </c>
      <c r="I12753" s="18">
        <v>127.91</v>
      </c>
      <c r="J12753" s="27">
        <v>278.58</v>
      </c>
      <c r="K12753" s="18">
        <f t="shared" si="399"/>
        <v>0</v>
      </c>
      <c r="L12753" s="27">
        <v>180.84</v>
      </c>
      <c r="M12753" s="36">
        <v>52.93</v>
      </c>
      <c r="T12753" s="41">
        <v>0</v>
      </c>
      <c r="U12753" s="41">
        <v>0</v>
      </c>
      <c r="V12753" s="42" t="s">
        <v>113</v>
      </c>
      <c r="W12753" s="42">
        <v>0</v>
      </c>
      <c r="X12753" s="42">
        <v>278.58</v>
      </c>
    </row>
    <row r="12754" spans="1:24">
      <c r="A12754" s="27" t="s">
        <v>22834</v>
      </c>
      <c r="B12754" s="28" t="s">
        <v>19918</v>
      </c>
      <c r="C12754" s="27" t="s">
        <v>22835</v>
      </c>
      <c r="D12754" s="27" t="s">
        <v>17558</v>
      </c>
      <c r="E12754" s="29">
        <v>42579</v>
      </c>
      <c r="F12754" s="27">
        <v>5</v>
      </c>
      <c r="G12754" s="18">
        <v>278.58</v>
      </c>
      <c r="H12754" s="27">
        <f t="shared" si="398"/>
        <v>0</v>
      </c>
      <c r="I12754" s="18">
        <v>127.91</v>
      </c>
      <c r="J12754" s="27">
        <v>278.58</v>
      </c>
      <c r="K12754" s="18">
        <f t="shared" si="399"/>
        <v>0</v>
      </c>
      <c r="L12754" s="27">
        <v>180.84</v>
      </c>
      <c r="M12754" s="36">
        <v>52.93</v>
      </c>
      <c r="T12754" s="41">
        <v>0</v>
      </c>
      <c r="U12754" s="41">
        <v>0</v>
      </c>
      <c r="V12754" s="42" t="s">
        <v>113</v>
      </c>
      <c r="W12754" s="42">
        <v>0</v>
      </c>
      <c r="X12754" s="42">
        <v>278.58</v>
      </c>
    </row>
    <row r="12755" spans="1:24">
      <c r="A12755" s="27" t="s">
        <v>22836</v>
      </c>
      <c r="B12755" s="28" t="s">
        <v>19918</v>
      </c>
      <c r="C12755" s="27" t="s">
        <v>22837</v>
      </c>
      <c r="D12755" s="27" t="s">
        <v>17558</v>
      </c>
      <c r="E12755" s="29">
        <v>42579</v>
      </c>
      <c r="F12755" s="27">
        <v>5</v>
      </c>
      <c r="G12755" s="18">
        <v>278.58</v>
      </c>
      <c r="H12755" s="27">
        <f t="shared" si="398"/>
        <v>0</v>
      </c>
      <c r="I12755" s="18">
        <v>127.91</v>
      </c>
      <c r="J12755" s="27">
        <v>278.58</v>
      </c>
      <c r="K12755" s="18">
        <f t="shared" si="399"/>
        <v>0</v>
      </c>
      <c r="L12755" s="27">
        <v>180.84</v>
      </c>
      <c r="M12755" s="36">
        <v>52.93</v>
      </c>
      <c r="T12755" s="41">
        <v>0</v>
      </c>
      <c r="U12755" s="41">
        <v>0</v>
      </c>
      <c r="V12755" s="42" t="s">
        <v>113</v>
      </c>
      <c r="W12755" s="42">
        <v>0</v>
      </c>
      <c r="X12755" s="42">
        <v>278.58</v>
      </c>
    </row>
    <row r="12756" spans="1:24">
      <c r="A12756" s="27" t="s">
        <v>22838</v>
      </c>
      <c r="B12756" s="28" t="s">
        <v>19918</v>
      </c>
      <c r="C12756" s="27" t="s">
        <v>22839</v>
      </c>
      <c r="D12756" s="27" t="s">
        <v>17558</v>
      </c>
      <c r="E12756" s="29">
        <v>42579</v>
      </c>
      <c r="F12756" s="27">
        <v>5</v>
      </c>
      <c r="G12756" s="18">
        <v>278.58</v>
      </c>
      <c r="H12756" s="27">
        <f t="shared" si="398"/>
        <v>0</v>
      </c>
      <c r="I12756" s="18">
        <v>127.91</v>
      </c>
      <c r="J12756" s="27">
        <v>278.58</v>
      </c>
      <c r="K12756" s="18">
        <f t="shared" si="399"/>
        <v>0</v>
      </c>
      <c r="L12756" s="27">
        <v>180.84</v>
      </c>
      <c r="M12756" s="36">
        <v>52.93</v>
      </c>
      <c r="T12756" s="41">
        <v>0</v>
      </c>
      <c r="U12756" s="41">
        <v>0</v>
      </c>
      <c r="V12756" s="42" t="s">
        <v>113</v>
      </c>
      <c r="W12756" s="42">
        <v>0</v>
      </c>
      <c r="X12756" s="42">
        <v>278.58</v>
      </c>
    </row>
    <row r="12757" spans="1:24">
      <c r="A12757" s="27" t="s">
        <v>22840</v>
      </c>
      <c r="B12757" s="28" t="s">
        <v>19918</v>
      </c>
      <c r="C12757" s="27" t="s">
        <v>22841</v>
      </c>
      <c r="D12757" s="27" t="s">
        <v>17558</v>
      </c>
      <c r="E12757" s="29">
        <v>42579</v>
      </c>
      <c r="F12757" s="27">
        <v>5</v>
      </c>
      <c r="G12757" s="18">
        <v>278.58</v>
      </c>
      <c r="H12757" s="27">
        <f t="shared" si="398"/>
        <v>0</v>
      </c>
      <c r="I12757" s="18">
        <v>127.91</v>
      </c>
      <c r="J12757" s="27">
        <v>278.58</v>
      </c>
      <c r="K12757" s="18">
        <f t="shared" si="399"/>
        <v>0</v>
      </c>
      <c r="L12757" s="27">
        <v>180.84</v>
      </c>
      <c r="M12757" s="36">
        <v>52.93</v>
      </c>
      <c r="T12757" s="41">
        <v>0</v>
      </c>
      <c r="U12757" s="41">
        <v>0</v>
      </c>
      <c r="V12757" s="42" t="s">
        <v>113</v>
      </c>
      <c r="W12757" s="42">
        <v>0</v>
      </c>
      <c r="X12757" s="42">
        <v>278.58</v>
      </c>
    </row>
    <row r="12758" spans="1:24">
      <c r="A12758" s="27" t="s">
        <v>22842</v>
      </c>
      <c r="B12758" s="28" t="s">
        <v>19918</v>
      </c>
      <c r="C12758" s="27" t="s">
        <v>22843</v>
      </c>
      <c r="D12758" s="27" t="s">
        <v>17558</v>
      </c>
      <c r="E12758" s="29">
        <v>42579</v>
      </c>
      <c r="F12758" s="27">
        <v>5</v>
      </c>
      <c r="G12758" s="18">
        <v>278.58</v>
      </c>
      <c r="H12758" s="27">
        <f t="shared" si="398"/>
        <v>0</v>
      </c>
      <c r="I12758" s="18">
        <v>127.91</v>
      </c>
      <c r="J12758" s="27">
        <v>278.58</v>
      </c>
      <c r="K12758" s="18">
        <f t="shared" si="399"/>
        <v>0</v>
      </c>
      <c r="L12758" s="27">
        <v>180.84</v>
      </c>
      <c r="M12758" s="36">
        <v>52.93</v>
      </c>
      <c r="T12758" s="41">
        <v>0</v>
      </c>
      <c r="U12758" s="41">
        <v>0</v>
      </c>
      <c r="V12758" s="42" t="s">
        <v>113</v>
      </c>
      <c r="W12758" s="42">
        <v>0</v>
      </c>
      <c r="X12758" s="42">
        <v>278.58</v>
      </c>
    </row>
    <row r="12759" spans="1:24">
      <c r="A12759" s="27" t="s">
        <v>22844</v>
      </c>
      <c r="B12759" s="28" t="s">
        <v>19918</v>
      </c>
      <c r="C12759" s="27" t="s">
        <v>22845</v>
      </c>
      <c r="D12759" s="27" t="s">
        <v>17558</v>
      </c>
      <c r="E12759" s="29">
        <v>42579</v>
      </c>
      <c r="F12759" s="27">
        <v>5</v>
      </c>
      <c r="G12759" s="18">
        <v>278.58</v>
      </c>
      <c r="H12759" s="27">
        <f t="shared" si="398"/>
        <v>0</v>
      </c>
      <c r="I12759" s="18">
        <v>127.91</v>
      </c>
      <c r="J12759" s="27">
        <v>278.58</v>
      </c>
      <c r="K12759" s="18">
        <f t="shared" si="399"/>
        <v>0</v>
      </c>
      <c r="L12759" s="27">
        <v>180.84</v>
      </c>
      <c r="M12759" s="36">
        <v>52.93</v>
      </c>
      <c r="T12759" s="41">
        <v>0</v>
      </c>
      <c r="U12759" s="41">
        <v>0</v>
      </c>
      <c r="V12759" s="42" t="s">
        <v>113</v>
      </c>
      <c r="W12759" s="42">
        <v>0</v>
      </c>
      <c r="X12759" s="42">
        <v>278.58</v>
      </c>
    </row>
    <row r="12760" spans="1:24">
      <c r="A12760" s="27" t="s">
        <v>22846</v>
      </c>
      <c r="B12760" s="28" t="s">
        <v>19918</v>
      </c>
      <c r="C12760" s="27" t="s">
        <v>22847</v>
      </c>
      <c r="D12760" s="27" t="s">
        <v>17558</v>
      </c>
      <c r="E12760" s="29">
        <v>42579</v>
      </c>
      <c r="F12760" s="27">
        <v>5</v>
      </c>
      <c r="G12760" s="18">
        <v>278.58</v>
      </c>
      <c r="H12760" s="27">
        <f t="shared" si="398"/>
        <v>0</v>
      </c>
      <c r="I12760" s="18">
        <v>127.91</v>
      </c>
      <c r="J12760" s="27">
        <v>278.58</v>
      </c>
      <c r="K12760" s="18">
        <f t="shared" si="399"/>
        <v>0</v>
      </c>
      <c r="L12760" s="27">
        <v>180.84</v>
      </c>
      <c r="M12760" s="36">
        <v>52.93</v>
      </c>
      <c r="T12760" s="41">
        <v>0</v>
      </c>
      <c r="U12760" s="41">
        <v>0</v>
      </c>
      <c r="V12760" s="42" t="s">
        <v>113</v>
      </c>
      <c r="W12760" s="42">
        <v>0</v>
      </c>
      <c r="X12760" s="42">
        <v>278.58</v>
      </c>
    </row>
    <row r="12761" spans="1:24">
      <c r="A12761" s="27" t="s">
        <v>22848</v>
      </c>
      <c r="B12761" s="28" t="s">
        <v>19918</v>
      </c>
      <c r="C12761" s="27" t="s">
        <v>22849</v>
      </c>
      <c r="D12761" s="27" t="s">
        <v>17558</v>
      </c>
      <c r="E12761" s="29">
        <v>42579</v>
      </c>
      <c r="F12761" s="27">
        <v>5</v>
      </c>
      <c r="G12761" s="18">
        <v>278.58</v>
      </c>
      <c r="H12761" s="27">
        <f t="shared" si="398"/>
        <v>0</v>
      </c>
      <c r="I12761" s="18">
        <v>127.91</v>
      </c>
      <c r="J12761" s="27">
        <v>278.58</v>
      </c>
      <c r="K12761" s="18">
        <f t="shared" si="399"/>
        <v>0</v>
      </c>
      <c r="L12761" s="27">
        <v>180.84</v>
      </c>
      <c r="M12761" s="36">
        <v>52.93</v>
      </c>
      <c r="T12761" s="41">
        <v>0</v>
      </c>
      <c r="U12761" s="41">
        <v>0</v>
      </c>
      <c r="V12761" s="42" t="s">
        <v>113</v>
      </c>
      <c r="W12761" s="42">
        <v>0</v>
      </c>
      <c r="X12761" s="42">
        <v>278.58</v>
      </c>
    </row>
    <row r="12762" spans="1:24">
      <c r="A12762" s="27" t="s">
        <v>22850</v>
      </c>
      <c r="B12762" s="28" t="s">
        <v>19918</v>
      </c>
      <c r="C12762" s="27" t="s">
        <v>22851</v>
      </c>
      <c r="D12762" s="27" t="s">
        <v>17558</v>
      </c>
      <c r="E12762" s="29">
        <v>42579</v>
      </c>
      <c r="F12762" s="27">
        <v>5</v>
      </c>
      <c r="G12762" s="18">
        <v>278.58</v>
      </c>
      <c r="H12762" s="27">
        <f t="shared" si="398"/>
        <v>0</v>
      </c>
      <c r="I12762" s="18">
        <v>127.91</v>
      </c>
      <c r="J12762" s="27">
        <v>278.58</v>
      </c>
      <c r="K12762" s="18">
        <f t="shared" si="399"/>
        <v>0</v>
      </c>
      <c r="L12762" s="27">
        <v>180.84</v>
      </c>
      <c r="M12762" s="36">
        <v>52.93</v>
      </c>
      <c r="T12762" s="41">
        <v>0</v>
      </c>
      <c r="U12762" s="41">
        <v>0</v>
      </c>
      <c r="V12762" s="42" t="s">
        <v>113</v>
      </c>
      <c r="W12762" s="42">
        <v>0</v>
      </c>
      <c r="X12762" s="42">
        <v>278.58</v>
      </c>
    </row>
    <row r="12763" spans="1:24">
      <c r="A12763" s="27" t="s">
        <v>22852</v>
      </c>
      <c r="B12763" s="28" t="s">
        <v>19918</v>
      </c>
      <c r="C12763" s="27" t="s">
        <v>22853</v>
      </c>
      <c r="D12763" s="27" t="s">
        <v>17558</v>
      </c>
      <c r="E12763" s="29">
        <v>42579</v>
      </c>
      <c r="F12763" s="27">
        <v>5</v>
      </c>
      <c r="G12763" s="18">
        <v>278.58</v>
      </c>
      <c r="H12763" s="27">
        <f t="shared" si="398"/>
        <v>0</v>
      </c>
      <c r="I12763" s="18">
        <v>127.91</v>
      </c>
      <c r="J12763" s="27">
        <v>278.58</v>
      </c>
      <c r="K12763" s="18">
        <f t="shared" si="399"/>
        <v>0</v>
      </c>
      <c r="L12763" s="27">
        <v>180.84</v>
      </c>
      <c r="M12763" s="36">
        <v>52.93</v>
      </c>
      <c r="T12763" s="41">
        <v>0</v>
      </c>
      <c r="U12763" s="41">
        <v>0</v>
      </c>
      <c r="V12763" s="42" t="s">
        <v>113</v>
      </c>
      <c r="W12763" s="42">
        <v>0</v>
      </c>
      <c r="X12763" s="42">
        <v>278.58</v>
      </c>
    </row>
    <row r="12764" spans="1:24">
      <c r="A12764" s="27" t="s">
        <v>22854</v>
      </c>
      <c r="B12764" s="28" t="s">
        <v>19918</v>
      </c>
      <c r="C12764" s="27" t="s">
        <v>22855</v>
      </c>
      <c r="D12764" s="27" t="s">
        <v>17558</v>
      </c>
      <c r="E12764" s="29">
        <v>42579</v>
      </c>
      <c r="F12764" s="27">
        <v>5</v>
      </c>
      <c r="G12764" s="18">
        <v>278.58</v>
      </c>
      <c r="H12764" s="27">
        <f t="shared" si="398"/>
        <v>0</v>
      </c>
      <c r="I12764" s="18">
        <v>127.91</v>
      </c>
      <c r="J12764" s="27">
        <v>278.58</v>
      </c>
      <c r="K12764" s="18">
        <f t="shared" si="399"/>
        <v>0</v>
      </c>
      <c r="L12764" s="27">
        <v>180.84</v>
      </c>
      <c r="M12764" s="36">
        <v>52.93</v>
      </c>
      <c r="T12764" s="41">
        <v>0</v>
      </c>
      <c r="U12764" s="41">
        <v>0</v>
      </c>
      <c r="V12764" s="42" t="s">
        <v>113</v>
      </c>
      <c r="W12764" s="42">
        <v>0</v>
      </c>
      <c r="X12764" s="42">
        <v>278.58</v>
      </c>
    </row>
    <row r="12765" spans="1:24">
      <c r="A12765" s="27" t="s">
        <v>22856</v>
      </c>
      <c r="B12765" s="28" t="s">
        <v>19918</v>
      </c>
      <c r="C12765" s="27" t="s">
        <v>22857</v>
      </c>
      <c r="D12765" s="27" t="s">
        <v>17558</v>
      </c>
      <c r="E12765" s="29">
        <v>42579</v>
      </c>
      <c r="F12765" s="27">
        <v>5</v>
      </c>
      <c r="G12765" s="18">
        <v>278.58</v>
      </c>
      <c r="H12765" s="27">
        <f t="shared" si="398"/>
        <v>0</v>
      </c>
      <c r="I12765" s="18">
        <v>127.91</v>
      </c>
      <c r="J12765" s="27">
        <v>278.58</v>
      </c>
      <c r="K12765" s="18">
        <f t="shared" si="399"/>
        <v>0</v>
      </c>
      <c r="L12765" s="27">
        <v>180.84</v>
      </c>
      <c r="M12765" s="36">
        <v>52.93</v>
      </c>
      <c r="T12765" s="41">
        <v>0</v>
      </c>
      <c r="U12765" s="41">
        <v>0</v>
      </c>
      <c r="V12765" s="42" t="s">
        <v>113</v>
      </c>
      <c r="W12765" s="42">
        <v>0</v>
      </c>
      <c r="X12765" s="42">
        <v>278.58</v>
      </c>
    </row>
    <row r="12766" spans="1:24">
      <c r="A12766" s="27" t="s">
        <v>22858</v>
      </c>
      <c r="B12766" s="28" t="s">
        <v>19918</v>
      </c>
      <c r="C12766" s="27" t="s">
        <v>22859</v>
      </c>
      <c r="D12766" s="27" t="s">
        <v>17558</v>
      </c>
      <c r="E12766" s="29">
        <v>42579</v>
      </c>
      <c r="F12766" s="27">
        <v>5</v>
      </c>
      <c r="G12766" s="18">
        <v>278.58</v>
      </c>
      <c r="H12766" s="27">
        <f t="shared" si="398"/>
        <v>0</v>
      </c>
      <c r="I12766" s="18">
        <v>127.91</v>
      </c>
      <c r="J12766" s="27">
        <v>278.58</v>
      </c>
      <c r="K12766" s="18">
        <f t="shared" si="399"/>
        <v>0</v>
      </c>
      <c r="L12766" s="27">
        <v>180.84</v>
      </c>
      <c r="M12766" s="36">
        <v>52.93</v>
      </c>
      <c r="T12766" s="41">
        <v>0</v>
      </c>
      <c r="U12766" s="41">
        <v>0</v>
      </c>
      <c r="V12766" s="42" t="s">
        <v>113</v>
      </c>
      <c r="W12766" s="42">
        <v>0</v>
      </c>
      <c r="X12766" s="42">
        <v>278.58</v>
      </c>
    </row>
    <row r="12767" spans="1:24">
      <c r="A12767" s="27" t="s">
        <v>22860</v>
      </c>
      <c r="B12767" s="28" t="s">
        <v>19918</v>
      </c>
      <c r="C12767" s="27" t="s">
        <v>22861</v>
      </c>
      <c r="D12767" s="27" t="s">
        <v>17558</v>
      </c>
      <c r="E12767" s="29">
        <v>42579</v>
      </c>
      <c r="F12767" s="27">
        <v>5</v>
      </c>
      <c r="G12767" s="18">
        <v>278.58</v>
      </c>
      <c r="H12767" s="27">
        <f t="shared" si="398"/>
        <v>0</v>
      </c>
      <c r="I12767" s="18">
        <v>127.91</v>
      </c>
      <c r="J12767" s="27">
        <v>278.58</v>
      </c>
      <c r="K12767" s="18">
        <f t="shared" si="399"/>
        <v>0</v>
      </c>
      <c r="L12767" s="27">
        <v>180.84</v>
      </c>
      <c r="M12767" s="36">
        <v>52.93</v>
      </c>
      <c r="T12767" s="41">
        <v>0</v>
      </c>
      <c r="U12767" s="41">
        <v>0</v>
      </c>
      <c r="V12767" s="42" t="s">
        <v>113</v>
      </c>
      <c r="W12767" s="42">
        <v>0</v>
      </c>
      <c r="X12767" s="42">
        <v>278.58</v>
      </c>
    </row>
    <row r="12768" spans="1:24">
      <c r="A12768" s="27" t="s">
        <v>22862</v>
      </c>
      <c r="B12768" s="28" t="s">
        <v>19918</v>
      </c>
      <c r="C12768" s="27" t="s">
        <v>22863</v>
      </c>
      <c r="D12768" s="27" t="s">
        <v>17558</v>
      </c>
      <c r="E12768" s="29">
        <v>42579</v>
      </c>
      <c r="F12768" s="27">
        <v>5</v>
      </c>
      <c r="G12768" s="18">
        <v>278.58</v>
      </c>
      <c r="H12768" s="27">
        <f t="shared" si="398"/>
        <v>0</v>
      </c>
      <c r="I12768" s="18">
        <v>127.91</v>
      </c>
      <c r="J12768" s="27">
        <v>278.58</v>
      </c>
      <c r="K12768" s="18">
        <f t="shared" si="399"/>
        <v>0</v>
      </c>
      <c r="L12768" s="27">
        <v>180.84</v>
      </c>
      <c r="M12768" s="36">
        <v>52.93</v>
      </c>
      <c r="T12768" s="41">
        <v>0</v>
      </c>
      <c r="U12768" s="41">
        <v>0</v>
      </c>
      <c r="V12768" s="42" t="s">
        <v>113</v>
      </c>
      <c r="W12768" s="42">
        <v>0</v>
      </c>
      <c r="X12768" s="42">
        <v>278.58</v>
      </c>
    </row>
    <row r="12769" spans="1:24">
      <c r="A12769" s="27" t="s">
        <v>22864</v>
      </c>
      <c r="B12769" s="28" t="s">
        <v>19918</v>
      </c>
      <c r="C12769" s="27" t="s">
        <v>22865</v>
      </c>
      <c r="D12769" s="27" t="s">
        <v>17558</v>
      </c>
      <c r="E12769" s="29">
        <v>42579</v>
      </c>
      <c r="F12769" s="27">
        <v>5</v>
      </c>
      <c r="G12769" s="18">
        <v>278.58</v>
      </c>
      <c r="H12769" s="27">
        <f t="shared" si="398"/>
        <v>0</v>
      </c>
      <c r="I12769" s="18">
        <v>127.91</v>
      </c>
      <c r="J12769" s="27">
        <v>278.58</v>
      </c>
      <c r="K12769" s="18">
        <f t="shared" si="399"/>
        <v>0</v>
      </c>
      <c r="L12769" s="27">
        <v>180.84</v>
      </c>
      <c r="M12769" s="36">
        <v>52.93</v>
      </c>
      <c r="T12769" s="41">
        <v>0</v>
      </c>
      <c r="U12769" s="41">
        <v>0</v>
      </c>
      <c r="V12769" s="42" t="s">
        <v>113</v>
      </c>
      <c r="W12769" s="42">
        <v>0</v>
      </c>
      <c r="X12769" s="42">
        <v>278.58</v>
      </c>
    </row>
    <row r="12770" spans="1:24">
      <c r="A12770" s="27" t="s">
        <v>22866</v>
      </c>
      <c r="B12770" s="28" t="s">
        <v>19918</v>
      </c>
      <c r="C12770" s="27" t="s">
        <v>22867</v>
      </c>
      <c r="D12770" s="27" t="s">
        <v>17558</v>
      </c>
      <c r="E12770" s="29">
        <v>42579</v>
      </c>
      <c r="F12770" s="27">
        <v>5</v>
      </c>
      <c r="G12770" s="18">
        <v>278.58</v>
      </c>
      <c r="H12770" s="27">
        <f t="shared" si="398"/>
        <v>0</v>
      </c>
      <c r="I12770" s="18">
        <v>127.91</v>
      </c>
      <c r="J12770" s="27">
        <v>278.58</v>
      </c>
      <c r="K12770" s="18">
        <f t="shared" si="399"/>
        <v>0</v>
      </c>
      <c r="L12770" s="27">
        <v>180.84</v>
      </c>
      <c r="M12770" s="36">
        <v>52.93</v>
      </c>
      <c r="T12770" s="41">
        <v>0</v>
      </c>
      <c r="U12770" s="41">
        <v>0</v>
      </c>
      <c r="V12770" s="42" t="s">
        <v>113</v>
      </c>
      <c r="W12770" s="42">
        <v>0</v>
      </c>
      <c r="X12770" s="42">
        <v>278.58</v>
      </c>
    </row>
    <row r="12771" spans="1:24">
      <c r="A12771" s="27" t="s">
        <v>22868</v>
      </c>
      <c r="B12771" s="28" t="s">
        <v>19918</v>
      </c>
      <c r="C12771" s="27" t="s">
        <v>22869</v>
      </c>
      <c r="D12771" s="27" t="s">
        <v>17558</v>
      </c>
      <c r="E12771" s="29">
        <v>42579</v>
      </c>
      <c r="F12771" s="27">
        <v>5</v>
      </c>
      <c r="G12771" s="18">
        <v>278.58</v>
      </c>
      <c r="H12771" s="27">
        <f t="shared" si="398"/>
        <v>0</v>
      </c>
      <c r="I12771" s="18">
        <v>127.91</v>
      </c>
      <c r="J12771" s="27">
        <v>278.58</v>
      </c>
      <c r="K12771" s="18">
        <f t="shared" si="399"/>
        <v>0</v>
      </c>
      <c r="L12771" s="27">
        <v>180.84</v>
      </c>
      <c r="M12771" s="36">
        <v>52.93</v>
      </c>
      <c r="T12771" s="41">
        <v>0</v>
      </c>
      <c r="U12771" s="41">
        <v>0</v>
      </c>
      <c r="V12771" s="42" t="s">
        <v>113</v>
      </c>
      <c r="W12771" s="42">
        <v>0</v>
      </c>
      <c r="X12771" s="42">
        <v>278.58</v>
      </c>
    </row>
    <row r="12772" spans="1:24">
      <c r="A12772" s="27" t="s">
        <v>22870</v>
      </c>
      <c r="B12772" s="28" t="s">
        <v>19918</v>
      </c>
      <c r="C12772" s="27" t="s">
        <v>22871</v>
      </c>
      <c r="D12772" s="27" t="s">
        <v>17558</v>
      </c>
      <c r="E12772" s="29">
        <v>42579</v>
      </c>
      <c r="F12772" s="27">
        <v>5</v>
      </c>
      <c r="G12772" s="18">
        <v>278.58</v>
      </c>
      <c r="H12772" s="27">
        <f t="shared" si="398"/>
        <v>0</v>
      </c>
      <c r="I12772" s="18">
        <v>127.91</v>
      </c>
      <c r="J12772" s="27">
        <v>278.58</v>
      </c>
      <c r="K12772" s="18">
        <f t="shared" si="399"/>
        <v>0</v>
      </c>
      <c r="L12772" s="27">
        <v>180.84</v>
      </c>
      <c r="M12772" s="36">
        <v>52.93</v>
      </c>
      <c r="T12772" s="41">
        <v>0</v>
      </c>
      <c r="U12772" s="41">
        <v>0</v>
      </c>
      <c r="V12772" s="42" t="s">
        <v>113</v>
      </c>
      <c r="W12772" s="42">
        <v>0</v>
      </c>
      <c r="X12772" s="42">
        <v>278.58</v>
      </c>
    </row>
    <row r="12773" spans="1:24">
      <c r="A12773" s="27" t="s">
        <v>22872</v>
      </c>
      <c r="B12773" s="28" t="s">
        <v>19918</v>
      </c>
      <c r="C12773" s="27" t="s">
        <v>22873</v>
      </c>
      <c r="D12773" s="27" t="s">
        <v>17558</v>
      </c>
      <c r="E12773" s="29">
        <v>42579</v>
      </c>
      <c r="F12773" s="27">
        <v>5</v>
      </c>
      <c r="G12773" s="18">
        <v>278.58</v>
      </c>
      <c r="H12773" s="27">
        <f t="shared" si="398"/>
        <v>0</v>
      </c>
      <c r="I12773" s="18">
        <v>127.91</v>
      </c>
      <c r="J12773" s="27">
        <v>278.58</v>
      </c>
      <c r="K12773" s="18">
        <f t="shared" si="399"/>
        <v>0</v>
      </c>
      <c r="L12773" s="27">
        <v>180.84</v>
      </c>
      <c r="M12773" s="36">
        <v>52.93</v>
      </c>
      <c r="T12773" s="41">
        <v>0</v>
      </c>
      <c r="U12773" s="41">
        <v>0</v>
      </c>
      <c r="V12773" s="42" t="s">
        <v>113</v>
      </c>
      <c r="W12773" s="42">
        <v>0</v>
      </c>
      <c r="X12773" s="42">
        <v>278.58</v>
      </c>
    </row>
    <row r="12774" spans="1:24">
      <c r="A12774" s="27" t="s">
        <v>22874</v>
      </c>
      <c r="B12774" s="28" t="s">
        <v>19918</v>
      </c>
      <c r="C12774" s="27" t="s">
        <v>22875</v>
      </c>
      <c r="D12774" s="27" t="s">
        <v>17558</v>
      </c>
      <c r="E12774" s="29">
        <v>42579</v>
      </c>
      <c r="F12774" s="27">
        <v>5</v>
      </c>
      <c r="G12774" s="18">
        <v>278.58</v>
      </c>
      <c r="H12774" s="27">
        <f t="shared" si="398"/>
        <v>0</v>
      </c>
      <c r="I12774" s="18">
        <v>127.91</v>
      </c>
      <c r="J12774" s="27">
        <v>278.58</v>
      </c>
      <c r="K12774" s="18">
        <f t="shared" si="399"/>
        <v>0</v>
      </c>
      <c r="L12774" s="27">
        <v>180.84</v>
      </c>
      <c r="M12774" s="36">
        <v>52.93</v>
      </c>
      <c r="T12774" s="41">
        <v>0</v>
      </c>
      <c r="U12774" s="41">
        <v>0</v>
      </c>
      <c r="V12774" s="42" t="s">
        <v>113</v>
      </c>
      <c r="W12774" s="42">
        <v>0</v>
      </c>
      <c r="X12774" s="42">
        <v>278.58</v>
      </c>
    </row>
    <row r="12775" spans="1:24">
      <c r="A12775" s="27" t="s">
        <v>22876</v>
      </c>
      <c r="B12775" s="28" t="s">
        <v>19918</v>
      </c>
      <c r="C12775" s="27" t="s">
        <v>22877</v>
      </c>
      <c r="D12775" s="27" t="s">
        <v>17558</v>
      </c>
      <c r="E12775" s="29">
        <v>42579</v>
      </c>
      <c r="F12775" s="27">
        <v>5</v>
      </c>
      <c r="G12775" s="18">
        <v>278.58</v>
      </c>
      <c r="H12775" s="27">
        <f t="shared" si="398"/>
        <v>0</v>
      </c>
      <c r="I12775" s="18">
        <v>127.91</v>
      </c>
      <c r="J12775" s="27">
        <v>278.58</v>
      </c>
      <c r="K12775" s="18">
        <f t="shared" si="399"/>
        <v>0</v>
      </c>
      <c r="L12775" s="27">
        <v>180.84</v>
      </c>
      <c r="M12775" s="36">
        <v>52.93</v>
      </c>
      <c r="T12775" s="41">
        <v>0</v>
      </c>
      <c r="U12775" s="41">
        <v>0</v>
      </c>
      <c r="V12775" s="42" t="s">
        <v>113</v>
      </c>
      <c r="W12775" s="42">
        <v>0</v>
      </c>
      <c r="X12775" s="42">
        <v>278.58</v>
      </c>
    </row>
    <row r="12776" spans="1:24">
      <c r="A12776" s="27" t="s">
        <v>22878</v>
      </c>
      <c r="B12776" s="28" t="s">
        <v>19918</v>
      </c>
      <c r="C12776" s="27" t="s">
        <v>22879</v>
      </c>
      <c r="D12776" s="27" t="s">
        <v>17558</v>
      </c>
      <c r="E12776" s="29">
        <v>42579</v>
      </c>
      <c r="F12776" s="27">
        <v>5</v>
      </c>
      <c r="G12776" s="18">
        <v>278.58</v>
      </c>
      <c r="H12776" s="27">
        <f t="shared" si="398"/>
        <v>0</v>
      </c>
      <c r="I12776" s="18">
        <v>127.91</v>
      </c>
      <c r="J12776" s="27">
        <v>278.58</v>
      </c>
      <c r="K12776" s="18">
        <f t="shared" si="399"/>
        <v>0</v>
      </c>
      <c r="L12776" s="27">
        <v>180.84</v>
      </c>
      <c r="M12776" s="36">
        <v>52.93</v>
      </c>
      <c r="T12776" s="41">
        <v>0</v>
      </c>
      <c r="U12776" s="41">
        <v>0</v>
      </c>
      <c r="V12776" s="42" t="s">
        <v>113</v>
      </c>
      <c r="W12776" s="42">
        <v>0</v>
      </c>
      <c r="X12776" s="42">
        <v>278.58</v>
      </c>
    </row>
    <row r="12777" spans="1:24">
      <c r="A12777" s="27" t="s">
        <v>22880</v>
      </c>
      <c r="B12777" s="28" t="s">
        <v>19918</v>
      </c>
      <c r="C12777" s="27" t="s">
        <v>22881</v>
      </c>
      <c r="D12777" s="27" t="s">
        <v>17558</v>
      </c>
      <c r="E12777" s="29">
        <v>42579</v>
      </c>
      <c r="F12777" s="27">
        <v>5</v>
      </c>
      <c r="G12777" s="18">
        <v>278.58</v>
      </c>
      <c r="H12777" s="27">
        <f t="shared" si="398"/>
        <v>0</v>
      </c>
      <c r="I12777" s="18">
        <v>127.91</v>
      </c>
      <c r="J12777" s="27">
        <v>278.58</v>
      </c>
      <c r="K12777" s="18">
        <f t="shared" si="399"/>
        <v>0</v>
      </c>
      <c r="L12777" s="27">
        <v>180.84</v>
      </c>
      <c r="M12777" s="36">
        <v>52.93</v>
      </c>
      <c r="T12777" s="41">
        <v>0</v>
      </c>
      <c r="U12777" s="41">
        <v>0</v>
      </c>
      <c r="V12777" s="42" t="s">
        <v>113</v>
      </c>
      <c r="W12777" s="42">
        <v>0</v>
      </c>
      <c r="X12777" s="42">
        <v>278.58</v>
      </c>
    </row>
    <row r="12778" spans="1:24">
      <c r="A12778" s="27" t="s">
        <v>22882</v>
      </c>
      <c r="B12778" s="28" t="s">
        <v>19918</v>
      </c>
      <c r="C12778" s="27" t="s">
        <v>22883</v>
      </c>
      <c r="D12778" s="27" t="s">
        <v>17558</v>
      </c>
      <c r="E12778" s="29">
        <v>42579</v>
      </c>
      <c r="F12778" s="27">
        <v>5</v>
      </c>
      <c r="G12778" s="18">
        <v>278.58</v>
      </c>
      <c r="H12778" s="27">
        <f t="shared" si="398"/>
        <v>0</v>
      </c>
      <c r="I12778" s="18">
        <v>127.91</v>
      </c>
      <c r="J12778" s="27">
        <v>278.58</v>
      </c>
      <c r="K12778" s="18">
        <f t="shared" si="399"/>
        <v>0</v>
      </c>
      <c r="L12778" s="27">
        <v>180.84</v>
      </c>
      <c r="M12778" s="36">
        <v>52.93</v>
      </c>
      <c r="T12778" s="41">
        <v>0</v>
      </c>
      <c r="U12778" s="41">
        <v>0</v>
      </c>
      <c r="V12778" s="42" t="s">
        <v>113</v>
      </c>
      <c r="W12778" s="42">
        <v>0</v>
      </c>
      <c r="X12778" s="42">
        <v>278.58</v>
      </c>
    </row>
    <row r="12779" spans="1:24">
      <c r="A12779" s="27" t="s">
        <v>22884</v>
      </c>
      <c r="B12779" s="28" t="s">
        <v>19918</v>
      </c>
      <c r="C12779" s="27" t="s">
        <v>22885</v>
      </c>
      <c r="D12779" s="27" t="s">
        <v>17558</v>
      </c>
      <c r="E12779" s="29">
        <v>42579</v>
      </c>
      <c r="F12779" s="27">
        <v>5</v>
      </c>
      <c r="G12779" s="18">
        <v>278.58</v>
      </c>
      <c r="H12779" s="27">
        <f t="shared" si="398"/>
        <v>0</v>
      </c>
      <c r="I12779" s="18">
        <v>127.91</v>
      </c>
      <c r="J12779" s="27">
        <v>278.58</v>
      </c>
      <c r="K12779" s="18">
        <f t="shared" si="399"/>
        <v>0</v>
      </c>
      <c r="L12779" s="27">
        <v>180.84</v>
      </c>
      <c r="M12779" s="36">
        <v>52.93</v>
      </c>
      <c r="T12779" s="41">
        <v>0</v>
      </c>
      <c r="U12779" s="41">
        <v>0</v>
      </c>
      <c r="V12779" s="42" t="s">
        <v>113</v>
      </c>
      <c r="W12779" s="42">
        <v>0</v>
      </c>
      <c r="X12779" s="42">
        <v>278.58</v>
      </c>
    </row>
    <row r="12780" spans="1:24">
      <c r="A12780" s="27" t="s">
        <v>22886</v>
      </c>
      <c r="B12780" s="28" t="s">
        <v>19918</v>
      </c>
      <c r="C12780" s="27" t="s">
        <v>22887</v>
      </c>
      <c r="D12780" s="27" t="s">
        <v>17558</v>
      </c>
      <c r="E12780" s="29">
        <v>42579</v>
      </c>
      <c r="F12780" s="27">
        <v>5</v>
      </c>
      <c r="G12780" s="18">
        <v>278.58</v>
      </c>
      <c r="H12780" s="27">
        <f t="shared" si="398"/>
        <v>0</v>
      </c>
      <c r="I12780" s="18">
        <v>127.91</v>
      </c>
      <c r="J12780" s="27">
        <v>278.58</v>
      </c>
      <c r="K12780" s="18">
        <f t="shared" si="399"/>
        <v>0</v>
      </c>
      <c r="L12780" s="27">
        <v>180.84</v>
      </c>
      <c r="M12780" s="36">
        <v>52.93</v>
      </c>
      <c r="T12780" s="41">
        <v>0</v>
      </c>
      <c r="U12780" s="41">
        <v>0</v>
      </c>
      <c r="V12780" s="42" t="s">
        <v>113</v>
      </c>
      <c r="W12780" s="42">
        <v>0</v>
      </c>
      <c r="X12780" s="42">
        <v>278.58</v>
      </c>
    </row>
    <row r="12781" spans="1:24">
      <c r="A12781" s="27" t="s">
        <v>22888</v>
      </c>
      <c r="B12781" s="28" t="s">
        <v>19918</v>
      </c>
      <c r="C12781" s="27" t="s">
        <v>22889</v>
      </c>
      <c r="D12781" s="27" t="s">
        <v>17558</v>
      </c>
      <c r="E12781" s="29">
        <v>42579</v>
      </c>
      <c r="F12781" s="27">
        <v>5</v>
      </c>
      <c r="G12781" s="18">
        <v>278.58</v>
      </c>
      <c r="H12781" s="27">
        <f t="shared" si="398"/>
        <v>0</v>
      </c>
      <c r="I12781" s="18">
        <v>127.91</v>
      </c>
      <c r="J12781" s="27">
        <v>278.58</v>
      </c>
      <c r="K12781" s="18">
        <f t="shared" si="399"/>
        <v>0</v>
      </c>
      <c r="L12781" s="27">
        <v>180.84</v>
      </c>
      <c r="M12781" s="36">
        <v>52.93</v>
      </c>
      <c r="T12781" s="41">
        <v>0</v>
      </c>
      <c r="U12781" s="41">
        <v>0</v>
      </c>
      <c r="V12781" s="42" t="s">
        <v>113</v>
      </c>
      <c r="W12781" s="42">
        <v>0</v>
      </c>
      <c r="X12781" s="42">
        <v>278.58</v>
      </c>
    </row>
    <row r="12782" spans="1:24">
      <c r="A12782" s="27" t="s">
        <v>22890</v>
      </c>
      <c r="B12782" s="28" t="s">
        <v>19918</v>
      </c>
      <c r="C12782" s="27" t="s">
        <v>22891</v>
      </c>
      <c r="D12782" s="27" t="s">
        <v>17558</v>
      </c>
      <c r="E12782" s="29">
        <v>42579</v>
      </c>
      <c r="F12782" s="27">
        <v>5</v>
      </c>
      <c r="G12782" s="18">
        <v>278.58</v>
      </c>
      <c r="H12782" s="27">
        <f t="shared" si="398"/>
        <v>0</v>
      </c>
      <c r="I12782" s="18">
        <v>127.91</v>
      </c>
      <c r="J12782" s="27">
        <v>278.58</v>
      </c>
      <c r="K12782" s="18">
        <f t="shared" si="399"/>
        <v>0</v>
      </c>
      <c r="L12782" s="27">
        <v>180.84</v>
      </c>
      <c r="M12782" s="36">
        <v>52.93</v>
      </c>
      <c r="T12782" s="41">
        <v>0</v>
      </c>
      <c r="U12782" s="41">
        <v>0</v>
      </c>
      <c r="V12782" s="42" t="s">
        <v>113</v>
      </c>
      <c r="W12782" s="42">
        <v>0</v>
      </c>
      <c r="X12782" s="42">
        <v>278.58</v>
      </c>
    </row>
    <row r="12783" spans="1:24">
      <c r="A12783" s="27" t="s">
        <v>22892</v>
      </c>
      <c r="B12783" s="28" t="s">
        <v>19918</v>
      </c>
      <c r="C12783" s="27" t="s">
        <v>22893</v>
      </c>
      <c r="D12783" s="27" t="s">
        <v>17558</v>
      </c>
      <c r="E12783" s="29">
        <v>42579</v>
      </c>
      <c r="F12783" s="27">
        <v>5</v>
      </c>
      <c r="G12783" s="18">
        <v>278.58</v>
      </c>
      <c r="H12783" s="27">
        <f t="shared" si="398"/>
        <v>0</v>
      </c>
      <c r="I12783" s="18">
        <v>127.91</v>
      </c>
      <c r="J12783" s="27">
        <v>278.58</v>
      </c>
      <c r="K12783" s="18">
        <f t="shared" si="399"/>
        <v>0</v>
      </c>
      <c r="L12783" s="27">
        <v>180.84</v>
      </c>
      <c r="M12783" s="36">
        <v>52.93</v>
      </c>
      <c r="T12783" s="41">
        <v>0</v>
      </c>
      <c r="U12783" s="41">
        <v>0</v>
      </c>
      <c r="V12783" s="42" t="s">
        <v>113</v>
      </c>
      <c r="W12783" s="42">
        <v>0</v>
      </c>
      <c r="X12783" s="42">
        <v>278.58</v>
      </c>
    </row>
    <row r="12784" spans="1:24">
      <c r="A12784" s="27" t="s">
        <v>22894</v>
      </c>
      <c r="B12784" s="28" t="s">
        <v>19918</v>
      </c>
      <c r="C12784" s="27" t="s">
        <v>22895</v>
      </c>
      <c r="D12784" s="27" t="s">
        <v>17558</v>
      </c>
      <c r="E12784" s="29">
        <v>42579</v>
      </c>
      <c r="F12784" s="27">
        <v>5</v>
      </c>
      <c r="G12784" s="18">
        <v>278.58</v>
      </c>
      <c r="H12784" s="27">
        <f t="shared" si="398"/>
        <v>0</v>
      </c>
      <c r="I12784" s="18">
        <v>127.91</v>
      </c>
      <c r="J12784" s="27">
        <v>278.58</v>
      </c>
      <c r="K12784" s="18">
        <f t="shared" si="399"/>
        <v>0</v>
      </c>
      <c r="L12784" s="27">
        <v>180.84</v>
      </c>
      <c r="M12784" s="36">
        <v>52.93</v>
      </c>
      <c r="T12784" s="41">
        <v>0</v>
      </c>
      <c r="U12784" s="41">
        <v>0</v>
      </c>
      <c r="V12784" s="42" t="s">
        <v>113</v>
      </c>
      <c r="W12784" s="42">
        <v>0</v>
      </c>
      <c r="X12784" s="42">
        <v>278.58</v>
      </c>
    </row>
    <row r="12785" spans="1:24">
      <c r="A12785" s="27" t="s">
        <v>22896</v>
      </c>
      <c r="B12785" s="28" t="s">
        <v>19918</v>
      </c>
      <c r="C12785" s="27" t="s">
        <v>22897</v>
      </c>
      <c r="D12785" s="27" t="s">
        <v>17558</v>
      </c>
      <c r="E12785" s="29">
        <v>42579</v>
      </c>
      <c r="F12785" s="27">
        <v>5</v>
      </c>
      <c r="G12785" s="18">
        <v>278.58</v>
      </c>
      <c r="H12785" s="27">
        <f t="shared" si="398"/>
        <v>0</v>
      </c>
      <c r="I12785" s="18">
        <v>127.91</v>
      </c>
      <c r="J12785" s="27">
        <v>278.58</v>
      </c>
      <c r="K12785" s="18">
        <f t="shared" si="399"/>
        <v>0</v>
      </c>
      <c r="L12785" s="27">
        <v>180.84</v>
      </c>
      <c r="M12785" s="36">
        <v>52.93</v>
      </c>
      <c r="T12785" s="41">
        <v>0</v>
      </c>
      <c r="U12785" s="41">
        <v>0</v>
      </c>
      <c r="V12785" s="42" t="s">
        <v>113</v>
      </c>
      <c r="W12785" s="42">
        <v>0</v>
      </c>
      <c r="X12785" s="42">
        <v>278.58</v>
      </c>
    </row>
    <row r="12786" spans="1:24">
      <c r="A12786" s="27" t="s">
        <v>22898</v>
      </c>
      <c r="B12786" s="28" t="s">
        <v>19918</v>
      </c>
      <c r="C12786" s="27" t="s">
        <v>22899</v>
      </c>
      <c r="D12786" s="27" t="s">
        <v>17558</v>
      </c>
      <c r="E12786" s="29">
        <v>42579</v>
      </c>
      <c r="F12786" s="27">
        <v>5</v>
      </c>
      <c r="G12786" s="18">
        <v>278.58</v>
      </c>
      <c r="H12786" s="27">
        <f t="shared" si="398"/>
        <v>0</v>
      </c>
      <c r="I12786" s="18">
        <v>127.91</v>
      </c>
      <c r="J12786" s="27">
        <v>278.58</v>
      </c>
      <c r="K12786" s="18">
        <f t="shared" si="399"/>
        <v>0</v>
      </c>
      <c r="L12786" s="27">
        <v>180.84</v>
      </c>
      <c r="M12786" s="36">
        <v>52.93</v>
      </c>
      <c r="T12786" s="41">
        <v>0</v>
      </c>
      <c r="U12786" s="41">
        <v>0</v>
      </c>
      <c r="V12786" s="42" t="s">
        <v>113</v>
      </c>
      <c r="W12786" s="42">
        <v>0</v>
      </c>
      <c r="X12786" s="42">
        <v>278.58</v>
      </c>
    </row>
    <row r="12787" spans="1:24">
      <c r="A12787" s="27" t="s">
        <v>22900</v>
      </c>
      <c r="B12787" s="28" t="s">
        <v>19918</v>
      </c>
      <c r="C12787" s="27" t="s">
        <v>22901</v>
      </c>
      <c r="D12787" s="27" t="s">
        <v>17558</v>
      </c>
      <c r="E12787" s="29">
        <v>42579</v>
      </c>
      <c r="F12787" s="27">
        <v>5</v>
      </c>
      <c r="G12787" s="18">
        <v>278.58</v>
      </c>
      <c r="H12787" s="27">
        <f t="shared" si="398"/>
        <v>0</v>
      </c>
      <c r="I12787" s="18">
        <v>127.91</v>
      </c>
      <c r="J12787" s="27">
        <v>278.58</v>
      </c>
      <c r="K12787" s="18">
        <f t="shared" si="399"/>
        <v>0</v>
      </c>
      <c r="L12787" s="27">
        <v>180.84</v>
      </c>
      <c r="M12787" s="36">
        <v>52.93</v>
      </c>
      <c r="T12787" s="41">
        <v>0</v>
      </c>
      <c r="U12787" s="41">
        <v>0</v>
      </c>
      <c r="V12787" s="42" t="s">
        <v>113</v>
      </c>
      <c r="W12787" s="42">
        <v>0</v>
      </c>
      <c r="X12787" s="42">
        <v>278.58</v>
      </c>
    </row>
    <row r="12788" spans="1:24">
      <c r="A12788" s="27" t="s">
        <v>22902</v>
      </c>
      <c r="B12788" s="28" t="s">
        <v>19918</v>
      </c>
      <c r="C12788" s="27" t="s">
        <v>22903</v>
      </c>
      <c r="D12788" s="27" t="s">
        <v>17558</v>
      </c>
      <c r="E12788" s="29">
        <v>42579</v>
      </c>
      <c r="F12788" s="27">
        <v>5</v>
      </c>
      <c r="G12788" s="18">
        <v>278.58</v>
      </c>
      <c r="H12788" s="27">
        <f t="shared" si="398"/>
        <v>0</v>
      </c>
      <c r="I12788" s="18">
        <v>127.91</v>
      </c>
      <c r="J12788" s="27">
        <v>278.58</v>
      </c>
      <c r="K12788" s="18">
        <f t="shared" si="399"/>
        <v>0</v>
      </c>
      <c r="L12788" s="27">
        <v>180.84</v>
      </c>
      <c r="M12788" s="36">
        <v>52.93</v>
      </c>
      <c r="T12788" s="41">
        <v>0</v>
      </c>
      <c r="U12788" s="41">
        <v>0</v>
      </c>
      <c r="V12788" s="42" t="s">
        <v>113</v>
      </c>
      <c r="W12788" s="42">
        <v>0</v>
      </c>
      <c r="X12788" s="42">
        <v>278.58</v>
      </c>
    </row>
    <row r="12789" spans="1:24">
      <c r="A12789" s="27" t="s">
        <v>22904</v>
      </c>
      <c r="B12789" s="28" t="s">
        <v>19918</v>
      </c>
      <c r="C12789" s="27" t="s">
        <v>22905</v>
      </c>
      <c r="D12789" s="27" t="s">
        <v>17558</v>
      </c>
      <c r="E12789" s="29">
        <v>42579</v>
      </c>
      <c r="F12789" s="27">
        <v>5</v>
      </c>
      <c r="G12789" s="18">
        <v>278.58</v>
      </c>
      <c r="H12789" s="27">
        <f t="shared" si="398"/>
        <v>0</v>
      </c>
      <c r="I12789" s="18">
        <v>127.91</v>
      </c>
      <c r="J12789" s="27">
        <v>278.58</v>
      </c>
      <c r="K12789" s="18">
        <f t="shared" si="399"/>
        <v>0</v>
      </c>
      <c r="L12789" s="27">
        <v>180.84</v>
      </c>
      <c r="M12789" s="36">
        <v>52.93</v>
      </c>
      <c r="T12789" s="41">
        <v>0</v>
      </c>
      <c r="U12789" s="41">
        <v>0</v>
      </c>
      <c r="V12789" s="42" t="s">
        <v>113</v>
      </c>
      <c r="W12789" s="42">
        <v>0</v>
      </c>
      <c r="X12789" s="42">
        <v>278.58</v>
      </c>
    </row>
    <row r="12790" spans="1:24">
      <c r="A12790" s="27" t="s">
        <v>22906</v>
      </c>
      <c r="B12790" s="28" t="s">
        <v>19918</v>
      </c>
      <c r="C12790" s="27" t="s">
        <v>22907</v>
      </c>
      <c r="D12790" s="27" t="s">
        <v>17558</v>
      </c>
      <c r="E12790" s="29">
        <v>42579</v>
      </c>
      <c r="F12790" s="27">
        <v>5</v>
      </c>
      <c r="G12790" s="18">
        <v>278.58</v>
      </c>
      <c r="H12790" s="27">
        <f t="shared" si="398"/>
        <v>0</v>
      </c>
      <c r="I12790" s="18">
        <v>127.91</v>
      </c>
      <c r="J12790" s="27">
        <v>278.58</v>
      </c>
      <c r="K12790" s="18">
        <f t="shared" si="399"/>
        <v>0</v>
      </c>
      <c r="L12790" s="27">
        <v>180.84</v>
      </c>
      <c r="M12790" s="36">
        <v>52.93</v>
      </c>
      <c r="T12790" s="41">
        <v>0</v>
      </c>
      <c r="U12790" s="41">
        <v>0</v>
      </c>
      <c r="V12790" s="42" t="s">
        <v>113</v>
      </c>
      <c r="W12790" s="42">
        <v>0</v>
      </c>
      <c r="X12790" s="42">
        <v>278.58</v>
      </c>
    </row>
    <row r="12791" spans="1:24">
      <c r="A12791" s="27" t="s">
        <v>22908</v>
      </c>
      <c r="B12791" s="28" t="s">
        <v>19918</v>
      </c>
      <c r="C12791" s="27" t="s">
        <v>22909</v>
      </c>
      <c r="D12791" s="27" t="s">
        <v>17558</v>
      </c>
      <c r="E12791" s="29">
        <v>42579</v>
      </c>
      <c r="F12791" s="27">
        <v>5</v>
      </c>
      <c r="G12791" s="18">
        <v>278.58</v>
      </c>
      <c r="H12791" s="27">
        <f t="shared" si="398"/>
        <v>0</v>
      </c>
      <c r="I12791" s="18">
        <v>127.91</v>
      </c>
      <c r="J12791" s="27">
        <v>278.58</v>
      </c>
      <c r="K12791" s="18">
        <f t="shared" si="399"/>
        <v>0</v>
      </c>
      <c r="L12791" s="27">
        <v>180.84</v>
      </c>
      <c r="M12791" s="36">
        <v>52.93</v>
      </c>
      <c r="T12791" s="41">
        <v>0</v>
      </c>
      <c r="U12791" s="41">
        <v>0</v>
      </c>
      <c r="V12791" s="42" t="s">
        <v>113</v>
      </c>
      <c r="W12791" s="42">
        <v>0</v>
      </c>
      <c r="X12791" s="42">
        <v>278.58</v>
      </c>
    </row>
    <row r="12792" spans="1:24">
      <c r="A12792" s="27" t="s">
        <v>22910</v>
      </c>
      <c r="B12792" s="28" t="s">
        <v>19918</v>
      </c>
      <c r="C12792" s="27" t="s">
        <v>22911</v>
      </c>
      <c r="D12792" s="27" t="s">
        <v>17558</v>
      </c>
      <c r="E12792" s="29">
        <v>42579</v>
      </c>
      <c r="F12792" s="27">
        <v>5</v>
      </c>
      <c r="G12792" s="18">
        <v>278.58</v>
      </c>
      <c r="H12792" s="27">
        <f t="shared" si="398"/>
        <v>0</v>
      </c>
      <c r="I12792" s="18">
        <v>127.91</v>
      </c>
      <c r="J12792" s="27">
        <v>278.58</v>
      </c>
      <c r="K12792" s="18">
        <f t="shared" si="399"/>
        <v>0</v>
      </c>
      <c r="L12792" s="27">
        <v>180.84</v>
      </c>
      <c r="M12792" s="36">
        <v>52.93</v>
      </c>
      <c r="T12792" s="41">
        <v>0</v>
      </c>
      <c r="U12792" s="41">
        <v>0</v>
      </c>
      <c r="V12792" s="42" t="s">
        <v>113</v>
      </c>
      <c r="W12792" s="42">
        <v>0</v>
      </c>
      <c r="X12792" s="42">
        <v>278.58</v>
      </c>
    </row>
    <row r="12793" spans="1:24">
      <c r="A12793" s="27" t="s">
        <v>22912</v>
      </c>
      <c r="B12793" s="28" t="s">
        <v>19918</v>
      </c>
      <c r="C12793" s="27" t="s">
        <v>22913</v>
      </c>
      <c r="D12793" s="27" t="s">
        <v>17558</v>
      </c>
      <c r="E12793" s="29">
        <v>42579</v>
      </c>
      <c r="F12793" s="27">
        <v>5</v>
      </c>
      <c r="G12793" s="18">
        <v>278.58</v>
      </c>
      <c r="H12793" s="27">
        <f t="shared" si="398"/>
        <v>0</v>
      </c>
      <c r="I12793" s="18">
        <v>127.91</v>
      </c>
      <c r="J12793" s="27">
        <v>278.58</v>
      </c>
      <c r="K12793" s="18">
        <f t="shared" si="399"/>
        <v>0</v>
      </c>
      <c r="L12793" s="27">
        <v>180.84</v>
      </c>
      <c r="M12793" s="36">
        <v>52.93</v>
      </c>
      <c r="T12793" s="41">
        <v>0</v>
      </c>
      <c r="U12793" s="41">
        <v>0</v>
      </c>
      <c r="V12793" s="42" t="s">
        <v>113</v>
      </c>
      <c r="W12793" s="42">
        <v>0</v>
      </c>
      <c r="X12793" s="42">
        <v>278.58</v>
      </c>
    </row>
    <row r="12794" spans="1:24">
      <c r="A12794" s="27" t="s">
        <v>22914</v>
      </c>
      <c r="B12794" s="28" t="s">
        <v>19918</v>
      </c>
      <c r="C12794" s="27" t="s">
        <v>22915</v>
      </c>
      <c r="D12794" s="27" t="s">
        <v>17558</v>
      </c>
      <c r="E12794" s="29">
        <v>42579</v>
      </c>
      <c r="F12794" s="27">
        <v>5</v>
      </c>
      <c r="G12794" s="18">
        <v>278.58</v>
      </c>
      <c r="H12794" s="27">
        <f t="shared" si="398"/>
        <v>0</v>
      </c>
      <c r="I12794" s="18">
        <v>127.91</v>
      </c>
      <c r="J12794" s="27">
        <v>278.58</v>
      </c>
      <c r="K12794" s="18">
        <f t="shared" si="399"/>
        <v>0</v>
      </c>
      <c r="L12794" s="27">
        <v>180.84</v>
      </c>
      <c r="M12794" s="36">
        <v>52.93</v>
      </c>
      <c r="T12794" s="41">
        <v>0</v>
      </c>
      <c r="U12794" s="41">
        <v>0</v>
      </c>
      <c r="V12794" s="42" t="s">
        <v>113</v>
      </c>
      <c r="W12794" s="42">
        <v>0</v>
      </c>
      <c r="X12794" s="42">
        <v>278.58</v>
      </c>
    </row>
    <row r="12795" spans="1:24">
      <c r="A12795" s="27" t="s">
        <v>22916</v>
      </c>
      <c r="B12795" s="28" t="s">
        <v>19918</v>
      </c>
      <c r="C12795" s="27" t="s">
        <v>22917</v>
      </c>
      <c r="D12795" s="27" t="s">
        <v>17558</v>
      </c>
      <c r="E12795" s="29">
        <v>42579</v>
      </c>
      <c r="F12795" s="27">
        <v>5</v>
      </c>
      <c r="G12795" s="18">
        <v>278.58</v>
      </c>
      <c r="H12795" s="27">
        <f t="shared" si="398"/>
        <v>0</v>
      </c>
      <c r="I12795" s="18">
        <v>127.91</v>
      </c>
      <c r="J12795" s="27">
        <v>278.58</v>
      </c>
      <c r="K12795" s="18">
        <f t="shared" si="399"/>
        <v>0</v>
      </c>
      <c r="L12795" s="27">
        <v>180.84</v>
      </c>
      <c r="M12795" s="36">
        <v>52.93</v>
      </c>
      <c r="T12795" s="41">
        <v>0</v>
      </c>
      <c r="U12795" s="41">
        <v>0</v>
      </c>
      <c r="V12795" s="42" t="s">
        <v>113</v>
      </c>
      <c r="W12795" s="42">
        <v>0</v>
      </c>
      <c r="X12795" s="42">
        <v>278.58</v>
      </c>
    </row>
    <row r="12796" spans="1:24">
      <c r="A12796" s="27" t="s">
        <v>22918</v>
      </c>
      <c r="B12796" s="28" t="s">
        <v>19918</v>
      </c>
      <c r="C12796" s="27" t="s">
        <v>22919</v>
      </c>
      <c r="D12796" s="27" t="s">
        <v>17558</v>
      </c>
      <c r="E12796" s="29">
        <v>42579</v>
      </c>
      <c r="F12796" s="27">
        <v>5</v>
      </c>
      <c r="G12796" s="18">
        <v>278.58</v>
      </c>
      <c r="H12796" s="27">
        <f t="shared" si="398"/>
        <v>0</v>
      </c>
      <c r="I12796" s="18">
        <v>127.91</v>
      </c>
      <c r="J12796" s="27">
        <v>278.58</v>
      </c>
      <c r="K12796" s="18">
        <f t="shared" si="399"/>
        <v>0</v>
      </c>
      <c r="L12796" s="27">
        <v>180.84</v>
      </c>
      <c r="M12796" s="36">
        <v>52.93</v>
      </c>
      <c r="T12796" s="41">
        <v>0</v>
      </c>
      <c r="U12796" s="41">
        <v>0</v>
      </c>
      <c r="V12796" s="42" t="s">
        <v>113</v>
      </c>
      <c r="W12796" s="42">
        <v>0</v>
      </c>
      <c r="X12796" s="42">
        <v>278.58</v>
      </c>
    </row>
    <row r="12797" spans="1:24">
      <c r="A12797" s="27" t="s">
        <v>22920</v>
      </c>
      <c r="B12797" s="28" t="s">
        <v>19918</v>
      </c>
      <c r="C12797" s="27" t="s">
        <v>22921</v>
      </c>
      <c r="D12797" s="27" t="s">
        <v>17558</v>
      </c>
      <c r="E12797" s="29">
        <v>42579</v>
      </c>
      <c r="F12797" s="27">
        <v>5</v>
      </c>
      <c r="G12797" s="18">
        <v>278.58</v>
      </c>
      <c r="H12797" s="27">
        <f t="shared" si="398"/>
        <v>0</v>
      </c>
      <c r="I12797" s="18">
        <v>127.91</v>
      </c>
      <c r="J12797" s="27">
        <v>278.58</v>
      </c>
      <c r="K12797" s="18">
        <f t="shared" si="399"/>
        <v>0</v>
      </c>
      <c r="L12797" s="27">
        <v>180.84</v>
      </c>
      <c r="M12797" s="36">
        <v>52.93</v>
      </c>
      <c r="T12797" s="41">
        <v>0</v>
      </c>
      <c r="U12797" s="41">
        <v>0</v>
      </c>
      <c r="V12797" s="42" t="s">
        <v>113</v>
      </c>
      <c r="W12797" s="42">
        <v>0</v>
      </c>
      <c r="X12797" s="42">
        <v>278.58</v>
      </c>
    </row>
    <row r="12798" spans="1:24">
      <c r="A12798" s="27" t="s">
        <v>22922</v>
      </c>
      <c r="B12798" s="28" t="s">
        <v>19918</v>
      </c>
      <c r="C12798" s="27" t="s">
        <v>22923</v>
      </c>
      <c r="D12798" s="27" t="s">
        <v>17558</v>
      </c>
      <c r="E12798" s="29">
        <v>42579</v>
      </c>
      <c r="F12798" s="27">
        <v>5</v>
      </c>
      <c r="G12798" s="18">
        <v>278.58</v>
      </c>
      <c r="H12798" s="27">
        <f t="shared" si="398"/>
        <v>0</v>
      </c>
      <c r="I12798" s="18">
        <v>127.91</v>
      </c>
      <c r="J12798" s="27">
        <v>278.58</v>
      </c>
      <c r="K12798" s="18">
        <f t="shared" si="399"/>
        <v>0</v>
      </c>
      <c r="L12798" s="27">
        <v>180.84</v>
      </c>
      <c r="M12798" s="36">
        <v>52.93</v>
      </c>
      <c r="T12798" s="41">
        <v>0</v>
      </c>
      <c r="U12798" s="41">
        <v>0</v>
      </c>
      <c r="V12798" s="42" t="s">
        <v>113</v>
      </c>
      <c r="W12798" s="42">
        <v>0</v>
      </c>
      <c r="X12798" s="42">
        <v>278.58</v>
      </c>
    </row>
    <row r="12799" spans="1:24">
      <c r="A12799" s="27" t="s">
        <v>22924</v>
      </c>
      <c r="B12799" s="28" t="s">
        <v>19918</v>
      </c>
      <c r="C12799" s="27" t="s">
        <v>22925</v>
      </c>
      <c r="D12799" s="27" t="s">
        <v>17558</v>
      </c>
      <c r="E12799" s="29">
        <v>42579</v>
      </c>
      <c r="F12799" s="27">
        <v>5</v>
      </c>
      <c r="G12799" s="18">
        <v>278.58</v>
      </c>
      <c r="H12799" s="27">
        <f t="shared" si="398"/>
        <v>0</v>
      </c>
      <c r="I12799" s="18">
        <v>127.91</v>
      </c>
      <c r="J12799" s="27">
        <v>278.58</v>
      </c>
      <c r="K12799" s="18">
        <f t="shared" si="399"/>
        <v>0</v>
      </c>
      <c r="L12799" s="27">
        <v>180.84</v>
      </c>
      <c r="M12799" s="36">
        <v>52.93</v>
      </c>
      <c r="T12799" s="41">
        <v>0</v>
      </c>
      <c r="U12799" s="41">
        <v>0</v>
      </c>
      <c r="V12799" s="42" t="s">
        <v>113</v>
      </c>
      <c r="W12799" s="42">
        <v>0</v>
      </c>
      <c r="X12799" s="42">
        <v>278.58</v>
      </c>
    </row>
    <row r="12800" spans="1:24">
      <c r="A12800" s="27" t="s">
        <v>22926</v>
      </c>
      <c r="B12800" s="28" t="s">
        <v>19918</v>
      </c>
      <c r="C12800" s="27" t="s">
        <v>22927</v>
      </c>
      <c r="D12800" s="27" t="s">
        <v>17558</v>
      </c>
      <c r="E12800" s="29">
        <v>42579</v>
      </c>
      <c r="F12800" s="27">
        <v>5</v>
      </c>
      <c r="G12800" s="18">
        <v>278.58</v>
      </c>
      <c r="H12800" s="27">
        <f t="shared" si="398"/>
        <v>0</v>
      </c>
      <c r="I12800" s="18">
        <v>127.91</v>
      </c>
      <c r="J12800" s="27">
        <v>278.58</v>
      </c>
      <c r="K12800" s="18">
        <f t="shared" si="399"/>
        <v>0</v>
      </c>
      <c r="L12800" s="27">
        <v>180.84</v>
      </c>
      <c r="M12800" s="36">
        <v>52.93</v>
      </c>
      <c r="T12800" s="41">
        <v>0</v>
      </c>
      <c r="U12800" s="41">
        <v>0</v>
      </c>
      <c r="V12800" s="42" t="s">
        <v>113</v>
      </c>
      <c r="W12800" s="42">
        <v>0</v>
      </c>
      <c r="X12800" s="42">
        <v>278.58</v>
      </c>
    </row>
    <row r="12801" spans="1:24">
      <c r="A12801" s="27" t="s">
        <v>22928</v>
      </c>
      <c r="B12801" s="28" t="s">
        <v>19918</v>
      </c>
      <c r="C12801" s="27" t="s">
        <v>22929</v>
      </c>
      <c r="D12801" s="27" t="s">
        <v>17558</v>
      </c>
      <c r="E12801" s="29">
        <v>42579</v>
      </c>
      <c r="F12801" s="27">
        <v>5</v>
      </c>
      <c r="G12801" s="18">
        <v>278.58</v>
      </c>
      <c r="H12801" s="27">
        <f t="shared" si="398"/>
        <v>0</v>
      </c>
      <c r="I12801" s="18">
        <v>127.91</v>
      </c>
      <c r="J12801" s="27">
        <v>278.58</v>
      </c>
      <c r="K12801" s="18">
        <f t="shared" si="399"/>
        <v>0</v>
      </c>
      <c r="L12801" s="27">
        <v>180.84</v>
      </c>
      <c r="M12801" s="36">
        <v>52.93</v>
      </c>
      <c r="T12801" s="41">
        <v>0</v>
      </c>
      <c r="U12801" s="41">
        <v>0</v>
      </c>
      <c r="V12801" s="42" t="s">
        <v>113</v>
      </c>
      <c r="W12801" s="42">
        <v>0</v>
      </c>
      <c r="X12801" s="42">
        <v>278.58</v>
      </c>
    </row>
    <row r="12802" spans="1:24">
      <c r="A12802" s="27" t="s">
        <v>22930</v>
      </c>
      <c r="B12802" s="28" t="s">
        <v>19918</v>
      </c>
      <c r="C12802" s="27" t="s">
        <v>22931</v>
      </c>
      <c r="D12802" s="27" t="s">
        <v>17558</v>
      </c>
      <c r="E12802" s="29">
        <v>42579</v>
      </c>
      <c r="F12802" s="27">
        <v>5</v>
      </c>
      <c r="G12802" s="18">
        <v>278.58</v>
      </c>
      <c r="H12802" s="27">
        <f t="shared" si="398"/>
        <v>0</v>
      </c>
      <c r="I12802" s="18">
        <v>127.91</v>
      </c>
      <c r="J12802" s="27">
        <v>278.58</v>
      </c>
      <c r="K12802" s="18">
        <f t="shared" si="399"/>
        <v>0</v>
      </c>
      <c r="L12802" s="27">
        <v>180.84</v>
      </c>
      <c r="M12802" s="36">
        <v>52.93</v>
      </c>
      <c r="T12802" s="41">
        <v>0</v>
      </c>
      <c r="U12802" s="41">
        <v>0</v>
      </c>
      <c r="V12802" s="42" t="s">
        <v>113</v>
      </c>
      <c r="W12802" s="42">
        <v>0</v>
      </c>
      <c r="X12802" s="42">
        <v>278.58</v>
      </c>
    </row>
    <row r="12803" spans="1:24">
      <c r="A12803" s="27" t="s">
        <v>22932</v>
      </c>
      <c r="B12803" s="28" t="s">
        <v>19918</v>
      </c>
      <c r="C12803" s="27" t="s">
        <v>22933</v>
      </c>
      <c r="D12803" s="27" t="s">
        <v>17558</v>
      </c>
      <c r="E12803" s="29">
        <v>42579</v>
      </c>
      <c r="F12803" s="27">
        <v>5</v>
      </c>
      <c r="G12803" s="18">
        <v>278.58</v>
      </c>
      <c r="H12803" s="27">
        <f t="shared" si="398"/>
        <v>0</v>
      </c>
      <c r="I12803" s="18">
        <v>127.91</v>
      </c>
      <c r="J12803" s="27">
        <v>278.58</v>
      </c>
      <c r="K12803" s="18">
        <f t="shared" si="399"/>
        <v>0</v>
      </c>
      <c r="L12803" s="27">
        <v>180.84</v>
      </c>
      <c r="M12803" s="36">
        <v>52.93</v>
      </c>
      <c r="T12803" s="41">
        <v>0</v>
      </c>
      <c r="U12803" s="41">
        <v>0</v>
      </c>
      <c r="V12803" s="42" t="s">
        <v>113</v>
      </c>
      <c r="W12803" s="42">
        <v>0</v>
      </c>
      <c r="X12803" s="42">
        <v>278.58</v>
      </c>
    </row>
    <row r="12804" spans="1:24">
      <c r="A12804" s="27" t="s">
        <v>22934</v>
      </c>
      <c r="B12804" s="28" t="s">
        <v>19918</v>
      </c>
      <c r="C12804" s="27" t="s">
        <v>22935</v>
      </c>
      <c r="D12804" s="27" t="s">
        <v>17558</v>
      </c>
      <c r="E12804" s="29">
        <v>42579</v>
      </c>
      <c r="F12804" s="27">
        <v>5</v>
      </c>
      <c r="G12804" s="18">
        <v>278.58</v>
      </c>
      <c r="H12804" s="27">
        <f t="shared" si="398"/>
        <v>0</v>
      </c>
      <c r="I12804" s="18">
        <v>127.91</v>
      </c>
      <c r="J12804" s="27">
        <v>278.58</v>
      </c>
      <c r="K12804" s="18">
        <f t="shared" si="399"/>
        <v>0</v>
      </c>
      <c r="L12804" s="27">
        <v>180.84</v>
      </c>
      <c r="M12804" s="36">
        <v>52.93</v>
      </c>
      <c r="T12804" s="41">
        <v>0</v>
      </c>
      <c r="U12804" s="41">
        <v>0</v>
      </c>
      <c r="V12804" s="42" t="s">
        <v>113</v>
      </c>
      <c r="W12804" s="42">
        <v>0</v>
      </c>
      <c r="X12804" s="42">
        <v>278.58</v>
      </c>
    </row>
    <row r="12805" spans="1:24">
      <c r="A12805" s="27" t="s">
        <v>22936</v>
      </c>
      <c r="B12805" s="28" t="s">
        <v>19918</v>
      </c>
      <c r="C12805" s="27" t="s">
        <v>22937</v>
      </c>
      <c r="D12805" s="27" t="s">
        <v>17558</v>
      </c>
      <c r="E12805" s="29">
        <v>42579</v>
      </c>
      <c r="F12805" s="27">
        <v>5</v>
      </c>
      <c r="G12805" s="18">
        <v>278.58</v>
      </c>
      <c r="H12805" s="27">
        <f t="shared" si="398"/>
        <v>0</v>
      </c>
      <c r="I12805" s="18">
        <v>127.91</v>
      </c>
      <c r="J12805" s="27">
        <v>278.58</v>
      </c>
      <c r="K12805" s="18">
        <f t="shared" si="399"/>
        <v>0</v>
      </c>
      <c r="L12805" s="27">
        <v>180.84</v>
      </c>
      <c r="M12805" s="36">
        <v>52.93</v>
      </c>
      <c r="T12805" s="41">
        <v>0</v>
      </c>
      <c r="U12805" s="41">
        <v>0</v>
      </c>
      <c r="V12805" s="42" t="s">
        <v>113</v>
      </c>
      <c r="W12805" s="42">
        <v>0</v>
      </c>
      <c r="X12805" s="42">
        <v>278.58</v>
      </c>
    </row>
    <row r="12806" spans="1:24">
      <c r="A12806" s="27" t="s">
        <v>22938</v>
      </c>
      <c r="B12806" s="28" t="s">
        <v>19918</v>
      </c>
      <c r="C12806" s="27" t="s">
        <v>22939</v>
      </c>
      <c r="D12806" s="27" t="s">
        <v>17558</v>
      </c>
      <c r="E12806" s="29">
        <v>42579</v>
      </c>
      <c r="F12806" s="27">
        <v>5</v>
      </c>
      <c r="G12806" s="18">
        <v>278.58</v>
      </c>
      <c r="H12806" s="27">
        <f t="shared" ref="H12806:H12869" si="400">IFERROR(IF(ROUND((G12806-I12806)/G12806,2)&lt;=0.05,G12806,0),0)</f>
        <v>0</v>
      </c>
      <c r="I12806" s="18">
        <v>127.91</v>
      </c>
      <c r="J12806" s="27">
        <v>278.58</v>
      </c>
      <c r="K12806" s="18">
        <f t="shared" ref="K12806:K12869" si="401">IFERROR(IF(ROUND((J12806-L12806)/J12806,2)&lt;=0.05,J12806,0),0)</f>
        <v>0</v>
      </c>
      <c r="L12806" s="27">
        <v>180.84</v>
      </c>
      <c r="M12806" s="36">
        <v>52.93</v>
      </c>
      <c r="T12806" s="41">
        <v>0</v>
      </c>
      <c r="U12806" s="41">
        <v>0</v>
      </c>
      <c r="V12806" s="42" t="s">
        <v>113</v>
      </c>
      <c r="W12806" s="42">
        <v>0</v>
      </c>
      <c r="X12806" s="42">
        <v>278.58</v>
      </c>
    </row>
    <row r="12807" spans="1:24">
      <c r="A12807" s="27" t="s">
        <v>22940</v>
      </c>
      <c r="B12807" s="28" t="s">
        <v>19918</v>
      </c>
      <c r="C12807" s="27" t="s">
        <v>22941</v>
      </c>
      <c r="D12807" s="27" t="s">
        <v>17558</v>
      </c>
      <c r="E12807" s="29">
        <v>42579</v>
      </c>
      <c r="F12807" s="27">
        <v>5</v>
      </c>
      <c r="G12807" s="18">
        <v>278.58</v>
      </c>
      <c r="H12807" s="27">
        <f t="shared" si="400"/>
        <v>0</v>
      </c>
      <c r="I12807" s="18">
        <v>127.91</v>
      </c>
      <c r="J12807" s="27">
        <v>278.58</v>
      </c>
      <c r="K12807" s="18">
        <f t="shared" si="401"/>
        <v>0</v>
      </c>
      <c r="L12807" s="27">
        <v>180.84</v>
      </c>
      <c r="M12807" s="36">
        <v>52.93</v>
      </c>
      <c r="T12807" s="41">
        <v>0</v>
      </c>
      <c r="U12807" s="41">
        <v>0</v>
      </c>
      <c r="V12807" s="42" t="s">
        <v>113</v>
      </c>
      <c r="W12807" s="42">
        <v>0</v>
      </c>
      <c r="X12807" s="42">
        <v>278.58</v>
      </c>
    </row>
    <row r="12808" spans="1:24">
      <c r="A12808" s="27" t="s">
        <v>22942</v>
      </c>
      <c r="B12808" s="28" t="s">
        <v>19918</v>
      </c>
      <c r="C12808" s="27" t="s">
        <v>22943</v>
      </c>
      <c r="D12808" s="27" t="s">
        <v>17558</v>
      </c>
      <c r="E12808" s="29">
        <v>42579</v>
      </c>
      <c r="F12808" s="27">
        <v>5</v>
      </c>
      <c r="G12808" s="18">
        <v>278.58</v>
      </c>
      <c r="H12808" s="27">
        <f t="shared" si="400"/>
        <v>0</v>
      </c>
      <c r="I12808" s="18">
        <v>127.91</v>
      </c>
      <c r="J12808" s="27">
        <v>278.58</v>
      </c>
      <c r="K12808" s="18">
        <f t="shared" si="401"/>
        <v>0</v>
      </c>
      <c r="L12808" s="27">
        <v>180.84</v>
      </c>
      <c r="M12808" s="36">
        <v>52.93</v>
      </c>
      <c r="T12808" s="41">
        <v>0</v>
      </c>
      <c r="U12808" s="41">
        <v>0</v>
      </c>
      <c r="V12808" s="42" t="s">
        <v>113</v>
      </c>
      <c r="W12808" s="42">
        <v>0</v>
      </c>
      <c r="X12808" s="42">
        <v>278.58</v>
      </c>
    </row>
    <row r="12809" spans="1:24">
      <c r="A12809" s="27" t="s">
        <v>22944</v>
      </c>
      <c r="B12809" s="28" t="s">
        <v>19918</v>
      </c>
      <c r="C12809" s="27" t="s">
        <v>22945</v>
      </c>
      <c r="D12809" s="27" t="s">
        <v>17558</v>
      </c>
      <c r="E12809" s="29">
        <v>42579</v>
      </c>
      <c r="F12809" s="27">
        <v>5</v>
      </c>
      <c r="G12809" s="18">
        <v>278.58</v>
      </c>
      <c r="H12809" s="27">
        <f t="shared" si="400"/>
        <v>0</v>
      </c>
      <c r="I12809" s="18">
        <v>127.91</v>
      </c>
      <c r="J12809" s="27">
        <v>278.58</v>
      </c>
      <c r="K12809" s="18">
        <f t="shared" si="401"/>
        <v>0</v>
      </c>
      <c r="L12809" s="27">
        <v>180.84</v>
      </c>
      <c r="M12809" s="36">
        <v>52.93</v>
      </c>
      <c r="T12809" s="41">
        <v>0</v>
      </c>
      <c r="U12809" s="41">
        <v>0</v>
      </c>
      <c r="V12809" s="42" t="s">
        <v>113</v>
      </c>
      <c r="W12809" s="42">
        <v>0</v>
      </c>
      <c r="X12809" s="42">
        <v>278.58</v>
      </c>
    </row>
    <row r="12810" spans="1:24">
      <c r="A12810" s="27" t="s">
        <v>22946</v>
      </c>
      <c r="B12810" s="28" t="s">
        <v>19918</v>
      </c>
      <c r="C12810" s="27" t="s">
        <v>22947</v>
      </c>
      <c r="D12810" s="27" t="s">
        <v>17558</v>
      </c>
      <c r="E12810" s="29">
        <v>42579</v>
      </c>
      <c r="F12810" s="27">
        <v>5</v>
      </c>
      <c r="G12810" s="18">
        <v>278.58</v>
      </c>
      <c r="H12810" s="27">
        <f t="shared" si="400"/>
        <v>0</v>
      </c>
      <c r="I12810" s="18">
        <v>127.91</v>
      </c>
      <c r="J12810" s="27">
        <v>278.58</v>
      </c>
      <c r="K12810" s="18">
        <f t="shared" si="401"/>
        <v>0</v>
      </c>
      <c r="L12810" s="27">
        <v>180.84</v>
      </c>
      <c r="M12810" s="36">
        <v>52.93</v>
      </c>
      <c r="T12810" s="41">
        <v>0</v>
      </c>
      <c r="U12810" s="41">
        <v>0</v>
      </c>
      <c r="V12810" s="42" t="s">
        <v>113</v>
      </c>
      <c r="W12810" s="42">
        <v>0</v>
      </c>
      <c r="X12810" s="42">
        <v>278.58</v>
      </c>
    </row>
    <row r="12811" spans="1:24">
      <c r="A12811" s="27" t="s">
        <v>22948</v>
      </c>
      <c r="B12811" s="28" t="s">
        <v>19918</v>
      </c>
      <c r="C12811" s="27" t="s">
        <v>22949</v>
      </c>
      <c r="D12811" s="27" t="s">
        <v>17558</v>
      </c>
      <c r="E12811" s="29">
        <v>42579</v>
      </c>
      <c r="F12811" s="27">
        <v>5</v>
      </c>
      <c r="G12811" s="18">
        <v>278.58</v>
      </c>
      <c r="H12811" s="27">
        <f t="shared" si="400"/>
        <v>0</v>
      </c>
      <c r="I12811" s="18">
        <v>127.91</v>
      </c>
      <c r="J12811" s="27">
        <v>278.58</v>
      </c>
      <c r="K12811" s="18">
        <f t="shared" si="401"/>
        <v>0</v>
      </c>
      <c r="L12811" s="27">
        <v>180.84</v>
      </c>
      <c r="M12811" s="36">
        <v>52.93</v>
      </c>
      <c r="T12811" s="41">
        <v>0</v>
      </c>
      <c r="U12811" s="41">
        <v>0</v>
      </c>
      <c r="V12811" s="42" t="s">
        <v>113</v>
      </c>
      <c r="W12811" s="42">
        <v>0</v>
      </c>
      <c r="X12811" s="42">
        <v>278.58</v>
      </c>
    </row>
    <row r="12812" spans="1:24">
      <c r="A12812" s="27" t="s">
        <v>22950</v>
      </c>
      <c r="B12812" s="28" t="s">
        <v>19918</v>
      </c>
      <c r="C12812" s="27" t="s">
        <v>22951</v>
      </c>
      <c r="D12812" s="27" t="s">
        <v>17558</v>
      </c>
      <c r="E12812" s="29">
        <v>42579</v>
      </c>
      <c r="F12812" s="27">
        <v>5</v>
      </c>
      <c r="G12812" s="18">
        <v>278.58</v>
      </c>
      <c r="H12812" s="27">
        <f t="shared" si="400"/>
        <v>0</v>
      </c>
      <c r="I12812" s="18">
        <v>127.91</v>
      </c>
      <c r="J12812" s="27">
        <v>278.58</v>
      </c>
      <c r="K12812" s="18">
        <f t="shared" si="401"/>
        <v>0</v>
      </c>
      <c r="L12812" s="27">
        <v>180.84</v>
      </c>
      <c r="M12812" s="36">
        <v>52.93</v>
      </c>
      <c r="T12812" s="41">
        <v>0</v>
      </c>
      <c r="U12812" s="41">
        <v>0</v>
      </c>
      <c r="V12812" s="42" t="s">
        <v>113</v>
      </c>
      <c r="W12812" s="42">
        <v>0</v>
      </c>
      <c r="X12812" s="42">
        <v>278.58</v>
      </c>
    </row>
    <row r="12813" spans="1:24">
      <c r="A12813" s="27" t="s">
        <v>22952</v>
      </c>
      <c r="B12813" s="28" t="s">
        <v>19918</v>
      </c>
      <c r="C12813" s="27" t="s">
        <v>22953</v>
      </c>
      <c r="D12813" s="27" t="s">
        <v>17558</v>
      </c>
      <c r="E12813" s="29">
        <v>42579</v>
      </c>
      <c r="F12813" s="27">
        <v>5</v>
      </c>
      <c r="G12813" s="18">
        <v>278.58</v>
      </c>
      <c r="H12813" s="27">
        <f t="shared" si="400"/>
        <v>0</v>
      </c>
      <c r="I12813" s="18">
        <v>127.91</v>
      </c>
      <c r="J12813" s="27">
        <v>278.58</v>
      </c>
      <c r="K12813" s="18">
        <f t="shared" si="401"/>
        <v>0</v>
      </c>
      <c r="L12813" s="27">
        <v>180.84</v>
      </c>
      <c r="M12813" s="36">
        <v>52.93</v>
      </c>
      <c r="T12813" s="41">
        <v>0</v>
      </c>
      <c r="U12813" s="41">
        <v>0</v>
      </c>
      <c r="V12813" s="42" t="s">
        <v>113</v>
      </c>
      <c r="W12813" s="42">
        <v>0</v>
      </c>
      <c r="X12813" s="42">
        <v>278.58</v>
      </c>
    </row>
    <row r="12814" spans="1:24">
      <c r="A12814" s="27" t="s">
        <v>22954</v>
      </c>
      <c r="B12814" s="28" t="s">
        <v>19918</v>
      </c>
      <c r="C12814" s="27" t="s">
        <v>22955</v>
      </c>
      <c r="D12814" s="27" t="s">
        <v>17558</v>
      </c>
      <c r="E12814" s="29">
        <v>42579</v>
      </c>
      <c r="F12814" s="27">
        <v>5</v>
      </c>
      <c r="G12814" s="18">
        <v>278.58</v>
      </c>
      <c r="H12814" s="27">
        <f t="shared" si="400"/>
        <v>0</v>
      </c>
      <c r="I12814" s="18">
        <v>127.91</v>
      </c>
      <c r="J12814" s="27">
        <v>278.58</v>
      </c>
      <c r="K12814" s="18">
        <f t="shared" si="401"/>
        <v>0</v>
      </c>
      <c r="L12814" s="27">
        <v>180.84</v>
      </c>
      <c r="M12814" s="36">
        <v>52.93</v>
      </c>
      <c r="T12814" s="41">
        <v>0</v>
      </c>
      <c r="U12814" s="41">
        <v>0</v>
      </c>
      <c r="V12814" s="42" t="s">
        <v>113</v>
      </c>
      <c r="W12814" s="42">
        <v>0</v>
      </c>
      <c r="X12814" s="42">
        <v>278.58</v>
      </c>
    </row>
    <row r="12815" spans="1:24">
      <c r="A12815" s="27" t="s">
        <v>22956</v>
      </c>
      <c r="B12815" s="28" t="s">
        <v>19918</v>
      </c>
      <c r="C12815" s="27" t="s">
        <v>22957</v>
      </c>
      <c r="D12815" s="27" t="s">
        <v>17558</v>
      </c>
      <c r="E12815" s="29">
        <v>42579</v>
      </c>
      <c r="F12815" s="27">
        <v>5</v>
      </c>
      <c r="G12815" s="18">
        <v>278.58</v>
      </c>
      <c r="H12815" s="27">
        <f t="shared" si="400"/>
        <v>0</v>
      </c>
      <c r="I12815" s="18">
        <v>127.91</v>
      </c>
      <c r="J12815" s="27">
        <v>278.58</v>
      </c>
      <c r="K12815" s="18">
        <f t="shared" si="401"/>
        <v>0</v>
      </c>
      <c r="L12815" s="27">
        <v>180.84</v>
      </c>
      <c r="M12815" s="36">
        <v>52.93</v>
      </c>
      <c r="T12815" s="41">
        <v>0</v>
      </c>
      <c r="U12815" s="41">
        <v>0</v>
      </c>
      <c r="V12815" s="42" t="s">
        <v>113</v>
      </c>
      <c r="W12815" s="42">
        <v>0</v>
      </c>
      <c r="X12815" s="42">
        <v>278.58</v>
      </c>
    </row>
    <row r="12816" spans="1:24">
      <c r="A12816" s="27" t="s">
        <v>22958</v>
      </c>
      <c r="B12816" s="28" t="s">
        <v>19918</v>
      </c>
      <c r="C12816" s="27" t="s">
        <v>22959</v>
      </c>
      <c r="D12816" s="27" t="s">
        <v>17558</v>
      </c>
      <c r="E12816" s="29">
        <v>42579</v>
      </c>
      <c r="F12816" s="27">
        <v>5</v>
      </c>
      <c r="G12816" s="18">
        <v>278.58</v>
      </c>
      <c r="H12816" s="27">
        <f t="shared" si="400"/>
        <v>0</v>
      </c>
      <c r="I12816" s="18">
        <v>127.91</v>
      </c>
      <c r="J12816" s="27">
        <v>278.58</v>
      </c>
      <c r="K12816" s="18">
        <f t="shared" si="401"/>
        <v>0</v>
      </c>
      <c r="L12816" s="27">
        <v>180.84</v>
      </c>
      <c r="M12816" s="36">
        <v>52.93</v>
      </c>
      <c r="T12816" s="41">
        <v>0</v>
      </c>
      <c r="U12816" s="41">
        <v>0</v>
      </c>
      <c r="V12816" s="42" t="s">
        <v>113</v>
      </c>
      <c r="W12816" s="42">
        <v>0</v>
      </c>
      <c r="X12816" s="42">
        <v>278.58</v>
      </c>
    </row>
    <row r="12817" spans="1:24">
      <c r="A12817" s="27" t="s">
        <v>22960</v>
      </c>
      <c r="B12817" s="28" t="s">
        <v>19918</v>
      </c>
      <c r="C12817" s="27" t="s">
        <v>22961</v>
      </c>
      <c r="D12817" s="27" t="s">
        <v>17558</v>
      </c>
      <c r="E12817" s="29">
        <v>42579</v>
      </c>
      <c r="F12817" s="27">
        <v>5</v>
      </c>
      <c r="G12817" s="18">
        <v>278.58</v>
      </c>
      <c r="H12817" s="27">
        <f t="shared" si="400"/>
        <v>0</v>
      </c>
      <c r="I12817" s="18">
        <v>127.91</v>
      </c>
      <c r="J12817" s="27">
        <v>278.58</v>
      </c>
      <c r="K12817" s="18">
        <f t="shared" si="401"/>
        <v>0</v>
      </c>
      <c r="L12817" s="27">
        <v>180.84</v>
      </c>
      <c r="M12817" s="36">
        <v>52.93</v>
      </c>
      <c r="T12817" s="41">
        <v>0</v>
      </c>
      <c r="U12817" s="41">
        <v>0</v>
      </c>
      <c r="V12817" s="42" t="s">
        <v>113</v>
      </c>
      <c r="W12817" s="42">
        <v>0</v>
      </c>
      <c r="X12817" s="42">
        <v>278.58</v>
      </c>
    </row>
    <row r="12818" spans="1:24">
      <c r="A12818" s="27" t="s">
        <v>22962</v>
      </c>
      <c r="B12818" s="28" t="s">
        <v>19918</v>
      </c>
      <c r="C12818" s="27" t="s">
        <v>22963</v>
      </c>
      <c r="D12818" s="27" t="s">
        <v>17558</v>
      </c>
      <c r="E12818" s="29">
        <v>42579</v>
      </c>
      <c r="F12818" s="27">
        <v>5</v>
      </c>
      <c r="G12818" s="18">
        <v>278.58</v>
      </c>
      <c r="H12818" s="27">
        <f t="shared" si="400"/>
        <v>0</v>
      </c>
      <c r="I12818" s="18">
        <v>127.91</v>
      </c>
      <c r="J12818" s="27">
        <v>278.58</v>
      </c>
      <c r="K12818" s="18">
        <f t="shared" si="401"/>
        <v>0</v>
      </c>
      <c r="L12818" s="27">
        <v>180.84</v>
      </c>
      <c r="M12818" s="36">
        <v>52.93</v>
      </c>
      <c r="T12818" s="41">
        <v>0</v>
      </c>
      <c r="U12818" s="41">
        <v>0</v>
      </c>
      <c r="V12818" s="42" t="s">
        <v>113</v>
      </c>
      <c r="W12818" s="42">
        <v>0</v>
      </c>
      <c r="X12818" s="42">
        <v>278.58</v>
      </c>
    </row>
    <row r="12819" spans="1:24">
      <c r="A12819" s="27" t="s">
        <v>22964</v>
      </c>
      <c r="B12819" s="28" t="s">
        <v>19918</v>
      </c>
      <c r="C12819" s="27" t="s">
        <v>22965</v>
      </c>
      <c r="D12819" s="27" t="s">
        <v>17558</v>
      </c>
      <c r="E12819" s="29">
        <v>42579</v>
      </c>
      <c r="F12819" s="27">
        <v>5</v>
      </c>
      <c r="G12819" s="18">
        <v>278.58</v>
      </c>
      <c r="H12819" s="27">
        <f t="shared" si="400"/>
        <v>0</v>
      </c>
      <c r="I12819" s="18">
        <v>127.91</v>
      </c>
      <c r="J12819" s="27">
        <v>278.58</v>
      </c>
      <c r="K12819" s="18">
        <f t="shared" si="401"/>
        <v>0</v>
      </c>
      <c r="L12819" s="27">
        <v>180.84</v>
      </c>
      <c r="M12819" s="36">
        <v>52.93</v>
      </c>
      <c r="T12819" s="41">
        <v>0</v>
      </c>
      <c r="U12819" s="41">
        <v>0</v>
      </c>
      <c r="V12819" s="42" t="s">
        <v>113</v>
      </c>
      <c r="W12819" s="42">
        <v>0</v>
      </c>
      <c r="X12819" s="42">
        <v>278.58</v>
      </c>
    </row>
    <row r="12820" spans="1:24">
      <c r="A12820" s="27" t="s">
        <v>22966</v>
      </c>
      <c r="B12820" s="28" t="s">
        <v>19918</v>
      </c>
      <c r="C12820" s="27" t="s">
        <v>22967</v>
      </c>
      <c r="D12820" s="27" t="s">
        <v>17558</v>
      </c>
      <c r="E12820" s="29">
        <v>42579</v>
      </c>
      <c r="F12820" s="27">
        <v>5</v>
      </c>
      <c r="G12820" s="18">
        <v>278.58</v>
      </c>
      <c r="H12820" s="27">
        <f t="shared" si="400"/>
        <v>0</v>
      </c>
      <c r="I12820" s="18">
        <v>127.91</v>
      </c>
      <c r="J12820" s="27">
        <v>278.58</v>
      </c>
      <c r="K12820" s="18">
        <f t="shared" si="401"/>
        <v>0</v>
      </c>
      <c r="L12820" s="27">
        <v>180.84</v>
      </c>
      <c r="M12820" s="36">
        <v>52.93</v>
      </c>
      <c r="T12820" s="41">
        <v>0</v>
      </c>
      <c r="U12820" s="41">
        <v>0</v>
      </c>
      <c r="V12820" s="42" t="s">
        <v>113</v>
      </c>
      <c r="W12820" s="42">
        <v>0</v>
      </c>
      <c r="X12820" s="42">
        <v>278.58</v>
      </c>
    </row>
    <row r="12821" spans="1:24">
      <c r="A12821" s="27" t="s">
        <v>22968</v>
      </c>
      <c r="B12821" s="28" t="s">
        <v>19918</v>
      </c>
      <c r="C12821" s="27" t="s">
        <v>22969</v>
      </c>
      <c r="D12821" s="27" t="s">
        <v>17558</v>
      </c>
      <c r="E12821" s="29">
        <v>42579</v>
      </c>
      <c r="F12821" s="27">
        <v>5</v>
      </c>
      <c r="G12821" s="18">
        <v>278.58</v>
      </c>
      <c r="H12821" s="27">
        <f t="shared" si="400"/>
        <v>0</v>
      </c>
      <c r="I12821" s="18">
        <v>127.91</v>
      </c>
      <c r="J12821" s="27">
        <v>278.58</v>
      </c>
      <c r="K12821" s="18">
        <f t="shared" si="401"/>
        <v>0</v>
      </c>
      <c r="L12821" s="27">
        <v>180.84</v>
      </c>
      <c r="M12821" s="36">
        <v>52.93</v>
      </c>
      <c r="T12821" s="41">
        <v>0</v>
      </c>
      <c r="U12821" s="41">
        <v>0</v>
      </c>
      <c r="V12821" s="42" t="s">
        <v>113</v>
      </c>
      <c r="W12821" s="42">
        <v>0</v>
      </c>
      <c r="X12821" s="42">
        <v>278.58</v>
      </c>
    </row>
    <row r="12822" spans="1:24">
      <c r="A12822" s="27" t="s">
        <v>22970</v>
      </c>
      <c r="B12822" s="28" t="s">
        <v>19918</v>
      </c>
      <c r="C12822" s="27" t="s">
        <v>22971</v>
      </c>
      <c r="D12822" s="27" t="s">
        <v>17558</v>
      </c>
      <c r="E12822" s="29">
        <v>42579</v>
      </c>
      <c r="F12822" s="27">
        <v>5</v>
      </c>
      <c r="G12822" s="18">
        <v>278.58</v>
      </c>
      <c r="H12822" s="27">
        <f t="shared" si="400"/>
        <v>0</v>
      </c>
      <c r="I12822" s="18">
        <v>127.91</v>
      </c>
      <c r="J12822" s="27">
        <v>278.58</v>
      </c>
      <c r="K12822" s="18">
        <f t="shared" si="401"/>
        <v>0</v>
      </c>
      <c r="L12822" s="27">
        <v>180.84</v>
      </c>
      <c r="M12822" s="36">
        <v>52.93</v>
      </c>
      <c r="T12822" s="41">
        <v>0</v>
      </c>
      <c r="U12822" s="41">
        <v>0</v>
      </c>
      <c r="V12822" s="42" t="s">
        <v>113</v>
      </c>
      <c r="W12822" s="42">
        <v>0</v>
      </c>
      <c r="X12822" s="42">
        <v>278.58</v>
      </c>
    </row>
    <row r="12823" spans="1:24">
      <c r="A12823" s="27" t="s">
        <v>22972</v>
      </c>
      <c r="B12823" s="28" t="s">
        <v>19918</v>
      </c>
      <c r="C12823" s="27" t="s">
        <v>22973</v>
      </c>
      <c r="D12823" s="27" t="s">
        <v>17558</v>
      </c>
      <c r="E12823" s="29">
        <v>42579</v>
      </c>
      <c r="F12823" s="27">
        <v>5</v>
      </c>
      <c r="G12823" s="18">
        <v>278.58</v>
      </c>
      <c r="H12823" s="27">
        <f t="shared" si="400"/>
        <v>0</v>
      </c>
      <c r="I12823" s="18">
        <v>127.91</v>
      </c>
      <c r="J12823" s="27">
        <v>278.58</v>
      </c>
      <c r="K12823" s="18">
        <f t="shared" si="401"/>
        <v>0</v>
      </c>
      <c r="L12823" s="27">
        <v>180.84</v>
      </c>
      <c r="M12823" s="36">
        <v>52.93</v>
      </c>
      <c r="T12823" s="41">
        <v>0</v>
      </c>
      <c r="U12823" s="41">
        <v>0</v>
      </c>
      <c r="V12823" s="42" t="s">
        <v>113</v>
      </c>
      <c r="W12823" s="42">
        <v>0</v>
      </c>
      <c r="X12823" s="42">
        <v>278.58</v>
      </c>
    </row>
    <row r="12824" spans="1:24">
      <c r="A12824" s="27" t="s">
        <v>22974</v>
      </c>
      <c r="B12824" s="28" t="s">
        <v>19918</v>
      </c>
      <c r="C12824" s="27" t="s">
        <v>22975</v>
      </c>
      <c r="D12824" s="27" t="s">
        <v>17558</v>
      </c>
      <c r="E12824" s="29">
        <v>42579</v>
      </c>
      <c r="F12824" s="27">
        <v>5</v>
      </c>
      <c r="G12824" s="18">
        <v>278.58</v>
      </c>
      <c r="H12824" s="27">
        <f t="shared" si="400"/>
        <v>0</v>
      </c>
      <c r="I12824" s="18">
        <v>127.91</v>
      </c>
      <c r="J12824" s="27">
        <v>278.58</v>
      </c>
      <c r="K12824" s="18">
        <f t="shared" si="401"/>
        <v>0</v>
      </c>
      <c r="L12824" s="27">
        <v>180.84</v>
      </c>
      <c r="M12824" s="36">
        <v>52.93</v>
      </c>
      <c r="T12824" s="41">
        <v>0</v>
      </c>
      <c r="U12824" s="41">
        <v>0</v>
      </c>
      <c r="V12824" s="42" t="s">
        <v>113</v>
      </c>
      <c r="W12824" s="42">
        <v>0</v>
      </c>
      <c r="X12824" s="42">
        <v>278.58</v>
      </c>
    </row>
    <row r="12825" spans="1:24">
      <c r="A12825" s="27" t="s">
        <v>22976</v>
      </c>
      <c r="B12825" s="28" t="s">
        <v>19918</v>
      </c>
      <c r="C12825" s="27" t="s">
        <v>22977</v>
      </c>
      <c r="D12825" s="27" t="s">
        <v>17558</v>
      </c>
      <c r="E12825" s="29">
        <v>42579</v>
      </c>
      <c r="F12825" s="27">
        <v>5</v>
      </c>
      <c r="G12825" s="18">
        <v>278.58</v>
      </c>
      <c r="H12825" s="27">
        <f t="shared" si="400"/>
        <v>0</v>
      </c>
      <c r="I12825" s="18">
        <v>127.91</v>
      </c>
      <c r="J12825" s="27">
        <v>278.58</v>
      </c>
      <c r="K12825" s="18">
        <f t="shared" si="401"/>
        <v>0</v>
      </c>
      <c r="L12825" s="27">
        <v>180.84</v>
      </c>
      <c r="M12825" s="36">
        <v>52.93</v>
      </c>
      <c r="T12825" s="41">
        <v>0</v>
      </c>
      <c r="U12825" s="41">
        <v>0</v>
      </c>
      <c r="V12825" s="42" t="s">
        <v>113</v>
      </c>
      <c r="W12825" s="42">
        <v>0</v>
      </c>
      <c r="X12825" s="42">
        <v>278.58</v>
      </c>
    </row>
    <row r="12826" spans="1:24">
      <c r="A12826" s="27" t="s">
        <v>22978</v>
      </c>
      <c r="B12826" s="28" t="s">
        <v>19918</v>
      </c>
      <c r="C12826" s="27" t="s">
        <v>22979</v>
      </c>
      <c r="D12826" s="27" t="s">
        <v>17558</v>
      </c>
      <c r="E12826" s="29">
        <v>42579</v>
      </c>
      <c r="F12826" s="27">
        <v>5</v>
      </c>
      <c r="G12826" s="18">
        <v>278.58</v>
      </c>
      <c r="H12826" s="27">
        <f t="shared" si="400"/>
        <v>0</v>
      </c>
      <c r="I12826" s="18">
        <v>127.91</v>
      </c>
      <c r="J12826" s="27">
        <v>278.58</v>
      </c>
      <c r="K12826" s="18">
        <f t="shared" si="401"/>
        <v>0</v>
      </c>
      <c r="L12826" s="27">
        <v>180.84</v>
      </c>
      <c r="M12826" s="36">
        <v>52.93</v>
      </c>
      <c r="T12826" s="41">
        <v>0</v>
      </c>
      <c r="U12826" s="41">
        <v>0</v>
      </c>
      <c r="V12826" s="42" t="s">
        <v>113</v>
      </c>
      <c r="W12826" s="42">
        <v>0</v>
      </c>
      <c r="X12826" s="42">
        <v>278.58</v>
      </c>
    </row>
    <row r="12827" spans="1:24">
      <c r="A12827" s="27" t="s">
        <v>22980</v>
      </c>
      <c r="B12827" s="28" t="s">
        <v>19918</v>
      </c>
      <c r="C12827" s="27" t="s">
        <v>22981</v>
      </c>
      <c r="D12827" s="27" t="s">
        <v>17558</v>
      </c>
      <c r="E12827" s="29">
        <v>42579</v>
      </c>
      <c r="F12827" s="27">
        <v>5</v>
      </c>
      <c r="G12827" s="18">
        <v>278.58</v>
      </c>
      <c r="H12827" s="27">
        <f t="shared" si="400"/>
        <v>0</v>
      </c>
      <c r="I12827" s="18">
        <v>127.91</v>
      </c>
      <c r="J12827" s="27">
        <v>278.58</v>
      </c>
      <c r="K12827" s="18">
        <f t="shared" si="401"/>
        <v>0</v>
      </c>
      <c r="L12827" s="27">
        <v>180.84</v>
      </c>
      <c r="M12827" s="36">
        <v>52.93</v>
      </c>
      <c r="T12827" s="41">
        <v>0</v>
      </c>
      <c r="U12827" s="41">
        <v>0</v>
      </c>
      <c r="V12827" s="42" t="s">
        <v>113</v>
      </c>
      <c r="W12827" s="42">
        <v>0</v>
      </c>
      <c r="X12827" s="42">
        <v>278.58</v>
      </c>
    </row>
    <row r="12828" spans="1:24">
      <c r="A12828" s="27" t="s">
        <v>22982</v>
      </c>
      <c r="B12828" s="28" t="s">
        <v>19918</v>
      </c>
      <c r="C12828" s="27" t="s">
        <v>22983</v>
      </c>
      <c r="D12828" s="27" t="s">
        <v>17558</v>
      </c>
      <c r="E12828" s="29">
        <v>42579</v>
      </c>
      <c r="F12828" s="27">
        <v>5</v>
      </c>
      <c r="G12828" s="18">
        <v>278.58</v>
      </c>
      <c r="H12828" s="27">
        <f t="shared" si="400"/>
        <v>0</v>
      </c>
      <c r="I12828" s="18">
        <v>127.91</v>
      </c>
      <c r="J12828" s="27">
        <v>278.58</v>
      </c>
      <c r="K12828" s="18">
        <f t="shared" si="401"/>
        <v>0</v>
      </c>
      <c r="L12828" s="27">
        <v>180.84</v>
      </c>
      <c r="M12828" s="36">
        <v>52.93</v>
      </c>
      <c r="T12828" s="41">
        <v>0</v>
      </c>
      <c r="U12828" s="41">
        <v>0</v>
      </c>
      <c r="V12828" s="42" t="s">
        <v>113</v>
      </c>
      <c r="W12828" s="42">
        <v>0</v>
      </c>
      <c r="X12828" s="42">
        <v>278.58</v>
      </c>
    </row>
    <row r="12829" spans="1:24">
      <c r="A12829" s="27" t="s">
        <v>22984</v>
      </c>
      <c r="B12829" s="28" t="s">
        <v>19918</v>
      </c>
      <c r="C12829" s="27" t="s">
        <v>22985</v>
      </c>
      <c r="D12829" s="27" t="s">
        <v>17558</v>
      </c>
      <c r="E12829" s="29">
        <v>42579</v>
      </c>
      <c r="F12829" s="27">
        <v>5</v>
      </c>
      <c r="G12829" s="18">
        <v>278.58</v>
      </c>
      <c r="H12829" s="27">
        <f t="shared" si="400"/>
        <v>0</v>
      </c>
      <c r="I12829" s="18">
        <v>127.91</v>
      </c>
      <c r="J12829" s="27">
        <v>278.58</v>
      </c>
      <c r="K12829" s="18">
        <f t="shared" si="401"/>
        <v>0</v>
      </c>
      <c r="L12829" s="27">
        <v>180.84</v>
      </c>
      <c r="M12829" s="36">
        <v>52.93</v>
      </c>
      <c r="T12829" s="41">
        <v>0</v>
      </c>
      <c r="U12829" s="41">
        <v>0</v>
      </c>
      <c r="V12829" s="42" t="s">
        <v>113</v>
      </c>
      <c r="W12829" s="42">
        <v>0</v>
      </c>
      <c r="X12829" s="42">
        <v>278.58</v>
      </c>
    </row>
    <row r="12830" spans="1:24">
      <c r="A12830" s="27" t="s">
        <v>22986</v>
      </c>
      <c r="B12830" s="28" t="s">
        <v>19918</v>
      </c>
      <c r="C12830" s="27" t="s">
        <v>22987</v>
      </c>
      <c r="D12830" s="27" t="s">
        <v>17558</v>
      </c>
      <c r="E12830" s="29">
        <v>42579</v>
      </c>
      <c r="F12830" s="27">
        <v>5</v>
      </c>
      <c r="G12830" s="18">
        <v>278.58</v>
      </c>
      <c r="H12830" s="27">
        <f t="shared" si="400"/>
        <v>0</v>
      </c>
      <c r="I12830" s="18">
        <v>127.91</v>
      </c>
      <c r="J12830" s="27">
        <v>278.58</v>
      </c>
      <c r="K12830" s="18">
        <f t="shared" si="401"/>
        <v>0</v>
      </c>
      <c r="L12830" s="27">
        <v>180.84</v>
      </c>
      <c r="M12830" s="36">
        <v>52.93</v>
      </c>
      <c r="T12830" s="41">
        <v>0</v>
      </c>
      <c r="U12830" s="41">
        <v>0</v>
      </c>
      <c r="V12830" s="42" t="s">
        <v>113</v>
      </c>
      <c r="W12830" s="42">
        <v>0</v>
      </c>
      <c r="X12830" s="42">
        <v>278.58</v>
      </c>
    </row>
    <row r="12831" spans="1:24">
      <c r="A12831" s="27" t="s">
        <v>22988</v>
      </c>
      <c r="B12831" s="28" t="s">
        <v>19918</v>
      </c>
      <c r="C12831" s="27" t="s">
        <v>22989</v>
      </c>
      <c r="D12831" s="27" t="s">
        <v>17558</v>
      </c>
      <c r="E12831" s="29">
        <v>42579</v>
      </c>
      <c r="F12831" s="27">
        <v>5</v>
      </c>
      <c r="G12831" s="18">
        <v>278.58</v>
      </c>
      <c r="H12831" s="27">
        <f t="shared" si="400"/>
        <v>0</v>
      </c>
      <c r="I12831" s="18">
        <v>127.91</v>
      </c>
      <c r="J12831" s="27">
        <v>278.58</v>
      </c>
      <c r="K12831" s="18">
        <f t="shared" si="401"/>
        <v>0</v>
      </c>
      <c r="L12831" s="27">
        <v>180.84</v>
      </c>
      <c r="M12831" s="36">
        <v>52.93</v>
      </c>
      <c r="T12831" s="41">
        <v>0</v>
      </c>
      <c r="U12831" s="41">
        <v>0</v>
      </c>
      <c r="V12831" s="42" t="s">
        <v>113</v>
      </c>
      <c r="W12831" s="42">
        <v>0</v>
      </c>
      <c r="X12831" s="42">
        <v>278.58</v>
      </c>
    </row>
    <row r="12832" spans="1:24">
      <c r="A12832" s="27" t="s">
        <v>22990</v>
      </c>
      <c r="B12832" s="28" t="s">
        <v>19918</v>
      </c>
      <c r="C12832" s="27" t="s">
        <v>22991</v>
      </c>
      <c r="D12832" s="27" t="s">
        <v>17558</v>
      </c>
      <c r="E12832" s="29">
        <v>42579</v>
      </c>
      <c r="F12832" s="27">
        <v>5</v>
      </c>
      <c r="G12832" s="18">
        <v>278.58</v>
      </c>
      <c r="H12832" s="27">
        <f t="shared" si="400"/>
        <v>0</v>
      </c>
      <c r="I12832" s="18">
        <v>127.91</v>
      </c>
      <c r="J12832" s="27">
        <v>278.58</v>
      </c>
      <c r="K12832" s="18">
        <f t="shared" si="401"/>
        <v>0</v>
      </c>
      <c r="L12832" s="27">
        <v>180.84</v>
      </c>
      <c r="M12832" s="36">
        <v>52.93</v>
      </c>
      <c r="T12832" s="41">
        <v>0</v>
      </c>
      <c r="U12832" s="41">
        <v>0</v>
      </c>
      <c r="V12832" s="42" t="s">
        <v>113</v>
      </c>
      <c r="W12832" s="42">
        <v>0</v>
      </c>
      <c r="X12832" s="42">
        <v>278.58</v>
      </c>
    </row>
    <row r="12833" spans="1:24">
      <c r="A12833" s="27" t="s">
        <v>22992</v>
      </c>
      <c r="B12833" s="28" t="s">
        <v>19918</v>
      </c>
      <c r="C12833" s="27" t="s">
        <v>22993</v>
      </c>
      <c r="D12833" s="27" t="s">
        <v>17558</v>
      </c>
      <c r="E12833" s="29">
        <v>42579</v>
      </c>
      <c r="F12833" s="27">
        <v>5</v>
      </c>
      <c r="G12833" s="18">
        <v>278.58</v>
      </c>
      <c r="H12833" s="27">
        <f t="shared" si="400"/>
        <v>0</v>
      </c>
      <c r="I12833" s="18">
        <v>127.91</v>
      </c>
      <c r="J12833" s="27">
        <v>278.58</v>
      </c>
      <c r="K12833" s="18">
        <f t="shared" si="401"/>
        <v>0</v>
      </c>
      <c r="L12833" s="27">
        <v>180.84</v>
      </c>
      <c r="M12833" s="36">
        <v>52.93</v>
      </c>
      <c r="T12833" s="41">
        <v>0</v>
      </c>
      <c r="U12833" s="41">
        <v>0</v>
      </c>
      <c r="V12833" s="42" t="s">
        <v>113</v>
      </c>
      <c r="W12833" s="42">
        <v>0</v>
      </c>
      <c r="X12833" s="42">
        <v>278.58</v>
      </c>
    </row>
    <row r="12834" spans="1:24">
      <c r="A12834" s="27" t="s">
        <v>22994</v>
      </c>
      <c r="B12834" s="28" t="s">
        <v>19918</v>
      </c>
      <c r="C12834" s="27" t="s">
        <v>22995</v>
      </c>
      <c r="D12834" s="27" t="s">
        <v>17558</v>
      </c>
      <c r="E12834" s="29">
        <v>42579</v>
      </c>
      <c r="F12834" s="27">
        <v>5</v>
      </c>
      <c r="G12834" s="18">
        <v>278.58</v>
      </c>
      <c r="H12834" s="27">
        <f t="shared" si="400"/>
        <v>0</v>
      </c>
      <c r="I12834" s="18">
        <v>127.91</v>
      </c>
      <c r="J12834" s="27">
        <v>278.58</v>
      </c>
      <c r="K12834" s="18">
        <f t="shared" si="401"/>
        <v>0</v>
      </c>
      <c r="L12834" s="27">
        <v>180.84</v>
      </c>
      <c r="M12834" s="36">
        <v>52.93</v>
      </c>
      <c r="T12834" s="41">
        <v>0</v>
      </c>
      <c r="U12834" s="41">
        <v>0</v>
      </c>
      <c r="V12834" s="42" t="s">
        <v>113</v>
      </c>
      <c r="W12834" s="42">
        <v>0</v>
      </c>
      <c r="X12834" s="42">
        <v>278.58</v>
      </c>
    </row>
    <row r="12835" spans="1:24">
      <c r="A12835" s="27" t="s">
        <v>22996</v>
      </c>
      <c r="B12835" s="28" t="s">
        <v>19918</v>
      </c>
      <c r="C12835" s="27" t="s">
        <v>22997</v>
      </c>
      <c r="D12835" s="27" t="s">
        <v>17558</v>
      </c>
      <c r="E12835" s="29">
        <v>42579</v>
      </c>
      <c r="F12835" s="27">
        <v>5</v>
      </c>
      <c r="G12835" s="18">
        <v>278.58</v>
      </c>
      <c r="H12835" s="27">
        <f t="shared" si="400"/>
        <v>0</v>
      </c>
      <c r="I12835" s="18">
        <v>127.91</v>
      </c>
      <c r="J12835" s="27">
        <v>278.58</v>
      </c>
      <c r="K12835" s="18">
        <f t="shared" si="401"/>
        <v>0</v>
      </c>
      <c r="L12835" s="27">
        <v>180.84</v>
      </c>
      <c r="M12835" s="36">
        <v>52.93</v>
      </c>
      <c r="T12835" s="41">
        <v>0</v>
      </c>
      <c r="U12835" s="41">
        <v>0</v>
      </c>
      <c r="V12835" s="42" t="s">
        <v>113</v>
      </c>
      <c r="W12835" s="42">
        <v>0</v>
      </c>
      <c r="X12835" s="42">
        <v>278.58</v>
      </c>
    </row>
    <row r="12836" spans="1:24">
      <c r="A12836" s="27" t="s">
        <v>22998</v>
      </c>
      <c r="B12836" s="28" t="s">
        <v>19918</v>
      </c>
      <c r="C12836" s="27" t="s">
        <v>22999</v>
      </c>
      <c r="D12836" s="27" t="s">
        <v>17558</v>
      </c>
      <c r="E12836" s="29">
        <v>42579</v>
      </c>
      <c r="F12836" s="27">
        <v>5</v>
      </c>
      <c r="G12836" s="18">
        <v>278.58</v>
      </c>
      <c r="H12836" s="27">
        <f t="shared" si="400"/>
        <v>0</v>
      </c>
      <c r="I12836" s="18">
        <v>127.91</v>
      </c>
      <c r="J12836" s="27">
        <v>278.58</v>
      </c>
      <c r="K12836" s="18">
        <f t="shared" si="401"/>
        <v>0</v>
      </c>
      <c r="L12836" s="27">
        <v>180.84</v>
      </c>
      <c r="M12836" s="36">
        <v>52.93</v>
      </c>
      <c r="T12836" s="41">
        <v>0</v>
      </c>
      <c r="U12836" s="41">
        <v>0</v>
      </c>
      <c r="V12836" s="42" t="s">
        <v>113</v>
      </c>
      <c r="W12836" s="42">
        <v>0</v>
      </c>
      <c r="X12836" s="42">
        <v>278.58</v>
      </c>
    </row>
    <row r="12837" spans="1:24">
      <c r="A12837" s="27" t="s">
        <v>23000</v>
      </c>
      <c r="B12837" s="28" t="s">
        <v>19918</v>
      </c>
      <c r="C12837" s="27" t="s">
        <v>23001</v>
      </c>
      <c r="D12837" s="27" t="s">
        <v>17558</v>
      </c>
      <c r="E12837" s="29">
        <v>42579</v>
      </c>
      <c r="F12837" s="27">
        <v>5</v>
      </c>
      <c r="G12837" s="18">
        <v>278.58</v>
      </c>
      <c r="H12837" s="27">
        <f t="shared" si="400"/>
        <v>0</v>
      </c>
      <c r="I12837" s="18">
        <v>127.91</v>
      </c>
      <c r="J12837" s="27">
        <v>278.58</v>
      </c>
      <c r="K12837" s="18">
        <f t="shared" si="401"/>
        <v>0</v>
      </c>
      <c r="L12837" s="27">
        <v>180.84</v>
      </c>
      <c r="M12837" s="36">
        <v>52.93</v>
      </c>
      <c r="T12837" s="41">
        <v>0</v>
      </c>
      <c r="U12837" s="41">
        <v>0</v>
      </c>
      <c r="V12837" s="42" t="s">
        <v>113</v>
      </c>
      <c r="W12837" s="42">
        <v>0</v>
      </c>
      <c r="X12837" s="42">
        <v>278.58</v>
      </c>
    </row>
    <row r="12838" spans="1:24">
      <c r="A12838" s="27" t="s">
        <v>23002</v>
      </c>
      <c r="B12838" s="28" t="s">
        <v>19918</v>
      </c>
      <c r="C12838" s="27" t="s">
        <v>23003</v>
      </c>
      <c r="D12838" s="27" t="s">
        <v>17558</v>
      </c>
      <c r="E12838" s="29">
        <v>42579</v>
      </c>
      <c r="F12838" s="27">
        <v>5</v>
      </c>
      <c r="G12838" s="18">
        <v>278.58</v>
      </c>
      <c r="H12838" s="27">
        <f t="shared" si="400"/>
        <v>0</v>
      </c>
      <c r="I12838" s="18">
        <v>127.91</v>
      </c>
      <c r="J12838" s="27">
        <v>278.58</v>
      </c>
      <c r="K12838" s="18">
        <f t="shared" si="401"/>
        <v>0</v>
      </c>
      <c r="L12838" s="27">
        <v>180.84</v>
      </c>
      <c r="M12838" s="36">
        <v>52.93</v>
      </c>
      <c r="T12838" s="41">
        <v>0</v>
      </c>
      <c r="U12838" s="41">
        <v>0</v>
      </c>
      <c r="V12838" s="42" t="s">
        <v>113</v>
      </c>
      <c r="W12838" s="42">
        <v>0</v>
      </c>
      <c r="X12838" s="42">
        <v>278.58</v>
      </c>
    </row>
    <row r="12839" spans="1:24">
      <c r="A12839" s="27" t="s">
        <v>23004</v>
      </c>
      <c r="B12839" s="28" t="s">
        <v>19918</v>
      </c>
      <c r="C12839" s="27" t="s">
        <v>23005</v>
      </c>
      <c r="D12839" s="27" t="s">
        <v>17558</v>
      </c>
      <c r="E12839" s="29">
        <v>42579</v>
      </c>
      <c r="F12839" s="27">
        <v>5</v>
      </c>
      <c r="G12839" s="18">
        <v>278.58</v>
      </c>
      <c r="H12839" s="27">
        <f t="shared" si="400"/>
        <v>0</v>
      </c>
      <c r="I12839" s="18">
        <v>127.91</v>
      </c>
      <c r="J12839" s="27">
        <v>278.58</v>
      </c>
      <c r="K12839" s="18">
        <f t="shared" si="401"/>
        <v>0</v>
      </c>
      <c r="L12839" s="27">
        <v>180.84</v>
      </c>
      <c r="M12839" s="36">
        <v>52.93</v>
      </c>
      <c r="T12839" s="41">
        <v>0</v>
      </c>
      <c r="U12839" s="41">
        <v>0</v>
      </c>
      <c r="V12839" s="42" t="s">
        <v>113</v>
      </c>
      <c r="W12839" s="42">
        <v>0</v>
      </c>
      <c r="X12839" s="42">
        <v>278.58</v>
      </c>
    </row>
    <row r="12840" spans="1:24">
      <c r="A12840" s="27" t="s">
        <v>23006</v>
      </c>
      <c r="B12840" s="28" t="s">
        <v>19918</v>
      </c>
      <c r="C12840" s="27" t="s">
        <v>23007</v>
      </c>
      <c r="D12840" s="27" t="s">
        <v>17558</v>
      </c>
      <c r="E12840" s="29">
        <v>42579</v>
      </c>
      <c r="F12840" s="27">
        <v>5</v>
      </c>
      <c r="G12840" s="18">
        <v>278.58</v>
      </c>
      <c r="H12840" s="27">
        <f t="shared" si="400"/>
        <v>0</v>
      </c>
      <c r="I12840" s="18">
        <v>127.91</v>
      </c>
      <c r="J12840" s="27">
        <v>278.58</v>
      </c>
      <c r="K12840" s="18">
        <f t="shared" si="401"/>
        <v>0</v>
      </c>
      <c r="L12840" s="27">
        <v>180.84</v>
      </c>
      <c r="M12840" s="36">
        <v>52.93</v>
      </c>
      <c r="T12840" s="41">
        <v>0</v>
      </c>
      <c r="U12840" s="41">
        <v>0</v>
      </c>
      <c r="V12840" s="42" t="s">
        <v>113</v>
      </c>
      <c r="W12840" s="42">
        <v>0</v>
      </c>
      <c r="X12840" s="42">
        <v>278.58</v>
      </c>
    </row>
    <row r="12841" spans="1:24">
      <c r="A12841" s="27" t="s">
        <v>23008</v>
      </c>
      <c r="B12841" s="28" t="s">
        <v>19918</v>
      </c>
      <c r="C12841" s="27" t="s">
        <v>23009</v>
      </c>
      <c r="D12841" s="27" t="s">
        <v>17558</v>
      </c>
      <c r="E12841" s="29">
        <v>42579</v>
      </c>
      <c r="F12841" s="27">
        <v>5</v>
      </c>
      <c r="G12841" s="18">
        <v>278.58</v>
      </c>
      <c r="H12841" s="27">
        <f t="shared" si="400"/>
        <v>0</v>
      </c>
      <c r="I12841" s="18">
        <v>127.91</v>
      </c>
      <c r="J12841" s="27">
        <v>278.58</v>
      </c>
      <c r="K12841" s="18">
        <f t="shared" si="401"/>
        <v>0</v>
      </c>
      <c r="L12841" s="27">
        <v>180.84</v>
      </c>
      <c r="M12841" s="36">
        <v>52.93</v>
      </c>
      <c r="T12841" s="41">
        <v>0</v>
      </c>
      <c r="U12841" s="41">
        <v>0</v>
      </c>
      <c r="V12841" s="42" t="s">
        <v>113</v>
      </c>
      <c r="W12841" s="42">
        <v>0</v>
      </c>
      <c r="X12841" s="42">
        <v>278.58</v>
      </c>
    </row>
    <row r="12842" spans="1:24">
      <c r="A12842" s="27" t="s">
        <v>23010</v>
      </c>
      <c r="B12842" s="28" t="s">
        <v>19918</v>
      </c>
      <c r="C12842" s="27" t="s">
        <v>23011</v>
      </c>
      <c r="D12842" s="27" t="s">
        <v>17558</v>
      </c>
      <c r="E12842" s="29">
        <v>42579</v>
      </c>
      <c r="F12842" s="27">
        <v>5</v>
      </c>
      <c r="G12842" s="18">
        <v>278.58</v>
      </c>
      <c r="H12842" s="27">
        <f t="shared" si="400"/>
        <v>0</v>
      </c>
      <c r="I12842" s="18">
        <v>127.91</v>
      </c>
      <c r="J12842" s="27">
        <v>278.58</v>
      </c>
      <c r="K12842" s="18">
        <f t="shared" si="401"/>
        <v>0</v>
      </c>
      <c r="L12842" s="27">
        <v>180.84</v>
      </c>
      <c r="M12842" s="36">
        <v>52.93</v>
      </c>
      <c r="T12842" s="41">
        <v>0</v>
      </c>
      <c r="U12842" s="41">
        <v>0</v>
      </c>
      <c r="V12842" s="42" t="s">
        <v>113</v>
      </c>
      <c r="W12842" s="42">
        <v>0</v>
      </c>
      <c r="X12842" s="42">
        <v>278.58</v>
      </c>
    </row>
    <row r="12843" spans="1:24">
      <c r="A12843" s="27" t="s">
        <v>23012</v>
      </c>
      <c r="B12843" s="28" t="s">
        <v>19918</v>
      </c>
      <c r="C12843" s="27" t="s">
        <v>23013</v>
      </c>
      <c r="D12843" s="27" t="s">
        <v>17558</v>
      </c>
      <c r="E12843" s="29">
        <v>42579</v>
      </c>
      <c r="F12843" s="27">
        <v>5</v>
      </c>
      <c r="G12843" s="18">
        <v>278.58</v>
      </c>
      <c r="H12843" s="27">
        <f t="shared" si="400"/>
        <v>0</v>
      </c>
      <c r="I12843" s="18">
        <v>127.91</v>
      </c>
      <c r="J12843" s="27">
        <v>278.58</v>
      </c>
      <c r="K12843" s="18">
        <f t="shared" si="401"/>
        <v>0</v>
      </c>
      <c r="L12843" s="27">
        <v>180.84</v>
      </c>
      <c r="M12843" s="36">
        <v>52.93</v>
      </c>
      <c r="T12843" s="41">
        <v>0</v>
      </c>
      <c r="U12843" s="41">
        <v>0</v>
      </c>
      <c r="V12843" s="42" t="s">
        <v>113</v>
      </c>
      <c r="W12843" s="42">
        <v>0</v>
      </c>
      <c r="X12843" s="42">
        <v>278.58</v>
      </c>
    </row>
    <row r="12844" spans="1:24">
      <c r="A12844" s="27" t="s">
        <v>23014</v>
      </c>
      <c r="B12844" s="28" t="s">
        <v>19918</v>
      </c>
      <c r="C12844" s="27" t="s">
        <v>23015</v>
      </c>
      <c r="D12844" s="27" t="s">
        <v>17558</v>
      </c>
      <c r="E12844" s="29">
        <v>42579</v>
      </c>
      <c r="F12844" s="27">
        <v>5</v>
      </c>
      <c r="G12844" s="18">
        <v>278.58</v>
      </c>
      <c r="H12844" s="27">
        <f t="shared" si="400"/>
        <v>0</v>
      </c>
      <c r="I12844" s="18">
        <v>127.91</v>
      </c>
      <c r="J12844" s="27">
        <v>278.58</v>
      </c>
      <c r="K12844" s="18">
        <f t="shared" si="401"/>
        <v>0</v>
      </c>
      <c r="L12844" s="27">
        <v>180.84</v>
      </c>
      <c r="M12844" s="36">
        <v>52.93</v>
      </c>
      <c r="T12844" s="41">
        <v>0</v>
      </c>
      <c r="U12844" s="41">
        <v>0</v>
      </c>
      <c r="V12844" s="42" t="s">
        <v>113</v>
      </c>
      <c r="W12844" s="42">
        <v>0</v>
      </c>
      <c r="X12844" s="42">
        <v>278.58</v>
      </c>
    </row>
    <row r="12845" spans="1:24">
      <c r="A12845" s="27" t="s">
        <v>23016</v>
      </c>
      <c r="B12845" s="28" t="s">
        <v>19918</v>
      </c>
      <c r="C12845" s="27" t="s">
        <v>23017</v>
      </c>
      <c r="D12845" s="27" t="s">
        <v>17558</v>
      </c>
      <c r="E12845" s="29">
        <v>42579</v>
      </c>
      <c r="F12845" s="27">
        <v>5</v>
      </c>
      <c r="G12845" s="18">
        <v>278.58</v>
      </c>
      <c r="H12845" s="27">
        <f t="shared" si="400"/>
        <v>0</v>
      </c>
      <c r="I12845" s="18">
        <v>127.91</v>
      </c>
      <c r="J12845" s="27">
        <v>278.58</v>
      </c>
      <c r="K12845" s="18">
        <f t="shared" si="401"/>
        <v>0</v>
      </c>
      <c r="L12845" s="27">
        <v>180.84</v>
      </c>
      <c r="M12845" s="36">
        <v>52.93</v>
      </c>
      <c r="T12845" s="41">
        <v>0</v>
      </c>
      <c r="U12845" s="41">
        <v>0</v>
      </c>
      <c r="V12845" s="42" t="s">
        <v>113</v>
      </c>
      <c r="W12845" s="42">
        <v>0</v>
      </c>
      <c r="X12845" s="42">
        <v>278.58</v>
      </c>
    </row>
    <row r="12846" spans="1:24">
      <c r="A12846" s="27" t="s">
        <v>23018</v>
      </c>
      <c r="B12846" s="28" t="s">
        <v>19918</v>
      </c>
      <c r="C12846" s="27" t="s">
        <v>23019</v>
      </c>
      <c r="D12846" s="27" t="s">
        <v>17558</v>
      </c>
      <c r="E12846" s="29">
        <v>42579</v>
      </c>
      <c r="F12846" s="27">
        <v>5</v>
      </c>
      <c r="G12846" s="18">
        <v>278.58</v>
      </c>
      <c r="H12846" s="27">
        <f t="shared" si="400"/>
        <v>0</v>
      </c>
      <c r="I12846" s="18">
        <v>127.91</v>
      </c>
      <c r="J12846" s="27">
        <v>278.58</v>
      </c>
      <c r="K12846" s="18">
        <f t="shared" si="401"/>
        <v>0</v>
      </c>
      <c r="L12846" s="27">
        <v>180.84</v>
      </c>
      <c r="M12846" s="36">
        <v>52.93</v>
      </c>
      <c r="T12846" s="41">
        <v>0</v>
      </c>
      <c r="U12846" s="41">
        <v>0</v>
      </c>
      <c r="V12846" s="42" t="s">
        <v>113</v>
      </c>
      <c r="W12846" s="42">
        <v>0</v>
      </c>
      <c r="X12846" s="42">
        <v>278.58</v>
      </c>
    </row>
    <row r="12847" spans="1:24">
      <c r="A12847" s="27" t="s">
        <v>23020</v>
      </c>
      <c r="B12847" s="28" t="s">
        <v>19918</v>
      </c>
      <c r="C12847" s="27" t="s">
        <v>23021</v>
      </c>
      <c r="D12847" s="27" t="s">
        <v>17558</v>
      </c>
      <c r="E12847" s="29">
        <v>42579</v>
      </c>
      <c r="F12847" s="27">
        <v>5</v>
      </c>
      <c r="G12847" s="18">
        <v>278.58</v>
      </c>
      <c r="H12847" s="27">
        <f t="shared" si="400"/>
        <v>0</v>
      </c>
      <c r="I12847" s="18">
        <v>127.91</v>
      </c>
      <c r="J12847" s="27">
        <v>278.58</v>
      </c>
      <c r="K12847" s="18">
        <f t="shared" si="401"/>
        <v>0</v>
      </c>
      <c r="L12847" s="27">
        <v>180.84</v>
      </c>
      <c r="M12847" s="36">
        <v>52.93</v>
      </c>
      <c r="T12847" s="41">
        <v>0</v>
      </c>
      <c r="U12847" s="41">
        <v>0</v>
      </c>
      <c r="V12847" s="42" t="s">
        <v>113</v>
      </c>
      <c r="W12847" s="42">
        <v>0</v>
      </c>
      <c r="X12847" s="42">
        <v>278.58</v>
      </c>
    </row>
    <row r="12848" spans="1:24">
      <c r="A12848" s="27" t="s">
        <v>23022</v>
      </c>
      <c r="B12848" s="28" t="s">
        <v>19918</v>
      </c>
      <c r="C12848" s="27" t="s">
        <v>23023</v>
      </c>
      <c r="D12848" s="27" t="s">
        <v>17558</v>
      </c>
      <c r="E12848" s="29">
        <v>42579</v>
      </c>
      <c r="F12848" s="27">
        <v>5</v>
      </c>
      <c r="G12848" s="18">
        <v>278.58</v>
      </c>
      <c r="H12848" s="27">
        <f t="shared" si="400"/>
        <v>0</v>
      </c>
      <c r="I12848" s="18">
        <v>127.91</v>
      </c>
      <c r="J12848" s="27">
        <v>278.58</v>
      </c>
      <c r="K12848" s="18">
        <f t="shared" si="401"/>
        <v>0</v>
      </c>
      <c r="L12848" s="27">
        <v>180.84</v>
      </c>
      <c r="M12848" s="36">
        <v>52.93</v>
      </c>
      <c r="T12848" s="41">
        <v>0</v>
      </c>
      <c r="U12848" s="41">
        <v>0</v>
      </c>
      <c r="V12848" s="42" t="s">
        <v>113</v>
      </c>
      <c r="W12848" s="42">
        <v>0</v>
      </c>
      <c r="X12848" s="42">
        <v>278.58</v>
      </c>
    </row>
    <row r="12849" spans="1:24">
      <c r="A12849" s="27" t="s">
        <v>23024</v>
      </c>
      <c r="B12849" s="28" t="s">
        <v>19918</v>
      </c>
      <c r="C12849" s="27" t="s">
        <v>23025</v>
      </c>
      <c r="D12849" s="27" t="s">
        <v>17558</v>
      </c>
      <c r="E12849" s="29">
        <v>42579</v>
      </c>
      <c r="F12849" s="27">
        <v>5</v>
      </c>
      <c r="G12849" s="18">
        <v>278.58</v>
      </c>
      <c r="H12849" s="27">
        <f t="shared" si="400"/>
        <v>0</v>
      </c>
      <c r="I12849" s="18">
        <v>127.91</v>
      </c>
      <c r="J12849" s="27">
        <v>278.58</v>
      </c>
      <c r="K12849" s="18">
        <f t="shared" si="401"/>
        <v>0</v>
      </c>
      <c r="L12849" s="27">
        <v>180.84</v>
      </c>
      <c r="M12849" s="36">
        <v>52.93</v>
      </c>
      <c r="T12849" s="41">
        <v>0</v>
      </c>
      <c r="U12849" s="41">
        <v>0</v>
      </c>
      <c r="V12849" s="42" t="s">
        <v>113</v>
      </c>
      <c r="W12849" s="42">
        <v>0</v>
      </c>
      <c r="X12849" s="42">
        <v>278.58</v>
      </c>
    </row>
    <row r="12850" spans="1:24">
      <c r="A12850" s="27" t="s">
        <v>23026</v>
      </c>
      <c r="B12850" s="28" t="s">
        <v>19918</v>
      </c>
      <c r="C12850" s="27" t="s">
        <v>23027</v>
      </c>
      <c r="D12850" s="27" t="s">
        <v>17558</v>
      </c>
      <c r="E12850" s="29">
        <v>42579</v>
      </c>
      <c r="F12850" s="27">
        <v>5</v>
      </c>
      <c r="G12850" s="18">
        <v>278.58</v>
      </c>
      <c r="H12850" s="27">
        <f t="shared" si="400"/>
        <v>0</v>
      </c>
      <c r="I12850" s="18">
        <v>127.91</v>
      </c>
      <c r="J12850" s="27">
        <v>278.58</v>
      </c>
      <c r="K12850" s="18">
        <f t="shared" si="401"/>
        <v>0</v>
      </c>
      <c r="L12850" s="27">
        <v>180.84</v>
      </c>
      <c r="M12850" s="36">
        <v>52.93</v>
      </c>
      <c r="T12850" s="41">
        <v>0</v>
      </c>
      <c r="U12850" s="41">
        <v>0</v>
      </c>
      <c r="V12850" s="42" t="s">
        <v>113</v>
      </c>
      <c r="W12850" s="42">
        <v>0</v>
      </c>
      <c r="X12850" s="42">
        <v>278.58</v>
      </c>
    </row>
    <row r="12851" spans="1:24">
      <c r="A12851" s="27" t="s">
        <v>23028</v>
      </c>
      <c r="B12851" s="28" t="s">
        <v>19918</v>
      </c>
      <c r="C12851" s="27" t="s">
        <v>23029</v>
      </c>
      <c r="D12851" s="27" t="s">
        <v>17558</v>
      </c>
      <c r="E12851" s="29">
        <v>42579</v>
      </c>
      <c r="F12851" s="27">
        <v>5</v>
      </c>
      <c r="G12851" s="18">
        <v>278.58</v>
      </c>
      <c r="H12851" s="27">
        <f t="shared" si="400"/>
        <v>0</v>
      </c>
      <c r="I12851" s="18">
        <v>127.91</v>
      </c>
      <c r="J12851" s="27">
        <v>278.58</v>
      </c>
      <c r="K12851" s="18">
        <f t="shared" si="401"/>
        <v>0</v>
      </c>
      <c r="L12851" s="27">
        <v>180.84</v>
      </c>
      <c r="M12851" s="36">
        <v>52.93</v>
      </c>
      <c r="T12851" s="41">
        <v>0</v>
      </c>
      <c r="U12851" s="41">
        <v>0</v>
      </c>
      <c r="V12851" s="42" t="s">
        <v>113</v>
      </c>
      <c r="W12851" s="42">
        <v>0</v>
      </c>
      <c r="X12851" s="42">
        <v>278.58</v>
      </c>
    </row>
    <row r="12852" spans="1:24">
      <c r="A12852" s="27" t="s">
        <v>23030</v>
      </c>
      <c r="B12852" s="28" t="s">
        <v>19918</v>
      </c>
      <c r="C12852" s="27" t="s">
        <v>23031</v>
      </c>
      <c r="D12852" s="27" t="s">
        <v>17558</v>
      </c>
      <c r="E12852" s="29">
        <v>42579</v>
      </c>
      <c r="F12852" s="27">
        <v>5</v>
      </c>
      <c r="G12852" s="18">
        <v>278.58</v>
      </c>
      <c r="H12852" s="27">
        <f t="shared" si="400"/>
        <v>0</v>
      </c>
      <c r="I12852" s="18">
        <v>127.91</v>
      </c>
      <c r="J12852" s="27">
        <v>278.58</v>
      </c>
      <c r="K12852" s="18">
        <f t="shared" si="401"/>
        <v>0</v>
      </c>
      <c r="L12852" s="27">
        <v>180.84</v>
      </c>
      <c r="M12852" s="36">
        <v>52.93</v>
      </c>
      <c r="T12852" s="41">
        <v>0</v>
      </c>
      <c r="U12852" s="41">
        <v>0</v>
      </c>
      <c r="V12852" s="42" t="s">
        <v>113</v>
      </c>
      <c r="W12852" s="42">
        <v>0</v>
      </c>
      <c r="X12852" s="42">
        <v>278.58</v>
      </c>
    </row>
    <row r="12853" spans="1:24">
      <c r="A12853" s="27" t="s">
        <v>23032</v>
      </c>
      <c r="B12853" s="28" t="s">
        <v>19918</v>
      </c>
      <c r="C12853" s="27" t="s">
        <v>23033</v>
      </c>
      <c r="D12853" s="27" t="s">
        <v>17558</v>
      </c>
      <c r="E12853" s="29">
        <v>42579</v>
      </c>
      <c r="F12853" s="27">
        <v>5</v>
      </c>
      <c r="G12853" s="18">
        <v>278.58</v>
      </c>
      <c r="H12853" s="27">
        <f t="shared" si="400"/>
        <v>0</v>
      </c>
      <c r="I12853" s="18">
        <v>127.91</v>
      </c>
      <c r="J12853" s="27">
        <v>278.58</v>
      </c>
      <c r="K12853" s="18">
        <f t="shared" si="401"/>
        <v>0</v>
      </c>
      <c r="L12853" s="27">
        <v>180.84</v>
      </c>
      <c r="M12853" s="36">
        <v>52.93</v>
      </c>
      <c r="T12853" s="41">
        <v>0</v>
      </c>
      <c r="U12853" s="41">
        <v>0</v>
      </c>
      <c r="V12853" s="42" t="s">
        <v>113</v>
      </c>
      <c r="W12853" s="42">
        <v>0</v>
      </c>
      <c r="X12853" s="42">
        <v>278.58</v>
      </c>
    </row>
    <row r="12854" spans="1:24">
      <c r="A12854" s="27" t="s">
        <v>23034</v>
      </c>
      <c r="B12854" s="28" t="s">
        <v>19918</v>
      </c>
      <c r="C12854" s="27" t="s">
        <v>23035</v>
      </c>
      <c r="D12854" s="27" t="s">
        <v>17558</v>
      </c>
      <c r="E12854" s="29">
        <v>42579</v>
      </c>
      <c r="F12854" s="27">
        <v>5</v>
      </c>
      <c r="G12854" s="18">
        <v>278.58</v>
      </c>
      <c r="H12854" s="27">
        <f t="shared" si="400"/>
        <v>0</v>
      </c>
      <c r="I12854" s="18">
        <v>127.91</v>
      </c>
      <c r="J12854" s="27">
        <v>278.58</v>
      </c>
      <c r="K12854" s="18">
        <f t="shared" si="401"/>
        <v>0</v>
      </c>
      <c r="L12854" s="27">
        <v>180.84</v>
      </c>
      <c r="M12854" s="36">
        <v>52.93</v>
      </c>
      <c r="T12854" s="41">
        <v>0</v>
      </c>
      <c r="U12854" s="41">
        <v>0</v>
      </c>
      <c r="V12854" s="42" t="s">
        <v>113</v>
      </c>
      <c r="W12854" s="42">
        <v>0</v>
      </c>
      <c r="X12854" s="42">
        <v>278.58</v>
      </c>
    </row>
    <row r="12855" spans="1:24">
      <c r="A12855" s="27" t="s">
        <v>23036</v>
      </c>
      <c r="B12855" s="28" t="s">
        <v>19918</v>
      </c>
      <c r="C12855" s="27" t="s">
        <v>23037</v>
      </c>
      <c r="D12855" s="27" t="s">
        <v>17558</v>
      </c>
      <c r="E12855" s="29">
        <v>42579</v>
      </c>
      <c r="F12855" s="27">
        <v>5</v>
      </c>
      <c r="G12855" s="18">
        <v>278.58</v>
      </c>
      <c r="H12855" s="27">
        <f t="shared" si="400"/>
        <v>0</v>
      </c>
      <c r="I12855" s="18">
        <v>127.91</v>
      </c>
      <c r="J12855" s="27">
        <v>278.58</v>
      </c>
      <c r="K12855" s="18">
        <f t="shared" si="401"/>
        <v>0</v>
      </c>
      <c r="L12855" s="27">
        <v>180.84</v>
      </c>
      <c r="M12855" s="36">
        <v>52.93</v>
      </c>
      <c r="T12855" s="41">
        <v>0</v>
      </c>
      <c r="U12855" s="41">
        <v>0</v>
      </c>
      <c r="V12855" s="42" t="s">
        <v>113</v>
      </c>
      <c r="W12855" s="42">
        <v>0</v>
      </c>
      <c r="X12855" s="42">
        <v>278.58</v>
      </c>
    </row>
    <row r="12856" spans="1:24">
      <c r="A12856" s="27" t="s">
        <v>23038</v>
      </c>
      <c r="B12856" s="28" t="s">
        <v>19918</v>
      </c>
      <c r="C12856" s="27" t="s">
        <v>23039</v>
      </c>
      <c r="D12856" s="27" t="s">
        <v>17558</v>
      </c>
      <c r="E12856" s="29">
        <v>42579</v>
      </c>
      <c r="F12856" s="27">
        <v>5</v>
      </c>
      <c r="G12856" s="18">
        <v>278.58</v>
      </c>
      <c r="H12856" s="27">
        <f t="shared" si="400"/>
        <v>0</v>
      </c>
      <c r="I12856" s="18">
        <v>127.91</v>
      </c>
      <c r="J12856" s="27">
        <v>278.58</v>
      </c>
      <c r="K12856" s="18">
        <f t="shared" si="401"/>
        <v>0</v>
      </c>
      <c r="L12856" s="27">
        <v>180.84</v>
      </c>
      <c r="M12856" s="36">
        <v>52.93</v>
      </c>
      <c r="T12856" s="41">
        <v>0</v>
      </c>
      <c r="U12856" s="41">
        <v>0</v>
      </c>
      <c r="V12856" s="42" t="s">
        <v>113</v>
      </c>
      <c r="W12856" s="42">
        <v>0</v>
      </c>
      <c r="X12856" s="42">
        <v>278.58</v>
      </c>
    </row>
    <row r="12857" spans="1:24">
      <c r="A12857" s="27" t="s">
        <v>23040</v>
      </c>
      <c r="B12857" s="28" t="s">
        <v>19918</v>
      </c>
      <c r="C12857" s="27" t="s">
        <v>23041</v>
      </c>
      <c r="D12857" s="27" t="s">
        <v>17558</v>
      </c>
      <c r="E12857" s="29">
        <v>42579</v>
      </c>
      <c r="F12857" s="27">
        <v>5</v>
      </c>
      <c r="G12857" s="18">
        <v>278.58</v>
      </c>
      <c r="H12857" s="27">
        <f t="shared" si="400"/>
        <v>0</v>
      </c>
      <c r="I12857" s="18">
        <v>127.91</v>
      </c>
      <c r="J12857" s="27">
        <v>278.58</v>
      </c>
      <c r="K12857" s="18">
        <f t="shared" si="401"/>
        <v>0</v>
      </c>
      <c r="L12857" s="27">
        <v>180.84</v>
      </c>
      <c r="M12857" s="36">
        <v>52.93</v>
      </c>
      <c r="T12857" s="41">
        <v>0</v>
      </c>
      <c r="U12857" s="41">
        <v>0</v>
      </c>
      <c r="V12857" s="42" t="s">
        <v>113</v>
      </c>
      <c r="W12857" s="42">
        <v>0</v>
      </c>
      <c r="X12857" s="42">
        <v>278.58</v>
      </c>
    </row>
    <row r="12858" spans="1:24">
      <c r="A12858" s="27" t="s">
        <v>23042</v>
      </c>
      <c r="B12858" s="28" t="s">
        <v>19918</v>
      </c>
      <c r="C12858" s="27" t="s">
        <v>23043</v>
      </c>
      <c r="D12858" s="27" t="s">
        <v>17558</v>
      </c>
      <c r="E12858" s="29">
        <v>42579</v>
      </c>
      <c r="F12858" s="27">
        <v>5</v>
      </c>
      <c r="G12858" s="18">
        <v>278.58</v>
      </c>
      <c r="H12858" s="27">
        <f t="shared" si="400"/>
        <v>0</v>
      </c>
      <c r="I12858" s="18">
        <v>127.91</v>
      </c>
      <c r="J12858" s="27">
        <v>278.58</v>
      </c>
      <c r="K12858" s="18">
        <f t="shared" si="401"/>
        <v>0</v>
      </c>
      <c r="L12858" s="27">
        <v>180.84</v>
      </c>
      <c r="M12858" s="36">
        <v>52.93</v>
      </c>
      <c r="T12858" s="41">
        <v>0</v>
      </c>
      <c r="U12858" s="41">
        <v>0</v>
      </c>
      <c r="V12858" s="42" t="s">
        <v>113</v>
      </c>
      <c r="W12858" s="42">
        <v>0</v>
      </c>
      <c r="X12858" s="42">
        <v>278.58</v>
      </c>
    </row>
    <row r="12859" spans="1:24">
      <c r="A12859" s="27" t="s">
        <v>23044</v>
      </c>
      <c r="B12859" s="28" t="s">
        <v>19918</v>
      </c>
      <c r="C12859" s="27" t="s">
        <v>23045</v>
      </c>
      <c r="D12859" s="27" t="s">
        <v>17558</v>
      </c>
      <c r="E12859" s="29">
        <v>42579</v>
      </c>
      <c r="F12859" s="27">
        <v>5</v>
      </c>
      <c r="G12859" s="18">
        <v>278.58</v>
      </c>
      <c r="H12859" s="27">
        <f t="shared" si="400"/>
        <v>0</v>
      </c>
      <c r="I12859" s="18">
        <v>127.91</v>
      </c>
      <c r="J12859" s="27">
        <v>278.58</v>
      </c>
      <c r="K12859" s="18">
        <f t="shared" si="401"/>
        <v>0</v>
      </c>
      <c r="L12859" s="27">
        <v>180.84</v>
      </c>
      <c r="M12859" s="36">
        <v>52.93</v>
      </c>
      <c r="T12859" s="41">
        <v>0</v>
      </c>
      <c r="U12859" s="41">
        <v>0</v>
      </c>
      <c r="V12859" s="42" t="s">
        <v>113</v>
      </c>
      <c r="W12859" s="42">
        <v>0</v>
      </c>
      <c r="X12859" s="42">
        <v>278.58</v>
      </c>
    </row>
    <row r="12860" spans="1:24">
      <c r="A12860" s="27" t="s">
        <v>23046</v>
      </c>
      <c r="B12860" s="28" t="s">
        <v>19918</v>
      </c>
      <c r="C12860" s="27" t="s">
        <v>23047</v>
      </c>
      <c r="D12860" s="27" t="s">
        <v>17558</v>
      </c>
      <c r="E12860" s="29">
        <v>42579</v>
      </c>
      <c r="F12860" s="27">
        <v>5</v>
      </c>
      <c r="G12860" s="18">
        <v>278.58</v>
      </c>
      <c r="H12860" s="27">
        <f t="shared" si="400"/>
        <v>0</v>
      </c>
      <c r="I12860" s="18">
        <v>127.91</v>
      </c>
      <c r="J12860" s="27">
        <v>278.58</v>
      </c>
      <c r="K12860" s="18">
        <f t="shared" si="401"/>
        <v>0</v>
      </c>
      <c r="L12860" s="27">
        <v>180.84</v>
      </c>
      <c r="M12860" s="36">
        <v>52.93</v>
      </c>
      <c r="T12860" s="41">
        <v>0</v>
      </c>
      <c r="U12860" s="41">
        <v>0</v>
      </c>
      <c r="V12860" s="42" t="s">
        <v>113</v>
      </c>
      <c r="W12860" s="42">
        <v>0</v>
      </c>
      <c r="X12860" s="42">
        <v>278.58</v>
      </c>
    </row>
    <row r="12861" spans="1:24">
      <c r="A12861" s="27" t="s">
        <v>23048</v>
      </c>
      <c r="B12861" s="28" t="s">
        <v>19918</v>
      </c>
      <c r="C12861" s="27" t="s">
        <v>23049</v>
      </c>
      <c r="D12861" s="27" t="s">
        <v>17558</v>
      </c>
      <c r="E12861" s="29">
        <v>42579</v>
      </c>
      <c r="F12861" s="27">
        <v>5</v>
      </c>
      <c r="G12861" s="18">
        <v>278.58</v>
      </c>
      <c r="H12861" s="27">
        <f t="shared" si="400"/>
        <v>0</v>
      </c>
      <c r="I12861" s="18">
        <v>127.91</v>
      </c>
      <c r="J12861" s="27">
        <v>278.58</v>
      </c>
      <c r="K12861" s="18">
        <f t="shared" si="401"/>
        <v>0</v>
      </c>
      <c r="L12861" s="27">
        <v>180.84</v>
      </c>
      <c r="M12861" s="36">
        <v>52.93</v>
      </c>
      <c r="T12861" s="41">
        <v>0</v>
      </c>
      <c r="U12861" s="41">
        <v>0</v>
      </c>
      <c r="V12861" s="42" t="s">
        <v>113</v>
      </c>
      <c r="W12861" s="42">
        <v>0</v>
      </c>
      <c r="X12861" s="42">
        <v>278.58</v>
      </c>
    </row>
    <row r="12862" spans="1:24">
      <c r="A12862" s="27" t="s">
        <v>23050</v>
      </c>
      <c r="B12862" s="28" t="s">
        <v>19918</v>
      </c>
      <c r="C12862" s="27" t="s">
        <v>23051</v>
      </c>
      <c r="D12862" s="27" t="s">
        <v>17558</v>
      </c>
      <c r="E12862" s="29">
        <v>42579</v>
      </c>
      <c r="F12862" s="27">
        <v>5</v>
      </c>
      <c r="G12862" s="18">
        <v>278.58</v>
      </c>
      <c r="H12862" s="27">
        <f t="shared" si="400"/>
        <v>0</v>
      </c>
      <c r="I12862" s="18">
        <v>127.91</v>
      </c>
      <c r="J12862" s="27">
        <v>278.58</v>
      </c>
      <c r="K12862" s="18">
        <f t="shared" si="401"/>
        <v>0</v>
      </c>
      <c r="L12862" s="27">
        <v>180.84</v>
      </c>
      <c r="M12862" s="36">
        <v>52.93</v>
      </c>
      <c r="T12862" s="41">
        <v>0</v>
      </c>
      <c r="U12862" s="41">
        <v>0</v>
      </c>
      <c r="V12862" s="42" t="s">
        <v>113</v>
      </c>
      <c r="W12862" s="42">
        <v>0</v>
      </c>
      <c r="X12862" s="42">
        <v>278.58</v>
      </c>
    </row>
    <row r="12863" spans="1:24">
      <c r="A12863" s="27" t="s">
        <v>23052</v>
      </c>
      <c r="B12863" s="28" t="s">
        <v>19918</v>
      </c>
      <c r="C12863" s="27" t="s">
        <v>23053</v>
      </c>
      <c r="D12863" s="27" t="s">
        <v>17558</v>
      </c>
      <c r="E12863" s="29">
        <v>42579</v>
      </c>
      <c r="F12863" s="27">
        <v>5</v>
      </c>
      <c r="G12863" s="18">
        <v>278.58</v>
      </c>
      <c r="H12863" s="27">
        <f t="shared" si="400"/>
        <v>0</v>
      </c>
      <c r="I12863" s="18">
        <v>127.91</v>
      </c>
      <c r="J12863" s="27">
        <v>278.58</v>
      </c>
      <c r="K12863" s="18">
        <f t="shared" si="401"/>
        <v>0</v>
      </c>
      <c r="L12863" s="27">
        <v>180.84</v>
      </c>
      <c r="M12863" s="36">
        <v>52.93</v>
      </c>
      <c r="T12863" s="41">
        <v>0</v>
      </c>
      <c r="U12863" s="41">
        <v>0</v>
      </c>
      <c r="V12863" s="42" t="s">
        <v>113</v>
      </c>
      <c r="W12863" s="42">
        <v>0</v>
      </c>
      <c r="X12863" s="42">
        <v>278.58</v>
      </c>
    </row>
    <row r="12864" spans="1:24">
      <c r="A12864" s="27" t="s">
        <v>23054</v>
      </c>
      <c r="B12864" s="28" t="s">
        <v>19918</v>
      </c>
      <c r="C12864" s="27" t="s">
        <v>23055</v>
      </c>
      <c r="D12864" s="27" t="s">
        <v>17558</v>
      </c>
      <c r="E12864" s="29">
        <v>42579</v>
      </c>
      <c r="F12864" s="27">
        <v>5</v>
      </c>
      <c r="G12864" s="18">
        <v>278.58</v>
      </c>
      <c r="H12864" s="27">
        <f t="shared" si="400"/>
        <v>0</v>
      </c>
      <c r="I12864" s="18">
        <v>127.91</v>
      </c>
      <c r="J12864" s="27">
        <v>278.58</v>
      </c>
      <c r="K12864" s="18">
        <f t="shared" si="401"/>
        <v>0</v>
      </c>
      <c r="L12864" s="27">
        <v>180.84</v>
      </c>
      <c r="M12864" s="36">
        <v>52.93</v>
      </c>
      <c r="T12864" s="41">
        <v>0</v>
      </c>
      <c r="U12864" s="41">
        <v>0</v>
      </c>
      <c r="V12864" s="42" t="s">
        <v>113</v>
      </c>
      <c r="W12864" s="42">
        <v>0</v>
      </c>
      <c r="X12864" s="42">
        <v>278.58</v>
      </c>
    </row>
    <row r="12865" spans="1:24">
      <c r="A12865" s="27" t="s">
        <v>23056</v>
      </c>
      <c r="B12865" s="28" t="s">
        <v>19918</v>
      </c>
      <c r="C12865" s="27" t="s">
        <v>23057</v>
      </c>
      <c r="D12865" s="27" t="s">
        <v>17558</v>
      </c>
      <c r="E12865" s="29">
        <v>42579</v>
      </c>
      <c r="F12865" s="27">
        <v>5</v>
      </c>
      <c r="G12865" s="18">
        <v>278.58</v>
      </c>
      <c r="H12865" s="27">
        <f t="shared" si="400"/>
        <v>0</v>
      </c>
      <c r="I12865" s="18">
        <v>127.91</v>
      </c>
      <c r="J12865" s="27">
        <v>278.58</v>
      </c>
      <c r="K12865" s="18">
        <f t="shared" si="401"/>
        <v>0</v>
      </c>
      <c r="L12865" s="27">
        <v>180.84</v>
      </c>
      <c r="M12865" s="36">
        <v>52.93</v>
      </c>
      <c r="T12865" s="41">
        <v>0</v>
      </c>
      <c r="U12865" s="41">
        <v>0</v>
      </c>
      <c r="V12865" s="42" t="s">
        <v>113</v>
      </c>
      <c r="W12865" s="42">
        <v>0</v>
      </c>
      <c r="X12865" s="42">
        <v>278.58</v>
      </c>
    </row>
    <row r="12866" spans="1:24">
      <c r="A12866" s="27" t="s">
        <v>23058</v>
      </c>
      <c r="B12866" s="28" t="s">
        <v>19918</v>
      </c>
      <c r="C12866" s="27" t="s">
        <v>23059</v>
      </c>
      <c r="D12866" s="27" t="s">
        <v>17558</v>
      </c>
      <c r="E12866" s="29">
        <v>42579</v>
      </c>
      <c r="F12866" s="27">
        <v>5</v>
      </c>
      <c r="G12866" s="18">
        <v>278.58</v>
      </c>
      <c r="H12866" s="27">
        <f t="shared" si="400"/>
        <v>0</v>
      </c>
      <c r="I12866" s="18">
        <v>127.91</v>
      </c>
      <c r="J12866" s="27">
        <v>278.58</v>
      </c>
      <c r="K12866" s="18">
        <f t="shared" si="401"/>
        <v>0</v>
      </c>
      <c r="L12866" s="27">
        <v>180.84</v>
      </c>
      <c r="M12866" s="36">
        <v>52.93</v>
      </c>
      <c r="T12866" s="41">
        <v>0</v>
      </c>
      <c r="U12866" s="41">
        <v>0</v>
      </c>
      <c r="V12866" s="42" t="s">
        <v>113</v>
      </c>
      <c r="W12866" s="42">
        <v>0</v>
      </c>
      <c r="X12866" s="42">
        <v>278.58</v>
      </c>
    </row>
    <row r="12867" spans="1:24">
      <c r="A12867" s="27" t="s">
        <v>23060</v>
      </c>
      <c r="B12867" s="28" t="s">
        <v>19918</v>
      </c>
      <c r="C12867" s="27" t="s">
        <v>23061</v>
      </c>
      <c r="D12867" s="27" t="s">
        <v>17558</v>
      </c>
      <c r="E12867" s="29">
        <v>42579</v>
      </c>
      <c r="F12867" s="27">
        <v>5</v>
      </c>
      <c r="G12867" s="18">
        <v>278.58999999999997</v>
      </c>
      <c r="H12867" s="27">
        <f t="shared" si="400"/>
        <v>0</v>
      </c>
      <c r="I12867" s="18">
        <v>127.92</v>
      </c>
      <c r="J12867" s="27">
        <v>278.58999999999997</v>
      </c>
      <c r="K12867" s="18">
        <f t="shared" si="401"/>
        <v>0</v>
      </c>
      <c r="L12867" s="27">
        <v>180.85</v>
      </c>
      <c r="M12867" s="36">
        <v>52.93</v>
      </c>
      <c r="T12867" s="41">
        <v>0</v>
      </c>
      <c r="U12867" s="41">
        <v>0</v>
      </c>
      <c r="V12867" s="42" t="s">
        <v>113</v>
      </c>
      <c r="W12867" s="42">
        <v>0</v>
      </c>
      <c r="X12867" s="42">
        <v>278.58999999999997</v>
      </c>
    </row>
    <row r="12868" spans="1:24">
      <c r="A12868" s="27" t="s">
        <v>23062</v>
      </c>
      <c r="B12868" s="28" t="s">
        <v>19918</v>
      </c>
      <c r="C12868" s="27" t="s">
        <v>23063</v>
      </c>
      <c r="D12868" s="27" t="s">
        <v>17558</v>
      </c>
      <c r="E12868" s="29">
        <v>42579</v>
      </c>
      <c r="F12868" s="27">
        <v>5</v>
      </c>
      <c r="G12868" s="18">
        <v>278.58999999999997</v>
      </c>
      <c r="H12868" s="27">
        <f t="shared" si="400"/>
        <v>0</v>
      </c>
      <c r="I12868" s="18">
        <v>127.92</v>
      </c>
      <c r="J12868" s="27">
        <v>278.58999999999997</v>
      </c>
      <c r="K12868" s="18">
        <f t="shared" si="401"/>
        <v>0</v>
      </c>
      <c r="L12868" s="27">
        <v>180.85</v>
      </c>
      <c r="M12868" s="36">
        <v>52.93</v>
      </c>
      <c r="T12868" s="41">
        <v>0</v>
      </c>
      <c r="U12868" s="41">
        <v>0</v>
      </c>
      <c r="V12868" s="42" t="s">
        <v>113</v>
      </c>
      <c r="W12868" s="42">
        <v>0</v>
      </c>
      <c r="X12868" s="42">
        <v>278.58999999999997</v>
      </c>
    </row>
    <row r="12869" spans="1:24">
      <c r="A12869" s="27" t="s">
        <v>23064</v>
      </c>
      <c r="B12869" s="28" t="s">
        <v>19918</v>
      </c>
      <c r="C12869" s="27" t="s">
        <v>23065</v>
      </c>
      <c r="D12869" s="27" t="s">
        <v>17558</v>
      </c>
      <c r="E12869" s="29">
        <v>42579</v>
      </c>
      <c r="F12869" s="27">
        <v>5</v>
      </c>
      <c r="G12869" s="18">
        <v>278.58999999999997</v>
      </c>
      <c r="H12869" s="27">
        <f t="shared" si="400"/>
        <v>0</v>
      </c>
      <c r="I12869" s="18">
        <v>127.92</v>
      </c>
      <c r="J12869" s="27">
        <v>278.58999999999997</v>
      </c>
      <c r="K12869" s="18">
        <f t="shared" si="401"/>
        <v>0</v>
      </c>
      <c r="L12869" s="27">
        <v>180.85</v>
      </c>
      <c r="M12869" s="36">
        <v>52.93</v>
      </c>
      <c r="T12869" s="41">
        <v>0</v>
      </c>
      <c r="U12869" s="41">
        <v>0</v>
      </c>
      <c r="V12869" s="42" t="s">
        <v>113</v>
      </c>
      <c r="W12869" s="42">
        <v>0</v>
      </c>
      <c r="X12869" s="42">
        <v>278.58999999999997</v>
      </c>
    </row>
    <row r="12870" spans="1:24">
      <c r="A12870" s="27" t="s">
        <v>23066</v>
      </c>
      <c r="B12870" s="28" t="s">
        <v>19918</v>
      </c>
      <c r="C12870" s="27" t="s">
        <v>23067</v>
      </c>
      <c r="D12870" s="27" t="s">
        <v>17558</v>
      </c>
      <c r="E12870" s="29">
        <v>42579</v>
      </c>
      <c r="F12870" s="27">
        <v>5</v>
      </c>
      <c r="G12870" s="18">
        <v>278.58999999999997</v>
      </c>
      <c r="H12870" s="27">
        <f t="shared" ref="H12870:H12933" si="402">IFERROR(IF(ROUND((G12870-I12870)/G12870,2)&lt;=0.05,G12870,0),0)</f>
        <v>0</v>
      </c>
      <c r="I12870" s="18">
        <v>127.92</v>
      </c>
      <c r="J12870" s="27">
        <v>278.58999999999997</v>
      </c>
      <c r="K12870" s="18">
        <f t="shared" ref="K12870:K12933" si="403">IFERROR(IF(ROUND((J12870-L12870)/J12870,2)&lt;=0.05,J12870,0),0)</f>
        <v>0</v>
      </c>
      <c r="L12870" s="27">
        <v>180.85</v>
      </c>
      <c r="M12870" s="36">
        <v>52.93</v>
      </c>
      <c r="T12870" s="41">
        <v>0</v>
      </c>
      <c r="U12870" s="41">
        <v>0</v>
      </c>
      <c r="V12870" s="42" t="s">
        <v>113</v>
      </c>
      <c r="W12870" s="42">
        <v>0</v>
      </c>
      <c r="X12870" s="42">
        <v>278.58999999999997</v>
      </c>
    </row>
    <row r="12871" spans="1:24">
      <c r="A12871" s="27" t="s">
        <v>23068</v>
      </c>
      <c r="B12871" s="28" t="s">
        <v>19918</v>
      </c>
      <c r="C12871" s="27" t="s">
        <v>23069</v>
      </c>
      <c r="D12871" s="27" t="s">
        <v>17558</v>
      </c>
      <c r="E12871" s="29">
        <v>42579</v>
      </c>
      <c r="F12871" s="27">
        <v>5</v>
      </c>
      <c r="G12871" s="18">
        <v>278.58999999999997</v>
      </c>
      <c r="H12871" s="27">
        <f t="shared" si="402"/>
        <v>0</v>
      </c>
      <c r="I12871" s="18">
        <v>127.92</v>
      </c>
      <c r="J12871" s="27">
        <v>278.58999999999997</v>
      </c>
      <c r="K12871" s="18">
        <f t="shared" si="403"/>
        <v>0</v>
      </c>
      <c r="L12871" s="27">
        <v>180.85</v>
      </c>
      <c r="M12871" s="36">
        <v>52.93</v>
      </c>
      <c r="T12871" s="41">
        <v>0</v>
      </c>
      <c r="U12871" s="41">
        <v>0</v>
      </c>
      <c r="V12871" s="42" t="s">
        <v>113</v>
      </c>
      <c r="W12871" s="42">
        <v>0</v>
      </c>
      <c r="X12871" s="42">
        <v>278.58999999999997</v>
      </c>
    </row>
    <row r="12872" spans="1:24">
      <c r="A12872" s="27" t="s">
        <v>23070</v>
      </c>
      <c r="B12872" s="28" t="s">
        <v>19918</v>
      </c>
      <c r="C12872" s="27" t="s">
        <v>23071</v>
      </c>
      <c r="D12872" s="27" t="s">
        <v>17558</v>
      </c>
      <c r="E12872" s="29">
        <v>42579</v>
      </c>
      <c r="F12872" s="27">
        <v>5</v>
      </c>
      <c r="G12872" s="18">
        <v>278.58999999999997</v>
      </c>
      <c r="H12872" s="27">
        <f t="shared" si="402"/>
        <v>0</v>
      </c>
      <c r="I12872" s="18">
        <v>127.92</v>
      </c>
      <c r="J12872" s="27">
        <v>278.58999999999997</v>
      </c>
      <c r="K12872" s="18">
        <f t="shared" si="403"/>
        <v>0</v>
      </c>
      <c r="L12872" s="27">
        <v>180.85</v>
      </c>
      <c r="M12872" s="36">
        <v>52.93</v>
      </c>
      <c r="T12872" s="41">
        <v>0</v>
      </c>
      <c r="U12872" s="41">
        <v>0</v>
      </c>
      <c r="V12872" s="42" t="s">
        <v>113</v>
      </c>
      <c r="W12872" s="42">
        <v>0</v>
      </c>
      <c r="X12872" s="42">
        <v>278.58999999999997</v>
      </c>
    </row>
    <row r="12873" spans="1:24">
      <c r="A12873" s="27" t="s">
        <v>23072</v>
      </c>
      <c r="B12873" s="28" t="s">
        <v>19918</v>
      </c>
      <c r="C12873" s="27" t="s">
        <v>23073</v>
      </c>
      <c r="D12873" s="27" t="s">
        <v>17558</v>
      </c>
      <c r="E12873" s="29">
        <v>42579</v>
      </c>
      <c r="F12873" s="27">
        <v>5</v>
      </c>
      <c r="G12873" s="18">
        <v>278.58999999999997</v>
      </c>
      <c r="H12873" s="27">
        <f t="shared" si="402"/>
        <v>0</v>
      </c>
      <c r="I12873" s="18">
        <v>127.92</v>
      </c>
      <c r="J12873" s="27">
        <v>278.58999999999997</v>
      </c>
      <c r="K12873" s="18">
        <f t="shared" si="403"/>
        <v>0</v>
      </c>
      <c r="L12873" s="27">
        <v>180.85</v>
      </c>
      <c r="M12873" s="36">
        <v>52.93</v>
      </c>
      <c r="T12873" s="41">
        <v>0</v>
      </c>
      <c r="U12873" s="41">
        <v>0</v>
      </c>
      <c r="V12873" s="42" t="s">
        <v>113</v>
      </c>
      <c r="W12873" s="42">
        <v>0</v>
      </c>
      <c r="X12873" s="42">
        <v>278.58999999999997</v>
      </c>
    </row>
    <row r="12874" spans="1:24">
      <c r="A12874" s="27" t="s">
        <v>23074</v>
      </c>
      <c r="B12874" s="28" t="s">
        <v>19918</v>
      </c>
      <c r="C12874" s="27" t="s">
        <v>23075</v>
      </c>
      <c r="D12874" s="27" t="s">
        <v>17558</v>
      </c>
      <c r="E12874" s="29">
        <v>42579</v>
      </c>
      <c r="F12874" s="27">
        <v>5</v>
      </c>
      <c r="G12874" s="18">
        <v>278.58999999999997</v>
      </c>
      <c r="H12874" s="27">
        <f t="shared" si="402"/>
        <v>0</v>
      </c>
      <c r="I12874" s="18">
        <v>127.92</v>
      </c>
      <c r="J12874" s="27">
        <v>278.58999999999997</v>
      </c>
      <c r="K12874" s="18">
        <f t="shared" si="403"/>
        <v>0</v>
      </c>
      <c r="L12874" s="27">
        <v>180.85</v>
      </c>
      <c r="M12874" s="36">
        <v>52.93</v>
      </c>
      <c r="T12874" s="41">
        <v>0</v>
      </c>
      <c r="U12874" s="41">
        <v>0</v>
      </c>
      <c r="V12874" s="42" t="s">
        <v>113</v>
      </c>
      <c r="W12874" s="42">
        <v>0</v>
      </c>
      <c r="X12874" s="42">
        <v>278.58999999999997</v>
      </c>
    </row>
    <row r="12875" spans="1:24">
      <c r="A12875" s="27" t="s">
        <v>23076</v>
      </c>
      <c r="B12875" s="28" t="s">
        <v>19918</v>
      </c>
      <c r="C12875" s="27" t="s">
        <v>23077</v>
      </c>
      <c r="D12875" s="27" t="s">
        <v>17558</v>
      </c>
      <c r="E12875" s="29">
        <v>42579</v>
      </c>
      <c r="F12875" s="27">
        <v>5</v>
      </c>
      <c r="G12875" s="18">
        <v>278.58999999999997</v>
      </c>
      <c r="H12875" s="27">
        <f t="shared" si="402"/>
        <v>0</v>
      </c>
      <c r="I12875" s="18">
        <v>127.92</v>
      </c>
      <c r="J12875" s="27">
        <v>278.58999999999997</v>
      </c>
      <c r="K12875" s="18">
        <f t="shared" si="403"/>
        <v>0</v>
      </c>
      <c r="L12875" s="27">
        <v>180.85</v>
      </c>
      <c r="M12875" s="36">
        <v>52.93</v>
      </c>
      <c r="T12875" s="41">
        <v>0</v>
      </c>
      <c r="U12875" s="41">
        <v>0</v>
      </c>
      <c r="V12875" s="42" t="s">
        <v>113</v>
      </c>
      <c r="W12875" s="42">
        <v>0</v>
      </c>
      <c r="X12875" s="42">
        <v>278.58999999999997</v>
      </c>
    </row>
    <row r="12876" spans="1:24">
      <c r="A12876" s="27" t="s">
        <v>23078</v>
      </c>
      <c r="B12876" s="28" t="s">
        <v>19918</v>
      </c>
      <c r="C12876" s="27" t="s">
        <v>23079</v>
      </c>
      <c r="D12876" s="27" t="s">
        <v>17558</v>
      </c>
      <c r="E12876" s="29">
        <v>42579</v>
      </c>
      <c r="F12876" s="27">
        <v>5</v>
      </c>
      <c r="G12876" s="18">
        <v>278.58999999999997</v>
      </c>
      <c r="H12876" s="27">
        <f t="shared" si="402"/>
        <v>0</v>
      </c>
      <c r="I12876" s="18">
        <v>127.92</v>
      </c>
      <c r="J12876" s="27">
        <v>278.58999999999997</v>
      </c>
      <c r="K12876" s="18">
        <f t="shared" si="403"/>
        <v>0</v>
      </c>
      <c r="L12876" s="27">
        <v>180.85</v>
      </c>
      <c r="M12876" s="36">
        <v>52.93</v>
      </c>
      <c r="T12876" s="41">
        <v>0</v>
      </c>
      <c r="U12876" s="41">
        <v>0</v>
      </c>
      <c r="V12876" s="42" t="s">
        <v>113</v>
      </c>
      <c r="W12876" s="42">
        <v>0</v>
      </c>
      <c r="X12876" s="42">
        <v>278.58999999999997</v>
      </c>
    </row>
    <row r="12877" spans="1:24">
      <c r="A12877" s="27" t="s">
        <v>23080</v>
      </c>
      <c r="B12877" s="28" t="s">
        <v>19918</v>
      </c>
      <c r="C12877" s="27" t="s">
        <v>23081</v>
      </c>
      <c r="D12877" s="27" t="s">
        <v>17558</v>
      </c>
      <c r="E12877" s="29">
        <v>42579</v>
      </c>
      <c r="F12877" s="27">
        <v>5</v>
      </c>
      <c r="G12877" s="18">
        <v>278.58999999999997</v>
      </c>
      <c r="H12877" s="27">
        <f t="shared" si="402"/>
        <v>0</v>
      </c>
      <c r="I12877" s="18">
        <v>127.92</v>
      </c>
      <c r="J12877" s="27">
        <v>278.58999999999997</v>
      </c>
      <c r="K12877" s="18">
        <f t="shared" si="403"/>
        <v>0</v>
      </c>
      <c r="L12877" s="27">
        <v>180.85</v>
      </c>
      <c r="M12877" s="36">
        <v>52.93</v>
      </c>
      <c r="T12877" s="41">
        <v>0</v>
      </c>
      <c r="U12877" s="41">
        <v>0</v>
      </c>
      <c r="V12877" s="42" t="s">
        <v>113</v>
      </c>
      <c r="W12877" s="42">
        <v>0</v>
      </c>
      <c r="X12877" s="42">
        <v>278.58999999999997</v>
      </c>
    </row>
    <row r="12878" spans="1:24">
      <c r="A12878" s="27" t="s">
        <v>23082</v>
      </c>
      <c r="B12878" s="28" t="s">
        <v>19918</v>
      </c>
      <c r="C12878" s="27" t="s">
        <v>23083</v>
      </c>
      <c r="D12878" s="27" t="s">
        <v>17558</v>
      </c>
      <c r="E12878" s="29">
        <v>42579</v>
      </c>
      <c r="F12878" s="27">
        <v>5</v>
      </c>
      <c r="G12878" s="18">
        <v>278.58999999999997</v>
      </c>
      <c r="H12878" s="27">
        <f t="shared" si="402"/>
        <v>0</v>
      </c>
      <c r="I12878" s="18">
        <v>127.92</v>
      </c>
      <c r="J12878" s="27">
        <v>278.58999999999997</v>
      </c>
      <c r="K12878" s="18">
        <f t="shared" si="403"/>
        <v>0</v>
      </c>
      <c r="L12878" s="27">
        <v>180.85</v>
      </c>
      <c r="M12878" s="36">
        <v>52.93</v>
      </c>
      <c r="T12878" s="41">
        <v>0</v>
      </c>
      <c r="U12878" s="41">
        <v>0</v>
      </c>
      <c r="V12878" s="42" t="s">
        <v>113</v>
      </c>
      <c r="W12878" s="42">
        <v>0</v>
      </c>
      <c r="X12878" s="42">
        <v>278.58999999999997</v>
      </c>
    </row>
    <row r="12879" spans="1:24">
      <c r="A12879" s="27" t="s">
        <v>23084</v>
      </c>
      <c r="B12879" s="28" t="s">
        <v>19918</v>
      </c>
      <c r="C12879" s="27" t="s">
        <v>23085</v>
      </c>
      <c r="D12879" s="27" t="s">
        <v>17558</v>
      </c>
      <c r="E12879" s="29">
        <v>42579</v>
      </c>
      <c r="F12879" s="27">
        <v>5</v>
      </c>
      <c r="G12879" s="18">
        <v>278.58999999999997</v>
      </c>
      <c r="H12879" s="27">
        <f t="shared" si="402"/>
        <v>0</v>
      </c>
      <c r="I12879" s="18">
        <v>127.92</v>
      </c>
      <c r="J12879" s="27">
        <v>278.58999999999997</v>
      </c>
      <c r="K12879" s="18">
        <f t="shared" si="403"/>
        <v>0</v>
      </c>
      <c r="L12879" s="27">
        <v>180.85</v>
      </c>
      <c r="M12879" s="36">
        <v>52.93</v>
      </c>
      <c r="T12879" s="41">
        <v>0</v>
      </c>
      <c r="U12879" s="41">
        <v>0</v>
      </c>
      <c r="V12879" s="42" t="s">
        <v>113</v>
      </c>
      <c r="W12879" s="42">
        <v>0</v>
      </c>
      <c r="X12879" s="42">
        <v>278.58999999999997</v>
      </c>
    </row>
    <row r="12880" spans="1:24">
      <c r="A12880" s="27" t="s">
        <v>23086</v>
      </c>
      <c r="B12880" s="28" t="s">
        <v>19918</v>
      </c>
      <c r="C12880" s="27" t="s">
        <v>23087</v>
      </c>
      <c r="D12880" s="27" t="s">
        <v>17558</v>
      </c>
      <c r="E12880" s="29">
        <v>42579</v>
      </c>
      <c r="F12880" s="27">
        <v>5</v>
      </c>
      <c r="G12880" s="18">
        <v>278.58999999999997</v>
      </c>
      <c r="H12880" s="27">
        <f t="shared" si="402"/>
        <v>0</v>
      </c>
      <c r="I12880" s="18">
        <v>127.92</v>
      </c>
      <c r="J12880" s="27">
        <v>278.58999999999997</v>
      </c>
      <c r="K12880" s="18">
        <f t="shared" si="403"/>
        <v>0</v>
      </c>
      <c r="L12880" s="27">
        <v>180.85</v>
      </c>
      <c r="M12880" s="36">
        <v>52.93</v>
      </c>
      <c r="T12880" s="41">
        <v>0</v>
      </c>
      <c r="U12880" s="41">
        <v>0</v>
      </c>
      <c r="V12880" s="42" t="s">
        <v>113</v>
      </c>
      <c r="W12880" s="42">
        <v>0</v>
      </c>
      <c r="X12880" s="42">
        <v>278.58999999999997</v>
      </c>
    </row>
    <row r="12881" spans="1:24">
      <c r="A12881" s="27" t="s">
        <v>23088</v>
      </c>
      <c r="B12881" s="28" t="s">
        <v>19918</v>
      </c>
      <c r="C12881" s="27" t="s">
        <v>23089</v>
      </c>
      <c r="D12881" s="27" t="s">
        <v>17558</v>
      </c>
      <c r="E12881" s="29">
        <v>42579</v>
      </c>
      <c r="F12881" s="27">
        <v>5</v>
      </c>
      <c r="G12881" s="18">
        <v>278.58999999999997</v>
      </c>
      <c r="H12881" s="27">
        <f t="shared" si="402"/>
        <v>0</v>
      </c>
      <c r="I12881" s="18">
        <v>127.92</v>
      </c>
      <c r="J12881" s="27">
        <v>278.58999999999997</v>
      </c>
      <c r="K12881" s="18">
        <f t="shared" si="403"/>
        <v>0</v>
      </c>
      <c r="L12881" s="27">
        <v>180.85</v>
      </c>
      <c r="M12881" s="36">
        <v>52.93</v>
      </c>
      <c r="T12881" s="41">
        <v>0</v>
      </c>
      <c r="U12881" s="41">
        <v>0</v>
      </c>
      <c r="V12881" s="42" t="s">
        <v>113</v>
      </c>
      <c r="W12881" s="42">
        <v>0</v>
      </c>
      <c r="X12881" s="42">
        <v>278.58999999999997</v>
      </c>
    </row>
    <row r="12882" spans="1:24">
      <c r="A12882" s="27" t="s">
        <v>23090</v>
      </c>
      <c r="B12882" s="28" t="s">
        <v>19918</v>
      </c>
      <c r="C12882" s="27" t="s">
        <v>23091</v>
      </c>
      <c r="D12882" s="27" t="s">
        <v>17558</v>
      </c>
      <c r="E12882" s="29">
        <v>42579</v>
      </c>
      <c r="F12882" s="27">
        <v>5</v>
      </c>
      <c r="G12882" s="18">
        <v>278.58999999999997</v>
      </c>
      <c r="H12882" s="27">
        <f t="shared" si="402"/>
        <v>0</v>
      </c>
      <c r="I12882" s="18">
        <v>127.92</v>
      </c>
      <c r="J12882" s="27">
        <v>278.58999999999997</v>
      </c>
      <c r="K12882" s="18">
        <f t="shared" si="403"/>
        <v>0</v>
      </c>
      <c r="L12882" s="27">
        <v>180.85</v>
      </c>
      <c r="M12882" s="36">
        <v>52.93</v>
      </c>
      <c r="T12882" s="41">
        <v>0</v>
      </c>
      <c r="U12882" s="41">
        <v>0</v>
      </c>
      <c r="V12882" s="42" t="s">
        <v>113</v>
      </c>
      <c r="W12882" s="42">
        <v>0</v>
      </c>
      <c r="X12882" s="42">
        <v>278.58999999999997</v>
      </c>
    </row>
    <row r="12883" spans="1:24">
      <c r="A12883" s="27" t="s">
        <v>23092</v>
      </c>
      <c r="B12883" s="28" t="s">
        <v>19918</v>
      </c>
      <c r="C12883" s="27" t="s">
        <v>23093</v>
      </c>
      <c r="D12883" s="27" t="s">
        <v>17558</v>
      </c>
      <c r="E12883" s="29">
        <v>42579</v>
      </c>
      <c r="F12883" s="27">
        <v>5</v>
      </c>
      <c r="G12883" s="18">
        <v>278.58999999999997</v>
      </c>
      <c r="H12883" s="27">
        <f t="shared" si="402"/>
        <v>0</v>
      </c>
      <c r="I12883" s="18">
        <v>127.92</v>
      </c>
      <c r="J12883" s="27">
        <v>278.58999999999997</v>
      </c>
      <c r="K12883" s="18">
        <f t="shared" si="403"/>
        <v>0</v>
      </c>
      <c r="L12883" s="27">
        <v>180.85</v>
      </c>
      <c r="M12883" s="36">
        <v>52.93</v>
      </c>
      <c r="T12883" s="41">
        <v>0</v>
      </c>
      <c r="U12883" s="41">
        <v>0</v>
      </c>
      <c r="V12883" s="42" t="s">
        <v>113</v>
      </c>
      <c r="W12883" s="42">
        <v>0</v>
      </c>
      <c r="X12883" s="42">
        <v>278.58999999999997</v>
      </c>
    </row>
    <row r="12884" spans="1:24">
      <c r="A12884" s="27" t="s">
        <v>23094</v>
      </c>
      <c r="B12884" s="28" t="s">
        <v>19918</v>
      </c>
      <c r="C12884" s="27" t="s">
        <v>23095</v>
      </c>
      <c r="D12884" s="27" t="s">
        <v>17558</v>
      </c>
      <c r="E12884" s="29">
        <v>42579</v>
      </c>
      <c r="F12884" s="27">
        <v>5</v>
      </c>
      <c r="G12884" s="18">
        <v>278.58999999999997</v>
      </c>
      <c r="H12884" s="27">
        <f t="shared" si="402"/>
        <v>0</v>
      </c>
      <c r="I12884" s="18">
        <v>127.92</v>
      </c>
      <c r="J12884" s="27">
        <v>278.58999999999997</v>
      </c>
      <c r="K12884" s="18">
        <f t="shared" si="403"/>
        <v>0</v>
      </c>
      <c r="L12884" s="27">
        <v>180.85</v>
      </c>
      <c r="M12884" s="36">
        <v>52.93</v>
      </c>
      <c r="T12884" s="41">
        <v>0</v>
      </c>
      <c r="U12884" s="41">
        <v>0</v>
      </c>
      <c r="V12884" s="42" t="s">
        <v>113</v>
      </c>
      <c r="W12884" s="42">
        <v>0</v>
      </c>
      <c r="X12884" s="42">
        <v>278.58999999999997</v>
      </c>
    </row>
    <row r="12885" spans="1:24">
      <c r="A12885" s="27" t="s">
        <v>23096</v>
      </c>
      <c r="B12885" s="28" t="s">
        <v>19918</v>
      </c>
      <c r="C12885" s="27" t="s">
        <v>23097</v>
      </c>
      <c r="D12885" s="27" t="s">
        <v>17558</v>
      </c>
      <c r="E12885" s="29">
        <v>42579</v>
      </c>
      <c r="F12885" s="27">
        <v>5</v>
      </c>
      <c r="G12885" s="18">
        <v>278.58999999999997</v>
      </c>
      <c r="H12885" s="27">
        <f t="shared" si="402"/>
        <v>0</v>
      </c>
      <c r="I12885" s="18">
        <v>127.92</v>
      </c>
      <c r="J12885" s="27">
        <v>278.58999999999997</v>
      </c>
      <c r="K12885" s="18">
        <f t="shared" si="403"/>
        <v>0</v>
      </c>
      <c r="L12885" s="27">
        <v>180.85</v>
      </c>
      <c r="M12885" s="36">
        <v>52.93</v>
      </c>
      <c r="T12885" s="41">
        <v>0</v>
      </c>
      <c r="U12885" s="41">
        <v>0</v>
      </c>
      <c r="V12885" s="42" t="s">
        <v>113</v>
      </c>
      <c r="W12885" s="42">
        <v>0</v>
      </c>
      <c r="X12885" s="42">
        <v>278.58999999999997</v>
      </c>
    </row>
    <row r="12886" spans="1:24">
      <c r="A12886" s="27" t="s">
        <v>23098</v>
      </c>
      <c r="B12886" s="28" t="s">
        <v>19918</v>
      </c>
      <c r="C12886" s="27" t="s">
        <v>23099</v>
      </c>
      <c r="D12886" s="27" t="s">
        <v>17558</v>
      </c>
      <c r="E12886" s="29">
        <v>42579</v>
      </c>
      <c r="F12886" s="27">
        <v>5</v>
      </c>
      <c r="G12886" s="18">
        <v>278.58999999999997</v>
      </c>
      <c r="H12886" s="27">
        <f t="shared" si="402"/>
        <v>0</v>
      </c>
      <c r="I12886" s="18">
        <v>127.92</v>
      </c>
      <c r="J12886" s="27">
        <v>278.58999999999997</v>
      </c>
      <c r="K12886" s="18">
        <f t="shared" si="403"/>
        <v>0</v>
      </c>
      <c r="L12886" s="27">
        <v>180.85</v>
      </c>
      <c r="M12886" s="36">
        <v>52.93</v>
      </c>
      <c r="T12886" s="41">
        <v>0</v>
      </c>
      <c r="U12886" s="41">
        <v>0</v>
      </c>
      <c r="V12886" s="42" t="s">
        <v>113</v>
      </c>
      <c r="W12886" s="42">
        <v>0</v>
      </c>
      <c r="X12886" s="42">
        <v>278.58999999999997</v>
      </c>
    </row>
    <row r="12887" spans="1:24">
      <c r="A12887" s="27" t="s">
        <v>23100</v>
      </c>
      <c r="B12887" s="28" t="s">
        <v>19918</v>
      </c>
      <c r="C12887" s="27" t="s">
        <v>23101</v>
      </c>
      <c r="D12887" s="27" t="s">
        <v>17558</v>
      </c>
      <c r="E12887" s="29">
        <v>42579</v>
      </c>
      <c r="F12887" s="27">
        <v>5</v>
      </c>
      <c r="G12887" s="18">
        <v>278.58999999999997</v>
      </c>
      <c r="H12887" s="27">
        <f t="shared" si="402"/>
        <v>0</v>
      </c>
      <c r="I12887" s="18">
        <v>127.92</v>
      </c>
      <c r="J12887" s="27">
        <v>278.58999999999997</v>
      </c>
      <c r="K12887" s="18">
        <f t="shared" si="403"/>
        <v>0</v>
      </c>
      <c r="L12887" s="27">
        <v>180.85</v>
      </c>
      <c r="M12887" s="36">
        <v>52.93</v>
      </c>
      <c r="T12887" s="41">
        <v>0</v>
      </c>
      <c r="U12887" s="41">
        <v>0</v>
      </c>
      <c r="V12887" s="42" t="s">
        <v>113</v>
      </c>
      <c r="W12887" s="42">
        <v>0</v>
      </c>
      <c r="X12887" s="42">
        <v>278.58999999999997</v>
      </c>
    </row>
    <row r="12888" spans="1:24">
      <c r="A12888" s="27" t="s">
        <v>23102</v>
      </c>
      <c r="B12888" s="28" t="s">
        <v>19918</v>
      </c>
      <c r="C12888" s="27" t="s">
        <v>23103</v>
      </c>
      <c r="D12888" s="27" t="s">
        <v>17558</v>
      </c>
      <c r="E12888" s="29">
        <v>42579</v>
      </c>
      <c r="F12888" s="27">
        <v>5</v>
      </c>
      <c r="G12888" s="18">
        <v>278.58999999999997</v>
      </c>
      <c r="H12888" s="27">
        <f t="shared" si="402"/>
        <v>0</v>
      </c>
      <c r="I12888" s="18">
        <v>127.92</v>
      </c>
      <c r="J12888" s="27">
        <v>278.58999999999997</v>
      </c>
      <c r="K12888" s="18">
        <f t="shared" si="403"/>
        <v>0</v>
      </c>
      <c r="L12888" s="27">
        <v>180.85</v>
      </c>
      <c r="M12888" s="36">
        <v>52.93</v>
      </c>
      <c r="T12888" s="41">
        <v>0</v>
      </c>
      <c r="U12888" s="41">
        <v>0</v>
      </c>
      <c r="V12888" s="42" t="s">
        <v>113</v>
      </c>
      <c r="W12888" s="42">
        <v>0</v>
      </c>
      <c r="X12888" s="42">
        <v>278.58999999999997</v>
      </c>
    </row>
    <row r="12889" spans="1:24">
      <c r="A12889" s="27" t="s">
        <v>23104</v>
      </c>
      <c r="B12889" s="28" t="s">
        <v>19918</v>
      </c>
      <c r="C12889" s="27" t="s">
        <v>23105</v>
      </c>
      <c r="D12889" s="27" t="s">
        <v>17558</v>
      </c>
      <c r="E12889" s="29">
        <v>42579</v>
      </c>
      <c r="F12889" s="27">
        <v>5</v>
      </c>
      <c r="G12889" s="18">
        <v>278.58999999999997</v>
      </c>
      <c r="H12889" s="27">
        <f t="shared" si="402"/>
        <v>0</v>
      </c>
      <c r="I12889" s="18">
        <v>127.92</v>
      </c>
      <c r="J12889" s="27">
        <v>278.58999999999997</v>
      </c>
      <c r="K12889" s="18">
        <f t="shared" si="403"/>
        <v>0</v>
      </c>
      <c r="L12889" s="27">
        <v>180.85</v>
      </c>
      <c r="M12889" s="36">
        <v>52.93</v>
      </c>
      <c r="T12889" s="41">
        <v>0</v>
      </c>
      <c r="U12889" s="41">
        <v>0</v>
      </c>
      <c r="V12889" s="42" t="s">
        <v>113</v>
      </c>
      <c r="W12889" s="42">
        <v>0</v>
      </c>
      <c r="X12889" s="42">
        <v>278.58999999999997</v>
      </c>
    </row>
    <row r="12890" spans="1:24">
      <c r="A12890" s="27" t="s">
        <v>23106</v>
      </c>
      <c r="B12890" s="28" t="s">
        <v>19918</v>
      </c>
      <c r="C12890" s="27" t="s">
        <v>23107</v>
      </c>
      <c r="D12890" s="27" t="s">
        <v>17558</v>
      </c>
      <c r="E12890" s="29">
        <v>42579</v>
      </c>
      <c r="F12890" s="27">
        <v>5</v>
      </c>
      <c r="G12890" s="18">
        <v>278.58999999999997</v>
      </c>
      <c r="H12890" s="27">
        <f t="shared" si="402"/>
        <v>0</v>
      </c>
      <c r="I12890" s="18">
        <v>127.92</v>
      </c>
      <c r="J12890" s="27">
        <v>278.58999999999997</v>
      </c>
      <c r="K12890" s="18">
        <f t="shared" si="403"/>
        <v>0</v>
      </c>
      <c r="L12890" s="27">
        <v>180.85</v>
      </c>
      <c r="M12890" s="36">
        <v>52.93</v>
      </c>
      <c r="T12890" s="41">
        <v>0</v>
      </c>
      <c r="U12890" s="41">
        <v>0</v>
      </c>
      <c r="V12890" s="42" t="s">
        <v>113</v>
      </c>
      <c r="W12890" s="42">
        <v>0</v>
      </c>
      <c r="X12890" s="42">
        <v>278.58999999999997</v>
      </c>
    </row>
    <row r="12891" spans="1:24">
      <c r="A12891" s="27" t="s">
        <v>23108</v>
      </c>
      <c r="B12891" s="28" t="s">
        <v>19918</v>
      </c>
      <c r="C12891" s="27" t="s">
        <v>23109</v>
      </c>
      <c r="D12891" s="27" t="s">
        <v>17558</v>
      </c>
      <c r="E12891" s="29">
        <v>42579</v>
      </c>
      <c r="F12891" s="27">
        <v>5</v>
      </c>
      <c r="G12891" s="18">
        <v>278.58999999999997</v>
      </c>
      <c r="H12891" s="27">
        <f t="shared" si="402"/>
        <v>0</v>
      </c>
      <c r="I12891" s="18">
        <v>127.92</v>
      </c>
      <c r="J12891" s="27">
        <v>278.58999999999997</v>
      </c>
      <c r="K12891" s="18">
        <f t="shared" si="403"/>
        <v>0</v>
      </c>
      <c r="L12891" s="27">
        <v>180.85</v>
      </c>
      <c r="M12891" s="36">
        <v>52.93</v>
      </c>
      <c r="T12891" s="41">
        <v>0</v>
      </c>
      <c r="U12891" s="41">
        <v>0</v>
      </c>
      <c r="V12891" s="42" t="s">
        <v>113</v>
      </c>
      <c r="W12891" s="42">
        <v>0</v>
      </c>
      <c r="X12891" s="42">
        <v>278.58999999999997</v>
      </c>
    </row>
    <row r="12892" spans="1:24">
      <c r="A12892" s="27" t="s">
        <v>23110</v>
      </c>
      <c r="B12892" s="28" t="s">
        <v>19918</v>
      </c>
      <c r="C12892" s="27" t="s">
        <v>23111</v>
      </c>
      <c r="D12892" s="27" t="s">
        <v>17558</v>
      </c>
      <c r="E12892" s="29">
        <v>42579</v>
      </c>
      <c r="F12892" s="27">
        <v>5</v>
      </c>
      <c r="G12892" s="18">
        <v>278.58999999999997</v>
      </c>
      <c r="H12892" s="27">
        <f t="shared" si="402"/>
        <v>0</v>
      </c>
      <c r="I12892" s="18">
        <v>127.92</v>
      </c>
      <c r="J12892" s="27">
        <v>278.58999999999997</v>
      </c>
      <c r="K12892" s="18">
        <f t="shared" si="403"/>
        <v>0</v>
      </c>
      <c r="L12892" s="27">
        <v>180.85</v>
      </c>
      <c r="M12892" s="36">
        <v>52.93</v>
      </c>
      <c r="T12892" s="41">
        <v>0</v>
      </c>
      <c r="U12892" s="41">
        <v>0</v>
      </c>
      <c r="V12892" s="42" t="s">
        <v>113</v>
      </c>
      <c r="W12892" s="42">
        <v>0</v>
      </c>
      <c r="X12892" s="42">
        <v>278.58999999999997</v>
      </c>
    </row>
    <row r="12893" spans="1:24">
      <c r="A12893" s="27" t="s">
        <v>23112</v>
      </c>
      <c r="B12893" s="28" t="s">
        <v>19918</v>
      </c>
      <c r="C12893" s="27" t="s">
        <v>23113</v>
      </c>
      <c r="D12893" s="27" t="s">
        <v>17558</v>
      </c>
      <c r="E12893" s="29">
        <v>42579</v>
      </c>
      <c r="F12893" s="27">
        <v>5</v>
      </c>
      <c r="G12893" s="18">
        <v>278.58999999999997</v>
      </c>
      <c r="H12893" s="27">
        <f t="shared" si="402"/>
        <v>0</v>
      </c>
      <c r="I12893" s="18">
        <v>127.92</v>
      </c>
      <c r="J12893" s="27">
        <v>278.58999999999997</v>
      </c>
      <c r="K12893" s="18">
        <f t="shared" si="403"/>
        <v>0</v>
      </c>
      <c r="L12893" s="27">
        <v>180.85</v>
      </c>
      <c r="M12893" s="36">
        <v>52.93</v>
      </c>
      <c r="T12893" s="41">
        <v>0</v>
      </c>
      <c r="U12893" s="41">
        <v>0</v>
      </c>
      <c r="V12893" s="42" t="s">
        <v>113</v>
      </c>
      <c r="W12893" s="42">
        <v>0</v>
      </c>
      <c r="X12893" s="42">
        <v>278.58999999999997</v>
      </c>
    </row>
    <row r="12894" spans="1:24">
      <c r="A12894" s="27" t="s">
        <v>23114</v>
      </c>
      <c r="B12894" s="28" t="s">
        <v>19918</v>
      </c>
      <c r="C12894" s="27" t="s">
        <v>23115</v>
      </c>
      <c r="D12894" s="27" t="s">
        <v>17558</v>
      </c>
      <c r="E12894" s="29">
        <v>42579</v>
      </c>
      <c r="F12894" s="27">
        <v>5</v>
      </c>
      <c r="G12894" s="18">
        <v>278.58999999999997</v>
      </c>
      <c r="H12894" s="27">
        <f t="shared" si="402"/>
        <v>0</v>
      </c>
      <c r="I12894" s="18">
        <v>127.92</v>
      </c>
      <c r="J12894" s="27">
        <v>278.58999999999997</v>
      </c>
      <c r="K12894" s="18">
        <f t="shared" si="403"/>
        <v>0</v>
      </c>
      <c r="L12894" s="27">
        <v>180.85</v>
      </c>
      <c r="M12894" s="36">
        <v>52.93</v>
      </c>
      <c r="T12894" s="41">
        <v>0</v>
      </c>
      <c r="U12894" s="41">
        <v>0</v>
      </c>
      <c r="V12894" s="42" t="s">
        <v>113</v>
      </c>
      <c r="W12894" s="42">
        <v>0</v>
      </c>
      <c r="X12894" s="42">
        <v>278.58999999999997</v>
      </c>
    </row>
    <row r="12895" spans="1:24">
      <c r="A12895" s="27" t="s">
        <v>23116</v>
      </c>
      <c r="B12895" s="28" t="s">
        <v>19918</v>
      </c>
      <c r="C12895" s="27" t="s">
        <v>23117</v>
      </c>
      <c r="D12895" s="27" t="s">
        <v>17558</v>
      </c>
      <c r="E12895" s="29">
        <v>42579</v>
      </c>
      <c r="F12895" s="27">
        <v>5</v>
      </c>
      <c r="G12895" s="18">
        <v>278.58999999999997</v>
      </c>
      <c r="H12895" s="27">
        <f t="shared" si="402"/>
        <v>0</v>
      </c>
      <c r="I12895" s="18">
        <v>127.92</v>
      </c>
      <c r="J12895" s="27">
        <v>278.58999999999997</v>
      </c>
      <c r="K12895" s="18">
        <f t="shared" si="403"/>
        <v>0</v>
      </c>
      <c r="L12895" s="27">
        <v>180.85</v>
      </c>
      <c r="M12895" s="36">
        <v>52.93</v>
      </c>
      <c r="T12895" s="41">
        <v>0</v>
      </c>
      <c r="U12895" s="41">
        <v>0</v>
      </c>
      <c r="V12895" s="42" t="s">
        <v>113</v>
      </c>
      <c r="W12895" s="42">
        <v>0</v>
      </c>
      <c r="X12895" s="42">
        <v>278.58999999999997</v>
      </c>
    </row>
    <row r="12896" spans="1:24">
      <c r="A12896" s="27" t="s">
        <v>23118</v>
      </c>
      <c r="B12896" s="28" t="s">
        <v>19918</v>
      </c>
      <c r="C12896" s="27" t="s">
        <v>23119</v>
      </c>
      <c r="D12896" s="27" t="s">
        <v>17558</v>
      </c>
      <c r="E12896" s="29">
        <v>42579</v>
      </c>
      <c r="F12896" s="27">
        <v>5</v>
      </c>
      <c r="G12896" s="18">
        <v>278.58999999999997</v>
      </c>
      <c r="H12896" s="27">
        <f t="shared" si="402"/>
        <v>0</v>
      </c>
      <c r="I12896" s="18">
        <v>127.92</v>
      </c>
      <c r="J12896" s="27">
        <v>278.58999999999997</v>
      </c>
      <c r="K12896" s="18">
        <f t="shared" si="403"/>
        <v>0</v>
      </c>
      <c r="L12896" s="27">
        <v>180.85</v>
      </c>
      <c r="M12896" s="36">
        <v>52.93</v>
      </c>
      <c r="T12896" s="41">
        <v>0</v>
      </c>
      <c r="U12896" s="41">
        <v>0</v>
      </c>
      <c r="V12896" s="42" t="s">
        <v>113</v>
      </c>
      <c r="W12896" s="42">
        <v>0</v>
      </c>
      <c r="X12896" s="42">
        <v>278.58999999999997</v>
      </c>
    </row>
    <row r="12897" spans="1:24">
      <c r="A12897" s="27" t="s">
        <v>23120</v>
      </c>
      <c r="B12897" s="28" t="s">
        <v>19918</v>
      </c>
      <c r="C12897" s="27" t="s">
        <v>23121</v>
      </c>
      <c r="D12897" s="27" t="s">
        <v>17558</v>
      </c>
      <c r="E12897" s="29">
        <v>42579</v>
      </c>
      <c r="F12897" s="27">
        <v>5</v>
      </c>
      <c r="G12897" s="18">
        <v>278.58999999999997</v>
      </c>
      <c r="H12897" s="27">
        <f t="shared" si="402"/>
        <v>0</v>
      </c>
      <c r="I12897" s="18">
        <v>127.92</v>
      </c>
      <c r="J12897" s="27">
        <v>278.58999999999997</v>
      </c>
      <c r="K12897" s="18">
        <f t="shared" si="403"/>
        <v>0</v>
      </c>
      <c r="L12897" s="27">
        <v>180.85</v>
      </c>
      <c r="M12897" s="36">
        <v>52.93</v>
      </c>
      <c r="T12897" s="41">
        <v>0</v>
      </c>
      <c r="U12897" s="41">
        <v>0</v>
      </c>
      <c r="V12897" s="42" t="s">
        <v>113</v>
      </c>
      <c r="W12897" s="42">
        <v>0</v>
      </c>
      <c r="X12897" s="42">
        <v>278.58999999999997</v>
      </c>
    </row>
    <row r="12898" spans="1:24">
      <c r="A12898" s="27" t="s">
        <v>23122</v>
      </c>
      <c r="B12898" s="28" t="s">
        <v>19918</v>
      </c>
      <c r="C12898" s="27" t="s">
        <v>23123</v>
      </c>
      <c r="D12898" s="27" t="s">
        <v>17558</v>
      </c>
      <c r="E12898" s="29">
        <v>42579</v>
      </c>
      <c r="F12898" s="27">
        <v>5</v>
      </c>
      <c r="G12898" s="18">
        <v>278.58999999999997</v>
      </c>
      <c r="H12898" s="27">
        <f t="shared" si="402"/>
        <v>0</v>
      </c>
      <c r="I12898" s="18">
        <v>127.92</v>
      </c>
      <c r="J12898" s="27">
        <v>278.58999999999997</v>
      </c>
      <c r="K12898" s="18">
        <f t="shared" si="403"/>
        <v>0</v>
      </c>
      <c r="L12898" s="27">
        <v>180.85</v>
      </c>
      <c r="M12898" s="36">
        <v>52.93</v>
      </c>
      <c r="T12898" s="41">
        <v>0</v>
      </c>
      <c r="U12898" s="41">
        <v>0</v>
      </c>
      <c r="V12898" s="42" t="s">
        <v>113</v>
      </c>
      <c r="W12898" s="42">
        <v>0</v>
      </c>
      <c r="X12898" s="42">
        <v>278.58999999999997</v>
      </c>
    </row>
    <row r="12899" spans="1:24">
      <c r="A12899" s="27" t="s">
        <v>23124</v>
      </c>
      <c r="B12899" s="28" t="s">
        <v>19918</v>
      </c>
      <c r="C12899" s="27" t="s">
        <v>23125</v>
      </c>
      <c r="D12899" s="27" t="s">
        <v>17558</v>
      </c>
      <c r="E12899" s="29">
        <v>42579</v>
      </c>
      <c r="F12899" s="27">
        <v>5</v>
      </c>
      <c r="G12899" s="18">
        <v>278.58999999999997</v>
      </c>
      <c r="H12899" s="27">
        <f t="shared" si="402"/>
        <v>0</v>
      </c>
      <c r="I12899" s="18">
        <v>127.92</v>
      </c>
      <c r="J12899" s="27">
        <v>278.58999999999997</v>
      </c>
      <c r="K12899" s="18">
        <f t="shared" si="403"/>
        <v>0</v>
      </c>
      <c r="L12899" s="27">
        <v>180.85</v>
      </c>
      <c r="M12899" s="36">
        <v>52.93</v>
      </c>
      <c r="T12899" s="41">
        <v>0</v>
      </c>
      <c r="U12899" s="41">
        <v>0</v>
      </c>
      <c r="V12899" s="42" t="s">
        <v>113</v>
      </c>
      <c r="W12899" s="42">
        <v>0</v>
      </c>
      <c r="X12899" s="42">
        <v>278.58999999999997</v>
      </c>
    </row>
    <row r="12900" spans="1:24">
      <c r="A12900" s="27" t="s">
        <v>23126</v>
      </c>
      <c r="B12900" s="28" t="s">
        <v>19918</v>
      </c>
      <c r="C12900" s="27" t="s">
        <v>23127</v>
      </c>
      <c r="D12900" s="27" t="s">
        <v>17558</v>
      </c>
      <c r="E12900" s="29">
        <v>42579</v>
      </c>
      <c r="F12900" s="27">
        <v>5</v>
      </c>
      <c r="G12900" s="18">
        <v>278.58999999999997</v>
      </c>
      <c r="H12900" s="27">
        <f t="shared" si="402"/>
        <v>0</v>
      </c>
      <c r="I12900" s="18">
        <v>127.92</v>
      </c>
      <c r="J12900" s="27">
        <v>278.58999999999997</v>
      </c>
      <c r="K12900" s="18">
        <f t="shared" si="403"/>
        <v>0</v>
      </c>
      <c r="L12900" s="27">
        <v>180.85</v>
      </c>
      <c r="M12900" s="36">
        <v>52.93</v>
      </c>
      <c r="T12900" s="41">
        <v>0</v>
      </c>
      <c r="U12900" s="41">
        <v>0</v>
      </c>
      <c r="V12900" s="42" t="s">
        <v>113</v>
      </c>
      <c r="W12900" s="42">
        <v>0</v>
      </c>
      <c r="X12900" s="42">
        <v>278.58999999999997</v>
      </c>
    </row>
    <row r="12901" spans="1:24">
      <c r="A12901" s="27" t="s">
        <v>23128</v>
      </c>
      <c r="B12901" s="28" t="s">
        <v>19918</v>
      </c>
      <c r="C12901" s="27" t="s">
        <v>23129</v>
      </c>
      <c r="D12901" s="27" t="s">
        <v>17558</v>
      </c>
      <c r="E12901" s="29">
        <v>42579</v>
      </c>
      <c r="F12901" s="27">
        <v>5</v>
      </c>
      <c r="G12901" s="18">
        <v>278.58999999999997</v>
      </c>
      <c r="H12901" s="27">
        <f t="shared" si="402"/>
        <v>0</v>
      </c>
      <c r="I12901" s="18">
        <v>127.92</v>
      </c>
      <c r="J12901" s="27">
        <v>278.58999999999997</v>
      </c>
      <c r="K12901" s="18">
        <f t="shared" si="403"/>
        <v>0</v>
      </c>
      <c r="L12901" s="27">
        <v>180.85</v>
      </c>
      <c r="M12901" s="36">
        <v>52.93</v>
      </c>
      <c r="T12901" s="41">
        <v>0</v>
      </c>
      <c r="U12901" s="41">
        <v>0</v>
      </c>
      <c r="V12901" s="42" t="s">
        <v>113</v>
      </c>
      <c r="W12901" s="42">
        <v>0</v>
      </c>
      <c r="X12901" s="42">
        <v>278.58999999999997</v>
      </c>
    </row>
    <row r="12902" spans="1:24">
      <c r="A12902" s="27" t="s">
        <v>23130</v>
      </c>
      <c r="B12902" s="28" t="s">
        <v>19918</v>
      </c>
      <c r="C12902" s="27" t="s">
        <v>23131</v>
      </c>
      <c r="D12902" s="27" t="s">
        <v>17558</v>
      </c>
      <c r="E12902" s="29">
        <v>42579</v>
      </c>
      <c r="F12902" s="27">
        <v>5</v>
      </c>
      <c r="G12902" s="18">
        <v>278.58999999999997</v>
      </c>
      <c r="H12902" s="27">
        <f t="shared" si="402"/>
        <v>0</v>
      </c>
      <c r="I12902" s="18">
        <v>127.92</v>
      </c>
      <c r="J12902" s="27">
        <v>278.58999999999997</v>
      </c>
      <c r="K12902" s="18">
        <f t="shared" si="403"/>
        <v>0</v>
      </c>
      <c r="L12902" s="27">
        <v>180.85</v>
      </c>
      <c r="M12902" s="36">
        <v>52.93</v>
      </c>
      <c r="T12902" s="41">
        <v>0</v>
      </c>
      <c r="U12902" s="41">
        <v>0</v>
      </c>
      <c r="V12902" s="42" t="s">
        <v>113</v>
      </c>
      <c r="W12902" s="42">
        <v>0</v>
      </c>
      <c r="X12902" s="42">
        <v>278.58999999999997</v>
      </c>
    </row>
    <row r="12903" spans="1:24">
      <c r="A12903" s="27" t="s">
        <v>23132</v>
      </c>
      <c r="B12903" s="28" t="s">
        <v>19918</v>
      </c>
      <c r="C12903" s="27" t="s">
        <v>23133</v>
      </c>
      <c r="D12903" s="27" t="s">
        <v>17558</v>
      </c>
      <c r="E12903" s="29">
        <v>42579</v>
      </c>
      <c r="F12903" s="27">
        <v>5</v>
      </c>
      <c r="G12903" s="18">
        <v>278.58999999999997</v>
      </c>
      <c r="H12903" s="27">
        <f t="shared" si="402"/>
        <v>0</v>
      </c>
      <c r="I12903" s="18">
        <v>127.92</v>
      </c>
      <c r="J12903" s="27">
        <v>278.58999999999997</v>
      </c>
      <c r="K12903" s="18">
        <f t="shared" si="403"/>
        <v>0</v>
      </c>
      <c r="L12903" s="27">
        <v>180.85</v>
      </c>
      <c r="M12903" s="36">
        <v>52.93</v>
      </c>
      <c r="T12903" s="41">
        <v>0</v>
      </c>
      <c r="U12903" s="41">
        <v>0</v>
      </c>
      <c r="V12903" s="42" t="s">
        <v>113</v>
      </c>
      <c r="W12903" s="42">
        <v>0</v>
      </c>
      <c r="X12903" s="42">
        <v>278.58999999999997</v>
      </c>
    </row>
    <row r="12904" spans="1:24">
      <c r="A12904" s="27" t="s">
        <v>23134</v>
      </c>
      <c r="B12904" s="28" t="s">
        <v>19918</v>
      </c>
      <c r="C12904" s="27" t="s">
        <v>23135</v>
      </c>
      <c r="D12904" s="27" t="s">
        <v>17558</v>
      </c>
      <c r="E12904" s="29">
        <v>42579</v>
      </c>
      <c r="F12904" s="27">
        <v>5</v>
      </c>
      <c r="G12904" s="18">
        <v>278.58999999999997</v>
      </c>
      <c r="H12904" s="27">
        <f t="shared" si="402"/>
        <v>0</v>
      </c>
      <c r="I12904" s="18">
        <v>127.92</v>
      </c>
      <c r="J12904" s="27">
        <v>278.58999999999997</v>
      </c>
      <c r="K12904" s="18">
        <f t="shared" si="403"/>
        <v>0</v>
      </c>
      <c r="L12904" s="27">
        <v>180.85</v>
      </c>
      <c r="M12904" s="36">
        <v>52.93</v>
      </c>
      <c r="T12904" s="41">
        <v>0</v>
      </c>
      <c r="U12904" s="41">
        <v>0</v>
      </c>
      <c r="V12904" s="42" t="s">
        <v>113</v>
      </c>
      <c r="W12904" s="42">
        <v>0</v>
      </c>
      <c r="X12904" s="42">
        <v>278.58999999999997</v>
      </c>
    </row>
    <row r="12905" spans="1:24">
      <c r="A12905" s="27" t="s">
        <v>23136</v>
      </c>
      <c r="B12905" s="28" t="s">
        <v>19918</v>
      </c>
      <c r="C12905" s="27" t="s">
        <v>23137</v>
      </c>
      <c r="D12905" s="27" t="s">
        <v>17558</v>
      </c>
      <c r="E12905" s="29">
        <v>42579</v>
      </c>
      <c r="F12905" s="27">
        <v>5</v>
      </c>
      <c r="G12905" s="18">
        <v>278.58999999999997</v>
      </c>
      <c r="H12905" s="27">
        <f t="shared" si="402"/>
        <v>0</v>
      </c>
      <c r="I12905" s="18">
        <v>127.92</v>
      </c>
      <c r="J12905" s="27">
        <v>278.58999999999997</v>
      </c>
      <c r="K12905" s="18">
        <f t="shared" si="403"/>
        <v>0</v>
      </c>
      <c r="L12905" s="27">
        <v>180.85</v>
      </c>
      <c r="M12905" s="36">
        <v>52.93</v>
      </c>
      <c r="T12905" s="41">
        <v>0</v>
      </c>
      <c r="U12905" s="41">
        <v>0</v>
      </c>
      <c r="V12905" s="42" t="s">
        <v>113</v>
      </c>
      <c r="W12905" s="42">
        <v>0</v>
      </c>
      <c r="X12905" s="42">
        <v>278.58999999999997</v>
      </c>
    </row>
    <row r="12906" spans="1:24">
      <c r="A12906" s="27" t="s">
        <v>23138</v>
      </c>
      <c r="B12906" s="28" t="s">
        <v>19918</v>
      </c>
      <c r="C12906" s="27" t="s">
        <v>23139</v>
      </c>
      <c r="D12906" s="27" t="s">
        <v>17558</v>
      </c>
      <c r="E12906" s="29">
        <v>42579</v>
      </c>
      <c r="F12906" s="27">
        <v>5</v>
      </c>
      <c r="G12906" s="18">
        <v>278.58999999999997</v>
      </c>
      <c r="H12906" s="27">
        <f t="shared" si="402"/>
        <v>0</v>
      </c>
      <c r="I12906" s="18">
        <v>127.92</v>
      </c>
      <c r="J12906" s="27">
        <v>278.58999999999997</v>
      </c>
      <c r="K12906" s="18">
        <f t="shared" si="403"/>
        <v>0</v>
      </c>
      <c r="L12906" s="27">
        <v>180.85</v>
      </c>
      <c r="M12906" s="36">
        <v>52.93</v>
      </c>
      <c r="T12906" s="41">
        <v>0</v>
      </c>
      <c r="U12906" s="41">
        <v>0</v>
      </c>
      <c r="V12906" s="42" t="s">
        <v>113</v>
      </c>
      <c r="W12906" s="42">
        <v>0</v>
      </c>
      <c r="X12906" s="42">
        <v>278.58999999999997</v>
      </c>
    </row>
    <row r="12907" spans="1:24">
      <c r="A12907" s="27" t="s">
        <v>23140</v>
      </c>
      <c r="B12907" s="28" t="s">
        <v>19918</v>
      </c>
      <c r="C12907" s="27" t="s">
        <v>23141</v>
      </c>
      <c r="D12907" s="27" t="s">
        <v>17558</v>
      </c>
      <c r="E12907" s="29">
        <v>42579</v>
      </c>
      <c r="F12907" s="27">
        <v>5</v>
      </c>
      <c r="G12907" s="18">
        <v>278.58999999999997</v>
      </c>
      <c r="H12907" s="27">
        <f t="shared" si="402"/>
        <v>0</v>
      </c>
      <c r="I12907" s="18">
        <v>127.92</v>
      </c>
      <c r="J12907" s="27">
        <v>278.58999999999997</v>
      </c>
      <c r="K12907" s="18">
        <f t="shared" si="403"/>
        <v>0</v>
      </c>
      <c r="L12907" s="27">
        <v>180.85</v>
      </c>
      <c r="M12907" s="36">
        <v>52.93</v>
      </c>
      <c r="T12907" s="41">
        <v>0</v>
      </c>
      <c r="U12907" s="41">
        <v>0</v>
      </c>
      <c r="V12907" s="42" t="s">
        <v>113</v>
      </c>
      <c r="W12907" s="42">
        <v>0</v>
      </c>
      <c r="X12907" s="42">
        <v>278.58999999999997</v>
      </c>
    </row>
    <row r="12908" spans="1:24">
      <c r="A12908" s="27" t="s">
        <v>23142</v>
      </c>
      <c r="B12908" s="28" t="s">
        <v>19918</v>
      </c>
      <c r="C12908" s="27" t="s">
        <v>23143</v>
      </c>
      <c r="D12908" s="27" t="s">
        <v>17558</v>
      </c>
      <c r="E12908" s="29">
        <v>42579</v>
      </c>
      <c r="F12908" s="27">
        <v>5</v>
      </c>
      <c r="G12908" s="18">
        <v>278.58999999999997</v>
      </c>
      <c r="H12908" s="27">
        <f t="shared" si="402"/>
        <v>0</v>
      </c>
      <c r="I12908" s="18">
        <v>127.92</v>
      </c>
      <c r="J12908" s="27">
        <v>278.58999999999997</v>
      </c>
      <c r="K12908" s="18">
        <f t="shared" si="403"/>
        <v>0</v>
      </c>
      <c r="L12908" s="27">
        <v>180.85</v>
      </c>
      <c r="M12908" s="36">
        <v>52.93</v>
      </c>
      <c r="T12908" s="41">
        <v>0</v>
      </c>
      <c r="U12908" s="41">
        <v>0</v>
      </c>
      <c r="V12908" s="42" t="s">
        <v>113</v>
      </c>
      <c r="W12908" s="42">
        <v>0</v>
      </c>
      <c r="X12908" s="42">
        <v>278.58999999999997</v>
      </c>
    </row>
    <row r="12909" spans="1:24">
      <c r="A12909" s="27" t="s">
        <v>23144</v>
      </c>
      <c r="B12909" s="28" t="s">
        <v>19918</v>
      </c>
      <c r="C12909" s="27" t="s">
        <v>23145</v>
      </c>
      <c r="D12909" s="27" t="s">
        <v>17558</v>
      </c>
      <c r="E12909" s="29">
        <v>42579</v>
      </c>
      <c r="F12909" s="27">
        <v>5</v>
      </c>
      <c r="G12909" s="18">
        <v>278.58999999999997</v>
      </c>
      <c r="H12909" s="27">
        <f t="shared" si="402"/>
        <v>0</v>
      </c>
      <c r="I12909" s="18">
        <v>127.92</v>
      </c>
      <c r="J12909" s="27">
        <v>278.58999999999997</v>
      </c>
      <c r="K12909" s="18">
        <f t="shared" si="403"/>
        <v>0</v>
      </c>
      <c r="L12909" s="27">
        <v>180.85</v>
      </c>
      <c r="M12909" s="36">
        <v>52.93</v>
      </c>
      <c r="T12909" s="41">
        <v>0</v>
      </c>
      <c r="U12909" s="41">
        <v>0</v>
      </c>
      <c r="V12909" s="42" t="s">
        <v>113</v>
      </c>
      <c r="W12909" s="42">
        <v>0</v>
      </c>
      <c r="X12909" s="42">
        <v>278.58999999999997</v>
      </c>
    </row>
    <row r="12910" spans="1:24">
      <c r="A12910" s="27" t="s">
        <v>23146</v>
      </c>
      <c r="B12910" s="28" t="s">
        <v>19918</v>
      </c>
      <c r="C12910" s="27" t="s">
        <v>23147</v>
      </c>
      <c r="D12910" s="27" t="s">
        <v>17558</v>
      </c>
      <c r="E12910" s="29">
        <v>42579</v>
      </c>
      <c r="F12910" s="27">
        <v>5</v>
      </c>
      <c r="G12910" s="18">
        <v>557.17999999999995</v>
      </c>
      <c r="H12910" s="27">
        <f t="shared" si="402"/>
        <v>0</v>
      </c>
      <c r="I12910" s="18">
        <v>255.84</v>
      </c>
      <c r="J12910" s="27">
        <v>557.17999999999995</v>
      </c>
      <c r="K12910" s="18">
        <f t="shared" si="403"/>
        <v>0</v>
      </c>
      <c r="L12910" s="27">
        <v>361.7</v>
      </c>
      <c r="M12910" s="36">
        <v>105.86</v>
      </c>
      <c r="T12910" s="41">
        <v>0</v>
      </c>
      <c r="U12910" s="41">
        <v>0</v>
      </c>
      <c r="V12910" s="42" t="s">
        <v>113</v>
      </c>
      <c r="W12910" s="42">
        <v>0</v>
      </c>
      <c r="X12910" s="42">
        <v>557.17999999999995</v>
      </c>
    </row>
    <row r="12911" spans="1:24">
      <c r="A12911" s="27" t="s">
        <v>23148</v>
      </c>
      <c r="B12911" s="28" t="s">
        <v>19918</v>
      </c>
      <c r="C12911" s="27" t="s">
        <v>23149</v>
      </c>
      <c r="D12911" s="27" t="s">
        <v>17558</v>
      </c>
      <c r="E12911" s="29">
        <v>42579</v>
      </c>
      <c r="F12911" s="27">
        <v>5</v>
      </c>
      <c r="G12911" s="18">
        <v>278.58999999999997</v>
      </c>
      <c r="H12911" s="27">
        <f t="shared" si="402"/>
        <v>0</v>
      </c>
      <c r="I12911" s="18">
        <v>127.92</v>
      </c>
      <c r="J12911" s="27">
        <v>278.58999999999997</v>
      </c>
      <c r="K12911" s="18">
        <f t="shared" si="403"/>
        <v>0</v>
      </c>
      <c r="L12911" s="27">
        <v>180.85</v>
      </c>
      <c r="M12911" s="36">
        <v>52.93</v>
      </c>
      <c r="T12911" s="41">
        <v>0</v>
      </c>
      <c r="U12911" s="41">
        <v>0</v>
      </c>
      <c r="V12911" s="42" t="s">
        <v>113</v>
      </c>
      <c r="W12911" s="42">
        <v>0</v>
      </c>
      <c r="X12911" s="42">
        <v>278.58999999999997</v>
      </c>
    </row>
    <row r="12912" spans="1:24">
      <c r="A12912" s="27" t="s">
        <v>23150</v>
      </c>
      <c r="B12912" s="28" t="s">
        <v>19918</v>
      </c>
      <c r="C12912" s="27" t="s">
        <v>23151</v>
      </c>
      <c r="D12912" s="27" t="s">
        <v>17558</v>
      </c>
      <c r="E12912" s="29">
        <v>42579</v>
      </c>
      <c r="F12912" s="27">
        <v>5</v>
      </c>
      <c r="G12912" s="18">
        <v>278.58999999999997</v>
      </c>
      <c r="H12912" s="27">
        <f t="shared" si="402"/>
        <v>0</v>
      </c>
      <c r="I12912" s="18">
        <v>127.92</v>
      </c>
      <c r="J12912" s="27">
        <v>278.58999999999997</v>
      </c>
      <c r="K12912" s="18">
        <f t="shared" si="403"/>
        <v>0</v>
      </c>
      <c r="L12912" s="27">
        <v>180.85</v>
      </c>
      <c r="M12912" s="36">
        <v>52.93</v>
      </c>
      <c r="T12912" s="41">
        <v>0</v>
      </c>
      <c r="U12912" s="41">
        <v>0</v>
      </c>
      <c r="V12912" s="42" t="s">
        <v>113</v>
      </c>
      <c r="W12912" s="42">
        <v>0</v>
      </c>
      <c r="X12912" s="42">
        <v>278.58999999999997</v>
      </c>
    </row>
    <row r="12913" spans="1:24">
      <c r="A12913" s="27" t="s">
        <v>23152</v>
      </c>
      <c r="B12913" s="28" t="s">
        <v>19918</v>
      </c>
      <c r="C12913" s="27" t="s">
        <v>23153</v>
      </c>
      <c r="D12913" s="27" t="s">
        <v>17558</v>
      </c>
      <c r="E12913" s="29">
        <v>42579</v>
      </c>
      <c r="F12913" s="27">
        <v>5</v>
      </c>
      <c r="G12913" s="18">
        <v>278.58999999999997</v>
      </c>
      <c r="H12913" s="27">
        <f t="shared" si="402"/>
        <v>0</v>
      </c>
      <c r="I12913" s="18">
        <v>127.92</v>
      </c>
      <c r="J12913" s="27">
        <v>278.58999999999997</v>
      </c>
      <c r="K12913" s="18">
        <f t="shared" si="403"/>
        <v>0</v>
      </c>
      <c r="L12913" s="27">
        <v>180.85</v>
      </c>
      <c r="M12913" s="36">
        <v>52.93</v>
      </c>
      <c r="T12913" s="41">
        <v>0</v>
      </c>
      <c r="U12913" s="41">
        <v>0</v>
      </c>
      <c r="V12913" s="42" t="s">
        <v>113</v>
      </c>
      <c r="W12913" s="42">
        <v>0</v>
      </c>
      <c r="X12913" s="42">
        <v>278.58999999999997</v>
      </c>
    </row>
    <row r="12914" spans="1:24">
      <c r="A12914" s="27" t="s">
        <v>23154</v>
      </c>
      <c r="B12914" s="28" t="s">
        <v>19918</v>
      </c>
      <c r="C12914" s="27" t="s">
        <v>23155</v>
      </c>
      <c r="D12914" s="27" t="s">
        <v>17558</v>
      </c>
      <c r="E12914" s="29">
        <v>42579</v>
      </c>
      <c r="F12914" s="27">
        <v>5</v>
      </c>
      <c r="G12914" s="18">
        <v>278.58999999999997</v>
      </c>
      <c r="H12914" s="27">
        <f t="shared" si="402"/>
        <v>0</v>
      </c>
      <c r="I12914" s="18">
        <v>127.92</v>
      </c>
      <c r="J12914" s="27">
        <v>278.58999999999997</v>
      </c>
      <c r="K12914" s="18">
        <f t="shared" si="403"/>
        <v>0</v>
      </c>
      <c r="L12914" s="27">
        <v>180.85</v>
      </c>
      <c r="M12914" s="36">
        <v>52.93</v>
      </c>
      <c r="T12914" s="41">
        <v>0</v>
      </c>
      <c r="U12914" s="41">
        <v>0</v>
      </c>
      <c r="V12914" s="42" t="s">
        <v>113</v>
      </c>
      <c r="W12914" s="42">
        <v>0</v>
      </c>
      <c r="X12914" s="42">
        <v>278.58999999999997</v>
      </c>
    </row>
    <row r="12915" spans="1:24">
      <c r="A12915" s="27" t="s">
        <v>23156</v>
      </c>
      <c r="B12915" s="28" t="s">
        <v>19918</v>
      </c>
      <c r="C12915" s="27" t="s">
        <v>23157</v>
      </c>
      <c r="D12915" s="27" t="s">
        <v>17558</v>
      </c>
      <c r="E12915" s="29">
        <v>42579</v>
      </c>
      <c r="F12915" s="27">
        <v>5</v>
      </c>
      <c r="G12915" s="18">
        <v>278.58</v>
      </c>
      <c r="H12915" s="27">
        <f t="shared" si="402"/>
        <v>0</v>
      </c>
      <c r="I12915" s="18">
        <v>127.91</v>
      </c>
      <c r="J12915" s="27">
        <v>278.58</v>
      </c>
      <c r="K12915" s="18">
        <f t="shared" si="403"/>
        <v>0</v>
      </c>
      <c r="L12915" s="27">
        <v>180.84</v>
      </c>
      <c r="M12915" s="36">
        <v>52.93</v>
      </c>
      <c r="T12915" s="41">
        <v>0</v>
      </c>
      <c r="U12915" s="41">
        <v>0</v>
      </c>
      <c r="V12915" s="42" t="s">
        <v>113</v>
      </c>
      <c r="W12915" s="42">
        <v>0</v>
      </c>
      <c r="X12915" s="42">
        <v>278.58</v>
      </c>
    </row>
    <row r="12916" spans="1:24">
      <c r="A12916" s="27" t="s">
        <v>23158</v>
      </c>
      <c r="B12916" s="28" t="s">
        <v>19918</v>
      </c>
      <c r="C12916" s="27" t="s">
        <v>23159</v>
      </c>
      <c r="D12916" s="27" t="s">
        <v>17558</v>
      </c>
      <c r="E12916" s="29">
        <v>42579</v>
      </c>
      <c r="F12916" s="27">
        <v>5</v>
      </c>
      <c r="G12916" s="18">
        <v>278.58</v>
      </c>
      <c r="H12916" s="27">
        <f t="shared" si="402"/>
        <v>0</v>
      </c>
      <c r="I12916" s="18">
        <v>127.91</v>
      </c>
      <c r="J12916" s="27">
        <v>278.58</v>
      </c>
      <c r="K12916" s="18">
        <f t="shared" si="403"/>
        <v>0</v>
      </c>
      <c r="L12916" s="27">
        <v>180.84</v>
      </c>
      <c r="M12916" s="36">
        <v>52.93</v>
      </c>
      <c r="T12916" s="41">
        <v>0</v>
      </c>
      <c r="U12916" s="41">
        <v>0</v>
      </c>
      <c r="V12916" s="42" t="s">
        <v>113</v>
      </c>
      <c r="W12916" s="42">
        <v>0</v>
      </c>
      <c r="X12916" s="42">
        <v>278.58</v>
      </c>
    </row>
    <row r="12917" spans="1:24">
      <c r="A12917" s="27" t="s">
        <v>23160</v>
      </c>
      <c r="B12917" s="28" t="s">
        <v>19918</v>
      </c>
      <c r="C12917" s="27" t="s">
        <v>22730</v>
      </c>
      <c r="D12917" s="27" t="s">
        <v>17558</v>
      </c>
      <c r="E12917" s="29">
        <v>38563</v>
      </c>
      <c r="F12917" s="27">
        <v>5</v>
      </c>
      <c r="G12917" s="18">
        <v>3450</v>
      </c>
      <c r="H12917" s="27">
        <f t="shared" si="402"/>
        <v>3450</v>
      </c>
      <c r="I12917" s="18">
        <v>3450</v>
      </c>
      <c r="J12917" s="27">
        <v>3450</v>
      </c>
      <c r="K12917" s="18">
        <f t="shared" si="403"/>
        <v>3450</v>
      </c>
      <c r="L12917" s="27">
        <v>3450</v>
      </c>
      <c r="M12917" s="36">
        <v>0</v>
      </c>
      <c r="T12917" s="41">
        <v>0</v>
      </c>
      <c r="U12917" s="41">
        <v>0</v>
      </c>
      <c r="V12917" s="42" t="s">
        <v>113</v>
      </c>
      <c r="W12917" s="42">
        <v>3450</v>
      </c>
      <c r="X12917" s="42">
        <v>3450</v>
      </c>
    </row>
    <row r="12918" spans="1:24">
      <c r="A12918" s="27" t="s">
        <v>23161</v>
      </c>
      <c r="B12918" s="28" t="s">
        <v>19918</v>
      </c>
      <c r="C12918" s="27" t="s">
        <v>22730</v>
      </c>
      <c r="D12918" s="27" t="s">
        <v>17558</v>
      </c>
      <c r="E12918" s="29">
        <v>39015</v>
      </c>
      <c r="F12918" s="27">
        <v>5</v>
      </c>
      <c r="G12918" s="18">
        <v>11670</v>
      </c>
      <c r="H12918" s="27">
        <f t="shared" si="402"/>
        <v>11670</v>
      </c>
      <c r="I12918" s="18">
        <v>11086.5</v>
      </c>
      <c r="J12918" s="27">
        <v>11670</v>
      </c>
      <c r="K12918" s="18">
        <f t="shared" si="403"/>
        <v>11670</v>
      </c>
      <c r="L12918" s="27">
        <v>11086.5</v>
      </c>
      <c r="M12918" s="36">
        <v>0</v>
      </c>
      <c r="T12918" s="41">
        <v>0</v>
      </c>
      <c r="U12918" s="41">
        <v>0</v>
      </c>
      <c r="V12918" s="42" t="s">
        <v>113</v>
      </c>
      <c r="W12918" s="42">
        <v>11670</v>
      </c>
      <c r="X12918" s="42">
        <v>11670</v>
      </c>
    </row>
    <row r="12919" spans="1:24">
      <c r="A12919" s="27" t="s">
        <v>23162</v>
      </c>
      <c r="B12919" s="28" t="s">
        <v>19918</v>
      </c>
      <c r="C12919" s="27" t="s">
        <v>22730</v>
      </c>
      <c r="D12919" s="27" t="s">
        <v>17558</v>
      </c>
      <c r="E12919" s="29">
        <v>39447</v>
      </c>
      <c r="F12919" s="27">
        <v>5</v>
      </c>
      <c r="G12919" s="18">
        <v>5250</v>
      </c>
      <c r="H12919" s="27">
        <f t="shared" si="402"/>
        <v>5250</v>
      </c>
      <c r="I12919" s="18">
        <v>4987.5</v>
      </c>
      <c r="J12919" s="27">
        <v>5250</v>
      </c>
      <c r="K12919" s="18">
        <f t="shared" si="403"/>
        <v>5250</v>
      </c>
      <c r="L12919" s="27">
        <v>4987.5</v>
      </c>
      <c r="M12919" s="36">
        <v>0</v>
      </c>
      <c r="T12919" s="41">
        <v>0</v>
      </c>
      <c r="U12919" s="41">
        <v>0</v>
      </c>
      <c r="V12919" s="42" t="s">
        <v>113</v>
      </c>
      <c r="W12919" s="42">
        <v>5250</v>
      </c>
      <c r="X12919" s="42">
        <v>5250</v>
      </c>
    </row>
    <row r="12920" spans="1:24">
      <c r="A12920" s="27" t="s">
        <v>23163</v>
      </c>
      <c r="B12920" s="28" t="s">
        <v>19918</v>
      </c>
      <c r="C12920" s="27" t="s">
        <v>22730</v>
      </c>
      <c r="D12920" s="27" t="s">
        <v>17578</v>
      </c>
      <c r="E12920" s="29">
        <v>39447</v>
      </c>
      <c r="F12920" s="27">
        <v>5</v>
      </c>
      <c r="G12920" s="18">
        <v>7500</v>
      </c>
      <c r="H12920" s="27">
        <f t="shared" si="402"/>
        <v>7500</v>
      </c>
      <c r="I12920" s="18">
        <v>7125</v>
      </c>
      <c r="J12920" s="27">
        <v>7500</v>
      </c>
      <c r="K12920" s="18">
        <f t="shared" si="403"/>
        <v>7500</v>
      </c>
      <c r="L12920" s="27">
        <v>7125</v>
      </c>
      <c r="M12920" s="36">
        <v>0</v>
      </c>
      <c r="T12920" s="41">
        <v>0</v>
      </c>
      <c r="U12920" s="41">
        <v>0</v>
      </c>
      <c r="V12920" s="42" t="s">
        <v>113</v>
      </c>
      <c r="W12920" s="42">
        <v>7500</v>
      </c>
      <c r="X12920" s="42">
        <v>7500</v>
      </c>
    </row>
    <row r="12921" spans="1:24">
      <c r="A12921" s="27" t="s">
        <v>23164</v>
      </c>
      <c r="B12921" s="28" t="s">
        <v>19918</v>
      </c>
      <c r="C12921" s="27" t="s">
        <v>23165</v>
      </c>
      <c r="D12921" s="27" t="s">
        <v>17558</v>
      </c>
      <c r="E12921" s="29">
        <v>39813</v>
      </c>
      <c r="F12921" s="27">
        <v>5</v>
      </c>
      <c r="G12921" s="18">
        <v>4180</v>
      </c>
      <c r="H12921" s="27">
        <f t="shared" si="402"/>
        <v>4180</v>
      </c>
      <c r="I12921" s="18">
        <v>4180</v>
      </c>
      <c r="J12921" s="27">
        <v>4180</v>
      </c>
      <c r="K12921" s="18">
        <f t="shared" si="403"/>
        <v>4180</v>
      </c>
      <c r="L12921" s="27">
        <v>4180</v>
      </c>
      <c r="M12921" s="36">
        <v>0</v>
      </c>
      <c r="T12921" s="41">
        <v>0</v>
      </c>
      <c r="U12921" s="41">
        <v>0</v>
      </c>
      <c r="V12921" s="42" t="s">
        <v>113</v>
      </c>
      <c r="W12921" s="42">
        <v>4180</v>
      </c>
      <c r="X12921" s="42">
        <v>4180</v>
      </c>
    </row>
    <row r="12922" spans="1:24">
      <c r="A12922" s="27" t="s">
        <v>23166</v>
      </c>
      <c r="B12922" s="28" t="s">
        <v>19918</v>
      </c>
      <c r="C12922" s="27" t="s">
        <v>23167</v>
      </c>
      <c r="D12922" s="27" t="s">
        <v>17558</v>
      </c>
      <c r="E12922" s="29">
        <v>39813</v>
      </c>
      <c r="F12922" s="27">
        <v>5</v>
      </c>
      <c r="G12922" s="18">
        <v>3331</v>
      </c>
      <c r="H12922" s="27">
        <f t="shared" si="402"/>
        <v>3331</v>
      </c>
      <c r="I12922" s="18">
        <v>3331</v>
      </c>
      <c r="J12922" s="27">
        <v>3331</v>
      </c>
      <c r="K12922" s="18">
        <f t="shared" si="403"/>
        <v>3331</v>
      </c>
      <c r="L12922" s="27">
        <v>3331</v>
      </c>
      <c r="M12922" s="36">
        <v>0</v>
      </c>
      <c r="T12922" s="41">
        <v>0</v>
      </c>
      <c r="U12922" s="41">
        <v>0</v>
      </c>
      <c r="V12922" s="42" t="s">
        <v>113</v>
      </c>
      <c r="W12922" s="42">
        <v>3331</v>
      </c>
      <c r="X12922" s="42">
        <v>3331</v>
      </c>
    </row>
    <row r="12923" spans="1:24">
      <c r="A12923" s="27" t="s">
        <v>23168</v>
      </c>
      <c r="B12923" s="28" t="s">
        <v>19918</v>
      </c>
      <c r="C12923" s="27" t="s">
        <v>23169</v>
      </c>
      <c r="D12923" s="27" t="s">
        <v>17558</v>
      </c>
      <c r="E12923" s="29">
        <v>39933</v>
      </c>
      <c r="F12923" s="27">
        <v>5</v>
      </c>
      <c r="G12923" s="18">
        <v>1790</v>
      </c>
      <c r="H12923" s="27">
        <f t="shared" si="402"/>
        <v>1790</v>
      </c>
      <c r="I12923" s="18">
        <v>1790</v>
      </c>
      <c r="J12923" s="27">
        <v>1790</v>
      </c>
      <c r="K12923" s="18">
        <f t="shared" si="403"/>
        <v>1790</v>
      </c>
      <c r="L12923" s="27">
        <v>1790</v>
      </c>
      <c r="M12923" s="36">
        <v>0</v>
      </c>
      <c r="T12923" s="41">
        <v>0</v>
      </c>
      <c r="U12923" s="41">
        <v>0</v>
      </c>
      <c r="V12923" s="42" t="s">
        <v>113</v>
      </c>
      <c r="W12923" s="42">
        <v>1790</v>
      </c>
      <c r="X12923" s="42">
        <v>1790</v>
      </c>
    </row>
    <row r="12924" spans="1:24">
      <c r="A12924" s="27" t="s">
        <v>23170</v>
      </c>
      <c r="B12924" s="28" t="s">
        <v>19918</v>
      </c>
      <c r="C12924" s="27" t="s">
        <v>23171</v>
      </c>
      <c r="D12924" s="27" t="s">
        <v>17558</v>
      </c>
      <c r="E12924" s="29">
        <v>39933</v>
      </c>
      <c r="F12924" s="27">
        <v>5</v>
      </c>
      <c r="G12924" s="18">
        <v>2350</v>
      </c>
      <c r="H12924" s="27">
        <f t="shared" si="402"/>
        <v>2350</v>
      </c>
      <c r="I12924" s="18">
        <v>2350</v>
      </c>
      <c r="J12924" s="27">
        <v>2350</v>
      </c>
      <c r="K12924" s="18">
        <f t="shared" si="403"/>
        <v>2350</v>
      </c>
      <c r="L12924" s="27">
        <v>2350</v>
      </c>
      <c r="M12924" s="36">
        <v>0</v>
      </c>
      <c r="T12924" s="41">
        <v>0</v>
      </c>
      <c r="U12924" s="41">
        <v>0</v>
      </c>
      <c r="V12924" s="42" t="s">
        <v>113</v>
      </c>
      <c r="W12924" s="42">
        <v>2350</v>
      </c>
      <c r="X12924" s="42">
        <v>2350</v>
      </c>
    </row>
    <row r="12925" spans="1:24">
      <c r="A12925" s="27" t="s">
        <v>23172</v>
      </c>
      <c r="B12925" s="28" t="s">
        <v>19918</v>
      </c>
      <c r="C12925" s="27" t="s">
        <v>23173</v>
      </c>
      <c r="D12925" s="27" t="s">
        <v>17558</v>
      </c>
      <c r="E12925" s="29">
        <v>39933</v>
      </c>
      <c r="F12925" s="27">
        <v>5</v>
      </c>
      <c r="G12925" s="18">
        <v>2760</v>
      </c>
      <c r="H12925" s="27">
        <f t="shared" si="402"/>
        <v>2760</v>
      </c>
      <c r="I12925" s="18">
        <v>2760</v>
      </c>
      <c r="J12925" s="27">
        <v>2760</v>
      </c>
      <c r="K12925" s="18">
        <f t="shared" si="403"/>
        <v>2760</v>
      </c>
      <c r="L12925" s="27">
        <v>2760</v>
      </c>
      <c r="M12925" s="36">
        <v>0</v>
      </c>
      <c r="T12925" s="41">
        <v>0</v>
      </c>
      <c r="U12925" s="41">
        <v>0</v>
      </c>
      <c r="V12925" s="42" t="s">
        <v>113</v>
      </c>
      <c r="W12925" s="42">
        <v>2760</v>
      </c>
      <c r="X12925" s="42">
        <v>2760</v>
      </c>
    </row>
    <row r="12926" spans="1:24">
      <c r="A12926" s="27" t="s">
        <v>23174</v>
      </c>
      <c r="B12926" s="28" t="s">
        <v>19918</v>
      </c>
      <c r="C12926" s="27" t="s">
        <v>23175</v>
      </c>
      <c r="D12926" s="27" t="s">
        <v>17558</v>
      </c>
      <c r="E12926" s="29">
        <v>39933</v>
      </c>
      <c r="F12926" s="27">
        <v>5</v>
      </c>
      <c r="G12926" s="18">
        <v>3560</v>
      </c>
      <c r="H12926" s="27">
        <f t="shared" si="402"/>
        <v>3560</v>
      </c>
      <c r="I12926" s="18">
        <v>3560</v>
      </c>
      <c r="J12926" s="27">
        <v>3560</v>
      </c>
      <c r="K12926" s="18">
        <f t="shared" si="403"/>
        <v>3560</v>
      </c>
      <c r="L12926" s="27">
        <v>3560</v>
      </c>
      <c r="M12926" s="36">
        <v>0</v>
      </c>
      <c r="T12926" s="41">
        <v>0</v>
      </c>
      <c r="U12926" s="41">
        <v>0</v>
      </c>
      <c r="V12926" s="42" t="s">
        <v>113</v>
      </c>
      <c r="W12926" s="42">
        <v>3560</v>
      </c>
      <c r="X12926" s="42">
        <v>3560</v>
      </c>
    </row>
    <row r="12927" spans="1:24">
      <c r="A12927" s="27" t="s">
        <v>23176</v>
      </c>
      <c r="B12927" s="28" t="s">
        <v>19918</v>
      </c>
      <c r="C12927" s="27" t="s">
        <v>23177</v>
      </c>
      <c r="D12927" s="27" t="s">
        <v>17558</v>
      </c>
      <c r="E12927" s="29">
        <v>39933</v>
      </c>
      <c r="F12927" s="27">
        <v>5</v>
      </c>
      <c r="G12927" s="18">
        <v>5660</v>
      </c>
      <c r="H12927" s="27">
        <f t="shared" si="402"/>
        <v>5660</v>
      </c>
      <c r="I12927" s="18">
        <v>5377</v>
      </c>
      <c r="J12927" s="27">
        <v>5660</v>
      </c>
      <c r="K12927" s="18">
        <f t="shared" si="403"/>
        <v>5660</v>
      </c>
      <c r="L12927" s="27">
        <v>5377</v>
      </c>
      <c r="M12927" s="36">
        <v>0</v>
      </c>
      <c r="T12927" s="41">
        <v>0</v>
      </c>
      <c r="U12927" s="41">
        <v>0</v>
      </c>
      <c r="V12927" s="42" t="s">
        <v>113</v>
      </c>
      <c r="W12927" s="42">
        <v>5660</v>
      </c>
      <c r="X12927" s="42">
        <v>5660</v>
      </c>
    </row>
    <row r="12928" spans="1:24">
      <c r="A12928" s="27" t="s">
        <v>23178</v>
      </c>
      <c r="B12928" s="28" t="s">
        <v>19918</v>
      </c>
      <c r="C12928" s="27" t="s">
        <v>23179</v>
      </c>
      <c r="D12928" s="27" t="s">
        <v>17558</v>
      </c>
      <c r="E12928" s="29">
        <v>40116</v>
      </c>
      <c r="F12928" s="27">
        <v>5</v>
      </c>
      <c r="G12928" s="18">
        <v>5534</v>
      </c>
      <c r="H12928" s="27">
        <f t="shared" si="402"/>
        <v>5534</v>
      </c>
      <c r="I12928" s="18">
        <v>5257.3</v>
      </c>
      <c r="J12928" s="27">
        <v>5534</v>
      </c>
      <c r="K12928" s="18">
        <f t="shared" si="403"/>
        <v>5534</v>
      </c>
      <c r="L12928" s="27">
        <v>5257.3</v>
      </c>
      <c r="M12928" s="36">
        <v>0</v>
      </c>
      <c r="T12928" s="41">
        <v>0</v>
      </c>
      <c r="U12928" s="41">
        <v>0</v>
      </c>
      <c r="V12928" s="42" t="s">
        <v>113</v>
      </c>
      <c r="W12928" s="42">
        <v>5534</v>
      </c>
      <c r="X12928" s="42">
        <v>5534</v>
      </c>
    </row>
    <row r="12929" spans="1:24">
      <c r="A12929" s="27" t="s">
        <v>23180</v>
      </c>
      <c r="B12929" s="28" t="s">
        <v>19918</v>
      </c>
      <c r="C12929" s="27" t="s">
        <v>23181</v>
      </c>
      <c r="D12929" s="27" t="s">
        <v>17558</v>
      </c>
      <c r="E12929" s="29">
        <v>40116</v>
      </c>
      <c r="F12929" s="27">
        <v>5</v>
      </c>
      <c r="G12929" s="18">
        <v>7800</v>
      </c>
      <c r="H12929" s="27">
        <f t="shared" si="402"/>
        <v>7800</v>
      </c>
      <c r="I12929" s="18">
        <v>7410</v>
      </c>
      <c r="J12929" s="27">
        <v>7800</v>
      </c>
      <c r="K12929" s="18">
        <f t="shared" si="403"/>
        <v>7800</v>
      </c>
      <c r="L12929" s="27">
        <v>7410</v>
      </c>
      <c r="M12929" s="36">
        <v>0</v>
      </c>
      <c r="T12929" s="41">
        <v>0</v>
      </c>
      <c r="U12929" s="41">
        <v>0</v>
      </c>
      <c r="V12929" s="42" t="s">
        <v>113</v>
      </c>
      <c r="W12929" s="42">
        <v>7800</v>
      </c>
      <c r="X12929" s="42">
        <v>7800</v>
      </c>
    </row>
    <row r="12930" spans="1:24">
      <c r="A12930" s="27" t="s">
        <v>23182</v>
      </c>
      <c r="B12930" s="28" t="s">
        <v>19918</v>
      </c>
      <c r="C12930" s="27" t="s">
        <v>23183</v>
      </c>
      <c r="D12930" s="27" t="s">
        <v>17558</v>
      </c>
      <c r="E12930" s="29">
        <v>40178</v>
      </c>
      <c r="F12930" s="27">
        <v>5</v>
      </c>
      <c r="G12930" s="18">
        <v>12000</v>
      </c>
      <c r="H12930" s="27">
        <f t="shared" si="402"/>
        <v>12000</v>
      </c>
      <c r="I12930" s="18">
        <v>11400</v>
      </c>
      <c r="J12930" s="27">
        <v>12000</v>
      </c>
      <c r="K12930" s="18">
        <f t="shared" si="403"/>
        <v>12000</v>
      </c>
      <c r="L12930" s="27">
        <v>11400</v>
      </c>
      <c r="M12930" s="36">
        <v>0</v>
      </c>
      <c r="T12930" s="41">
        <v>0</v>
      </c>
      <c r="U12930" s="41">
        <v>0</v>
      </c>
      <c r="V12930" s="42" t="s">
        <v>113</v>
      </c>
      <c r="W12930" s="42">
        <v>12000</v>
      </c>
      <c r="X12930" s="42">
        <v>12000</v>
      </c>
    </row>
    <row r="12931" spans="1:24">
      <c r="A12931" s="27" t="s">
        <v>23184</v>
      </c>
      <c r="B12931" s="28" t="s">
        <v>19918</v>
      </c>
      <c r="C12931" s="27" t="s">
        <v>23185</v>
      </c>
      <c r="D12931" s="27" t="s">
        <v>17558</v>
      </c>
      <c r="E12931" s="29">
        <v>40178</v>
      </c>
      <c r="F12931" s="27">
        <v>5</v>
      </c>
      <c r="G12931" s="18">
        <v>6500</v>
      </c>
      <c r="H12931" s="27">
        <f t="shared" si="402"/>
        <v>6500</v>
      </c>
      <c r="I12931" s="18">
        <v>6175</v>
      </c>
      <c r="J12931" s="27">
        <v>6500</v>
      </c>
      <c r="K12931" s="18">
        <f t="shared" si="403"/>
        <v>6500</v>
      </c>
      <c r="L12931" s="27">
        <v>6175</v>
      </c>
      <c r="M12931" s="36">
        <v>0</v>
      </c>
      <c r="T12931" s="41">
        <v>0</v>
      </c>
      <c r="U12931" s="41">
        <v>0</v>
      </c>
      <c r="V12931" s="42" t="s">
        <v>113</v>
      </c>
      <c r="W12931" s="42">
        <v>6500</v>
      </c>
      <c r="X12931" s="42">
        <v>6500</v>
      </c>
    </row>
    <row r="12932" spans="1:24">
      <c r="A12932" s="27" t="s">
        <v>23186</v>
      </c>
      <c r="B12932" s="28" t="s">
        <v>19918</v>
      </c>
      <c r="C12932" s="27" t="s">
        <v>23187</v>
      </c>
      <c r="D12932" s="27" t="s">
        <v>17578</v>
      </c>
      <c r="E12932" s="29">
        <v>40178</v>
      </c>
      <c r="F12932" s="27">
        <v>5</v>
      </c>
      <c r="G12932" s="18">
        <v>5641.03</v>
      </c>
      <c r="H12932" s="27">
        <f t="shared" si="402"/>
        <v>5641.03</v>
      </c>
      <c r="I12932" s="18">
        <v>5358.98</v>
      </c>
      <c r="J12932" s="27">
        <v>5641.03</v>
      </c>
      <c r="K12932" s="18">
        <f t="shared" si="403"/>
        <v>5641.03</v>
      </c>
      <c r="L12932" s="27">
        <v>5358.98</v>
      </c>
      <c r="M12932" s="36">
        <v>0</v>
      </c>
      <c r="T12932" s="41">
        <v>0</v>
      </c>
      <c r="U12932" s="41">
        <v>0</v>
      </c>
      <c r="V12932" s="42" t="s">
        <v>113</v>
      </c>
      <c r="W12932" s="42">
        <v>5641.03</v>
      </c>
      <c r="X12932" s="42">
        <v>5641.03</v>
      </c>
    </row>
    <row r="12933" spans="1:24">
      <c r="A12933" s="27" t="s">
        <v>23188</v>
      </c>
      <c r="B12933" s="28" t="s">
        <v>19918</v>
      </c>
      <c r="C12933" s="27" t="s">
        <v>23189</v>
      </c>
      <c r="D12933" s="27" t="s">
        <v>17558</v>
      </c>
      <c r="E12933" s="29">
        <v>40178</v>
      </c>
      <c r="F12933" s="27">
        <v>5</v>
      </c>
      <c r="G12933" s="18">
        <v>3800</v>
      </c>
      <c r="H12933" s="27">
        <f t="shared" si="402"/>
        <v>3800</v>
      </c>
      <c r="I12933" s="18">
        <v>3800</v>
      </c>
      <c r="J12933" s="27">
        <v>3800</v>
      </c>
      <c r="K12933" s="18">
        <f t="shared" si="403"/>
        <v>3800</v>
      </c>
      <c r="L12933" s="27">
        <v>3800</v>
      </c>
      <c r="M12933" s="36">
        <v>0</v>
      </c>
      <c r="T12933" s="41">
        <v>0</v>
      </c>
      <c r="U12933" s="41">
        <v>0</v>
      </c>
      <c r="V12933" s="42" t="s">
        <v>113</v>
      </c>
      <c r="W12933" s="42">
        <v>3800</v>
      </c>
      <c r="X12933" s="42">
        <v>3800</v>
      </c>
    </row>
    <row r="12934" spans="1:24">
      <c r="A12934" s="27" t="s">
        <v>23190</v>
      </c>
      <c r="B12934" s="28" t="s">
        <v>19918</v>
      </c>
      <c r="C12934" s="27" t="s">
        <v>23191</v>
      </c>
      <c r="D12934" s="27" t="s">
        <v>17558</v>
      </c>
      <c r="E12934" s="29">
        <v>40178</v>
      </c>
      <c r="F12934" s="27">
        <v>5</v>
      </c>
      <c r="G12934" s="18">
        <v>6900</v>
      </c>
      <c r="H12934" s="27">
        <f t="shared" ref="H12934:H12997" si="404">IFERROR(IF(ROUND((G12934-I12934)/G12934,2)&lt;=0.05,G12934,0),0)</f>
        <v>6900</v>
      </c>
      <c r="I12934" s="18">
        <v>6555</v>
      </c>
      <c r="J12934" s="27">
        <v>6900</v>
      </c>
      <c r="K12934" s="18">
        <f t="shared" ref="K12934:K12997" si="405">IFERROR(IF(ROUND((J12934-L12934)/J12934,2)&lt;=0.05,J12934,0),0)</f>
        <v>6900</v>
      </c>
      <c r="L12934" s="27">
        <v>6555</v>
      </c>
      <c r="M12934" s="36">
        <v>0</v>
      </c>
      <c r="T12934" s="41">
        <v>0</v>
      </c>
      <c r="U12934" s="41">
        <v>0</v>
      </c>
      <c r="V12934" s="42" t="s">
        <v>113</v>
      </c>
      <c r="W12934" s="42">
        <v>6900</v>
      </c>
      <c r="X12934" s="42">
        <v>6900</v>
      </c>
    </row>
    <row r="12935" spans="1:24">
      <c r="A12935" s="27" t="s">
        <v>23192</v>
      </c>
      <c r="B12935" s="28" t="s">
        <v>19918</v>
      </c>
      <c r="C12935" s="27" t="s">
        <v>23193</v>
      </c>
      <c r="D12935" s="27" t="s">
        <v>17558</v>
      </c>
      <c r="E12935" s="29">
        <v>40178</v>
      </c>
      <c r="F12935" s="27">
        <v>5</v>
      </c>
      <c r="G12935" s="18">
        <v>2400</v>
      </c>
      <c r="H12935" s="27">
        <f t="shared" si="404"/>
        <v>2400</v>
      </c>
      <c r="I12935" s="18">
        <v>2400</v>
      </c>
      <c r="J12935" s="27">
        <v>2400</v>
      </c>
      <c r="K12935" s="18">
        <f t="shared" si="405"/>
        <v>2400</v>
      </c>
      <c r="L12935" s="27">
        <v>2400</v>
      </c>
      <c r="M12935" s="36">
        <v>0</v>
      </c>
      <c r="T12935" s="41">
        <v>0</v>
      </c>
      <c r="U12935" s="41">
        <v>0</v>
      </c>
      <c r="V12935" s="42" t="s">
        <v>113</v>
      </c>
      <c r="W12935" s="42">
        <v>2400</v>
      </c>
      <c r="X12935" s="42">
        <v>2400</v>
      </c>
    </row>
    <row r="12936" spans="1:24">
      <c r="A12936" s="27" t="s">
        <v>23194</v>
      </c>
      <c r="B12936" s="28" t="s">
        <v>19918</v>
      </c>
      <c r="C12936" s="27" t="s">
        <v>23195</v>
      </c>
      <c r="D12936" s="27" t="s">
        <v>17558</v>
      </c>
      <c r="E12936" s="29">
        <v>40178</v>
      </c>
      <c r="F12936" s="27">
        <v>5</v>
      </c>
      <c r="G12936" s="18">
        <v>8800</v>
      </c>
      <c r="H12936" s="27">
        <f t="shared" si="404"/>
        <v>8800</v>
      </c>
      <c r="I12936" s="18">
        <v>8360</v>
      </c>
      <c r="J12936" s="27">
        <v>8800</v>
      </c>
      <c r="K12936" s="18">
        <f t="shared" si="405"/>
        <v>8800</v>
      </c>
      <c r="L12936" s="27">
        <v>8360</v>
      </c>
      <c r="M12936" s="36">
        <v>0</v>
      </c>
      <c r="T12936" s="41">
        <v>0</v>
      </c>
      <c r="U12936" s="41">
        <v>0</v>
      </c>
      <c r="V12936" s="42" t="s">
        <v>113</v>
      </c>
      <c r="W12936" s="42">
        <v>8800</v>
      </c>
      <c r="X12936" s="42">
        <v>8800</v>
      </c>
    </row>
    <row r="12937" spans="1:24">
      <c r="A12937" s="27" t="s">
        <v>23196</v>
      </c>
      <c r="B12937" s="28" t="s">
        <v>19918</v>
      </c>
      <c r="C12937" s="27" t="s">
        <v>23197</v>
      </c>
      <c r="D12937" s="27" t="s">
        <v>17558</v>
      </c>
      <c r="E12937" s="29">
        <v>40298</v>
      </c>
      <c r="F12937" s="27">
        <v>5</v>
      </c>
      <c r="G12937" s="18">
        <v>14850</v>
      </c>
      <c r="H12937" s="27">
        <f t="shared" si="404"/>
        <v>14850</v>
      </c>
      <c r="I12937" s="18">
        <v>14107.5</v>
      </c>
      <c r="J12937" s="27">
        <v>14850</v>
      </c>
      <c r="K12937" s="18">
        <f t="shared" si="405"/>
        <v>14850</v>
      </c>
      <c r="L12937" s="27">
        <v>14107.5</v>
      </c>
      <c r="M12937" s="36">
        <v>0</v>
      </c>
      <c r="T12937" s="41">
        <v>0</v>
      </c>
      <c r="U12937" s="41">
        <v>0</v>
      </c>
      <c r="V12937" s="42" t="s">
        <v>113</v>
      </c>
      <c r="W12937" s="42">
        <v>14850</v>
      </c>
      <c r="X12937" s="42">
        <v>14850</v>
      </c>
    </row>
    <row r="12938" spans="1:24">
      <c r="A12938" s="27" t="s">
        <v>23198</v>
      </c>
      <c r="B12938" s="28" t="s">
        <v>19918</v>
      </c>
      <c r="C12938" s="27" t="s">
        <v>23199</v>
      </c>
      <c r="D12938" s="27" t="s">
        <v>17558</v>
      </c>
      <c r="E12938" s="29">
        <v>40543</v>
      </c>
      <c r="F12938" s="27">
        <v>5</v>
      </c>
      <c r="G12938" s="18">
        <v>1435.9</v>
      </c>
      <c r="H12938" s="27">
        <f t="shared" si="404"/>
        <v>1435.9</v>
      </c>
      <c r="I12938" s="18">
        <v>1435.9</v>
      </c>
      <c r="J12938" s="27">
        <v>1435.9</v>
      </c>
      <c r="K12938" s="18">
        <f t="shared" si="405"/>
        <v>1435.9</v>
      </c>
      <c r="L12938" s="27">
        <v>1435.9</v>
      </c>
      <c r="M12938" s="36">
        <v>0</v>
      </c>
      <c r="T12938" s="41">
        <v>0</v>
      </c>
      <c r="U12938" s="41">
        <v>0</v>
      </c>
      <c r="V12938" s="42" t="s">
        <v>113</v>
      </c>
      <c r="W12938" s="42">
        <v>1435.9</v>
      </c>
      <c r="X12938" s="42">
        <v>1435.9</v>
      </c>
    </row>
    <row r="12939" spans="1:24">
      <c r="A12939" s="27" t="s">
        <v>23200</v>
      </c>
      <c r="B12939" s="28" t="s">
        <v>19918</v>
      </c>
      <c r="C12939" s="27" t="s">
        <v>23201</v>
      </c>
      <c r="D12939" s="27" t="s">
        <v>17558</v>
      </c>
      <c r="E12939" s="29">
        <v>40543</v>
      </c>
      <c r="F12939" s="27">
        <v>5</v>
      </c>
      <c r="G12939" s="18">
        <v>10940.17</v>
      </c>
      <c r="H12939" s="27">
        <f t="shared" si="404"/>
        <v>10940.17</v>
      </c>
      <c r="I12939" s="18">
        <v>10393.16</v>
      </c>
      <c r="J12939" s="27">
        <v>10940.17</v>
      </c>
      <c r="K12939" s="18">
        <f t="shared" si="405"/>
        <v>10940.17</v>
      </c>
      <c r="L12939" s="27">
        <v>10393.16</v>
      </c>
      <c r="M12939" s="36">
        <v>0</v>
      </c>
      <c r="T12939" s="41">
        <v>0</v>
      </c>
      <c r="U12939" s="41">
        <v>0</v>
      </c>
      <c r="V12939" s="42" t="s">
        <v>113</v>
      </c>
      <c r="W12939" s="42">
        <v>10940.17</v>
      </c>
      <c r="X12939" s="42">
        <v>10940.17</v>
      </c>
    </row>
    <row r="12940" spans="1:24">
      <c r="A12940" s="27" t="s">
        <v>23202</v>
      </c>
      <c r="B12940" s="28" t="s">
        <v>19918</v>
      </c>
      <c r="C12940" s="27" t="s">
        <v>23203</v>
      </c>
      <c r="D12940" s="27" t="s">
        <v>17558</v>
      </c>
      <c r="E12940" s="29">
        <v>40543</v>
      </c>
      <c r="F12940" s="27">
        <v>5</v>
      </c>
      <c r="G12940" s="18">
        <v>6410.26</v>
      </c>
      <c r="H12940" s="27">
        <f t="shared" si="404"/>
        <v>6410.26</v>
      </c>
      <c r="I12940" s="18">
        <v>6089.75</v>
      </c>
      <c r="J12940" s="27">
        <v>6410.26</v>
      </c>
      <c r="K12940" s="18">
        <f t="shared" si="405"/>
        <v>6410.26</v>
      </c>
      <c r="L12940" s="27">
        <v>6089.75</v>
      </c>
      <c r="M12940" s="36">
        <v>0</v>
      </c>
      <c r="T12940" s="41">
        <v>0</v>
      </c>
      <c r="U12940" s="41">
        <v>0</v>
      </c>
      <c r="V12940" s="42" t="s">
        <v>113</v>
      </c>
      <c r="W12940" s="42">
        <v>6410.26</v>
      </c>
      <c r="X12940" s="42">
        <v>6410.26</v>
      </c>
    </row>
    <row r="12941" spans="1:24">
      <c r="A12941" s="27" t="s">
        <v>23204</v>
      </c>
      <c r="B12941" s="28" t="s">
        <v>19918</v>
      </c>
      <c r="C12941" s="27" t="s">
        <v>23205</v>
      </c>
      <c r="D12941" s="27" t="s">
        <v>17558</v>
      </c>
      <c r="E12941" s="29">
        <v>37256</v>
      </c>
      <c r="F12941" s="27">
        <v>5</v>
      </c>
      <c r="G12941" s="18">
        <v>219500</v>
      </c>
      <c r="H12941" s="27">
        <f t="shared" si="404"/>
        <v>219500</v>
      </c>
      <c r="I12941" s="18">
        <v>208524.5</v>
      </c>
      <c r="J12941" s="27">
        <v>219500</v>
      </c>
      <c r="K12941" s="18">
        <f t="shared" si="405"/>
        <v>219500</v>
      </c>
      <c r="L12941" s="27">
        <v>208524.5</v>
      </c>
      <c r="M12941" s="36">
        <v>0</v>
      </c>
      <c r="T12941" s="41">
        <v>0</v>
      </c>
      <c r="U12941" s="41">
        <v>0</v>
      </c>
      <c r="V12941" s="42" t="s">
        <v>113</v>
      </c>
      <c r="W12941" s="42">
        <v>219500</v>
      </c>
      <c r="X12941" s="42">
        <v>219500</v>
      </c>
    </row>
    <row r="12942" spans="1:24">
      <c r="A12942" s="27" t="s">
        <v>23206</v>
      </c>
      <c r="B12942" s="28" t="s">
        <v>19918</v>
      </c>
      <c r="C12942" s="27" t="s">
        <v>23207</v>
      </c>
      <c r="D12942" s="27" t="s">
        <v>17558</v>
      </c>
      <c r="E12942" s="29">
        <v>38959</v>
      </c>
      <c r="F12942" s="27">
        <v>5</v>
      </c>
      <c r="G12942" s="18">
        <v>2050</v>
      </c>
      <c r="H12942" s="27">
        <f t="shared" si="404"/>
        <v>2050</v>
      </c>
      <c r="I12942" s="18">
        <v>2050</v>
      </c>
      <c r="J12942" s="27">
        <v>2050</v>
      </c>
      <c r="K12942" s="18">
        <f t="shared" si="405"/>
        <v>2050</v>
      </c>
      <c r="L12942" s="27">
        <v>2050</v>
      </c>
      <c r="M12942" s="36">
        <v>0</v>
      </c>
      <c r="T12942" s="41">
        <v>0</v>
      </c>
      <c r="U12942" s="41">
        <v>0</v>
      </c>
      <c r="V12942" s="42" t="s">
        <v>113</v>
      </c>
      <c r="W12942" s="42">
        <v>2050</v>
      </c>
      <c r="X12942" s="42">
        <v>2050</v>
      </c>
    </row>
    <row r="12943" spans="1:24">
      <c r="A12943" s="27" t="s">
        <v>23208</v>
      </c>
      <c r="B12943" s="28" t="s">
        <v>19918</v>
      </c>
      <c r="C12943" s="27" t="s">
        <v>23209</v>
      </c>
      <c r="D12943" s="27" t="s">
        <v>17558</v>
      </c>
      <c r="E12943" s="29">
        <v>39447</v>
      </c>
      <c r="F12943" s="27">
        <v>5</v>
      </c>
      <c r="G12943" s="18">
        <v>4200</v>
      </c>
      <c r="H12943" s="27">
        <f t="shared" si="404"/>
        <v>4200</v>
      </c>
      <c r="I12943" s="18">
        <v>4200</v>
      </c>
      <c r="J12943" s="27">
        <v>4200</v>
      </c>
      <c r="K12943" s="18">
        <f t="shared" si="405"/>
        <v>4200</v>
      </c>
      <c r="L12943" s="27">
        <v>4200</v>
      </c>
      <c r="M12943" s="36">
        <v>0</v>
      </c>
      <c r="T12943" s="41">
        <v>0</v>
      </c>
      <c r="U12943" s="41">
        <v>0</v>
      </c>
      <c r="V12943" s="42" t="s">
        <v>113</v>
      </c>
      <c r="W12943" s="42">
        <v>4200</v>
      </c>
      <c r="X12943" s="42">
        <v>4200</v>
      </c>
    </row>
    <row r="12944" spans="1:24">
      <c r="A12944" s="27" t="s">
        <v>23210</v>
      </c>
      <c r="B12944" s="28" t="s">
        <v>19918</v>
      </c>
      <c r="C12944" s="27" t="s">
        <v>23211</v>
      </c>
      <c r="D12944" s="27" t="s">
        <v>17578</v>
      </c>
      <c r="E12944" s="29">
        <v>35034</v>
      </c>
      <c r="F12944" s="27">
        <v>8</v>
      </c>
      <c r="G12944" s="18">
        <v>690000</v>
      </c>
      <c r="H12944" s="27">
        <f t="shared" si="404"/>
        <v>690000</v>
      </c>
      <c r="I12944" s="18">
        <v>655500</v>
      </c>
      <c r="J12944" s="27">
        <v>690000</v>
      </c>
      <c r="K12944" s="18">
        <f t="shared" si="405"/>
        <v>690000</v>
      </c>
      <c r="L12944" s="27">
        <v>655500</v>
      </c>
      <c r="M12944" s="36">
        <v>0</v>
      </c>
      <c r="T12944" s="41">
        <v>0</v>
      </c>
      <c r="U12944" s="41">
        <v>0</v>
      </c>
      <c r="V12944" s="42" t="s">
        <v>113</v>
      </c>
      <c r="W12944" s="42">
        <v>690000</v>
      </c>
      <c r="X12944" s="42">
        <v>690000</v>
      </c>
    </row>
    <row r="12945" spans="1:24">
      <c r="A12945" s="27" t="s">
        <v>23212</v>
      </c>
      <c r="B12945" s="28" t="s">
        <v>19918</v>
      </c>
      <c r="C12945" s="27" t="s">
        <v>23213</v>
      </c>
      <c r="D12945" s="27" t="s">
        <v>17558</v>
      </c>
      <c r="E12945" s="29">
        <v>34304</v>
      </c>
      <c r="F12945" s="27">
        <v>8</v>
      </c>
      <c r="G12945" s="18">
        <v>203663.58</v>
      </c>
      <c r="H12945" s="27">
        <f t="shared" si="404"/>
        <v>203663.58</v>
      </c>
      <c r="I12945" s="18">
        <v>193480.4</v>
      </c>
      <c r="J12945" s="27">
        <v>203663.58</v>
      </c>
      <c r="K12945" s="18">
        <f t="shared" si="405"/>
        <v>203663.58</v>
      </c>
      <c r="L12945" s="27">
        <v>193480.4</v>
      </c>
      <c r="M12945" s="36">
        <v>0</v>
      </c>
      <c r="T12945" s="41">
        <v>0</v>
      </c>
      <c r="U12945" s="41">
        <v>0</v>
      </c>
      <c r="V12945" s="42" t="s">
        <v>113</v>
      </c>
      <c r="W12945" s="42">
        <v>203663.58</v>
      </c>
      <c r="X12945" s="42">
        <v>203663.58</v>
      </c>
    </row>
    <row r="12946" spans="1:24">
      <c r="A12946" s="27" t="s">
        <v>23214</v>
      </c>
      <c r="B12946" s="28" t="s">
        <v>19918</v>
      </c>
      <c r="C12946" s="27" t="s">
        <v>23215</v>
      </c>
      <c r="D12946" s="27" t="s">
        <v>17578</v>
      </c>
      <c r="E12946" s="29">
        <v>34304</v>
      </c>
      <c r="F12946" s="27">
        <v>8</v>
      </c>
      <c r="G12946" s="18">
        <v>19141.669999999998</v>
      </c>
      <c r="H12946" s="27">
        <f t="shared" si="404"/>
        <v>19141.669999999998</v>
      </c>
      <c r="I12946" s="18">
        <v>18184.59</v>
      </c>
      <c r="J12946" s="27">
        <v>19141.669999999998</v>
      </c>
      <c r="K12946" s="18">
        <f t="shared" si="405"/>
        <v>19141.669999999998</v>
      </c>
      <c r="L12946" s="27">
        <v>18184.59</v>
      </c>
      <c r="M12946" s="36">
        <v>0</v>
      </c>
      <c r="T12946" s="41">
        <v>0</v>
      </c>
      <c r="U12946" s="41">
        <v>0</v>
      </c>
      <c r="V12946" s="42" t="s">
        <v>113</v>
      </c>
      <c r="W12946" s="42">
        <v>19141.669999999998</v>
      </c>
      <c r="X12946" s="42">
        <v>19141.669999999998</v>
      </c>
    </row>
    <row r="12947" spans="1:24">
      <c r="A12947" s="27" t="s">
        <v>23216</v>
      </c>
      <c r="B12947" s="28" t="s">
        <v>19918</v>
      </c>
      <c r="C12947" s="27" t="s">
        <v>23217</v>
      </c>
      <c r="D12947" s="27" t="s">
        <v>17578</v>
      </c>
      <c r="E12947" s="29">
        <v>37196</v>
      </c>
      <c r="F12947" s="27">
        <v>8</v>
      </c>
      <c r="G12947" s="18">
        <v>51374.6</v>
      </c>
      <c r="H12947" s="27">
        <f t="shared" si="404"/>
        <v>51374.6</v>
      </c>
      <c r="I12947" s="18">
        <v>48805.87</v>
      </c>
      <c r="J12947" s="27">
        <v>51374.6</v>
      </c>
      <c r="K12947" s="18">
        <f t="shared" si="405"/>
        <v>51374.6</v>
      </c>
      <c r="L12947" s="27">
        <v>48805.87</v>
      </c>
      <c r="M12947" s="36">
        <v>0</v>
      </c>
      <c r="T12947" s="41">
        <v>0</v>
      </c>
      <c r="U12947" s="41">
        <v>0</v>
      </c>
      <c r="V12947" s="42" t="s">
        <v>113</v>
      </c>
      <c r="W12947" s="42">
        <v>51374.6</v>
      </c>
      <c r="X12947" s="42">
        <v>51374.6</v>
      </c>
    </row>
    <row r="12948" spans="1:24">
      <c r="A12948" s="27" t="s">
        <v>23218</v>
      </c>
      <c r="B12948" s="28" t="s">
        <v>19918</v>
      </c>
      <c r="C12948" s="27" t="s">
        <v>23219</v>
      </c>
      <c r="D12948" s="27" t="s">
        <v>17558</v>
      </c>
      <c r="E12948" s="29">
        <v>37530</v>
      </c>
      <c r="F12948" s="27">
        <v>8</v>
      </c>
      <c r="G12948" s="18">
        <v>15324.98</v>
      </c>
      <c r="H12948" s="27">
        <f t="shared" si="404"/>
        <v>15324.98</v>
      </c>
      <c r="I12948" s="18">
        <v>14558.73</v>
      </c>
      <c r="J12948" s="27">
        <v>15324.98</v>
      </c>
      <c r="K12948" s="18">
        <f t="shared" si="405"/>
        <v>15324.98</v>
      </c>
      <c r="L12948" s="27">
        <v>14558.73</v>
      </c>
      <c r="M12948" s="36">
        <v>0</v>
      </c>
      <c r="T12948" s="41">
        <v>0</v>
      </c>
      <c r="U12948" s="41">
        <v>0</v>
      </c>
      <c r="V12948" s="42" t="s">
        <v>113</v>
      </c>
      <c r="W12948" s="42">
        <v>15324.98</v>
      </c>
      <c r="X12948" s="42">
        <v>15324.98</v>
      </c>
    </row>
    <row r="12949" spans="1:24">
      <c r="A12949" s="27" t="s">
        <v>23220</v>
      </c>
      <c r="B12949" s="28" t="s">
        <v>19918</v>
      </c>
      <c r="C12949" s="27" t="s">
        <v>23219</v>
      </c>
      <c r="D12949" s="27" t="s">
        <v>17558</v>
      </c>
      <c r="E12949" s="29">
        <v>37530</v>
      </c>
      <c r="F12949" s="27">
        <v>8</v>
      </c>
      <c r="G12949" s="18">
        <v>19504.53</v>
      </c>
      <c r="H12949" s="27">
        <f t="shared" si="404"/>
        <v>19504.53</v>
      </c>
      <c r="I12949" s="18">
        <v>18529.3</v>
      </c>
      <c r="J12949" s="27">
        <v>19504.53</v>
      </c>
      <c r="K12949" s="18">
        <f t="shared" si="405"/>
        <v>19504.53</v>
      </c>
      <c r="L12949" s="27">
        <v>18529.3</v>
      </c>
      <c r="M12949" s="36">
        <v>0</v>
      </c>
      <c r="T12949" s="41">
        <v>0</v>
      </c>
      <c r="U12949" s="41">
        <v>0</v>
      </c>
      <c r="V12949" s="42" t="s">
        <v>113</v>
      </c>
      <c r="W12949" s="42">
        <v>19504.53</v>
      </c>
      <c r="X12949" s="42">
        <v>19504.53</v>
      </c>
    </row>
    <row r="12950" spans="1:24">
      <c r="A12950" s="27" t="s">
        <v>23221</v>
      </c>
      <c r="B12950" s="28" t="s">
        <v>19918</v>
      </c>
      <c r="C12950" s="27" t="s">
        <v>23219</v>
      </c>
      <c r="D12950" s="27" t="s">
        <v>17558</v>
      </c>
      <c r="E12950" s="29">
        <v>37530</v>
      </c>
      <c r="F12950" s="27">
        <v>8</v>
      </c>
      <c r="G12950" s="18">
        <v>61858.11</v>
      </c>
      <c r="H12950" s="27">
        <f t="shared" si="404"/>
        <v>61858.11</v>
      </c>
      <c r="I12950" s="18">
        <v>58765.2</v>
      </c>
      <c r="J12950" s="27">
        <v>61858.11</v>
      </c>
      <c r="K12950" s="18">
        <f t="shared" si="405"/>
        <v>61858.11</v>
      </c>
      <c r="L12950" s="27">
        <v>58765.2</v>
      </c>
      <c r="M12950" s="36">
        <v>0</v>
      </c>
      <c r="T12950" s="41">
        <v>0</v>
      </c>
      <c r="U12950" s="41">
        <v>0</v>
      </c>
      <c r="V12950" s="42" t="s">
        <v>113</v>
      </c>
      <c r="W12950" s="42">
        <v>61858.11</v>
      </c>
      <c r="X12950" s="42">
        <v>61858.11</v>
      </c>
    </row>
    <row r="12951" spans="1:24">
      <c r="A12951" s="27" t="s">
        <v>23222</v>
      </c>
      <c r="B12951" s="28" t="s">
        <v>19918</v>
      </c>
      <c r="C12951" s="27" t="s">
        <v>23223</v>
      </c>
      <c r="D12951" s="27" t="s">
        <v>118</v>
      </c>
      <c r="E12951" s="29">
        <v>37742</v>
      </c>
      <c r="F12951" s="27">
        <v>8</v>
      </c>
      <c r="G12951" s="18">
        <v>2045807.45</v>
      </c>
      <c r="H12951" s="27">
        <f t="shared" si="404"/>
        <v>2045807.45</v>
      </c>
      <c r="I12951" s="18">
        <v>1943517.08</v>
      </c>
      <c r="J12951" s="27">
        <v>2045807.45</v>
      </c>
      <c r="K12951" s="18">
        <f t="shared" si="405"/>
        <v>2045807.45</v>
      </c>
      <c r="L12951" s="27">
        <v>1943517.08</v>
      </c>
      <c r="M12951" s="36">
        <v>0</v>
      </c>
      <c r="T12951" s="41">
        <v>0</v>
      </c>
      <c r="U12951" s="41">
        <v>0</v>
      </c>
      <c r="V12951" s="42" t="s">
        <v>113</v>
      </c>
      <c r="W12951" s="42">
        <v>2045807.45</v>
      </c>
      <c r="X12951" s="42">
        <v>2045807.45</v>
      </c>
    </row>
    <row r="12952" spans="1:24">
      <c r="A12952" s="27" t="s">
        <v>23224</v>
      </c>
      <c r="B12952" s="28" t="s">
        <v>19918</v>
      </c>
      <c r="C12952" s="27" t="s">
        <v>23225</v>
      </c>
      <c r="D12952" s="27" t="s">
        <v>118</v>
      </c>
      <c r="E12952" s="29">
        <v>31048</v>
      </c>
      <c r="F12952" s="27">
        <v>8</v>
      </c>
      <c r="G12952" s="18">
        <v>26896.38</v>
      </c>
      <c r="H12952" s="27">
        <f t="shared" si="404"/>
        <v>26896.38</v>
      </c>
      <c r="I12952" s="18">
        <v>25551.56</v>
      </c>
      <c r="J12952" s="27">
        <v>26896.38</v>
      </c>
      <c r="K12952" s="18">
        <f t="shared" si="405"/>
        <v>26896.38</v>
      </c>
      <c r="L12952" s="27">
        <v>25551.56</v>
      </c>
      <c r="M12952" s="36">
        <v>0</v>
      </c>
      <c r="T12952" s="41">
        <v>0</v>
      </c>
      <c r="U12952" s="41">
        <v>0</v>
      </c>
      <c r="V12952" s="42" t="s">
        <v>113</v>
      </c>
      <c r="W12952" s="42">
        <v>26896.38</v>
      </c>
      <c r="X12952" s="42">
        <v>26896.38</v>
      </c>
    </row>
    <row r="12953" spans="1:24">
      <c r="A12953" s="27" t="s">
        <v>23226</v>
      </c>
      <c r="B12953" s="28" t="s">
        <v>19918</v>
      </c>
      <c r="C12953" s="27" t="s">
        <v>23227</v>
      </c>
      <c r="D12953" s="27" t="s">
        <v>17578</v>
      </c>
      <c r="E12953" s="29">
        <v>37622</v>
      </c>
      <c r="F12953" s="27">
        <v>8</v>
      </c>
      <c r="G12953" s="18">
        <v>89435.839999999997</v>
      </c>
      <c r="H12953" s="27">
        <f t="shared" si="404"/>
        <v>89435.839999999997</v>
      </c>
      <c r="I12953" s="18">
        <v>84964.05</v>
      </c>
      <c r="J12953" s="27">
        <v>89435.839999999997</v>
      </c>
      <c r="K12953" s="18">
        <f t="shared" si="405"/>
        <v>89435.839999999997</v>
      </c>
      <c r="L12953" s="27">
        <v>84964.05</v>
      </c>
      <c r="M12953" s="36">
        <v>0</v>
      </c>
      <c r="T12953" s="41">
        <v>0</v>
      </c>
      <c r="U12953" s="41">
        <v>0</v>
      </c>
      <c r="V12953" s="42" t="s">
        <v>113</v>
      </c>
      <c r="W12953" s="42">
        <v>89435.839999999997</v>
      </c>
      <c r="X12953" s="42">
        <v>89435.839999999997</v>
      </c>
    </row>
    <row r="12954" spans="1:24">
      <c r="A12954" s="27" t="s">
        <v>23228</v>
      </c>
      <c r="B12954" s="28" t="s">
        <v>19918</v>
      </c>
      <c r="C12954" s="27" t="s">
        <v>23229</v>
      </c>
      <c r="D12954" s="27" t="s">
        <v>17578</v>
      </c>
      <c r="E12954" s="29">
        <v>39692</v>
      </c>
      <c r="F12954" s="27">
        <v>5</v>
      </c>
      <c r="G12954" s="18">
        <v>400053.43</v>
      </c>
      <c r="H12954" s="27">
        <f t="shared" si="404"/>
        <v>400053.43</v>
      </c>
      <c r="I12954" s="18">
        <v>380050.76</v>
      </c>
      <c r="J12954" s="27">
        <v>400053.43</v>
      </c>
      <c r="K12954" s="18">
        <f t="shared" si="405"/>
        <v>400053.43</v>
      </c>
      <c r="L12954" s="27">
        <v>380050.76</v>
      </c>
      <c r="M12954" s="36">
        <v>0</v>
      </c>
      <c r="T12954" s="41">
        <v>0</v>
      </c>
      <c r="U12954" s="41">
        <v>0</v>
      </c>
      <c r="V12954" s="42" t="s">
        <v>113</v>
      </c>
      <c r="W12954" s="42">
        <v>400053.43</v>
      </c>
      <c r="X12954" s="42">
        <v>400053.43</v>
      </c>
    </row>
    <row r="12955" spans="1:24">
      <c r="A12955" s="27" t="s">
        <v>23230</v>
      </c>
      <c r="B12955" s="28" t="s">
        <v>19918</v>
      </c>
      <c r="C12955" s="27" t="s">
        <v>23231</v>
      </c>
      <c r="D12955" s="27" t="s">
        <v>118</v>
      </c>
      <c r="E12955" s="29">
        <v>39692</v>
      </c>
      <c r="F12955" s="27">
        <v>8</v>
      </c>
      <c r="G12955" s="18">
        <v>238735.26</v>
      </c>
      <c r="H12955" s="27">
        <f t="shared" si="404"/>
        <v>238735.26</v>
      </c>
      <c r="I12955" s="18">
        <v>226798.5</v>
      </c>
      <c r="J12955" s="27">
        <v>238735.26</v>
      </c>
      <c r="K12955" s="18">
        <f t="shared" si="405"/>
        <v>238735.26</v>
      </c>
      <c r="L12955" s="27">
        <v>226798.5</v>
      </c>
      <c r="M12955" s="36">
        <v>0</v>
      </c>
      <c r="T12955" s="41">
        <v>0</v>
      </c>
      <c r="U12955" s="41">
        <v>0</v>
      </c>
      <c r="V12955" s="42" t="s">
        <v>113</v>
      </c>
      <c r="W12955" s="42">
        <v>238735.26</v>
      </c>
      <c r="X12955" s="42">
        <v>238735.26</v>
      </c>
    </row>
    <row r="12956" spans="1:24">
      <c r="A12956" s="27" t="s">
        <v>23232</v>
      </c>
      <c r="B12956" s="28" t="s">
        <v>19918</v>
      </c>
      <c r="C12956" s="27" t="s">
        <v>23233</v>
      </c>
      <c r="D12956" s="27" t="s">
        <v>17578</v>
      </c>
      <c r="E12956" s="29">
        <v>35977</v>
      </c>
      <c r="F12956" s="27">
        <v>8</v>
      </c>
      <c r="G12956" s="18">
        <v>113505.57</v>
      </c>
      <c r="H12956" s="27">
        <f t="shared" si="404"/>
        <v>113505.57</v>
      </c>
      <c r="I12956" s="18">
        <v>107830.29</v>
      </c>
      <c r="J12956" s="27">
        <v>113505.57</v>
      </c>
      <c r="K12956" s="18">
        <f t="shared" si="405"/>
        <v>113505.57</v>
      </c>
      <c r="L12956" s="27">
        <v>107830.29</v>
      </c>
      <c r="M12956" s="36">
        <v>0</v>
      </c>
      <c r="T12956" s="41">
        <v>0</v>
      </c>
      <c r="U12956" s="41">
        <v>0</v>
      </c>
      <c r="V12956" s="42" t="s">
        <v>113</v>
      </c>
      <c r="W12956" s="42">
        <v>113505.57</v>
      </c>
      <c r="X12956" s="42">
        <v>113505.57</v>
      </c>
    </row>
    <row r="12957" spans="1:24">
      <c r="A12957" s="27" t="s">
        <v>23234</v>
      </c>
      <c r="B12957" s="28" t="s">
        <v>19918</v>
      </c>
      <c r="C12957" s="27" t="s">
        <v>23235</v>
      </c>
      <c r="D12957" s="27" t="s">
        <v>17578</v>
      </c>
      <c r="E12957" s="29">
        <v>35977</v>
      </c>
      <c r="F12957" s="27">
        <v>8</v>
      </c>
      <c r="G12957" s="18">
        <v>13380.13</v>
      </c>
      <c r="H12957" s="27">
        <f t="shared" si="404"/>
        <v>13380.13</v>
      </c>
      <c r="I12957" s="18">
        <v>12711.12</v>
      </c>
      <c r="J12957" s="27">
        <v>13380.13</v>
      </c>
      <c r="K12957" s="18">
        <f t="shared" si="405"/>
        <v>13380.13</v>
      </c>
      <c r="L12957" s="27">
        <v>12711.12</v>
      </c>
      <c r="M12957" s="36">
        <v>0</v>
      </c>
      <c r="T12957" s="41">
        <v>0</v>
      </c>
      <c r="U12957" s="41">
        <v>0</v>
      </c>
      <c r="V12957" s="42" t="s">
        <v>113</v>
      </c>
      <c r="W12957" s="42">
        <v>13380.13</v>
      </c>
      <c r="X12957" s="42">
        <v>13380.13</v>
      </c>
    </row>
    <row r="12958" spans="1:24">
      <c r="A12958" s="27" t="s">
        <v>23236</v>
      </c>
      <c r="B12958" s="28" t="s">
        <v>19918</v>
      </c>
      <c r="C12958" s="27" t="s">
        <v>23237</v>
      </c>
      <c r="D12958" s="27" t="s">
        <v>17578</v>
      </c>
      <c r="E12958" s="29">
        <v>35977</v>
      </c>
      <c r="F12958" s="27">
        <v>8</v>
      </c>
      <c r="G12958" s="18">
        <v>92834</v>
      </c>
      <c r="H12958" s="27">
        <f t="shared" si="404"/>
        <v>92834</v>
      </c>
      <c r="I12958" s="18">
        <v>88192.3</v>
      </c>
      <c r="J12958" s="27">
        <v>92834</v>
      </c>
      <c r="K12958" s="18">
        <f t="shared" si="405"/>
        <v>92834</v>
      </c>
      <c r="L12958" s="27">
        <v>88192.3</v>
      </c>
      <c r="M12958" s="36">
        <v>0</v>
      </c>
      <c r="T12958" s="41">
        <v>0</v>
      </c>
      <c r="U12958" s="41">
        <v>0</v>
      </c>
      <c r="V12958" s="42" t="s">
        <v>113</v>
      </c>
      <c r="W12958" s="42">
        <v>92834</v>
      </c>
      <c r="X12958" s="42">
        <v>92834</v>
      </c>
    </row>
    <row r="12959" spans="1:24">
      <c r="A12959" s="27" t="s">
        <v>23238</v>
      </c>
      <c r="B12959" s="28" t="s">
        <v>19918</v>
      </c>
      <c r="C12959" s="27" t="s">
        <v>23239</v>
      </c>
      <c r="D12959" s="27" t="s">
        <v>17578</v>
      </c>
      <c r="E12959" s="29">
        <v>35977</v>
      </c>
      <c r="F12959" s="27">
        <v>8</v>
      </c>
      <c r="G12959" s="18">
        <v>19574.099999999999</v>
      </c>
      <c r="H12959" s="27">
        <f t="shared" si="404"/>
        <v>19574.099999999999</v>
      </c>
      <c r="I12959" s="18">
        <v>18595.39</v>
      </c>
      <c r="J12959" s="27">
        <v>19574.099999999999</v>
      </c>
      <c r="K12959" s="18">
        <f t="shared" si="405"/>
        <v>19574.099999999999</v>
      </c>
      <c r="L12959" s="27">
        <v>18595.39</v>
      </c>
      <c r="M12959" s="36">
        <v>0</v>
      </c>
      <c r="T12959" s="41">
        <v>0</v>
      </c>
      <c r="U12959" s="41">
        <v>0</v>
      </c>
      <c r="V12959" s="42" t="s">
        <v>113</v>
      </c>
      <c r="W12959" s="42">
        <v>19574.099999999999</v>
      </c>
      <c r="X12959" s="42">
        <v>19574.099999999999</v>
      </c>
    </row>
    <row r="12960" spans="1:24">
      <c r="A12960" s="27" t="s">
        <v>23240</v>
      </c>
      <c r="B12960" s="28" t="s">
        <v>19918</v>
      </c>
      <c r="C12960" s="27" t="s">
        <v>23241</v>
      </c>
      <c r="D12960" s="27" t="s">
        <v>17578</v>
      </c>
      <c r="E12960" s="29">
        <v>35977</v>
      </c>
      <c r="F12960" s="27">
        <v>8</v>
      </c>
      <c r="G12960" s="18">
        <v>8388.84</v>
      </c>
      <c r="H12960" s="27">
        <f t="shared" si="404"/>
        <v>8388.84</v>
      </c>
      <c r="I12960" s="18">
        <v>7969.4</v>
      </c>
      <c r="J12960" s="27">
        <v>8388.84</v>
      </c>
      <c r="K12960" s="18">
        <f t="shared" si="405"/>
        <v>8388.84</v>
      </c>
      <c r="L12960" s="27">
        <v>7969.4</v>
      </c>
      <c r="M12960" s="36">
        <v>0</v>
      </c>
      <c r="T12960" s="41">
        <v>0</v>
      </c>
      <c r="U12960" s="41">
        <v>0</v>
      </c>
      <c r="V12960" s="42" t="s">
        <v>113</v>
      </c>
      <c r="W12960" s="42">
        <v>8388.84</v>
      </c>
      <c r="X12960" s="42">
        <v>8388.84</v>
      </c>
    </row>
    <row r="12961" spans="1:24">
      <c r="A12961" s="27" t="s">
        <v>23242</v>
      </c>
      <c r="B12961" s="28" t="s">
        <v>19918</v>
      </c>
      <c r="C12961" s="27" t="s">
        <v>23237</v>
      </c>
      <c r="D12961" s="27" t="s">
        <v>17578</v>
      </c>
      <c r="E12961" s="29">
        <v>35977</v>
      </c>
      <c r="F12961" s="27">
        <v>8</v>
      </c>
      <c r="G12961" s="18">
        <v>4870.9799999999996</v>
      </c>
      <c r="H12961" s="27">
        <f t="shared" si="404"/>
        <v>4870.9799999999996</v>
      </c>
      <c r="I12961" s="18">
        <v>4870.9799999999996</v>
      </c>
      <c r="J12961" s="27">
        <v>4870.9799999999996</v>
      </c>
      <c r="K12961" s="18">
        <f t="shared" si="405"/>
        <v>4870.9799999999996</v>
      </c>
      <c r="L12961" s="27">
        <v>4870.9799999999996</v>
      </c>
      <c r="M12961" s="36">
        <v>0</v>
      </c>
      <c r="T12961" s="41">
        <v>0</v>
      </c>
      <c r="U12961" s="41">
        <v>0</v>
      </c>
      <c r="V12961" s="42" t="s">
        <v>113</v>
      </c>
      <c r="W12961" s="42">
        <v>4870.9799999999996</v>
      </c>
      <c r="X12961" s="42">
        <v>4870.9799999999996</v>
      </c>
    </row>
    <row r="12962" spans="1:24">
      <c r="A12962" s="27" t="s">
        <v>23243</v>
      </c>
      <c r="B12962" s="28" t="s">
        <v>19918</v>
      </c>
      <c r="C12962" s="27" t="s">
        <v>19705</v>
      </c>
      <c r="D12962" s="27" t="s">
        <v>17578</v>
      </c>
      <c r="E12962" s="29">
        <v>35977</v>
      </c>
      <c r="F12962" s="27">
        <v>8</v>
      </c>
      <c r="G12962" s="18">
        <v>9922.3799999999992</v>
      </c>
      <c r="H12962" s="27">
        <f t="shared" si="404"/>
        <v>9922.3799999999992</v>
      </c>
      <c r="I12962" s="18">
        <v>9426.26</v>
      </c>
      <c r="J12962" s="27">
        <v>9922.3799999999992</v>
      </c>
      <c r="K12962" s="18">
        <f t="shared" si="405"/>
        <v>9922.3799999999992</v>
      </c>
      <c r="L12962" s="27">
        <v>9426.26</v>
      </c>
      <c r="M12962" s="36">
        <v>0</v>
      </c>
      <c r="T12962" s="41">
        <v>0</v>
      </c>
      <c r="U12962" s="41">
        <v>0</v>
      </c>
      <c r="V12962" s="42" t="s">
        <v>113</v>
      </c>
      <c r="W12962" s="42">
        <v>9922.3799999999992</v>
      </c>
      <c r="X12962" s="42">
        <v>9922.3799999999992</v>
      </c>
    </row>
    <row r="12963" spans="1:24">
      <c r="A12963" s="27" t="s">
        <v>23244</v>
      </c>
      <c r="B12963" s="28" t="s">
        <v>19918</v>
      </c>
      <c r="C12963" s="27" t="s">
        <v>23245</v>
      </c>
      <c r="D12963" s="27" t="s">
        <v>17578</v>
      </c>
      <c r="E12963" s="29">
        <v>35977</v>
      </c>
      <c r="F12963" s="27">
        <v>8</v>
      </c>
      <c r="G12963" s="18">
        <v>15334.53</v>
      </c>
      <c r="H12963" s="27">
        <f t="shared" si="404"/>
        <v>15334.53</v>
      </c>
      <c r="I12963" s="18">
        <v>14567.8</v>
      </c>
      <c r="J12963" s="27">
        <v>15334.53</v>
      </c>
      <c r="K12963" s="18">
        <f t="shared" si="405"/>
        <v>15334.53</v>
      </c>
      <c r="L12963" s="27">
        <v>14567.8</v>
      </c>
      <c r="M12963" s="36">
        <v>0</v>
      </c>
      <c r="T12963" s="41">
        <v>0</v>
      </c>
      <c r="U12963" s="41">
        <v>0</v>
      </c>
      <c r="V12963" s="42" t="s">
        <v>113</v>
      </c>
      <c r="W12963" s="42">
        <v>15334.53</v>
      </c>
      <c r="X12963" s="42">
        <v>15334.53</v>
      </c>
    </row>
    <row r="12964" spans="1:24">
      <c r="A12964" s="27" t="s">
        <v>23246</v>
      </c>
      <c r="B12964" s="28" t="s">
        <v>19918</v>
      </c>
      <c r="C12964" s="27" t="s">
        <v>23247</v>
      </c>
      <c r="D12964" s="27" t="s">
        <v>17578</v>
      </c>
      <c r="E12964" s="29">
        <v>35977</v>
      </c>
      <c r="F12964" s="27">
        <v>8</v>
      </c>
      <c r="G12964" s="18">
        <v>10974.7</v>
      </c>
      <c r="H12964" s="27">
        <f t="shared" si="404"/>
        <v>10974.7</v>
      </c>
      <c r="I12964" s="18">
        <v>10425.959999999999</v>
      </c>
      <c r="J12964" s="27">
        <v>10974.7</v>
      </c>
      <c r="K12964" s="18">
        <f t="shared" si="405"/>
        <v>10974.7</v>
      </c>
      <c r="L12964" s="27">
        <v>10425.959999999999</v>
      </c>
      <c r="M12964" s="36">
        <v>0</v>
      </c>
      <c r="T12964" s="41">
        <v>0</v>
      </c>
      <c r="U12964" s="41">
        <v>0</v>
      </c>
      <c r="V12964" s="42" t="s">
        <v>113</v>
      </c>
      <c r="W12964" s="42">
        <v>10974.7</v>
      </c>
      <c r="X12964" s="42">
        <v>10974.7</v>
      </c>
    </row>
    <row r="12965" spans="1:24">
      <c r="A12965" s="27" t="s">
        <v>23248</v>
      </c>
      <c r="B12965" s="28" t="s">
        <v>19918</v>
      </c>
      <c r="C12965" s="27" t="s">
        <v>23249</v>
      </c>
      <c r="D12965" s="27" t="s">
        <v>118</v>
      </c>
      <c r="E12965" s="29">
        <v>38534</v>
      </c>
      <c r="F12965" s="27">
        <v>8</v>
      </c>
      <c r="G12965" s="18">
        <v>459541.47</v>
      </c>
      <c r="H12965" s="27">
        <f t="shared" si="404"/>
        <v>459541.47</v>
      </c>
      <c r="I12965" s="18">
        <v>436564.4</v>
      </c>
      <c r="J12965" s="27">
        <v>459541.47</v>
      </c>
      <c r="K12965" s="18">
        <f t="shared" si="405"/>
        <v>459541.47</v>
      </c>
      <c r="L12965" s="27">
        <v>436564.4</v>
      </c>
      <c r="M12965" s="36">
        <v>0</v>
      </c>
      <c r="T12965" s="41">
        <v>0</v>
      </c>
      <c r="U12965" s="41">
        <v>0</v>
      </c>
      <c r="V12965" s="42" t="s">
        <v>113</v>
      </c>
      <c r="W12965" s="42">
        <v>459541.47</v>
      </c>
      <c r="X12965" s="42">
        <v>459541.47</v>
      </c>
    </row>
    <row r="12966" spans="1:24">
      <c r="A12966" s="27" t="s">
        <v>23250</v>
      </c>
      <c r="B12966" s="28" t="s">
        <v>19918</v>
      </c>
      <c r="C12966" s="27" t="s">
        <v>19948</v>
      </c>
      <c r="D12966" s="27" t="s">
        <v>17578</v>
      </c>
      <c r="E12966" s="29">
        <v>39387</v>
      </c>
      <c r="F12966" s="27">
        <v>8</v>
      </c>
      <c r="G12966" s="18">
        <v>98690.02</v>
      </c>
      <c r="H12966" s="27">
        <f t="shared" si="404"/>
        <v>98690.02</v>
      </c>
      <c r="I12966" s="18">
        <v>93755.520000000004</v>
      </c>
      <c r="J12966" s="27">
        <v>98690.02</v>
      </c>
      <c r="K12966" s="18">
        <f t="shared" si="405"/>
        <v>98690.02</v>
      </c>
      <c r="L12966" s="27">
        <v>93755.520000000004</v>
      </c>
      <c r="M12966" s="36">
        <v>0</v>
      </c>
      <c r="T12966" s="41">
        <v>0</v>
      </c>
      <c r="U12966" s="41">
        <v>0</v>
      </c>
      <c r="V12966" s="42" t="s">
        <v>113</v>
      </c>
      <c r="W12966" s="42">
        <v>98690.02</v>
      </c>
      <c r="X12966" s="42">
        <v>98690.02</v>
      </c>
    </row>
    <row r="12967" spans="1:24">
      <c r="A12967" s="27" t="s">
        <v>23251</v>
      </c>
      <c r="B12967" s="28" t="s">
        <v>19918</v>
      </c>
      <c r="C12967" s="27" t="s">
        <v>19950</v>
      </c>
      <c r="D12967" s="27" t="s">
        <v>17578</v>
      </c>
      <c r="E12967" s="29">
        <v>39387</v>
      </c>
      <c r="F12967" s="27">
        <v>8</v>
      </c>
      <c r="G12967" s="18">
        <v>24672.5</v>
      </c>
      <c r="H12967" s="27">
        <f t="shared" si="404"/>
        <v>24672.5</v>
      </c>
      <c r="I12967" s="18">
        <v>23438.87</v>
      </c>
      <c r="J12967" s="27">
        <v>24672.5</v>
      </c>
      <c r="K12967" s="18">
        <f t="shared" si="405"/>
        <v>24672.5</v>
      </c>
      <c r="L12967" s="27">
        <v>23438.87</v>
      </c>
      <c r="M12967" s="36">
        <v>0</v>
      </c>
      <c r="T12967" s="41">
        <v>0</v>
      </c>
      <c r="U12967" s="41">
        <v>0</v>
      </c>
      <c r="V12967" s="42" t="s">
        <v>113</v>
      </c>
      <c r="W12967" s="42">
        <v>24672.5</v>
      </c>
      <c r="X12967" s="42">
        <v>24672.5</v>
      </c>
    </row>
    <row r="12968" spans="1:24">
      <c r="A12968" s="27" t="s">
        <v>23252</v>
      </c>
      <c r="B12968" s="28" t="s">
        <v>19918</v>
      </c>
      <c r="C12968" s="27" t="s">
        <v>23253</v>
      </c>
      <c r="D12968" s="27" t="s">
        <v>17558</v>
      </c>
      <c r="E12968" s="29">
        <v>39387</v>
      </c>
      <c r="F12968" s="27">
        <v>5</v>
      </c>
      <c r="G12968" s="18">
        <v>284306.52</v>
      </c>
      <c r="H12968" s="27">
        <f t="shared" si="404"/>
        <v>284306.52</v>
      </c>
      <c r="I12968" s="18">
        <v>270091.19</v>
      </c>
      <c r="J12968" s="27">
        <v>284306.52</v>
      </c>
      <c r="K12968" s="18">
        <f t="shared" si="405"/>
        <v>284306.52</v>
      </c>
      <c r="L12968" s="27">
        <v>270091.19</v>
      </c>
      <c r="M12968" s="36">
        <v>0</v>
      </c>
      <c r="T12968" s="41">
        <v>0</v>
      </c>
      <c r="U12968" s="41">
        <v>0</v>
      </c>
      <c r="V12968" s="42" t="s">
        <v>113</v>
      </c>
      <c r="W12968" s="42">
        <v>284306.52</v>
      </c>
      <c r="X12968" s="42">
        <v>284306.52</v>
      </c>
    </row>
    <row r="12969" spans="1:24">
      <c r="A12969" s="27" t="s">
        <v>23254</v>
      </c>
      <c r="B12969" s="28" t="s">
        <v>19918</v>
      </c>
      <c r="C12969" s="27" t="s">
        <v>23255</v>
      </c>
      <c r="D12969" s="27" t="s">
        <v>17558</v>
      </c>
      <c r="E12969" s="29">
        <v>36495</v>
      </c>
      <c r="F12969" s="27">
        <v>8</v>
      </c>
      <c r="G12969" s="18">
        <v>25934.02</v>
      </c>
      <c r="H12969" s="27">
        <f t="shared" si="404"/>
        <v>25934.02</v>
      </c>
      <c r="I12969" s="18">
        <v>24637.32</v>
      </c>
      <c r="J12969" s="27">
        <v>25934.02</v>
      </c>
      <c r="K12969" s="18">
        <f t="shared" si="405"/>
        <v>25934.02</v>
      </c>
      <c r="L12969" s="27">
        <v>24637.32</v>
      </c>
      <c r="M12969" s="36">
        <v>0</v>
      </c>
      <c r="T12969" s="41">
        <v>0</v>
      </c>
      <c r="U12969" s="41">
        <v>0</v>
      </c>
      <c r="V12969" s="42" t="s">
        <v>113</v>
      </c>
      <c r="W12969" s="42">
        <v>25934.02</v>
      </c>
      <c r="X12969" s="42">
        <v>25934.02</v>
      </c>
    </row>
    <row r="12970" spans="1:24">
      <c r="A12970" s="27" t="s">
        <v>23256</v>
      </c>
      <c r="B12970" s="28" t="s">
        <v>19918</v>
      </c>
      <c r="C12970" s="27" t="s">
        <v>23255</v>
      </c>
      <c r="D12970" s="27" t="s">
        <v>17558</v>
      </c>
      <c r="E12970" s="29">
        <v>36495</v>
      </c>
      <c r="F12970" s="27">
        <v>8</v>
      </c>
      <c r="G12970" s="18">
        <v>25934.02</v>
      </c>
      <c r="H12970" s="27">
        <f t="shared" si="404"/>
        <v>25934.02</v>
      </c>
      <c r="I12970" s="18">
        <v>24637.32</v>
      </c>
      <c r="J12970" s="27">
        <v>25934.02</v>
      </c>
      <c r="K12970" s="18">
        <f t="shared" si="405"/>
        <v>25934.02</v>
      </c>
      <c r="L12970" s="27">
        <v>24637.32</v>
      </c>
      <c r="M12970" s="36">
        <v>0</v>
      </c>
      <c r="T12970" s="41">
        <v>0</v>
      </c>
      <c r="U12970" s="41">
        <v>0</v>
      </c>
      <c r="V12970" s="42" t="s">
        <v>113</v>
      </c>
      <c r="W12970" s="42">
        <v>25934.02</v>
      </c>
      <c r="X12970" s="42">
        <v>25934.02</v>
      </c>
    </row>
    <row r="12971" spans="1:24">
      <c r="A12971" s="27" t="s">
        <v>23257</v>
      </c>
      <c r="B12971" s="28" t="s">
        <v>19918</v>
      </c>
      <c r="C12971" s="27" t="s">
        <v>23255</v>
      </c>
      <c r="D12971" s="27" t="s">
        <v>17558</v>
      </c>
      <c r="E12971" s="29">
        <v>36495</v>
      </c>
      <c r="F12971" s="27">
        <v>8</v>
      </c>
      <c r="G12971" s="18">
        <v>25934.02</v>
      </c>
      <c r="H12971" s="27">
        <f t="shared" si="404"/>
        <v>25934.02</v>
      </c>
      <c r="I12971" s="18">
        <v>24637.32</v>
      </c>
      <c r="J12971" s="27">
        <v>25934.02</v>
      </c>
      <c r="K12971" s="18">
        <f t="shared" si="405"/>
        <v>25934.02</v>
      </c>
      <c r="L12971" s="27">
        <v>24637.32</v>
      </c>
      <c r="M12971" s="36">
        <v>0</v>
      </c>
      <c r="T12971" s="41">
        <v>0</v>
      </c>
      <c r="U12971" s="41">
        <v>0</v>
      </c>
      <c r="V12971" s="42" t="s">
        <v>113</v>
      </c>
      <c r="W12971" s="42">
        <v>25934.02</v>
      </c>
      <c r="X12971" s="42">
        <v>25934.02</v>
      </c>
    </row>
    <row r="12972" spans="1:24">
      <c r="A12972" s="27" t="s">
        <v>23258</v>
      </c>
      <c r="B12972" s="28" t="s">
        <v>19918</v>
      </c>
      <c r="C12972" s="27" t="s">
        <v>23255</v>
      </c>
      <c r="D12972" s="27" t="s">
        <v>17558</v>
      </c>
      <c r="E12972" s="29">
        <v>36495</v>
      </c>
      <c r="F12972" s="27">
        <v>8</v>
      </c>
      <c r="G12972" s="18">
        <v>25934.02</v>
      </c>
      <c r="H12972" s="27">
        <f t="shared" si="404"/>
        <v>25934.02</v>
      </c>
      <c r="I12972" s="18">
        <v>24637.32</v>
      </c>
      <c r="J12972" s="27">
        <v>25934.02</v>
      </c>
      <c r="K12972" s="18">
        <f t="shared" si="405"/>
        <v>25934.02</v>
      </c>
      <c r="L12972" s="27">
        <v>24637.32</v>
      </c>
      <c r="M12972" s="36">
        <v>0</v>
      </c>
      <c r="T12972" s="41">
        <v>0</v>
      </c>
      <c r="U12972" s="41">
        <v>0</v>
      </c>
      <c r="V12972" s="42" t="s">
        <v>113</v>
      </c>
      <c r="W12972" s="42">
        <v>25934.02</v>
      </c>
      <c r="X12972" s="42">
        <v>25934.02</v>
      </c>
    </row>
    <row r="12973" spans="1:24">
      <c r="A12973" s="27" t="s">
        <v>23259</v>
      </c>
      <c r="B12973" s="28" t="s">
        <v>19918</v>
      </c>
      <c r="C12973" s="27" t="s">
        <v>23255</v>
      </c>
      <c r="D12973" s="27" t="s">
        <v>17558</v>
      </c>
      <c r="E12973" s="29">
        <v>36495</v>
      </c>
      <c r="F12973" s="27">
        <v>8</v>
      </c>
      <c r="G12973" s="18">
        <v>25934.02</v>
      </c>
      <c r="H12973" s="27">
        <f t="shared" si="404"/>
        <v>25934.02</v>
      </c>
      <c r="I12973" s="18">
        <v>24637.32</v>
      </c>
      <c r="J12973" s="27">
        <v>25934.02</v>
      </c>
      <c r="K12973" s="18">
        <f t="shared" si="405"/>
        <v>25934.02</v>
      </c>
      <c r="L12973" s="27">
        <v>24637.32</v>
      </c>
      <c r="M12973" s="36">
        <v>0</v>
      </c>
      <c r="T12973" s="41">
        <v>0</v>
      </c>
      <c r="U12973" s="41">
        <v>0</v>
      </c>
      <c r="V12973" s="42" t="s">
        <v>113</v>
      </c>
      <c r="W12973" s="42">
        <v>25934.02</v>
      </c>
      <c r="X12973" s="42">
        <v>25934.02</v>
      </c>
    </row>
    <row r="12974" spans="1:24">
      <c r="A12974" s="27" t="s">
        <v>23260</v>
      </c>
      <c r="B12974" s="28" t="s">
        <v>19918</v>
      </c>
      <c r="C12974" s="27" t="s">
        <v>23261</v>
      </c>
      <c r="D12974" s="27" t="s">
        <v>118</v>
      </c>
      <c r="E12974" s="29">
        <v>37591</v>
      </c>
      <c r="F12974" s="27">
        <v>8</v>
      </c>
      <c r="G12974" s="18">
        <v>155592.95999999999</v>
      </c>
      <c r="H12974" s="27">
        <f t="shared" si="404"/>
        <v>155592.95999999999</v>
      </c>
      <c r="I12974" s="18">
        <v>147813.31</v>
      </c>
      <c r="J12974" s="27">
        <v>155592.95999999999</v>
      </c>
      <c r="K12974" s="18">
        <f t="shared" si="405"/>
        <v>155592.95999999999</v>
      </c>
      <c r="L12974" s="27">
        <v>147813.31</v>
      </c>
      <c r="M12974" s="36">
        <v>0</v>
      </c>
      <c r="T12974" s="41">
        <v>0</v>
      </c>
      <c r="U12974" s="41">
        <v>0</v>
      </c>
      <c r="V12974" s="42" t="s">
        <v>113</v>
      </c>
      <c r="W12974" s="42">
        <v>155592.95999999999</v>
      </c>
      <c r="X12974" s="42">
        <v>155592.95999999999</v>
      </c>
    </row>
    <row r="12975" spans="1:24">
      <c r="A12975" s="27" t="s">
        <v>23262</v>
      </c>
      <c r="B12975" s="28" t="s">
        <v>19918</v>
      </c>
      <c r="C12975" s="27" t="s">
        <v>23263</v>
      </c>
      <c r="D12975" s="27" t="s">
        <v>17558</v>
      </c>
      <c r="E12975" s="29">
        <v>35765</v>
      </c>
      <c r="F12975" s="27">
        <v>8</v>
      </c>
      <c r="G12975" s="18">
        <v>150442.5</v>
      </c>
      <c r="H12975" s="27">
        <f t="shared" si="404"/>
        <v>150442.5</v>
      </c>
      <c r="I12975" s="18">
        <v>142920.37</v>
      </c>
      <c r="J12975" s="27">
        <v>150442.5</v>
      </c>
      <c r="K12975" s="18">
        <f t="shared" si="405"/>
        <v>150442.5</v>
      </c>
      <c r="L12975" s="27">
        <v>142920.37</v>
      </c>
      <c r="M12975" s="36">
        <v>0</v>
      </c>
      <c r="T12975" s="41">
        <v>0</v>
      </c>
      <c r="U12975" s="41">
        <v>0</v>
      </c>
      <c r="V12975" s="42" t="s">
        <v>113</v>
      </c>
      <c r="W12975" s="42">
        <v>150442.5</v>
      </c>
      <c r="X12975" s="42">
        <v>150442.5</v>
      </c>
    </row>
    <row r="12976" spans="1:24">
      <c r="A12976" s="27" t="s">
        <v>23264</v>
      </c>
      <c r="B12976" s="28" t="s">
        <v>19918</v>
      </c>
      <c r="C12976" s="27" t="s">
        <v>23255</v>
      </c>
      <c r="D12976" s="27" t="s">
        <v>17558</v>
      </c>
      <c r="E12976" s="29">
        <v>36495</v>
      </c>
      <c r="F12976" s="27">
        <v>8</v>
      </c>
      <c r="G12976" s="18">
        <v>25934.02</v>
      </c>
      <c r="H12976" s="27">
        <f t="shared" si="404"/>
        <v>25934.02</v>
      </c>
      <c r="I12976" s="18">
        <v>24637.32</v>
      </c>
      <c r="J12976" s="27">
        <v>25934.02</v>
      </c>
      <c r="K12976" s="18">
        <f t="shared" si="405"/>
        <v>25934.02</v>
      </c>
      <c r="L12976" s="27">
        <v>24637.32</v>
      </c>
      <c r="M12976" s="36">
        <v>0</v>
      </c>
      <c r="T12976" s="41">
        <v>0</v>
      </c>
      <c r="U12976" s="41">
        <v>0</v>
      </c>
      <c r="V12976" s="42" t="s">
        <v>113</v>
      </c>
      <c r="W12976" s="42">
        <v>25934.02</v>
      </c>
      <c r="X12976" s="42">
        <v>25934.02</v>
      </c>
    </row>
    <row r="12977" spans="1:24">
      <c r="A12977" s="27" t="s">
        <v>23265</v>
      </c>
      <c r="B12977" s="28" t="s">
        <v>19918</v>
      </c>
      <c r="C12977" s="27" t="s">
        <v>23255</v>
      </c>
      <c r="D12977" s="27" t="s">
        <v>17558</v>
      </c>
      <c r="E12977" s="29">
        <v>36495</v>
      </c>
      <c r="F12977" s="27">
        <v>8</v>
      </c>
      <c r="G12977" s="18">
        <v>25934.02</v>
      </c>
      <c r="H12977" s="27">
        <f t="shared" si="404"/>
        <v>25934.02</v>
      </c>
      <c r="I12977" s="18">
        <v>24637.32</v>
      </c>
      <c r="J12977" s="27">
        <v>25934.02</v>
      </c>
      <c r="K12977" s="18">
        <f t="shared" si="405"/>
        <v>25934.02</v>
      </c>
      <c r="L12977" s="27">
        <v>24637.32</v>
      </c>
      <c r="M12977" s="36">
        <v>0</v>
      </c>
      <c r="T12977" s="41">
        <v>0</v>
      </c>
      <c r="U12977" s="41">
        <v>0</v>
      </c>
      <c r="V12977" s="42" t="s">
        <v>113</v>
      </c>
      <c r="W12977" s="42">
        <v>25934.02</v>
      </c>
      <c r="X12977" s="42">
        <v>25934.02</v>
      </c>
    </row>
    <row r="12978" spans="1:24">
      <c r="A12978" s="27" t="s">
        <v>23266</v>
      </c>
      <c r="B12978" s="28" t="s">
        <v>19918</v>
      </c>
      <c r="C12978" s="27" t="s">
        <v>23255</v>
      </c>
      <c r="D12978" s="27" t="s">
        <v>17558</v>
      </c>
      <c r="E12978" s="29">
        <v>36495</v>
      </c>
      <c r="F12978" s="27">
        <v>8</v>
      </c>
      <c r="G12978" s="18">
        <v>25934.02</v>
      </c>
      <c r="H12978" s="27">
        <f t="shared" si="404"/>
        <v>25934.02</v>
      </c>
      <c r="I12978" s="18">
        <v>24637.32</v>
      </c>
      <c r="J12978" s="27">
        <v>25934.02</v>
      </c>
      <c r="K12978" s="18">
        <f t="shared" si="405"/>
        <v>25934.02</v>
      </c>
      <c r="L12978" s="27">
        <v>24637.32</v>
      </c>
      <c r="M12978" s="36">
        <v>0</v>
      </c>
      <c r="T12978" s="41">
        <v>0</v>
      </c>
      <c r="U12978" s="41">
        <v>0</v>
      </c>
      <c r="V12978" s="42" t="s">
        <v>113</v>
      </c>
      <c r="W12978" s="42">
        <v>25934.02</v>
      </c>
      <c r="X12978" s="42">
        <v>25934.02</v>
      </c>
    </row>
    <row r="12979" spans="1:24">
      <c r="A12979" s="27" t="s">
        <v>23267</v>
      </c>
      <c r="B12979" s="28" t="s">
        <v>19918</v>
      </c>
      <c r="C12979" s="27" t="s">
        <v>19692</v>
      </c>
      <c r="D12979" s="27" t="s">
        <v>17578</v>
      </c>
      <c r="E12979" s="29">
        <v>35977</v>
      </c>
      <c r="F12979" s="27">
        <v>8</v>
      </c>
      <c r="G12979" s="18">
        <v>3450</v>
      </c>
      <c r="H12979" s="27">
        <f t="shared" si="404"/>
        <v>3450</v>
      </c>
      <c r="I12979" s="18">
        <v>3450</v>
      </c>
      <c r="J12979" s="27">
        <v>3450</v>
      </c>
      <c r="K12979" s="18">
        <f t="shared" si="405"/>
        <v>3450</v>
      </c>
      <c r="L12979" s="27">
        <v>3450</v>
      </c>
      <c r="M12979" s="36">
        <v>0</v>
      </c>
      <c r="T12979" s="41">
        <v>0</v>
      </c>
      <c r="U12979" s="41">
        <v>0</v>
      </c>
      <c r="V12979" s="42" t="s">
        <v>113</v>
      </c>
      <c r="W12979" s="42">
        <v>3450</v>
      </c>
      <c r="X12979" s="42">
        <v>3450</v>
      </c>
    </row>
    <row r="12980" spans="1:24">
      <c r="A12980" s="27" t="s">
        <v>23268</v>
      </c>
      <c r="B12980" s="28" t="s">
        <v>19918</v>
      </c>
      <c r="C12980" s="27" t="s">
        <v>23269</v>
      </c>
      <c r="D12980" s="27" t="s">
        <v>17578</v>
      </c>
      <c r="E12980" s="29">
        <v>36130</v>
      </c>
      <c r="F12980" s="27">
        <v>8</v>
      </c>
      <c r="G12980" s="18">
        <v>10237</v>
      </c>
      <c r="H12980" s="27">
        <f t="shared" si="404"/>
        <v>10237</v>
      </c>
      <c r="I12980" s="18">
        <v>9725.15</v>
      </c>
      <c r="J12980" s="27">
        <v>10237</v>
      </c>
      <c r="K12980" s="18">
        <f t="shared" si="405"/>
        <v>10237</v>
      </c>
      <c r="L12980" s="27">
        <v>9725.15</v>
      </c>
      <c r="M12980" s="36">
        <v>0</v>
      </c>
      <c r="T12980" s="41">
        <v>0</v>
      </c>
      <c r="U12980" s="41">
        <v>0</v>
      </c>
      <c r="V12980" s="42" t="s">
        <v>113</v>
      </c>
      <c r="W12980" s="42">
        <v>10237</v>
      </c>
      <c r="X12980" s="42">
        <v>10237</v>
      </c>
    </row>
    <row r="12981" spans="1:24">
      <c r="A12981" s="27" t="s">
        <v>23270</v>
      </c>
      <c r="B12981" s="28" t="s">
        <v>19918</v>
      </c>
      <c r="C12981" s="27" t="s">
        <v>23271</v>
      </c>
      <c r="D12981" s="27" t="s">
        <v>17558</v>
      </c>
      <c r="E12981" s="29">
        <v>36130</v>
      </c>
      <c r="F12981" s="27">
        <v>8</v>
      </c>
      <c r="G12981" s="18">
        <v>9127</v>
      </c>
      <c r="H12981" s="27">
        <f t="shared" si="404"/>
        <v>9127</v>
      </c>
      <c r="I12981" s="18">
        <v>8670.65</v>
      </c>
      <c r="J12981" s="27">
        <v>9127</v>
      </c>
      <c r="K12981" s="18">
        <f t="shared" si="405"/>
        <v>9127</v>
      </c>
      <c r="L12981" s="27">
        <v>8670.65</v>
      </c>
      <c r="M12981" s="36">
        <v>0</v>
      </c>
      <c r="T12981" s="41">
        <v>0</v>
      </c>
      <c r="U12981" s="41">
        <v>0</v>
      </c>
      <c r="V12981" s="42" t="s">
        <v>113</v>
      </c>
      <c r="W12981" s="42">
        <v>9127</v>
      </c>
      <c r="X12981" s="42">
        <v>9127</v>
      </c>
    </row>
    <row r="12982" spans="1:24">
      <c r="A12982" s="27" t="s">
        <v>23272</v>
      </c>
      <c r="B12982" s="28" t="s">
        <v>19918</v>
      </c>
      <c r="C12982" s="27" t="s">
        <v>23273</v>
      </c>
      <c r="D12982" s="27" t="s">
        <v>17578</v>
      </c>
      <c r="E12982" s="29">
        <v>36130</v>
      </c>
      <c r="F12982" s="27">
        <v>8</v>
      </c>
      <c r="G12982" s="18">
        <v>126529</v>
      </c>
      <c r="H12982" s="27">
        <f t="shared" si="404"/>
        <v>126529</v>
      </c>
      <c r="I12982" s="18">
        <v>120202.55</v>
      </c>
      <c r="J12982" s="27">
        <v>126529</v>
      </c>
      <c r="K12982" s="18">
        <f t="shared" si="405"/>
        <v>126529</v>
      </c>
      <c r="L12982" s="27">
        <v>120202.55</v>
      </c>
      <c r="M12982" s="36">
        <v>0</v>
      </c>
      <c r="T12982" s="41">
        <v>0</v>
      </c>
      <c r="U12982" s="41">
        <v>0</v>
      </c>
      <c r="V12982" s="42" t="s">
        <v>113</v>
      </c>
      <c r="W12982" s="42">
        <v>126529</v>
      </c>
      <c r="X12982" s="42">
        <v>126529</v>
      </c>
    </row>
    <row r="12983" spans="1:24">
      <c r="A12983" s="27" t="s">
        <v>23274</v>
      </c>
      <c r="B12983" s="28" t="s">
        <v>19918</v>
      </c>
      <c r="C12983" s="27" t="s">
        <v>23275</v>
      </c>
      <c r="D12983" s="27" t="s">
        <v>17558</v>
      </c>
      <c r="E12983" s="29">
        <v>36130</v>
      </c>
      <c r="F12983" s="27">
        <v>8</v>
      </c>
      <c r="G12983" s="18">
        <v>58850</v>
      </c>
      <c r="H12983" s="27">
        <f t="shared" si="404"/>
        <v>58850</v>
      </c>
      <c r="I12983" s="18">
        <v>55907.5</v>
      </c>
      <c r="J12983" s="27">
        <v>58850</v>
      </c>
      <c r="K12983" s="18">
        <f t="shared" si="405"/>
        <v>58850</v>
      </c>
      <c r="L12983" s="27">
        <v>55907.5</v>
      </c>
      <c r="M12983" s="36">
        <v>0</v>
      </c>
      <c r="T12983" s="41">
        <v>0</v>
      </c>
      <c r="U12983" s="41">
        <v>0</v>
      </c>
      <c r="V12983" s="42" t="s">
        <v>113</v>
      </c>
      <c r="W12983" s="42">
        <v>58850</v>
      </c>
      <c r="X12983" s="42">
        <v>58850</v>
      </c>
    </row>
    <row r="12984" spans="1:24">
      <c r="A12984" s="27" t="s">
        <v>23276</v>
      </c>
      <c r="B12984" s="28" t="s">
        <v>19918</v>
      </c>
      <c r="C12984" s="27" t="s">
        <v>23277</v>
      </c>
      <c r="D12984" s="27" t="s">
        <v>17558</v>
      </c>
      <c r="E12984" s="29">
        <v>36130</v>
      </c>
      <c r="F12984" s="27">
        <v>8</v>
      </c>
      <c r="G12984" s="18">
        <v>3068</v>
      </c>
      <c r="H12984" s="27">
        <f t="shared" si="404"/>
        <v>3068</v>
      </c>
      <c r="I12984" s="18">
        <v>3068</v>
      </c>
      <c r="J12984" s="27">
        <v>3068</v>
      </c>
      <c r="K12984" s="18">
        <f t="shared" si="405"/>
        <v>3068</v>
      </c>
      <c r="L12984" s="27">
        <v>3068</v>
      </c>
      <c r="M12984" s="36">
        <v>0</v>
      </c>
      <c r="T12984" s="41">
        <v>0</v>
      </c>
      <c r="U12984" s="41">
        <v>0</v>
      </c>
      <c r="V12984" s="42" t="s">
        <v>113</v>
      </c>
      <c r="W12984" s="42">
        <v>3068</v>
      </c>
      <c r="X12984" s="42">
        <v>3068</v>
      </c>
    </row>
    <row r="12985" spans="1:24">
      <c r="A12985" s="27" t="s">
        <v>23278</v>
      </c>
      <c r="B12985" s="28" t="s">
        <v>19918</v>
      </c>
      <c r="C12985" s="27" t="s">
        <v>23279</v>
      </c>
      <c r="D12985" s="27" t="s">
        <v>17558</v>
      </c>
      <c r="E12985" s="29">
        <v>36130</v>
      </c>
      <c r="F12985" s="27">
        <v>8</v>
      </c>
      <c r="G12985" s="18">
        <v>76</v>
      </c>
      <c r="H12985" s="27">
        <f t="shared" si="404"/>
        <v>76</v>
      </c>
      <c r="I12985" s="18">
        <v>76</v>
      </c>
      <c r="J12985" s="27">
        <v>76</v>
      </c>
      <c r="K12985" s="18">
        <f t="shared" si="405"/>
        <v>76</v>
      </c>
      <c r="L12985" s="27">
        <v>76</v>
      </c>
      <c r="M12985" s="36">
        <v>0</v>
      </c>
      <c r="T12985" s="41">
        <v>0</v>
      </c>
      <c r="U12985" s="41">
        <v>0</v>
      </c>
      <c r="V12985" s="42" t="s">
        <v>113</v>
      </c>
      <c r="W12985" s="42">
        <v>76</v>
      </c>
      <c r="X12985" s="42">
        <v>76</v>
      </c>
    </row>
    <row r="12986" spans="1:24">
      <c r="A12986" s="27" t="s">
        <v>23280</v>
      </c>
      <c r="B12986" s="28" t="s">
        <v>19918</v>
      </c>
      <c r="C12986" s="27" t="s">
        <v>23281</v>
      </c>
      <c r="D12986" s="27" t="s">
        <v>17578</v>
      </c>
      <c r="E12986" s="29">
        <v>36130</v>
      </c>
      <c r="F12986" s="27">
        <v>8</v>
      </c>
      <c r="G12986" s="18">
        <v>16517</v>
      </c>
      <c r="H12986" s="27">
        <f t="shared" si="404"/>
        <v>16517</v>
      </c>
      <c r="I12986" s="18">
        <v>15691.15</v>
      </c>
      <c r="J12986" s="27">
        <v>16517</v>
      </c>
      <c r="K12986" s="18">
        <f t="shared" si="405"/>
        <v>16517</v>
      </c>
      <c r="L12986" s="27">
        <v>15691.15</v>
      </c>
      <c r="M12986" s="36">
        <v>0</v>
      </c>
      <c r="T12986" s="41">
        <v>0</v>
      </c>
      <c r="U12986" s="41">
        <v>0</v>
      </c>
      <c r="V12986" s="42" t="s">
        <v>113</v>
      </c>
      <c r="W12986" s="42">
        <v>16517</v>
      </c>
      <c r="X12986" s="42">
        <v>16517</v>
      </c>
    </row>
    <row r="12987" spans="1:24">
      <c r="A12987" s="27" t="s">
        <v>23282</v>
      </c>
      <c r="B12987" s="28" t="s">
        <v>19918</v>
      </c>
      <c r="C12987" s="27" t="s">
        <v>23283</v>
      </c>
      <c r="D12987" s="27" t="s">
        <v>17558</v>
      </c>
      <c r="E12987" s="29">
        <v>36130</v>
      </c>
      <c r="F12987" s="27">
        <v>8</v>
      </c>
      <c r="G12987" s="18">
        <v>3893</v>
      </c>
      <c r="H12987" s="27">
        <f t="shared" si="404"/>
        <v>3893</v>
      </c>
      <c r="I12987" s="18">
        <v>3893</v>
      </c>
      <c r="J12987" s="27">
        <v>3893</v>
      </c>
      <c r="K12987" s="18">
        <f t="shared" si="405"/>
        <v>3893</v>
      </c>
      <c r="L12987" s="27">
        <v>3893</v>
      </c>
      <c r="M12987" s="36">
        <v>0</v>
      </c>
      <c r="T12987" s="41">
        <v>0</v>
      </c>
      <c r="U12987" s="41">
        <v>0</v>
      </c>
      <c r="V12987" s="42" t="s">
        <v>113</v>
      </c>
      <c r="W12987" s="42">
        <v>3893</v>
      </c>
      <c r="X12987" s="42">
        <v>3893</v>
      </c>
    </row>
    <row r="12988" spans="1:24">
      <c r="A12988" s="27" t="s">
        <v>23284</v>
      </c>
      <c r="B12988" s="28" t="s">
        <v>19918</v>
      </c>
      <c r="C12988" s="27" t="s">
        <v>23285</v>
      </c>
      <c r="D12988" s="27" t="s">
        <v>17558</v>
      </c>
      <c r="E12988" s="29">
        <v>36130</v>
      </c>
      <c r="F12988" s="27">
        <v>8</v>
      </c>
      <c r="G12988" s="18">
        <v>103907</v>
      </c>
      <c r="H12988" s="27">
        <f t="shared" si="404"/>
        <v>103907</v>
      </c>
      <c r="I12988" s="18">
        <v>98711.65</v>
      </c>
      <c r="J12988" s="27">
        <v>103907</v>
      </c>
      <c r="K12988" s="18">
        <f t="shared" si="405"/>
        <v>103907</v>
      </c>
      <c r="L12988" s="27">
        <v>98711.65</v>
      </c>
      <c r="M12988" s="36">
        <v>0</v>
      </c>
      <c r="T12988" s="41">
        <v>0</v>
      </c>
      <c r="U12988" s="41">
        <v>0</v>
      </c>
      <c r="V12988" s="42" t="s">
        <v>113</v>
      </c>
      <c r="W12988" s="42">
        <v>103907</v>
      </c>
      <c r="X12988" s="42">
        <v>103907</v>
      </c>
    </row>
    <row r="12989" spans="1:24">
      <c r="A12989" s="27" t="s">
        <v>23286</v>
      </c>
      <c r="B12989" s="28" t="s">
        <v>19918</v>
      </c>
      <c r="C12989" s="27" t="s">
        <v>23287</v>
      </c>
      <c r="D12989" s="27" t="s">
        <v>17558</v>
      </c>
      <c r="E12989" s="29">
        <v>36130</v>
      </c>
      <c r="F12989" s="27">
        <v>8</v>
      </c>
      <c r="G12989" s="18">
        <v>177168</v>
      </c>
      <c r="H12989" s="27">
        <f t="shared" si="404"/>
        <v>177168</v>
      </c>
      <c r="I12989" s="18">
        <v>168309.6</v>
      </c>
      <c r="J12989" s="27">
        <v>177168</v>
      </c>
      <c r="K12989" s="18">
        <f t="shared" si="405"/>
        <v>177168</v>
      </c>
      <c r="L12989" s="27">
        <v>168309.6</v>
      </c>
      <c r="M12989" s="36">
        <v>0</v>
      </c>
      <c r="T12989" s="41">
        <v>0</v>
      </c>
      <c r="U12989" s="41">
        <v>0</v>
      </c>
      <c r="V12989" s="42" t="s">
        <v>113</v>
      </c>
      <c r="W12989" s="42">
        <v>177168</v>
      </c>
      <c r="X12989" s="42">
        <v>177168</v>
      </c>
    </row>
    <row r="12990" spans="1:24">
      <c r="A12990" s="27" t="s">
        <v>23288</v>
      </c>
      <c r="B12990" s="28" t="s">
        <v>19918</v>
      </c>
      <c r="C12990" s="27" t="s">
        <v>23289</v>
      </c>
      <c r="D12990" s="27" t="s">
        <v>17558</v>
      </c>
      <c r="E12990" s="29">
        <v>36130</v>
      </c>
      <c r="F12990" s="27">
        <v>8</v>
      </c>
      <c r="G12990" s="18">
        <v>33066</v>
      </c>
      <c r="H12990" s="27">
        <f t="shared" si="404"/>
        <v>33066</v>
      </c>
      <c r="I12990" s="18">
        <v>31412.7</v>
      </c>
      <c r="J12990" s="27">
        <v>33066</v>
      </c>
      <c r="K12990" s="18">
        <f t="shared" si="405"/>
        <v>33066</v>
      </c>
      <c r="L12990" s="27">
        <v>31412.7</v>
      </c>
      <c r="M12990" s="36">
        <v>0</v>
      </c>
      <c r="T12990" s="41">
        <v>0</v>
      </c>
      <c r="U12990" s="41">
        <v>0</v>
      </c>
      <c r="V12990" s="42" t="s">
        <v>113</v>
      </c>
      <c r="W12990" s="42">
        <v>33066</v>
      </c>
      <c r="X12990" s="42">
        <v>33066</v>
      </c>
    </row>
    <row r="12991" spans="1:24">
      <c r="A12991" s="27" t="s">
        <v>23290</v>
      </c>
      <c r="B12991" s="28" t="s">
        <v>19918</v>
      </c>
      <c r="C12991" s="27" t="s">
        <v>23291</v>
      </c>
      <c r="D12991" s="27" t="s">
        <v>17558</v>
      </c>
      <c r="E12991" s="29">
        <v>36130</v>
      </c>
      <c r="F12991" s="27">
        <v>8</v>
      </c>
      <c r="G12991" s="18">
        <v>102586</v>
      </c>
      <c r="H12991" s="27">
        <f t="shared" si="404"/>
        <v>102586</v>
      </c>
      <c r="I12991" s="18">
        <v>97456.7</v>
      </c>
      <c r="J12991" s="27">
        <v>102586</v>
      </c>
      <c r="K12991" s="18">
        <f t="shared" si="405"/>
        <v>102586</v>
      </c>
      <c r="L12991" s="27">
        <v>97456.7</v>
      </c>
      <c r="M12991" s="36">
        <v>0</v>
      </c>
      <c r="T12991" s="41">
        <v>0</v>
      </c>
      <c r="U12991" s="41">
        <v>0</v>
      </c>
      <c r="V12991" s="42" t="s">
        <v>113</v>
      </c>
      <c r="W12991" s="42">
        <v>102586</v>
      </c>
      <c r="X12991" s="42">
        <v>102586</v>
      </c>
    </row>
    <row r="12992" spans="1:24">
      <c r="A12992" s="27" t="s">
        <v>23292</v>
      </c>
      <c r="B12992" s="28" t="s">
        <v>19918</v>
      </c>
      <c r="C12992" s="27" t="s">
        <v>23293</v>
      </c>
      <c r="D12992" s="27" t="s">
        <v>17558</v>
      </c>
      <c r="E12992" s="29">
        <v>36130</v>
      </c>
      <c r="F12992" s="27">
        <v>8</v>
      </c>
      <c r="G12992" s="18">
        <v>1390268</v>
      </c>
      <c r="H12992" s="27">
        <f t="shared" si="404"/>
        <v>1390268</v>
      </c>
      <c r="I12992" s="18">
        <v>1320754.6000000001</v>
      </c>
      <c r="J12992" s="27">
        <v>1390268</v>
      </c>
      <c r="K12992" s="18">
        <f t="shared" si="405"/>
        <v>1390268</v>
      </c>
      <c r="L12992" s="27">
        <v>1320754.6000000001</v>
      </c>
      <c r="M12992" s="36">
        <v>0</v>
      </c>
      <c r="T12992" s="41">
        <v>0</v>
      </c>
      <c r="U12992" s="41">
        <v>0</v>
      </c>
      <c r="V12992" s="42" t="s">
        <v>113</v>
      </c>
      <c r="W12992" s="42">
        <v>1390268</v>
      </c>
      <c r="X12992" s="42">
        <v>1390268</v>
      </c>
    </row>
    <row r="12993" spans="1:24">
      <c r="A12993" s="27" t="s">
        <v>23294</v>
      </c>
      <c r="B12993" s="28" t="s">
        <v>19918</v>
      </c>
      <c r="C12993" s="27" t="s">
        <v>23295</v>
      </c>
      <c r="D12993" s="27" t="s">
        <v>17558</v>
      </c>
      <c r="E12993" s="29">
        <v>36130</v>
      </c>
      <c r="F12993" s="27">
        <v>8</v>
      </c>
      <c r="G12993" s="18">
        <v>67870</v>
      </c>
      <c r="H12993" s="27">
        <f t="shared" si="404"/>
        <v>67870</v>
      </c>
      <c r="I12993" s="18">
        <v>64476.5</v>
      </c>
      <c r="J12993" s="27">
        <v>67870</v>
      </c>
      <c r="K12993" s="18">
        <f t="shared" si="405"/>
        <v>67870</v>
      </c>
      <c r="L12993" s="27">
        <v>64476.5</v>
      </c>
      <c r="M12993" s="36">
        <v>0</v>
      </c>
      <c r="T12993" s="41">
        <v>0</v>
      </c>
      <c r="U12993" s="41">
        <v>0</v>
      </c>
      <c r="V12993" s="42" t="s">
        <v>113</v>
      </c>
      <c r="W12993" s="42">
        <v>67870</v>
      </c>
      <c r="X12993" s="42">
        <v>67870</v>
      </c>
    </row>
    <row r="12994" spans="1:24">
      <c r="A12994" s="27" t="s">
        <v>23296</v>
      </c>
      <c r="B12994" s="28" t="s">
        <v>19918</v>
      </c>
      <c r="C12994" s="27" t="s">
        <v>23297</v>
      </c>
      <c r="D12994" s="27" t="s">
        <v>17558</v>
      </c>
      <c r="E12994" s="29">
        <v>36130</v>
      </c>
      <c r="F12994" s="27">
        <v>8</v>
      </c>
      <c r="G12994" s="18">
        <v>575</v>
      </c>
      <c r="H12994" s="27">
        <f t="shared" si="404"/>
        <v>575</v>
      </c>
      <c r="I12994" s="18">
        <v>575</v>
      </c>
      <c r="J12994" s="27">
        <v>575</v>
      </c>
      <c r="K12994" s="18">
        <f t="shared" si="405"/>
        <v>575</v>
      </c>
      <c r="L12994" s="27">
        <v>575</v>
      </c>
      <c r="M12994" s="36">
        <v>0</v>
      </c>
      <c r="T12994" s="41">
        <v>0</v>
      </c>
      <c r="U12994" s="41">
        <v>0</v>
      </c>
      <c r="V12994" s="42" t="s">
        <v>113</v>
      </c>
      <c r="W12994" s="42">
        <v>575</v>
      </c>
      <c r="X12994" s="42">
        <v>575</v>
      </c>
    </row>
    <row r="12995" spans="1:24">
      <c r="A12995" s="27" t="s">
        <v>23298</v>
      </c>
      <c r="B12995" s="28" t="s">
        <v>19918</v>
      </c>
      <c r="C12995" s="27" t="s">
        <v>23255</v>
      </c>
      <c r="D12995" s="27" t="s">
        <v>17558</v>
      </c>
      <c r="E12995" s="29">
        <v>36495</v>
      </c>
      <c r="F12995" s="27">
        <v>8</v>
      </c>
      <c r="G12995" s="18">
        <v>25934.02</v>
      </c>
      <c r="H12995" s="27">
        <f t="shared" si="404"/>
        <v>25934.02</v>
      </c>
      <c r="I12995" s="18">
        <v>24637.32</v>
      </c>
      <c r="J12995" s="27">
        <v>25934.02</v>
      </c>
      <c r="K12995" s="18">
        <f t="shared" si="405"/>
        <v>25934.02</v>
      </c>
      <c r="L12995" s="27">
        <v>24637.32</v>
      </c>
      <c r="M12995" s="36">
        <v>0</v>
      </c>
      <c r="T12995" s="41">
        <v>0</v>
      </c>
      <c r="U12995" s="41">
        <v>0</v>
      </c>
      <c r="V12995" s="42" t="s">
        <v>113</v>
      </c>
      <c r="W12995" s="42">
        <v>25934.02</v>
      </c>
      <c r="X12995" s="42">
        <v>25934.02</v>
      </c>
    </row>
    <row r="12996" spans="1:24">
      <c r="A12996" s="27" t="s">
        <v>23299</v>
      </c>
      <c r="B12996" s="28" t="s">
        <v>19918</v>
      </c>
      <c r="C12996" s="27" t="s">
        <v>23255</v>
      </c>
      <c r="D12996" s="27" t="s">
        <v>17558</v>
      </c>
      <c r="E12996" s="29">
        <v>36495</v>
      </c>
      <c r="F12996" s="27">
        <v>8</v>
      </c>
      <c r="G12996" s="18">
        <v>25934.02</v>
      </c>
      <c r="H12996" s="27">
        <f t="shared" si="404"/>
        <v>25934.02</v>
      </c>
      <c r="I12996" s="18">
        <v>24637.32</v>
      </c>
      <c r="J12996" s="27">
        <v>25934.02</v>
      </c>
      <c r="K12996" s="18">
        <f t="shared" si="405"/>
        <v>25934.02</v>
      </c>
      <c r="L12996" s="27">
        <v>24637.32</v>
      </c>
      <c r="M12996" s="36">
        <v>0</v>
      </c>
      <c r="T12996" s="41">
        <v>0</v>
      </c>
      <c r="U12996" s="41">
        <v>0</v>
      </c>
      <c r="V12996" s="42" t="s">
        <v>113</v>
      </c>
      <c r="W12996" s="42">
        <v>25934.02</v>
      </c>
      <c r="X12996" s="42">
        <v>25934.02</v>
      </c>
    </row>
    <row r="12997" spans="1:24">
      <c r="A12997" s="27" t="s">
        <v>23300</v>
      </c>
      <c r="B12997" s="28" t="s">
        <v>19918</v>
      </c>
      <c r="C12997" s="27" t="s">
        <v>23255</v>
      </c>
      <c r="D12997" s="27" t="s">
        <v>17558</v>
      </c>
      <c r="E12997" s="29">
        <v>36495</v>
      </c>
      <c r="F12997" s="27">
        <v>8</v>
      </c>
      <c r="G12997" s="18">
        <v>25934.02</v>
      </c>
      <c r="H12997" s="27">
        <f t="shared" si="404"/>
        <v>25934.02</v>
      </c>
      <c r="I12997" s="18">
        <v>24637.32</v>
      </c>
      <c r="J12997" s="27">
        <v>25934.02</v>
      </c>
      <c r="K12997" s="18">
        <f t="shared" si="405"/>
        <v>25934.02</v>
      </c>
      <c r="L12997" s="27">
        <v>24637.32</v>
      </c>
      <c r="M12997" s="36">
        <v>0</v>
      </c>
      <c r="T12997" s="41">
        <v>0</v>
      </c>
      <c r="U12997" s="41">
        <v>0</v>
      </c>
      <c r="V12997" s="42" t="s">
        <v>113</v>
      </c>
      <c r="W12997" s="42">
        <v>25934.02</v>
      </c>
      <c r="X12997" s="42">
        <v>25934.02</v>
      </c>
    </row>
    <row r="12998" spans="1:24">
      <c r="A12998" s="27" t="s">
        <v>23301</v>
      </c>
      <c r="B12998" s="28" t="s">
        <v>19918</v>
      </c>
      <c r="C12998" s="27" t="s">
        <v>23302</v>
      </c>
      <c r="D12998" s="27" t="s">
        <v>17558</v>
      </c>
      <c r="E12998" s="29">
        <v>37591</v>
      </c>
      <c r="F12998" s="27">
        <v>8</v>
      </c>
      <c r="G12998" s="18">
        <v>70861.240000000005</v>
      </c>
      <c r="H12998" s="27">
        <f t="shared" ref="H12998:H13061" si="406">IFERROR(IF(ROUND((G12998-I12998)/G12998,2)&lt;=0.05,G12998,0),0)</f>
        <v>70861.240000000005</v>
      </c>
      <c r="I12998" s="18">
        <v>67318.179999999993</v>
      </c>
      <c r="J12998" s="27">
        <v>70861.240000000005</v>
      </c>
      <c r="K12998" s="18">
        <f t="shared" ref="K12998:K13061" si="407">IFERROR(IF(ROUND((J12998-L12998)/J12998,2)&lt;=0.05,J12998,0),0)</f>
        <v>70861.240000000005</v>
      </c>
      <c r="L12998" s="27">
        <v>67318.179999999993</v>
      </c>
      <c r="M12998" s="36">
        <v>0</v>
      </c>
      <c r="T12998" s="41">
        <v>0</v>
      </c>
      <c r="U12998" s="41">
        <v>0</v>
      </c>
      <c r="V12998" s="42" t="s">
        <v>113</v>
      </c>
      <c r="W12998" s="42">
        <v>70861.240000000005</v>
      </c>
      <c r="X12998" s="42">
        <v>70861.240000000005</v>
      </c>
    </row>
    <row r="12999" spans="1:24">
      <c r="A12999" s="27" t="s">
        <v>23303</v>
      </c>
      <c r="B12999" s="28" t="s">
        <v>19918</v>
      </c>
      <c r="C12999" s="27" t="s">
        <v>23304</v>
      </c>
      <c r="D12999" s="27" t="s">
        <v>118</v>
      </c>
      <c r="E12999" s="29">
        <v>39539</v>
      </c>
      <c r="F12999" s="27">
        <v>8</v>
      </c>
      <c r="G12999" s="18">
        <v>323778.53000000003</v>
      </c>
      <c r="H12999" s="27">
        <f t="shared" si="406"/>
        <v>323778.53000000003</v>
      </c>
      <c r="I12999" s="18">
        <v>307589.59999999998</v>
      </c>
      <c r="J12999" s="27">
        <v>323778.53000000003</v>
      </c>
      <c r="K12999" s="18">
        <f t="shared" si="407"/>
        <v>323778.53000000003</v>
      </c>
      <c r="L12999" s="27">
        <v>307589.59999999998</v>
      </c>
      <c r="M12999" s="36">
        <v>0</v>
      </c>
      <c r="T12999" s="41">
        <v>0</v>
      </c>
      <c r="U12999" s="41">
        <v>0</v>
      </c>
      <c r="V12999" s="42" t="s">
        <v>113</v>
      </c>
      <c r="W12999" s="42">
        <v>323778.53000000003</v>
      </c>
      <c r="X12999" s="42">
        <v>323778.53000000003</v>
      </c>
    </row>
    <row r="13000" spans="1:24">
      <c r="A13000" s="27" t="s">
        <v>23305</v>
      </c>
      <c r="B13000" s="28" t="s">
        <v>19918</v>
      </c>
      <c r="C13000" s="27" t="s">
        <v>23306</v>
      </c>
      <c r="D13000" s="27" t="s">
        <v>118</v>
      </c>
      <c r="E13000" s="29">
        <v>35796</v>
      </c>
      <c r="F13000" s="27">
        <v>8</v>
      </c>
      <c r="G13000" s="18">
        <v>78442.899999999994</v>
      </c>
      <c r="H13000" s="27">
        <f t="shared" si="406"/>
        <v>78442.899999999994</v>
      </c>
      <c r="I13000" s="18">
        <v>74520.75</v>
      </c>
      <c r="J13000" s="27">
        <v>78442.899999999994</v>
      </c>
      <c r="K13000" s="18">
        <f t="shared" si="407"/>
        <v>78442.899999999994</v>
      </c>
      <c r="L13000" s="27">
        <v>74520.75</v>
      </c>
      <c r="M13000" s="36">
        <v>0</v>
      </c>
      <c r="T13000" s="41">
        <v>0</v>
      </c>
      <c r="U13000" s="41">
        <v>0</v>
      </c>
      <c r="V13000" s="42" t="s">
        <v>113</v>
      </c>
      <c r="W13000" s="42">
        <v>78442.899999999994</v>
      </c>
      <c r="X13000" s="42">
        <v>78442.899999999994</v>
      </c>
    </row>
    <row r="13001" spans="1:24">
      <c r="A13001" s="27" t="s">
        <v>23307</v>
      </c>
      <c r="B13001" s="28" t="s">
        <v>19918</v>
      </c>
      <c r="C13001" s="27" t="s">
        <v>23308</v>
      </c>
      <c r="D13001" s="27" t="s">
        <v>220</v>
      </c>
      <c r="E13001" s="29">
        <v>35796</v>
      </c>
      <c r="F13001" s="27">
        <v>8</v>
      </c>
      <c r="G13001" s="18">
        <v>21077.279999999999</v>
      </c>
      <c r="H13001" s="27">
        <f t="shared" si="406"/>
        <v>21077.279999999999</v>
      </c>
      <c r="I13001" s="18">
        <v>20023.419999999998</v>
      </c>
      <c r="J13001" s="27">
        <v>21077.279999999999</v>
      </c>
      <c r="K13001" s="18">
        <f t="shared" si="407"/>
        <v>21077.279999999999</v>
      </c>
      <c r="L13001" s="27">
        <v>20023.419999999998</v>
      </c>
      <c r="M13001" s="36">
        <v>0</v>
      </c>
      <c r="T13001" s="41">
        <v>0</v>
      </c>
      <c r="U13001" s="41">
        <v>0</v>
      </c>
      <c r="V13001" s="42" t="s">
        <v>113</v>
      </c>
      <c r="W13001" s="42">
        <v>21077.279999999999</v>
      </c>
      <c r="X13001" s="42">
        <v>21077.279999999999</v>
      </c>
    </row>
    <row r="13002" spans="1:24">
      <c r="A13002" s="27" t="s">
        <v>23309</v>
      </c>
      <c r="B13002" s="28" t="s">
        <v>19918</v>
      </c>
      <c r="C13002" s="27" t="s">
        <v>23310</v>
      </c>
      <c r="D13002" s="27" t="s">
        <v>118</v>
      </c>
      <c r="E13002" s="29">
        <v>35796</v>
      </c>
      <c r="F13002" s="27">
        <v>8</v>
      </c>
      <c r="G13002" s="18">
        <v>29859.48</v>
      </c>
      <c r="H13002" s="27">
        <f t="shared" si="406"/>
        <v>29859.48</v>
      </c>
      <c r="I13002" s="18">
        <v>28366.51</v>
      </c>
      <c r="J13002" s="27">
        <v>29859.48</v>
      </c>
      <c r="K13002" s="18">
        <f t="shared" si="407"/>
        <v>29859.48</v>
      </c>
      <c r="L13002" s="27">
        <v>28366.51</v>
      </c>
      <c r="M13002" s="36">
        <v>0</v>
      </c>
      <c r="T13002" s="41">
        <v>0</v>
      </c>
      <c r="U13002" s="41">
        <v>0</v>
      </c>
      <c r="V13002" s="42" t="s">
        <v>113</v>
      </c>
      <c r="W13002" s="42">
        <v>29859.48</v>
      </c>
      <c r="X13002" s="42">
        <v>29859.48</v>
      </c>
    </row>
    <row r="13003" spans="1:24">
      <c r="A13003" s="27" t="s">
        <v>23311</v>
      </c>
      <c r="B13003" s="28" t="s">
        <v>19918</v>
      </c>
      <c r="C13003" s="27" t="s">
        <v>19667</v>
      </c>
      <c r="D13003" s="27" t="s">
        <v>118</v>
      </c>
      <c r="E13003" s="29">
        <v>35796</v>
      </c>
      <c r="F13003" s="27">
        <v>8</v>
      </c>
      <c r="G13003" s="18">
        <v>84309.119999999995</v>
      </c>
      <c r="H13003" s="27">
        <f t="shared" si="406"/>
        <v>84309.119999999995</v>
      </c>
      <c r="I13003" s="18">
        <v>80093.66</v>
      </c>
      <c r="J13003" s="27">
        <v>84309.119999999995</v>
      </c>
      <c r="K13003" s="18">
        <f t="shared" si="407"/>
        <v>84309.119999999995</v>
      </c>
      <c r="L13003" s="27">
        <v>80093.66</v>
      </c>
      <c r="M13003" s="36">
        <v>0</v>
      </c>
      <c r="T13003" s="41">
        <v>0</v>
      </c>
      <c r="U13003" s="41">
        <v>0</v>
      </c>
      <c r="V13003" s="42" t="s">
        <v>113</v>
      </c>
      <c r="W13003" s="42">
        <v>84309.119999999995</v>
      </c>
      <c r="X13003" s="42">
        <v>84309.119999999995</v>
      </c>
    </row>
    <row r="13004" spans="1:24">
      <c r="A13004" s="27" t="s">
        <v>23312</v>
      </c>
      <c r="B13004" s="28" t="s">
        <v>19918</v>
      </c>
      <c r="C13004" s="27" t="s">
        <v>23313</v>
      </c>
      <c r="D13004" s="27" t="s">
        <v>118</v>
      </c>
      <c r="E13004" s="29">
        <v>36526</v>
      </c>
      <c r="F13004" s="27">
        <v>8</v>
      </c>
      <c r="G13004" s="18">
        <v>106419.31</v>
      </c>
      <c r="H13004" s="27">
        <f t="shared" si="406"/>
        <v>106419.31</v>
      </c>
      <c r="I13004" s="18">
        <v>101098.34</v>
      </c>
      <c r="J13004" s="27">
        <v>106419.31</v>
      </c>
      <c r="K13004" s="18">
        <f t="shared" si="407"/>
        <v>106419.31</v>
      </c>
      <c r="L13004" s="27">
        <v>101098.34</v>
      </c>
      <c r="M13004" s="36">
        <v>0</v>
      </c>
      <c r="T13004" s="41">
        <v>0</v>
      </c>
      <c r="U13004" s="41">
        <v>0</v>
      </c>
      <c r="V13004" s="42" t="s">
        <v>113</v>
      </c>
      <c r="W13004" s="42">
        <v>106419.31</v>
      </c>
      <c r="X13004" s="42">
        <v>106419.31</v>
      </c>
    </row>
    <row r="13005" spans="1:24">
      <c r="A13005" s="27" t="s">
        <v>23314</v>
      </c>
      <c r="B13005" s="28" t="s">
        <v>19918</v>
      </c>
      <c r="C13005" s="27" t="s">
        <v>23255</v>
      </c>
      <c r="D13005" s="27" t="s">
        <v>17558</v>
      </c>
      <c r="E13005" s="29">
        <v>36495</v>
      </c>
      <c r="F13005" s="27">
        <v>8</v>
      </c>
      <c r="G13005" s="18">
        <v>25934.02</v>
      </c>
      <c r="H13005" s="27">
        <f t="shared" si="406"/>
        <v>25934.02</v>
      </c>
      <c r="I13005" s="18">
        <v>24637.32</v>
      </c>
      <c r="J13005" s="27">
        <v>25934.02</v>
      </c>
      <c r="K13005" s="18">
        <f t="shared" si="407"/>
        <v>25934.02</v>
      </c>
      <c r="L13005" s="27">
        <v>24637.32</v>
      </c>
      <c r="M13005" s="36">
        <v>0</v>
      </c>
      <c r="T13005" s="41">
        <v>0</v>
      </c>
      <c r="U13005" s="41">
        <v>0</v>
      </c>
      <c r="V13005" s="42" t="s">
        <v>113</v>
      </c>
      <c r="W13005" s="42">
        <v>25934.02</v>
      </c>
      <c r="X13005" s="42">
        <v>25934.02</v>
      </c>
    </row>
    <row r="13006" spans="1:24">
      <c r="A13006" s="27" t="s">
        <v>23315</v>
      </c>
      <c r="B13006" s="28" t="s">
        <v>19918</v>
      </c>
      <c r="C13006" s="27" t="s">
        <v>23255</v>
      </c>
      <c r="D13006" s="27" t="s">
        <v>17558</v>
      </c>
      <c r="E13006" s="29">
        <v>36495</v>
      </c>
      <c r="F13006" s="27">
        <v>8</v>
      </c>
      <c r="G13006" s="18">
        <v>25934.02</v>
      </c>
      <c r="H13006" s="27">
        <f t="shared" si="406"/>
        <v>25934.02</v>
      </c>
      <c r="I13006" s="18">
        <v>24637.32</v>
      </c>
      <c r="J13006" s="27">
        <v>25934.02</v>
      </c>
      <c r="K13006" s="18">
        <f t="shared" si="407"/>
        <v>25934.02</v>
      </c>
      <c r="L13006" s="27">
        <v>24637.32</v>
      </c>
      <c r="M13006" s="36">
        <v>0</v>
      </c>
      <c r="T13006" s="41">
        <v>0</v>
      </c>
      <c r="U13006" s="41">
        <v>0</v>
      </c>
      <c r="V13006" s="42" t="s">
        <v>113</v>
      </c>
      <c r="W13006" s="42">
        <v>25934.02</v>
      </c>
      <c r="X13006" s="42">
        <v>25934.02</v>
      </c>
    </row>
    <row r="13007" spans="1:24">
      <c r="A13007" s="27" t="s">
        <v>23316</v>
      </c>
      <c r="B13007" s="28" t="s">
        <v>19918</v>
      </c>
      <c r="C13007" s="27" t="s">
        <v>23255</v>
      </c>
      <c r="D13007" s="27" t="s">
        <v>17558</v>
      </c>
      <c r="E13007" s="29">
        <v>36495</v>
      </c>
      <c r="F13007" s="27">
        <v>8</v>
      </c>
      <c r="G13007" s="18">
        <v>25934.02</v>
      </c>
      <c r="H13007" s="27">
        <f t="shared" si="406"/>
        <v>25934.02</v>
      </c>
      <c r="I13007" s="18">
        <v>24637.32</v>
      </c>
      <c r="J13007" s="27">
        <v>25934.02</v>
      </c>
      <c r="K13007" s="18">
        <f t="shared" si="407"/>
        <v>25934.02</v>
      </c>
      <c r="L13007" s="27">
        <v>24637.32</v>
      </c>
      <c r="M13007" s="36">
        <v>0</v>
      </c>
      <c r="T13007" s="41">
        <v>0</v>
      </c>
      <c r="U13007" s="41">
        <v>0</v>
      </c>
      <c r="V13007" s="42" t="s">
        <v>113</v>
      </c>
      <c r="W13007" s="42">
        <v>25934.02</v>
      </c>
      <c r="X13007" s="42">
        <v>25934.02</v>
      </c>
    </row>
    <row r="13008" spans="1:24">
      <c r="A13008" s="27" t="s">
        <v>23317</v>
      </c>
      <c r="B13008" s="28" t="s">
        <v>19918</v>
      </c>
      <c r="C13008" s="27" t="s">
        <v>23255</v>
      </c>
      <c r="D13008" s="27" t="s">
        <v>17558</v>
      </c>
      <c r="E13008" s="29">
        <v>36495</v>
      </c>
      <c r="F13008" s="27">
        <v>8</v>
      </c>
      <c r="G13008" s="18">
        <v>25934.02</v>
      </c>
      <c r="H13008" s="27">
        <f t="shared" si="406"/>
        <v>25934.02</v>
      </c>
      <c r="I13008" s="18">
        <v>24637.32</v>
      </c>
      <c r="J13008" s="27">
        <v>25934.02</v>
      </c>
      <c r="K13008" s="18">
        <f t="shared" si="407"/>
        <v>25934.02</v>
      </c>
      <c r="L13008" s="27">
        <v>24637.32</v>
      </c>
      <c r="M13008" s="36">
        <v>0</v>
      </c>
      <c r="T13008" s="41">
        <v>0</v>
      </c>
      <c r="U13008" s="41">
        <v>0</v>
      </c>
      <c r="V13008" s="42" t="s">
        <v>113</v>
      </c>
      <c r="W13008" s="42">
        <v>25934.02</v>
      </c>
      <c r="X13008" s="42">
        <v>25934.02</v>
      </c>
    </row>
    <row r="13009" spans="1:24">
      <c r="A13009" s="27" t="s">
        <v>23318</v>
      </c>
      <c r="B13009" s="28" t="s">
        <v>19918</v>
      </c>
      <c r="C13009" s="27" t="s">
        <v>23255</v>
      </c>
      <c r="D13009" s="27" t="s">
        <v>17558</v>
      </c>
      <c r="E13009" s="29">
        <v>36495</v>
      </c>
      <c r="F13009" s="27">
        <v>8</v>
      </c>
      <c r="G13009" s="18">
        <v>25934.02</v>
      </c>
      <c r="H13009" s="27">
        <f t="shared" si="406"/>
        <v>25934.02</v>
      </c>
      <c r="I13009" s="18">
        <v>24637.32</v>
      </c>
      <c r="J13009" s="27">
        <v>25934.02</v>
      </c>
      <c r="K13009" s="18">
        <f t="shared" si="407"/>
        <v>25934.02</v>
      </c>
      <c r="L13009" s="27">
        <v>24637.32</v>
      </c>
      <c r="M13009" s="36">
        <v>0</v>
      </c>
      <c r="T13009" s="41">
        <v>0</v>
      </c>
      <c r="U13009" s="41">
        <v>0</v>
      </c>
      <c r="V13009" s="42" t="s">
        <v>113</v>
      </c>
      <c r="W13009" s="42">
        <v>25934.02</v>
      </c>
      <c r="X13009" s="42">
        <v>25934.02</v>
      </c>
    </row>
    <row r="13010" spans="1:24">
      <c r="A13010" s="27" t="s">
        <v>23319</v>
      </c>
      <c r="B13010" s="28" t="s">
        <v>19918</v>
      </c>
      <c r="C13010" s="27" t="s">
        <v>23255</v>
      </c>
      <c r="D13010" s="27" t="s">
        <v>17558</v>
      </c>
      <c r="E13010" s="29">
        <v>36495</v>
      </c>
      <c r="F13010" s="27">
        <v>8</v>
      </c>
      <c r="G13010" s="18">
        <v>25934.02</v>
      </c>
      <c r="H13010" s="27">
        <f t="shared" si="406"/>
        <v>25934.02</v>
      </c>
      <c r="I13010" s="18">
        <v>24637.32</v>
      </c>
      <c r="J13010" s="27">
        <v>25934.02</v>
      </c>
      <c r="K13010" s="18">
        <f t="shared" si="407"/>
        <v>25934.02</v>
      </c>
      <c r="L13010" s="27">
        <v>24637.32</v>
      </c>
      <c r="M13010" s="36">
        <v>0</v>
      </c>
      <c r="T13010" s="41">
        <v>0</v>
      </c>
      <c r="U13010" s="41">
        <v>0</v>
      </c>
      <c r="V13010" s="42" t="s">
        <v>113</v>
      </c>
      <c r="W13010" s="42">
        <v>25934.02</v>
      </c>
      <c r="X13010" s="42">
        <v>25934.02</v>
      </c>
    </row>
    <row r="13011" spans="1:24">
      <c r="A13011" s="27" t="s">
        <v>23320</v>
      </c>
      <c r="B13011" s="28" t="s">
        <v>19918</v>
      </c>
      <c r="C13011" s="27" t="s">
        <v>23255</v>
      </c>
      <c r="D13011" s="27" t="s">
        <v>17558</v>
      </c>
      <c r="E13011" s="29">
        <v>36495</v>
      </c>
      <c r="F13011" s="27">
        <v>8</v>
      </c>
      <c r="G13011" s="18">
        <v>25934.02</v>
      </c>
      <c r="H13011" s="27">
        <f t="shared" si="406"/>
        <v>25934.02</v>
      </c>
      <c r="I13011" s="18">
        <v>24637.32</v>
      </c>
      <c r="J13011" s="27">
        <v>25934.02</v>
      </c>
      <c r="K13011" s="18">
        <f t="shared" si="407"/>
        <v>25934.02</v>
      </c>
      <c r="L13011" s="27">
        <v>24637.32</v>
      </c>
      <c r="M13011" s="36">
        <v>0</v>
      </c>
      <c r="T13011" s="41">
        <v>0</v>
      </c>
      <c r="U13011" s="41">
        <v>0</v>
      </c>
      <c r="V13011" s="42" t="s">
        <v>113</v>
      </c>
      <c r="W13011" s="42">
        <v>25934.02</v>
      </c>
      <c r="X13011" s="42">
        <v>25934.02</v>
      </c>
    </row>
    <row r="13012" spans="1:24">
      <c r="A13012" s="27" t="s">
        <v>23321</v>
      </c>
      <c r="B13012" s="28" t="s">
        <v>19918</v>
      </c>
      <c r="C13012" s="27" t="s">
        <v>23255</v>
      </c>
      <c r="D13012" s="27" t="s">
        <v>17558</v>
      </c>
      <c r="E13012" s="29">
        <v>36495</v>
      </c>
      <c r="F13012" s="27">
        <v>8</v>
      </c>
      <c r="G13012" s="18">
        <v>25934.02</v>
      </c>
      <c r="H13012" s="27">
        <f t="shared" si="406"/>
        <v>25934.02</v>
      </c>
      <c r="I13012" s="18">
        <v>24637.32</v>
      </c>
      <c r="J13012" s="27">
        <v>25934.02</v>
      </c>
      <c r="K13012" s="18">
        <f t="shared" si="407"/>
        <v>25934.02</v>
      </c>
      <c r="L13012" s="27">
        <v>24637.32</v>
      </c>
      <c r="M13012" s="36">
        <v>0</v>
      </c>
      <c r="T13012" s="41">
        <v>0</v>
      </c>
      <c r="U13012" s="41">
        <v>0</v>
      </c>
      <c r="V13012" s="42" t="s">
        <v>113</v>
      </c>
      <c r="W13012" s="42">
        <v>25934.02</v>
      </c>
      <c r="X13012" s="42">
        <v>25934.02</v>
      </c>
    </row>
    <row r="13013" spans="1:24">
      <c r="A13013" s="27" t="s">
        <v>23322</v>
      </c>
      <c r="B13013" s="28" t="s">
        <v>19918</v>
      </c>
      <c r="C13013" s="27" t="s">
        <v>23323</v>
      </c>
      <c r="D13013" s="27" t="s">
        <v>118</v>
      </c>
      <c r="E13013" s="29">
        <v>33573</v>
      </c>
      <c r="F13013" s="27">
        <v>8</v>
      </c>
      <c r="G13013" s="18">
        <v>2278.5</v>
      </c>
      <c r="H13013" s="27">
        <f t="shared" si="406"/>
        <v>2278.5</v>
      </c>
      <c r="I13013" s="18">
        <v>2278.5</v>
      </c>
      <c r="J13013" s="27">
        <v>2278.5</v>
      </c>
      <c r="K13013" s="18">
        <f t="shared" si="407"/>
        <v>2278.5</v>
      </c>
      <c r="L13013" s="27">
        <v>2278.5</v>
      </c>
      <c r="M13013" s="36">
        <v>0</v>
      </c>
      <c r="T13013" s="41">
        <v>0</v>
      </c>
      <c r="U13013" s="41">
        <v>0</v>
      </c>
      <c r="V13013" s="42" t="s">
        <v>113</v>
      </c>
      <c r="W13013" s="42">
        <v>2278.5</v>
      </c>
      <c r="X13013" s="42">
        <v>2278.5</v>
      </c>
    </row>
    <row r="13014" spans="1:24">
      <c r="A13014" s="27" t="s">
        <v>23324</v>
      </c>
      <c r="B13014" s="28" t="s">
        <v>19918</v>
      </c>
      <c r="C13014" s="27" t="s">
        <v>23325</v>
      </c>
      <c r="D13014" s="27" t="s">
        <v>17578</v>
      </c>
      <c r="E13014" s="29">
        <v>35309</v>
      </c>
      <c r="F13014" s="27">
        <v>8</v>
      </c>
      <c r="G13014" s="18">
        <v>9351.9500000000007</v>
      </c>
      <c r="H13014" s="27">
        <f t="shared" si="406"/>
        <v>9351.9500000000007</v>
      </c>
      <c r="I13014" s="18">
        <v>8884.35</v>
      </c>
      <c r="J13014" s="27">
        <v>9351.9500000000007</v>
      </c>
      <c r="K13014" s="18">
        <f t="shared" si="407"/>
        <v>9351.9500000000007</v>
      </c>
      <c r="L13014" s="27">
        <v>8884.35</v>
      </c>
      <c r="M13014" s="36">
        <v>0</v>
      </c>
      <c r="T13014" s="41">
        <v>0</v>
      </c>
      <c r="U13014" s="41">
        <v>0</v>
      </c>
      <c r="V13014" s="42" t="s">
        <v>113</v>
      </c>
      <c r="W13014" s="42">
        <v>9351.9500000000007</v>
      </c>
      <c r="X13014" s="42">
        <v>9351.9500000000007</v>
      </c>
    </row>
    <row r="13015" spans="1:24">
      <c r="A13015" s="27" t="s">
        <v>23326</v>
      </c>
      <c r="B13015" s="28" t="s">
        <v>19918</v>
      </c>
      <c r="C13015" s="27" t="s">
        <v>23327</v>
      </c>
      <c r="D13015" s="27" t="s">
        <v>17578</v>
      </c>
      <c r="E13015" s="29">
        <v>36495</v>
      </c>
      <c r="F13015" s="27">
        <v>8</v>
      </c>
      <c r="G13015" s="18">
        <v>5221.7700000000004</v>
      </c>
      <c r="H13015" s="27">
        <f t="shared" si="406"/>
        <v>5221.7700000000004</v>
      </c>
      <c r="I13015" s="18">
        <v>4960.68</v>
      </c>
      <c r="J13015" s="27">
        <v>5221.7700000000004</v>
      </c>
      <c r="K13015" s="18">
        <f t="shared" si="407"/>
        <v>5221.7700000000004</v>
      </c>
      <c r="L13015" s="27">
        <v>4960.68</v>
      </c>
      <c r="M13015" s="36">
        <v>0</v>
      </c>
      <c r="T13015" s="41">
        <v>0</v>
      </c>
      <c r="U13015" s="41">
        <v>0</v>
      </c>
      <c r="V13015" s="42" t="s">
        <v>113</v>
      </c>
      <c r="W13015" s="42">
        <v>5221.7700000000004</v>
      </c>
      <c r="X13015" s="42">
        <v>5221.7700000000004</v>
      </c>
    </row>
    <row r="13016" spans="1:24">
      <c r="A13016" s="27" t="s">
        <v>23328</v>
      </c>
      <c r="B13016" s="28" t="s">
        <v>19918</v>
      </c>
      <c r="C13016" s="27" t="s">
        <v>23329</v>
      </c>
      <c r="D13016" s="27" t="s">
        <v>17578</v>
      </c>
      <c r="E13016" s="29">
        <v>36495</v>
      </c>
      <c r="F13016" s="27">
        <v>8</v>
      </c>
      <c r="G13016" s="18">
        <v>13924.68</v>
      </c>
      <c r="H13016" s="27">
        <f t="shared" si="406"/>
        <v>13924.68</v>
      </c>
      <c r="I13016" s="18">
        <v>13228.45</v>
      </c>
      <c r="J13016" s="27">
        <v>13924.68</v>
      </c>
      <c r="K13016" s="18">
        <f t="shared" si="407"/>
        <v>13924.68</v>
      </c>
      <c r="L13016" s="27">
        <v>13228.45</v>
      </c>
      <c r="M13016" s="36">
        <v>0</v>
      </c>
      <c r="T13016" s="41">
        <v>0</v>
      </c>
      <c r="U13016" s="41">
        <v>0</v>
      </c>
      <c r="V13016" s="42" t="s">
        <v>113</v>
      </c>
      <c r="W13016" s="42">
        <v>13924.68</v>
      </c>
      <c r="X13016" s="42">
        <v>13924.68</v>
      </c>
    </row>
    <row r="13017" spans="1:24">
      <c r="A13017" s="27" t="s">
        <v>23330</v>
      </c>
      <c r="B13017" s="28" t="s">
        <v>19918</v>
      </c>
      <c r="C13017" s="27" t="s">
        <v>23331</v>
      </c>
      <c r="D13017" s="27" t="s">
        <v>17578</v>
      </c>
      <c r="E13017" s="29">
        <v>36495</v>
      </c>
      <c r="F13017" s="27">
        <v>8</v>
      </c>
      <c r="G13017" s="18">
        <v>37712.69</v>
      </c>
      <c r="H13017" s="27">
        <f t="shared" si="406"/>
        <v>37712.69</v>
      </c>
      <c r="I13017" s="18">
        <v>35827.06</v>
      </c>
      <c r="J13017" s="27">
        <v>37712.69</v>
      </c>
      <c r="K13017" s="18">
        <f t="shared" si="407"/>
        <v>37712.69</v>
      </c>
      <c r="L13017" s="27">
        <v>35827.06</v>
      </c>
      <c r="M13017" s="36">
        <v>0</v>
      </c>
      <c r="T13017" s="41">
        <v>0</v>
      </c>
      <c r="U13017" s="41">
        <v>0</v>
      </c>
      <c r="V13017" s="42" t="s">
        <v>113</v>
      </c>
      <c r="W13017" s="42">
        <v>37712.69</v>
      </c>
      <c r="X13017" s="42">
        <v>37712.69</v>
      </c>
    </row>
    <row r="13018" spans="1:24">
      <c r="A13018" s="27" t="s">
        <v>23332</v>
      </c>
      <c r="B13018" s="28" t="s">
        <v>19918</v>
      </c>
      <c r="C13018" s="27" t="s">
        <v>23333</v>
      </c>
      <c r="D13018" s="27" t="s">
        <v>17578</v>
      </c>
      <c r="E13018" s="29">
        <v>36495</v>
      </c>
      <c r="F13018" s="27">
        <v>8</v>
      </c>
      <c r="G13018" s="18">
        <v>12474.2</v>
      </c>
      <c r="H13018" s="27">
        <f t="shared" si="406"/>
        <v>12474.2</v>
      </c>
      <c r="I13018" s="18">
        <v>11850.49</v>
      </c>
      <c r="J13018" s="27">
        <v>12474.2</v>
      </c>
      <c r="K13018" s="18">
        <f t="shared" si="407"/>
        <v>12474.2</v>
      </c>
      <c r="L13018" s="27">
        <v>11850.49</v>
      </c>
      <c r="M13018" s="36">
        <v>0</v>
      </c>
      <c r="T13018" s="41">
        <v>0</v>
      </c>
      <c r="U13018" s="41">
        <v>0</v>
      </c>
      <c r="V13018" s="42" t="s">
        <v>113</v>
      </c>
      <c r="W13018" s="42">
        <v>12474.2</v>
      </c>
      <c r="X13018" s="42">
        <v>12474.2</v>
      </c>
    </row>
    <row r="13019" spans="1:24">
      <c r="A13019" s="27" t="s">
        <v>23334</v>
      </c>
      <c r="B13019" s="28" t="s">
        <v>19918</v>
      </c>
      <c r="C13019" s="27" t="s">
        <v>23335</v>
      </c>
      <c r="D13019" s="27" t="s">
        <v>17558</v>
      </c>
      <c r="E13019" s="29">
        <v>36130</v>
      </c>
      <c r="F13019" s="27">
        <v>8</v>
      </c>
      <c r="G13019" s="18">
        <v>8550</v>
      </c>
      <c r="H13019" s="27">
        <f t="shared" si="406"/>
        <v>8550</v>
      </c>
      <c r="I13019" s="18">
        <v>8122.5</v>
      </c>
      <c r="J13019" s="27">
        <v>8550</v>
      </c>
      <c r="K13019" s="18">
        <f t="shared" si="407"/>
        <v>8550</v>
      </c>
      <c r="L13019" s="27">
        <v>8122.5</v>
      </c>
      <c r="M13019" s="36">
        <v>0</v>
      </c>
      <c r="T13019" s="41">
        <v>0</v>
      </c>
      <c r="U13019" s="41">
        <v>0</v>
      </c>
      <c r="V13019" s="42" t="s">
        <v>113</v>
      </c>
      <c r="W13019" s="42">
        <v>8550</v>
      </c>
      <c r="X13019" s="42">
        <v>8550</v>
      </c>
    </row>
    <row r="13020" spans="1:24">
      <c r="A13020" s="27" t="s">
        <v>23336</v>
      </c>
      <c r="B13020" s="28" t="s">
        <v>19918</v>
      </c>
      <c r="C13020" s="27" t="s">
        <v>23337</v>
      </c>
      <c r="D13020" s="27" t="s">
        <v>17578</v>
      </c>
      <c r="E13020" s="29">
        <v>37226</v>
      </c>
      <c r="F13020" s="27">
        <v>8</v>
      </c>
      <c r="G13020" s="18">
        <v>70905.210000000006</v>
      </c>
      <c r="H13020" s="27">
        <f t="shared" si="406"/>
        <v>70905.210000000006</v>
      </c>
      <c r="I13020" s="18">
        <v>67359.95</v>
      </c>
      <c r="J13020" s="27">
        <v>70905.210000000006</v>
      </c>
      <c r="K13020" s="18">
        <f t="shared" si="407"/>
        <v>70905.210000000006</v>
      </c>
      <c r="L13020" s="27">
        <v>67359.95</v>
      </c>
      <c r="M13020" s="36">
        <v>0</v>
      </c>
      <c r="T13020" s="41">
        <v>0</v>
      </c>
      <c r="U13020" s="41">
        <v>0</v>
      </c>
      <c r="V13020" s="42" t="s">
        <v>113</v>
      </c>
      <c r="W13020" s="42">
        <v>70905.210000000006</v>
      </c>
      <c r="X13020" s="42">
        <v>70905.210000000006</v>
      </c>
    </row>
    <row r="13021" spans="1:24">
      <c r="A13021" s="27" t="s">
        <v>23338</v>
      </c>
      <c r="B13021" s="28" t="s">
        <v>19918</v>
      </c>
      <c r="C13021" s="27" t="s">
        <v>23339</v>
      </c>
      <c r="D13021" s="27" t="s">
        <v>118</v>
      </c>
      <c r="E13021" s="29">
        <v>37226</v>
      </c>
      <c r="F13021" s="27">
        <v>8</v>
      </c>
      <c r="G13021" s="18">
        <v>106490.48</v>
      </c>
      <c r="H13021" s="27">
        <f t="shared" si="406"/>
        <v>106490.48</v>
      </c>
      <c r="I13021" s="18">
        <v>101165.96</v>
      </c>
      <c r="J13021" s="27">
        <v>106490.48</v>
      </c>
      <c r="K13021" s="18">
        <f t="shared" si="407"/>
        <v>106490.48</v>
      </c>
      <c r="L13021" s="27">
        <v>101165.96</v>
      </c>
      <c r="M13021" s="36">
        <v>0</v>
      </c>
      <c r="T13021" s="41">
        <v>0</v>
      </c>
      <c r="U13021" s="41">
        <v>0</v>
      </c>
      <c r="V13021" s="42" t="s">
        <v>113</v>
      </c>
      <c r="W13021" s="42">
        <v>106490.48</v>
      </c>
      <c r="X13021" s="42">
        <v>106490.48</v>
      </c>
    </row>
    <row r="13022" spans="1:24">
      <c r="A13022" s="27" t="s">
        <v>23340</v>
      </c>
      <c r="B13022" s="28" t="s">
        <v>19918</v>
      </c>
      <c r="C13022" s="27" t="s">
        <v>23341</v>
      </c>
      <c r="D13022" s="27" t="s">
        <v>118</v>
      </c>
      <c r="E13022" s="29">
        <v>37226</v>
      </c>
      <c r="F13022" s="27">
        <v>8</v>
      </c>
      <c r="G13022" s="18">
        <v>276760.96000000002</v>
      </c>
      <c r="H13022" s="27">
        <f t="shared" si="406"/>
        <v>276760.96000000002</v>
      </c>
      <c r="I13022" s="18">
        <v>262922.90999999997</v>
      </c>
      <c r="J13022" s="27">
        <v>276760.96000000002</v>
      </c>
      <c r="K13022" s="18">
        <f t="shared" si="407"/>
        <v>276760.96000000002</v>
      </c>
      <c r="L13022" s="27">
        <v>262922.90999999997</v>
      </c>
      <c r="M13022" s="36">
        <v>0</v>
      </c>
      <c r="T13022" s="41">
        <v>0</v>
      </c>
      <c r="U13022" s="41">
        <v>0</v>
      </c>
      <c r="V13022" s="42" t="s">
        <v>113</v>
      </c>
      <c r="W13022" s="42">
        <v>276760.96000000002</v>
      </c>
      <c r="X13022" s="42">
        <v>276760.96000000002</v>
      </c>
    </row>
    <row r="13023" spans="1:24">
      <c r="A13023" s="27" t="s">
        <v>23342</v>
      </c>
      <c r="B13023" s="28" t="s">
        <v>19918</v>
      </c>
      <c r="C13023" s="27" t="s">
        <v>23343</v>
      </c>
      <c r="D13023" s="27" t="s">
        <v>118</v>
      </c>
      <c r="E13023" s="29">
        <v>37226</v>
      </c>
      <c r="F13023" s="27">
        <v>8</v>
      </c>
      <c r="G13023" s="18">
        <v>22484.45</v>
      </c>
      <c r="H13023" s="27">
        <f t="shared" si="406"/>
        <v>22484.45</v>
      </c>
      <c r="I13023" s="18">
        <v>21360.23</v>
      </c>
      <c r="J13023" s="27">
        <v>22484.45</v>
      </c>
      <c r="K13023" s="18">
        <f t="shared" si="407"/>
        <v>22484.45</v>
      </c>
      <c r="L13023" s="27">
        <v>21360.23</v>
      </c>
      <c r="M13023" s="36">
        <v>0</v>
      </c>
      <c r="T13023" s="41">
        <v>0</v>
      </c>
      <c r="U13023" s="41">
        <v>0</v>
      </c>
      <c r="V13023" s="42" t="s">
        <v>113</v>
      </c>
      <c r="W13023" s="42">
        <v>22484.45</v>
      </c>
      <c r="X13023" s="42">
        <v>22484.45</v>
      </c>
    </row>
    <row r="13024" spans="1:24">
      <c r="A13024" s="27" t="s">
        <v>23344</v>
      </c>
      <c r="B13024" s="28" t="s">
        <v>19918</v>
      </c>
      <c r="C13024" s="27" t="s">
        <v>23345</v>
      </c>
      <c r="D13024" s="27" t="s">
        <v>118</v>
      </c>
      <c r="E13024" s="29">
        <v>37226</v>
      </c>
      <c r="F13024" s="27">
        <v>8</v>
      </c>
      <c r="G13024" s="18">
        <v>22484.45</v>
      </c>
      <c r="H13024" s="27">
        <f t="shared" si="406"/>
        <v>22484.45</v>
      </c>
      <c r="I13024" s="18">
        <v>21360.23</v>
      </c>
      <c r="J13024" s="27">
        <v>22484.45</v>
      </c>
      <c r="K13024" s="18">
        <f t="shared" si="407"/>
        <v>22484.45</v>
      </c>
      <c r="L13024" s="27">
        <v>21360.23</v>
      </c>
      <c r="M13024" s="36">
        <v>0</v>
      </c>
      <c r="T13024" s="41">
        <v>0</v>
      </c>
      <c r="U13024" s="41">
        <v>0</v>
      </c>
      <c r="V13024" s="42" t="s">
        <v>113</v>
      </c>
      <c r="W13024" s="42">
        <v>22484.45</v>
      </c>
      <c r="X13024" s="42">
        <v>22484.45</v>
      </c>
    </row>
    <row r="13025" spans="1:24">
      <c r="A13025" s="27" t="s">
        <v>23346</v>
      </c>
      <c r="B13025" s="28" t="s">
        <v>19918</v>
      </c>
      <c r="C13025" s="27" t="s">
        <v>23347</v>
      </c>
      <c r="D13025" s="27" t="s">
        <v>118</v>
      </c>
      <c r="E13025" s="29">
        <v>37226</v>
      </c>
      <c r="F13025" s="27">
        <v>8</v>
      </c>
      <c r="G13025" s="18">
        <v>31480.47</v>
      </c>
      <c r="H13025" s="27">
        <f t="shared" si="406"/>
        <v>31480.47</v>
      </c>
      <c r="I13025" s="18">
        <v>29906.45</v>
      </c>
      <c r="J13025" s="27">
        <v>31480.47</v>
      </c>
      <c r="K13025" s="18">
        <f t="shared" si="407"/>
        <v>31480.47</v>
      </c>
      <c r="L13025" s="27">
        <v>29906.45</v>
      </c>
      <c r="M13025" s="36">
        <v>0</v>
      </c>
      <c r="T13025" s="41">
        <v>0</v>
      </c>
      <c r="U13025" s="41">
        <v>0</v>
      </c>
      <c r="V13025" s="42" t="s">
        <v>113</v>
      </c>
      <c r="W13025" s="42">
        <v>31480.47</v>
      </c>
      <c r="X13025" s="42">
        <v>31480.47</v>
      </c>
    </row>
    <row r="13026" spans="1:24">
      <c r="A13026" s="27" t="s">
        <v>23348</v>
      </c>
      <c r="B13026" s="28" t="s">
        <v>19918</v>
      </c>
      <c r="C13026" s="27" t="s">
        <v>23349</v>
      </c>
      <c r="D13026" s="27" t="s">
        <v>118</v>
      </c>
      <c r="E13026" s="29">
        <v>37226</v>
      </c>
      <c r="F13026" s="27">
        <v>8</v>
      </c>
      <c r="G13026" s="18">
        <v>29979.24</v>
      </c>
      <c r="H13026" s="27">
        <f t="shared" si="406"/>
        <v>29979.24</v>
      </c>
      <c r="I13026" s="18">
        <v>28480.28</v>
      </c>
      <c r="J13026" s="27">
        <v>29979.24</v>
      </c>
      <c r="K13026" s="18">
        <f t="shared" si="407"/>
        <v>29979.24</v>
      </c>
      <c r="L13026" s="27">
        <v>28480.28</v>
      </c>
      <c r="M13026" s="36">
        <v>0</v>
      </c>
      <c r="T13026" s="41">
        <v>0</v>
      </c>
      <c r="U13026" s="41">
        <v>0</v>
      </c>
      <c r="V13026" s="42" t="s">
        <v>113</v>
      </c>
      <c r="W13026" s="42">
        <v>29979.24</v>
      </c>
      <c r="X13026" s="42">
        <v>29979.24</v>
      </c>
    </row>
    <row r="13027" spans="1:24">
      <c r="A13027" s="27" t="s">
        <v>23350</v>
      </c>
      <c r="B13027" s="28" t="s">
        <v>19918</v>
      </c>
      <c r="C13027" s="27" t="s">
        <v>19540</v>
      </c>
      <c r="D13027" s="27" t="s">
        <v>17578</v>
      </c>
      <c r="E13027" s="29">
        <v>37226</v>
      </c>
      <c r="F13027" s="27">
        <v>8</v>
      </c>
      <c r="G13027" s="18">
        <v>5796.03</v>
      </c>
      <c r="H13027" s="27">
        <f t="shared" si="406"/>
        <v>5796.03</v>
      </c>
      <c r="I13027" s="18">
        <v>5506.23</v>
      </c>
      <c r="J13027" s="27">
        <v>5796.03</v>
      </c>
      <c r="K13027" s="18">
        <f t="shared" si="407"/>
        <v>5796.03</v>
      </c>
      <c r="L13027" s="27">
        <v>5506.23</v>
      </c>
      <c r="M13027" s="36">
        <v>0</v>
      </c>
      <c r="T13027" s="41">
        <v>0</v>
      </c>
      <c r="U13027" s="41">
        <v>0</v>
      </c>
      <c r="V13027" s="42" t="s">
        <v>113</v>
      </c>
      <c r="W13027" s="42">
        <v>5796.03</v>
      </c>
      <c r="X13027" s="42">
        <v>5796.03</v>
      </c>
    </row>
    <row r="13028" spans="1:24">
      <c r="A13028" s="27" t="s">
        <v>23351</v>
      </c>
      <c r="B13028" s="28" t="s">
        <v>19918</v>
      </c>
      <c r="C13028" s="27" t="s">
        <v>23352</v>
      </c>
      <c r="D13028" s="27" t="s">
        <v>118</v>
      </c>
      <c r="E13028" s="29">
        <v>37226</v>
      </c>
      <c r="F13028" s="27">
        <v>8</v>
      </c>
      <c r="G13028" s="18">
        <v>4511.8100000000004</v>
      </c>
      <c r="H13028" s="27">
        <f t="shared" si="406"/>
        <v>4511.8100000000004</v>
      </c>
      <c r="I13028" s="18">
        <v>4511.8100000000004</v>
      </c>
      <c r="J13028" s="27">
        <v>4511.8100000000004</v>
      </c>
      <c r="K13028" s="18">
        <f t="shared" si="407"/>
        <v>4511.8100000000004</v>
      </c>
      <c r="L13028" s="27">
        <v>4511.8100000000004</v>
      </c>
      <c r="M13028" s="36">
        <v>0</v>
      </c>
      <c r="T13028" s="41">
        <v>0</v>
      </c>
      <c r="U13028" s="41">
        <v>0</v>
      </c>
      <c r="V13028" s="42" t="s">
        <v>113</v>
      </c>
      <c r="W13028" s="42">
        <v>4511.8100000000004</v>
      </c>
      <c r="X13028" s="42">
        <v>4511.8100000000004</v>
      </c>
    </row>
    <row r="13029" spans="1:24">
      <c r="A13029" s="27" t="s">
        <v>23353</v>
      </c>
      <c r="B13029" s="28" t="s">
        <v>19918</v>
      </c>
      <c r="C13029" s="27" t="s">
        <v>23354</v>
      </c>
      <c r="D13029" s="27" t="s">
        <v>118</v>
      </c>
      <c r="E13029" s="29">
        <v>37226</v>
      </c>
      <c r="F13029" s="27">
        <v>8</v>
      </c>
      <c r="G13029" s="18">
        <v>11451.55</v>
      </c>
      <c r="H13029" s="27">
        <f t="shared" si="406"/>
        <v>11451.55</v>
      </c>
      <c r="I13029" s="18">
        <v>10878.97</v>
      </c>
      <c r="J13029" s="27">
        <v>11451.55</v>
      </c>
      <c r="K13029" s="18">
        <f t="shared" si="407"/>
        <v>11451.55</v>
      </c>
      <c r="L13029" s="27">
        <v>10878.97</v>
      </c>
      <c r="M13029" s="36">
        <v>0</v>
      </c>
      <c r="T13029" s="41">
        <v>0</v>
      </c>
      <c r="U13029" s="41">
        <v>0</v>
      </c>
      <c r="V13029" s="42" t="s">
        <v>113</v>
      </c>
      <c r="W13029" s="42">
        <v>11451.55</v>
      </c>
      <c r="X13029" s="42">
        <v>11451.55</v>
      </c>
    </row>
    <row r="13030" spans="1:24">
      <c r="A13030" s="27" t="s">
        <v>23355</v>
      </c>
      <c r="B13030" s="28" t="s">
        <v>19918</v>
      </c>
      <c r="C13030" s="27" t="s">
        <v>23356</v>
      </c>
      <c r="D13030" s="27" t="s">
        <v>17578</v>
      </c>
      <c r="E13030" s="29">
        <v>35400</v>
      </c>
      <c r="F13030" s="27">
        <v>8</v>
      </c>
      <c r="G13030" s="18">
        <v>55000</v>
      </c>
      <c r="H13030" s="27">
        <f t="shared" si="406"/>
        <v>55000</v>
      </c>
      <c r="I13030" s="18">
        <v>52250</v>
      </c>
      <c r="J13030" s="27">
        <v>55000</v>
      </c>
      <c r="K13030" s="18">
        <f t="shared" si="407"/>
        <v>55000</v>
      </c>
      <c r="L13030" s="27">
        <v>52250</v>
      </c>
      <c r="M13030" s="36">
        <v>0</v>
      </c>
      <c r="T13030" s="41">
        <v>0</v>
      </c>
      <c r="U13030" s="41">
        <v>0</v>
      </c>
      <c r="V13030" s="42" t="s">
        <v>113</v>
      </c>
      <c r="W13030" s="42">
        <v>55000</v>
      </c>
      <c r="X13030" s="42">
        <v>55000</v>
      </c>
    </row>
    <row r="13031" spans="1:24">
      <c r="A13031" s="27" t="s">
        <v>23357</v>
      </c>
      <c r="B13031" s="28" t="s">
        <v>19918</v>
      </c>
      <c r="C13031" s="27" t="s">
        <v>23255</v>
      </c>
      <c r="D13031" s="27" t="s">
        <v>17558</v>
      </c>
      <c r="E13031" s="29">
        <v>36495</v>
      </c>
      <c r="F13031" s="27">
        <v>8</v>
      </c>
      <c r="G13031" s="18">
        <v>25934.02</v>
      </c>
      <c r="H13031" s="27">
        <f t="shared" si="406"/>
        <v>25934.02</v>
      </c>
      <c r="I13031" s="18">
        <v>24637.32</v>
      </c>
      <c r="J13031" s="27">
        <v>25934.02</v>
      </c>
      <c r="K13031" s="18">
        <f t="shared" si="407"/>
        <v>25934.02</v>
      </c>
      <c r="L13031" s="27">
        <v>24637.32</v>
      </c>
      <c r="M13031" s="36">
        <v>0</v>
      </c>
      <c r="T13031" s="41">
        <v>0</v>
      </c>
      <c r="U13031" s="41">
        <v>0</v>
      </c>
      <c r="V13031" s="42" t="s">
        <v>113</v>
      </c>
      <c r="W13031" s="42">
        <v>25934.02</v>
      </c>
      <c r="X13031" s="42">
        <v>25934.02</v>
      </c>
    </row>
    <row r="13032" spans="1:24">
      <c r="A13032" s="27" t="s">
        <v>23358</v>
      </c>
      <c r="B13032" s="28" t="s">
        <v>19918</v>
      </c>
      <c r="C13032" s="27" t="s">
        <v>23359</v>
      </c>
      <c r="D13032" s="27" t="s">
        <v>118</v>
      </c>
      <c r="E13032" s="29">
        <v>40084</v>
      </c>
      <c r="F13032" s="27">
        <v>8</v>
      </c>
      <c r="G13032" s="18">
        <v>16892.439999999999</v>
      </c>
      <c r="H13032" s="27">
        <f t="shared" si="406"/>
        <v>16892.439999999999</v>
      </c>
      <c r="I13032" s="18">
        <v>16047.82</v>
      </c>
      <c r="J13032" s="27">
        <v>16892.439999999999</v>
      </c>
      <c r="K13032" s="18">
        <f t="shared" si="407"/>
        <v>16892.439999999999</v>
      </c>
      <c r="L13032" s="27">
        <v>16047.82</v>
      </c>
      <c r="M13032" s="36">
        <v>0</v>
      </c>
      <c r="T13032" s="41">
        <v>0</v>
      </c>
      <c r="U13032" s="41">
        <v>0</v>
      </c>
      <c r="V13032" s="42" t="s">
        <v>113</v>
      </c>
      <c r="W13032" s="42">
        <v>16892.439999999999</v>
      </c>
      <c r="X13032" s="42">
        <v>16892.439999999999</v>
      </c>
    </row>
    <row r="13033" spans="1:24">
      <c r="A13033" s="27" t="s">
        <v>23360</v>
      </c>
      <c r="B13033" s="28" t="s">
        <v>19918</v>
      </c>
      <c r="C13033" s="27" t="s">
        <v>23361</v>
      </c>
      <c r="D13033" s="27" t="s">
        <v>118</v>
      </c>
      <c r="E13033" s="29">
        <v>40084</v>
      </c>
      <c r="F13033" s="27">
        <v>8</v>
      </c>
      <c r="G13033" s="18">
        <v>16892.439999999999</v>
      </c>
      <c r="H13033" s="27">
        <f t="shared" si="406"/>
        <v>16892.439999999999</v>
      </c>
      <c r="I13033" s="18">
        <v>16047.82</v>
      </c>
      <c r="J13033" s="27">
        <v>16892.439999999999</v>
      </c>
      <c r="K13033" s="18">
        <f t="shared" si="407"/>
        <v>16892.439999999999</v>
      </c>
      <c r="L13033" s="27">
        <v>16047.82</v>
      </c>
      <c r="M13033" s="36">
        <v>0</v>
      </c>
      <c r="T13033" s="41">
        <v>0</v>
      </c>
      <c r="U13033" s="41">
        <v>0</v>
      </c>
      <c r="V13033" s="42" t="s">
        <v>113</v>
      </c>
      <c r="W13033" s="42">
        <v>16892.439999999999</v>
      </c>
      <c r="X13033" s="42">
        <v>16892.439999999999</v>
      </c>
    </row>
    <row r="13034" spans="1:24">
      <c r="A13034" s="27" t="s">
        <v>23362</v>
      </c>
      <c r="B13034" s="28" t="s">
        <v>19918</v>
      </c>
      <c r="C13034" s="27" t="s">
        <v>19945</v>
      </c>
      <c r="D13034" s="27" t="s">
        <v>17578</v>
      </c>
      <c r="E13034" s="29">
        <v>40084</v>
      </c>
      <c r="F13034" s="27">
        <v>8</v>
      </c>
      <c r="G13034" s="18">
        <v>129224.44</v>
      </c>
      <c r="H13034" s="27">
        <f t="shared" si="406"/>
        <v>129224.44</v>
      </c>
      <c r="I13034" s="18">
        <v>122763.22</v>
      </c>
      <c r="J13034" s="27">
        <v>129224.44</v>
      </c>
      <c r="K13034" s="18">
        <f t="shared" si="407"/>
        <v>129224.44</v>
      </c>
      <c r="L13034" s="27">
        <v>122763.22</v>
      </c>
      <c r="M13034" s="36">
        <v>0</v>
      </c>
      <c r="T13034" s="41">
        <v>0</v>
      </c>
      <c r="U13034" s="41">
        <v>0</v>
      </c>
      <c r="V13034" s="42" t="s">
        <v>113</v>
      </c>
      <c r="W13034" s="42">
        <v>129224.44</v>
      </c>
      <c r="X13034" s="42">
        <v>129224.44</v>
      </c>
    </row>
    <row r="13035" spans="1:24">
      <c r="A13035" s="27" t="s">
        <v>23363</v>
      </c>
      <c r="B13035" s="28" t="s">
        <v>19918</v>
      </c>
      <c r="C13035" s="27" t="s">
        <v>23364</v>
      </c>
      <c r="D13035" s="27" t="s">
        <v>17578</v>
      </c>
      <c r="E13035" s="29">
        <v>40113</v>
      </c>
      <c r="F13035" s="27">
        <v>8</v>
      </c>
      <c r="G13035" s="18">
        <v>162430.9</v>
      </c>
      <c r="H13035" s="27">
        <f t="shared" si="406"/>
        <v>162430.9</v>
      </c>
      <c r="I13035" s="18">
        <v>154309.35</v>
      </c>
      <c r="J13035" s="27">
        <v>162430.9</v>
      </c>
      <c r="K13035" s="18">
        <f t="shared" si="407"/>
        <v>162430.9</v>
      </c>
      <c r="L13035" s="27">
        <v>154309.35</v>
      </c>
      <c r="M13035" s="36">
        <v>0</v>
      </c>
      <c r="T13035" s="41">
        <v>0</v>
      </c>
      <c r="U13035" s="41">
        <v>0</v>
      </c>
      <c r="V13035" s="42" t="s">
        <v>113</v>
      </c>
      <c r="W13035" s="42">
        <v>162430.9</v>
      </c>
      <c r="X13035" s="42">
        <v>162430.9</v>
      </c>
    </row>
    <row r="13036" spans="1:24">
      <c r="A13036" s="27" t="s">
        <v>23365</v>
      </c>
      <c r="B13036" s="28" t="s">
        <v>19918</v>
      </c>
      <c r="C13036" s="27" t="s">
        <v>23366</v>
      </c>
      <c r="D13036" s="27" t="s">
        <v>17578</v>
      </c>
      <c r="E13036" s="29">
        <v>40113</v>
      </c>
      <c r="F13036" s="27">
        <v>8</v>
      </c>
      <c r="G13036" s="18">
        <v>316029.65999999997</v>
      </c>
      <c r="H13036" s="27">
        <f t="shared" si="406"/>
        <v>316029.65999999997</v>
      </c>
      <c r="I13036" s="18">
        <v>300228.18</v>
      </c>
      <c r="J13036" s="27">
        <v>316029.65999999997</v>
      </c>
      <c r="K13036" s="18">
        <f t="shared" si="407"/>
        <v>316029.65999999997</v>
      </c>
      <c r="L13036" s="27">
        <v>300228.18</v>
      </c>
      <c r="M13036" s="36">
        <v>0</v>
      </c>
      <c r="T13036" s="41">
        <v>0</v>
      </c>
      <c r="U13036" s="41">
        <v>0</v>
      </c>
      <c r="V13036" s="42" t="s">
        <v>113</v>
      </c>
      <c r="W13036" s="42">
        <v>316029.65999999997</v>
      </c>
      <c r="X13036" s="42">
        <v>316029.65999999997</v>
      </c>
    </row>
    <row r="13037" spans="1:24">
      <c r="A13037" s="27" t="s">
        <v>23367</v>
      </c>
      <c r="B13037" s="28" t="s">
        <v>19918</v>
      </c>
      <c r="C13037" s="27" t="s">
        <v>23368</v>
      </c>
      <c r="D13037" s="27" t="s">
        <v>17578</v>
      </c>
      <c r="E13037" s="29">
        <v>40113</v>
      </c>
      <c r="F13037" s="27">
        <v>8</v>
      </c>
      <c r="G13037" s="18">
        <v>315779.65999999997</v>
      </c>
      <c r="H13037" s="27">
        <f t="shared" si="406"/>
        <v>315779.65999999997</v>
      </c>
      <c r="I13037" s="18">
        <v>299990.65000000002</v>
      </c>
      <c r="J13037" s="27">
        <v>315779.65999999997</v>
      </c>
      <c r="K13037" s="18">
        <f t="shared" si="407"/>
        <v>315779.65999999997</v>
      </c>
      <c r="L13037" s="27">
        <v>299990.65000000002</v>
      </c>
      <c r="M13037" s="36">
        <v>0</v>
      </c>
      <c r="T13037" s="41">
        <v>0</v>
      </c>
      <c r="U13037" s="41">
        <v>0</v>
      </c>
      <c r="V13037" s="42" t="s">
        <v>113</v>
      </c>
      <c r="W13037" s="42">
        <v>315779.65999999997</v>
      </c>
      <c r="X13037" s="42">
        <v>315779.65999999997</v>
      </c>
    </row>
    <row r="13038" spans="1:24">
      <c r="A13038" s="27" t="s">
        <v>23369</v>
      </c>
      <c r="B13038" s="28" t="s">
        <v>19918</v>
      </c>
      <c r="C13038" s="27" t="s">
        <v>23370</v>
      </c>
      <c r="D13038" s="27" t="s">
        <v>220</v>
      </c>
      <c r="E13038" s="29">
        <v>40112</v>
      </c>
      <c r="F13038" s="27">
        <v>8</v>
      </c>
      <c r="G13038" s="18">
        <v>48728.2</v>
      </c>
      <c r="H13038" s="27">
        <f t="shared" si="406"/>
        <v>48728.2</v>
      </c>
      <c r="I13038" s="18">
        <v>46291.79</v>
      </c>
      <c r="J13038" s="27">
        <v>48728.2</v>
      </c>
      <c r="K13038" s="18">
        <f t="shared" si="407"/>
        <v>48728.2</v>
      </c>
      <c r="L13038" s="27">
        <v>46291.79</v>
      </c>
      <c r="M13038" s="36">
        <v>0</v>
      </c>
      <c r="T13038" s="41">
        <v>0</v>
      </c>
      <c r="U13038" s="41">
        <v>0</v>
      </c>
      <c r="V13038" s="42" t="s">
        <v>113</v>
      </c>
      <c r="W13038" s="42">
        <v>48728.2</v>
      </c>
      <c r="X13038" s="42">
        <v>48728.2</v>
      </c>
    </row>
    <row r="13039" spans="1:24">
      <c r="A13039" s="27" t="s">
        <v>23371</v>
      </c>
      <c r="B13039" s="28" t="s">
        <v>19918</v>
      </c>
      <c r="C13039" s="27" t="s">
        <v>23372</v>
      </c>
      <c r="D13039" s="27" t="s">
        <v>17578</v>
      </c>
      <c r="E13039" s="29">
        <v>40112</v>
      </c>
      <c r="F13039" s="27">
        <v>8</v>
      </c>
      <c r="G13039" s="18">
        <v>34017.519999999997</v>
      </c>
      <c r="H13039" s="27">
        <f t="shared" si="406"/>
        <v>34017.519999999997</v>
      </c>
      <c r="I13039" s="18">
        <v>32316.639999999999</v>
      </c>
      <c r="J13039" s="27">
        <v>34017.519999999997</v>
      </c>
      <c r="K13039" s="18">
        <f t="shared" si="407"/>
        <v>34017.519999999997</v>
      </c>
      <c r="L13039" s="27">
        <v>32316.639999999999</v>
      </c>
      <c r="M13039" s="36">
        <v>0</v>
      </c>
      <c r="T13039" s="41">
        <v>0</v>
      </c>
      <c r="U13039" s="41">
        <v>0</v>
      </c>
      <c r="V13039" s="42" t="s">
        <v>113</v>
      </c>
      <c r="W13039" s="42">
        <v>34017.519999999997</v>
      </c>
      <c r="X13039" s="42">
        <v>34017.519999999997</v>
      </c>
    </row>
    <row r="13040" spans="1:24">
      <c r="A13040" s="27" t="s">
        <v>23373</v>
      </c>
      <c r="B13040" s="28" t="s">
        <v>19918</v>
      </c>
      <c r="C13040" s="27" t="s">
        <v>23374</v>
      </c>
      <c r="D13040" s="27" t="s">
        <v>17578</v>
      </c>
      <c r="E13040" s="29">
        <v>40112</v>
      </c>
      <c r="F13040" s="27">
        <v>8</v>
      </c>
      <c r="G13040" s="18">
        <v>34017.519999999997</v>
      </c>
      <c r="H13040" s="27">
        <f t="shared" si="406"/>
        <v>34017.519999999997</v>
      </c>
      <c r="I13040" s="18">
        <v>32316.639999999999</v>
      </c>
      <c r="J13040" s="27">
        <v>34017.519999999997</v>
      </c>
      <c r="K13040" s="18">
        <f t="shared" si="407"/>
        <v>34017.519999999997</v>
      </c>
      <c r="L13040" s="27">
        <v>32316.639999999999</v>
      </c>
      <c r="M13040" s="36">
        <v>0</v>
      </c>
      <c r="T13040" s="41">
        <v>0</v>
      </c>
      <c r="U13040" s="41">
        <v>0</v>
      </c>
      <c r="V13040" s="42" t="s">
        <v>113</v>
      </c>
      <c r="W13040" s="42">
        <v>34017.519999999997</v>
      </c>
      <c r="X13040" s="42">
        <v>34017.519999999997</v>
      </c>
    </row>
    <row r="13041" spans="1:24">
      <c r="A13041" s="27" t="s">
        <v>23375</v>
      </c>
      <c r="B13041" s="28" t="s">
        <v>19918</v>
      </c>
      <c r="C13041" s="27" t="s">
        <v>23376</v>
      </c>
      <c r="D13041" s="27" t="s">
        <v>17558</v>
      </c>
      <c r="E13041" s="29">
        <v>40156</v>
      </c>
      <c r="F13041" s="27">
        <v>8</v>
      </c>
      <c r="G13041" s="18">
        <v>25689.599999999999</v>
      </c>
      <c r="H13041" s="27">
        <f t="shared" si="406"/>
        <v>25689.599999999999</v>
      </c>
      <c r="I13041" s="18">
        <v>24405.119999999999</v>
      </c>
      <c r="J13041" s="27">
        <v>25689.599999999999</v>
      </c>
      <c r="K13041" s="18">
        <f t="shared" si="407"/>
        <v>25689.599999999999</v>
      </c>
      <c r="L13041" s="27">
        <v>24405.119999999999</v>
      </c>
      <c r="M13041" s="36">
        <v>0</v>
      </c>
      <c r="T13041" s="41">
        <v>0</v>
      </c>
      <c r="U13041" s="41">
        <v>0</v>
      </c>
      <c r="V13041" s="42" t="s">
        <v>113</v>
      </c>
      <c r="W13041" s="42">
        <v>25689.599999999999</v>
      </c>
      <c r="X13041" s="42">
        <v>25689.599999999999</v>
      </c>
    </row>
    <row r="13042" spans="1:24">
      <c r="A13042" s="27" t="s">
        <v>23377</v>
      </c>
      <c r="B13042" s="28" t="s">
        <v>19918</v>
      </c>
      <c r="C13042" s="27" t="s">
        <v>20779</v>
      </c>
      <c r="D13042" s="27" t="s">
        <v>17558</v>
      </c>
      <c r="E13042" s="29">
        <v>40156</v>
      </c>
      <c r="F13042" s="27">
        <v>8</v>
      </c>
      <c r="G13042" s="18">
        <v>25689.599999999999</v>
      </c>
      <c r="H13042" s="27">
        <f t="shared" si="406"/>
        <v>25689.599999999999</v>
      </c>
      <c r="I13042" s="18">
        <v>24405.119999999999</v>
      </c>
      <c r="J13042" s="27">
        <v>25689.599999999999</v>
      </c>
      <c r="K13042" s="18">
        <f t="shared" si="407"/>
        <v>25689.599999999999</v>
      </c>
      <c r="L13042" s="27">
        <v>24405.119999999999</v>
      </c>
      <c r="M13042" s="36">
        <v>0</v>
      </c>
      <c r="T13042" s="41">
        <v>0</v>
      </c>
      <c r="U13042" s="41">
        <v>0</v>
      </c>
      <c r="V13042" s="42" t="s">
        <v>113</v>
      </c>
      <c r="W13042" s="42">
        <v>25689.599999999999</v>
      </c>
      <c r="X13042" s="42">
        <v>25689.599999999999</v>
      </c>
    </row>
    <row r="13043" spans="1:24">
      <c r="A13043" s="27" t="s">
        <v>23378</v>
      </c>
      <c r="B13043" s="28" t="s">
        <v>19918</v>
      </c>
      <c r="C13043" s="27" t="s">
        <v>23379</v>
      </c>
      <c r="D13043" s="27" t="s">
        <v>17558</v>
      </c>
      <c r="E13043" s="29">
        <v>40156</v>
      </c>
      <c r="F13043" s="27">
        <v>8</v>
      </c>
      <c r="G13043" s="18">
        <v>25689.61</v>
      </c>
      <c r="H13043" s="27">
        <f t="shared" si="406"/>
        <v>25689.61</v>
      </c>
      <c r="I13043" s="18">
        <v>24405.13</v>
      </c>
      <c r="J13043" s="27">
        <v>25689.61</v>
      </c>
      <c r="K13043" s="18">
        <f t="shared" si="407"/>
        <v>25689.61</v>
      </c>
      <c r="L13043" s="27">
        <v>24405.13</v>
      </c>
      <c r="M13043" s="36">
        <v>0</v>
      </c>
      <c r="T13043" s="41">
        <v>0</v>
      </c>
      <c r="U13043" s="41">
        <v>0</v>
      </c>
      <c r="V13043" s="42" t="s">
        <v>113</v>
      </c>
      <c r="W13043" s="42">
        <v>25689.61</v>
      </c>
      <c r="X13043" s="42">
        <v>25689.61</v>
      </c>
    </row>
    <row r="13044" spans="1:24">
      <c r="A13044" s="27" t="s">
        <v>23380</v>
      </c>
      <c r="B13044" s="28" t="s">
        <v>19918</v>
      </c>
      <c r="C13044" s="27" t="s">
        <v>23381</v>
      </c>
      <c r="D13044" s="27" t="s">
        <v>17558</v>
      </c>
      <c r="E13044" s="29">
        <v>40165</v>
      </c>
      <c r="F13044" s="27">
        <v>8</v>
      </c>
      <c r="G13044" s="18">
        <v>237271.19</v>
      </c>
      <c r="H13044" s="27">
        <f t="shared" si="406"/>
        <v>237271.19</v>
      </c>
      <c r="I13044" s="18">
        <v>225407.63</v>
      </c>
      <c r="J13044" s="27">
        <v>237271.19</v>
      </c>
      <c r="K13044" s="18">
        <f t="shared" si="407"/>
        <v>237271.19</v>
      </c>
      <c r="L13044" s="27">
        <v>225407.63</v>
      </c>
      <c r="M13044" s="36">
        <v>0</v>
      </c>
      <c r="T13044" s="41">
        <v>0</v>
      </c>
      <c r="U13044" s="41">
        <v>0</v>
      </c>
      <c r="V13044" s="42" t="s">
        <v>113</v>
      </c>
      <c r="W13044" s="42">
        <v>237271.19</v>
      </c>
      <c r="X13044" s="42">
        <v>237271.19</v>
      </c>
    </row>
    <row r="13045" spans="1:24">
      <c r="A13045" s="27" t="s">
        <v>23382</v>
      </c>
      <c r="B13045" s="28" t="s">
        <v>19918</v>
      </c>
      <c r="C13045" s="27" t="s">
        <v>23383</v>
      </c>
      <c r="D13045" s="27" t="s">
        <v>17558</v>
      </c>
      <c r="E13045" s="29">
        <v>40165</v>
      </c>
      <c r="F13045" s="27">
        <v>8</v>
      </c>
      <c r="G13045" s="18">
        <v>231462.11</v>
      </c>
      <c r="H13045" s="27">
        <f t="shared" si="406"/>
        <v>231462.11</v>
      </c>
      <c r="I13045" s="18">
        <v>219889</v>
      </c>
      <c r="J13045" s="27">
        <v>231462.11</v>
      </c>
      <c r="K13045" s="18">
        <f t="shared" si="407"/>
        <v>231462.11</v>
      </c>
      <c r="L13045" s="27">
        <v>219889</v>
      </c>
      <c r="M13045" s="36">
        <v>0</v>
      </c>
      <c r="T13045" s="41">
        <v>0</v>
      </c>
      <c r="U13045" s="41">
        <v>0</v>
      </c>
      <c r="V13045" s="42" t="s">
        <v>113</v>
      </c>
      <c r="W13045" s="42">
        <v>231462.11</v>
      </c>
      <c r="X13045" s="42">
        <v>231462.11</v>
      </c>
    </row>
    <row r="13046" spans="1:24">
      <c r="A13046" s="27" t="s">
        <v>23384</v>
      </c>
      <c r="B13046" s="28" t="s">
        <v>19918</v>
      </c>
      <c r="C13046" s="27" t="s">
        <v>23385</v>
      </c>
      <c r="D13046" s="27" t="s">
        <v>17578</v>
      </c>
      <c r="E13046" s="29">
        <v>40165</v>
      </c>
      <c r="F13046" s="27">
        <v>8</v>
      </c>
      <c r="G13046" s="18">
        <v>22275.66</v>
      </c>
      <c r="H13046" s="27">
        <f t="shared" si="406"/>
        <v>22275.66</v>
      </c>
      <c r="I13046" s="18">
        <v>21161.88</v>
      </c>
      <c r="J13046" s="27">
        <v>22275.66</v>
      </c>
      <c r="K13046" s="18">
        <f t="shared" si="407"/>
        <v>22275.66</v>
      </c>
      <c r="L13046" s="27">
        <v>21161.88</v>
      </c>
      <c r="M13046" s="36">
        <v>0</v>
      </c>
      <c r="T13046" s="41">
        <v>0</v>
      </c>
      <c r="U13046" s="41">
        <v>0</v>
      </c>
      <c r="V13046" s="42" t="s">
        <v>113</v>
      </c>
      <c r="W13046" s="42">
        <v>22275.66</v>
      </c>
      <c r="X13046" s="42">
        <v>22275.66</v>
      </c>
    </row>
    <row r="13047" spans="1:24">
      <c r="A13047" s="27" t="s">
        <v>23386</v>
      </c>
      <c r="B13047" s="28" t="s">
        <v>19918</v>
      </c>
      <c r="C13047" s="27" t="s">
        <v>20163</v>
      </c>
      <c r="D13047" s="27" t="s">
        <v>17578</v>
      </c>
      <c r="E13047" s="29">
        <v>40165</v>
      </c>
      <c r="F13047" s="27">
        <v>8</v>
      </c>
      <c r="G13047" s="18">
        <v>22275.66</v>
      </c>
      <c r="H13047" s="27">
        <f t="shared" si="406"/>
        <v>22275.66</v>
      </c>
      <c r="I13047" s="18">
        <v>21161.87</v>
      </c>
      <c r="J13047" s="27">
        <v>22275.66</v>
      </c>
      <c r="K13047" s="18">
        <f t="shared" si="407"/>
        <v>22275.66</v>
      </c>
      <c r="L13047" s="27">
        <v>21161.87</v>
      </c>
      <c r="M13047" s="36">
        <v>0</v>
      </c>
      <c r="T13047" s="41">
        <v>0</v>
      </c>
      <c r="U13047" s="41">
        <v>0</v>
      </c>
      <c r="V13047" s="42" t="s">
        <v>113</v>
      </c>
      <c r="W13047" s="42">
        <v>22275.66</v>
      </c>
      <c r="X13047" s="42">
        <v>22275.66</v>
      </c>
    </row>
    <row r="13048" spans="1:24">
      <c r="A13048" s="27" t="s">
        <v>23387</v>
      </c>
      <c r="B13048" s="28" t="s">
        <v>19918</v>
      </c>
      <c r="C13048" s="27" t="s">
        <v>23388</v>
      </c>
      <c r="D13048" s="27" t="s">
        <v>17578</v>
      </c>
      <c r="E13048" s="29">
        <v>40165</v>
      </c>
      <c r="F13048" s="27">
        <v>8</v>
      </c>
      <c r="G13048" s="18">
        <v>22275.66</v>
      </c>
      <c r="H13048" s="27">
        <f t="shared" si="406"/>
        <v>22275.66</v>
      </c>
      <c r="I13048" s="18">
        <v>21161.88</v>
      </c>
      <c r="J13048" s="27">
        <v>22275.66</v>
      </c>
      <c r="K13048" s="18">
        <f t="shared" si="407"/>
        <v>22275.66</v>
      </c>
      <c r="L13048" s="27">
        <v>21161.88</v>
      </c>
      <c r="M13048" s="36">
        <v>0</v>
      </c>
      <c r="T13048" s="41">
        <v>0</v>
      </c>
      <c r="U13048" s="41">
        <v>0</v>
      </c>
      <c r="V13048" s="42" t="s">
        <v>113</v>
      </c>
      <c r="W13048" s="42">
        <v>22275.66</v>
      </c>
      <c r="X13048" s="42">
        <v>22275.66</v>
      </c>
    </row>
    <row r="13049" spans="1:24">
      <c r="A13049" s="27" t="s">
        <v>23389</v>
      </c>
      <c r="B13049" s="28" t="s">
        <v>19918</v>
      </c>
      <c r="C13049" s="27" t="s">
        <v>23390</v>
      </c>
      <c r="D13049" s="27" t="s">
        <v>17578</v>
      </c>
      <c r="E13049" s="29">
        <v>40165</v>
      </c>
      <c r="F13049" s="27">
        <v>8</v>
      </c>
      <c r="G13049" s="18">
        <v>22275.66</v>
      </c>
      <c r="H13049" s="27">
        <f t="shared" si="406"/>
        <v>22275.66</v>
      </c>
      <c r="I13049" s="18">
        <v>21161.86</v>
      </c>
      <c r="J13049" s="27">
        <v>22275.66</v>
      </c>
      <c r="K13049" s="18">
        <f t="shared" si="407"/>
        <v>22275.66</v>
      </c>
      <c r="L13049" s="27">
        <v>21161.86</v>
      </c>
      <c r="M13049" s="36">
        <v>0</v>
      </c>
      <c r="T13049" s="41">
        <v>0</v>
      </c>
      <c r="U13049" s="41">
        <v>0</v>
      </c>
      <c r="V13049" s="42" t="s">
        <v>113</v>
      </c>
      <c r="W13049" s="42">
        <v>22275.66</v>
      </c>
      <c r="X13049" s="42">
        <v>22275.66</v>
      </c>
    </row>
    <row r="13050" spans="1:24">
      <c r="A13050" s="27" t="s">
        <v>23391</v>
      </c>
      <c r="B13050" s="28" t="s">
        <v>19918</v>
      </c>
      <c r="C13050" s="27" t="s">
        <v>19952</v>
      </c>
      <c r="D13050" s="27" t="s">
        <v>17578</v>
      </c>
      <c r="E13050" s="29">
        <v>40169</v>
      </c>
      <c r="F13050" s="27">
        <v>8</v>
      </c>
      <c r="G13050" s="18">
        <v>44885.88</v>
      </c>
      <c r="H13050" s="27">
        <f t="shared" si="406"/>
        <v>44885.88</v>
      </c>
      <c r="I13050" s="18">
        <v>42641.59</v>
      </c>
      <c r="J13050" s="27">
        <v>44885.88</v>
      </c>
      <c r="K13050" s="18">
        <f t="shared" si="407"/>
        <v>44885.88</v>
      </c>
      <c r="L13050" s="27">
        <v>42641.59</v>
      </c>
      <c r="M13050" s="36">
        <v>0</v>
      </c>
      <c r="T13050" s="41">
        <v>0</v>
      </c>
      <c r="U13050" s="41">
        <v>0</v>
      </c>
      <c r="V13050" s="42" t="s">
        <v>113</v>
      </c>
      <c r="W13050" s="42">
        <v>44885.88</v>
      </c>
      <c r="X13050" s="42">
        <v>44885.88</v>
      </c>
    </row>
    <row r="13051" spans="1:24">
      <c r="A13051" s="27" t="s">
        <v>23392</v>
      </c>
      <c r="B13051" s="28" t="s">
        <v>19918</v>
      </c>
      <c r="C13051" s="27" t="s">
        <v>19943</v>
      </c>
      <c r="D13051" s="27" t="s">
        <v>17578</v>
      </c>
      <c r="E13051" s="29">
        <v>40169</v>
      </c>
      <c r="F13051" s="27">
        <v>8</v>
      </c>
      <c r="G13051" s="18">
        <v>11223.92</v>
      </c>
      <c r="H13051" s="27">
        <f t="shared" si="406"/>
        <v>11223.92</v>
      </c>
      <c r="I13051" s="18">
        <v>10662.72</v>
      </c>
      <c r="J13051" s="27">
        <v>11223.92</v>
      </c>
      <c r="K13051" s="18">
        <f t="shared" si="407"/>
        <v>11223.92</v>
      </c>
      <c r="L13051" s="27">
        <v>10662.72</v>
      </c>
      <c r="M13051" s="36">
        <v>0</v>
      </c>
      <c r="T13051" s="41">
        <v>0</v>
      </c>
      <c r="U13051" s="41">
        <v>0</v>
      </c>
      <c r="V13051" s="42" t="s">
        <v>113</v>
      </c>
      <c r="W13051" s="42">
        <v>11223.92</v>
      </c>
      <c r="X13051" s="42">
        <v>11223.92</v>
      </c>
    </row>
    <row r="13052" spans="1:24">
      <c r="A13052" s="27" t="s">
        <v>23393</v>
      </c>
      <c r="B13052" s="28" t="s">
        <v>19918</v>
      </c>
      <c r="C13052" s="27" t="s">
        <v>2163</v>
      </c>
      <c r="D13052" s="27" t="s">
        <v>17578</v>
      </c>
      <c r="E13052" s="29">
        <v>40169</v>
      </c>
      <c r="F13052" s="27">
        <v>8</v>
      </c>
      <c r="G13052" s="18">
        <v>99005.759999999995</v>
      </c>
      <c r="H13052" s="27">
        <f t="shared" si="406"/>
        <v>99005.759999999995</v>
      </c>
      <c r="I13052" s="18">
        <v>94055.47</v>
      </c>
      <c r="J13052" s="27">
        <v>99005.759999999995</v>
      </c>
      <c r="K13052" s="18">
        <f t="shared" si="407"/>
        <v>99005.759999999995</v>
      </c>
      <c r="L13052" s="27">
        <v>94055.47</v>
      </c>
      <c r="M13052" s="36">
        <v>0</v>
      </c>
      <c r="T13052" s="41">
        <v>0</v>
      </c>
      <c r="U13052" s="41">
        <v>0</v>
      </c>
      <c r="V13052" s="42" t="s">
        <v>113</v>
      </c>
      <c r="W13052" s="42">
        <v>99005.759999999995</v>
      </c>
      <c r="X13052" s="42">
        <v>99005.759999999995</v>
      </c>
    </row>
    <row r="13053" spans="1:24">
      <c r="A13053" s="27" t="s">
        <v>23394</v>
      </c>
      <c r="B13053" s="28" t="s">
        <v>19918</v>
      </c>
      <c r="C13053" s="27" t="s">
        <v>23395</v>
      </c>
      <c r="D13053" s="27" t="s">
        <v>230</v>
      </c>
      <c r="E13053" s="29">
        <v>40170</v>
      </c>
      <c r="F13053" s="27">
        <v>8</v>
      </c>
      <c r="G13053" s="18">
        <v>38376.559999999998</v>
      </c>
      <c r="H13053" s="27">
        <f t="shared" si="406"/>
        <v>38376.559999999998</v>
      </c>
      <c r="I13053" s="18">
        <v>36457.730000000003</v>
      </c>
      <c r="J13053" s="27">
        <v>38376.559999999998</v>
      </c>
      <c r="K13053" s="18">
        <f t="shared" si="407"/>
        <v>38376.559999999998</v>
      </c>
      <c r="L13053" s="27">
        <v>36457.730000000003</v>
      </c>
      <c r="M13053" s="36">
        <v>0</v>
      </c>
      <c r="T13053" s="41">
        <v>0</v>
      </c>
      <c r="U13053" s="41">
        <v>0</v>
      </c>
      <c r="V13053" s="42" t="s">
        <v>113</v>
      </c>
      <c r="W13053" s="42">
        <v>38376.559999999998</v>
      </c>
      <c r="X13053" s="42">
        <v>38376.559999999998</v>
      </c>
    </row>
    <row r="13054" spans="1:24">
      <c r="A13054" s="27" t="s">
        <v>23396</v>
      </c>
      <c r="B13054" s="28" t="s">
        <v>19918</v>
      </c>
      <c r="C13054" s="27" t="s">
        <v>20887</v>
      </c>
      <c r="D13054" s="27" t="s">
        <v>17578</v>
      </c>
      <c r="E13054" s="29">
        <v>40170</v>
      </c>
      <c r="F13054" s="27">
        <v>8</v>
      </c>
      <c r="G13054" s="18">
        <v>39230.019999999997</v>
      </c>
      <c r="H13054" s="27">
        <f t="shared" si="406"/>
        <v>39230.019999999997</v>
      </c>
      <c r="I13054" s="18">
        <v>37268.519999999997</v>
      </c>
      <c r="J13054" s="27">
        <v>39230.019999999997</v>
      </c>
      <c r="K13054" s="18">
        <f t="shared" si="407"/>
        <v>39230.019999999997</v>
      </c>
      <c r="L13054" s="27">
        <v>37268.519999999997</v>
      </c>
      <c r="M13054" s="36">
        <v>0</v>
      </c>
      <c r="T13054" s="41">
        <v>0</v>
      </c>
      <c r="U13054" s="41">
        <v>0</v>
      </c>
      <c r="V13054" s="42" t="s">
        <v>113</v>
      </c>
      <c r="W13054" s="42">
        <v>39230.019999999997</v>
      </c>
      <c r="X13054" s="42">
        <v>39230.019999999997</v>
      </c>
    </row>
    <row r="13055" spans="1:24">
      <c r="A13055" s="27" t="s">
        <v>23397</v>
      </c>
      <c r="B13055" s="28" t="s">
        <v>19918</v>
      </c>
      <c r="C13055" s="27" t="s">
        <v>20889</v>
      </c>
      <c r="D13055" s="27" t="s">
        <v>17578</v>
      </c>
      <c r="E13055" s="29">
        <v>40170</v>
      </c>
      <c r="F13055" s="27">
        <v>8</v>
      </c>
      <c r="G13055" s="18">
        <v>78459.009999999995</v>
      </c>
      <c r="H13055" s="27">
        <f t="shared" si="406"/>
        <v>78459.009999999995</v>
      </c>
      <c r="I13055" s="18">
        <v>74536.06</v>
      </c>
      <c r="J13055" s="27">
        <v>78459.009999999995</v>
      </c>
      <c r="K13055" s="18">
        <f t="shared" si="407"/>
        <v>78459.009999999995</v>
      </c>
      <c r="L13055" s="27">
        <v>74536.06</v>
      </c>
      <c r="M13055" s="36">
        <v>0</v>
      </c>
      <c r="T13055" s="41">
        <v>0</v>
      </c>
      <c r="U13055" s="41">
        <v>0</v>
      </c>
      <c r="V13055" s="42" t="s">
        <v>113</v>
      </c>
      <c r="W13055" s="42">
        <v>78459.009999999995</v>
      </c>
      <c r="X13055" s="42">
        <v>78459.009999999995</v>
      </c>
    </row>
    <row r="13056" spans="1:24">
      <c r="A13056" s="27" t="s">
        <v>23398</v>
      </c>
      <c r="B13056" s="28" t="s">
        <v>19918</v>
      </c>
      <c r="C13056" s="27" t="s">
        <v>23399</v>
      </c>
      <c r="D13056" s="27" t="s">
        <v>17578</v>
      </c>
      <c r="E13056" s="29">
        <v>40170</v>
      </c>
      <c r="F13056" s="27">
        <v>8</v>
      </c>
      <c r="G13056" s="18">
        <v>41579.75</v>
      </c>
      <c r="H13056" s="27">
        <f t="shared" si="406"/>
        <v>41579.75</v>
      </c>
      <c r="I13056" s="18">
        <v>39500.76</v>
      </c>
      <c r="J13056" s="27">
        <v>41579.75</v>
      </c>
      <c r="K13056" s="18">
        <f t="shared" si="407"/>
        <v>41579.75</v>
      </c>
      <c r="L13056" s="27">
        <v>39500.76</v>
      </c>
      <c r="M13056" s="36">
        <v>0</v>
      </c>
      <c r="T13056" s="41">
        <v>0</v>
      </c>
      <c r="U13056" s="41">
        <v>0</v>
      </c>
      <c r="V13056" s="42" t="s">
        <v>113</v>
      </c>
      <c r="W13056" s="42">
        <v>41579.75</v>
      </c>
      <c r="X13056" s="42">
        <v>41579.75</v>
      </c>
    </row>
    <row r="13057" spans="1:24">
      <c r="A13057" s="27" t="s">
        <v>23400</v>
      </c>
      <c r="B13057" s="28" t="s">
        <v>19918</v>
      </c>
      <c r="C13057" s="27" t="s">
        <v>23401</v>
      </c>
      <c r="D13057" s="27" t="s">
        <v>118</v>
      </c>
      <c r="E13057" s="29">
        <v>40170</v>
      </c>
      <c r="F13057" s="27">
        <v>8</v>
      </c>
      <c r="G13057" s="18">
        <v>134226.56</v>
      </c>
      <c r="H13057" s="27">
        <f t="shared" si="406"/>
        <v>134226.56</v>
      </c>
      <c r="I13057" s="18">
        <v>127515.23</v>
      </c>
      <c r="J13057" s="27">
        <v>134226.56</v>
      </c>
      <c r="K13057" s="18">
        <f t="shared" si="407"/>
        <v>134226.56</v>
      </c>
      <c r="L13057" s="27">
        <v>127515.23</v>
      </c>
      <c r="M13057" s="36">
        <v>0</v>
      </c>
      <c r="T13057" s="41">
        <v>0</v>
      </c>
      <c r="U13057" s="41">
        <v>0</v>
      </c>
      <c r="V13057" s="42" t="s">
        <v>113</v>
      </c>
      <c r="W13057" s="42">
        <v>134226.56</v>
      </c>
      <c r="X13057" s="42">
        <v>134226.56</v>
      </c>
    </row>
    <row r="13058" spans="1:24">
      <c r="A13058" s="27" t="s">
        <v>23402</v>
      </c>
      <c r="B13058" s="28" t="s">
        <v>19918</v>
      </c>
      <c r="C13058" s="27" t="s">
        <v>20779</v>
      </c>
      <c r="D13058" s="27" t="s">
        <v>17578</v>
      </c>
      <c r="E13058" s="29">
        <v>40170</v>
      </c>
      <c r="F13058" s="27">
        <v>8</v>
      </c>
      <c r="G13058" s="18">
        <v>137336.69</v>
      </c>
      <c r="H13058" s="27">
        <f t="shared" si="406"/>
        <v>137336.69</v>
      </c>
      <c r="I13058" s="18">
        <v>130469.86</v>
      </c>
      <c r="J13058" s="27">
        <v>137336.69</v>
      </c>
      <c r="K13058" s="18">
        <f t="shared" si="407"/>
        <v>137336.69</v>
      </c>
      <c r="L13058" s="27">
        <v>130469.86</v>
      </c>
      <c r="M13058" s="36">
        <v>0</v>
      </c>
      <c r="T13058" s="41">
        <v>0</v>
      </c>
      <c r="U13058" s="41">
        <v>0</v>
      </c>
      <c r="V13058" s="42" t="s">
        <v>113</v>
      </c>
      <c r="W13058" s="42">
        <v>137336.69</v>
      </c>
      <c r="X13058" s="42">
        <v>137336.69</v>
      </c>
    </row>
    <row r="13059" spans="1:24">
      <c r="A13059" s="27" t="s">
        <v>23403</v>
      </c>
      <c r="B13059" s="28" t="s">
        <v>19918</v>
      </c>
      <c r="C13059" s="27" t="s">
        <v>2163</v>
      </c>
      <c r="D13059" s="27" t="s">
        <v>17578</v>
      </c>
      <c r="E13059" s="29">
        <v>40170</v>
      </c>
      <c r="F13059" s="27">
        <v>8</v>
      </c>
      <c r="G13059" s="18">
        <v>193498.59</v>
      </c>
      <c r="H13059" s="27">
        <f t="shared" si="406"/>
        <v>193498.59</v>
      </c>
      <c r="I13059" s="18">
        <v>183823.66</v>
      </c>
      <c r="J13059" s="27">
        <v>193498.59</v>
      </c>
      <c r="K13059" s="18">
        <f t="shared" si="407"/>
        <v>193498.59</v>
      </c>
      <c r="L13059" s="27">
        <v>183823.66</v>
      </c>
      <c r="M13059" s="36">
        <v>0</v>
      </c>
      <c r="T13059" s="41">
        <v>0</v>
      </c>
      <c r="U13059" s="41">
        <v>0</v>
      </c>
      <c r="V13059" s="42" t="s">
        <v>113</v>
      </c>
      <c r="W13059" s="42">
        <v>193498.59</v>
      </c>
      <c r="X13059" s="42">
        <v>193498.59</v>
      </c>
    </row>
    <row r="13060" spans="1:24">
      <c r="A13060" s="27" t="s">
        <v>23404</v>
      </c>
      <c r="B13060" s="28" t="s">
        <v>19918</v>
      </c>
      <c r="C13060" s="27" t="s">
        <v>20794</v>
      </c>
      <c r="D13060" s="27" t="s">
        <v>17578</v>
      </c>
      <c r="E13060" s="29">
        <v>40170</v>
      </c>
      <c r="F13060" s="27">
        <v>8</v>
      </c>
      <c r="G13060" s="18">
        <v>135226.59</v>
      </c>
      <c r="H13060" s="27">
        <f t="shared" si="406"/>
        <v>135226.59</v>
      </c>
      <c r="I13060" s="18">
        <v>128465.26</v>
      </c>
      <c r="J13060" s="27">
        <v>135226.59</v>
      </c>
      <c r="K13060" s="18">
        <f t="shared" si="407"/>
        <v>135226.59</v>
      </c>
      <c r="L13060" s="27">
        <v>128465.26</v>
      </c>
      <c r="M13060" s="36">
        <v>0</v>
      </c>
      <c r="T13060" s="41">
        <v>0</v>
      </c>
      <c r="U13060" s="41">
        <v>0</v>
      </c>
      <c r="V13060" s="42" t="s">
        <v>113</v>
      </c>
      <c r="W13060" s="42">
        <v>135226.59</v>
      </c>
      <c r="X13060" s="42">
        <v>135226.59</v>
      </c>
    </row>
    <row r="13061" spans="1:24">
      <c r="A13061" s="27" t="s">
        <v>23405</v>
      </c>
      <c r="B13061" s="28" t="s">
        <v>19918</v>
      </c>
      <c r="C13061" s="27" t="s">
        <v>23406</v>
      </c>
      <c r="D13061" s="27" t="s">
        <v>17578</v>
      </c>
      <c r="E13061" s="29">
        <v>40171</v>
      </c>
      <c r="F13061" s="27">
        <v>8</v>
      </c>
      <c r="G13061" s="18">
        <v>187144.42</v>
      </c>
      <c r="H13061" s="27">
        <f t="shared" si="406"/>
        <v>187144.42</v>
      </c>
      <c r="I13061" s="18">
        <v>177787.2</v>
      </c>
      <c r="J13061" s="27">
        <v>187144.42</v>
      </c>
      <c r="K13061" s="18">
        <f t="shared" si="407"/>
        <v>187144.42</v>
      </c>
      <c r="L13061" s="27">
        <v>177787.2</v>
      </c>
      <c r="M13061" s="36">
        <v>0</v>
      </c>
      <c r="T13061" s="41">
        <v>0</v>
      </c>
      <c r="U13061" s="41">
        <v>0</v>
      </c>
      <c r="V13061" s="42" t="s">
        <v>113</v>
      </c>
      <c r="W13061" s="42">
        <v>187144.42</v>
      </c>
      <c r="X13061" s="42">
        <v>187144.42</v>
      </c>
    </row>
    <row r="13062" spans="1:24">
      <c r="A13062" s="27" t="s">
        <v>23407</v>
      </c>
      <c r="B13062" s="28" t="s">
        <v>19918</v>
      </c>
      <c r="C13062" s="27" t="s">
        <v>23408</v>
      </c>
      <c r="D13062" s="27" t="s">
        <v>17578</v>
      </c>
      <c r="E13062" s="29">
        <v>40113</v>
      </c>
      <c r="F13062" s="27">
        <v>8</v>
      </c>
      <c r="G13062" s="18">
        <v>85826.67</v>
      </c>
      <c r="H13062" s="27">
        <f t="shared" ref="H13062:H13125" si="408">IFERROR(IF(ROUND((G13062-I13062)/G13062,2)&lt;=0.05,G13062,0),0)</f>
        <v>85826.67</v>
      </c>
      <c r="I13062" s="18">
        <v>81535.34</v>
      </c>
      <c r="J13062" s="27">
        <v>85826.67</v>
      </c>
      <c r="K13062" s="18">
        <f t="shared" ref="K13062:K13125" si="409">IFERROR(IF(ROUND((J13062-L13062)/J13062,2)&lt;=0.05,J13062,0),0)</f>
        <v>85826.67</v>
      </c>
      <c r="L13062" s="27">
        <v>81535.34</v>
      </c>
      <c r="M13062" s="36">
        <v>0</v>
      </c>
      <c r="T13062" s="41">
        <v>0</v>
      </c>
      <c r="U13062" s="41">
        <v>0</v>
      </c>
      <c r="V13062" s="42" t="s">
        <v>113</v>
      </c>
      <c r="W13062" s="42">
        <v>85826.67</v>
      </c>
      <c r="X13062" s="42">
        <v>85826.67</v>
      </c>
    </row>
    <row r="13063" spans="1:24">
      <c r="A13063" s="27" t="s">
        <v>23409</v>
      </c>
      <c r="B13063" s="28" t="s">
        <v>19918</v>
      </c>
      <c r="C13063" s="27" t="s">
        <v>23410</v>
      </c>
      <c r="D13063" s="27" t="s">
        <v>17578</v>
      </c>
      <c r="E13063" s="29">
        <v>40113</v>
      </c>
      <c r="F13063" s="27">
        <v>8</v>
      </c>
      <c r="G13063" s="18">
        <v>10000</v>
      </c>
      <c r="H13063" s="27">
        <f t="shared" si="408"/>
        <v>10000</v>
      </c>
      <c r="I13063" s="18">
        <v>9500</v>
      </c>
      <c r="J13063" s="27">
        <v>10000</v>
      </c>
      <c r="K13063" s="18">
        <f t="shared" si="409"/>
        <v>10000</v>
      </c>
      <c r="L13063" s="27">
        <v>9500</v>
      </c>
      <c r="M13063" s="36">
        <v>0</v>
      </c>
      <c r="T13063" s="41">
        <v>0</v>
      </c>
      <c r="U13063" s="41">
        <v>0</v>
      </c>
      <c r="V13063" s="42" t="s">
        <v>113</v>
      </c>
      <c r="W13063" s="42">
        <v>10000</v>
      </c>
      <c r="X13063" s="42">
        <v>10000</v>
      </c>
    </row>
    <row r="13064" spans="1:24">
      <c r="A13064" s="27" t="s">
        <v>23411</v>
      </c>
      <c r="B13064" s="28" t="s">
        <v>19918</v>
      </c>
      <c r="C13064" s="27" t="s">
        <v>23412</v>
      </c>
      <c r="D13064" s="27" t="s">
        <v>17578</v>
      </c>
      <c r="E13064" s="29">
        <v>40113</v>
      </c>
      <c r="F13064" s="27">
        <v>8</v>
      </c>
      <c r="G13064" s="18">
        <v>22751.86</v>
      </c>
      <c r="H13064" s="27">
        <f t="shared" si="408"/>
        <v>22751.86</v>
      </c>
      <c r="I13064" s="18">
        <v>21614.27</v>
      </c>
      <c r="J13064" s="27">
        <v>22751.86</v>
      </c>
      <c r="K13064" s="18">
        <f t="shared" si="409"/>
        <v>22751.86</v>
      </c>
      <c r="L13064" s="27">
        <v>21614.27</v>
      </c>
      <c r="M13064" s="36">
        <v>0</v>
      </c>
      <c r="T13064" s="41">
        <v>0</v>
      </c>
      <c r="U13064" s="41">
        <v>0</v>
      </c>
      <c r="V13064" s="42" t="s">
        <v>113</v>
      </c>
      <c r="W13064" s="42">
        <v>22751.86</v>
      </c>
      <c r="X13064" s="42">
        <v>22751.86</v>
      </c>
    </row>
    <row r="13065" spans="1:24">
      <c r="A13065" s="27" t="s">
        <v>23413</v>
      </c>
      <c r="B13065" s="28" t="s">
        <v>19918</v>
      </c>
      <c r="C13065" s="27" t="s">
        <v>23414</v>
      </c>
      <c r="D13065" s="27" t="s">
        <v>17558</v>
      </c>
      <c r="E13065" s="29">
        <v>39692</v>
      </c>
      <c r="F13065" s="27">
        <v>8</v>
      </c>
      <c r="G13065" s="18">
        <v>28439.82</v>
      </c>
      <c r="H13065" s="27">
        <f t="shared" si="408"/>
        <v>28439.82</v>
      </c>
      <c r="I13065" s="18">
        <v>27017.83</v>
      </c>
      <c r="J13065" s="27">
        <v>28439.82</v>
      </c>
      <c r="K13065" s="18">
        <f t="shared" si="409"/>
        <v>28439.82</v>
      </c>
      <c r="L13065" s="27">
        <v>27017.83</v>
      </c>
      <c r="M13065" s="36">
        <v>0</v>
      </c>
      <c r="T13065" s="41">
        <v>0</v>
      </c>
      <c r="U13065" s="41">
        <v>0</v>
      </c>
      <c r="V13065" s="42" t="s">
        <v>113</v>
      </c>
      <c r="W13065" s="42">
        <v>28439.82</v>
      </c>
      <c r="X13065" s="42">
        <v>28439.82</v>
      </c>
    </row>
    <row r="13066" spans="1:24">
      <c r="A13066" s="27" t="s">
        <v>23415</v>
      </c>
      <c r="B13066" s="28" t="s">
        <v>19918</v>
      </c>
      <c r="C13066" s="27" t="s">
        <v>20810</v>
      </c>
      <c r="D13066" s="27" t="s">
        <v>17558</v>
      </c>
      <c r="E13066" s="29">
        <v>39692</v>
      </c>
      <c r="F13066" s="27">
        <v>8</v>
      </c>
      <c r="G13066" s="18">
        <v>28439.82</v>
      </c>
      <c r="H13066" s="27">
        <f t="shared" si="408"/>
        <v>28439.82</v>
      </c>
      <c r="I13066" s="18">
        <v>27017.83</v>
      </c>
      <c r="J13066" s="27">
        <v>28439.82</v>
      </c>
      <c r="K13066" s="18">
        <f t="shared" si="409"/>
        <v>28439.82</v>
      </c>
      <c r="L13066" s="27">
        <v>27017.83</v>
      </c>
      <c r="M13066" s="36">
        <v>0</v>
      </c>
      <c r="T13066" s="41">
        <v>0</v>
      </c>
      <c r="U13066" s="41">
        <v>0</v>
      </c>
      <c r="V13066" s="42" t="s">
        <v>113</v>
      </c>
      <c r="W13066" s="42">
        <v>28439.82</v>
      </c>
      <c r="X13066" s="42">
        <v>28439.82</v>
      </c>
    </row>
    <row r="13067" spans="1:24">
      <c r="A13067" s="27" t="s">
        <v>23416</v>
      </c>
      <c r="B13067" s="28" t="s">
        <v>19918</v>
      </c>
      <c r="C13067" s="27" t="s">
        <v>2167</v>
      </c>
      <c r="D13067" s="27" t="s">
        <v>17558</v>
      </c>
      <c r="E13067" s="29">
        <v>39692</v>
      </c>
      <c r="F13067" s="27">
        <v>8</v>
      </c>
      <c r="G13067" s="18">
        <v>28439.82</v>
      </c>
      <c r="H13067" s="27">
        <f t="shared" si="408"/>
        <v>28439.82</v>
      </c>
      <c r="I13067" s="18">
        <v>27017.83</v>
      </c>
      <c r="J13067" s="27">
        <v>28439.82</v>
      </c>
      <c r="K13067" s="18">
        <f t="shared" si="409"/>
        <v>28439.82</v>
      </c>
      <c r="L13067" s="27">
        <v>27017.83</v>
      </c>
      <c r="M13067" s="36">
        <v>0</v>
      </c>
      <c r="T13067" s="41">
        <v>0</v>
      </c>
      <c r="U13067" s="41">
        <v>0</v>
      </c>
      <c r="V13067" s="42" t="s">
        <v>113</v>
      </c>
      <c r="W13067" s="42">
        <v>28439.82</v>
      </c>
      <c r="X13067" s="42">
        <v>28439.82</v>
      </c>
    </row>
    <row r="13068" spans="1:24">
      <c r="A13068" s="27" t="s">
        <v>23417</v>
      </c>
      <c r="B13068" s="28" t="s">
        <v>19918</v>
      </c>
      <c r="C13068" s="27" t="s">
        <v>23418</v>
      </c>
      <c r="D13068" s="27" t="s">
        <v>118</v>
      </c>
      <c r="E13068" s="29">
        <v>40084</v>
      </c>
      <c r="F13068" s="27">
        <v>8</v>
      </c>
      <c r="G13068" s="18">
        <v>16892.45</v>
      </c>
      <c r="H13068" s="27">
        <f t="shared" si="408"/>
        <v>16892.45</v>
      </c>
      <c r="I13068" s="18">
        <v>16047.83</v>
      </c>
      <c r="J13068" s="27">
        <v>16892.45</v>
      </c>
      <c r="K13068" s="18">
        <f t="shared" si="409"/>
        <v>16892.45</v>
      </c>
      <c r="L13068" s="27">
        <v>16047.83</v>
      </c>
      <c r="M13068" s="36">
        <v>0</v>
      </c>
      <c r="T13068" s="41">
        <v>0</v>
      </c>
      <c r="U13068" s="41">
        <v>0</v>
      </c>
      <c r="V13068" s="42" t="s">
        <v>113</v>
      </c>
      <c r="W13068" s="42">
        <v>16892.45</v>
      </c>
      <c r="X13068" s="42">
        <v>16892.45</v>
      </c>
    </row>
    <row r="13069" spans="1:24">
      <c r="A13069" s="27" t="s">
        <v>23419</v>
      </c>
      <c r="B13069" s="28" t="s">
        <v>19918</v>
      </c>
      <c r="C13069" s="27" t="s">
        <v>23420</v>
      </c>
      <c r="D13069" s="27" t="s">
        <v>118</v>
      </c>
      <c r="E13069" s="29">
        <v>40084</v>
      </c>
      <c r="F13069" s="27">
        <v>8</v>
      </c>
      <c r="G13069" s="18">
        <v>16892.45</v>
      </c>
      <c r="H13069" s="27">
        <f t="shared" si="408"/>
        <v>16892.45</v>
      </c>
      <c r="I13069" s="18">
        <v>16047.83</v>
      </c>
      <c r="J13069" s="27">
        <v>16892.45</v>
      </c>
      <c r="K13069" s="18">
        <f t="shared" si="409"/>
        <v>16892.45</v>
      </c>
      <c r="L13069" s="27">
        <v>16047.83</v>
      </c>
      <c r="M13069" s="36">
        <v>0</v>
      </c>
      <c r="T13069" s="41">
        <v>0</v>
      </c>
      <c r="U13069" s="41">
        <v>0</v>
      </c>
      <c r="V13069" s="42" t="s">
        <v>113</v>
      </c>
      <c r="W13069" s="42">
        <v>16892.45</v>
      </c>
      <c r="X13069" s="42">
        <v>16892.45</v>
      </c>
    </row>
    <row r="13070" spans="1:24">
      <c r="A13070" s="27" t="s">
        <v>23421</v>
      </c>
      <c r="B13070" s="28" t="s">
        <v>19918</v>
      </c>
      <c r="C13070" s="27" t="s">
        <v>20774</v>
      </c>
      <c r="D13070" s="27" t="s">
        <v>17578</v>
      </c>
      <c r="E13070" s="29">
        <v>40170</v>
      </c>
      <c r="F13070" s="27">
        <v>8</v>
      </c>
      <c r="G13070" s="18">
        <v>29135.98</v>
      </c>
      <c r="H13070" s="27">
        <f t="shared" si="408"/>
        <v>29135.98</v>
      </c>
      <c r="I13070" s="18">
        <v>27679.18</v>
      </c>
      <c r="J13070" s="27">
        <v>29135.98</v>
      </c>
      <c r="K13070" s="18">
        <f t="shared" si="409"/>
        <v>29135.98</v>
      </c>
      <c r="L13070" s="27">
        <v>27679.18</v>
      </c>
      <c r="M13070" s="36">
        <v>0</v>
      </c>
      <c r="T13070" s="41">
        <v>0</v>
      </c>
      <c r="U13070" s="41">
        <v>0</v>
      </c>
      <c r="V13070" s="42" t="s">
        <v>113</v>
      </c>
      <c r="W13070" s="42">
        <v>29135.98</v>
      </c>
      <c r="X13070" s="42">
        <v>29135.98</v>
      </c>
    </row>
    <row r="13071" spans="1:24">
      <c r="A13071" s="27" t="s">
        <v>23422</v>
      </c>
      <c r="B13071" s="28" t="s">
        <v>19918</v>
      </c>
      <c r="C13071" s="27" t="s">
        <v>23423</v>
      </c>
      <c r="D13071" s="27" t="s">
        <v>17578</v>
      </c>
      <c r="E13071" s="29">
        <v>40170</v>
      </c>
      <c r="F13071" s="27">
        <v>8</v>
      </c>
      <c r="G13071" s="18">
        <v>39229</v>
      </c>
      <c r="H13071" s="27">
        <f t="shared" si="408"/>
        <v>39229</v>
      </c>
      <c r="I13071" s="18">
        <v>37267.54</v>
      </c>
      <c r="J13071" s="27">
        <v>39229</v>
      </c>
      <c r="K13071" s="18">
        <f t="shared" si="409"/>
        <v>39229</v>
      </c>
      <c r="L13071" s="27">
        <v>37267.54</v>
      </c>
      <c r="M13071" s="36">
        <v>0</v>
      </c>
      <c r="T13071" s="41">
        <v>0</v>
      </c>
      <c r="U13071" s="41">
        <v>0</v>
      </c>
      <c r="V13071" s="42" t="s">
        <v>113</v>
      </c>
      <c r="W13071" s="42">
        <v>39229</v>
      </c>
      <c r="X13071" s="42">
        <v>39229</v>
      </c>
    </row>
    <row r="13072" spans="1:24">
      <c r="A13072" s="27" t="s">
        <v>23424</v>
      </c>
      <c r="B13072" s="28" t="s">
        <v>19918</v>
      </c>
      <c r="C13072" s="27" t="s">
        <v>23425</v>
      </c>
      <c r="D13072" s="27" t="s">
        <v>17578</v>
      </c>
      <c r="E13072" s="29">
        <v>40170</v>
      </c>
      <c r="F13072" s="27">
        <v>8</v>
      </c>
      <c r="G13072" s="18">
        <v>39229</v>
      </c>
      <c r="H13072" s="27">
        <f t="shared" si="408"/>
        <v>39229</v>
      </c>
      <c r="I13072" s="18">
        <v>37267.550000000003</v>
      </c>
      <c r="J13072" s="27">
        <v>39229</v>
      </c>
      <c r="K13072" s="18">
        <f t="shared" si="409"/>
        <v>39229</v>
      </c>
      <c r="L13072" s="27">
        <v>37267.550000000003</v>
      </c>
      <c r="M13072" s="36">
        <v>0</v>
      </c>
      <c r="T13072" s="41">
        <v>0</v>
      </c>
      <c r="U13072" s="41">
        <v>0</v>
      </c>
      <c r="V13072" s="42" t="s">
        <v>113</v>
      </c>
      <c r="W13072" s="42">
        <v>39229</v>
      </c>
      <c r="X13072" s="42">
        <v>39229</v>
      </c>
    </row>
    <row r="13073" spans="1:24">
      <c r="A13073" s="27" t="s">
        <v>23426</v>
      </c>
      <c r="B13073" s="28" t="s">
        <v>19918</v>
      </c>
      <c r="C13073" s="27" t="s">
        <v>23427</v>
      </c>
      <c r="D13073" s="27" t="s">
        <v>118</v>
      </c>
      <c r="E13073" s="29">
        <v>40170</v>
      </c>
      <c r="F13073" s="27">
        <v>8</v>
      </c>
      <c r="G13073" s="18">
        <v>41579.5</v>
      </c>
      <c r="H13073" s="27">
        <f t="shared" si="408"/>
        <v>41579.5</v>
      </c>
      <c r="I13073" s="18">
        <v>39500.519999999997</v>
      </c>
      <c r="J13073" s="27">
        <v>41579.5</v>
      </c>
      <c r="K13073" s="18">
        <f t="shared" si="409"/>
        <v>41579.5</v>
      </c>
      <c r="L13073" s="27">
        <v>39500.519999999997</v>
      </c>
      <c r="M13073" s="36">
        <v>0</v>
      </c>
      <c r="T13073" s="41">
        <v>0</v>
      </c>
      <c r="U13073" s="41">
        <v>0</v>
      </c>
      <c r="V13073" s="42" t="s">
        <v>113</v>
      </c>
      <c r="W13073" s="42">
        <v>41579.5</v>
      </c>
      <c r="X13073" s="42">
        <v>41579.5</v>
      </c>
    </row>
    <row r="13074" spans="1:24">
      <c r="A13074" s="27" t="s">
        <v>23428</v>
      </c>
      <c r="B13074" s="28" t="s">
        <v>19918</v>
      </c>
      <c r="C13074" s="27" t="s">
        <v>23429</v>
      </c>
      <c r="D13074" s="27" t="s">
        <v>17558</v>
      </c>
      <c r="E13074" s="29">
        <v>36900</v>
      </c>
      <c r="F13074" s="27">
        <v>5</v>
      </c>
      <c r="G13074" s="18">
        <v>618420.92000000004</v>
      </c>
      <c r="H13074" s="27">
        <f t="shared" si="408"/>
        <v>618420.92000000004</v>
      </c>
      <c r="I13074" s="18">
        <v>587499.87</v>
      </c>
      <c r="J13074" s="27">
        <v>618420.92000000004</v>
      </c>
      <c r="K13074" s="18">
        <f t="shared" si="409"/>
        <v>618420.92000000004</v>
      </c>
      <c r="L13074" s="27">
        <v>587499.87</v>
      </c>
      <c r="M13074" s="36">
        <v>0</v>
      </c>
      <c r="T13074" s="41">
        <v>0</v>
      </c>
      <c r="U13074" s="41">
        <v>0</v>
      </c>
      <c r="V13074" s="42" t="s">
        <v>113</v>
      </c>
      <c r="W13074" s="42">
        <v>618420.92000000004</v>
      </c>
      <c r="X13074" s="42">
        <v>618420.92000000004</v>
      </c>
    </row>
    <row r="13075" spans="1:24">
      <c r="A13075" s="27" t="s">
        <v>23430</v>
      </c>
      <c r="B13075" s="28" t="s">
        <v>19918</v>
      </c>
      <c r="C13075" s="27" t="s">
        <v>16577</v>
      </c>
      <c r="D13075" s="27" t="s">
        <v>17558</v>
      </c>
      <c r="E13075" s="29">
        <v>40268</v>
      </c>
      <c r="F13075" s="27">
        <v>8</v>
      </c>
      <c r="G13075" s="18">
        <v>16658.79</v>
      </c>
      <c r="H13075" s="27">
        <f t="shared" si="408"/>
        <v>16658.79</v>
      </c>
      <c r="I13075" s="18">
        <v>15825.85</v>
      </c>
      <c r="J13075" s="27">
        <v>16658.79</v>
      </c>
      <c r="K13075" s="18">
        <f t="shared" si="409"/>
        <v>16658.79</v>
      </c>
      <c r="L13075" s="27">
        <v>15825.85</v>
      </c>
      <c r="M13075" s="36">
        <v>0</v>
      </c>
      <c r="T13075" s="41">
        <v>0</v>
      </c>
      <c r="U13075" s="41">
        <v>0</v>
      </c>
      <c r="V13075" s="42" t="s">
        <v>113</v>
      </c>
      <c r="W13075" s="42">
        <v>16658.79</v>
      </c>
      <c r="X13075" s="42">
        <v>16658.79</v>
      </c>
    </row>
    <row r="13076" spans="1:24">
      <c r="A13076" s="27" t="s">
        <v>23431</v>
      </c>
      <c r="B13076" s="28" t="s">
        <v>19918</v>
      </c>
      <c r="C13076" s="27" t="s">
        <v>23325</v>
      </c>
      <c r="D13076" s="27" t="s">
        <v>17578</v>
      </c>
      <c r="E13076" s="29">
        <v>35309</v>
      </c>
      <c r="F13076" s="27">
        <v>8</v>
      </c>
      <c r="G13076" s="18">
        <v>9351.9500000000007</v>
      </c>
      <c r="H13076" s="27">
        <f t="shared" si="408"/>
        <v>9351.9500000000007</v>
      </c>
      <c r="I13076" s="18">
        <v>8884.35</v>
      </c>
      <c r="J13076" s="27">
        <v>9351.9500000000007</v>
      </c>
      <c r="K13076" s="18">
        <f t="shared" si="409"/>
        <v>9351.9500000000007</v>
      </c>
      <c r="L13076" s="27">
        <v>8884.35</v>
      </c>
      <c r="M13076" s="36">
        <v>0</v>
      </c>
      <c r="T13076" s="41">
        <v>0</v>
      </c>
      <c r="U13076" s="41">
        <v>0</v>
      </c>
      <c r="V13076" s="42" t="s">
        <v>113</v>
      </c>
      <c r="W13076" s="42">
        <v>9351.9500000000007</v>
      </c>
      <c r="X13076" s="42">
        <v>9351.9500000000007</v>
      </c>
    </row>
    <row r="13077" spans="1:24">
      <c r="A13077" s="27" t="s">
        <v>23432</v>
      </c>
      <c r="B13077" s="28" t="s">
        <v>19918</v>
      </c>
      <c r="C13077" s="27" t="s">
        <v>23433</v>
      </c>
      <c r="D13077" s="27" t="s">
        <v>17578</v>
      </c>
      <c r="E13077" s="29">
        <v>40512</v>
      </c>
      <c r="F13077" s="27">
        <v>8</v>
      </c>
      <c r="G13077" s="18">
        <v>90666.54</v>
      </c>
      <c r="H13077" s="27">
        <f t="shared" si="408"/>
        <v>90666.54</v>
      </c>
      <c r="I13077" s="18">
        <v>86133.21</v>
      </c>
      <c r="J13077" s="27">
        <v>90666.54</v>
      </c>
      <c r="K13077" s="18">
        <f t="shared" si="409"/>
        <v>90666.54</v>
      </c>
      <c r="L13077" s="27">
        <v>86133.21</v>
      </c>
      <c r="M13077" s="36">
        <v>0</v>
      </c>
      <c r="T13077" s="41">
        <v>0</v>
      </c>
      <c r="U13077" s="41">
        <v>0</v>
      </c>
      <c r="V13077" s="42" t="s">
        <v>113</v>
      </c>
      <c r="W13077" s="42">
        <v>90666.54</v>
      </c>
      <c r="X13077" s="42">
        <v>90666.54</v>
      </c>
    </row>
    <row r="13078" spans="1:24">
      <c r="A13078" s="27" t="s">
        <v>23434</v>
      </c>
      <c r="B13078" s="28" t="s">
        <v>19918</v>
      </c>
      <c r="C13078" s="27" t="s">
        <v>23435</v>
      </c>
      <c r="D13078" s="27" t="s">
        <v>17558</v>
      </c>
      <c r="E13078" s="29">
        <v>40359</v>
      </c>
      <c r="F13078" s="27">
        <v>8</v>
      </c>
      <c r="G13078" s="18">
        <v>175610.84</v>
      </c>
      <c r="H13078" s="27">
        <f t="shared" si="408"/>
        <v>175610.84</v>
      </c>
      <c r="I13078" s="18">
        <v>166830.29999999999</v>
      </c>
      <c r="J13078" s="27">
        <v>175610.84</v>
      </c>
      <c r="K13078" s="18">
        <f t="shared" si="409"/>
        <v>175610.84</v>
      </c>
      <c r="L13078" s="27">
        <v>166830.29999999999</v>
      </c>
      <c r="M13078" s="36">
        <v>0</v>
      </c>
      <c r="T13078" s="41">
        <v>0</v>
      </c>
      <c r="U13078" s="41">
        <v>0</v>
      </c>
      <c r="V13078" s="42" t="s">
        <v>113</v>
      </c>
      <c r="W13078" s="42">
        <v>175610.84</v>
      </c>
      <c r="X13078" s="42">
        <v>175610.84</v>
      </c>
    </row>
    <row r="13079" spans="1:24">
      <c r="A13079" s="27" t="s">
        <v>23436</v>
      </c>
      <c r="B13079" s="28" t="s">
        <v>19918</v>
      </c>
      <c r="C13079" s="27" t="s">
        <v>19943</v>
      </c>
      <c r="D13079" s="27" t="s">
        <v>17578</v>
      </c>
      <c r="E13079" s="29">
        <v>37287</v>
      </c>
      <c r="F13079" s="27">
        <v>8</v>
      </c>
      <c r="G13079" s="18">
        <v>28550</v>
      </c>
      <c r="H13079" s="27">
        <f t="shared" si="408"/>
        <v>28550</v>
      </c>
      <c r="I13079" s="18">
        <v>27122.5</v>
      </c>
      <c r="J13079" s="27">
        <v>28550</v>
      </c>
      <c r="K13079" s="18">
        <f t="shared" si="409"/>
        <v>28550</v>
      </c>
      <c r="L13079" s="27">
        <v>27122.5</v>
      </c>
      <c r="M13079" s="36">
        <v>0</v>
      </c>
      <c r="T13079" s="41">
        <v>0</v>
      </c>
      <c r="U13079" s="41">
        <v>0</v>
      </c>
      <c r="V13079" s="42" t="s">
        <v>113</v>
      </c>
      <c r="W13079" s="42">
        <v>28550</v>
      </c>
      <c r="X13079" s="42">
        <v>28550</v>
      </c>
    </row>
    <row r="13080" spans="1:24">
      <c r="A13080" s="27" t="s">
        <v>23437</v>
      </c>
      <c r="B13080" s="28" t="s">
        <v>19918</v>
      </c>
      <c r="C13080" s="27" t="s">
        <v>23438</v>
      </c>
      <c r="D13080" s="27" t="s">
        <v>17578</v>
      </c>
      <c r="E13080" s="29">
        <v>37287</v>
      </c>
      <c r="F13080" s="27">
        <v>8</v>
      </c>
      <c r="G13080" s="18">
        <v>28550</v>
      </c>
      <c r="H13080" s="27">
        <f t="shared" si="408"/>
        <v>28550</v>
      </c>
      <c r="I13080" s="18">
        <v>27122.5</v>
      </c>
      <c r="J13080" s="27">
        <v>28550</v>
      </c>
      <c r="K13080" s="18">
        <f t="shared" si="409"/>
        <v>28550</v>
      </c>
      <c r="L13080" s="27">
        <v>27122.5</v>
      </c>
      <c r="M13080" s="36">
        <v>0</v>
      </c>
      <c r="T13080" s="41">
        <v>0</v>
      </c>
      <c r="U13080" s="41">
        <v>0</v>
      </c>
      <c r="V13080" s="42" t="s">
        <v>113</v>
      </c>
      <c r="W13080" s="42">
        <v>28550</v>
      </c>
      <c r="X13080" s="42">
        <v>28550</v>
      </c>
    </row>
    <row r="13081" spans="1:24">
      <c r="A13081" s="27" t="s">
        <v>23439</v>
      </c>
      <c r="B13081" s="28" t="s">
        <v>19918</v>
      </c>
      <c r="C13081" s="27" t="s">
        <v>23440</v>
      </c>
      <c r="D13081" s="27" t="s">
        <v>17578</v>
      </c>
      <c r="E13081" s="29">
        <v>37287</v>
      </c>
      <c r="F13081" s="27">
        <v>8</v>
      </c>
      <c r="G13081" s="18">
        <v>28550</v>
      </c>
      <c r="H13081" s="27">
        <f t="shared" si="408"/>
        <v>28550</v>
      </c>
      <c r="I13081" s="18">
        <v>27122.5</v>
      </c>
      <c r="J13081" s="27">
        <v>28550</v>
      </c>
      <c r="K13081" s="18">
        <f t="shared" si="409"/>
        <v>28550</v>
      </c>
      <c r="L13081" s="27">
        <v>27122.5</v>
      </c>
      <c r="M13081" s="36">
        <v>0</v>
      </c>
      <c r="T13081" s="41">
        <v>0</v>
      </c>
      <c r="U13081" s="41">
        <v>0</v>
      </c>
      <c r="V13081" s="42" t="s">
        <v>113</v>
      </c>
      <c r="W13081" s="42">
        <v>28550</v>
      </c>
      <c r="X13081" s="42">
        <v>28550</v>
      </c>
    </row>
    <row r="13082" spans="1:24">
      <c r="A13082" s="27" t="s">
        <v>23441</v>
      </c>
      <c r="B13082" s="28" t="s">
        <v>19918</v>
      </c>
      <c r="C13082" s="27" t="s">
        <v>23442</v>
      </c>
      <c r="D13082" s="27" t="s">
        <v>17578</v>
      </c>
      <c r="E13082" s="29">
        <v>37287</v>
      </c>
      <c r="F13082" s="27">
        <v>8</v>
      </c>
      <c r="G13082" s="18">
        <v>28550</v>
      </c>
      <c r="H13082" s="27">
        <f t="shared" si="408"/>
        <v>28550</v>
      </c>
      <c r="I13082" s="18">
        <v>27122.5</v>
      </c>
      <c r="J13082" s="27">
        <v>28550</v>
      </c>
      <c r="K13082" s="18">
        <f t="shared" si="409"/>
        <v>28550</v>
      </c>
      <c r="L13082" s="27">
        <v>27122.5</v>
      </c>
      <c r="M13082" s="36">
        <v>0</v>
      </c>
      <c r="T13082" s="41">
        <v>0</v>
      </c>
      <c r="U13082" s="41">
        <v>0</v>
      </c>
      <c r="V13082" s="42" t="s">
        <v>113</v>
      </c>
      <c r="W13082" s="42">
        <v>28550</v>
      </c>
      <c r="X13082" s="42">
        <v>28550</v>
      </c>
    </row>
    <row r="13083" spans="1:24">
      <c r="A13083" s="27" t="s">
        <v>23443</v>
      </c>
      <c r="B13083" s="28" t="s">
        <v>19918</v>
      </c>
      <c r="C13083" s="27" t="s">
        <v>20918</v>
      </c>
      <c r="D13083" s="27" t="s">
        <v>17578</v>
      </c>
      <c r="E13083" s="29">
        <v>37287</v>
      </c>
      <c r="F13083" s="27">
        <v>8</v>
      </c>
      <c r="G13083" s="18">
        <v>28320</v>
      </c>
      <c r="H13083" s="27">
        <f t="shared" si="408"/>
        <v>28320</v>
      </c>
      <c r="I13083" s="18">
        <v>26904</v>
      </c>
      <c r="J13083" s="27">
        <v>28320</v>
      </c>
      <c r="K13083" s="18">
        <f t="shared" si="409"/>
        <v>28320</v>
      </c>
      <c r="L13083" s="27">
        <v>26904</v>
      </c>
      <c r="M13083" s="36">
        <v>0</v>
      </c>
      <c r="T13083" s="41">
        <v>0</v>
      </c>
      <c r="U13083" s="41">
        <v>0</v>
      </c>
      <c r="V13083" s="42" t="s">
        <v>113</v>
      </c>
      <c r="W13083" s="42">
        <v>28320</v>
      </c>
      <c r="X13083" s="42">
        <v>28320</v>
      </c>
    </row>
    <row r="13084" spans="1:24">
      <c r="A13084" s="27" t="s">
        <v>23444</v>
      </c>
      <c r="B13084" s="28" t="s">
        <v>19918</v>
      </c>
      <c r="C13084" s="27" t="s">
        <v>20920</v>
      </c>
      <c r="D13084" s="27" t="s">
        <v>17578</v>
      </c>
      <c r="E13084" s="29">
        <v>37287</v>
      </c>
      <c r="F13084" s="27">
        <v>8</v>
      </c>
      <c r="G13084" s="18">
        <v>28320</v>
      </c>
      <c r="H13084" s="27">
        <f t="shared" si="408"/>
        <v>28320</v>
      </c>
      <c r="I13084" s="18">
        <v>26904</v>
      </c>
      <c r="J13084" s="27">
        <v>28320</v>
      </c>
      <c r="K13084" s="18">
        <f t="shared" si="409"/>
        <v>28320</v>
      </c>
      <c r="L13084" s="27">
        <v>26904</v>
      </c>
      <c r="M13084" s="36">
        <v>0</v>
      </c>
      <c r="T13084" s="41">
        <v>0</v>
      </c>
      <c r="U13084" s="41">
        <v>0</v>
      </c>
      <c r="V13084" s="42" t="s">
        <v>113</v>
      </c>
      <c r="W13084" s="42">
        <v>28320</v>
      </c>
      <c r="X13084" s="42">
        <v>28320</v>
      </c>
    </row>
    <row r="13085" spans="1:24">
      <c r="A13085" s="27" t="s">
        <v>23445</v>
      </c>
      <c r="B13085" s="28" t="s">
        <v>19918</v>
      </c>
      <c r="C13085" s="27" t="s">
        <v>23446</v>
      </c>
      <c r="D13085" s="27" t="s">
        <v>17578</v>
      </c>
      <c r="E13085" s="29">
        <v>37287</v>
      </c>
      <c r="F13085" s="27">
        <v>8</v>
      </c>
      <c r="G13085" s="18">
        <v>28320</v>
      </c>
      <c r="H13085" s="27">
        <f t="shared" si="408"/>
        <v>28320</v>
      </c>
      <c r="I13085" s="18">
        <v>26904</v>
      </c>
      <c r="J13085" s="27">
        <v>28320</v>
      </c>
      <c r="K13085" s="18">
        <f t="shared" si="409"/>
        <v>28320</v>
      </c>
      <c r="L13085" s="27">
        <v>26904</v>
      </c>
      <c r="M13085" s="36">
        <v>0</v>
      </c>
      <c r="T13085" s="41">
        <v>0</v>
      </c>
      <c r="U13085" s="41">
        <v>0</v>
      </c>
      <c r="V13085" s="42" t="s">
        <v>113</v>
      </c>
      <c r="W13085" s="42">
        <v>28320</v>
      </c>
      <c r="X13085" s="42">
        <v>28320</v>
      </c>
    </row>
    <row r="13086" spans="1:24">
      <c r="A13086" s="27" t="s">
        <v>23447</v>
      </c>
      <c r="B13086" s="28" t="s">
        <v>19918</v>
      </c>
      <c r="C13086" s="27" t="s">
        <v>23448</v>
      </c>
      <c r="D13086" s="27" t="s">
        <v>17578</v>
      </c>
      <c r="E13086" s="29">
        <v>37287</v>
      </c>
      <c r="F13086" s="27">
        <v>8</v>
      </c>
      <c r="G13086" s="18">
        <v>28320</v>
      </c>
      <c r="H13086" s="27">
        <f t="shared" si="408"/>
        <v>28320</v>
      </c>
      <c r="I13086" s="18">
        <v>26904</v>
      </c>
      <c r="J13086" s="27">
        <v>28320</v>
      </c>
      <c r="K13086" s="18">
        <f t="shared" si="409"/>
        <v>28320</v>
      </c>
      <c r="L13086" s="27">
        <v>26904</v>
      </c>
      <c r="M13086" s="36">
        <v>0</v>
      </c>
      <c r="T13086" s="41">
        <v>0</v>
      </c>
      <c r="U13086" s="41">
        <v>0</v>
      </c>
      <c r="V13086" s="42" t="s">
        <v>113</v>
      </c>
      <c r="W13086" s="42">
        <v>28320</v>
      </c>
      <c r="X13086" s="42">
        <v>28320</v>
      </c>
    </row>
    <row r="13087" spans="1:24">
      <c r="A13087" s="27" t="s">
        <v>23449</v>
      </c>
      <c r="B13087" s="28" t="s">
        <v>19918</v>
      </c>
      <c r="C13087" s="27" t="s">
        <v>19929</v>
      </c>
      <c r="D13087" s="27" t="s">
        <v>17578</v>
      </c>
      <c r="E13087" s="29">
        <v>37287</v>
      </c>
      <c r="F13087" s="27">
        <v>8</v>
      </c>
      <c r="G13087" s="18">
        <v>88320</v>
      </c>
      <c r="H13087" s="27">
        <f t="shared" si="408"/>
        <v>88320</v>
      </c>
      <c r="I13087" s="18">
        <v>83904</v>
      </c>
      <c r="J13087" s="27">
        <v>88320</v>
      </c>
      <c r="K13087" s="18">
        <f t="shared" si="409"/>
        <v>88320</v>
      </c>
      <c r="L13087" s="27">
        <v>83904</v>
      </c>
      <c r="M13087" s="36">
        <v>0</v>
      </c>
      <c r="T13087" s="41">
        <v>0</v>
      </c>
      <c r="U13087" s="41">
        <v>0</v>
      </c>
      <c r="V13087" s="42" t="s">
        <v>113</v>
      </c>
      <c r="W13087" s="42">
        <v>88320</v>
      </c>
      <c r="X13087" s="42">
        <v>88320</v>
      </c>
    </row>
    <row r="13088" spans="1:24">
      <c r="A13088" s="27" t="s">
        <v>23450</v>
      </c>
      <c r="B13088" s="28" t="s">
        <v>19918</v>
      </c>
      <c r="C13088" s="27" t="s">
        <v>20962</v>
      </c>
      <c r="D13088" s="27" t="s">
        <v>17578</v>
      </c>
      <c r="E13088" s="29">
        <v>37287</v>
      </c>
      <c r="F13088" s="27">
        <v>8</v>
      </c>
      <c r="G13088" s="18">
        <v>28550</v>
      </c>
      <c r="H13088" s="27">
        <f t="shared" si="408"/>
        <v>28550</v>
      </c>
      <c r="I13088" s="18">
        <v>27122.5</v>
      </c>
      <c r="J13088" s="27">
        <v>28550</v>
      </c>
      <c r="K13088" s="18">
        <f t="shared" si="409"/>
        <v>28550</v>
      </c>
      <c r="L13088" s="27">
        <v>27122.5</v>
      </c>
      <c r="M13088" s="36">
        <v>0</v>
      </c>
      <c r="T13088" s="41">
        <v>0</v>
      </c>
      <c r="U13088" s="41">
        <v>0</v>
      </c>
      <c r="V13088" s="42" t="s">
        <v>113</v>
      </c>
      <c r="W13088" s="42">
        <v>28550</v>
      </c>
      <c r="X13088" s="42">
        <v>28550</v>
      </c>
    </row>
    <row r="13089" spans="1:24">
      <c r="A13089" s="27" t="s">
        <v>23451</v>
      </c>
      <c r="B13089" s="28" t="s">
        <v>19918</v>
      </c>
      <c r="C13089" s="27" t="s">
        <v>20924</v>
      </c>
      <c r="D13089" s="27" t="s">
        <v>17578</v>
      </c>
      <c r="E13089" s="29">
        <v>37287</v>
      </c>
      <c r="F13089" s="27">
        <v>8</v>
      </c>
      <c r="G13089" s="18">
        <v>28550</v>
      </c>
      <c r="H13089" s="27">
        <f t="shared" si="408"/>
        <v>28550</v>
      </c>
      <c r="I13089" s="18">
        <v>27122.5</v>
      </c>
      <c r="J13089" s="27">
        <v>28550</v>
      </c>
      <c r="K13089" s="18">
        <f t="shared" si="409"/>
        <v>28550</v>
      </c>
      <c r="L13089" s="27">
        <v>27122.5</v>
      </c>
      <c r="M13089" s="36">
        <v>0</v>
      </c>
      <c r="T13089" s="41">
        <v>0</v>
      </c>
      <c r="U13089" s="41">
        <v>0</v>
      </c>
      <c r="V13089" s="42" t="s">
        <v>113</v>
      </c>
      <c r="W13089" s="42">
        <v>28550</v>
      </c>
      <c r="X13089" s="42">
        <v>28550</v>
      </c>
    </row>
    <row r="13090" spans="1:24">
      <c r="A13090" s="27" t="s">
        <v>23452</v>
      </c>
      <c r="B13090" s="28" t="s">
        <v>19918</v>
      </c>
      <c r="C13090" s="27" t="s">
        <v>19952</v>
      </c>
      <c r="D13090" s="27" t="s">
        <v>17578</v>
      </c>
      <c r="E13090" s="29">
        <v>37287</v>
      </c>
      <c r="F13090" s="27">
        <v>8</v>
      </c>
      <c r="G13090" s="18">
        <v>28550</v>
      </c>
      <c r="H13090" s="27">
        <f t="shared" si="408"/>
        <v>28550</v>
      </c>
      <c r="I13090" s="18">
        <v>27122.5</v>
      </c>
      <c r="J13090" s="27">
        <v>28550</v>
      </c>
      <c r="K13090" s="18">
        <f t="shared" si="409"/>
        <v>28550</v>
      </c>
      <c r="L13090" s="27">
        <v>27122.5</v>
      </c>
      <c r="M13090" s="36">
        <v>0</v>
      </c>
      <c r="T13090" s="41">
        <v>0</v>
      </c>
      <c r="U13090" s="41">
        <v>0</v>
      </c>
      <c r="V13090" s="42" t="s">
        <v>113</v>
      </c>
      <c r="W13090" s="42">
        <v>28550</v>
      </c>
      <c r="X13090" s="42">
        <v>28550</v>
      </c>
    </row>
    <row r="13091" spans="1:24">
      <c r="A13091" s="27" t="s">
        <v>23453</v>
      </c>
      <c r="B13091" s="28" t="s">
        <v>19918</v>
      </c>
      <c r="C13091" s="27" t="s">
        <v>23454</v>
      </c>
      <c r="D13091" s="27" t="s">
        <v>17578</v>
      </c>
      <c r="E13091" s="29">
        <v>39692</v>
      </c>
      <c r="F13091" s="27">
        <v>8</v>
      </c>
      <c r="G13091" s="18">
        <v>35232.65</v>
      </c>
      <c r="H13091" s="27">
        <f t="shared" si="408"/>
        <v>35232.65</v>
      </c>
      <c r="I13091" s="18">
        <v>33471.019999999997</v>
      </c>
      <c r="J13091" s="27">
        <v>35232.65</v>
      </c>
      <c r="K13091" s="18">
        <f t="shared" si="409"/>
        <v>35232.65</v>
      </c>
      <c r="L13091" s="27">
        <v>33471.019999999997</v>
      </c>
      <c r="M13091" s="36">
        <v>0</v>
      </c>
      <c r="T13091" s="41">
        <v>0</v>
      </c>
      <c r="U13091" s="41">
        <v>0</v>
      </c>
      <c r="V13091" s="42" t="s">
        <v>113</v>
      </c>
      <c r="W13091" s="42">
        <v>35232.65</v>
      </c>
      <c r="X13091" s="42">
        <v>35232.65</v>
      </c>
    </row>
    <row r="13092" spans="1:24">
      <c r="A13092" s="27" t="s">
        <v>23455</v>
      </c>
      <c r="B13092" s="28" t="s">
        <v>19918</v>
      </c>
      <c r="C13092" s="27" t="s">
        <v>23456</v>
      </c>
      <c r="D13092" s="27" t="s">
        <v>17578</v>
      </c>
      <c r="E13092" s="29">
        <v>40268</v>
      </c>
      <c r="F13092" s="27">
        <v>8</v>
      </c>
      <c r="G13092" s="18">
        <v>24581.85</v>
      </c>
      <c r="H13092" s="27">
        <f t="shared" si="408"/>
        <v>24581.85</v>
      </c>
      <c r="I13092" s="18">
        <v>23352.76</v>
      </c>
      <c r="J13092" s="27">
        <v>24581.85</v>
      </c>
      <c r="K13092" s="18">
        <f t="shared" si="409"/>
        <v>24581.85</v>
      </c>
      <c r="L13092" s="27">
        <v>23352.76</v>
      </c>
      <c r="M13092" s="36">
        <v>0</v>
      </c>
      <c r="T13092" s="41">
        <v>0</v>
      </c>
      <c r="U13092" s="41">
        <v>0</v>
      </c>
      <c r="V13092" s="42" t="s">
        <v>113</v>
      </c>
      <c r="W13092" s="42">
        <v>24581.85</v>
      </c>
      <c r="X13092" s="42">
        <v>24581.85</v>
      </c>
    </row>
    <row r="13093" spans="1:24">
      <c r="A13093" s="27" t="s">
        <v>23457</v>
      </c>
      <c r="B13093" s="28" t="s">
        <v>19918</v>
      </c>
      <c r="C13093" s="27" t="s">
        <v>20893</v>
      </c>
      <c r="D13093" s="27" t="s">
        <v>17578</v>
      </c>
      <c r="E13093" s="29">
        <v>40156</v>
      </c>
      <c r="F13093" s="27">
        <v>8</v>
      </c>
      <c r="G13093" s="18">
        <v>7500</v>
      </c>
      <c r="H13093" s="27">
        <f t="shared" si="408"/>
        <v>7500</v>
      </c>
      <c r="I13093" s="18">
        <v>7125</v>
      </c>
      <c r="J13093" s="27">
        <v>7500</v>
      </c>
      <c r="K13093" s="18">
        <f t="shared" si="409"/>
        <v>7500</v>
      </c>
      <c r="L13093" s="27">
        <v>7125</v>
      </c>
      <c r="M13093" s="36">
        <v>0</v>
      </c>
      <c r="T13093" s="41">
        <v>0</v>
      </c>
      <c r="U13093" s="41">
        <v>0</v>
      </c>
      <c r="V13093" s="42" t="s">
        <v>113</v>
      </c>
      <c r="W13093" s="42">
        <v>7500</v>
      </c>
      <c r="X13093" s="42">
        <v>7500</v>
      </c>
    </row>
    <row r="13094" spans="1:24">
      <c r="A13094" s="27" t="s">
        <v>23458</v>
      </c>
      <c r="B13094" s="28" t="s">
        <v>19918</v>
      </c>
      <c r="C13094" s="27" t="s">
        <v>23459</v>
      </c>
      <c r="D13094" s="27" t="s">
        <v>17578</v>
      </c>
      <c r="E13094" s="29">
        <v>40156</v>
      </c>
      <c r="F13094" s="27">
        <v>8</v>
      </c>
      <c r="G13094" s="18">
        <v>7500</v>
      </c>
      <c r="H13094" s="27">
        <f t="shared" si="408"/>
        <v>7500</v>
      </c>
      <c r="I13094" s="18">
        <v>7125</v>
      </c>
      <c r="J13094" s="27">
        <v>7500</v>
      </c>
      <c r="K13094" s="18">
        <f t="shared" si="409"/>
        <v>7500</v>
      </c>
      <c r="L13094" s="27">
        <v>7125</v>
      </c>
      <c r="M13094" s="36">
        <v>0</v>
      </c>
      <c r="T13094" s="41">
        <v>0</v>
      </c>
      <c r="U13094" s="41">
        <v>0</v>
      </c>
      <c r="V13094" s="42" t="s">
        <v>113</v>
      </c>
      <c r="W13094" s="42">
        <v>7500</v>
      </c>
      <c r="X13094" s="42">
        <v>7500</v>
      </c>
    </row>
    <row r="13095" spans="1:24">
      <c r="A13095" s="27" t="s">
        <v>23460</v>
      </c>
      <c r="B13095" s="28" t="s">
        <v>19918</v>
      </c>
      <c r="C13095" s="27" t="s">
        <v>23461</v>
      </c>
      <c r="D13095" s="27" t="s">
        <v>17578</v>
      </c>
      <c r="E13095" s="29">
        <v>41272</v>
      </c>
      <c r="F13095" s="27">
        <v>8</v>
      </c>
      <c r="G13095" s="18">
        <v>31545.66</v>
      </c>
      <c r="H13095" s="27">
        <f t="shared" si="408"/>
        <v>31545.66</v>
      </c>
      <c r="I13095" s="18">
        <v>31545.66</v>
      </c>
      <c r="J13095" s="27">
        <v>31545.66</v>
      </c>
      <c r="K13095" s="18">
        <f t="shared" si="409"/>
        <v>31545.66</v>
      </c>
      <c r="L13095" s="27">
        <v>29968.38</v>
      </c>
      <c r="M13095" s="36">
        <v>-1577.28</v>
      </c>
      <c r="T13095" s="41">
        <v>0</v>
      </c>
      <c r="U13095" s="41">
        <v>0</v>
      </c>
      <c r="V13095" s="42" t="s">
        <v>113</v>
      </c>
      <c r="W13095" s="42">
        <v>31545.66</v>
      </c>
      <c r="X13095" s="42">
        <v>31545.66</v>
      </c>
    </row>
    <row r="13096" spans="1:24">
      <c r="A13096" s="27" t="s">
        <v>23462</v>
      </c>
      <c r="B13096" s="28" t="s">
        <v>19918</v>
      </c>
      <c r="C13096" s="27" t="s">
        <v>20893</v>
      </c>
      <c r="D13096" s="27" t="s">
        <v>17578</v>
      </c>
      <c r="E13096" s="29">
        <v>41272</v>
      </c>
      <c r="F13096" s="27">
        <v>8</v>
      </c>
      <c r="G13096" s="18">
        <v>31545.66</v>
      </c>
      <c r="H13096" s="27">
        <f t="shared" si="408"/>
        <v>31545.66</v>
      </c>
      <c r="I13096" s="18">
        <v>31545.66</v>
      </c>
      <c r="J13096" s="27">
        <v>31545.66</v>
      </c>
      <c r="K13096" s="18">
        <f t="shared" si="409"/>
        <v>31545.66</v>
      </c>
      <c r="L13096" s="27">
        <v>29968.38</v>
      </c>
      <c r="M13096" s="36">
        <v>-1577.28</v>
      </c>
      <c r="T13096" s="41">
        <v>0</v>
      </c>
      <c r="U13096" s="41">
        <v>0</v>
      </c>
      <c r="V13096" s="42" t="s">
        <v>113</v>
      </c>
      <c r="W13096" s="42">
        <v>31545.66</v>
      </c>
      <c r="X13096" s="42">
        <v>31545.66</v>
      </c>
    </row>
    <row r="13097" spans="1:24">
      <c r="A13097" s="27" t="s">
        <v>23463</v>
      </c>
      <c r="B13097" s="28" t="s">
        <v>19918</v>
      </c>
      <c r="C13097" s="27" t="s">
        <v>23464</v>
      </c>
      <c r="D13097" s="27" t="s">
        <v>17578</v>
      </c>
      <c r="E13097" s="29">
        <v>41182</v>
      </c>
      <c r="F13097" s="27">
        <v>8</v>
      </c>
      <c r="G13097" s="18">
        <v>71430.77</v>
      </c>
      <c r="H13097" s="27">
        <f t="shared" si="408"/>
        <v>0</v>
      </c>
      <c r="I13097" s="18">
        <v>53015.02</v>
      </c>
      <c r="J13097" s="27">
        <v>71430.77</v>
      </c>
      <c r="K13097" s="18">
        <f t="shared" si="409"/>
        <v>0</v>
      </c>
      <c r="L13097" s="27">
        <v>61497.43</v>
      </c>
      <c r="M13097" s="36">
        <v>8482.41</v>
      </c>
      <c r="T13097" s="41">
        <v>0</v>
      </c>
      <c r="U13097" s="41">
        <v>0</v>
      </c>
      <c r="V13097" s="42" t="s">
        <v>113</v>
      </c>
      <c r="W13097" s="42">
        <v>71430.77</v>
      </c>
      <c r="X13097" s="42">
        <v>71430.77</v>
      </c>
    </row>
    <row r="13098" spans="1:24">
      <c r="A13098" s="27" t="s">
        <v>23465</v>
      </c>
      <c r="B13098" s="28" t="s">
        <v>19918</v>
      </c>
      <c r="C13098" s="27" t="s">
        <v>23466</v>
      </c>
      <c r="D13098" s="27" t="s">
        <v>17558</v>
      </c>
      <c r="E13098" s="29">
        <v>41182</v>
      </c>
      <c r="F13098" s="27">
        <v>8</v>
      </c>
      <c r="G13098" s="18">
        <v>225641.04</v>
      </c>
      <c r="H13098" s="27">
        <f t="shared" si="408"/>
        <v>0</v>
      </c>
      <c r="I13098" s="18">
        <v>167467.96</v>
      </c>
      <c r="J13098" s="27">
        <v>225641.04</v>
      </c>
      <c r="K13098" s="18">
        <f t="shared" si="409"/>
        <v>0</v>
      </c>
      <c r="L13098" s="27">
        <v>194262.83</v>
      </c>
      <c r="M13098" s="36">
        <v>26794.87</v>
      </c>
      <c r="T13098" s="41">
        <v>0</v>
      </c>
      <c r="U13098" s="41">
        <v>0</v>
      </c>
      <c r="V13098" s="42" t="s">
        <v>113</v>
      </c>
      <c r="W13098" s="42">
        <v>225641.04</v>
      </c>
      <c r="X13098" s="42">
        <v>225641.04</v>
      </c>
    </row>
    <row r="13099" spans="1:24">
      <c r="A13099" s="27" t="s">
        <v>23467</v>
      </c>
      <c r="B13099" s="28" t="s">
        <v>19918</v>
      </c>
      <c r="C13099" s="27" t="s">
        <v>23468</v>
      </c>
      <c r="D13099" s="27" t="s">
        <v>17578</v>
      </c>
      <c r="E13099" s="29">
        <v>40178</v>
      </c>
      <c r="F13099" s="27">
        <v>8</v>
      </c>
      <c r="G13099" s="18">
        <v>2425</v>
      </c>
      <c r="H13099" s="27">
        <f t="shared" si="408"/>
        <v>2425</v>
      </c>
      <c r="I13099" s="18">
        <v>2425</v>
      </c>
      <c r="J13099" s="27">
        <v>2425</v>
      </c>
      <c r="K13099" s="18">
        <f t="shared" si="409"/>
        <v>2425</v>
      </c>
      <c r="L13099" s="27">
        <v>2425</v>
      </c>
      <c r="M13099" s="36">
        <v>0</v>
      </c>
      <c r="T13099" s="41">
        <v>0</v>
      </c>
      <c r="U13099" s="41">
        <v>0</v>
      </c>
      <c r="V13099" s="42" t="s">
        <v>113</v>
      </c>
      <c r="W13099" s="42">
        <v>2425</v>
      </c>
      <c r="X13099" s="42">
        <v>2425</v>
      </c>
    </row>
    <row r="13100" spans="1:24">
      <c r="A13100" s="27" t="s">
        <v>23469</v>
      </c>
      <c r="B13100" s="28" t="s">
        <v>19918</v>
      </c>
      <c r="C13100" s="27" t="s">
        <v>23470</v>
      </c>
      <c r="D13100" s="27" t="s">
        <v>17578</v>
      </c>
      <c r="E13100" s="29">
        <v>39568</v>
      </c>
      <c r="F13100" s="27">
        <v>8</v>
      </c>
      <c r="G13100" s="18">
        <v>3750</v>
      </c>
      <c r="H13100" s="27">
        <f t="shared" si="408"/>
        <v>3750</v>
      </c>
      <c r="I13100" s="18">
        <v>3750</v>
      </c>
      <c r="J13100" s="27">
        <v>3750</v>
      </c>
      <c r="K13100" s="18">
        <f t="shared" si="409"/>
        <v>3750</v>
      </c>
      <c r="L13100" s="27">
        <v>3750</v>
      </c>
      <c r="M13100" s="36">
        <v>0</v>
      </c>
      <c r="T13100" s="41">
        <v>0</v>
      </c>
      <c r="U13100" s="41">
        <v>0</v>
      </c>
      <c r="V13100" s="42" t="s">
        <v>113</v>
      </c>
      <c r="W13100" s="42">
        <v>3750</v>
      </c>
      <c r="X13100" s="42">
        <v>3750</v>
      </c>
    </row>
    <row r="13101" spans="1:24">
      <c r="A13101" s="27" t="s">
        <v>23471</v>
      </c>
      <c r="B13101" s="28" t="s">
        <v>19918</v>
      </c>
      <c r="C13101" s="27" t="s">
        <v>21895</v>
      </c>
      <c r="D13101" s="27" t="s">
        <v>17578</v>
      </c>
      <c r="E13101" s="29">
        <v>40178</v>
      </c>
      <c r="F13101" s="27">
        <v>8</v>
      </c>
      <c r="G13101" s="18">
        <v>4410</v>
      </c>
      <c r="H13101" s="27">
        <f t="shared" si="408"/>
        <v>4410</v>
      </c>
      <c r="I13101" s="18">
        <v>4410</v>
      </c>
      <c r="J13101" s="27">
        <v>4410</v>
      </c>
      <c r="K13101" s="18">
        <f t="shared" si="409"/>
        <v>4410</v>
      </c>
      <c r="L13101" s="27">
        <v>4410</v>
      </c>
      <c r="M13101" s="36">
        <v>0</v>
      </c>
      <c r="T13101" s="41">
        <v>0</v>
      </c>
      <c r="U13101" s="41">
        <v>0</v>
      </c>
      <c r="V13101" s="42" t="s">
        <v>113</v>
      </c>
      <c r="W13101" s="42">
        <v>4410</v>
      </c>
      <c r="X13101" s="42">
        <v>4410</v>
      </c>
    </row>
    <row r="13102" spans="1:24">
      <c r="A13102" s="27" t="s">
        <v>23472</v>
      </c>
      <c r="B13102" s="28" t="s">
        <v>19918</v>
      </c>
      <c r="C13102" s="27" t="s">
        <v>23473</v>
      </c>
      <c r="D13102" s="27" t="s">
        <v>17578</v>
      </c>
      <c r="E13102" s="29">
        <v>40178</v>
      </c>
      <c r="F13102" s="27">
        <v>8</v>
      </c>
      <c r="G13102" s="18">
        <v>775</v>
      </c>
      <c r="H13102" s="27">
        <f t="shared" si="408"/>
        <v>775</v>
      </c>
      <c r="I13102" s="18">
        <v>775</v>
      </c>
      <c r="J13102" s="27">
        <v>775</v>
      </c>
      <c r="K13102" s="18">
        <f t="shared" si="409"/>
        <v>775</v>
      </c>
      <c r="L13102" s="27">
        <v>775</v>
      </c>
      <c r="M13102" s="36">
        <v>0</v>
      </c>
      <c r="T13102" s="41">
        <v>0</v>
      </c>
      <c r="U13102" s="41">
        <v>0</v>
      </c>
      <c r="V13102" s="42" t="s">
        <v>113</v>
      </c>
      <c r="W13102" s="42">
        <v>775</v>
      </c>
      <c r="X13102" s="42">
        <v>775</v>
      </c>
    </row>
    <row r="13103" spans="1:24">
      <c r="A13103" s="27" t="s">
        <v>23474</v>
      </c>
      <c r="B13103" s="28" t="s">
        <v>19918</v>
      </c>
      <c r="C13103" s="27" t="s">
        <v>21579</v>
      </c>
      <c r="D13103" s="27" t="s">
        <v>17578</v>
      </c>
      <c r="E13103" s="29">
        <v>40178</v>
      </c>
      <c r="F13103" s="27">
        <v>8</v>
      </c>
      <c r="G13103" s="18">
        <v>2205</v>
      </c>
      <c r="H13103" s="27">
        <f t="shared" si="408"/>
        <v>2205</v>
      </c>
      <c r="I13103" s="18">
        <v>2205</v>
      </c>
      <c r="J13103" s="27">
        <v>2205</v>
      </c>
      <c r="K13103" s="18">
        <f t="shared" si="409"/>
        <v>2205</v>
      </c>
      <c r="L13103" s="27">
        <v>2205</v>
      </c>
      <c r="M13103" s="36">
        <v>0</v>
      </c>
      <c r="T13103" s="41">
        <v>0</v>
      </c>
      <c r="U13103" s="41">
        <v>0</v>
      </c>
      <c r="V13103" s="42" t="s">
        <v>113</v>
      </c>
      <c r="W13103" s="42">
        <v>2205</v>
      </c>
      <c r="X13103" s="42">
        <v>2205</v>
      </c>
    </row>
    <row r="13104" spans="1:24">
      <c r="A13104" s="27" t="s">
        <v>23475</v>
      </c>
      <c r="B13104" s="28" t="s">
        <v>19918</v>
      </c>
      <c r="C13104" s="27" t="s">
        <v>23476</v>
      </c>
      <c r="D13104" s="27" t="s">
        <v>17558</v>
      </c>
      <c r="E13104" s="29">
        <v>40543</v>
      </c>
      <c r="F13104" s="27">
        <v>8</v>
      </c>
      <c r="G13104" s="18">
        <v>356954.42</v>
      </c>
      <c r="H13104" s="27">
        <f t="shared" si="408"/>
        <v>356954.42</v>
      </c>
      <c r="I13104" s="18">
        <v>339106.7</v>
      </c>
      <c r="J13104" s="27">
        <v>356954.42</v>
      </c>
      <c r="K13104" s="18">
        <f t="shared" si="409"/>
        <v>356954.42</v>
      </c>
      <c r="L13104" s="27">
        <v>339106.7</v>
      </c>
      <c r="M13104" s="36">
        <v>0</v>
      </c>
      <c r="T13104" s="41">
        <v>0</v>
      </c>
      <c r="U13104" s="41">
        <v>0</v>
      </c>
      <c r="V13104" s="42" t="s">
        <v>113</v>
      </c>
      <c r="W13104" s="42">
        <v>356954.42</v>
      </c>
      <c r="X13104" s="42">
        <v>356954.42</v>
      </c>
    </row>
    <row r="13105" spans="1:24">
      <c r="A13105" s="27" t="s">
        <v>23477</v>
      </c>
      <c r="B13105" s="28" t="s">
        <v>19918</v>
      </c>
      <c r="C13105" s="27" t="s">
        <v>23478</v>
      </c>
      <c r="D13105" s="27" t="s">
        <v>17558</v>
      </c>
      <c r="E13105" s="29">
        <v>40543</v>
      </c>
      <c r="F13105" s="27">
        <v>8</v>
      </c>
      <c r="G13105" s="18">
        <v>356954.42</v>
      </c>
      <c r="H13105" s="27">
        <f t="shared" si="408"/>
        <v>356954.42</v>
      </c>
      <c r="I13105" s="18">
        <v>339106.7</v>
      </c>
      <c r="J13105" s="27">
        <v>356954.42</v>
      </c>
      <c r="K13105" s="18">
        <f t="shared" si="409"/>
        <v>356954.42</v>
      </c>
      <c r="L13105" s="27">
        <v>339106.7</v>
      </c>
      <c r="M13105" s="36">
        <v>0</v>
      </c>
      <c r="T13105" s="41">
        <v>0</v>
      </c>
      <c r="U13105" s="41">
        <v>0</v>
      </c>
      <c r="V13105" s="42" t="s">
        <v>113</v>
      </c>
      <c r="W13105" s="42">
        <v>356954.42</v>
      </c>
      <c r="X13105" s="42">
        <v>356954.42</v>
      </c>
    </row>
    <row r="13106" spans="1:24">
      <c r="A13106" s="27" t="s">
        <v>23479</v>
      </c>
      <c r="B13106" s="28" t="s">
        <v>19918</v>
      </c>
      <c r="C13106" s="27" t="s">
        <v>23480</v>
      </c>
      <c r="D13106" s="27" t="s">
        <v>17558</v>
      </c>
      <c r="E13106" s="29">
        <v>40543</v>
      </c>
      <c r="F13106" s="27">
        <v>8</v>
      </c>
      <c r="G13106" s="18">
        <v>356954.42</v>
      </c>
      <c r="H13106" s="27">
        <f t="shared" si="408"/>
        <v>356954.42</v>
      </c>
      <c r="I13106" s="18">
        <v>339106.7</v>
      </c>
      <c r="J13106" s="27">
        <v>356954.42</v>
      </c>
      <c r="K13106" s="18">
        <f t="shared" si="409"/>
        <v>356954.42</v>
      </c>
      <c r="L13106" s="27">
        <v>339106.7</v>
      </c>
      <c r="M13106" s="36">
        <v>0</v>
      </c>
      <c r="T13106" s="41">
        <v>0</v>
      </c>
      <c r="U13106" s="41">
        <v>0</v>
      </c>
      <c r="V13106" s="42" t="s">
        <v>113</v>
      </c>
      <c r="W13106" s="42">
        <v>356954.42</v>
      </c>
      <c r="X13106" s="42">
        <v>356954.42</v>
      </c>
    </row>
    <row r="13107" spans="1:24">
      <c r="A13107" s="27" t="s">
        <v>23481</v>
      </c>
      <c r="B13107" s="28" t="s">
        <v>19918</v>
      </c>
      <c r="C13107" s="27" t="s">
        <v>23482</v>
      </c>
      <c r="D13107" s="27" t="s">
        <v>17558</v>
      </c>
      <c r="E13107" s="29">
        <v>40543</v>
      </c>
      <c r="F13107" s="27">
        <v>8</v>
      </c>
      <c r="G13107" s="18">
        <v>356954.42</v>
      </c>
      <c r="H13107" s="27">
        <f t="shared" si="408"/>
        <v>356954.42</v>
      </c>
      <c r="I13107" s="18">
        <v>339106.7</v>
      </c>
      <c r="J13107" s="27">
        <v>356954.42</v>
      </c>
      <c r="K13107" s="18">
        <f t="shared" si="409"/>
        <v>356954.42</v>
      </c>
      <c r="L13107" s="27">
        <v>339106.7</v>
      </c>
      <c r="M13107" s="36">
        <v>0</v>
      </c>
      <c r="T13107" s="41">
        <v>0</v>
      </c>
      <c r="U13107" s="41">
        <v>0</v>
      </c>
      <c r="V13107" s="42" t="s">
        <v>113</v>
      </c>
      <c r="W13107" s="42">
        <v>356954.42</v>
      </c>
      <c r="X13107" s="42">
        <v>356954.42</v>
      </c>
    </row>
    <row r="13108" spans="1:24">
      <c r="A13108" s="27" t="s">
        <v>23483</v>
      </c>
      <c r="B13108" s="28" t="s">
        <v>19918</v>
      </c>
      <c r="C13108" s="27" t="s">
        <v>23484</v>
      </c>
      <c r="D13108" s="27" t="s">
        <v>17578</v>
      </c>
      <c r="E13108" s="29">
        <v>41982</v>
      </c>
      <c r="F13108" s="27">
        <v>8</v>
      </c>
      <c r="G13108" s="18">
        <v>90701.04</v>
      </c>
      <c r="H13108" s="27">
        <f t="shared" si="408"/>
        <v>0</v>
      </c>
      <c r="I13108" s="18">
        <v>43083</v>
      </c>
      <c r="J13108" s="27">
        <v>90701.04</v>
      </c>
      <c r="K13108" s="18">
        <f t="shared" si="409"/>
        <v>0</v>
      </c>
      <c r="L13108" s="27">
        <v>53853.75</v>
      </c>
      <c r="M13108" s="36">
        <v>10770.75</v>
      </c>
      <c r="T13108" s="41">
        <v>0</v>
      </c>
      <c r="U13108" s="41">
        <v>0</v>
      </c>
      <c r="V13108" s="42" t="s">
        <v>113</v>
      </c>
      <c r="W13108" s="42">
        <v>0</v>
      </c>
      <c r="X13108" s="42">
        <v>0</v>
      </c>
    </row>
    <row r="13109" spans="1:24">
      <c r="A13109" s="27" t="s">
        <v>23485</v>
      </c>
      <c r="B13109" s="28" t="s">
        <v>19918</v>
      </c>
      <c r="C13109" s="27" t="s">
        <v>23486</v>
      </c>
      <c r="D13109" s="27" t="s">
        <v>17578</v>
      </c>
      <c r="E13109" s="29">
        <v>41982</v>
      </c>
      <c r="F13109" s="27">
        <v>8</v>
      </c>
      <c r="G13109" s="18">
        <v>90701.04</v>
      </c>
      <c r="H13109" s="27">
        <f t="shared" si="408"/>
        <v>0</v>
      </c>
      <c r="I13109" s="18">
        <v>43083</v>
      </c>
      <c r="J13109" s="27">
        <v>90701.04</v>
      </c>
      <c r="K13109" s="18">
        <f t="shared" si="409"/>
        <v>0</v>
      </c>
      <c r="L13109" s="27">
        <v>53853.75</v>
      </c>
      <c r="M13109" s="36">
        <v>10770.75</v>
      </c>
      <c r="T13109" s="41">
        <v>0</v>
      </c>
      <c r="U13109" s="41">
        <v>0</v>
      </c>
      <c r="V13109" s="42" t="s">
        <v>113</v>
      </c>
      <c r="W13109" s="42">
        <v>0</v>
      </c>
      <c r="X13109" s="42">
        <v>0</v>
      </c>
    </row>
    <row r="13110" spans="1:24">
      <c r="A13110" s="27" t="s">
        <v>23487</v>
      </c>
      <c r="B13110" s="28" t="s">
        <v>19918</v>
      </c>
      <c r="C13110" s="27" t="s">
        <v>23488</v>
      </c>
      <c r="D13110" s="27" t="s">
        <v>17578</v>
      </c>
      <c r="E13110" s="29">
        <v>41982</v>
      </c>
      <c r="F13110" s="27">
        <v>8</v>
      </c>
      <c r="G13110" s="18">
        <v>90701.04</v>
      </c>
      <c r="H13110" s="27">
        <f t="shared" si="408"/>
        <v>0</v>
      </c>
      <c r="I13110" s="18">
        <v>43083</v>
      </c>
      <c r="J13110" s="27">
        <v>90701.04</v>
      </c>
      <c r="K13110" s="18">
        <f t="shared" si="409"/>
        <v>0</v>
      </c>
      <c r="L13110" s="27">
        <v>53853.75</v>
      </c>
      <c r="M13110" s="36">
        <v>10770.75</v>
      </c>
      <c r="T13110" s="41">
        <v>0</v>
      </c>
      <c r="U13110" s="41">
        <v>0</v>
      </c>
      <c r="V13110" s="42" t="s">
        <v>113</v>
      </c>
      <c r="W13110" s="42">
        <v>0</v>
      </c>
      <c r="X13110" s="42">
        <v>0</v>
      </c>
    </row>
    <row r="13111" spans="1:24">
      <c r="A13111" s="27" t="s">
        <v>23489</v>
      </c>
      <c r="B13111" s="28" t="s">
        <v>19918</v>
      </c>
      <c r="C13111" s="27" t="s">
        <v>23490</v>
      </c>
      <c r="D13111" s="27" t="s">
        <v>17578</v>
      </c>
      <c r="E13111" s="29">
        <v>41982</v>
      </c>
      <c r="F13111" s="27">
        <v>8</v>
      </c>
      <c r="G13111" s="18">
        <v>90701.05</v>
      </c>
      <c r="H13111" s="27">
        <f t="shared" si="408"/>
        <v>0</v>
      </c>
      <c r="I13111" s="18">
        <v>43083</v>
      </c>
      <c r="J13111" s="27">
        <v>90701.05</v>
      </c>
      <c r="K13111" s="18">
        <f t="shared" si="409"/>
        <v>0</v>
      </c>
      <c r="L13111" s="27">
        <v>53853.75</v>
      </c>
      <c r="M13111" s="36">
        <v>10770.75</v>
      </c>
      <c r="T13111" s="41">
        <v>0</v>
      </c>
      <c r="U13111" s="41">
        <v>0</v>
      </c>
      <c r="V13111" s="42" t="s">
        <v>113</v>
      </c>
      <c r="W13111" s="42">
        <v>0</v>
      </c>
      <c r="X13111" s="42">
        <v>0</v>
      </c>
    </row>
    <row r="13112" spans="1:24">
      <c r="A13112" s="27" t="s">
        <v>23491</v>
      </c>
      <c r="B13112" s="28" t="s">
        <v>19918</v>
      </c>
      <c r="C13112" s="27" t="s">
        <v>23492</v>
      </c>
      <c r="D13112" s="27" t="s">
        <v>17578</v>
      </c>
      <c r="E13112" s="29">
        <v>41982</v>
      </c>
      <c r="F13112" s="27">
        <v>8</v>
      </c>
      <c r="G13112" s="18">
        <v>90701.05</v>
      </c>
      <c r="H13112" s="27">
        <f t="shared" si="408"/>
        <v>0</v>
      </c>
      <c r="I13112" s="18">
        <v>43083</v>
      </c>
      <c r="J13112" s="27">
        <v>90701.05</v>
      </c>
      <c r="K13112" s="18">
        <f t="shared" si="409"/>
        <v>0</v>
      </c>
      <c r="L13112" s="27">
        <v>53853.75</v>
      </c>
      <c r="M13112" s="36">
        <v>10770.75</v>
      </c>
      <c r="T13112" s="41">
        <v>0</v>
      </c>
      <c r="U13112" s="41">
        <v>0</v>
      </c>
      <c r="V13112" s="42" t="s">
        <v>113</v>
      </c>
      <c r="W13112" s="42">
        <v>0</v>
      </c>
      <c r="X13112" s="42">
        <v>0</v>
      </c>
    </row>
    <row r="13113" spans="1:24">
      <c r="A13113" s="27" t="s">
        <v>23493</v>
      </c>
      <c r="B13113" s="28" t="s">
        <v>19918</v>
      </c>
      <c r="C13113" s="27" t="s">
        <v>23494</v>
      </c>
      <c r="D13113" s="27" t="s">
        <v>17578</v>
      </c>
      <c r="E13113" s="29">
        <v>39813</v>
      </c>
      <c r="F13113" s="27">
        <v>8</v>
      </c>
      <c r="G13113" s="18">
        <v>2698715.41</v>
      </c>
      <c r="H13113" s="27">
        <f t="shared" si="408"/>
        <v>2698715.41</v>
      </c>
      <c r="I13113" s="18">
        <v>2563778.98</v>
      </c>
      <c r="J13113" s="27">
        <v>2698715.41</v>
      </c>
      <c r="K13113" s="18">
        <f t="shared" si="409"/>
        <v>2698715.41</v>
      </c>
      <c r="L13113" s="27">
        <v>2563778.98</v>
      </c>
      <c r="M13113" s="36">
        <v>0</v>
      </c>
      <c r="T13113" s="41">
        <v>0</v>
      </c>
      <c r="U13113" s="41">
        <v>0</v>
      </c>
      <c r="V13113" s="42" t="s">
        <v>113</v>
      </c>
      <c r="W13113" s="42">
        <v>2698715.41</v>
      </c>
      <c r="X13113" s="42">
        <v>2698715.41</v>
      </c>
    </row>
    <row r="13114" spans="1:24">
      <c r="A13114" s="27" t="s">
        <v>23495</v>
      </c>
      <c r="B13114" s="28" t="s">
        <v>19918</v>
      </c>
      <c r="C13114" s="27" t="s">
        <v>23456</v>
      </c>
      <c r="D13114" s="27" t="s">
        <v>17578</v>
      </c>
      <c r="E13114" s="29">
        <v>39813</v>
      </c>
      <c r="F13114" s="27">
        <v>8</v>
      </c>
      <c r="G13114" s="18">
        <v>48000</v>
      </c>
      <c r="H13114" s="27">
        <f t="shared" si="408"/>
        <v>48000</v>
      </c>
      <c r="I13114" s="18">
        <v>45600</v>
      </c>
      <c r="J13114" s="27">
        <v>48000</v>
      </c>
      <c r="K13114" s="18">
        <f t="shared" si="409"/>
        <v>48000</v>
      </c>
      <c r="L13114" s="27">
        <v>45600</v>
      </c>
      <c r="M13114" s="36">
        <v>0</v>
      </c>
      <c r="T13114" s="41">
        <v>0</v>
      </c>
      <c r="U13114" s="41">
        <v>0</v>
      </c>
      <c r="V13114" s="42" t="s">
        <v>113</v>
      </c>
      <c r="W13114" s="42">
        <v>48000</v>
      </c>
      <c r="X13114" s="42">
        <v>48000</v>
      </c>
    </row>
    <row r="13115" spans="1:24">
      <c r="A13115" s="27" t="s">
        <v>23496</v>
      </c>
      <c r="B13115" s="28" t="s">
        <v>19918</v>
      </c>
      <c r="C13115" s="27" t="s">
        <v>23497</v>
      </c>
      <c r="D13115" s="27" t="s">
        <v>17578</v>
      </c>
      <c r="E13115" s="29">
        <v>42726</v>
      </c>
      <c r="F13115" s="27">
        <v>8</v>
      </c>
      <c r="G13115" s="18">
        <v>220000</v>
      </c>
      <c r="H13115" s="27">
        <f t="shared" si="408"/>
        <v>0</v>
      </c>
      <c r="I13115" s="18">
        <v>52250</v>
      </c>
      <c r="J13115" s="27">
        <v>220000</v>
      </c>
      <c r="K13115" s="18">
        <f t="shared" si="409"/>
        <v>0</v>
      </c>
      <c r="L13115" s="27">
        <v>78375</v>
      </c>
      <c r="M13115" s="36">
        <v>26125</v>
      </c>
      <c r="T13115" s="41">
        <v>0</v>
      </c>
      <c r="U13115" s="41">
        <v>0</v>
      </c>
      <c r="V13115" s="42" t="s">
        <v>113</v>
      </c>
      <c r="W13115" s="42">
        <v>0</v>
      </c>
      <c r="X13115" s="42">
        <v>0</v>
      </c>
    </row>
    <row r="13116" spans="1:24">
      <c r="A13116" s="27" t="s">
        <v>23498</v>
      </c>
      <c r="B13116" s="28" t="s">
        <v>19918</v>
      </c>
      <c r="C13116" s="27" t="s">
        <v>23499</v>
      </c>
      <c r="D13116" s="27" t="s">
        <v>17578</v>
      </c>
      <c r="E13116" s="29">
        <v>42704</v>
      </c>
      <c r="F13116" s="27">
        <v>8</v>
      </c>
      <c r="G13116" s="18">
        <v>144509.5</v>
      </c>
      <c r="H13116" s="27">
        <f t="shared" si="408"/>
        <v>0</v>
      </c>
      <c r="I13116" s="18">
        <v>35751.019999999997</v>
      </c>
      <c r="J13116" s="27">
        <v>144509.5</v>
      </c>
      <c r="K13116" s="18">
        <f t="shared" si="409"/>
        <v>0</v>
      </c>
      <c r="L13116" s="27">
        <v>52911.53</v>
      </c>
      <c r="M13116" s="36">
        <v>17160.509999999998</v>
      </c>
      <c r="T13116" s="41">
        <v>0</v>
      </c>
      <c r="U13116" s="41">
        <v>0</v>
      </c>
      <c r="V13116" s="42" t="s">
        <v>113</v>
      </c>
      <c r="W13116" s="42">
        <v>0</v>
      </c>
      <c r="X13116" s="42">
        <v>0</v>
      </c>
    </row>
    <row r="13117" spans="1:24">
      <c r="A13117" s="27" t="s">
        <v>23500</v>
      </c>
      <c r="B13117" s="28" t="s">
        <v>19918</v>
      </c>
      <c r="C13117" s="27" t="s">
        <v>23501</v>
      </c>
      <c r="D13117" s="27" t="s">
        <v>17578</v>
      </c>
      <c r="E13117" s="29">
        <v>42704</v>
      </c>
      <c r="F13117" s="27">
        <v>8</v>
      </c>
      <c r="G13117" s="18">
        <v>101317.04</v>
      </c>
      <c r="H13117" s="27">
        <f t="shared" si="408"/>
        <v>0</v>
      </c>
      <c r="I13117" s="18">
        <v>25065.42</v>
      </c>
      <c r="J13117" s="27">
        <v>101317.04</v>
      </c>
      <c r="K13117" s="18">
        <f t="shared" si="409"/>
        <v>0</v>
      </c>
      <c r="L13117" s="27">
        <v>37096.82</v>
      </c>
      <c r="M13117" s="36">
        <v>12031.4</v>
      </c>
      <c r="T13117" s="41">
        <v>0</v>
      </c>
      <c r="U13117" s="41">
        <v>0</v>
      </c>
      <c r="V13117" s="42" t="s">
        <v>113</v>
      </c>
      <c r="W13117" s="42">
        <v>0</v>
      </c>
      <c r="X13117" s="42">
        <v>0</v>
      </c>
    </row>
    <row r="13118" spans="1:24">
      <c r="A13118" s="27" t="s">
        <v>23502</v>
      </c>
      <c r="B13118" s="28" t="s">
        <v>19918</v>
      </c>
      <c r="C13118" s="27" t="s">
        <v>23503</v>
      </c>
      <c r="D13118" s="27" t="s">
        <v>17578</v>
      </c>
      <c r="E13118" s="29">
        <v>42704</v>
      </c>
      <c r="F13118" s="27">
        <v>8</v>
      </c>
      <c r="G13118" s="18">
        <v>169077.94</v>
      </c>
      <c r="H13118" s="27">
        <f t="shared" si="408"/>
        <v>0</v>
      </c>
      <c r="I13118" s="18">
        <v>41829.18</v>
      </c>
      <c r="J13118" s="27">
        <v>169077.94</v>
      </c>
      <c r="K13118" s="18">
        <f t="shared" si="409"/>
        <v>0</v>
      </c>
      <c r="L13118" s="27">
        <v>61907.18</v>
      </c>
      <c r="M13118" s="36">
        <v>20078</v>
      </c>
      <c r="T13118" s="41">
        <v>0</v>
      </c>
      <c r="U13118" s="41">
        <v>0</v>
      </c>
      <c r="V13118" s="42" t="s">
        <v>113</v>
      </c>
      <c r="W13118" s="42">
        <v>0</v>
      </c>
      <c r="X13118" s="42">
        <v>0</v>
      </c>
    </row>
    <row r="13119" spans="1:24">
      <c r="A13119" s="27" t="s">
        <v>23504</v>
      </c>
      <c r="B13119" s="28" t="s">
        <v>19918</v>
      </c>
      <c r="C13119" s="27" t="s">
        <v>23505</v>
      </c>
      <c r="D13119" s="27" t="s">
        <v>17578</v>
      </c>
      <c r="E13119" s="29">
        <v>42704</v>
      </c>
      <c r="F13119" s="27">
        <v>8</v>
      </c>
      <c r="G13119" s="18">
        <v>63063.85</v>
      </c>
      <c r="H13119" s="27">
        <f t="shared" si="408"/>
        <v>0</v>
      </c>
      <c r="I13119" s="18">
        <v>15601.72</v>
      </c>
      <c r="J13119" s="27">
        <v>63063.85</v>
      </c>
      <c r="K13119" s="18">
        <f t="shared" si="409"/>
        <v>0</v>
      </c>
      <c r="L13119" s="27">
        <v>23090.55</v>
      </c>
      <c r="M13119" s="36">
        <v>7488.83</v>
      </c>
      <c r="T13119" s="41">
        <v>0</v>
      </c>
      <c r="U13119" s="41">
        <v>0</v>
      </c>
      <c r="V13119" s="42" t="s">
        <v>113</v>
      </c>
      <c r="W13119" s="42">
        <v>0</v>
      </c>
      <c r="X13119" s="42">
        <v>0</v>
      </c>
    </row>
    <row r="13120" spans="1:24">
      <c r="A13120" s="27" t="s">
        <v>23506</v>
      </c>
      <c r="B13120" s="28" t="s">
        <v>19918</v>
      </c>
      <c r="C13120" s="27" t="s">
        <v>23507</v>
      </c>
      <c r="D13120" s="27" t="s">
        <v>17578</v>
      </c>
      <c r="E13120" s="29">
        <v>42736</v>
      </c>
      <c r="F13120" s="27">
        <v>8</v>
      </c>
      <c r="G13120" s="18">
        <v>10490.13</v>
      </c>
      <c r="H13120" s="27">
        <f t="shared" si="408"/>
        <v>0</v>
      </c>
      <c r="I13120" s="18">
        <v>2387.59</v>
      </c>
      <c r="J13120" s="27">
        <v>10490.13</v>
      </c>
      <c r="K13120" s="18">
        <f t="shared" si="409"/>
        <v>0</v>
      </c>
      <c r="L13120" s="27">
        <v>3633.29</v>
      </c>
      <c r="M13120" s="36">
        <v>1245.7</v>
      </c>
      <c r="T13120" s="41">
        <v>0</v>
      </c>
      <c r="U13120" s="41">
        <v>0</v>
      </c>
      <c r="V13120" s="42" t="s">
        <v>113</v>
      </c>
      <c r="W13120" s="42">
        <v>0</v>
      </c>
      <c r="X13120" s="42">
        <v>0</v>
      </c>
    </row>
    <row r="13121" spans="1:24">
      <c r="A13121" s="27" t="s">
        <v>23508</v>
      </c>
      <c r="B13121" s="28" t="s">
        <v>19918</v>
      </c>
      <c r="C13121" s="27" t="s">
        <v>23509</v>
      </c>
      <c r="D13121" s="27" t="s">
        <v>17578</v>
      </c>
      <c r="E13121" s="29">
        <v>42736</v>
      </c>
      <c r="F13121" s="27">
        <v>8</v>
      </c>
      <c r="G13121" s="18">
        <v>10490.13</v>
      </c>
      <c r="H13121" s="27">
        <f t="shared" si="408"/>
        <v>0</v>
      </c>
      <c r="I13121" s="18">
        <v>2387.59</v>
      </c>
      <c r="J13121" s="27">
        <v>10490.13</v>
      </c>
      <c r="K13121" s="18">
        <f t="shared" si="409"/>
        <v>0</v>
      </c>
      <c r="L13121" s="27">
        <v>3633.29</v>
      </c>
      <c r="M13121" s="36">
        <v>1245.7</v>
      </c>
      <c r="T13121" s="41">
        <v>0</v>
      </c>
      <c r="U13121" s="41">
        <v>0</v>
      </c>
      <c r="V13121" s="42" t="s">
        <v>113</v>
      </c>
      <c r="W13121" s="42">
        <v>0</v>
      </c>
      <c r="X13121" s="42">
        <v>0</v>
      </c>
    </row>
    <row r="13122" spans="1:24">
      <c r="A13122" s="27" t="s">
        <v>23510</v>
      </c>
      <c r="B13122" s="28" t="s">
        <v>19918</v>
      </c>
      <c r="C13122" s="27" t="s">
        <v>23511</v>
      </c>
      <c r="D13122" s="27" t="s">
        <v>17578</v>
      </c>
      <c r="E13122" s="29">
        <v>42736</v>
      </c>
      <c r="F13122" s="27">
        <v>8</v>
      </c>
      <c r="G13122" s="18">
        <v>10490.13</v>
      </c>
      <c r="H13122" s="27">
        <f t="shared" si="408"/>
        <v>0</v>
      </c>
      <c r="I13122" s="18">
        <v>2387.59</v>
      </c>
      <c r="J13122" s="27">
        <v>10490.13</v>
      </c>
      <c r="K13122" s="18">
        <f t="shared" si="409"/>
        <v>0</v>
      </c>
      <c r="L13122" s="27">
        <v>3633.29</v>
      </c>
      <c r="M13122" s="36">
        <v>1245.7</v>
      </c>
      <c r="T13122" s="41">
        <v>0</v>
      </c>
      <c r="U13122" s="41">
        <v>0</v>
      </c>
      <c r="V13122" s="42" t="s">
        <v>113</v>
      </c>
      <c r="W13122" s="42">
        <v>0</v>
      </c>
      <c r="X13122" s="42">
        <v>0</v>
      </c>
    </row>
    <row r="13123" spans="1:24">
      <c r="A13123" s="27" t="s">
        <v>23512</v>
      </c>
      <c r="B13123" s="28" t="s">
        <v>19918</v>
      </c>
      <c r="C13123" s="27" t="s">
        <v>23513</v>
      </c>
      <c r="D13123" s="27" t="s">
        <v>20772</v>
      </c>
      <c r="E13123" s="29">
        <v>43799</v>
      </c>
      <c r="F13123" s="27">
        <v>8</v>
      </c>
      <c r="G13123" s="18">
        <v>0</v>
      </c>
      <c r="H13123" s="27">
        <f t="shared" si="408"/>
        <v>0</v>
      </c>
      <c r="I13123" s="18">
        <v>0</v>
      </c>
      <c r="J13123" s="27">
        <v>367476.06</v>
      </c>
      <c r="K13123" s="18">
        <f t="shared" si="409"/>
        <v>0</v>
      </c>
      <c r="L13123" s="27">
        <v>3636.48</v>
      </c>
      <c r="M13123" s="36">
        <v>3636.48</v>
      </c>
      <c r="N13123" s="18" t="s">
        <v>123</v>
      </c>
      <c r="O13123" s="19">
        <v>367476.06</v>
      </c>
      <c r="T13123" s="41">
        <v>0</v>
      </c>
      <c r="U13123" s="41">
        <v>0</v>
      </c>
      <c r="V13123" s="42" t="s">
        <v>113</v>
      </c>
      <c r="W13123" s="42">
        <v>0</v>
      </c>
      <c r="X13123" s="42">
        <v>0</v>
      </c>
    </row>
    <row r="13124" spans="1:24">
      <c r="A13124" s="27" t="s">
        <v>23514</v>
      </c>
      <c r="B13124" s="28" t="s">
        <v>19918</v>
      </c>
      <c r="C13124" s="27" t="s">
        <v>23515</v>
      </c>
      <c r="D13124" s="27" t="s">
        <v>17558</v>
      </c>
      <c r="E13124" s="29">
        <v>40178</v>
      </c>
      <c r="F13124" s="27">
        <v>8</v>
      </c>
      <c r="G13124" s="18">
        <v>18600</v>
      </c>
      <c r="H13124" s="27">
        <f t="shared" si="408"/>
        <v>18600</v>
      </c>
      <c r="I13124" s="18">
        <v>17670</v>
      </c>
      <c r="J13124" s="27">
        <v>18600</v>
      </c>
      <c r="K13124" s="18">
        <f t="shared" si="409"/>
        <v>18600</v>
      </c>
      <c r="L13124" s="27">
        <v>17670</v>
      </c>
      <c r="M13124" s="36">
        <v>0</v>
      </c>
      <c r="T13124" s="41">
        <v>0</v>
      </c>
      <c r="U13124" s="41">
        <v>0</v>
      </c>
      <c r="V13124" s="42" t="s">
        <v>113</v>
      </c>
      <c r="W13124" s="42">
        <v>18600</v>
      </c>
      <c r="X13124" s="42">
        <v>18600</v>
      </c>
    </row>
    <row r="13125" spans="1:24">
      <c r="A13125" s="27" t="s">
        <v>23516</v>
      </c>
      <c r="B13125" s="28" t="s">
        <v>19918</v>
      </c>
      <c r="C13125" s="27" t="s">
        <v>23517</v>
      </c>
      <c r="D13125" s="27" t="s">
        <v>17558</v>
      </c>
      <c r="E13125" s="29">
        <v>40178</v>
      </c>
      <c r="F13125" s="27">
        <v>8</v>
      </c>
      <c r="G13125" s="18">
        <v>3589.74</v>
      </c>
      <c r="H13125" s="27">
        <f t="shared" si="408"/>
        <v>3589.74</v>
      </c>
      <c r="I13125" s="18">
        <v>3589.74</v>
      </c>
      <c r="J13125" s="27">
        <v>3589.74</v>
      </c>
      <c r="K13125" s="18">
        <f t="shared" si="409"/>
        <v>3589.74</v>
      </c>
      <c r="L13125" s="27">
        <v>3589.74</v>
      </c>
      <c r="M13125" s="36">
        <v>0</v>
      </c>
      <c r="T13125" s="41">
        <v>0</v>
      </c>
      <c r="U13125" s="41">
        <v>0</v>
      </c>
      <c r="V13125" s="42" t="s">
        <v>113</v>
      </c>
      <c r="W13125" s="42">
        <v>3589.74</v>
      </c>
      <c r="X13125" s="42">
        <v>3589.74</v>
      </c>
    </row>
    <row r="13126" spans="1:24">
      <c r="A13126" s="27" t="s">
        <v>23518</v>
      </c>
      <c r="B13126" s="28" t="s">
        <v>19918</v>
      </c>
      <c r="C13126" s="27" t="s">
        <v>23519</v>
      </c>
      <c r="D13126" s="27" t="s">
        <v>17578</v>
      </c>
      <c r="E13126" s="29">
        <v>40178</v>
      </c>
      <c r="F13126" s="27">
        <v>8</v>
      </c>
      <c r="G13126" s="18">
        <v>2425</v>
      </c>
      <c r="H13126" s="27">
        <f t="shared" ref="H13126:H13189" si="410">IFERROR(IF(ROUND((G13126-I13126)/G13126,2)&lt;=0.05,G13126,0),0)</f>
        <v>2425</v>
      </c>
      <c r="I13126" s="18">
        <v>2425</v>
      </c>
      <c r="J13126" s="27">
        <v>2425</v>
      </c>
      <c r="K13126" s="18">
        <f t="shared" ref="K13126:K13189" si="411">IFERROR(IF(ROUND((J13126-L13126)/J13126,2)&lt;=0.05,J13126,0),0)</f>
        <v>2425</v>
      </c>
      <c r="L13126" s="27">
        <v>2425</v>
      </c>
      <c r="M13126" s="36">
        <v>0</v>
      </c>
      <c r="T13126" s="41">
        <v>0</v>
      </c>
      <c r="U13126" s="41">
        <v>0</v>
      </c>
      <c r="V13126" s="42" t="s">
        <v>113</v>
      </c>
      <c r="W13126" s="42">
        <v>2425</v>
      </c>
      <c r="X13126" s="42">
        <v>2425</v>
      </c>
    </row>
    <row r="13127" spans="1:24">
      <c r="A13127" s="27" t="s">
        <v>23520</v>
      </c>
      <c r="B13127" s="28" t="s">
        <v>19918</v>
      </c>
      <c r="C13127" s="27" t="s">
        <v>23521</v>
      </c>
      <c r="D13127" s="27" t="s">
        <v>17578</v>
      </c>
      <c r="E13127" s="29">
        <v>40086</v>
      </c>
      <c r="F13127" s="27">
        <v>8</v>
      </c>
      <c r="G13127" s="18">
        <v>13500</v>
      </c>
      <c r="H13127" s="27">
        <f t="shared" si="410"/>
        <v>13500</v>
      </c>
      <c r="I13127" s="18">
        <v>12825</v>
      </c>
      <c r="J13127" s="27">
        <v>13500</v>
      </c>
      <c r="K13127" s="18">
        <f t="shared" si="411"/>
        <v>13500</v>
      </c>
      <c r="L13127" s="27">
        <v>12825</v>
      </c>
      <c r="M13127" s="36">
        <v>0</v>
      </c>
      <c r="T13127" s="41">
        <v>0</v>
      </c>
      <c r="U13127" s="41">
        <v>0</v>
      </c>
      <c r="V13127" s="42" t="s">
        <v>113</v>
      </c>
      <c r="W13127" s="42">
        <v>13500</v>
      </c>
      <c r="X13127" s="42">
        <v>13500</v>
      </c>
    </row>
    <row r="13128" spans="1:24">
      <c r="A13128" s="27" t="s">
        <v>23522</v>
      </c>
      <c r="B13128" s="28" t="s">
        <v>19918</v>
      </c>
      <c r="C13128" s="27" t="s">
        <v>21381</v>
      </c>
      <c r="D13128" s="27" t="s">
        <v>17578</v>
      </c>
      <c r="E13128" s="29">
        <v>40086</v>
      </c>
      <c r="F13128" s="27">
        <v>8</v>
      </c>
      <c r="G13128" s="18">
        <v>14100</v>
      </c>
      <c r="H13128" s="27">
        <f t="shared" si="410"/>
        <v>14100</v>
      </c>
      <c r="I13128" s="18">
        <v>13395</v>
      </c>
      <c r="J13128" s="27">
        <v>14100</v>
      </c>
      <c r="K13128" s="18">
        <f t="shared" si="411"/>
        <v>14100</v>
      </c>
      <c r="L13128" s="27">
        <v>13395</v>
      </c>
      <c r="M13128" s="36">
        <v>0</v>
      </c>
      <c r="T13128" s="41">
        <v>0</v>
      </c>
      <c r="U13128" s="41">
        <v>0</v>
      </c>
      <c r="V13128" s="42" t="s">
        <v>113</v>
      </c>
      <c r="W13128" s="42">
        <v>14100</v>
      </c>
      <c r="X13128" s="42">
        <v>14100</v>
      </c>
    </row>
    <row r="13129" spans="1:24">
      <c r="A13129" s="27" t="s">
        <v>23523</v>
      </c>
      <c r="B13129" s="28" t="s">
        <v>19918</v>
      </c>
      <c r="C13129" s="27" t="s">
        <v>23524</v>
      </c>
      <c r="D13129" s="27" t="s">
        <v>17578</v>
      </c>
      <c r="E13129" s="29">
        <v>40178</v>
      </c>
      <c r="F13129" s="27">
        <v>8</v>
      </c>
      <c r="G13129" s="18">
        <v>3970</v>
      </c>
      <c r="H13129" s="27">
        <f t="shared" si="410"/>
        <v>3970</v>
      </c>
      <c r="I13129" s="18">
        <v>3970</v>
      </c>
      <c r="J13129" s="27">
        <v>3970</v>
      </c>
      <c r="K13129" s="18">
        <f t="shared" si="411"/>
        <v>3970</v>
      </c>
      <c r="L13129" s="27">
        <v>3970</v>
      </c>
      <c r="M13129" s="36">
        <v>0</v>
      </c>
      <c r="T13129" s="41">
        <v>0</v>
      </c>
      <c r="U13129" s="41">
        <v>0</v>
      </c>
      <c r="V13129" s="42" t="s">
        <v>113</v>
      </c>
      <c r="W13129" s="42">
        <v>3970</v>
      </c>
      <c r="X13129" s="42">
        <v>3970</v>
      </c>
    </row>
    <row r="13130" spans="1:24">
      <c r="A13130" s="27" t="s">
        <v>23525</v>
      </c>
      <c r="B13130" s="28" t="s">
        <v>19918</v>
      </c>
      <c r="C13130" s="27" t="s">
        <v>23526</v>
      </c>
      <c r="D13130" s="27" t="s">
        <v>17558</v>
      </c>
      <c r="E13130" s="29">
        <v>40178</v>
      </c>
      <c r="F13130" s="27">
        <v>8</v>
      </c>
      <c r="G13130" s="18">
        <v>87600</v>
      </c>
      <c r="H13130" s="27">
        <f t="shared" si="410"/>
        <v>87600</v>
      </c>
      <c r="I13130" s="18">
        <v>83220</v>
      </c>
      <c r="J13130" s="27">
        <v>87600</v>
      </c>
      <c r="K13130" s="18">
        <f t="shared" si="411"/>
        <v>87600</v>
      </c>
      <c r="L13130" s="27">
        <v>83220</v>
      </c>
      <c r="M13130" s="36">
        <v>0</v>
      </c>
      <c r="T13130" s="41">
        <v>0</v>
      </c>
      <c r="U13130" s="41">
        <v>0</v>
      </c>
      <c r="V13130" s="42" t="s">
        <v>113</v>
      </c>
      <c r="W13130" s="42">
        <v>87600</v>
      </c>
      <c r="X13130" s="42">
        <v>87600</v>
      </c>
    </row>
    <row r="13131" spans="1:24">
      <c r="A13131" s="27" t="s">
        <v>23527</v>
      </c>
      <c r="B13131" s="28" t="s">
        <v>19918</v>
      </c>
      <c r="C13131" s="27" t="s">
        <v>21602</v>
      </c>
      <c r="D13131" s="27" t="s">
        <v>17578</v>
      </c>
      <c r="E13131" s="29">
        <v>40178</v>
      </c>
      <c r="F13131" s="27">
        <v>8</v>
      </c>
      <c r="G13131" s="18">
        <v>4680</v>
      </c>
      <c r="H13131" s="27">
        <f t="shared" si="410"/>
        <v>4680</v>
      </c>
      <c r="I13131" s="18">
        <v>4680</v>
      </c>
      <c r="J13131" s="27">
        <v>4680</v>
      </c>
      <c r="K13131" s="18">
        <f t="shared" si="411"/>
        <v>4680</v>
      </c>
      <c r="L13131" s="27">
        <v>4680</v>
      </c>
      <c r="M13131" s="36">
        <v>0</v>
      </c>
      <c r="T13131" s="41">
        <v>0</v>
      </c>
      <c r="U13131" s="41">
        <v>0</v>
      </c>
      <c r="V13131" s="42" t="s">
        <v>113</v>
      </c>
      <c r="W13131" s="42">
        <v>4680</v>
      </c>
      <c r="X13131" s="42">
        <v>4680</v>
      </c>
    </row>
    <row r="13132" spans="1:24">
      <c r="A13132" s="27" t="s">
        <v>23528</v>
      </c>
      <c r="B13132" s="28" t="s">
        <v>19918</v>
      </c>
      <c r="C13132" s="27" t="s">
        <v>23529</v>
      </c>
      <c r="D13132" s="27" t="s">
        <v>17558</v>
      </c>
      <c r="E13132" s="29">
        <v>40178</v>
      </c>
      <c r="F13132" s="27">
        <v>8</v>
      </c>
      <c r="G13132" s="18">
        <v>56100</v>
      </c>
      <c r="H13132" s="27">
        <f t="shared" si="410"/>
        <v>56100</v>
      </c>
      <c r="I13132" s="18">
        <v>53295</v>
      </c>
      <c r="J13132" s="27">
        <v>56100</v>
      </c>
      <c r="K13132" s="18">
        <f t="shared" si="411"/>
        <v>56100</v>
      </c>
      <c r="L13132" s="27">
        <v>53295</v>
      </c>
      <c r="M13132" s="36">
        <v>0</v>
      </c>
      <c r="T13132" s="41">
        <v>0</v>
      </c>
      <c r="U13132" s="41">
        <v>0</v>
      </c>
      <c r="V13132" s="42" t="s">
        <v>113</v>
      </c>
      <c r="W13132" s="42">
        <v>56100</v>
      </c>
      <c r="X13132" s="42">
        <v>56100</v>
      </c>
    </row>
    <row r="13133" spans="1:24">
      <c r="A13133" s="27" t="s">
        <v>23530</v>
      </c>
      <c r="B13133" s="28" t="s">
        <v>19918</v>
      </c>
      <c r="C13133" s="27" t="s">
        <v>23531</v>
      </c>
      <c r="D13133" s="27" t="s">
        <v>17558</v>
      </c>
      <c r="E13133" s="29">
        <v>40178</v>
      </c>
      <c r="F13133" s="27">
        <v>8</v>
      </c>
      <c r="G13133" s="18">
        <v>2290</v>
      </c>
      <c r="H13133" s="27">
        <f t="shared" si="410"/>
        <v>2290</v>
      </c>
      <c r="I13133" s="18">
        <v>2290</v>
      </c>
      <c r="J13133" s="27">
        <v>2290</v>
      </c>
      <c r="K13133" s="18">
        <f t="shared" si="411"/>
        <v>2290</v>
      </c>
      <c r="L13133" s="27">
        <v>2290</v>
      </c>
      <c r="M13133" s="36">
        <v>0</v>
      </c>
      <c r="T13133" s="41">
        <v>0</v>
      </c>
      <c r="U13133" s="41">
        <v>0</v>
      </c>
      <c r="V13133" s="42" t="s">
        <v>113</v>
      </c>
      <c r="W13133" s="42">
        <v>2290</v>
      </c>
      <c r="X13133" s="42">
        <v>2290</v>
      </c>
    </row>
    <row r="13134" spans="1:24">
      <c r="A13134" s="27" t="s">
        <v>23532</v>
      </c>
      <c r="B13134" s="28" t="s">
        <v>19918</v>
      </c>
      <c r="C13134" s="27" t="s">
        <v>23533</v>
      </c>
      <c r="D13134" s="27" t="s">
        <v>17578</v>
      </c>
      <c r="E13134" s="29">
        <v>40178</v>
      </c>
      <c r="F13134" s="27">
        <v>8</v>
      </c>
      <c r="G13134" s="18">
        <v>56000</v>
      </c>
      <c r="H13134" s="27">
        <f t="shared" si="410"/>
        <v>56000</v>
      </c>
      <c r="I13134" s="18">
        <v>53200</v>
      </c>
      <c r="J13134" s="27">
        <v>56000</v>
      </c>
      <c r="K13134" s="18">
        <f t="shared" si="411"/>
        <v>56000</v>
      </c>
      <c r="L13134" s="27">
        <v>53200</v>
      </c>
      <c r="M13134" s="36">
        <v>0</v>
      </c>
      <c r="T13134" s="41">
        <v>0</v>
      </c>
      <c r="U13134" s="41">
        <v>0</v>
      </c>
      <c r="V13134" s="42" t="s">
        <v>113</v>
      </c>
      <c r="W13134" s="42">
        <v>56000</v>
      </c>
      <c r="X13134" s="42">
        <v>56000</v>
      </c>
    </row>
    <row r="13135" spans="1:24">
      <c r="A13135" s="27" t="s">
        <v>23534</v>
      </c>
      <c r="B13135" s="28" t="s">
        <v>19918</v>
      </c>
      <c r="C13135" s="27" t="s">
        <v>23535</v>
      </c>
      <c r="D13135" s="27" t="s">
        <v>17578</v>
      </c>
      <c r="E13135" s="29">
        <v>40178</v>
      </c>
      <c r="F13135" s="27">
        <v>8</v>
      </c>
      <c r="G13135" s="18">
        <v>2205</v>
      </c>
      <c r="H13135" s="27">
        <f t="shared" si="410"/>
        <v>2205</v>
      </c>
      <c r="I13135" s="18">
        <v>2205</v>
      </c>
      <c r="J13135" s="27">
        <v>2205</v>
      </c>
      <c r="K13135" s="18">
        <f t="shared" si="411"/>
        <v>2205</v>
      </c>
      <c r="L13135" s="27">
        <v>2205</v>
      </c>
      <c r="M13135" s="36">
        <v>0</v>
      </c>
      <c r="T13135" s="41">
        <v>0</v>
      </c>
      <c r="U13135" s="41">
        <v>0</v>
      </c>
      <c r="V13135" s="42" t="s">
        <v>113</v>
      </c>
      <c r="W13135" s="42">
        <v>2205</v>
      </c>
      <c r="X13135" s="42">
        <v>2205</v>
      </c>
    </row>
    <row r="13136" spans="1:24">
      <c r="A13136" s="27" t="s">
        <v>23536</v>
      </c>
      <c r="B13136" s="28" t="s">
        <v>19918</v>
      </c>
      <c r="C13136" s="27" t="s">
        <v>21404</v>
      </c>
      <c r="D13136" s="27" t="s">
        <v>17578</v>
      </c>
      <c r="E13136" s="29">
        <v>40178</v>
      </c>
      <c r="F13136" s="27">
        <v>8</v>
      </c>
      <c r="G13136" s="18">
        <v>39400</v>
      </c>
      <c r="H13136" s="27">
        <f t="shared" si="410"/>
        <v>39400</v>
      </c>
      <c r="I13136" s="18">
        <v>37430</v>
      </c>
      <c r="J13136" s="27">
        <v>39400</v>
      </c>
      <c r="K13136" s="18">
        <f t="shared" si="411"/>
        <v>39400</v>
      </c>
      <c r="L13136" s="27">
        <v>37430</v>
      </c>
      <c r="M13136" s="36">
        <v>0</v>
      </c>
      <c r="T13136" s="41">
        <v>0</v>
      </c>
      <c r="U13136" s="41">
        <v>0</v>
      </c>
      <c r="V13136" s="42" t="s">
        <v>113</v>
      </c>
      <c r="W13136" s="42">
        <v>39400</v>
      </c>
      <c r="X13136" s="42">
        <v>39400</v>
      </c>
    </row>
    <row r="13137" spans="1:24">
      <c r="A13137" s="27" t="s">
        <v>23537</v>
      </c>
      <c r="B13137" s="28" t="s">
        <v>19918</v>
      </c>
      <c r="C13137" s="27" t="s">
        <v>23538</v>
      </c>
      <c r="D13137" s="27" t="s">
        <v>17578</v>
      </c>
      <c r="E13137" s="29">
        <v>39963</v>
      </c>
      <c r="F13137" s="27">
        <v>8</v>
      </c>
      <c r="G13137" s="18">
        <v>4700</v>
      </c>
      <c r="H13137" s="27">
        <f t="shared" si="410"/>
        <v>4700</v>
      </c>
      <c r="I13137" s="18">
        <v>4700</v>
      </c>
      <c r="J13137" s="27">
        <v>4700</v>
      </c>
      <c r="K13137" s="18">
        <f t="shared" si="411"/>
        <v>4700</v>
      </c>
      <c r="L13137" s="27">
        <v>4700</v>
      </c>
      <c r="M13137" s="36">
        <v>0</v>
      </c>
      <c r="T13137" s="41">
        <v>0</v>
      </c>
      <c r="U13137" s="41">
        <v>0</v>
      </c>
      <c r="V13137" s="42" t="s">
        <v>113</v>
      </c>
      <c r="W13137" s="42">
        <v>4700</v>
      </c>
      <c r="X13137" s="42">
        <v>4700</v>
      </c>
    </row>
    <row r="13138" spans="1:24">
      <c r="A13138" s="27" t="s">
        <v>23539</v>
      </c>
      <c r="B13138" s="28" t="s">
        <v>19918</v>
      </c>
      <c r="C13138" s="27" t="s">
        <v>23540</v>
      </c>
      <c r="D13138" s="27" t="s">
        <v>17578</v>
      </c>
      <c r="E13138" s="29">
        <v>39568</v>
      </c>
      <c r="F13138" s="27">
        <v>8</v>
      </c>
      <c r="G13138" s="18">
        <v>3750</v>
      </c>
      <c r="H13138" s="27">
        <f t="shared" si="410"/>
        <v>3750</v>
      </c>
      <c r="I13138" s="18">
        <v>3750</v>
      </c>
      <c r="J13138" s="27">
        <v>3750</v>
      </c>
      <c r="K13138" s="18">
        <f t="shared" si="411"/>
        <v>3750</v>
      </c>
      <c r="L13138" s="27">
        <v>3750</v>
      </c>
      <c r="M13138" s="36">
        <v>0</v>
      </c>
      <c r="T13138" s="41">
        <v>0</v>
      </c>
      <c r="U13138" s="41">
        <v>0</v>
      </c>
      <c r="V13138" s="42" t="s">
        <v>113</v>
      </c>
      <c r="W13138" s="42">
        <v>3750</v>
      </c>
      <c r="X13138" s="42">
        <v>3750</v>
      </c>
    </row>
    <row r="13139" spans="1:24">
      <c r="A13139" s="27" t="s">
        <v>23541</v>
      </c>
      <c r="B13139" s="28" t="s">
        <v>19918</v>
      </c>
      <c r="C13139" s="27" t="s">
        <v>23542</v>
      </c>
      <c r="D13139" s="27" t="s">
        <v>17578</v>
      </c>
      <c r="E13139" s="29">
        <v>40178</v>
      </c>
      <c r="F13139" s="27">
        <v>8</v>
      </c>
      <c r="G13139" s="18">
        <v>3680</v>
      </c>
      <c r="H13139" s="27">
        <f t="shared" si="410"/>
        <v>3680</v>
      </c>
      <c r="I13139" s="18">
        <v>3680</v>
      </c>
      <c r="J13139" s="27">
        <v>3680</v>
      </c>
      <c r="K13139" s="18">
        <f t="shared" si="411"/>
        <v>3680</v>
      </c>
      <c r="L13139" s="27">
        <v>3680</v>
      </c>
      <c r="M13139" s="36">
        <v>0</v>
      </c>
      <c r="T13139" s="41">
        <v>0</v>
      </c>
      <c r="U13139" s="41">
        <v>0</v>
      </c>
      <c r="V13139" s="42" t="s">
        <v>113</v>
      </c>
      <c r="W13139" s="42">
        <v>3680</v>
      </c>
      <c r="X13139" s="42">
        <v>3680</v>
      </c>
    </row>
    <row r="13140" spans="1:24">
      <c r="A13140" s="27" t="s">
        <v>23543</v>
      </c>
      <c r="B13140" s="28" t="s">
        <v>19918</v>
      </c>
      <c r="C13140" s="27" t="s">
        <v>23544</v>
      </c>
      <c r="D13140" s="27" t="s">
        <v>17578</v>
      </c>
      <c r="E13140" s="29">
        <v>40178</v>
      </c>
      <c r="F13140" s="27">
        <v>8</v>
      </c>
      <c r="G13140" s="18">
        <v>56100</v>
      </c>
      <c r="H13140" s="27">
        <f t="shared" si="410"/>
        <v>56100</v>
      </c>
      <c r="I13140" s="18">
        <v>53295</v>
      </c>
      <c r="J13140" s="27">
        <v>56100</v>
      </c>
      <c r="K13140" s="18">
        <f t="shared" si="411"/>
        <v>56100</v>
      </c>
      <c r="L13140" s="27">
        <v>53295</v>
      </c>
      <c r="M13140" s="36">
        <v>0</v>
      </c>
      <c r="T13140" s="41">
        <v>0</v>
      </c>
      <c r="U13140" s="41">
        <v>0</v>
      </c>
      <c r="V13140" s="42" t="s">
        <v>113</v>
      </c>
      <c r="W13140" s="42">
        <v>56100</v>
      </c>
      <c r="X13140" s="42">
        <v>56100</v>
      </c>
    </row>
    <row r="13141" spans="1:24">
      <c r="A13141" s="27" t="s">
        <v>23545</v>
      </c>
      <c r="B13141" s="28" t="s">
        <v>19918</v>
      </c>
      <c r="C13141" s="27" t="s">
        <v>23524</v>
      </c>
      <c r="D13141" s="27" t="s">
        <v>17578</v>
      </c>
      <c r="E13141" s="29">
        <v>40178</v>
      </c>
      <c r="F13141" s="27">
        <v>8</v>
      </c>
      <c r="G13141" s="18">
        <v>17000</v>
      </c>
      <c r="H13141" s="27">
        <f t="shared" si="410"/>
        <v>17000</v>
      </c>
      <c r="I13141" s="18">
        <v>16150</v>
      </c>
      <c r="J13141" s="27">
        <v>17000</v>
      </c>
      <c r="K13141" s="18">
        <f t="shared" si="411"/>
        <v>17000</v>
      </c>
      <c r="L13141" s="27">
        <v>16150</v>
      </c>
      <c r="M13141" s="36">
        <v>0</v>
      </c>
      <c r="T13141" s="41">
        <v>0</v>
      </c>
      <c r="U13141" s="41">
        <v>0</v>
      </c>
      <c r="V13141" s="42" t="s">
        <v>113</v>
      </c>
      <c r="W13141" s="42">
        <v>17000</v>
      </c>
      <c r="X13141" s="42">
        <v>17000</v>
      </c>
    </row>
    <row r="13142" spans="1:24">
      <c r="A13142" s="27" t="s">
        <v>23546</v>
      </c>
      <c r="B13142" s="28" t="s">
        <v>19918</v>
      </c>
      <c r="C13142" s="27" t="s">
        <v>21667</v>
      </c>
      <c r="D13142" s="27" t="s">
        <v>17578</v>
      </c>
      <c r="E13142" s="29">
        <v>40178</v>
      </c>
      <c r="F13142" s="27">
        <v>8</v>
      </c>
      <c r="G13142" s="18">
        <v>39500</v>
      </c>
      <c r="H13142" s="27">
        <f t="shared" si="410"/>
        <v>39500</v>
      </c>
      <c r="I13142" s="18">
        <v>37525</v>
      </c>
      <c r="J13142" s="27">
        <v>39500</v>
      </c>
      <c r="K13142" s="18">
        <f t="shared" si="411"/>
        <v>39500</v>
      </c>
      <c r="L13142" s="27">
        <v>37525</v>
      </c>
      <c r="M13142" s="36">
        <v>0</v>
      </c>
      <c r="T13142" s="41">
        <v>0</v>
      </c>
      <c r="U13142" s="41">
        <v>0</v>
      </c>
      <c r="V13142" s="42" t="s">
        <v>113</v>
      </c>
      <c r="W13142" s="42">
        <v>39500</v>
      </c>
      <c r="X13142" s="42">
        <v>39500</v>
      </c>
    </row>
    <row r="13143" spans="1:24">
      <c r="A13143" s="27" t="s">
        <v>23547</v>
      </c>
      <c r="B13143" s="28" t="s">
        <v>19918</v>
      </c>
      <c r="C13143" s="27" t="s">
        <v>23548</v>
      </c>
      <c r="D13143" s="27" t="s">
        <v>17558</v>
      </c>
      <c r="E13143" s="29">
        <v>40178</v>
      </c>
      <c r="F13143" s="27">
        <v>8</v>
      </c>
      <c r="G13143" s="18">
        <v>2777.78</v>
      </c>
      <c r="H13143" s="27">
        <f t="shared" si="410"/>
        <v>2777.78</v>
      </c>
      <c r="I13143" s="18">
        <v>2777.78</v>
      </c>
      <c r="J13143" s="27">
        <v>2777.78</v>
      </c>
      <c r="K13143" s="18">
        <f t="shared" si="411"/>
        <v>2777.78</v>
      </c>
      <c r="L13143" s="27">
        <v>2777.78</v>
      </c>
      <c r="M13143" s="36">
        <v>0</v>
      </c>
      <c r="T13143" s="41">
        <v>0</v>
      </c>
      <c r="U13143" s="41">
        <v>0</v>
      </c>
      <c r="V13143" s="42" t="s">
        <v>113</v>
      </c>
      <c r="W13143" s="42">
        <v>2777.78</v>
      </c>
      <c r="X13143" s="42">
        <v>2777.78</v>
      </c>
    </row>
    <row r="13144" spans="1:24">
      <c r="A13144" s="27" t="s">
        <v>23549</v>
      </c>
      <c r="B13144" s="28" t="s">
        <v>19918</v>
      </c>
      <c r="C13144" s="27" t="s">
        <v>21402</v>
      </c>
      <c r="D13144" s="27" t="s">
        <v>17578</v>
      </c>
      <c r="E13144" s="29">
        <v>40178</v>
      </c>
      <c r="F13144" s="27">
        <v>8</v>
      </c>
      <c r="G13144" s="18">
        <v>92700</v>
      </c>
      <c r="H13144" s="27">
        <f t="shared" si="410"/>
        <v>92700</v>
      </c>
      <c r="I13144" s="18">
        <v>88065</v>
      </c>
      <c r="J13144" s="27">
        <v>92700</v>
      </c>
      <c r="K13144" s="18">
        <f t="shared" si="411"/>
        <v>92700</v>
      </c>
      <c r="L13144" s="27">
        <v>88065</v>
      </c>
      <c r="M13144" s="36">
        <v>0</v>
      </c>
      <c r="T13144" s="41">
        <v>0</v>
      </c>
      <c r="U13144" s="41">
        <v>0</v>
      </c>
      <c r="V13144" s="42" t="s">
        <v>113</v>
      </c>
      <c r="W13144" s="42">
        <v>92700</v>
      </c>
      <c r="X13144" s="42">
        <v>92700</v>
      </c>
    </row>
    <row r="13145" spans="1:24">
      <c r="A13145" s="27" t="s">
        <v>23550</v>
      </c>
      <c r="B13145" s="28" t="s">
        <v>19918</v>
      </c>
      <c r="C13145" s="27" t="s">
        <v>23551</v>
      </c>
      <c r="D13145" s="27" t="s">
        <v>17558</v>
      </c>
      <c r="E13145" s="29">
        <v>40055</v>
      </c>
      <c r="F13145" s="27">
        <v>8</v>
      </c>
      <c r="G13145" s="18">
        <v>31200</v>
      </c>
      <c r="H13145" s="27">
        <f t="shared" si="410"/>
        <v>31200</v>
      </c>
      <c r="I13145" s="18">
        <v>29640</v>
      </c>
      <c r="J13145" s="27">
        <v>31200</v>
      </c>
      <c r="K13145" s="18">
        <f t="shared" si="411"/>
        <v>31200</v>
      </c>
      <c r="L13145" s="27">
        <v>29640</v>
      </c>
      <c r="M13145" s="36">
        <v>0</v>
      </c>
      <c r="T13145" s="41">
        <v>0</v>
      </c>
      <c r="U13145" s="41">
        <v>0</v>
      </c>
      <c r="V13145" s="42" t="s">
        <v>113</v>
      </c>
      <c r="W13145" s="42">
        <v>31200</v>
      </c>
      <c r="X13145" s="42">
        <v>31200</v>
      </c>
    </row>
    <row r="13146" spans="1:24">
      <c r="A13146" s="27" t="s">
        <v>23552</v>
      </c>
      <c r="B13146" s="28" t="s">
        <v>19918</v>
      </c>
      <c r="C13146" s="27" t="s">
        <v>23553</v>
      </c>
      <c r="D13146" s="27" t="s">
        <v>17558</v>
      </c>
      <c r="E13146" s="29">
        <v>40178</v>
      </c>
      <c r="F13146" s="27">
        <v>8</v>
      </c>
      <c r="G13146" s="18">
        <v>29400</v>
      </c>
      <c r="H13146" s="27">
        <f t="shared" si="410"/>
        <v>29400</v>
      </c>
      <c r="I13146" s="18">
        <v>27930</v>
      </c>
      <c r="J13146" s="27">
        <v>29400</v>
      </c>
      <c r="K13146" s="18">
        <f t="shared" si="411"/>
        <v>29400</v>
      </c>
      <c r="L13146" s="27">
        <v>27930</v>
      </c>
      <c r="M13146" s="36">
        <v>0</v>
      </c>
      <c r="T13146" s="41">
        <v>0</v>
      </c>
      <c r="U13146" s="41">
        <v>0</v>
      </c>
      <c r="V13146" s="42" t="s">
        <v>113</v>
      </c>
      <c r="W13146" s="42">
        <v>29400</v>
      </c>
      <c r="X13146" s="42">
        <v>29400</v>
      </c>
    </row>
    <row r="13147" spans="1:24">
      <c r="A13147" s="27" t="s">
        <v>23554</v>
      </c>
      <c r="B13147" s="28" t="s">
        <v>19918</v>
      </c>
      <c r="C13147" s="27" t="s">
        <v>23555</v>
      </c>
      <c r="D13147" s="27" t="s">
        <v>17558</v>
      </c>
      <c r="E13147" s="29">
        <v>40178</v>
      </c>
      <c r="F13147" s="27">
        <v>8</v>
      </c>
      <c r="G13147" s="18">
        <v>40200</v>
      </c>
      <c r="H13147" s="27">
        <f t="shared" si="410"/>
        <v>40200</v>
      </c>
      <c r="I13147" s="18">
        <v>38190</v>
      </c>
      <c r="J13147" s="27">
        <v>40200</v>
      </c>
      <c r="K13147" s="18">
        <f t="shared" si="411"/>
        <v>40200</v>
      </c>
      <c r="L13147" s="27">
        <v>38190</v>
      </c>
      <c r="M13147" s="36">
        <v>0</v>
      </c>
      <c r="T13147" s="41">
        <v>0</v>
      </c>
      <c r="U13147" s="41">
        <v>0</v>
      </c>
      <c r="V13147" s="42" t="s">
        <v>113</v>
      </c>
      <c r="W13147" s="42">
        <v>40200</v>
      </c>
      <c r="X13147" s="42">
        <v>40200</v>
      </c>
    </row>
    <row r="13148" spans="1:24">
      <c r="A13148" s="27" t="s">
        <v>23556</v>
      </c>
      <c r="B13148" s="28" t="s">
        <v>19918</v>
      </c>
      <c r="C13148" s="27" t="s">
        <v>23557</v>
      </c>
      <c r="D13148" s="27" t="s">
        <v>17558</v>
      </c>
      <c r="E13148" s="29">
        <v>40178</v>
      </c>
      <c r="F13148" s="27">
        <v>8</v>
      </c>
      <c r="G13148" s="18">
        <v>775</v>
      </c>
      <c r="H13148" s="27">
        <f t="shared" si="410"/>
        <v>775</v>
      </c>
      <c r="I13148" s="18">
        <v>775</v>
      </c>
      <c r="J13148" s="27">
        <v>775</v>
      </c>
      <c r="K13148" s="18">
        <f t="shared" si="411"/>
        <v>775</v>
      </c>
      <c r="L13148" s="27">
        <v>775</v>
      </c>
      <c r="M13148" s="36">
        <v>0</v>
      </c>
      <c r="T13148" s="41">
        <v>0</v>
      </c>
      <c r="U13148" s="41">
        <v>0</v>
      </c>
      <c r="V13148" s="42" t="s">
        <v>113</v>
      </c>
      <c r="W13148" s="42">
        <v>775</v>
      </c>
      <c r="X13148" s="42">
        <v>775</v>
      </c>
    </row>
    <row r="13149" spans="1:24">
      <c r="A13149" s="27" t="s">
        <v>23558</v>
      </c>
      <c r="B13149" s="28" t="s">
        <v>19918</v>
      </c>
      <c r="C13149" s="27" t="s">
        <v>21381</v>
      </c>
      <c r="D13149" s="27" t="s">
        <v>17558</v>
      </c>
      <c r="E13149" s="29">
        <v>40178</v>
      </c>
      <c r="F13149" s="27">
        <v>8</v>
      </c>
      <c r="G13149" s="18">
        <v>19700</v>
      </c>
      <c r="H13149" s="27">
        <f t="shared" si="410"/>
        <v>19700</v>
      </c>
      <c r="I13149" s="18">
        <v>18715</v>
      </c>
      <c r="J13149" s="27">
        <v>19700</v>
      </c>
      <c r="K13149" s="18">
        <f t="shared" si="411"/>
        <v>19700</v>
      </c>
      <c r="L13149" s="27">
        <v>18715</v>
      </c>
      <c r="M13149" s="36">
        <v>0</v>
      </c>
      <c r="T13149" s="41">
        <v>0</v>
      </c>
      <c r="U13149" s="41">
        <v>0</v>
      </c>
      <c r="V13149" s="42" t="s">
        <v>113</v>
      </c>
      <c r="W13149" s="42">
        <v>19700</v>
      </c>
      <c r="X13149" s="42">
        <v>19700</v>
      </c>
    </row>
    <row r="13150" spans="1:24">
      <c r="A13150" s="27" t="s">
        <v>23559</v>
      </c>
      <c r="B13150" s="28" t="s">
        <v>19918</v>
      </c>
      <c r="C13150" s="27" t="s">
        <v>23560</v>
      </c>
      <c r="D13150" s="27" t="s">
        <v>20772</v>
      </c>
      <c r="E13150" s="29">
        <v>43799</v>
      </c>
      <c r="F13150" s="27">
        <v>8</v>
      </c>
      <c r="G13150" s="18">
        <v>0</v>
      </c>
      <c r="H13150" s="27">
        <f t="shared" si="410"/>
        <v>0</v>
      </c>
      <c r="I13150" s="18">
        <v>0</v>
      </c>
      <c r="J13150" s="27">
        <v>442209.48</v>
      </c>
      <c r="K13150" s="18">
        <f t="shared" si="411"/>
        <v>0</v>
      </c>
      <c r="L13150" s="27">
        <v>4376.03</v>
      </c>
      <c r="M13150" s="36">
        <v>4376.03</v>
      </c>
      <c r="N13150" s="18" t="s">
        <v>123</v>
      </c>
      <c r="O13150" s="19">
        <v>442209.48</v>
      </c>
      <c r="T13150" s="41">
        <v>0</v>
      </c>
      <c r="U13150" s="41">
        <v>0</v>
      </c>
      <c r="V13150" s="42" t="s">
        <v>113</v>
      </c>
      <c r="W13150" s="42">
        <v>0</v>
      </c>
      <c r="X13150" s="42">
        <v>0</v>
      </c>
    </row>
    <row r="13151" spans="1:24">
      <c r="A13151" s="27" t="s">
        <v>23561</v>
      </c>
      <c r="B13151" s="28" t="s">
        <v>19918</v>
      </c>
      <c r="C13151" s="27" t="s">
        <v>23562</v>
      </c>
      <c r="D13151" s="27" t="s">
        <v>20772</v>
      </c>
      <c r="E13151" s="29">
        <v>43799</v>
      </c>
      <c r="F13151" s="27">
        <v>8</v>
      </c>
      <c r="G13151" s="18">
        <v>0</v>
      </c>
      <c r="H13151" s="27">
        <f t="shared" si="410"/>
        <v>0</v>
      </c>
      <c r="I13151" s="18">
        <v>0</v>
      </c>
      <c r="J13151" s="27">
        <v>147403.17000000001</v>
      </c>
      <c r="K13151" s="18">
        <f t="shared" si="411"/>
        <v>0</v>
      </c>
      <c r="L13151" s="27">
        <v>1458.68</v>
      </c>
      <c r="M13151" s="36">
        <v>1458.68</v>
      </c>
      <c r="N13151" s="18" t="s">
        <v>123</v>
      </c>
      <c r="O13151" s="19">
        <v>147403.17000000001</v>
      </c>
      <c r="T13151" s="41">
        <v>0</v>
      </c>
      <c r="U13151" s="41">
        <v>0</v>
      </c>
      <c r="V13151" s="42" t="s">
        <v>113</v>
      </c>
      <c r="W13151" s="42">
        <v>0</v>
      </c>
      <c r="X13151" s="42">
        <v>0</v>
      </c>
    </row>
    <row r="13152" spans="1:24">
      <c r="A13152" s="27" t="s">
        <v>23563</v>
      </c>
      <c r="B13152" s="28" t="s">
        <v>19918</v>
      </c>
      <c r="C13152" s="27" t="s">
        <v>23564</v>
      </c>
      <c r="D13152" s="27" t="s">
        <v>20772</v>
      </c>
      <c r="E13152" s="29">
        <v>43799</v>
      </c>
      <c r="F13152" s="27">
        <v>8</v>
      </c>
      <c r="G13152" s="18">
        <v>0</v>
      </c>
      <c r="H13152" s="27">
        <f t="shared" si="410"/>
        <v>0</v>
      </c>
      <c r="I13152" s="18">
        <v>0</v>
      </c>
      <c r="J13152" s="27">
        <v>147403.16</v>
      </c>
      <c r="K13152" s="18">
        <f t="shared" si="411"/>
        <v>0</v>
      </c>
      <c r="L13152" s="27">
        <v>1458.68</v>
      </c>
      <c r="M13152" s="36">
        <v>1458.68</v>
      </c>
      <c r="N13152" s="18" t="s">
        <v>123</v>
      </c>
      <c r="O13152" s="19">
        <v>147403.16</v>
      </c>
      <c r="T13152" s="41">
        <v>0</v>
      </c>
      <c r="U13152" s="41">
        <v>0</v>
      </c>
      <c r="V13152" s="42" t="s">
        <v>113</v>
      </c>
      <c r="W13152" s="42">
        <v>0</v>
      </c>
      <c r="X13152" s="42">
        <v>0</v>
      </c>
    </row>
    <row r="13153" spans="1:24">
      <c r="A13153" s="27" t="s">
        <v>23565</v>
      </c>
      <c r="B13153" s="28" t="s">
        <v>19918</v>
      </c>
      <c r="C13153" s="27" t="s">
        <v>23566</v>
      </c>
      <c r="D13153" s="27" t="s">
        <v>20772</v>
      </c>
      <c r="E13153" s="29">
        <v>43799</v>
      </c>
      <c r="F13153" s="27">
        <v>8</v>
      </c>
      <c r="G13153" s="18">
        <v>0</v>
      </c>
      <c r="H13153" s="27">
        <f t="shared" si="410"/>
        <v>0</v>
      </c>
      <c r="I13153" s="18">
        <v>0</v>
      </c>
      <c r="J13153" s="27">
        <v>442209.47</v>
      </c>
      <c r="K13153" s="18">
        <f t="shared" si="411"/>
        <v>0</v>
      </c>
      <c r="L13153" s="27">
        <v>4376.03</v>
      </c>
      <c r="M13153" s="36">
        <v>4376.03</v>
      </c>
      <c r="N13153" s="18" t="s">
        <v>123</v>
      </c>
      <c r="O13153" s="19">
        <v>442209.47</v>
      </c>
      <c r="T13153" s="41">
        <v>0</v>
      </c>
      <c r="U13153" s="41">
        <v>0</v>
      </c>
      <c r="V13153" s="42" t="s">
        <v>113</v>
      </c>
      <c r="W13153" s="42">
        <v>0</v>
      </c>
      <c r="X13153" s="42">
        <v>0</v>
      </c>
    </row>
    <row r="13154" spans="1:24">
      <c r="A13154" s="27" t="s">
        <v>23567</v>
      </c>
      <c r="B13154" s="28" t="s">
        <v>19918</v>
      </c>
      <c r="C13154" s="27" t="s">
        <v>23568</v>
      </c>
      <c r="D13154" s="27" t="s">
        <v>20772</v>
      </c>
      <c r="E13154" s="29">
        <v>43799</v>
      </c>
      <c r="F13154" s="27">
        <v>8</v>
      </c>
      <c r="G13154" s="18">
        <v>0</v>
      </c>
      <c r="H13154" s="27">
        <f t="shared" si="410"/>
        <v>0</v>
      </c>
      <c r="I13154" s="18">
        <v>0</v>
      </c>
      <c r="J13154" s="27">
        <v>353767.57</v>
      </c>
      <c r="K13154" s="18">
        <f t="shared" si="411"/>
        <v>0</v>
      </c>
      <c r="L13154" s="27">
        <v>3500.82</v>
      </c>
      <c r="M13154" s="36">
        <v>3500.82</v>
      </c>
      <c r="N13154" s="18" t="s">
        <v>123</v>
      </c>
      <c r="O13154" s="19">
        <v>353767.57</v>
      </c>
      <c r="T13154" s="41">
        <v>0</v>
      </c>
      <c r="U13154" s="41">
        <v>0</v>
      </c>
      <c r="V13154" s="42" t="s">
        <v>113</v>
      </c>
      <c r="W13154" s="42">
        <v>0</v>
      </c>
      <c r="X13154" s="42">
        <v>0</v>
      </c>
    </row>
    <row r="13155" spans="1:24">
      <c r="A13155" s="27" t="s">
        <v>23569</v>
      </c>
      <c r="B13155" s="28" t="s">
        <v>19890</v>
      </c>
      <c r="C13155" s="27" t="s">
        <v>23570</v>
      </c>
      <c r="D13155" s="27" t="s">
        <v>17558</v>
      </c>
      <c r="E13155" s="29">
        <v>35795</v>
      </c>
      <c r="F13155" s="27">
        <v>12</v>
      </c>
      <c r="G13155" s="18">
        <v>8470.48</v>
      </c>
      <c r="H13155" s="27">
        <f t="shared" si="410"/>
        <v>8470.48</v>
      </c>
      <c r="I13155" s="18">
        <v>8046.96</v>
      </c>
      <c r="J13155" s="27">
        <v>8470.48</v>
      </c>
      <c r="K13155" s="18">
        <f t="shared" si="411"/>
        <v>8470.48</v>
      </c>
      <c r="L13155" s="27">
        <v>8046.96</v>
      </c>
      <c r="M13155" s="36">
        <v>0</v>
      </c>
      <c r="T13155" s="41">
        <v>0</v>
      </c>
      <c r="U13155" s="41">
        <v>0</v>
      </c>
      <c r="V13155" s="42" t="s">
        <v>113</v>
      </c>
      <c r="W13155" s="42">
        <v>8470.48</v>
      </c>
      <c r="X13155" s="42">
        <v>8470.48</v>
      </c>
    </row>
    <row r="13156" spans="1:24">
      <c r="A13156" s="27" t="s">
        <v>23571</v>
      </c>
      <c r="B13156" s="28" t="s">
        <v>19890</v>
      </c>
      <c r="C13156" s="27" t="s">
        <v>23572</v>
      </c>
      <c r="D13156" s="27" t="s">
        <v>17558</v>
      </c>
      <c r="E13156" s="29">
        <v>32754</v>
      </c>
      <c r="F13156" s="27">
        <v>12</v>
      </c>
      <c r="G13156" s="18">
        <v>9990</v>
      </c>
      <c r="H13156" s="27">
        <f t="shared" si="410"/>
        <v>9990</v>
      </c>
      <c r="I13156" s="18">
        <v>9490.5</v>
      </c>
      <c r="J13156" s="27">
        <v>9990</v>
      </c>
      <c r="K13156" s="18">
        <f t="shared" si="411"/>
        <v>9990</v>
      </c>
      <c r="L13156" s="27">
        <v>9490.5</v>
      </c>
      <c r="M13156" s="36">
        <v>0</v>
      </c>
      <c r="T13156" s="41">
        <v>0</v>
      </c>
      <c r="U13156" s="41">
        <v>0</v>
      </c>
      <c r="V13156" s="42" t="s">
        <v>113</v>
      </c>
      <c r="W13156" s="42">
        <v>9990</v>
      </c>
      <c r="X13156" s="42">
        <v>9990</v>
      </c>
    </row>
    <row r="13157" spans="1:24">
      <c r="A13157" s="27" t="s">
        <v>23573</v>
      </c>
      <c r="B13157" s="28" t="s">
        <v>19890</v>
      </c>
      <c r="C13157" s="27" t="s">
        <v>23574</v>
      </c>
      <c r="D13157" s="27" t="s">
        <v>17558</v>
      </c>
      <c r="E13157" s="29">
        <v>35795</v>
      </c>
      <c r="F13157" s="27">
        <v>12</v>
      </c>
      <c r="G13157" s="18">
        <v>19862.62</v>
      </c>
      <c r="H13157" s="27">
        <f t="shared" si="410"/>
        <v>19862.62</v>
      </c>
      <c r="I13157" s="18">
        <v>18869.490000000002</v>
      </c>
      <c r="J13157" s="27">
        <v>19862.62</v>
      </c>
      <c r="K13157" s="18">
        <f t="shared" si="411"/>
        <v>19862.62</v>
      </c>
      <c r="L13157" s="27">
        <v>18869.490000000002</v>
      </c>
      <c r="M13157" s="36">
        <v>0</v>
      </c>
      <c r="T13157" s="41">
        <v>0</v>
      </c>
      <c r="U13157" s="41">
        <v>0</v>
      </c>
      <c r="V13157" s="42" t="s">
        <v>113</v>
      </c>
      <c r="W13157" s="42">
        <v>19862.62</v>
      </c>
      <c r="X13157" s="42">
        <v>19862.62</v>
      </c>
    </row>
    <row r="13158" spans="1:24">
      <c r="A13158" s="27" t="s">
        <v>23575</v>
      </c>
      <c r="B13158" s="28" t="s">
        <v>19890</v>
      </c>
      <c r="C13158" s="27" t="s">
        <v>23576</v>
      </c>
      <c r="D13158" s="27" t="s">
        <v>17558</v>
      </c>
      <c r="E13158" s="29">
        <v>35795</v>
      </c>
      <c r="F13158" s="27">
        <v>12</v>
      </c>
      <c r="G13158" s="18">
        <v>19862.62</v>
      </c>
      <c r="H13158" s="27">
        <f t="shared" si="410"/>
        <v>19862.62</v>
      </c>
      <c r="I13158" s="18">
        <v>18869.490000000002</v>
      </c>
      <c r="J13158" s="27">
        <v>19862.62</v>
      </c>
      <c r="K13158" s="18">
        <f t="shared" si="411"/>
        <v>19862.62</v>
      </c>
      <c r="L13158" s="27">
        <v>18869.490000000002</v>
      </c>
      <c r="M13158" s="36">
        <v>0</v>
      </c>
      <c r="T13158" s="41">
        <v>0</v>
      </c>
      <c r="U13158" s="41">
        <v>0</v>
      </c>
      <c r="V13158" s="42" t="s">
        <v>113</v>
      </c>
      <c r="W13158" s="42">
        <v>19862.62</v>
      </c>
      <c r="X13158" s="42">
        <v>19862.62</v>
      </c>
    </row>
    <row r="13159" spans="1:24">
      <c r="A13159" s="27" t="s">
        <v>23577</v>
      </c>
      <c r="B13159" s="28" t="s">
        <v>19890</v>
      </c>
      <c r="C13159" s="27" t="s">
        <v>23578</v>
      </c>
      <c r="D13159" s="27" t="s">
        <v>17558</v>
      </c>
      <c r="E13159" s="29">
        <v>35795</v>
      </c>
      <c r="F13159" s="27">
        <v>12</v>
      </c>
      <c r="G13159" s="18">
        <v>19862.62</v>
      </c>
      <c r="H13159" s="27">
        <f t="shared" si="410"/>
        <v>19862.62</v>
      </c>
      <c r="I13159" s="18">
        <v>18869.490000000002</v>
      </c>
      <c r="J13159" s="27">
        <v>19862.62</v>
      </c>
      <c r="K13159" s="18">
        <f t="shared" si="411"/>
        <v>19862.62</v>
      </c>
      <c r="L13159" s="27">
        <v>18869.490000000002</v>
      </c>
      <c r="M13159" s="36">
        <v>0</v>
      </c>
      <c r="T13159" s="41">
        <v>0</v>
      </c>
      <c r="U13159" s="41">
        <v>0</v>
      </c>
      <c r="V13159" s="42" t="s">
        <v>113</v>
      </c>
      <c r="W13159" s="42">
        <v>19862.62</v>
      </c>
      <c r="X13159" s="42">
        <v>19862.62</v>
      </c>
    </row>
    <row r="13160" spans="1:24">
      <c r="A13160" s="27" t="s">
        <v>23579</v>
      </c>
      <c r="B13160" s="28" t="s">
        <v>19890</v>
      </c>
      <c r="C13160" s="27" t="s">
        <v>23580</v>
      </c>
      <c r="D13160" s="27" t="s">
        <v>23581</v>
      </c>
      <c r="E13160" s="29">
        <v>35795</v>
      </c>
      <c r="F13160" s="27">
        <v>12</v>
      </c>
      <c r="G13160" s="18">
        <v>17402.11</v>
      </c>
      <c r="H13160" s="27">
        <f t="shared" si="410"/>
        <v>17402.11</v>
      </c>
      <c r="I13160" s="18">
        <v>16532</v>
      </c>
      <c r="J13160" s="27">
        <v>17402.11</v>
      </c>
      <c r="K13160" s="18">
        <f t="shared" si="411"/>
        <v>17402.11</v>
      </c>
      <c r="L13160" s="27">
        <v>16532</v>
      </c>
      <c r="M13160" s="36">
        <v>0</v>
      </c>
      <c r="T13160" s="41">
        <v>0</v>
      </c>
      <c r="U13160" s="41">
        <v>0</v>
      </c>
      <c r="V13160" s="42" t="s">
        <v>113</v>
      </c>
      <c r="W13160" s="42">
        <v>17402.11</v>
      </c>
      <c r="X13160" s="42">
        <v>17402.11</v>
      </c>
    </row>
    <row r="13161" spans="1:24">
      <c r="A13161" s="27" t="s">
        <v>23582</v>
      </c>
      <c r="B13161" s="28" t="s">
        <v>19890</v>
      </c>
      <c r="C13161" s="27" t="s">
        <v>23583</v>
      </c>
      <c r="D13161" s="27" t="s">
        <v>17558</v>
      </c>
      <c r="E13161" s="29">
        <v>35795</v>
      </c>
      <c r="F13161" s="27">
        <v>12</v>
      </c>
      <c r="G13161" s="18">
        <v>17402.11</v>
      </c>
      <c r="H13161" s="27">
        <f t="shared" si="410"/>
        <v>17402.11</v>
      </c>
      <c r="I13161" s="18">
        <v>16532</v>
      </c>
      <c r="J13161" s="27">
        <v>17402.11</v>
      </c>
      <c r="K13161" s="18">
        <f t="shared" si="411"/>
        <v>17402.11</v>
      </c>
      <c r="L13161" s="27">
        <v>16532</v>
      </c>
      <c r="M13161" s="36">
        <v>0</v>
      </c>
      <c r="T13161" s="41">
        <v>0</v>
      </c>
      <c r="U13161" s="41">
        <v>0</v>
      </c>
      <c r="V13161" s="42" t="s">
        <v>113</v>
      </c>
      <c r="W13161" s="42">
        <v>17402.11</v>
      </c>
      <c r="X13161" s="42">
        <v>17402.11</v>
      </c>
    </row>
    <row r="13162" spans="1:24">
      <c r="A13162" s="27" t="s">
        <v>23584</v>
      </c>
      <c r="B13162" s="28" t="s">
        <v>19890</v>
      </c>
      <c r="C13162" s="27" t="s">
        <v>23585</v>
      </c>
      <c r="D13162" s="27" t="s">
        <v>17558</v>
      </c>
      <c r="E13162" s="29">
        <v>35795</v>
      </c>
      <c r="F13162" s="27">
        <v>12</v>
      </c>
      <c r="G13162" s="18">
        <v>17402.11</v>
      </c>
      <c r="H13162" s="27">
        <f t="shared" si="410"/>
        <v>17402.11</v>
      </c>
      <c r="I13162" s="18">
        <v>16532</v>
      </c>
      <c r="J13162" s="27">
        <v>17402.11</v>
      </c>
      <c r="K13162" s="18">
        <f t="shared" si="411"/>
        <v>17402.11</v>
      </c>
      <c r="L13162" s="27">
        <v>16532</v>
      </c>
      <c r="M13162" s="36">
        <v>0</v>
      </c>
      <c r="T13162" s="41">
        <v>0</v>
      </c>
      <c r="U13162" s="41">
        <v>0</v>
      </c>
      <c r="V13162" s="42" t="s">
        <v>113</v>
      </c>
      <c r="W13162" s="42">
        <v>17402.11</v>
      </c>
      <c r="X13162" s="42">
        <v>17402.11</v>
      </c>
    </row>
    <row r="13163" spans="1:24">
      <c r="A13163" s="27" t="s">
        <v>23586</v>
      </c>
      <c r="B13163" s="28" t="s">
        <v>19890</v>
      </c>
      <c r="C13163" s="27" t="s">
        <v>23587</v>
      </c>
      <c r="D13163" s="27" t="s">
        <v>17558</v>
      </c>
      <c r="E13163" s="29">
        <v>35795</v>
      </c>
      <c r="F13163" s="27">
        <v>12</v>
      </c>
      <c r="G13163" s="18">
        <v>17402.11</v>
      </c>
      <c r="H13163" s="27">
        <f t="shared" si="410"/>
        <v>17402.11</v>
      </c>
      <c r="I13163" s="18">
        <v>16532</v>
      </c>
      <c r="J13163" s="27">
        <v>17402.11</v>
      </c>
      <c r="K13163" s="18">
        <f t="shared" si="411"/>
        <v>17402.11</v>
      </c>
      <c r="L13163" s="27">
        <v>16532</v>
      </c>
      <c r="M13163" s="36">
        <v>0</v>
      </c>
      <c r="T13163" s="41">
        <v>0</v>
      </c>
      <c r="U13163" s="41">
        <v>0</v>
      </c>
      <c r="V13163" s="42" t="s">
        <v>113</v>
      </c>
      <c r="W13163" s="42">
        <v>17402.11</v>
      </c>
      <c r="X13163" s="42">
        <v>17402.11</v>
      </c>
    </row>
    <row r="13164" spans="1:24">
      <c r="A13164" s="27" t="s">
        <v>23588</v>
      </c>
      <c r="B13164" s="28" t="s">
        <v>19890</v>
      </c>
      <c r="C13164" s="27" t="s">
        <v>23589</v>
      </c>
      <c r="D13164" s="27" t="s">
        <v>17558</v>
      </c>
      <c r="E13164" s="29">
        <v>35795</v>
      </c>
      <c r="F13164" s="27">
        <v>12</v>
      </c>
      <c r="G13164" s="18">
        <v>9626.11</v>
      </c>
      <c r="H13164" s="27">
        <f t="shared" si="410"/>
        <v>9626.11</v>
      </c>
      <c r="I13164" s="18">
        <v>9144.7999999999993</v>
      </c>
      <c r="J13164" s="27">
        <v>0</v>
      </c>
      <c r="K13164" s="18">
        <f t="shared" si="411"/>
        <v>0</v>
      </c>
      <c r="L13164" s="27">
        <v>0</v>
      </c>
      <c r="M13164" s="36">
        <v>0</v>
      </c>
      <c r="Q13164" s="16" t="s">
        <v>19522</v>
      </c>
      <c r="R13164" s="16">
        <v>9626.11</v>
      </c>
      <c r="S13164" s="16">
        <v>9144.7999999999993</v>
      </c>
      <c r="T13164" s="41">
        <v>0</v>
      </c>
      <c r="U13164" s="41">
        <v>0</v>
      </c>
      <c r="V13164" s="42" t="s">
        <v>113</v>
      </c>
      <c r="W13164" s="42">
        <v>0</v>
      </c>
      <c r="X13164" s="42">
        <v>0</v>
      </c>
    </row>
    <row r="13165" spans="1:24">
      <c r="A13165" s="27" t="s">
        <v>23590</v>
      </c>
      <c r="B13165" s="28" t="s">
        <v>19890</v>
      </c>
      <c r="C13165" s="27" t="s">
        <v>23591</v>
      </c>
      <c r="D13165" s="27" t="s">
        <v>17558</v>
      </c>
      <c r="E13165" s="29">
        <v>35795</v>
      </c>
      <c r="F13165" s="27">
        <v>12</v>
      </c>
      <c r="G13165" s="18">
        <v>9626.11</v>
      </c>
      <c r="H13165" s="27">
        <f t="shared" si="410"/>
        <v>9626.11</v>
      </c>
      <c r="I13165" s="18">
        <v>9144.7999999999993</v>
      </c>
      <c r="J13165" s="27">
        <v>0</v>
      </c>
      <c r="K13165" s="18">
        <f t="shared" si="411"/>
        <v>0</v>
      </c>
      <c r="L13165" s="27">
        <v>0</v>
      </c>
      <c r="M13165" s="36">
        <v>0</v>
      </c>
      <c r="Q13165" s="16" t="s">
        <v>19522</v>
      </c>
      <c r="R13165" s="16">
        <v>9626.11</v>
      </c>
      <c r="S13165" s="16">
        <v>9144.7999999999993</v>
      </c>
      <c r="T13165" s="41">
        <v>0</v>
      </c>
      <c r="U13165" s="41">
        <v>0</v>
      </c>
      <c r="V13165" s="42" t="s">
        <v>113</v>
      </c>
      <c r="W13165" s="42">
        <v>0</v>
      </c>
      <c r="X13165" s="42">
        <v>0</v>
      </c>
    </row>
    <row r="13166" spans="1:24">
      <c r="A13166" s="27" t="s">
        <v>23592</v>
      </c>
      <c r="B13166" s="28" t="s">
        <v>19890</v>
      </c>
      <c r="C13166" s="27" t="s">
        <v>23593</v>
      </c>
      <c r="D13166" s="27" t="s">
        <v>17558</v>
      </c>
      <c r="E13166" s="29">
        <v>35795</v>
      </c>
      <c r="F13166" s="27">
        <v>12</v>
      </c>
      <c r="G13166" s="18">
        <v>9626.11</v>
      </c>
      <c r="H13166" s="27">
        <f t="shared" si="410"/>
        <v>9626.11</v>
      </c>
      <c r="I13166" s="18">
        <v>9144.7999999999993</v>
      </c>
      <c r="J13166" s="27">
        <v>0</v>
      </c>
      <c r="K13166" s="18">
        <f t="shared" si="411"/>
        <v>0</v>
      </c>
      <c r="L13166" s="27">
        <v>0</v>
      </c>
      <c r="M13166" s="36">
        <v>0</v>
      </c>
      <c r="Q13166" s="16" t="s">
        <v>19522</v>
      </c>
      <c r="R13166" s="16">
        <v>9626.11</v>
      </c>
      <c r="S13166" s="16">
        <v>9144.7999999999993</v>
      </c>
      <c r="T13166" s="41">
        <v>0</v>
      </c>
      <c r="U13166" s="41">
        <v>0</v>
      </c>
      <c r="V13166" s="42" t="s">
        <v>113</v>
      </c>
      <c r="W13166" s="42">
        <v>0</v>
      </c>
      <c r="X13166" s="42">
        <v>0</v>
      </c>
    </row>
    <row r="13167" spans="1:24">
      <c r="A13167" s="27" t="s">
        <v>23594</v>
      </c>
      <c r="B13167" s="28" t="s">
        <v>19890</v>
      </c>
      <c r="C13167" s="27" t="s">
        <v>23595</v>
      </c>
      <c r="D13167" s="27" t="s">
        <v>17558</v>
      </c>
      <c r="E13167" s="29">
        <v>35795</v>
      </c>
      <c r="F13167" s="27">
        <v>12</v>
      </c>
      <c r="G13167" s="18">
        <v>9626.11</v>
      </c>
      <c r="H13167" s="27">
        <f t="shared" si="410"/>
        <v>9626.11</v>
      </c>
      <c r="I13167" s="18">
        <v>9144.7999999999993</v>
      </c>
      <c r="J13167" s="27">
        <v>0</v>
      </c>
      <c r="K13167" s="18">
        <f t="shared" si="411"/>
        <v>0</v>
      </c>
      <c r="L13167" s="27">
        <v>0</v>
      </c>
      <c r="M13167" s="36">
        <v>0</v>
      </c>
      <c r="Q13167" s="16" t="s">
        <v>19522</v>
      </c>
      <c r="R13167" s="16">
        <v>9626.11</v>
      </c>
      <c r="S13167" s="16">
        <v>9144.7999999999993</v>
      </c>
      <c r="T13167" s="41">
        <v>0</v>
      </c>
      <c r="U13167" s="41">
        <v>0</v>
      </c>
      <c r="V13167" s="42" t="s">
        <v>113</v>
      </c>
      <c r="W13167" s="42">
        <v>0</v>
      </c>
      <c r="X13167" s="42">
        <v>0</v>
      </c>
    </row>
    <row r="13168" spans="1:24">
      <c r="A13168" s="27" t="s">
        <v>23596</v>
      </c>
      <c r="B13168" s="28" t="s">
        <v>19890</v>
      </c>
      <c r="C13168" s="27" t="s">
        <v>23597</v>
      </c>
      <c r="D13168" s="27" t="s">
        <v>17558</v>
      </c>
      <c r="E13168" s="29">
        <v>35795</v>
      </c>
      <c r="F13168" s="27">
        <v>12</v>
      </c>
      <c r="G13168" s="18">
        <v>9626.11</v>
      </c>
      <c r="H13168" s="27">
        <f t="shared" si="410"/>
        <v>9626.11</v>
      </c>
      <c r="I13168" s="18">
        <v>9144.7999999999993</v>
      </c>
      <c r="J13168" s="27">
        <v>0</v>
      </c>
      <c r="K13168" s="18">
        <f t="shared" si="411"/>
        <v>0</v>
      </c>
      <c r="L13168" s="27">
        <v>0</v>
      </c>
      <c r="M13168" s="36">
        <v>0</v>
      </c>
      <c r="Q13168" s="16" t="s">
        <v>19522</v>
      </c>
      <c r="R13168" s="16">
        <v>9626.11</v>
      </c>
      <c r="S13168" s="16">
        <v>9144.7999999999993</v>
      </c>
      <c r="T13168" s="41">
        <v>0</v>
      </c>
      <c r="U13168" s="41">
        <v>0</v>
      </c>
      <c r="V13168" s="42" t="s">
        <v>113</v>
      </c>
      <c r="W13168" s="42">
        <v>0</v>
      </c>
      <c r="X13168" s="42">
        <v>0</v>
      </c>
    </row>
    <row r="13169" spans="1:24">
      <c r="A13169" s="27" t="s">
        <v>23598</v>
      </c>
      <c r="B13169" s="28" t="s">
        <v>19890</v>
      </c>
      <c r="C13169" s="27" t="s">
        <v>23599</v>
      </c>
      <c r="D13169" s="27" t="s">
        <v>17558</v>
      </c>
      <c r="E13169" s="29">
        <v>35795</v>
      </c>
      <c r="F13169" s="27">
        <v>12</v>
      </c>
      <c r="G13169" s="18">
        <v>9626.11</v>
      </c>
      <c r="H13169" s="27">
        <f t="shared" si="410"/>
        <v>9626.11</v>
      </c>
      <c r="I13169" s="18">
        <v>9144.7999999999993</v>
      </c>
      <c r="J13169" s="27">
        <v>0</v>
      </c>
      <c r="K13169" s="18">
        <f t="shared" si="411"/>
        <v>0</v>
      </c>
      <c r="L13169" s="27">
        <v>0</v>
      </c>
      <c r="M13169" s="36">
        <v>0</v>
      </c>
      <c r="Q13169" s="16" t="s">
        <v>19522</v>
      </c>
      <c r="R13169" s="16">
        <v>9626.11</v>
      </c>
      <c r="S13169" s="16">
        <v>9144.7999999999993</v>
      </c>
      <c r="T13169" s="41">
        <v>0</v>
      </c>
      <c r="U13169" s="41">
        <v>0</v>
      </c>
      <c r="V13169" s="42" t="s">
        <v>113</v>
      </c>
      <c r="W13169" s="42">
        <v>0</v>
      </c>
      <c r="X13169" s="42">
        <v>0</v>
      </c>
    </row>
    <row r="13170" spans="1:24">
      <c r="A13170" s="27" t="s">
        <v>23600</v>
      </c>
      <c r="B13170" s="28" t="s">
        <v>19890</v>
      </c>
      <c r="C13170" s="27" t="s">
        <v>23601</v>
      </c>
      <c r="D13170" s="27" t="s">
        <v>17558</v>
      </c>
      <c r="E13170" s="29">
        <v>35795</v>
      </c>
      <c r="F13170" s="27">
        <v>12</v>
      </c>
      <c r="G13170" s="18">
        <v>9626.11</v>
      </c>
      <c r="H13170" s="27">
        <f t="shared" si="410"/>
        <v>9626.11</v>
      </c>
      <c r="I13170" s="18">
        <v>9144.7999999999993</v>
      </c>
      <c r="J13170" s="27">
        <v>0</v>
      </c>
      <c r="K13170" s="18">
        <f t="shared" si="411"/>
        <v>0</v>
      </c>
      <c r="L13170" s="27">
        <v>0</v>
      </c>
      <c r="M13170" s="36">
        <v>0</v>
      </c>
      <c r="Q13170" s="16" t="s">
        <v>19522</v>
      </c>
      <c r="R13170" s="16">
        <v>9626.11</v>
      </c>
      <c r="S13170" s="16">
        <v>9144.7999999999993</v>
      </c>
      <c r="T13170" s="41">
        <v>0</v>
      </c>
      <c r="U13170" s="41">
        <v>0</v>
      </c>
      <c r="V13170" s="42" t="s">
        <v>113</v>
      </c>
      <c r="W13170" s="42">
        <v>0</v>
      </c>
      <c r="X13170" s="42">
        <v>0</v>
      </c>
    </row>
    <row r="13171" spans="1:24">
      <c r="A13171" s="27" t="s">
        <v>23602</v>
      </c>
      <c r="B13171" s="28" t="s">
        <v>19890</v>
      </c>
      <c r="C13171" s="27" t="s">
        <v>23603</v>
      </c>
      <c r="D13171" s="27" t="s">
        <v>17558</v>
      </c>
      <c r="E13171" s="29">
        <v>35795</v>
      </c>
      <c r="F13171" s="27">
        <v>12</v>
      </c>
      <c r="G13171" s="18">
        <v>9626.11</v>
      </c>
      <c r="H13171" s="27">
        <f t="shared" si="410"/>
        <v>9626.11</v>
      </c>
      <c r="I13171" s="18">
        <v>9144.7999999999993</v>
      </c>
      <c r="J13171" s="27">
        <v>0</v>
      </c>
      <c r="K13171" s="18">
        <f t="shared" si="411"/>
        <v>0</v>
      </c>
      <c r="L13171" s="27">
        <v>0</v>
      </c>
      <c r="M13171" s="36">
        <v>0</v>
      </c>
      <c r="Q13171" s="16" t="s">
        <v>19522</v>
      </c>
      <c r="R13171" s="16">
        <v>9626.11</v>
      </c>
      <c r="S13171" s="16">
        <v>9144.7999999999993</v>
      </c>
      <c r="T13171" s="41">
        <v>0</v>
      </c>
      <c r="U13171" s="41">
        <v>0</v>
      </c>
      <c r="V13171" s="42" t="s">
        <v>113</v>
      </c>
      <c r="W13171" s="42">
        <v>0</v>
      </c>
      <c r="X13171" s="42">
        <v>0</v>
      </c>
    </row>
    <row r="13172" spans="1:24">
      <c r="A13172" s="27" t="s">
        <v>23604</v>
      </c>
      <c r="B13172" s="28" t="s">
        <v>19890</v>
      </c>
      <c r="C13172" s="27" t="s">
        <v>23605</v>
      </c>
      <c r="D13172" s="27" t="s">
        <v>17558</v>
      </c>
      <c r="E13172" s="29">
        <v>35795</v>
      </c>
      <c r="F13172" s="27">
        <v>12</v>
      </c>
      <c r="G13172" s="18">
        <v>9626.11</v>
      </c>
      <c r="H13172" s="27">
        <f t="shared" si="410"/>
        <v>9626.11</v>
      </c>
      <c r="I13172" s="18">
        <v>9144.7999999999993</v>
      </c>
      <c r="J13172" s="27">
        <v>0</v>
      </c>
      <c r="K13172" s="18">
        <f t="shared" si="411"/>
        <v>0</v>
      </c>
      <c r="L13172" s="27">
        <v>0</v>
      </c>
      <c r="M13172" s="36">
        <v>0</v>
      </c>
      <c r="Q13172" s="16" t="s">
        <v>19522</v>
      </c>
      <c r="R13172" s="16">
        <v>9626.11</v>
      </c>
      <c r="S13172" s="16">
        <v>9144.7999999999993</v>
      </c>
      <c r="T13172" s="41">
        <v>0</v>
      </c>
      <c r="U13172" s="41">
        <v>0</v>
      </c>
      <c r="V13172" s="42" t="s">
        <v>113</v>
      </c>
      <c r="W13172" s="42">
        <v>0</v>
      </c>
      <c r="X13172" s="42">
        <v>0</v>
      </c>
    </row>
    <row r="13173" spans="1:24">
      <c r="A13173" s="27" t="s">
        <v>23606</v>
      </c>
      <c r="B13173" s="28" t="s">
        <v>19890</v>
      </c>
      <c r="C13173" s="27" t="s">
        <v>23607</v>
      </c>
      <c r="D13173" s="27" t="s">
        <v>23581</v>
      </c>
      <c r="E13173" s="29">
        <v>35795</v>
      </c>
      <c r="F13173" s="27">
        <v>12</v>
      </c>
      <c r="G13173" s="18">
        <v>17402.11</v>
      </c>
      <c r="H13173" s="27">
        <f t="shared" si="410"/>
        <v>17402.11</v>
      </c>
      <c r="I13173" s="18">
        <v>16532</v>
      </c>
      <c r="J13173" s="27">
        <v>17402.11</v>
      </c>
      <c r="K13173" s="18">
        <f t="shared" si="411"/>
        <v>17402.11</v>
      </c>
      <c r="L13173" s="27">
        <v>16532</v>
      </c>
      <c r="M13173" s="36">
        <v>0</v>
      </c>
      <c r="T13173" s="41">
        <v>0</v>
      </c>
      <c r="U13173" s="41">
        <v>0</v>
      </c>
      <c r="V13173" s="42" t="s">
        <v>113</v>
      </c>
      <c r="W13173" s="42">
        <v>17402.11</v>
      </c>
      <c r="X13173" s="42">
        <v>17402.11</v>
      </c>
    </row>
    <row r="13174" spans="1:24">
      <c r="A13174" s="27" t="s">
        <v>23608</v>
      </c>
      <c r="B13174" s="28" t="s">
        <v>19890</v>
      </c>
      <c r="C13174" s="27" t="s">
        <v>23609</v>
      </c>
      <c r="D13174" s="27" t="s">
        <v>23581</v>
      </c>
      <c r="E13174" s="29">
        <v>35795</v>
      </c>
      <c r="F13174" s="27">
        <v>12</v>
      </c>
      <c r="G13174" s="18">
        <v>17402.11</v>
      </c>
      <c r="H13174" s="27">
        <f t="shared" si="410"/>
        <v>17402.11</v>
      </c>
      <c r="I13174" s="18">
        <v>16532</v>
      </c>
      <c r="J13174" s="27">
        <v>17402.11</v>
      </c>
      <c r="K13174" s="18">
        <f t="shared" si="411"/>
        <v>17402.11</v>
      </c>
      <c r="L13174" s="27">
        <v>16532</v>
      </c>
      <c r="M13174" s="36">
        <v>0</v>
      </c>
      <c r="T13174" s="41">
        <v>0</v>
      </c>
      <c r="U13174" s="41">
        <v>0</v>
      </c>
      <c r="V13174" s="42" t="s">
        <v>113</v>
      </c>
      <c r="W13174" s="42">
        <v>17402.11</v>
      </c>
      <c r="X13174" s="42">
        <v>17402.11</v>
      </c>
    </row>
    <row r="13175" spans="1:24">
      <c r="A13175" s="27" t="s">
        <v>23610</v>
      </c>
      <c r="B13175" s="28" t="s">
        <v>19890</v>
      </c>
      <c r="C13175" s="27" t="s">
        <v>23576</v>
      </c>
      <c r="D13175" s="27" t="s">
        <v>17558</v>
      </c>
      <c r="E13175" s="29">
        <v>35795</v>
      </c>
      <c r="F13175" s="27">
        <v>12</v>
      </c>
      <c r="G13175" s="18">
        <v>51855.75</v>
      </c>
      <c r="H13175" s="27">
        <f t="shared" si="410"/>
        <v>51855.75</v>
      </c>
      <c r="I13175" s="18">
        <v>49262.96</v>
      </c>
      <c r="J13175" s="27">
        <v>51855.75</v>
      </c>
      <c r="K13175" s="18">
        <f t="shared" si="411"/>
        <v>51855.75</v>
      </c>
      <c r="L13175" s="27">
        <v>49262.96</v>
      </c>
      <c r="M13175" s="36">
        <v>0</v>
      </c>
      <c r="T13175" s="41">
        <v>0</v>
      </c>
      <c r="U13175" s="41">
        <v>0</v>
      </c>
      <c r="V13175" s="42" t="s">
        <v>113</v>
      </c>
      <c r="W13175" s="42">
        <v>51855.75</v>
      </c>
      <c r="X13175" s="42">
        <v>51855.75</v>
      </c>
    </row>
    <row r="13176" spans="1:24">
      <c r="A13176" s="27" t="s">
        <v>23611</v>
      </c>
      <c r="B13176" s="28" t="s">
        <v>19890</v>
      </c>
      <c r="C13176" s="27" t="s">
        <v>23578</v>
      </c>
      <c r="D13176" s="27" t="s">
        <v>17558</v>
      </c>
      <c r="E13176" s="29">
        <v>35795</v>
      </c>
      <c r="F13176" s="27">
        <v>12</v>
      </c>
      <c r="G13176" s="18">
        <v>51855.75</v>
      </c>
      <c r="H13176" s="27">
        <f t="shared" si="410"/>
        <v>51855.75</v>
      </c>
      <c r="I13176" s="18">
        <v>49262.96</v>
      </c>
      <c r="J13176" s="27">
        <v>51855.75</v>
      </c>
      <c r="K13176" s="18">
        <f t="shared" si="411"/>
        <v>51855.75</v>
      </c>
      <c r="L13176" s="27">
        <v>49262.96</v>
      </c>
      <c r="M13176" s="36">
        <v>0</v>
      </c>
      <c r="T13176" s="41">
        <v>0</v>
      </c>
      <c r="U13176" s="41">
        <v>0</v>
      </c>
      <c r="V13176" s="42" t="s">
        <v>113</v>
      </c>
      <c r="W13176" s="42">
        <v>51855.75</v>
      </c>
      <c r="X13176" s="42">
        <v>51855.75</v>
      </c>
    </row>
    <row r="13177" spans="1:24">
      <c r="A13177" s="27" t="s">
        <v>23612</v>
      </c>
      <c r="B13177" s="28" t="s">
        <v>19890</v>
      </c>
      <c r="C13177" s="27" t="s">
        <v>23589</v>
      </c>
      <c r="D13177" s="27" t="s">
        <v>17558</v>
      </c>
      <c r="E13177" s="29">
        <v>35795</v>
      </c>
      <c r="F13177" s="27">
        <v>12</v>
      </c>
      <c r="G13177" s="18">
        <v>15627.02</v>
      </c>
      <c r="H13177" s="27">
        <f t="shared" si="410"/>
        <v>15627.02</v>
      </c>
      <c r="I13177" s="18">
        <v>14845.67</v>
      </c>
      <c r="J13177" s="27">
        <v>15627.02</v>
      </c>
      <c r="K13177" s="18">
        <f t="shared" si="411"/>
        <v>15627.02</v>
      </c>
      <c r="L13177" s="27">
        <v>14845.67</v>
      </c>
      <c r="M13177" s="36">
        <v>0</v>
      </c>
      <c r="T13177" s="41">
        <v>0</v>
      </c>
      <c r="U13177" s="41">
        <v>0</v>
      </c>
      <c r="V13177" s="42" t="s">
        <v>113</v>
      </c>
      <c r="W13177" s="42">
        <v>15627.02</v>
      </c>
      <c r="X13177" s="42">
        <v>15627.02</v>
      </c>
    </row>
    <row r="13178" spans="1:24">
      <c r="A13178" s="27" t="s">
        <v>23613</v>
      </c>
      <c r="B13178" s="28" t="s">
        <v>19890</v>
      </c>
      <c r="C13178" s="27" t="s">
        <v>23591</v>
      </c>
      <c r="D13178" s="27" t="s">
        <v>17558</v>
      </c>
      <c r="E13178" s="29">
        <v>35795</v>
      </c>
      <c r="F13178" s="27">
        <v>12</v>
      </c>
      <c r="G13178" s="18">
        <v>15627.02</v>
      </c>
      <c r="H13178" s="27">
        <f t="shared" si="410"/>
        <v>15627.02</v>
      </c>
      <c r="I13178" s="18">
        <v>14845.67</v>
      </c>
      <c r="J13178" s="27">
        <v>15627.02</v>
      </c>
      <c r="K13178" s="18">
        <f t="shared" si="411"/>
        <v>15627.02</v>
      </c>
      <c r="L13178" s="27">
        <v>14845.67</v>
      </c>
      <c r="M13178" s="36">
        <v>0</v>
      </c>
      <c r="T13178" s="41">
        <v>0</v>
      </c>
      <c r="U13178" s="41">
        <v>0</v>
      </c>
      <c r="V13178" s="42" t="s">
        <v>113</v>
      </c>
      <c r="W13178" s="42">
        <v>15627.02</v>
      </c>
      <c r="X13178" s="42">
        <v>15627.02</v>
      </c>
    </row>
    <row r="13179" spans="1:24">
      <c r="A13179" s="27" t="s">
        <v>23614</v>
      </c>
      <c r="B13179" s="28" t="s">
        <v>19890</v>
      </c>
      <c r="C13179" s="27" t="s">
        <v>23593</v>
      </c>
      <c r="D13179" s="27" t="s">
        <v>17558</v>
      </c>
      <c r="E13179" s="29">
        <v>35795</v>
      </c>
      <c r="F13179" s="27">
        <v>12</v>
      </c>
      <c r="G13179" s="18">
        <v>15627.02</v>
      </c>
      <c r="H13179" s="27">
        <f t="shared" si="410"/>
        <v>15627.02</v>
      </c>
      <c r="I13179" s="18">
        <v>14845.67</v>
      </c>
      <c r="J13179" s="27">
        <v>15627.02</v>
      </c>
      <c r="K13179" s="18">
        <f t="shared" si="411"/>
        <v>15627.02</v>
      </c>
      <c r="L13179" s="27">
        <v>14845.67</v>
      </c>
      <c r="M13179" s="36">
        <v>0</v>
      </c>
      <c r="T13179" s="41">
        <v>0</v>
      </c>
      <c r="U13179" s="41">
        <v>0</v>
      </c>
      <c r="V13179" s="42" t="s">
        <v>113</v>
      </c>
      <c r="W13179" s="42">
        <v>15627.02</v>
      </c>
      <c r="X13179" s="42">
        <v>15627.02</v>
      </c>
    </row>
    <row r="13180" spans="1:24">
      <c r="A13180" s="27" t="s">
        <v>23615</v>
      </c>
      <c r="B13180" s="28" t="s">
        <v>19890</v>
      </c>
      <c r="C13180" s="27" t="s">
        <v>23595</v>
      </c>
      <c r="D13180" s="27" t="s">
        <v>17558</v>
      </c>
      <c r="E13180" s="29">
        <v>35795</v>
      </c>
      <c r="F13180" s="27">
        <v>12</v>
      </c>
      <c r="G13180" s="18">
        <v>15627.02</v>
      </c>
      <c r="H13180" s="27">
        <f t="shared" si="410"/>
        <v>15627.02</v>
      </c>
      <c r="I13180" s="18">
        <v>14845.67</v>
      </c>
      <c r="J13180" s="27">
        <v>15627.02</v>
      </c>
      <c r="K13180" s="18">
        <f t="shared" si="411"/>
        <v>15627.02</v>
      </c>
      <c r="L13180" s="27">
        <v>14845.67</v>
      </c>
      <c r="M13180" s="36">
        <v>0</v>
      </c>
      <c r="T13180" s="41">
        <v>0</v>
      </c>
      <c r="U13180" s="41">
        <v>0</v>
      </c>
      <c r="V13180" s="42" t="s">
        <v>113</v>
      </c>
      <c r="W13180" s="42">
        <v>15627.02</v>
      </c>
      <c r="X13180" s="42">
        <v>15627.02</v>
      </c>
    </row>
    <row r="13181" spans="1:24">
      <c r="A13181" s="27" t="s">
        <v>23616</v>
      </c>
      <c r="B13181" s="28" t="s">
        <v>19890</v>
      </c>
      <c r="C13181" s="27" t="s">
        <v>23597</v>
      </c>
      <c r="D13181" s="27" t="s">
        <v>17558</v>
      </c>
      <c r="E13181" s="29">
        <v>35795</v>
      </c>
      <c r="F13181" s="27">
        <v>12</v>
      </c>
      <c r="G13181" s="18">
        <v>15627.02</v>
      </c>
      <c r="H13181" s="27">
        <f t="shared" si="410"/>
        <v>15627.02</v>
      </c>
      <c r="I13181" s="18">
        <v>14845.67</v>
      </c>
      <c r="J13181" s="27">
        <v>15627.02</v>
      </c>
      <c r="K13181" s="18">
        <f t="shared" si="411"/>
        <v>15627.02</v>
      </c>
      <c r="L13181" s="27">
        <v>14845.67</v>
      </c>
      <c r="M13181" s="36">
        <v>0</v>
      </c>
      <c r="T13181" s="41">
        <v>0</v>
      </c>
      <c r="U13181" s="41">
        <v>0</v>
      </c>
      <c r="V13181" s="42" t="s">
        <v>113</v>
      </c>
      <c r="W13181" s="42">
        <v>15627.02</v>
      </c>
      <c r="X13181" s="42">
        <v>15627.02</v>
      </c>
    </row>
    <row r="13182" spans="1:24">
      <c r="A13182" s="27" t="s">
        <v>23617</v>
      </c>
      <c r="B13182" s="28" t="s">
        <v>19890</v>
      </c>
      <c r="C13182" s="27" t="s">
        <v>23599</v>
      </c>
      <c r="D13182" s="27" t="s">
        <v>17558</v>
      </c>
      <c r="E13182" s="29">
        <v>35795</v>
      </c>
      <c r="F13182" s="27">
        <v>12</v>
      </c>
      <c r="G13182" s="18">
        <v>15627.02</v>
      </c>
      <c r="H13182" s="27">
        <f t="shared" si="410"/>
        <v>15627.02</v>
      </c>
      <c r="I13182" s="18">
        <v>14845.67</v>
      </c>
      <c r="J13182" s="27">
        <v>15627.02</v>
      </c>
      <c r="K13182" s="18">
        <f t="shared" si="411"/>
        <v>15627.02</v>
      </c>
      <c r="L13182" s="27">
        <v>14845.67</v>
      </c>
      <c r="M13182" s="36">
        <v>0</v>
      </c>
      <c r="T13182" s="41">
        <v>0</v>
      </c>
      <c r="U13182" s="41">
        <v>0</v>
      </c>
      <c r="V13182" s="42" t="s">
        <v>113</v>
      </c>
      <c r="W13182" s="42">
        <v>15627.02</v>
      </c>
      <c r="X13182" s="42">
        <v>15627.02</v>
      </c>
    </row>
    <row r="13183" spans="1:24">
      <c r="A13183" s="27" t="s">
        <v>23618</v>
      </c>
      <c r="B13183" s="28" t="s">
        <v>19890</v>
      </c>
      <c r="C13183" s="27" t="s">
        <v>23619</v>
      </c>
      <c r="D13183" s="27" t="s">
        <v>17558</v>
      </c>
      <c r="E13183" s="29">
        <v>35795</v>
      </c>
      <c r="F13183" s="27">
        <v>12</v>
      </c>
      <c r="G13183" s="18">
        <v>51855.75</v>
      </c>
      <c r="H13183" s="27">
        <f t="shared" si="410"/>
        <v>51855.75</v>
      </c>
      <c r="I13183" s="18">
        <v>49262.96</v>
      </c>
      <c r="J13183" s="27">
        <v>51855.75</v>
      </c>
      <c r="K13183" s="18">
        <f t="shared" si="411"/>
        <v>51855.75</v>
      </c>
      <c r="L13183" s="27">
        <v>49262.96</v>
      </c>
      <c r="M13183" s="36">
        <v>0</v>
      </c>
      <c r="T13183" s="41">
        <v>0</v>
      </c>
      <c r="U13183" s="41">
        <v>0</v>
      </c>
      <c r="V13183" s="42" t="s">
        <v>113</v>
      </c>
      <c r="W13183" s="42">
        <v>51855.75</v>
      </c>
      <c r="X13183" s="42">
        <v>51855.75</v>
      </c>
    </row>
    <row r="13184" spans="1:24">
      <c r="A13184" s="27" t="s">
        <v>23620</v>
      </c>
      <c r="B13184" s="28" t="s">
        <v>19890</v>
      </c>
      <c r="C13184" s="27" t="s">
        <v>23621</v>
      </c>
      <c r="D13184" s="27" t="s">
        <v>23622</v>
      </c>
      <c r="E13184" s="29">
        <v>43799</v>
      </c>
      <c r="F13184" s="27">
        <v>12</v>
      </c>
      <c r="G13184" s="18">
        <v>0</v>
      </c>
      <c r="H13184" s="27">
        <f t="shared" si="410"/>
        <v>0</v>
      </c>
      <c r="I13184" s="18">
        <v>0</v>
      </c>
      <c r="J13184" s="27">
        <v>74500.33</v>
      </c>
      <c r="K13184" s="18">
        <f t="shared" si="411"/>
        <v>0</v>
      </c>
      <c r="L13184" s="27">
        <v>491.5</v>
      </c>
      <c r="M13184" s="36">
        <v>491.5</v>
      </c>
      <c r="N13184" s="18" t="s">
        <v>123</v>
      </c>
      <c r="O13184" s="19">
        <v>74500.33</v>
      </c>
      <c r="T13184" s="41">
        <v>0</v>
      </c>
      <c r="U13184" s="41">
        <v>0</v>
      </c>
      <c r="V13184" s="42" t="s">
        <v>113</v>
      </c>
      <c r="W13184" s="42">
        <v>0</v>
      </c>
      <c r="X13184" s="42">
        <v>0</v>
      </c>
    </row>
    <row r="13185" spans="1:24">
      <c r="A13185" s="27" t="s">
        <v>23623</v>
      </c>
      <c r="B13185" s="28" t="s">
        <v>19890</v>
      </c>
      <c r="C13185" s="27" t="s">
        <v>23624</v>
      </c>
      <c r="D13185" s="27" t="s">
        <v>23622</v>
      </c>
      <c r="E13185" s="29">
        <v>43799</v>
      </c>
      <c r="F13185" s="27">
        <v>12</v>
      </c>
      <c r="G13185" s="18">
        <v>0</v>
      </c>
      <c r="H13185" s="27">
        <f t="shared" si="410"/>
        <v>0</v>
      </c>
      <c r="I13185" s="18">
        <v>0</v>
      </c>
      <c r="J13185" s="27">
        <v>24833.43</v>
      </c>
      <c r="K13185" s="18">
        <f t="shared" si="411"/>
        <v>0</v>
      </c>
      <c r="L13185" s="27">
        <v>163.83000000000001</v>
      </c>
      <c r="M13185" s="36">
        <v>163.83000000000001</v>
      </c>
      <c r="N13185" s="18" t="s">
        <v>123</v>
      </c>
      <c r="O13185" s="19">
        <v>24833.43</v>
      </c>
      <c r="T13185" s="41">
        <v>0</v>
      </c>
      <c r="U13185" s="41">
        <v>0</v>
      </c>
      <c r="V13185" s="42" t="s">
        <v>113</v>
      </c>
      <c r="W13185" s="42">
        <v>0</v>
      </c>
      <c r="X13185" s="42">
        <v>0</v>
      </c>
    </row>
    <row r="13186" spans="1:24">
      <c r="A13186" s="27" t="s">
        <v>23625</v>
      </c>
      <c r="B13186" s="28" t="s">
        <v>19890</v>
      </c>
      <c r="C13186" s="27" t="s">
        <v>23626</v>
      </c>
      <c r="D13186" s="27" t="s">
        <v>23622</v>
      </c>
      <c r="E13186" s="29">
        <v>43799</v>
      </c>
      <c r="F13186" s="27">
        <v>12</v>
      </c>
      <c r="G13186" s="18">
        <v>0</v>
      </c>
      <c r="H13186" s="27">
        <f t="shared" si="410"/>
        <v>0</v>
      </c>
      <c r="I13186" s="18">
        <v>0</v>
      </c>
      <c r="J13186" s="27">
        <v>24833.43</v>
      </c>
      <c r="K13186" s="18">
        <f t="shared" si="411"/>
        <v>0</v>
      </c>
      <c r="L13186" s="27">
        <v>163.83000000000001</v>
      </c>
      <c r="M13186" s="36">
        <v>163.83000000000001</v>
      </c>
      <c r="N13186" s="18" t="s">
        <v>123</v>
      </c>
      <c r="O13186" s="19">
        <v>24833.43</v>
      </c>
      <c r="T13186" s="41">
        <v>0</v>
      </c>
      <c r="U13186" s="41">
        <v>0</v>
      </c>
      <c r="V13186" s="42" t="s">
        <v>113</v>
      </c>
      <c r="W13186" s="42">
        <v>0</v>
      </c>
      <c r="X13186" s="42">
        <v>0</v>
      </c>
    </row>
    <row r="13187" spans="1:24">
      <c r="A13187" s="27" t="s">
        <v>23627</v>
      </c>
      <c r="B13187" s="28" t="s">
        <v>19890</v>
      </c>
      <c r="C13187" s="27" t="s">
        <v>23628</v>
      </c>
      <c r="D13187" s="27" t="s">
        <v>23622</v>
      </c>
      <c r="E13187" s="29">
        <v>43799</v>
      </c>
      <c r="F13187" s="27">
        <v>12</v>
      </c>
      <c r="G13187" s="18">
        <v>0</v>
      </c>
      <c r="H13187" s="27">
        <f t="shared" si="410"/>
        <v>0</v>
      </c>
      <c r="I13187" s="18">
        <v>0</v>
      </c>
      <c r="J13187" s="27">
        <v>24833.43</v>
      </c>
      <c r="K13187" s="18">
        <f t="shared" si="411"/>
        <v>0</v>
      </c>
      <c r="L13187" s="27">
        <v>163.83000000000001</v>
      </c>
      <c r="M13187" s="36">
        <v>163.83000000000001</v>
      </c>
      <c r="N13187" s="18" t="s">
        <v>123</v>
      </c>
      <c r="O13187" s="19">
        <v>24833.43</v>
      </c>
      <c r="T13187" s="41">
        <v>0</v>
      </c>
      <c r="U13187" s="41">
        <v>0</v>
      </c>
      <c r="V13187" s="42" t="s">
        <v>113</v>
      </c>
      <c r="W13187" s="42">
        <v>0</v>
      </c>
      <c r="X13187" s="42">
        <v>0</v>
      </c>
    </row>
    <row r="13188" spans="1:24">
      <c r="A13188" s="27" t="s">
        <v>23629</v>
      </c>
      <c r="B13188" s="28" t="s">
        <v>19890</v>
      </c>
      <c r="C13188" s="27" t="s">
        <v>23630</v>
      </c>
      <c r="D13188" s="27" t="s">
        <v>23622</v>
      </c>
      <c r="E13188" s="29">
        <v>43799</v>
      </c>
      <c r="F13188" s="27">
        <v>12</v>
      </c>
      <c r="G13188" s="18">
        <v>0</v>
      </c>
      <c r="H13188" s="27">
        <f t="shared" si="410"/>
        <v>0</v>
      </c>
      <c r="I13188" s="18">
        <v>0</v>
      </c>
      <c r="J13188" s="27">
        <v>24833.43</v>
      </c>
      <c r="K13188" s="18">
        <f t="shared" si="411"/>
        <v>0</v>
      </c>
      <c r="L13188" s="27">
        <v>163.83000000000001</v>
      </c>
      <c r="M13188" s="36">
        <v>163.83000000000001</v>
      </c>
      <c r="N13188" s="18" t="s">
        <v>123</v>
      </c>
      <c r="O13188" s="19">
        <v>24833.43</v>
      </c>
      <c r="T13188" s="41">
        <v>0</v>
      </c>
      <c r="U13188" s="41">
        <v>0</v>
      </c>
      <c r="V13188" s="42" t="s">
        <v>113</v>
      </c>
      <c r="W13188" s="42">
        <v>0</v>
      </c>
      <c r="X13188" s="42">
        <v>0</v>
      </c>
    </row>
    <row r="13189" spans="1:24">
      <c r="A13189" s="27" t="s">
        <v>23631</v>
      </c>
      <c r="B13189" s="28" t="s">
        <v>19890</v>
      </c>
      <c r="C13189" s="27" t="s">
        <v>23632</v>
      </c>
      <c r="D13189" s="27" t="s">
        <v>23581</v>
      </c>
      <c r="E13189" s="29">
        <v>43799</v>
      </c>
      <c r="F13189" s="27">
        <v>12</v>
      </c>
      <c r="G13189" s="18">
        <v>0</v>
      </c>
      <c r="H13189" s="27">
        <f t="shared" si="410"/>
        <v>0</v>
      </c>
      <c r="I13189" s="18">
        <v>0</v>
      </c>
      <c r="J13189" s="27">
        <v>9027.17</v>
      </c>
      <c r="K13189" s="18">
        <f t="shared" si="411"/>
        <v>0</v>
      </c>
      <c r="L13189" s="27">
        <v>59.55</v>
      </c>
      <c r="M13189" s="36">
        <v>59.55</v>
      </c>
      <c r="N13189" s="18" t="s">
        <v>123</v>
      </c>
      <c r="O13189" s="19">
        <v>9027.17</v>
      </c>
      <c r="T13189" s="41">
        <v>0</v>
      </c>
      <c r="U13189" s="41">
        <v>0</v>
      </c>
      <c r="V13189" s="42" t="s">
        <v>113</v>
      </c>
      <c r="W13189" s="42">
        <v>0</v>
      </c>
      <c r="X13189" s="42">
        <v>0</v>
      </c>
    </row>
    <row r="13190" spans="1:24">
      <c r="A13190" s="27" t="s">
        <v>23633</v>
      </c>
      <c r="B13190" s="28" t="s">
        <v>19890</v>
      </c>
      <c r="C13190" s="27" t="s">
        <v>23634</v>
      </c>
      <c r="D13190" s="27" t="s">
        <v>23581</v>
      </c>
      <c r="E13190" s="29">
        <v>43799</v>
      </c>
      <c r="F13190" s="27">
        <v>12</v>
      </c>
      <c r="G13190" s="18">
        <v>0</v>
      </c>
      <c r="H13190" s="27">
        <f t="shared" ref="H13190:H13253" si="412">IFERROR(IF(ROUND((G13190-I13190)/G13190,2)&lt;=0.05,G13190,0),0)</f>
        <v>0</v>
      </c>
      <c r="I13190" s="18">
        <v>0</v>
      </c>
      <c r="J13190" s="27">
        <v>9027.17</v>
      </c>
      <c r="K13190" s="18">
        <f t="shared" ref="K13190:K13253" si="413">IFERROR(IF(ROUND((J13190-L13190)/J13190,2)&lt;=0.05,J13190,0),0)</f>
        <v>0</v>
      </c>
      <c r="L13190" s="27">
        <v>59.55</v>
      </c>
      <c r="M13190" s="36">
        <v>59.55</v>
      </c>
      <c r="N13190" s="18" t="s">
        <v>123</v>
      </c>
      <c r="O13190" s="19">
        <v>9027.17</v>
      </c>
      <c r="T13190" s="41">
        <v>0</v>
      </c>
      <c r="U13190" s="41">
        <v>0</v>
      </c>
      <c r="V13190" s="42" t="s">
        <v>113</v>
      </c>
      <c r="W13190" s="42">
        <v>0</v>
      </c>
      <c r="X13190" s="42">
        <v>0</v>
      </c>
    </row>
    <row r="13191" spans="1:24">
      <c r="A13191" s="27" t="s">
        <v>23635</v>
      </c>
      <c r="B13191" s="28" t="s">
        <v>19890</v>
      </c>
      <c r="C13191" s="27" t="s">
        <v>23636</v>
      </c>
      <c r="D13191" s="27" t="s">
        <v>23581</v>
      </c>
      <c r="E13191" s="29">
        <v>43799</v>
      </c>
      <c r="F13191" s="27">
        <v>12</v>
      </c>
      <c r="G13191" s="18">
        <v>0</v>
      </c>
      <c r="H13191" s="27">
        <f t="shared" si="412"/>
        <v>0</v>
      </c>
      <c r="I13191" s="18">
        <v>0</v>
      </c>
      <c r="J13191" s="27">
        <v>12036.25</v>
      </c>
      <c r="K13191" s="18">
        <f t="shared" si="413"/>
        <v>0</v>
      </c>
      <c r="L13191" s="27">
        <v>79.41</v>
      </c>
      <c r="M13191" s="36">
        <v>79.41</v>
      </c>
      <c r="N13191" s="18" t="s">
        <v>123</v>
      </c>
      <c r="O13191" s="19">
        <v>12036.25</v>
      </c>
      <c r="T13191" s="41">
        <v>0</v>
      </c>
      <c r="U13191" s="41">
        <v>0</v>
      </c>
      <c r="V13191" s="42" t="s">
        <v>113</v>
      </c>
      <c r="W13191" s="42">
        <v>0</v>
      </c>
      <c r="X13191" s="42">
        <v>0</v>
      </c>
    </row>
    <row r="13192" spans="1:24">
      <c r="A13192" s="27" t="s">
        <v>23637</v>
      </c>
      <c r="B13192" s="28" t="s">
        <v>19890</v>
      </c>
      <c r="C13192" s="27" t="s">
        <v>23638</v>
      </c>
      <c r="D13192" s="27" t="s">
        <v>23581</v>
      </c>
      <c r="E13192" s="29">
        <v>43799</v>
      </c>
      <c r="F13192" s="27">
        <v>12</v>
      </c>
      <c r="G13192" s="18">
        <v>0</v>
      </c>
      <c r="H13192" s="27">
        <f t="shared" si="412"/>
        <v>0</v>
      </c>
      <c r="I13192" s="18">
        <v>0</v>
      </c>
      <c r="J13192" s="27">
        <v>3308.97</v>
      </c>
      <c r="K13192" s="18">
        <f t="shared" si="413"/>
        <v>0</v>
      </c>
      <c r="L13192" s="27">
        <v>21.83</v>
      </c>
      <c r="M13192" s="36">
        <v>21.83</v>
      </c>
      <c r="N13192" s="18" t="s">
        <v>123</v>
      </c>
      <c r="O13192" s="19">
        <v>3308.97</v>
      </c>
      <c r="T13192" s="41">
        <v>0</v>
      </c>
      <c r="U13192" s="41">
        <v>0</v>
      </c>
      <c r="V13192" s="42" t="s">
        <v>113</v>
      </c>
      <c r="W13192" s="42">
        <v>0</v>
      </c>
      <c r="X13192" s="42">
        <v>0</v>
      </c>
    </row>
    <row r="13193" spans="1:24">
      <c r="A13193" s="27" t="s">
        <v>23639</v>
      </c>
      <c r="B13193" s="28" t="s">
        <v>19890</v>
      </c>
      <c r="C13193" s="27" t="s">
        <v>23640</v>
      </c>
      <c r="D13193" s="27" t="s">
        <v>23581</v>
      </c>
      <c r="E13193" s="29">
        <v>43799</v>
      </c>
      <c r="F13193" s="27">
        <v>12</v>
      </c>
      <c r="G13193" s="18">
        <v>0</v>
      </c>
      <c r="H13193" s="27">
        <f t="shared" si="412"/>
        <v>0</v>
      </c>
      <c r="I13193" s="18">
        <v>0</v>
      </c>
      <c r="J13193" s="27">
        <v>7776.83</v>
      </c>
      <c r="K13193" s="18">
        <f t="shared" si="413"/>
        <v>0</v>
      </c>
      <c r="L13193" s="27">
        <v>51.31</v>
      </c>
      <c r="M13193" s="36">
        <v>51.31</v>
      </c>
      <c r="N13193" s="18" t="s">
        <v>123</v>
      </c>
      <c r="O13193" s="19">
        <v>7776.83</v>
      </c>
      <c r="T13193" s="41">
        <v>0</v>
      </c>
      <c r="U13193" s="41">
        <v>0</v>
      </c>
      <c r="V13193" s="42" t="s">
        <v>113</v>
      </c>
      <c r="W13193" s="42">
        <v>0</v>
      </c>
      <c r="X13193" s="42">
        <v>0</v>
      </c>
    </row>
    <row r="13194" spans="1:24">
      <c r="A13194" s="27" t="s">
        <v>23641</v>
      </c>
      <c r="B13194" s="28" t="s">
        <v>19890</v>
      </c>
      <c r="C13194" s="27" t="s">
        <v>23642</v>
      </c>
      <c r="D13194" s="27" t="s">
        <v>23581</v>
      </c>
      <c r="E13194" s="29">
        <v>43799</v>
      </c>
      <c r="F13194" s="27">
        <v>12</v>
      </c>
      <c r="G13194" s="18">
        <v>0</v>
      </c>
      <c r="H13194" s="27">
        <f t="shared" si="412"/>
        <v>0</v>
      </c>
      <c r="I13194" s="18">
        <v>0</v>
      </c>
      <c r="J13194" s="27">
        <v>2211.0500000000002</v>
      </c>
      <c r="K13194" s="18">
        <f t="shared" si="413"/>
        <v>0</v>
      </c>
      <c r="L13194" s="27">
        <v>14.59</v>
      </c>
      <c r="M13194" s="36">
        <v>14.59</v>
      </c>
      <c r="N13194" s="18" t="s">
        <v>123</v>
      </c>
      <c r="O13194" s="19">
        <v>2211.0500000000002</v>
      </c>
      <c r="T13194" s="41">
        <v>0</v>
      </c>
      <c r="U13194" s="41">
        <v>0</v>
      </c>
      <c r="V13194" s="42" t="s">
        <v>113</v>
      </c>
      <c r="W13194" s="42">
        <v>0</v>
      </c>
      <c r="X13194" s="42">
        <v>0</v>
      </c>
    </row>
    <row r="13195" spans="1:24">
      <c r="A13195" s="27" t="s">
        <v>23643</v>
      </c>
      <c r="B13195" s="28" t="s">
        <v>19890</v>
      </c>
      <c r="C13195" s="27" t="s">
        <v>23644</v>
      </c>
      <c r="D13195" s="27" t="s">
        <v>23581</v>
      </c>
      <c r="E13195" s="29">
        <v>43799</v>
      </c>
      <c r="F13195" s="27">
        <v>12</v>
      </c>
      <c r="G13195" s="18">
        <v>0</v>
      </c>
      <c r="H13195" s="27">
        <f t="shared" si="412"/>
        <v>0</v>
      </c>
      <c r="I13195" s="18">
        <v>0</v>
      </c>
      <c r="J13195" s="27">
        <v>2948.06</v>
      </c>
      <c r="K13195" s="18">
        <f t="shared" si="413"/>
        <v>0</v>
      </c>
      <c r="L13195" s="27">
        <v>19.45</v>
      </c>
      <c r="M13195" s="36">
        <v>19.45</v>
      </c>
      <c r="N13195" s="18" t="s">
        <v>123</v>
      </c>
      <c r="O13195" s="19">
        <v>2948.06</v>
      </c>
      <c r="T13195" s="41">
        <v>0</v>
      </c>
      <c r="U13195" s="41">
        <v>0</v>
      </c>
      <c r="V13195" s="42" t="s">
        <v>113</v>
      </c>
      <c r="W13195" s="42">
        <v>0</v>
      </c>
      <c r="X13195" s="42">
        <v>0</v>
      </c>
    </row>
    <row r="13196" spans="1:24">
      <c r="A13196" s="27" t="s">
        <v>23645</v>
      </c>
      <c r="B13196" s="28" t="s">
        <v>19890</v>
      </c>
      <c r="C13196" s="27" t="s">
        <v>23646</v>
      </c>
      <c r="D13196" s="27" t="s">
        <v>23581</v>
      </c>
      <c r="E13196" s="29">
        <v>43799</v>
      </c>
      <c r="F13196" s="27">
        <v>12</v>
      </c>
      <c r="G13196" s="18">
        <v>0</v>
      </c>
      <c r="H13196" s="27">
        <f t="shared" si="412"/>
        <v>0</v>
      </c>
      <c r="I13196" s="18">
        <v>0</v>
      </c>
      <c r="J13196" s="27">
        <v>9996.2800000000007</v>
      </c>
      <c r="K13196" s="18">
        <f t="shared" si="413"/>
        <v>0</v>
      </c>
      <c r="L13196" s="27">
        <v>65.95</v>
      </c>
      <c r="M13196" s="36">
        <v>65.95</v>
      </c>
      <c r="N13196" s="18" t="s">
        <v>123</v>
      </c>
      <c r="O13196" s="19">
        <v>9996.2800000000007</v>
      </c>
      <c r="T13196" s="41">
        <v>0</v>
      </c>
      <c r="U13196" s="41">
        <v>0</v>
      </c>
      <c r="V13196" s="42" t="s">
        <v>113</v>
      </c>
      <c r="W13196" s="42">
        <v>0</v>
      </c>
      <c r="X13196" s="42">
        <v>0</v>
      </c>
    </row>
    <row r="13197" spans="1:24">
      <c r="A13197" s="27" t="s">
        <v>23647</v>
      </c>
      <c r="B13197" s="28" t="s">
        <v>19890</v>
      </c>
      <c r="C13197" s="27" t="s">
        <v>23648</v>
      </c>
      <c r="D13197" s="27" t="s">
        <v>23581</v>
      </c>
      <c r="E13197" s="29">
        <v>43799</v>
      </c>
      <c r="F13197" s="27">
        <v>12</v>
      </c>
      <c r="G13197" s="18">
        <v>0</v>
      </c>
      <c r="H13197" s="27">
        <f t="shared" si="412"/>
        <v>0</v>
      </c>
      <c r="I13197" s="18">
        <v>0</v>
      </c>
      <c r="J13197" s="27">
        <v>9996.2800000000007</v>
      </c>
      <c r="K13197" s="18">
        <f t="shared" si="413"/>
        <v>0</v>
      </c>
      <c r="L13197" s="27">
        <v>65.95</v>
      </c>
      <c r="M13197" s="36">
        <v>65.95</v>
      </c>
      <c r="N13197" s="18" t="s">
        <v>123</v>
      </c>
      <c r="O13197" s="19">
        <v>9996.2800000000007</v>
      </c>
      <c r="T13197" s="41">
        <v>0</v>
      </c>
      <c r="U13197" s="41">
        <v>0</v>
      </c>
      <c r="V13197" s="42" t="s">
        <v>113</v>
      </c>
      <c r="W13197" s="42">
        <v>0</v>
      </c>
      <c r="X13197" s="42">
        <v>0</v>
      </c>
    </row>
    <row r="13198" spans="1:24">
      <c r="A13198" s="27" t="s">
        <v>23649</v>
      </c>
      <c r="B13198" s="28" t="s">
        <v>19890</v>
      </c>
      <c r="C13198" s="27" t="s">
        <v>23650</v>
      </c>
      <c r="D13198" s="27" t="s">
        <v>23581</v>
      </c>
      <c r="E13198" s="29">
        <v>43799</v>
      </c>
      <c r="F13198" s="27">
        <v>12</v>
      </c>
      <c r="G13198" s="18">
        <v>0</v>
      </c>
      <c r="H13198" s="27">
        <f t="shared" si="412"/>
        <v>0</v>
      </c>
      <c r="I13198" s="18">
        <v>0</v>
      </c>
      <c r="J13198" s="27">
        <v>9996.2900000000009</v>
      </c>
      <c r="K13198" s="18">
        <f t="shared" si="413"/>
        <v>0</v>
      </c>
      <c r="L13198" s="27">
        <v>65.95</v>
      </c>
      <c r="M13198" s="36">
        <v>65.95</v>
      </c>
      <c r="N13198" s="18" t="s">
        <v>123</v>
      </c>
      <c r="O13198" s="19">
        <v>9996.2900000000009</v>
      </c>
      <c r="T13198" s="41">
        <v>0</v>
      </c>
      <c r="U13198" s="41">
        <v>0</v>
      </c>
      <c r="V13198" s="42" t="s">
        <v>113</v>
      </c>
      <c r="W13198" s="42">
        <v>0</v>
      </c>
      <c r="X13198" s="42">
        <v>0</v>
      </c>
    </row>
    <row r="13199" spans="1:24">
      <c r="A13199" s="27" t="s">
        <v>23651</v>
      </c>
      <c r="B13199" s="28" t="s">
        <v>19890</v>
      </c>
      <c r="C13199" s="27" t="s">
        <v>23652</v>
      </c>
      <c r="D13199" s="27" t="s">
        <v>17558</v>
      </c>
      <c r="E13199" s="29">
        <v>35795</v>
      </c>
      <c r="F13199" s="27">
        <v>12</v>
      </c>
      <c r="G13199" s="18">
        <v>696666.65</v>
      </c>
      <c r="H13199" s="27">
        <f t="shared" si="412"/>
        <v>696666.65</v>
      </c>
      <c r="I13199" s="18">
        <v>661833.31999999995</v>
      </c>
      <c r="J13199" s="27">
        <v>696666.65</v>
      </c>
      <c r="K13199" s="18">
        <f t="shared" si="413"/>
        <v>696666.65</v>
      </c>
      <c r="L13199" s="27">
        <v>661833.31999999995</v>
      </c>
      <c r="M13199" s="36">
        <v>0</v>
      </c>
      <c r="T13199" s="41">
        <v>0</v>
      </c>
      <c r="U13199" s="41">
        <v>0</v>
      </c>
      <c r="V13199" s="42" t="s">
        <v>113</v>
      </c>
      <c r="W13199" s="42">
        <v>696666.65</v>
      </c>
      <c r="X13199" s="42">
        <v>696666.65</v>
      </c>
    </row>
    <row r="13200" spans="1:24">
      <c r="A13200" s="27" t="s">
        <v>23653</v>
      </c>
      <c r="B13200" s="28" t="s">
        <v>19890</v>
      </c>
      <c r="C13200" s="27" t="s">
        <v>23654</v>
      </c>
      <c r="D13200" s="27" t="s">
        <v>17558</v>
      </c>
      <c r="E13200" s="29">
        <v>35795</v>
      </c>
      <c r="F13200" s="27">
        <v>12</v>
      </c>
      <c r="G13200" s="18">
        <v>152692.68</v>
      </c>
      <c r="H13200" s="27">
        <f t="shared" si="412"/>
        <v>152692.68</v>
      </c>
      <c r="I13200" s="18">
        <v>145058.04999999999</v>
      </c>
      <c r="J13200" s="27">
        <v>152692.68</v>
      </c>
      <c r="K13200" s="18">
        <f t="shared" si="413"/>
        <v>152692.68</v>
      </c>
      <c r="L13200" s="27">
        <v>145058.04999999999</v>
      </c>
      <c r="M13200" s="36">
        <v>0</v>
      </c>
      <c r="T13200" s="41">
        <v>0</v>
      </c>
      <c r="U13200" s="41">
        <v>0</v>
      </c>
      <c r="V13200" s="42" t="s">
        <v>113</v>
      </c>
      <c r="W13200" s="42">
        <v>152692.68</v>
      </c>
      <c r="X13200" s="42">
        <v>152692.68</v>
      </c>
    </row>
    <row r="13201" spans="1:24">
      <c r="A13201" s="27" t="s">
        <v>23655</v>
      </c>
      <c r="B13201" s="28" t="s">
        <v>19890</v>
      </c>
      <c r="C13201" s="27" t="s">
        <v>23656</v>
      </c>
      <c r="D13201" s="27" t="s">
        <v>17558</v>
      </c>
      <c r="E13201" s="29">
        <v>35795</v>
      </c>
      <c r="F13201" s="27">
        <v>12</v>
      </c>
      <c r="G13201" s="18">
        <v>828604.27</v>
      </c>
      <c r="H13201" s="27">
        <f t="shared" si="412"/>
        <v>828604.27</v>
      </c>
      <c r="I13201" s="18">
        <v>787174.06</v>
      </c>
      <c r="J13201" s="27">
        <v>828604.27</v>
      </c>
      <c r="K13201" s="18">
        <f t="shared" si="413"/>
        <v>828604.27</v>
      </c>
      <c r="L13201" s="27">
        <v>787174.06</v>
      </c>
      <c r="M13201" s="36">
        <v>0</v>
      </c>
      <c r="T13201" s="41">
        <v>0</v>
      </c>
      <c r="U13201" s="41">
        <v>0</v>
      </c>
      <c r="V13201" s="42" t="s">
        <v>113</v>
      </c>
      <c r="W13201" s="42">
        <v>828604.27</v>
      </c>
      <c r="X13201" s="42">
        <v>828604.27</v>
      </c>
    </row>
    <row r="13202" spans="1:24">
      <c r="A13202" s="27" t="s">
        <v>23657</v>
      </c>
      <c r="B13202" s="28" t="s">
        <v>19890</v>
      </c>
      <c r="C13202" s="27" t="s">
        <v>23652</v>
      </c>
      <c r="D13202" s="27" t="s">
        <v>17558</v>
      </c>
      <c r="E13202" s="29">
        <v>35795</v>
      </c>
      <c r="F13202" s="27">
        <v>12</v>
      </c>
      <c r="G13202" s="18">
        <v>831580.3</v>
      </c>
      <c r="H13202" s="27">
        <f t="shared" si="412"/>
        <v>831580.3</v>
      </c>
      <c r="I13202" s="18">
        <v>790001.12</v>
      </c>
      <c r="J13202" s="27">
        <v>831580.3</v>
      </c>
      <c r="K13202" s="18">
        <f t="shared" si="413"/>
        <v>831580.3</v>
      </c>
      <c r="L13202" s="27">
        <v>790001.12</v>
      </c>
      <c r="M13202" s="36">
        <v>0</v>
      </c>
      <c r="T13202" s="41">
        <v>0</v>
      </c>
      <c r="U13202" s="41">
        <v>0</v>
      </c>
      <c r="V13202" s="42" t="s">
        <v>113</v>
      </c>
      <c r="W13202" s="42">
        <v>831580.3</v>
      </c>
      <c r="X13202" s="42">
        <v>831580.3</v>
      </c>
    </row>
    <row r="13203" spans="1:24">
      <c r="A13203" s="27" t="s">
        <v>23658</v>
      </c>
      <c r="B13203" s="28" t="s">
        <v>19890</v>
      </c>
      <c r="C13203" s="27" t="s">
        <v>23659</v>
      </c>
      <c r="D13203" s="27" t="s">
        <v>17558</v>
      </c>
      <c r="E13203" s="29">
        <v>35795</v>
      </c>
      <c r="F13203" s="27">
        <v>12</v>
      </c>
      <c r="G13203" s="18">
        <v>936937.36</v>
      </c>
      <c r="H13203" s="27">
        <f t="shared" si="412"/>
        <v>936937.36</v>
      </c>
      <c r="I13203" s="18">
        <v>890090.49</v>
      </c>
      <c r="J13203" s="27">
        <v>936937.36</v>
      </c>
      <c r="K13203" s="18">
        <f t="shared" si="413"/>
        <v>936937.36</v>
      </c>
      <c r="L13203" s="27">
        <v>890090.49</v>
      </c>
      <c r="M13203" s="36">
        <v>0</v>
      </c>
      <c r="T13203" s="41">
        <v>0</v>
      </c>
      <c r="U13203" s="41">
        <v>0</v>
      </c>
      <c r="V13203" s="42" t="s">
        <v>113</v>
      </c>
      <c r="W13203" s="42">
        <v>936937.36</v>
      </c>
      <c r="X13203" s="42">
        <v>936937.36</v>
      </c>
    </row>
    <row r="13204" spans="1:24">
      <c r="A13204" s="27" t="s">
        <v>23660</v>
      </c>
      <c r="B13204" s="28" t="s">
        <v>19890</v>
      </c>
      <c r="C13204" s="27" t="s">
        <v>23661</v>
      </c>
      <c r="D13204" s="27" t="s">
        <v>17558</v>
      </c>
      <c r="E13204" s="29">
        <v>35795</v>
      </c>
      <c r="F13204" s="27">
        <v>12</v>
      </c>
      <c r="G13204" s="18">
        <v>803954.3</v>
      </c>
      <c r="H13204" s="27">
        <f t="shared" si="412"/>
        <v>803954.3</v>
      </c>
      <c r="I13204" s="18">
        <v>763756.3</v>
      </c>
      <c r="J13204" s="27">
        <v>803954.3</v>
      </c>
      <c r="K13204" s="18">
        <f t="shared" si="413"/>
        <v>803954.3</v>
      </c>
      <c r="L13204" s="27">
        <v>763756.3</v>
      </c>
      <c r="M13204" s="36">
        <v>0</v>
      </c>
      <c r="T13204" s="41">
        <v>0</v>
      </c>
      <c r="U13204" s="41">
        <v>0</v>
      </c>
      <c r="V13204" s="42" t="s">
        <v>113</v>
      </c>
      <c r="W13204" s="42">
        <v>803954.3</v>
      </c>
      <c r="X13204" s="42">
        <v>803954.3</v>
      </c>
    </row>
    <row r="13205" spans="1:24">
      <c r="A13205" s="27" t="s">
        <v>23662</v>
      </c>
      <c r="B13205" s="28" t="s">
        <v>19890</v>
      </c>
      <c r="C13205" s="27" t="s">
        <v>23652</v>
      </c>
      <c r="D13205" s="27" t="s">
        <v>17558</v>
      </c>
      <c r="E13205" s="29">
        <v>35795</v>
      </c>
      <c r="F13205" s="27">
        <v>12</v>
      </c>
      <c r="G13205" s="18">
        <v>152692.66</v>
      </c>
      <c r="H13205" s="27">
        <f t="shared" si="412"/>
        <v>152692.66</v>
      </c>
      <c r="I13205" s="18">
        <v>145058.03</v>
      </c>
      <c r="J13205" s="27">
        <v>152692.66</v>
      </c>
      <c r="K13205" s="18">
        <f t="shared" si="413"/>
        <v>152692.66</v>
      </c>
      <c r="L13205" s="27">
        <v>145058.03</v>
      </c>
      <c r="M13205" s="36">
        <v>0</v>
      </c>
      <c r="T13205" s="41">
        <v>0</v>
      </c>
      <c r="U13205" s="41">
        <v>0</v>
      </c>
      <c r="V13205" s="42" t="s">
        <v>113</v>
      </c>
      <c r="W13205" s="42">
        <v>152692.66</v>
      </c>
      <c r="X13205" s="42">
        <v>152692.66</v>
      </c>
    </row>
    <row r="13206" spans="1:24">
      <c r="A13206" s="27" t="s">
        <v>23663</v>
      </c>
      <c r="B13206" s="28" t="s">
        <v>19890</v>
      </c>
      <c r="C13206" s="27" t="s">
        <v>23659</v>
      </c>
      <c r="D13206" s="27" t="s">
        <v>17558</v>
      </c>
      <c r="E13206" s="29">
        <v>35795</v>
      </c>
      <c r="F13206" s="27">
        <v>12</v>
      </c>
      <c r="G13206" s="18">
        <v>152692.66</v>
      </c>
      <c r="H13206" s="27">
        <f t="shared" si="412"/>
        <v>152692.66</v>
      </c>
      <c r="I13206" s="18">
        <v>145058.03</v>
      </c>
      <c r="J13206" s="27">
        <v>152692.66</v>
      </c>
      <c r="K13206" s="18">
        <f t="shared" si="413"/>
        <v>152692.66</v>
      </c>
      <c r="L13206" s="27">
        <v>145058.03</v>
      </c>
      <c r="M13206" s="36">
        <v>0</v>
      </c>
      <c r="T13206" s="41">
        <v>0</v>
      </c>
      <c r="U13206" s="41">
        <v>0</v>
      </c>
      <c r="V13206" s="42" t="s">
        <v>113</v>
      </c>
      <c r="W13206" s="42">
        <v>152692.66</v>
      </c>
      <c r="X13206" s="42">
        <v>152692.66</v>
      </c>
    </row>
    <row r="13207" spans="1:24">
      <c r="A13207" s="27" t="s">
        <v>23664</v>
      </c>
      <c r="B13207" s="28" t="s">
        <v>19890</v>
      </c>
      <c r="C13207" s="27" t="s">
        <v>23661</v>
      </c>
      <c r="D13207" s="27" t="s">
        <v>17558</v>
      </c>
      <c r="E13207" s="29">
        <v>35795</v>
      </c>
      <c r="F13207" s="27">
        <v>12</v>
      </c>
      <c r="G13207" s="18">
        <v>152692.66</v>
      </c>
      <c r="H13207" s="27">
        <f t="shared" si="412"/>
        <v>152692.66</v>
      </c>
      <c r="I13207" s="18">
        <v>145058.03</v>
      </c>
      <c r="J13207" s="27">
        <v>152692.66</v>
      </c>
      <c r="K13207" s="18">
        <f t="shared" si="413"/>
        <v>152692.66</v>
      </c>
      <c r="L13207" s="27">
        <v>145058.03</v>
      </c>
      <c r="M13207" s="36">
        <v>0</v>
      </c>
      <c r="T13207" s="41">
        <v>0</v>
      </c>
      <c r="U13207" s="41">
        <v>0</v>
      </c>
      <c r="V13207" s="42" t="s">
        <v>113</v>
      </c>
      <c r="W13207" s="42">
        <v>152692.66</v>
      </c>
      <c r="X13207" s="42">
        <v>152692.66</v>
      </c>
    </row>
    <row r="13208" spans="1:24">
      <c r="A13208" s="27" t="s">
        <v>23665</v>
      </c>
      <c r="B13208" s="28" t="s">
        <v>19890</v>
      </c>
      <c r="C13208" s="27" t="s">
        <v>23666</v>
      </c>
      <c r="D13208" s="27" t="s">
        <v>17558</v>
      </c>
      <c r="E13208" s="29">
        <v>35795</v>
      </c>
      <c r="F13208" s="27">
        <v>12</v>
      </c>
      <c r="G13208" s="18">
        <v>152692.66</v>
      </c>
      <c r="H13208" s="27">
        <f t="shared" si="412"/>
        <v>152692.66</v>
      </c>
      <c r="I13208" s="18">
        <v>145058.03</v>
      </c>
      <c r="J13208" s="27">
        <v>152692.66</v>
      </c>
      <c r="K13208" s="18">
        <f t="shared" si="413"/>
        <v>152692.66</v>
      </c>
      <c r="L13208" s="27">
        <v>145058.03</v>
      </c>
      <c r="M13208" s="36">
        <v>0</v>
      </c>
      <c r="T13208" s="41">
        <v>0</v>
      </c>
      <c r="U13208" s="41">
        <v>0</v>
      </c>
      <c r="V13208" s="42" t="s">
        <v>113</v>
      </c>
      <c r="W13208" s="42">
        <v>152692.66</v>
      </c>
      <c r="X13208" s="42">
        <v>152692.66</v>
      </c>
    </row>
    <row r="13209" spans="1:24">
      <c r="A13209" s="27" t="s">
        <v>23667</v>
      </c>
      <c r="B13209" s="28" t="s">
        <v>19890</v>
      </c>
      <c r="C13209" s="27" t="s">
        <v>23659</v>
      </c>
      <c r="D13209" s="27" t="s">
        <v>17558</v>
      </c>
      <c r="E13209" s="29">
        <v>35795</v>
      </c>
      <c r="F13209" s="27">
        <v>12</v>
      </c>
      <c r="G13209" s="18">
        <v>724292.67</v>
      </c>
      <c r="H13209" s="27">
        <f t="shared" si="412"/>
        <v>724292.67</v>
      </c>
      <c r="I13209" s="18">
        <v>688078.04</v>
      </c>
      <c r="J13209" s="27">
        <v>724292.67</v>
      </c>
      <c r="K13209" s="18">
        <f t="shared" si="413"/>
        <v>724292.67</v>
      </c>
      <c r="L13209" s="27">
        <v>688078.04</v>
      </c>
      <c r="M13209" s="36">
        <v>0</v>
      </c>
      <c r="T13209" s="41">
        <v>0</v>
      </c>
      <c r="U13209" s="41">
        <v>0</v>
      </c>
      <c r="V13209" s="42" t="s">
        <v>113</v>
      </c>
      <c r="W13209" s="42">
        <v>724292.67</v>
      </c>
      <c r="X13209" s="42">
        <v>724292.67</v>
      </c>
    </row>
    <row r="13210" spans="1:24">
      <c r="A13210" s="27" t="s">
        <v>23668</v>
      </c>
      <c r="B13210" s="28" t="s">
        <v>19890</v>
      </c>
      <c r="C13210" s="27" t="s">
        <v>23661</v>
      </c>
      <c r="D13210" s="27" t="s">
        <v>17558</v>
      </c>
      <c r="E13210" s="29">
        <v>35795</v>
      </c>
      <c r="F13210" s="27">
        <v>12</v>
      </c>
      <c r="G13210" s="18">
        <v>864120.72</v>
      </c>
      <c r="H13210" s="27">
        <f t="shared" si="412"/>
        <v>864120.72</v>
      </c>
      <c r="I13210" s="18">
        <v>820914.68</v>
      </c>
      <c r="J13210" s="27">
        <v>864120.72</v>
      </c>
      <c r="K13210" s="18">
        <f t="shared" si="413"/>
        <v>864120.72</v>
      </c>
      <c r="L13210" s="27">
        <v>820914.68</v>
      </c>
      <c r="M13210" s="36">
        <v>0</v>
      </c>
      <c r="T13210" s="41">
        <v>0</v>
      </c>
      <c r="U13210" s="41">
        <v>0</v>
      </c>
      <c r="V13210" s="42" t="s">
        <v>113</v>
      </c>
      <c r="W13210" s="42">
        <v>864120.72</v>
      </c>
      <c r="X13210" s="42">
        <v>864120.72</v>
      </c>
    </row>
    <row r="13211" spans="1:24">
      <c r="A13211" s="27" t="s">
        <v>23669</v>
      </c>
      <c r="B13211" s="28" t="s">
        <v>19890</v>
      </c>
      <c r="C13211" s="27" t="s">
        <v>23670</v>
      </c>
      <c r="D13211" s="27" t="s">
        <v>17558</v>
      </c>
      <c r="E13211" s="29">
        <v>35795</v>
      </c>
      <c r="F13211" s="27">
        <v>12</v>
      </c>
      <c r="G13211" s="18">
        <v>823421.72</v>
      </c>
      <c r="H13211" s="27">
        <f t="shared" si="412"/>
        <v>823421.72</v>
      </c>
      <c r="I13211" s="18">
        <v>782250.63</v>
      </c>
      <c r="J13211" s="27">
        <v>823421.72</v>
      </c>
      <c r="K13211" s="18">
        <f t="shared" si="413"/>
        <v>823421.72</v>
      </c>
      <c r="L13211" s="27">
        <v>782250.63</v>
      </c>
      <c r="M13211" s="36">
        <v>0</v>
      </c>
      <c r="T13211" s="41">
        <v>0</v>
      </c>
      <c r="U13211" s="41">
        <v>0</v>
      </c>
      <c r="V13211" s="42" t="s">
        <v>113</v>
      </c>
      <c r="W13211" s="42">
        <v>823421.72</v>
      </c>
      <c r="X13211" s="42">
        <v>823421.72</v>
      </c>
    </row>
    <row r="13212" spans="1:24">
      <c r="A13212" s="27" t="s">
        <v>23671</v>
      </c>
      <c r="B13212" s="28" t="s">
        <v>19890</v>
      </c>
      <c r="C13212" s="27" t="s">
        <v>23672</v>
      </c>
      <c r="D13212" s="27" t="s">
        <v>17558</v>
      </c>
      <c r="E13212" s="29">
        <v>35795</v>
      </c>
      <c r="F13212" s="27">
        <v>12</v>
      </c>
      <c r="G13212" s="18">
        <v>696666.67</v>
      </c>
      <c r="H13212" s="27">
        <f t="shared" si="412"/>
        <v>696666.67</v>
      </c>
      <c r="I13212" s="18">
        <v>661833.34</v>
      </c>
      <c r="J13212" s="27">
        <v>696666.67</v>
      </c>
      <c r="K13212" s="18">
        <f t="shared" si="413"/>
        <v>696666.67</v>
      </c>
      <c r="L13212" s="27">
        <v>661833.34</v>
      </c>
      <c r="M13212" s="36">
        <v>0</v>
      </c>
      <c r="T13212" s="41">
        <v>0</v>
      </c>
      <c r="U13212" s="41">
        <v>0</v>
      </c>
      <c r="V13212" s="42" t="s">
        <v>113</v>
      </c>
      <c r="W13212" s="42">
        <v>696666.67</v>
      </c>
      <c r="X13212" s="42">
        <v>696666.67</v>
      </c>
    </row>
    <row r="13213" spans="1:24">
      <c r="A13213" s="27" t="s">
        <v>23673</v>
      </c>
      <c r="B13213" s="28" t="s">
        <v>19890</v>
      </c>
      <c r="C13213" s="27" t="s">
        <v>23674</v>
      </c>
      <c r="D13213" s="27" t="s">
        <v>17558</v>
      </c>
      <c r="E13213" s="29">
        <v>35795</v>
      </c>
      <c r="F13213" s="27">
        <v>12</v>
      </c>
      <c r="G13213" s="18">
        <v>696666.67</v>
      </c>
      <c r="H13213" s="27">
        <f t="shared" si="412"/>
        <v>696666.67</v>
      </c>
      <c r="I13213" s="18">
        <v>661833.34</v>
      </c>
      <c r="J13213" s="27">
        <v>696666.67</v>
      </c>
      <c r="K13213" s="18">
        <f t="shared" si="413"/>
        <v>696666.67</v>
      </c>
      <c r="L13213" s="27">
        <v>661833.34</v>
      </c>
      <c r="M13213" s="36">
        <v>0</v>
      </c>
      <c r="T13213" s="41">
        <v>0</v>
      </c>
      <c r="U13213" s="41">
        <v>0</v>
      </c>
      <c r="V13213" s="42" t="s">
        <v>113</v>
      </c>
      <c r="W13213" s="42">
        <v>696666.67</v>
      </c>
      <c r="X13213" s="42">
        <v>696666.67</v>
      </c>
    </row>
    <row r="13214" spans="1:24">
      <c r="A13214" s="27" t="s">
        <v>23675</v>
      </c>
      <c r="B13214" s="28" t="s">
        <v>19890</v>
      </c>
      <c r="C13214" s="27" t="s">
        <v>23676</v>
      </c>
      <c r="D13214" s="27" t="s">
        <v>17578</v>
      </c>
      <c r="E13214" s="29">
        <v>41963</v>
      </c>
      <c r="F13214" s="27">
        <v>12</v>
      </c>
      <c r="G13214" s="18">
        <v>116399.63</v>
      </c>
      <c r="H13214" s="27">
        <f t="shared" si="412"/>
        <v>0</v>
      </c>
      <c r="I13214" s="18">
        <v>37627.79</v>
      </c>
      <c r="J13214" s="27">
        <v>116399.63</v>
      </c>
      <c r="K13214" s="18">
        <f t="shared" si="413"/>
        <v>0</v>
      </c>
      <c r="L13214" s="27">
        <v>46842.76</v>
      </c>
      <c r="M13214" s="36">
        <v>9214.9699999999993</v>
      </c>
      <c r="T13214" s="41">
        <v>0</v>
      </c>
      <c r="U13214" s="41">
        <v>0</v>
      </c>
      <c r="V13214" s="42" t="s">
        <v>113</v>
      </c>
      <c r="W13214" s="42">
        <v>0</v>
      </c>
      <c r="X13214" s="42">
        <v>0</v>
      </c>
    </row>
    <row r="13215" spans="1:24">
      <c r="A13215" s="27" t="s">
        <v>23677</v>
      </c>
      <c r="B13215" s="28" t="s">
        <v>19890</v>
      </c>
      <c r="C13215" s="27" t="s">
        <v>23678</v>
      </c>
      <c r="D13215" s="27" t="s">
        <v>17578</v>
      </c>
      <c r="E13215" s="29">
        <v>41963</v>
      </c>
      <c r="F13215" s="27">
        <v>12</v>
      </c>
      <c r="G13215" s="18">
        <v>116399.63</v>
      </c>
      <c r="H13215" s="27">
        <f t="shared" si="412"/>
        <v>0</v>
      </c>
      <c r="I13215" s="18">
        <v>37627.79</v>
      </c>
      <c r="J13215" s="27">
        <v>116399.63</v>
      </c>
      <c r="K13215" s="18">
        <f t="shared" si="413"/>
        <v>0</v>
      </c>
      <c r="L13215" s="27">
        <v>46842.76</v>
      </c>
      <c r="M13215" s="36">
        <v>9214.9699999999993</v>
      </c>
      <c r="T13215" s="41">
        <v>0</v>
      </c>
      <c r="U13215" s="41">
        <v>0</v>
      </c>
      <c r="V13215" s="42" t="s">
        <v>113</v>
      </c>
      <c r="W13215" s="42">
        <v>0</v>
      </c>
      <c r="X13215" s="42">
        <v>0</v>
      </c>
    </row>
    <row r="13216" spans="1:24">
      <c r="A13216" s="27" t="s">
        <v>23679</v>
      </c>
      <c r="B13216" s="28" t="s">
        <v>19890</v>
      </c>
      <c r="C13216" s="27" t="s">
        <v>23680</v>
      </c>
      <c r="D13216" s="27" t="s">
        <v>17578</v>
      </c>
      <c r="E13216" s="29">
        <v>41963</v>
      </c>
      <c r="F13216" s="27">
        <v>12</v>
      </c>
      <c r="G13216" s="18">
        <v>116399.63</v>
      </c>
      <c r="H13216" s="27">
        <f t="shared" si="412"/>
        <v>0</v>
      </c>
      <c r="I13216" s="18">
        <v>37627.79</v>
      </c>
      <c r="J13216" s="27">
        <v>116399.63</v>
      </c>
      <c r="K13216" s="18">
        <f t="shared" si="413"/>
        <v>0</v>
      </c>
      <c r="L13216" s="27">
        <v>46842.76</v>
      </c>
      <c r="M13216" s="36">
        <v>9214.9699999999993</v>
      </c>
      <c r="T13216" s="41">
        <v>0</v>
      </c>
      <c r="U13216" s="41">
        <v>0</v>
      </c>
      <c r="V13216" s="42" t="s">
        <v>113</v>
      </c>
      <c r="W13216" s="42">
        <v>0</v>
      </c>
      <c r="X13216" s="42">
        <v>0</v>
      </c>
    </row>
    <row r="13217" spans="1:24">
      <c r="A13217" s="27" t="s">
        <v>23681</v>
      </c>
      <c r="B13217" s="28" t="s">
        <v>19890</v>
      </c>
      <c r="C13217" s="27" t="s">
        <v>23682</v>
      </c>
      <c r="D13217" s="27" t="s">
        <v>17558</v>
      </c>
      <c r="E13217" s="29">
        <v>32754</v>
      </c>
      <c r="F13217" s="27">
        <v>12</v>
      </c>
      <c r="G13217" s="18">
        <v>1174347</v>
      </c>
      <c r="H13217" s="27">
        <f t="shared" si="412"/>
        <v>1174347</v>
      </c>
      <c r="I13217" s="18">
        <v>1115629.44</v>
      </c>
      <c r="J13217" s="27">
        <v>1174347</v>
      </c>
      <c r="K13217" s="18">
        <f t="shared" si="413"/>
        <v>1174347</v>
      </c>
      <c r="L13217" s="27">
        <v>1115629.44</v>
      </c>
      <c r="M13217" s="36">
        <v>0</v>
      </c>
      <c r="T13217" s="41">
        <v>0</v>
      </c>
      <c r="U13217" s="41">
        <v>0</v>
      </c>
      <c r="V13217" s="42" t="s">
        <v>113</v>
      </c>
      <c r="W13217" s="42">
        <v>1174347</v>
      </c>
      <c r="X13217" s="42">
        <v>1174347</v>
      </c>
    </row>
    <row r="13218" spans="1:24">
      <c r="A13218" s="27" t="s">
        <v>23683</v>
      </c>
      <c r="B13218" s="28" t="s">
        <v>19890</v>
      </c>
      <c r="C13218" s="27" t="s">
        <v>23684</v>
      </c>
      <c r="D13218" s="27" t="s">
        <v>17558</v>
      </c>
      <c r="E13218" s="29">
        <v>32754</v>
      </c>
      <c r="F13218" s="27">
        <v>12</v>
      </c>
      <c r="G13218" s="18">
        <v>1086273</v>
      </c>
      <c r="H13218" s="27">
        <f t="shared" si="412"/>
        <v>1086273</v>
      </c>
      <c r="I13218" s="18">
        <v>1031959.35</v>
      </c>
      <c r="J13218" s="27">
        <v>1086273</v>
      </c>
      <c r="K13218" s="18">
        <f t="shared" si="413"/>
        <v>1086273</v>
      </c>
      <c r="L13218" s="27">
        <v>1031959.35</v>
      </c>
      <c r="M13218" s="36">
        <v>0</v>
      </c>
      <c r="T13218" s="41">
        <v>0</v>
      </c>
      <c r="U13218" s="41">
        <v>0</v>
      </c>
      <c r="V13218" s="42" t="s">
        <v>113</v>
      </c>
      <c r="W13218" s="42">
        <v>1086273</v>
      </c>
      <c r="X13218" s="42">
        <v>1086273</v>
      </c>
    </row>
    <row r="13219" spans="1:24">
      <c r="A13219" s="27" t="s">
        <v>23685</v>
      </c>
      <c r="B13219" s="28" t="s">
        <v>19890</v>
      </c>
      <c r="C13219" s="27" t="s">
        <v>23686</v>
      </c>
      <c r="D13219" s="27" t="s">
        <v>17578</v>
      </c>
      <c r="E13219" s="29">
        <v>42338</v>
      </c>
      <c r="F13219" s="27">
        <v>12</v>
      </c>
      <c r="G13219" s="18">
        <v>135819.21</v>
      </c>
      <c r="H13219" s="27">
        <f t="shared" si="412"/>
        <v>0</v>
      </c>
      <c r="I13219" s="18">
        <v>33153.089999999997</v>
      </c>
      <c r="J13219" s="27">
        <v>135819.21</v>
      </c>
      <c r="K13219" s="18">
        <f t="shared" si="413"/>
        <v>0</v>
      </c>
      <c r="L13219" s="27">
        <v>43905.440000000002</v>
      </c>
      <c r="M13219" s="36">
        <v>10752.35</v>
      </c>
      <c r="T13219" s="41">
        <v>0</v>
      </c>
      <c r="U13219" s="41">
        <v>0</v>
      </c>
      <c r="V13219" s="42" t="s">
        <v>113</v>
      </c>
      <c r="W13219" s="42">
        <v>0</v>
      </c>
      <c r="X13219" s="42">
        <v>0</v>
      </c>
    </row>
    <row r="13220" spans="1:24">
      <c r="A13220" s="27" t="s">
        <v>23687</v>
      </c>
      <c r="B13220" s="28" t="s">
        <v>19890</v>
      </c>
      <c r="C13220" s="27" t="s">
        <v>23688</v>
      </c>
      <c r="D13220" s="27" t="s">
        <v>17578</v>
      </c>
      <c r="E13220" s="29">
        <v>42338</v>
      </c>
      <c r="F13220" s="27">
        <v>12</v>
      </c>
      <c r="G13220" s="18">
        <v>135819.21</v>
      </c>
      <c r="H13220" s="27">
        <f t="shared" si="412"/>
        <v>0</v>
      </c>
      <c r="I13220" s="18">
        <v>33153.089999999997</v>
      </c>
      <c r="J13220" s="27">
        <v>135819.21</v>
      </c>
      <c r="K13220" s="18">
        <f t="shared" si="413"/>
        <v>0</v>
      </c>
      <c r="L13220" s="27">
        <v>43905.440000000002</v>
      </c>
      <c r="M13220" s="36">
        <v>10752.35</v>
      </c>
      <c r="T13220" s="41">
        <v>0</v>
      </c>
      <c r="U13220" s="41">
        <v>0</v>
      </c>
      <c r="V13220" s="42" t="s">
        <v>113</v>
      </c>
      <c r="W13220" s="42">
        <v>0</v>
      </c>
      <c r="X13220" s="42">
        <v>0</v>
      </c>
    </row>
    <row r="13221" spans="1:24">
      <c r="A13221" s="27" t="s">
        <v>23689</v>
      </c>
      <c r="B13221" s="28" t="s">
        <v>19890</v>
      </c>
      <c r="C13221" s="27" t="s">
        <v>23690</v>
      </c>
      <c r="D13221" s="27" t="s">
        <v>17578</v>
      </c>
      <c r="E13221" s="29">
        <v>42338</v>
      </c>
      <c r="F13221" s="27">
        <v>12</v>
      </c>
      <c r="G13221" s="18">
        <v>135819.22</v>
      </c>
      <c r="H13221" s="27">
        <f t="shared" si="412"/>
        <v>0</v>
      </c>
      <c r="I13221" s="18">
        <v>33153.089999999997</v>
      </c>
      <c r="J13221" s="27">
        <v>135819.22</v>
      </c>
      <c r="K13221" s="18">
        <f t="shared" si="413"/>
        <v>0</v>
      </c>
      <c r="L13221" s="27">
        <v>43905.45</v>
      </c>
      <c r="M13221" s="36">
        <v>10752.36</v>
      </c>
      <c r="T13221" s="41">
        <v>0</v>
      </c>
      <c r="U13221" s="41">
        <v>0</v>
      </c>
      <c r="V13221" s="42" t="s">
        <v>113</v>
      </c>
      <c r="W13221" s="42">
        <v>0</v>
      </c>
      <c r="X13221" s="42">
        <v>0</v>
      </c>
    </row>
    <row r="13222" spans="1:24">
      <c r="A13222" s="27" t="s">
        <v>23691</v>
      </c>
      <c r="B13222" s="28" t="s">
        <v>19890</v>
      </c>
      <c r="C13222" s="27" t="s">
        <v>23692</v>
      </c>
      <c r="D13222" s="27" t="s">
        <v>17558</v>
      </c>
      <c r="E13222" s="29">
        <v>35795</v>
      </c>
      <c r="F13222" s="27">
        <v>12</v>
      </c>
      <c r="G13222" s="18">
        <v>19862.62</v>
      </c>
      <c r="H13222" s="27">
        <f t="shared" si="412"/>
        <v>19862.62</v>
      </c>
      <c r="I13222" s="18">
        <v>18869.490000000002</v>
      </c>
      <c r="J13222" s="27">
        <v>19862.62</v>
      </c>
      <c r="K13222" s="18">
        <f t="shared" si="413"/>
        <v>19862.62</v>
      </c>
      <c r="L13222" s="27">
        <v>18869.490000000002</v>
      </c>
      <c r="M13222" s="36">
        <v>0</v>
      </c>
      <c r="T13222" s="41">
        <v>0</v>
      </c>
      <c r="U13222" s="41">
        <v>0</v>
      </c>
      <c r="V13222" s="42" t="s">
        <v>113</v>
      </c>
      <c r="W13222" s="42">
        <v>19862.62</v>
      </c>
      <c r="X13222" s="42">
        <v>19862.62</v>
      </c>
    </row>
    <row r="13223" spans="1:24">
      <c r="A13223" s="27" t="s">
        <v>23693</v>
      </c>
      <c r="B13223" s="28" t="s">
        <v>19890</v>
      </c>
      <c r="C13223" s="27" t="s">
        <v>23694</v>
      </c>
      <c r="D13223" s="27" t="s">
        <v>17558</v>
      </c>
      <c r="E13223" s="29">
        <v>35795</v>
      </c>
      <c r="F13223" s="27">
        <v>12</v>
      </c>
      <c r="G13223" s="18">
        <v>19862.62</v>
      </c>
      <c r="H13223" s="27">
        <f t="shared" si="412"/>
        <v>19862.62</v>
      </c>
      <c r="I13223" s="18">
        <v>18869.490000000002</v>
      </c>
      <c r="J13223" s="27">
        <v>19862.62</v>
      </c>
      <c r="K13223" s="18">
        <f t="shared" si="413"/>
        <v>19862.62</v>
      </c>
      <c r="L13223" s="27">
        <v>18869.490000000002</v>
      </c>
      <c r="M13223" s="36">
        <v>0</v>
      </c>
      <c r="T13223" s="41">
        <v>0</v>
      </c>
      <c r="U13223" s="41">
        <v>0</v>
      </c>
      <c r="V13223" s="42" t="s">
        <v>113</v>
      </c>
      <c r="W13223" s="42">
        <v>19862.62</v>
      </c>
      <c r="X13223" s="42">
        <v>19862.62</v>
      </c>
    </row>
    <row r="13224" spans="1:24">
      <c r="A13224" s="27" t="s">
        <v>23695</v>
      </c>
      <c r="B13224" s="28" t="s">
        <v>19890</v>
      </c>
      <c r="C13224" s="27" t="s">
        <v>23696</v>
      </c>
      <c r="D13224" s="27" t="s">
        <v>17558</v>
      </c>
      <c r="E13224" s="29">
        <v>35795</v>
      </c>
      <c r="F13224" s="27">
        <v>12</v>
      </c>
      <c r="G13224" s="18">
        <v>19862.62</v>
      </c>
      <c r="H13224" s="27">
        <f t="shared" si="412"/>
        <v>19862.62</v>
      </c>
      <c r="I13224" s="18">
        <v>18869.490000000002</v>
      </c>
      <c r="J13224" s="27">
        <v>19862.62</v>
      </c>
      <c r="K13224" s="18">
        <f t="shared" si="413"/>
        <v>19862.62</v>
      </c>
      <c r="L13224" s="27">
        <v>18869.490000000002</v>
      </c>
      <c r="M13224" s="36">
        <v>0</v>
      </c>
      <c r="T13224" s="41">
        <v>0</v>
      </c>
      <c r="U13224" s="41">
        <v>0</v>
      </c>
      <c r="V13224" s="42" t="s">
        <v>113</v>
      </c>
      <c r="W13224" s="42">
        <v>19862.62</v>
      </c>
      <c r="X13224" s="42">
        <v>19862.62</v>
      </c>
    </row>
    <row r="13225" spans="1:24">
      <c r="A13225" s="27" t="s">
        <v>23697</v>
      </c>
      <c r="B13225" s="28" t="s">
        <v>19890</v>
      </c>
      <c r="C13225" s="27" t="s">
        <v>23698</v>
      </c>
      <c r="D13225" s="27" t="s">
        <v>17558</v>
      </c>
      <c r="E13225" s="29">
        <v>35795</v>
      </c>
      <c r="F13225" s="27">
        <v>12</v>
      </c>
      <c r="G13225" s="18">
        <v>19862.62</v>
      </c>
      <c r="H13225" s="27">
        <f t="shared" si="412"/>
        <v>19862.62</v>
      </c>
      <c r="I13225" s="18">
        <v>18869.490000000002</v>
      </c>
      <c r="J13225" s="27">
        <v>19862.62</v>
      </c>
      <c r="K13225" s="18">
        <f t="shared" si="413"/>
        <v>19862.62</v>
      </c>
      <c r="L13225" s="27">
        <v>18869.490000000002</v>
      </c>
      <c r="M13225" s="36">
        <v>0</v>
      </c>
      <c r="T13225" s="41">
        <v>0</v>
      </c>
      <c r="U13225" s="41">
        <v>0</v>
      </c>
      <c r="V13225" s="42" t="s">
        <v>113</v>
      </c>
      <c r="W13225" s="42">
        <v>19862.62</v>
      </c>
      <c r="X13225" s="42">
        <v>19862.62</v>
      </c>
    </row>
    <row r="13226" spans="1:24">
      <c r="A13226" s="27" t="s">
        <v>23699</v>
      </c>
      <c r="B13226" s="28" t="s">
        <v>19890</v>
      </c>
      <c r="C13226" s="27" t="s">
        <v>23700</v>
      </c>
      <c r="D13226" s="27" t="s">
        <v>17558</v>
      </c>
      <c r="E13226" s="29">
        <v>35795</v>
      </c>
      <c r="F13226" s="27">
        <v>12</v>
      </c>
      <c r="G13226" s="18">
        <v>19862.62</v>
      </c>
      <c r="H13226" s="27">
        <f t="shared" si="412"/>
        <v>19862.62</v>
      </c>
      <c r="I13226" s="18">
        <v>18869.490000000002</v>
      </c>
      <c r="J13226" s="27">
        <v>19862.62</v>
      </c>
      <c r="K13226" s="18">
        <f t="shared" si="413"/>
        <v>19862.62</v>
      </c>
      <c r="L13226" s="27">
        <v>18869.490000000002</v>
      </c>
      <c r="M13226" s="36">
        <v>0</v>
      </c>
      <c r="T13226" s="41">
        <v>0</v>
      </c>
      <c r="U13226" s="41">
        <v>0</v>
      </c>
      <c r="V13226" s="42" t="s">
        <v>113</v>
      </c>
      <c r="W13226" s="42">
        <v>19862.62</v>
      </c>
      <c r="X13226" s="42">
        <v>19862.62</v>
      </c>
    </row>
    <row r="13227" spans="1:24">
      <c r="A13227" s="27" t="s">
        <v>23701</v>
      </c>
      <c r="B13227" s="28" t="s">
        <v>19890</v>
      </c>
      <c r="C13227" s="27" t="s">
        <v>23702</v>
      </c>
      <c r="D13227" s="27" t="s">
        <v>17558</v>
      </c>
      <c r="E13227" s="29">
        <v>35795</v>
      </c>
      <c r="F13227" s="27">
        <v>12</v>
      </c>
      <c r="G13227" s="18">
        <v>19862.62</v>
      </c>
      <c r="H13227" s="27">
        <f t="shared" si="412"/>
        <v>19862.62</v>
      </c>
      <c r="I13227" s="18">
        <v>18869.490000000002</v>
      </c>
      <c r="J13227" s="27">
        <v>19862.62</v>
      </c>
      <c r="K13227" s="18">
        <f t="shared" si="413"/>
        <v>19862.62</v>
      </c>
      <c r="L13227" s="27">
        <v>18869.490000000002</v>
      </c>
      <c r="M13227" s="36">
        <v>0</v>
      </c>
      <c r="T13227" s="41">
        <v>0</v>
      </c>
      <c r="U13227" s="41">
        <v>0</v>
      </c>
      <c r="V13227" s="42" t="s">
        <v>113</v>
      </c>
      <c r="W13227" s="42">
        <v>19862.62</v>
      </c>
      <c r="X13227" s="42">
        <v>19862.62</v>
      </c>
    </row>
    <row r="13228" spans="1:24">
      <c r="A13228" s="27" t="s">
        <v>23703</v>
      </c>
      <c r="B13228" s="28" t="s">
        <v>19890</v>
      </c>
      <c r="C13228" s="27" t="s">
        <v>23704</v>
      </c>
      <c r="D13228" s="27" t="s">
        <v>17558</v>
      </c>
      <c r="E13228" s="29">
        <v>35795</v>
      </c>
      <c r="F13228" s="27">
        <v>12</v>
      </c>
      <c r="G13228" s="18">
        <v>19862.62</v>
      </c>
      <c r="H13228" s="27">
        <f t="shared" si="412"/>
        <v>19862.62</v>
      </c>
      <c r="I13228" s="18">
        <v>18869.490000000002</v>
      </c>
      <c r="J13228" s="27">
        <v>19862.62</v>
      </c>
      <c r="K13228" s="18">
        <f t="shared" si="413"/>
        <v>19862.62</v>
      </c>
      <c r="L13228" s="27">
        <v>18869.490000000002</v>
      </c>
      <c r="M13228" s="36">
        <v>0</v>
      </c>
      <c r="T13228" s="41">
        <v>0</v>
      </c>
      <c r="U13228" s="41">
        <v>0</v>
      </c>
      <c r="V13228" s="42" t="s">
        <v>113</v>
      </c>
      <c r="W13228" s="42">
        <v>19862.62</v>
      </c>
      <c r="X13228" s="42">
        <v>19862.62</v>
      </c>
    </row>
    <row r="13229" spans="1:24">
      <c r="A13229" s="27" t="s">
        <v>23705</v>
      </c>
      <c r="B13229" s="28" t="s">
        <v>19890</v>
      </c>
      <c r="C13229" s="27" t="s">
        <v>23706</v>
      </c>
      <c r="D13229" s="27" t="s">
        <v>17558</v>
      </c>
      <c r="E13229" s="29">
        <v>35795</v>
      </c>
      <c r="F13229" s="27">
        <v>12</v>
      </c>
      <c r="G13229" s="18">
        <v>19862.62</v>
      </c>
      <c r="H13229" s="27">
        <f t="shared" si="412"/>
        <v>19862.62</v>
      </c>
      <c r="I13229" s="18">
        <v>18869.490000000002</v>
      </c>
      <c r="J13229" s="27">
        <v>19862.62</v>
      </c>
      <c r="K13229" s="18">
        <f t="shared" si="413"/>
        <v>19862.62</v>
      </c>
      <c r="L13229" s="27">
        <v>18869.490000000002</v>
      </c>
      <c r="M13229" s="36">
        <v>0</v>
      </c>
      <c r="T13229" s="41">
        <v>0</v>
      </c>
      <c r="U13229" s="41">
        <v>0</v>
      </c>
      <c r="V13229" s="42" t="s">
        <v>113</v>
      </c>
      <c r="W13229" s="42">
        <v>19862.62</v>
      </c>
      <c r="X13229" s="42">
        <v>19862.62</v>
      </c>
    </row>
    <row r="13230" spans="1:24">
      <c r="A13230" s="27" t="s">
        <v>23707</v>
      </c>
      <c r="B13230" s="28" t="s">
        <v>19890</v>
      </c>
      <c r="C13230" s="27" t="s">
        <v>23708</v>
      </c>
      <c r="D13230" s="27" t="s">
        <v>17558</v>
      </c>
      <c r="E13230" s="29">
        <v>35795</v>
      </c>
      <c r="F13230" s="27">
        <v>12</v>
      </c>
      <c r="G13230" s="18">
        <v>19862.62</v>
      </c>
      <c r="H13230" s="27">
        <f t="shared" si="412"/>
        <v>19862.62</v>
      </c>
      <c r="I13230" s="18">
        <v>18869.490000000002</v>
      </c>
      <c r="J13230" s="27">
        <v>19862.62</v>
      </c>
      <c r="K13230" s="18">
        <f t="shared" si="413"/>
        <v>19862.62</v>
      </c>
      <c r="L13230" s="27">
        <v>18869.490000000002</v>
      </c>
      <c r="M13230" s="36">
        <v>0</v>
      </c>
      <c r="T13230" s="41">
        <v>0</v>
      </c>
      <c r="U13230" s="41">
        <v>0</v>
      </c>
      <c r="V13230" s="42" t="s">
        <v>113</v>
      </c>
      <c r="W13230" s="42">
        <v>19862.62</v>
      </c>
      <c r="X13230" s="42">
        <v>19862.62</v>
      </c>
    </row>
    <row r="13231" spans="1:24">
      <c r="A13231" s="27" t="s">
        <v>23709</v>
      </c>
      <c r="B13231" s="28" t="s">
        <v>19890</v>
      </c>
      <c r="C13231" s="27" t="s">
        <v>23710</v>
      </c>
      <c r="D13231" s="27" t="s">
        <v>17558</v>
      </c>
      <c r="E13231" s="29">
        <v>35795</v>
      </c>
      <c r="F13231" s="27">
        <v>12</v>
      </c>
      <c r="G13231" s="18">
        <v>19862.62</v>
      </c>
      <c r="H13231" s="27">
        <f t="shared" si="412"/>
        <v>19862.62</v>
      </c>
      <c r="I13231" s="18">
        <v>18869.490000000002</v>
      </c>
      <c r="J13231" s="27">
        <v>19862.62</v>
      </c>
      <c r="K13231" s="18">
        <f t="shared" si="413"/>
        <v>19862.62</v>
      </c>
      <c r="L13231" s="27">
        <v>18869.490000000002</v>
      </c>
      <c r="M13231" s="36">
        <v>0</v>
      </c>
      <c r="T13231" s="41">
        <v>0</v>
      </c>
      <c r="U13231" s="41">
        <v>0</v>
      </c>
      <c r="V13231" s="42" t="s">
        <v>113</v>
      </c>
      <c r="W13231" s="42">
        <v>19862.62</v>
      </c>
      <c r="X13231" s="42">
        <v>19862.62</v>
      </c>
    </row>
    <row r="13232" spans="1:24">
      <c r="A13232" s="27" t="s">
        <v>23711</v>
      </c>
      <c r="B13232" s="28" t="s">
        <v>19890</v>
      </c>
      <c r="C13232" s="27" t="s">
        <v>23712</v>
      </c>
      <c r="D13232" s="27" t="s">
        <v>17558</v>
      </c>
      <c r="E13232" s="29">
        <v>35795</v>
      </c>
      <c r="F13232" s="27">
        <v>12</v>
      </c>
      <c r="G13232" s="18">
        <v>19862.62</v>
      </c>
      <c r="H13232" s="27">
        <f t="shared" si="412"/>
        <v>19862.62</v>
      </c>
      <c r="I13232" s="18">
        <v>18869.490000000002</v>
      </c>
      <c r="J13232" s="27">
        <v>19862.62</v>
      </c>
      <c r="K13232" s="18">
        <f t="shared" si="413"/>
        <v>19862.62</v>
      </c>
      <c r="L13232" s="27">
        <v>18869.490000000002</v>
      </c>
      <c r="M13232" s="36">
        <v>0</v>
      </c>
      <c r="T13232" s="41">
        <v>0</v>
      </c>
      <c r="U13232" s="41">
        <v>0</v>
      </c>
      <c r="V13232" s="42" t="s">
        <v>113</v>
      </c>
      <c r="W13232" s="42">
        <v>19862.62</v>
      </c>
      <c r="X13232" s="42">
        <v>19862.62</v>
      </c>
    </row>
    <row r="13233" spans="1:24">
      <c r="A13233" s="27" t="s">
        <v>23713</v>
      </c>
      <c r="B13233" s="28" t="s">
        <v>19890</v>
      </c>
      <c r="C13233" s="27" t="s">
        <v>23698</v>
      </c>
      <c r="D13233" s="27" t="s">
        <v>17558</v>
      </c>
      <c r="E13233" s="29">
        <v>35795</v>
      </c>
      <c r="F13233" s="27">
        <v>12</v>
      </c>
      <c r="G13233" s="18">
        <v>17402.11</v>
      </c>
      <c r="H13233" s="27">
        <f t="shared" si="412"/>
        <v>17402.11</v>
      </c>
      <c r="I13233" s="18">
        <v>16532</v>
      </c>
      <c r="J13233" s="27">
        <v>17402.11</v>
      </c>
      <c r="K13233" s="18">
        <f t="shared" si="413"/>
        <v>17402.11</v>
      </c>
      <c r="L13233" s="27">
        <v>16532</v>
      </c>
      <c r="M13233" s="36">
        <v>0</v>
      </c>
      <c r="T13233" s="41">
        <v>0</v>
      </c>
      <c r="U13233" s="41">
        <v>0</v>
      </c>
      <c r="V13233" s="42" t="s">
        <v>113</v>
      </c>
      <c r="W13233" s="42">
        <v>17402.11</v>
      </c>
      <c r="X13233" s="42">
        <v>17402.11</v>
      </c>
    </row>
    <row r="13234" spans="1:24">
      <c r="A13234" s="27" t="s">
        <v>23714</v>
      </c>
      <c r="B13234" s="28" t="s">
        <v>19890</v>
      </c>
      <c r="C13234" s="27" t="s">
        <v>23700</v>
      </c>
      <c r="D13234" s="27" t="s">
        <v>17558</v>
      </c>
      <c r="E13234" s="29">
        <v>35795</v>
      </c>
      <c r="F13234" s="27">
        <v>12</v>
      </c>
      <c r="G13234" s="18">
        <v>17402.11</v>
      </c>
      <c r="H13234" s="27">
        <f t="shared" si="412"/>
        <v>17402.11</v>
      </c>
      <c r="I13234" s="18">
        <v>16532</v>
      </c>
      <c r="J13234" s="27">
        <v>17402.11</v>
      </c>
      <c r="K13234" s="18">
        <f t="shared" si="413"/>
        <v>17402.11</v>
      </c>
      <c r="L13234" s="27">
        <v>16532</v>
      </c>
      <c r="M13234" s="36">
        <v>0</v>
      </c>
      <c r="T13234" s="41">
        <v>0</v>
      </c>
      <c r="U13234" s="41">
        <v>0</v>
      </c>
      <c r="V13234" s="42" t="s">
        <v>113</v>
      </c>
      <c r="W13234" s="42">
        <v>17402.11</v>
      </c>
      <c r="X13234" s="42">
        <v>17402.11</v>
      </c>
    </row>
    <row r="13235" spans="1:24">
      <c r="A13235" s="27" t="s">
        <v>23715</v>
      </c>
      <c r="B13235" s="28" t="s">
        <v>19890</v>
      </c>
      <c r="C13235" s="27" t="s">
        <v>23702</v>
      </c>
      <c r="D13235" s="27" t="s">
        <v>17558</v>
      </c>
      <c r="E13235" s="29">
        <v>35795</v>
      </c>
      <c r="F13235" s="27">
        <v>12</v>
      </c>
      <c r="G13235" s="18">
        <v>17402.11</v>
      </c>
      <c r="H13235" s="27">
        <f t="shared" si="412"/>
        <v>17402.11</v>
      </c>
      <c r="I13235" s="18">
        <v>16532</v>
      </c>
      <c r="J13235" s="27">
        <v>17402.11</v>
      </c>
      <c r="K13235" s="18">
        <f t="shared" si="413"/>
        <v>17402.11</v>
      </c>
      <c r="L13235" s="27">
        <v>16532</v>
      </c>
      <c r="M13235" s="36">
        <v>0</v>
      </c>
      <c r="T13235" s="41">
        <v>0</v>
      </c>
      <c r="U13235" s="41">
        <v>0</v>
      </c>
      <c r="V13235" s="42" t="s">
        <v>113</v>
      </c>
      <c r="W13235" s="42">
        <v>17402.11</v>
      </c>
      <c r="X13235" s="42">
        <v>17402.11</v>
      </c>
    </row>
    <row r="13236" spans="1:24">
      <c r="A13236" s="27" t="s">
        <v>23716</v>
      </c>
      <c r="B13236" s="28" t="s">
        <v>19890</v>
      </c>
      <c r="C13236" s="27" t="s">
        <v>23717</v>
      </c>
      <c r="D13236" s="27" t="s">
        <v>17558</v>
      </c>
      <c r="E13236" s="29">
        <v>35795</v>
      </c>
      <c r="F13236" s="27">
        <v>12</v>
      </c>
      <c r="G13236" s="18">
        <v>17402.11</v>
      </c>
      <c r="H13236" s="27">
        <f t="shared" si="412"/>
        <v>17402.11</v>
      </c>
      <c r="I13236" s="18">
        <v>16532</v>
      </c>
      <c r="J13236" s="27">
        <v>17402.11</v>
      </c>
      <c r="K13236" s="18">
        <f t="shared" si="413"/>
        <v>17402.11</v>
      </c>
      <c r="L13236" s="27">
        <v>16532</v>
      </c>
      <c r="M13236" s="36">
        <v>0</v>
      </c>
      <c r="T13236" s="41">
        <v>0</v>
      </c>
      <c r="U13236" s="41">
        <v>0</v>
      </c>
      <c r="V13236" s="42" t="s">
        <v>113</v>
      </c>
      <c r="W13236" s="42">
        <v>17402.11</v>
      </c>
      <c r="X13236" s="42">
        <v>17402.11</v>
      </c>
    </row>
    <row r="13237" spans="1:24">
      <c r="A13237" s="27" t="s">
        <v>23718</v>
      </c>
      <c r="B13237" s="28" t="s">
        <v>19890</v>
      </c>
      <c r="C13237" s="27" t="s">
        <v>23719</v>
      </c>
      <c r="D13237" s="27" t="s">
        <v>17558</v>
      </c>
      <c r="E13237" s="29">
        <v>35795</v>
      </c>
      <c r="F13237" s="27">
        <v>12</v>
      </c>
      <c r="G13237" s="18">
        <v>17402.11</v>
      </c>
      <c r="H13237" s="27">
        <f t="shared" si="412"/>
        <v>17402.11</v>
      </c>
      <c r="I13237" s="18">
        <v>16532</v>
      </c>
      <c r="J13237" s="27">
        <v>17402.11</v>
      </c>
      <c r="K13237" s="18">
        <f t="shared" si="413"/>
        <v>17402.11</v>
      </c>
      <c r="L13237" s="27">
        <v>16532</v>
      </c>
      <c r="M13237" s="36">
        <v>0</v>
      </c>
      <c r="T13237" s="41">
        <v>0</v>
      </c>
      <c r="U13237" s="41">
        <v>0</v>
      </c>
      <c r="V13237" s="42" t="s">
        <v>113</v>
      </c>
      <c r="W13237" s="42">
        <v>17402.11</v>
      </c>
      <c r="X13237" s="42">
        <v>17402.11</v>
      </c>
    </row>
    <row r="13238" spans="1:24">
      <c r="A13238" s="27" t="s">
        <v>23720</v>
      </c>
      <c r="B13238" s="28" t="s">
        <v>19890</v>
      </c>
      <c r="C13238" s="27" t="s">
        <v>23721</v>
      </c>
      <c r="D13238" s="27" t="s">
        <v>17558</v>
      </c>
      <c r="E13238" s="29">
        <v>35795</v>
      </c>
      <c r="F13238" s="27">
        <v>12</v>
      </c>
      <c r="G13238" s="18">
        <v>17402.11</v>
      </c>
      <c r="H13238" s="27">
        <f t="shared" si="412"/>
        <v>17402.11</v>
      </c>
      <c r="I13238" s="18">
        <v>16532</v>
      </c>
      <c r="J13238" s="27">
        <v>17402.11</v>
      </c>
      <c r="K13238" s="18">
        <f t="shared" si="413"/>
        <v>17402.11</v>
      </c>
      <c r="L13238" s="27">
        <v>16532</v>
      </c>
      <c r="M13238" s="36">
        <v>0</v>
      </c>
      <c r="T13238" s="41">
        <v>0</v>
      </c>
      <c r="U13238" s="41">
        <v>0</v>
      </c>
      <c r="V13238" s="42" t="s">
        <v>113</v>
      </c>
      <c r="W13238" s="42">
        <v>17402.11</v>
      </c>
      <c r="X13238" s="42">
        <v>17402.11</v>
      </c>
    </row>
    <row r="13239" spans="1:24">
      <c r="A13239" s="27" t="s">
        <v>23722</v>
      </c>
      <c r="B13239" s="28" t="s">
        <v>19890</v>
      </c>
      <c r="C13239" s="27" t="s">
        <v>23723</v>
      </c>
      <c r="D13239" s="27" t="s">
        <v>17558</v>
      </c>
      <c r="E13239" s="29">
        <v>35795</v>
      </c>
      <c r="F13239" s="27">
        <v>12</v>
      </c>
      <c r="G13239" s="18">
        <v>17402.11</v>
      </c>
      <c r="H13239" s="27">
        <f t="shared" si="412"/>
        <v>17402.11</v>
      </c>
      <c r="I13239" s="18">
        <v>16532</v>
      </c>
      <c r="J13239" s="27">
        <v>17402.11</v>
      </c>
      <c r="K13239" s="18">
        <f t="shared" si="413"/>
        <v>17402.11</v>
      </c>
      <c r="L13239" s="27">
        <v>16532</v>
      </c>
      <c r="M13239" s="36">
        <v>0</v>
      </c>
      <c r="T13239" s="41">
        <v>0</v>
      </c>
      <c r="U13239" s="41">
        <v>0</v>
      </c>
      <c r="V13239" s="42" t="s">
        <v>113</v>
      </c>
      <c r="W13239" s="42">
        <v>17402.11</v>
      </c>
      <c r="X13239" s="42">
        <v>17402.11</v>
      </c>
    </row>
    <row r="13240" spans="1:24">
      <c r="A13240" s="27" t="s">
        <v>23724</v>
      </c>
      <c r="B13240" s="28" t="s">
        <v>19890</v>
      </c>
      <c r="C13240" s="27" t="s">
        <v>23725</v>
      </c>
      <c r="D13240" s="27" t="s">
        <v>17558</v>
      </c>
      <c r="E13240" s="29">
        <v>35795</v>
      </c>
      <c r="F13240" s="27">
        <v>12</v>
      </c>
      <c r="G13240" s="18">
        <v>17402.11</v>
      </c>
      <c r="H13240" s="27">
        <f t="shared" si="412"/>
        <v>17402.11</v>
      </c>
      <c r="I13240" s="18">
        <v>16532</v>
      </c>
      <c r="J13240" s="27">
        <v>17402.11</v>
      </c>
      <c r="K13240" s="18">
        <f t="shared" si="413"/>
        <v>17402.11</v>
      </c>
      <c r="L13240" s="27">
        <v>16532</v>
      </c>
      <c r="M13240" s="36">
        <v>0</v>
      </c>
      <c r="T13240" s="41">
        <v>0</v>
      </c>
      <c r="U13240" s="41">
        <v>0</v>
      </c>
      <c r="V13240" s="42" t="s">
        <v>113</v>
      </c>
      <c r="W13240" s="42">
        <v>17402.11</v>
      </c>
      <c r="X13240" s="42">
        <v>17402.11</v>
      </c>
    </row>
    <row r="13241" spans="1:24">
      <c r="A13241" s="27" t="s">
        <v>23726</v>
      </c>
      <c r="B13241" s="28" t="s">
        <v>19890</v>
      </c>
      <c r="C13241" s="27" t="s">
        <v>23727</v>
      </c>
      <c r="D13241" s="27" t="s">
        <v>17558</v>
      </c>
      <c r="E13241" s="29">
        <v>35795</v>
      </c>
      <c r="F13241" s="27">
        <v>12</v>
      </c>
      <c r="G13241" s="18">
        <v>8470.48</v>
      </c>
      <c r="H13241" s="27">
        <f t="shared" si="412"/>
        <v>8470.48</v>
      </c>
      <c r="I13241" s="18">
        <v>8046.96</v>
      </c>
      <c r="J13241" s="27">
        <v>8470.48</v>
      </c>
      <c r="K13241" s="18">
        <f t="shared" si="413"/>
        <v>8470.48</v>
      </c>
      <c r="L13241" s="27">
        <v>8046.96</v>
      </c>
      <c r="M13241" s="36">
        <v>0</v>
      </c>
      <c r="T13241" s="41">
        <v>0</v>
      </c>
      <c r="U13241" s="41">
        <v>0</v>
      </c>
      <c r="V13241" s="42" t="s">
        <v>113</v>
      </c>
      <c r="W13241" s="42">
        <v>8470.48</v>
      </c>
      <c r="X13241" s="42">
        <v>8470.48</v>
      </c>
    </row>
    <row r="13242" spans="1:24">
      <c r="A13242" s="27" t="s">
        <v>23728</v>
      </c>
      <c r="B13242" s="28" t="s">
        <v>19890</v>
      </c>
      <c r="C13242" s="27" t="s">
        <v>23729</v>
      </c>
      <c r="D13242" s="27" t="s">
        <v>17558</v>
      </c>
      <c r="E13242" s="29">
        <v>35795</v>
      </c>
      <c r="F13242" s="27">
        <v>12</v>
      </c>
      <c r="G13242" s="18">
        <v>8470.48</v>
      </c>
      <c r="H13242" s="27">
        <f t="shared" si="412"/>
        <v>8470.48</v>
      </c>
      <c r="I13242" s="18">
        <v>8046.96</v>
      </c>
      <c r="J13242" s="27">
        <v>8470.48</v>
      </c>
      <c r="K13242" s="18">
        <f t="shared" si="413"/>
        <v>8470.48</v>
      </c>
      <c r="L13242" s="27">
        <v>8046.96</v>
      </c>
      <c r="M13242" s="36">
        <v>0</v>
      </c>
      <c r="T13242" s="41">
        <v>0</v>
      </c>
      <c r="U13242" s="41">
        <v>0</v>
      </c>
      <c r="V13242" s="42" t="s">
        <v>113</v>
      </c>
      <c r="W13242" s="42">
        <v>8470.48</v>
      </c>
      <c r="X13242" s="42">
        <v>8470.48</v>
      </c>
    </row>
    <row r="13243" spans="1:24">
      <c r="A13243" s="27" t="s">
        <v>23730</v>
      </c>
      <c r="B13243" s="28" t="s">
        <v>19890</v>
      </c>
      <c r="C13243" s="27" t="s">
        <v>23731</v>
      </c>
      <c r="D13243" s="27" t="s">
        <v>17558</v>
      </c>
      <c r="E13243" s="29">
        <v>35795</v>
      </c>
      <c r="F13243" s="27">
        <v>12</v>
      </c>
      <c r="G13243" s="18">
        <v>8470.48</v>
      </c>
      <c r="H13243" s="27">
        <f t="shared" si="412"/>
        <v>8470.48</v>
      </c>
      <c r="I13243" s="18">
        <v>8046.96</v>
      </c>
      <c r="J13243" s="27">
        <v>8470.48</v>
      </c>
      <c r="K13243" s="18">
        <f t="shared" si="413"/>
        <v>8470.48</v>
      </c>
      <c r="L13243" s="27">
        <v>8046.96</v>
      </c>
      <c r="M13243" s="36">
        <v>0</v>
      </c>
      <c r="T13243" s="41">
        <v>0</v>
      </c>
      <c r="U13243" s="41">
        <v>0</v>
      </c>
      <c r="V13243" s="42" t="s">
        <v>113</v>
      </c>
      <c r="W13243" s="42">
        <v>8470.48</v>
      </c>
      <c r="X13243" s="42">
        <v>8470.48</v>
      </c>
    </row>
    <row r="13244" spans="1:24">
      <c r="A13244" s="27" t="s">
        <v>23732</v>
      </c>
      <c r="B13244" s="28" t="s">
        <v>19890</v>
      </c>
      <c r="C13244" s="27" t="s">
        <v>23733</v>
      </c>
      <c r="D13244" s="27" t="s">
        <v>17558</v>
      </c>
      <c r="E13244" s="29">
        <v>35795</v>
      </c>
      <c r="F13244" s="27">
        <v>12</v>
      </c>
      <c r="G13244" s="18">
        <v>8470.48</v>
      </c>
      <c r="H13244" s="27">
        <f t="shared" si="412"/>
        <v>8470.48</v>
      </c>
      <c r="I13244" s="18">
        <v>8046.96</v>
      </c>
      <c r="J13244" s="27">
        <v>8470.48</v>
      </c>
      <c r="K13244" s="18">
        <f t="shared" si="413"/>
        <v>8470.48</v>
      </c>
      <c r="L13244" s="27">
        <v>8046.96</v>
      </c>
      <c r="M13244" s="36">
        <v>0</v>
      </c>
      <c r="T13244" s="41">
        <v>0</v>
      </c>
      <c r="U13244" s="41">
        <v>0</v>
      </c>
      <c r="V13244" s="42" t="s">
        <v>113</v>
      </c>
      <c r="W13244" s="42">
        <v>8470.48</v>
      </c>
      <c r="X13244" s="42">
        <v>8470.48</v>
      </c>
    </row>
    <row r="13245" spans="1:24">
      <c r="A13245" s="27" t="s">
        <v>23734</v>
      </c>
      <c r="B13245" s="28" t="s">
        <v>19890</v>
      </c>
      <c r="C13245" s="27" t="s">
        <v>23735</v>
      </c>
      <c r="D13245" s="27" t="s">
        <v>17558</v>
      </c>
      <c r="E13245" s="29">
        <v>35795</v>
      </c>
      <c r="F13245" s="27">
        <v>12</v>
      </c>
      <c r="G13245" s="18">
        <v>8470.48</v>
      </c>
      <c r="H13245" s="27">
        <f t="shared" si="412"/>
        <v>8470.48</v>
      </c>
      <c r="I13245" s="18">
        <v>8046.96</v>
      </c>
      <c r="J13245" s="27">
        <v>8470.48</v>
      </c>
      <c r="K13245" s="18">
        <f t="shared" si="413"/>
        <v>8470.48</v>
      </c>
      <c r="L13245" s="27">
        <v>8046.96</v>
      </c>
      <c r="M13245" s="36">
        <v>0</v>
      </c>
      <c r="T13245" s="41">
        <v>0</v>
      </c>
      <c r="U13245" s="41">
        <v>0</v>
      </c>
      <c r="V13245" s="42" t="s">
        <v>113</v>
      </c>
      <c r="W13245" s="42">
        <v>8470.48</v>
      </c>
      <c r="X13245" s="42">
        <v>8470.48</v>
      </c>
    </row>
    <row r="13246" spans="1:24">
      <c r="A13246" s="27" t="s">
        <v>23736</v>
      </c>
      <c r="B13246" s="28" t="s">
        <v>19890</v>
      </c>
      <c r="C13246" s="27" t="s">
        <v>23737</v>
      </c>
      <c r="D13246" s="27" t="s">
        <v>17558</v>
      </c>
      <c r="E13246" s="29">
        <v>35795</v>
      </c>
      <c r="F13246" s="27">
        <v>12</v>
      </c>
      <c r="G13246" s="18">
        <v>8470.48</v>
      </c>
      <c r="H13246" s="27">
        <f t="shared" si="412"/>
        <v>8470.48</v>
      </c>
      <c r="I13246" s="18">
        <v>8046.96</v>
      </c>
      <c r="J13246" s="27">
        <v>8470.48</v>
      </c>
      <c r="K13246" s="18">
        <f t="shared" si="413"/>
        <v>8470.48</v>
      </c>
      <c r="L13246" s="27">
        <v>8046.96</v>
      </c>
      <c r="M13246" s="36">
        <v>0</v>
      </c>
      <c r="T13246" s="41">
        <v>0</v>
      </c>
      <c r="U13246" s="41">
        <v>0</v>
      </c>
      <c r="V13246" s="42" t="s">
        <v>113</v>
      </c>
      <c r="W13246" s="42">
        <v>8470.48</v>
      </c>
      <c r="X13246" s="42">
        <v>8470.48</v>
      </c>
    </row>
    <row r="13247" spans="1:24">
      <c r="A13247" s="27" t="s">
        <v>23738</v>
      </c>
      <c r="B13247" s="28" t="s">
        <v>19890</v>
      </c>
      <c r="C13247" s="27" t="s">
        <v>23739</v>
      </c>
      <c r="D13247" s="27" t="s">
        <v>17558</v>
      </c>
      <c r="E13247" s="29">
        <v>35795</v>
      </c>
      <c r="F13247" s="27">
        <v>12</v>
      </c>
      <c r="G13247" s="18">
        <v>8470.48</v>
      </c>
      <c r="H13247" s="27">
        <f t="shared" si="412"/>
        <v>8470.48</v>
      </c>
      <c r="I13247" s="18">
        <v>8046.96</v>
      </c>
      <c r="J13247" s="27">
        <v>8470.48</v>
      </c>
      <c r="K13247" s="18">
        <f t="shared" si="413"/>
        <v>8470.48</v>
      </c>
      <c r="L13247" s="27">
        <v>8046.96</v>
      </c>
      <c r="M13247" s="36">
        <v>0</v>
      </c>
      <c r="T13247" s="41">
        <v>0</v>
      </c>
      <c r="U13247" s="41">
        <v>0</v>
      </c>
      <c r="V13247" s="42" t="s">
        <v>113</v>
      </c>
      <c r="W13247" s="42">
        <v>8470.48</v>
      </c>
      <c r="X13247" s="42">
        <v>8470.48</v>
      </c>
    </row>
    <row r="13248" spans="1:24">
      <c r="A13248" s="27" t="s">
        <v>23740</v>
      </c>
      <c r="B13248" s="28" t="s">
        <v>19890</v>
      </c>
      <c r="C13248" s="27" t="s">
        <v>23741</v>
      </c>
      <c r="D13248" s="27" t="s">
        <v>17558</v>
      </c>
      <c r="E13248" s="29">
        <v>40086</v>
      </c>
      <c r="F13248" s="27">
        <v>12</v>
      </c>
      <c r="G13248" s="18">
        <v>367.5</v>
      </c>
      <c r="H13248" s="27">
        <f t="shared" si="412"/>
        <v>367.5</v>
      </c>
      <c r="I13248" s="18">
        <v>367.5</v>
      </c>
      <c r="J13248" s="27">
        <v>367.5</v>
      </c>
      <c r="K13248" s="18">
        <f t="shared" si="413"/>
        <v>367.5</v>
      </c>
      <c r="L13248" s="27">
        <v>367.5</v>
      </c>
      <c r="M13248" s="36">
        <v>0</v>
      </c>
      <c r="T13248" s="41">
        <v>0</v>
      </c>
      <c r="U13248" s="41">
        <v>0</v>
      </c>
      <c r="V13248" s="42" t="s">
        <v>113</v>
      </c>
      <c r="W13248" s="42">
        <v>367.5</v>
      </c>
      <c r="X13248" s="42">
        <v>367.5</v>
      </c>
    </row>
    <row r="13249" spans="1:24">
      <c r="A13249" s="27" t="s">
        <v>23742</v>
      </c>
      <c r="B13249" s="28" t="s">
        <v>19890</v>
      </c>
      <c r="C13249" s="27" t="s">
        <v>23743</v>
      </c>
      <c r="D13249" s="27" t="s">
        <v>17558</v>
      </c>
      <c r="E13249" s="29">
        <v>40086</v>
      </c>
      <c r="F13249" s="27">
        <v>12</v>
      </c>
      <c r="G13249" s="18">
        <v>367.5</v>
      </c>
      <c r="H13249" s="27">
        <f t="shared" si="412"/>
        <v>367.5</v>
      </c>
      <c r="I13249" s="18">
        <v>367.5</v>
      </c>
      <c r="J13249" s="27">
        <v>367.5</v>
      </c>
      <c r="K13249" s="18">
        <f t="shared" si="413"/>
        <v>367.5</v>
      </c>
      <c r="L13249" s="27">
        <v>367.5</v>
      </c>
      <c r="M13249" s="36">
        <v>0</v>
      </c>
      <c r="T13249" s="41">
        <v>0</v>
      </c>
      <c r="U13249" s="41">
        <v>0</v>
      </c>
      <c r="V13249" s="42" t="s">
        <v>113</v>
      </c>
      <c r="W13249" s="42">
        <v>367.5</v>
      </c>
      <c r="X13249" s="42">
        <v>367.5</v>
      </c>
    </row>
    <row r="13250" spans="1:24">
      <c r="A13250" s="27" t="s">
        <v>23744</v>
      </c>
      <c r="B13250" s="28" t="s">
        <v>19890</v>
      </c>
      <c r="C13250" s="27" t="s">
        <v>23745</v>
      </c>
      <c r="D13250" s="27" t="s">
        <v>17558</v>
      </c>
      <c r="E13250" s="29">
        <v>40086</v>
      </c>
      <c r="F13250" s="27">
        <v>12</v>
      </c>
      <c r="G13250" s="18">
        <v>367.5</v>
      </c>
      <c r="H13250" s="27">
        <f t="shared" si="412"/>
        <v>367.5</v>
      </c>
      <c r="I13250" s="18">
        <v>367.5</v>
      </c>
      <c r="J13250" s="27">
        <v>367.5</v>
      </c>
      <c r="K13250" s="18">
        <f t="shared" si="413"/>
        <v>367.5</v>
      </c>
      <c r="L13250" s="27">
        <v>367.5</v>
      </c>
      <c r="M13250" s="36">
        <v>0</v>
      </c>
      <c r="T13250" s="41">
        <v>0</v>
      </c>
      <c r="U13250" s="41">
        <v>0</v>
      </c>
      <c r="V13250" s="42" t="s">
        <v>113</v>
      </c>
      <c r="W13250" s="42">
        <v>367.5</v>
      </c>
      <c r="X13250" s="42">
        <v>367.5</v>
      </c>
    </row>
    <row r="13251" spans="1:24">
      <c r="A13251" s="27" t="s">
        <v>23746</v>
      </c>
      <c r="B13251" s="28" t="s">
        <v>19890</v>
      </c>
      <c r="C13251" s="27" t="s">
        <v>23747</v>
      </c>
      <c r="D13251" s="27" t="s">
        <v>17558</v>
      </c>
      <c r="E13251" s="29">
        <v>40086</v>
      </c>
      <c r="F13251" s="27">
        <v>12</v>
      </c>
      <c r="G13251" s="18">
        <v>367.5</v>
      </c>
      <c r="H13251" s="27">
        <f t="shared" si="412"/>
        <v>367.5</v>
      </c>
      <c r="I13251" s="18">
        <v>367.5</v>
      </c>
      <c r="J13251" s="27">
        <v>367.5</v>
      </c>
      <c r="K13251" s="18">
        <f t="shared" si="413"/>
        <v>367.5</v>
      </c>
      <c r="L13251" s="27">
        <v>367.5</v>
      </c>
      <c r="M13251" s="36">
        <v>0</v>
      </c>
      <c r="T13251" s="41">
        <v>0</v>
      </c>
      <c r="U13251" s="41">
        <v>0</v>
      </c>
      <c r="V13251" s="42" t="s">
        <v>113</v>
      </c>
      <c r="W13251" s="42">
        <v>367.5</v>
      </c>
      <c r="X13251" s="42">
        <v>367.5</v>
      </c>
    </row>
    <row r="13252" spans="1:24">
      <c r="A13252" s="27" t="s">
        <v>23748</v>
      </c>
      <c r="B13252" s="28" t="s">
        <v>19890</v>
      </c>
      <c r="C13252" s="27" t="s">
        <v>23692</v>
      </c>
      <c r="D13252" s="27" t="s">
        <v>17558</v>
      </c>
      <c r="E13252" s="29">
        <v>35795</v>
      </c>
      <c r="F13252" s="27">
        <v>12</v>
      </c>
      <c r="G13252" s="18">
        <v>9626.11</v>
      </c>
      <c r="H13252" s="27">
        <f t="shared" si="412"/>
        <v>9626.11</v>
      </c>
      <c r="I13252" s="18">
        <v>9144.7999999999993</v>
      </c>
      <c r="J13252" s="27">
        <v>0</v>
      </c>
      <c r="K13252" s="18">
        <f t="shared" si="413"/>
        <v>0</v>
      </c>
      <c r="L13252" s="27">
        <v>0</v>
      </c>
      <c r="M13252" s="36">
        <v>0</v>
      </c>
      <c r="Q13252" s="16" t="s">
        <v>19522</v>
      </c>
      <c r="R13252" s="16">
        <v>9626.11</v>
      </c>
      <c r="S13252" s="16">
        <v>9144.7999999999993</v>
      </c>
      <c r="T13252" s="41">
        <v>0</v>
      </c>
      <c r="U13252" s="41">
        <v>0</v>
      </c>
      <c r="V13252" s="42" t="s">
        <v>113</v>
      </c>
      <c r="W13252" s="42">
        <v>0</v>
      </c>
      <c r="X13252" s="42">
        <v>0</v>
      </c>
    </row>
    <row r="13253" spans="1:24">
      <c r="A13253" s="27" t="s">
        <v>23749</v>
      </c>
      <c r="B13253" s="28" t="s">
        <v>19890</v>
      </c>
      <c r="C13253" s="27" t="s">
        <v>23694</v>
      </c>
      <c r="D13253" s="27" t="s">
        <v>17558</v>
      </c>
      <c r="E13253" s="29">
        <v>35795</v>
      </c>
      <c r="F13253" s="27">
        <v>12</v>
      </c>
      <c r="G13253" s="18">
        <v>9626.11</v>
      </c>
      <c r="H13253" s="27">
        <f t="shared" si="412"/>
        <v>9626.11</v>
      </c>
      <c r="I13253" s="18">
        <v>9144.7999999999993</v>
      </c>
      <c r="J13253" s="27">
        <v>0</v>
      </c>
      <c r="K13253" s="18">
        <f t="shared" si="413"/>
        <v>0</v>
      </c>
      <c r="L13253" s="27">
        <v>0</v>
      </c>
      <c r="M13253" s="36">
        <v>0</v>
      </c>
      <c r="Q13253" s="16" t="s">
        <v>19522</v>
      </c>
      <c r="R13253" s="16">
        <v>9626.11</v>
      </c>
      <c r="S13253" s="16">
        <v>9144.7999999999993</v>
      </c>
      <c r="T13253" s="41">
        <v>0</v>
      </c>
      <c r="U13253" s="41">
        <v>0</v>
      </c>
      <c r="V13253" s="42" t="s">
        <v>113</v>
      </c>
      <c r="W13253" s="42">
        <v>0</v>
      </c>
      <c r="X13253" s="42">
        <v>0</v>
      </c>
    </row>
    <row r="13254" spans="1:24">
      <c r="A13254" s="27" t="s">
        <v>23750</v>
      </c>
      <c r="B13254" s="28" t="s">
        <v>19890</v>
      </c>
      <c r="C13254" s="27" t="s">
        <v>23696</v>
      </c>
      <c r="D13254" s="27" t="s">
        <v>17558</v>
      </c>
      <c r="E13254" s="29">
        <v>35795</v>
      </c>
      <c r="F13254" s="27">
        <v>12</v>
      </c>
      <c r="G13254" s="18">
        <v>9626.11</v>
      </c>
      <c r="H13254" s="27">
        <f t="shared" ref="H13254:H13317" si="414">IFERROR(IF(ROUND((G13254-I13254)/G13254,2)&lt;=0.05,G13254,0),0)</f>
        <v>9626.11</v>
      </c>
      <c r="I13254" s="18">
        <v>9144.7999999999993</v>
      </c>
      <c r="J13254" s="27">
        <v>0</v>
      </c>
      <c r="K13254" s="18">
        <f t="shared" ref="K13254:K13317" si="415">IFERROR(IF(ROUND((J13254-L13254)/J13254,2)&lt;=0.05,J13254,0),0)</f>
        <v>0</v>
      </c>
      <c r="L13254" s="27">
        <v>0</v>
      </c>
      <c r="M13254" s="36">
        <v>0</v>
      </c>
      <c r="Q13254" s="16" t="s">
        <v>19522</v>
      </c>
      <c r="R13254" s="16">
        <v>9626.11</v>
      </c>
      <c r="S13254" s="16">
        <v>9144.7999999999993</v>
      </c>
      <c r="T13254" s="41">
        <v>0</v>
      </c>
      <c r="U13254" s="41">
        <v>0</v>
      </c>
      <c r="V13254" s="42" t="s">
        <v>113</v>
      </c>
      <c r="W13254" s="42">
        <v>0</v>
      </c>
      <c r="X13254" s="42">
        <v>0</v>
      </c>
    </row>
    <row r="13255" spans="1:24">
      <c r="A13255" s="27" t="s">
        <v>23751</v>
      </c>
      <c r="B13255" s="28" t="s">
        <v>19890</v>
      </c>
      <c r="C13255" s="27" t="s">
        <v>23721</v>
      </c>
      <c r="D13255" s="27" t="s">
        <v>17558</v>
      </c>
      <c r="E13255" s="29">
        <v>35795</v>
      </c>
      <c r="F13255" s="27">
        <v>12</v>
      </c>
      <c r="G13255" s="18">
        <v>9626.11</v>
      </c>
      <c r="H13255" s="27">
        <f t="shared" si="414"/>
        <v>9626.11</v>
      </c>
      <c r="I13255" s="18">
        <v>9144.7999999999993</v>
      </c>
      <c r="J13255" s="27">
        <v>9626.11</v>
      </c>
      <c r="K13255" s="18">
        <f t="shared" si="415"/>
        <v>9626.11</v>
      </c>
      <c r="L13255" s="27">
        <v>9144.7999999999993</v>
      </c>
      <c r="M13255" s="36">
        <v>0</v>
      </c>
      <c r="T13255" s="41">
        <v>0</v>
      </c>
      <c r="U13255" s="41">
        <v>0</v>
      </c>
      <c r="V13255" s="42" t="s">
        <v>113</v>
      </c>
      <c r="W13255" s="42">
        <v>9626.11</v>
      </c>
      <c r="X13255" s="42">
        <v>9626.11</v>
      </c>
    </row>
    <row r="13256" spans="1:24">
      <c r="A13256" s="27" t="s">
        <v>23752</v>
      </c>
      <c r="B13256" s="28" t="s">
        <v>19890</v>
      </c>
      <c r="C13256" s="27" t="s">
        <v>23723</v>
      </c>
      <c r="D13256" s="27" t="s">
        <v>17558</v>
      </c>
      <c r="E13256" s="29">
        <v>35795</v>
      </c>
      <c r="F13256" s="27">
        <v>12</v>
      </c>
      <c r="G13256" s="18">
        <v>9626.11</v>
      </c>
      <c r="H13256" s="27">
        <f t="shared" si="414"/>
        <v>9626.11</v>
      </c>
      <c r="I13256" s="18">
        <v>9144.7999999999993</v>
      </c>
      <c r="J13256" s="27">
        <v>9626.11</v>
      </c>
      <c r="K13256" s="18">
        <f t="shared" si="415"/>
        <v>9626.11</v>
      </c>
      <c r="L13256" s="27">
        <v>9144.7999999999993</v>
      </c>
      <c r="M13256" s="36">
        <v>0</v>
      </c>
      <c r="T13256" s="41">
        <v>0</v>
      </c>
      <c r="U13256" s="41">
        <v>0</v>
      </c>
      <c r="V13256" s="42" t="s">
        <v>113</v>
      </c>
      <c r="W13256" s="42">
        <v>9626.11</v>
      </c>
      <c r="X13256" s="42">
        <v>9626.11</v>
      </c>
    </row>
    <row r="13257" spans="1:24">
      <c r="A13257" s="27" t="s">
        <v>23753</v>
      </c>
      <c r="B13257" s="28" t="s">
        <v>19890</v>
      </c>
      <c r="C13257" s="27" t="s">
        <v>23725</v>
      </c>
      <c r="D13257" s="27" t="s">
        <v>17558</v>
      </c>
      <c r="E13257" s="29">
        <v>35795</v>
      </c>
      <c r="F13257" s="27">
        <v>12</v>
      </c>
      <c r="G13257" s="18">
        <v>9626.11</v>
      </c>
      <c r="H13257" s="27">
        <f t="shared" si="414"/>
        <v>9626.11</v>
      </c>
      <c r="I13257" s="18">
        <v>9144.7999999999993</v>
      </c>
      <c r="J13257" s="27">
        <v>9626.11</v>
      </c>
      <c r="K13257" s="18">
        <f t="shared" si="415"/>
        <v>9626.11</v>
      </c>
      <c r="L13257" s="27">
        <v>9144.7999999999993</v>
      </c>
      <c r="M13257" s="36">
        <v>0</v>
      </c>
      <c r="T13257" s="41">
        <v>0</v>
      </c>
      <c r="U13257" s="41">
        <v>0</v>
      </c>
      <c r="V13257" s="42" t="s">
        <v>113</v>
      </c>
      <c r="W13257" s="42">
        <v>9626.11</v>
      </c>
      <c r="X13257" s="42">
        <v>9626.11</v>
      </c>
    </row>
    <row r="13258" spans="1:24">
      <c r="A13258" s="27" t="s">
        <v>23754</v>
      </c>
      <c r="B13258" s="28" t="s">
        <v>19890</v>
      </c>
      <c r="C13258" s="27" t="s">
        <v>19763</v>
      </c>
      <c r="D13258" s="27" t="s">
        <v>17558</v>
      </c>
      <c r="E13258" s="29">
        <v>35795</v>
      </c>
      <c r="F13258" s="27">
        <v>12</v>
      </c>
      <c r="G13258" s="18">
        <v>15627.02</v>
      </c>
      <c r="H13258" s="27">
        <f t="shared" si="414"/>
        <v>15627.02</v>
      </c>
      <c r="I13258" s="18">
        <v>14845.67</v>
      </c>
      <c r="J13258" s="27">
        <v>15627.02</v>
      </c>
      <c r="K13258" s="18">
        <f t="shared" si="415"/>
        <v>15627.02</v>
      </c>
      <c r="L13258" s="27">
        <v>14845.67</v>
      </c>
      <c r="M13258" s="36">
        <v>0</v>
      </c>
      <c r="T13258" s="41">
        <v>0</v>
      </c>
      <c r="U13258" s="41">
        <v>0</v>
      </c>
      <c r="V13258" s="42" t="s">
        <v>113</v>
      </c>
      <c r="W13258" s="42">
        <v>15627.02</v>
      </c>
      <c r="X13258" s="42">
        <v>15627.02</v>
      </c>
    </row>
    <row r="13259" spans="1:24">
      <c r="A13259" s="27" t="s">
        <v>23755</v>
      </c>
      <c r="B13259" s="28" t="s">
        <v>19890</v>
      </c>
      <c r="C13259" s="27" t="s">
        <v>23756</v>
      </c>
      <c r="D13259" s="27" t="s">
        <v>17578</v>
      </c>
      <c r="E13259" s="29">
        <v>41963</v>
      </c>
      <c r="F13259" s="27">
        <v>12</v>
      </c>
      <c r="G13259" s="18">
        <v>128354.02</v>
      </c>
      <c r="H13259" s="27">
        <f t="shared" si="414"/>
        <v>0</v>
      </c>
      <c r="I13259" s="18">
        <v>41492.22</v>
      </c>
      <c r="J13259" s="27">
        <v>128354.02</v>
      </c>
      <c r="K13259" s="18">
        <f t="shared" si="415"/>
        <v>0</v>
      </c>
      <c r="L13259" s="27">
        <v>51653.58</v>
      </c>
      <c r="M13259" s="36">
        <v>10161.36</v>
      </c>
      <c r="T13259" s="41">
        <v>0</v>
      </c>
      <c r="U13259" s="41">
        <v>0</v>
      </c>
      <c r="V13259" s="42" t="s">
        <v>113</v>
      </c>
      <c r="W13259" s="42">
        <v>0</v>
      </c>
      <c r="X13259" s="42">
        <v>0</v>
      </c>
    </row>
    <row r="13260" spans="1:24">
      <c r="A13260" s="27" t="s">
        <v>23757</v>
      </c>
      <c r="B13260" s="28" t="s">
        <v>19890</v>
      </c>
      <c r="C13260" s="27" t="s">
        <v>23758</v>
      </c>
      <c r="D13260" s="27" t="s">
        <v>17578</v>
      </c>
      <c r="E13260" s="29">
        <v>41963</v>
      </c>
      <c r="F13260" s="27">
        <v>12</v>
      </c>
      <c r="G13260" s="18">
        <v>128354.02</v>
      </c>
      <c r="H13260" s="27">
        <f t="shared" si="414"/>
        <v>0</v>
      </c>
      <c r="I13260" s="18">
        <v>41492.22</v>
      </c>
      <c r="J13260" s="27">
        <v>128354.02</v>
      </c>
      <c r="K13260" s="18">
        <f t="shared" si="415"/>
        <v>0</v>
      </c>
      <c r="L13260" s="27">
        <v>51653.58</v>
      </c>
      <c r="M13260" s="36">
        <v>10161.36</v>
      </c>
      <c r="T13260" s="41">
        <v>0</v>
      </c>
      <c r="U13260" s="41">
        <v>0</v>
      </c>
      <c r="V13260" s="42" t="s">
        <v>113</v>
      </c>
      <c r="W13260" s="42">
        <v>0</v>
      </c>
      <c r="X13260" s="42">
        <v>0</v>
      </c>
    </row>
    <row r="13261" spans="1:24">
      <c r="A13261" s="27" t="s">
        <v>23759</v>
      </c>
      <c r="B13261" s="28" t="s">
        <v>19890</v>
      </c>
      <c r="C13261" s="27" t="s">
        <v>23760</v>
      </c>
      <c r="D13261" s="27" t="s">
        <v>17578</v>
      </c>
      <c r="E13261" s="29">
        <v>41963</v>
      </c>
      <c r="F13261" s="27">
        <v>12</v>
      </c>
      <c r="G13261" s="18">
        <v>128354.02</v>
      </c>
      <c r="H13261" s="27">
        <f t="shared" si="414"/>
        <v>0</v>
      </c>
      <c r="I13261" s="18">
        <v>41492.22</v>
      </c>
      <c r="J13261" s="27">
        <v>128354.02</v>
      </c>
      <c r="K13261" s="18">
        <f t="shared" si="415"/>
        <v>0</v>
      </c>
      <c r="L13261" s="27">
        <v>51653.58</v>
      </c>
      <c r="M13261" s="36">
        <v>10161.36</v>
      </c>
      <c r="T13261" s="41">
        <v>0</v>
      </c>
      <c r="U13261" s="41">
        <v>0</v>
      </c>
      <c r="V13261" s="42" t="s">
        <v>113</v>
      </c>
      <c r="W13261" s="42">
        <v>0</v>
      </c>
      <c r="X13261" s="42">
        <v>0</v>
      </c>
    </row>
    <row r="13262" spans="1:24">
      <c r="A13262" s="27" t="s">
        <v>23761</v>
      </c>
      <c r="B13262" s="28" t="s">
        <v>19890</v>
      </c>
      <c r="C13262" s="27" t="s">
        <v>23762</v>
      </c>
      <c r="D13262" s="27" t="s">
        <v>17558</v>
      </c>
      <c r="E13262" s="29">
        <v>32754</v>
      </c>
      <c r="F13262" s="27">
        <v>12</v>
      </c>
      <c r="G13262" s="18">
        <v>293586.12</v>
      </c>
      <c r="H13262" s="27">
        <f t="shared" si="414"/>
        <v>293586.12</v>
      </c>
      <c r="I13262" s="18">
        <v>278906.39</v>
      </c>
      <c r="J13262" s="27">
        <v>293586.12</v>
      </c>
      <c r="K13262" s="18">
        <f t="shared" si="415"/>
        <v>293586.12</v>
      </c>
      <c r="L13262" s="27">
        <v>278906.39</v>
      </c>
      <c r="M13262" s="36">
        <v>0</v>
      </c>
      <c r="T13262" s="41">
        <v>0</v>
      </c>
      <c r="U13262" s="41">
        <v>0</v>
      </c>
      <c r="V13262" s="42" t="s">
        <v>113</v>
      </c>
      <c r="W13262" s="42">
        <v>293586.12</v>
      </c>
      <c r="X13262" s="42">
        <v>293586.12</v>
      </c>
    </row>
    <row r="13263" spans="1:24">
      <c r="A13263" s="27" t="s">
        <v>23763</v>
      </c>
      <c r="B13263" s="28" t="s">
        <v>19890</v>
      </c>
      <c r="C13263" s="27" t="s">
        <v>23764</v>
      </c>
      <c r="D13263" s="27" t="s">
        <v>17558</v>
      </c>
      <c r="E13263" s="29">
        <v>40543</v>
      </c>
      <c r="F13263" s="27">
        <v>12</v>
      </c>
      <c r="G13263" s="18">
        <v>419593.1</v>
      </c>
      <c r="H13263" s="27">
        <f t="shared" si="414"/>
        <v>0</v>
      </c>
      <c r="I13263" s="18">
        <v>274483.82</v>
      </c>
      <c r="J13263" s="27">
        <v>419593.1</v>
      </c>
      <c r="K13263" s="18">
        <f t="shared" si="415"/>
        <v>0</v>
      </c>
      <c r="L13263" s="27">
        <v>305516.23</v>
      </c>
      <c r="M13263" s="36">
        <v>31032.41</v>
      </c>
      <c r="T13263" s="41">
        <v>0</v>
      </c>
      <c r="U13263" s="41">
        <v>0</v>
      </c>
      <c r="V13263" s="42" t="s">
        <v>113</v>
      </c>
      <c r="W13263" s="42">
        <v>0</v>
      </c>
      <c r="X13263" s="42">
        <v>0</v>
      </c>
    </row>
    <row r="13264" spans="1:24">
      <c r="A13264" s="27" t="s">
        <v>23765</v>
      </c>
      <c r="B13264" s="28" t="s">
        <v>19890</v>
      </c>
      <c r="C13264" s="27" t="s">
        <v>23766</v>
      </c>
      <c r="D13264" s="27" t="s">
        <v>17558</v>
      </c>
      <c r="E13264" s="29">
        <v>40543</v>
      </c>
      <c r="F13264" s="27">
        <v>12</v>
      </c>
      <c r="G13264" s="18">
        <v>422534.72</v>
      </c>
      <c r="H13264" s="27">
        <f t="shared" si="414"/>
        <v>0</v>
      </c>
      <c r="I13264" s="18">
        <v>318661.65999999997</v>
      </c>
      <c r="J13264" s="27">
        <v>422534.72</v>
      </c>
      <c r="K13264" s="18">
        <f t="shared" si="415"/>
        <v>0</v>
      </c>
      <c r="L13264" s="27">
        <v>339348.24</v>
      </c>
      <c r="M13264" s="36">
        <v>20686.580000000002</v>
      </c>
      <c r="T13264" s="41">
        <v>0</v>
      </c>
      <c r="U13264" s="41">
        <v>0</v>
      </c>
      <c r="V13264" s="42" t="s">
        <v>113</v>
      </c>
      <c r="W13264" s="42">
        <v>0</v>
      </c>
      <c r="X13264" s="42">
        <v>0</v>
      </c>
    </row>
    <row r="13265" spans="1:24">
      <c r="A13265" s="27" t="s">
        <v>23767</v>
      </c>
      <c r="B13265" s="28" t="s">
        <v>19890</v>
      </c>
      <c r="C13265" s="27" t="s">
        <v>23768</v>
      </c>
      <c r="D13265" s="27" t="s">
        <v>17578</v>
      </c>
      <c r="E13265" s="29">
        <v>42338</v>
      </c>
      <c r="F13265" s="27">
        <v>12</v>
      </c>
      <c r="G13265" s="18">
        <v>129837.43</v>
      </c>
      <c r="H13265" s="27">
        <f t="shared" si="414"/>
        <v>0</v>
      </c>
      <c r="I13265" s="18">
        <v>31952.54</v>
      </c>
      <c r="J13265" s="27">
        <v>129837.43</v>
      </c>
      <c r="K13265" s="18">
        <f t="shared" si="415"/>
        <v>0</v>
      </c>
      <c r="L13265" s="27">
        <v>42202.22</v>
      </c>
      <c r="M13265" s="36">
        <v>10249.68</v>
      </c>
      <c r="T13265" s="41">
        <v>0</v>
      </c>
      <c r="U13265" s="41">
        <v>0</v>
      </c>
      <c r="V13265" s="42" t="s">
        <v>113</v>
      </c>
      <c r="W13265" s="42">
        <v>0</v>
      </c>
      <c r="X13265" s="42">
        <v>0</v>
      </c>
    </row>
    <row r="13266" spans="1:24">
      <c r="A13266" s="27" t="s">
        <v>23769</v>
      </c>
      <c r="B13266" s="28" t="s">
        <v>19890</v>
      </c>
      <c r="C13266" s="27" t="s">
        <v>23770</v>
      </c>
      <c r="D13266" s="27" t="s">
        <v>17578</v>
      </c>
      <c r="E13266" s="29">
        <v>42338</v>
      </c>
      <c r="F13266" s="27">
        <v>12</v>
      </c>
      <c r="G13266" s="18">
        <v>133542.91</v>
      </c>
      <c r="H13266" s="27">
        <f t="shared" si="414"/>
        <v>0</v>
      </c>
      <c r="I13266" s="18">
        <v>32597.46</v>
      </c>
      <c r="J13266" s="27">
        <v>133542.91</v>
      </c>
      <c r="K13266" s="18">
        <f t="shared" si="415"/>
        <v>0</v>
      </c>
      <c r="L13266" s="27">
        <v>43169.61</v>
      </c>
      <c r="M13266" s="36">
        <v>10572.15</v>
      </c>
      <c r="T13266" s="41">
        <v>0</v>
      </c>
      <c r="U13266" s="41">
        <v>0</v>
      </c>
      <c r="V13266" s="42" t="s">
        <v>113</v>
      </c>
      <c r="W13266" s="42">
        <v>0</v>
      </c>
      <c r="X13266" s="42">
        <v>0</v>
      </c>
    </row>
    <row r="13267" spans="1:24">
      <c r="A13267" s="27" t="s">
        <v>23771</v>
      </c>
      <c r="B13267" s="28" t="s">
        <v>19890</v>
      </c>
      <c r="C13267" s="27" t="s">
        <v>23772</v>
      </c>
      <c r="D13267" s="27" t="s">
        <v>17578</v>
      </c>
      <c r="E13267" s="29">
        <v>42338</v>
      </c>
      <c r="F13267" s="27">
        <v>12</v>
      </c>
      <c r="G13267" s="18">
        <v>133542.91</v>
      </c>
      <c r="H13267" s="27">
        <f t="shared" si="414"/>
        <v>0</v>
      </c>
      <c r="I13267" s="18">
        <v>32597.46</v>
      </c>
      <c r="J13267" s="27">
        <v>133542.91</v>
      </c>
      <c r="K13267" s="18">
        <f t="shared" si="415"/>
        <v>0</v>
      </c>
      <c r="L13267" s="27">
        <v>43169.61</v>
      </c>
      <c r="M13267" s="36">
        <v>10572.15</v>
      </c>
      <c r="T13267" s="41">
        <v>0</v>
      </c>
      <c r="U13267" s="41">
        <v>0</v>
      </c>
      <c r="V13267" s="42" t="s">
        <v>113</v>
      </c>
      <c r="W13267" s="42">
        <v>0</v>
      </c>
      <c r="X13267" s="42">
        <v>0</v>
      </c>
    </row>
    <row r="13268" spans="1:24">
      <c r="A13268" s="27" t="s">
        <v>23773</v>
      </c>
      <c r="B13268" s="28" t="s">
        <v>19890</v>
      </c>
      <c r="C13268" s="27" t="s">
        <v>23774</v>
      </c>
      <c r="D13268" s="27" t="s">
        <v>17578</v>
      </c>
      <c r="E13268" s="29">
        <v>43465</v>
      </c>
      <c r="F13268" s="27">
        <v>12</v>
      </c>
      <c r="G13268" s="18">
        <v>38052.589999999997</v>
      </c>
      <c r="H13268" s="27">
        <f t="shared" si="414"/>
        <v>0</v>
      </c>
      <c r="I13268" s="18">
        <v>0</v>
      </c>
      <c r="J13268" s="27">
        <v>38052.589999999997</v>
      </c>
      <c r="K13268" s="18">
        <f t="shared" si="415"/>
        <v>0</v>
      </c>
      <c r="L13268" s="27">
        <v>3012.5</v>
      </c>
      <c r="M13268" s="36">
        <v>3012.5</v>
      </c>
      <c r="T13268" s="41">
        <v>0</v>
      </c>
      <c r="U13268" s="41">
        <v>0</v>
      </c>
      <c r="V13268" s="42" t="s">
        <v>113</v>
      </c>
      <c r="W13268" s="42">
        <v>0</v>
      </c>
      <c r="X13268" s="42">
        <v>0</v>
      </c>
    </row>
    <row r="13269" spans="1:24">
      <c r="A13269" s="27" t="s">
        <v>23775</v>
      </c>
      <c r="B13269" s="28" t="s">
        <v>19890</v>
      </c>
      <c r="C13269" s="27" t="s">
        <v>23776</v>
      </c>
      <c r="D13269" s="27" t="s">
        <v>17578</v>
      </c>
      <c r="E13269" s="29">
        <v>43465</v>
      </c>
      <c r="F13269" s="27">
        <v>12</v>
      </c>
      <c r="G13269" s="18">
        <v>38052.589999999997</v>
      </c>
      <c r="H13269" s="27">
        <f t="shared" si="414"/>
        <v>0</v>
      </c>
      <c r="I13269" s="18">
        <v>0</v>
      </c>
      <c r="J13269" s="27">
        <v>38052.589999999997</v>
      </c>
      <c r="K13269" s="18">
        <f t="shared" si="415"/>
        <v>0</v>
      </c>
      <c r="L13269" s="27">
        <v>3012.5</v>
      </c>
      <c r="M13269" s="36">
        <v>3012.5</v>
      </c>
      <c r="T13269" s="41">
        <v>0</v>
      </c>
      <c r="U13269" s="41">
        <v>0</v>
      </c>
      <c r="V13269" s="42" t="s">
        <v>113</v>
      </c>
      <c r="W13269" s="42">
        <v>0</v>
      </c>
      <c r="X13269" s="42">
        <v>0</v>
      </c>
    </row>
    <row r="13270" spans="1:24">
      <c r="A13270" s="27" t="s">
        <v>23777</v>
      </c>
      <c r="B13270" s="28" t="s">
        <v>19890</v>
      </c>
      <c r="C13270" s="27" t="s">
        <v>23778</v>
      </c>
      <c r="D13270" s="27" t="s">
        <v>17578</v>
      </c>
      <c r="E13270" s="29">
        <v>43465</v>
      </c>
      <c r="F13270" s="27">
        <v>12</v>
      </c>
      <c r="G13270" s="18">
        <v>38052.589999999997</v>
      </c>
      <c r="H13270" s="27">
        <f t="shared" si="414"/>
        <v>0</v>
      </c>
      <c r="I13270" s="18">
        <v>0</v>
      </c>
      <c r="J13270" s="27">
        <v>38052.589999999997</v>
      </c>
      <c r="K13270" s="18">
        <f t="shared" si="415"/>
        <v>0</v>
      </c>
      <c r="L13270" s="27">
        <v>3012.5</v>
      </c>
      <c r="M13270" s="36">
        <v>3012.5</v>
      </c>
      <c r="T13270" s="41">
        <v>0</v>
      </c>
      <c r="U13270" s="41">
        <v>0</v>
      </c>
      <c r="V13270" s="42" t="s">
        <v>113</v>
      </c>
      <c r="W13270" s="42">
        <v>0</v>
      </c>
      <c r="X13270" s="42">
        <v>0</v>
      </c>
    </row>
    <row r="13271" spans="1:24">
      <c r="A13271" s="27" t="s">
        <v>23779</v>
      </c>
      <c r="B13271" s="28" t="s">
        <v>19890</v>
      </c>
      <c r="C13271" s="27" t="s">
        <v>23780</v>
      </c>
      <c r="D13271" s="27" t="s">
        <v>17558</v>
      </c>
      <c r="E13271" s="29">
        <v>35795</v>
      </c>
      <c r="F13271" s="27">
        <v>12</v>
      </c>
      <c r="G13271" s="18">
        <v>803954.3</v>
      </c>
      <c r="H13271" s="27">
        <f t="shared" si="414"/>
        <v>803954.3</v>
      </c>
      <c r="I13271" s="18">
        <v>763756.3</v>
      </c>
      <c r="J13271" s="27">
        <v>803954.3</v>
      </c>
      <c r="K13271" s="18">
        <f t="shared" si="415"/>
        <v>803954.3</v>
      </c>
      <c r="L13271" s="27">
        <v>763756.3</v>
      </c>
      <c r="M13271" s="36">
        <v>0</v>
      </c>
      <c r="T13271" s="41">
        <v>0</v>
      </c>
      <c r="U13271" s="41">
        <v>0</v>
      </c>
      <c r="V13271" s="42" t="s">
        <v>113</v>
      </c>
      <c r="W13271" s="42">
        <v>803954.3</v>
      </c>
      <c r="X13271" s="42">
        <v>803954.3</v>
      </c>
    </row>
    <row r="13272" spans="1:24">
      <c r="A13272" s="27" t="s">
        <v>23781</v>
      </c>
      <c r="B13272" s="28" t="s">
        <v>19890</v>
      </c>
      <c r="C13272" s="27" t="s">
        <v>23782</v>
      </c>
      <c r="D13272" s="27" t="s">
        <v>17558</v>
      </c>
      <c r="E13272" s="29">
        <v>35795</v>
      </c>
      <c r="F13272" s="27">
        <v>12</v>
      </c>
      <c r="G13272" s="18">
        <v>803954.3</v>
      </c>
      <c r="H13272" s="27">
        <f t="shared" si="414"/>
        <v>803954.3</v>
      </c>
      <c r="I13272" s="18">
        <v>763756.3</v>
      </c>
      <c r="J13272" s="27">
        <v>803954.3</v>
      </c>
      <c r="K13272" s="18">
        <f t="shared" si="415"/>
        <v>803954.3</v>
      </c>
      <c r="L13272" s="27">
        <v>763756.3</v>
      </c>
      <c r="M13272" s="36">
        <v>0</v>
      </c>
      <c r="T13272" s="41">
        <v>0</v>
      </c>
      <c r="U13272" s="41">
        <v>0</v>
      </c>
      <c r="V13272" s="42" t="s">
        <v>113</v>
      </c>
      <c r="W13272" s="42">
        <v>803954.3</v>
      </c>
      <c r="X13272" s="42">
        <v>803954.3</v>
      </c>
    </row>
    <row r="13273" spans="1:24">
      <c r="A13273" s="27" t="s">
        <v>23783</v>
      </c>
      <c r="B13273" s="28" t="s">
        <v>19890</v>
      </c>
      <c r="C13273" s="27" t="s">
        <v>23784</v>
      </c>
      <c r="D13273" s="27" t="s">
        <v>17558</v>
      </c>
      <c r="E13273" s="29">
        <v>35795</v>
      </c>
      <c r="F13273" s="27">
        <v>12</v>
      </c>
      <c r="G13273" s="18">
        <v>152692.66</v>
      </c>
      <c r="H13273" s="27">
        <f t="shared" si="414"/>
        <v>152692.66</v>
      </c>
      <c r="I13273" s="18">
        <v>145058.03</v>
      </c>
      <c r="J13273" s="27">
        <v>152692.66</v>
      </c>
      <c r="K13273" s="18">
        <f t="shared" si="415"/>
        <v>152692.66</v>
      </c>
      <c r="L13273" s="27">
        <v>145058.03</v>
      </c>
      <c r="M13273" s="36">
        <v>0</v>
      </c>
      <c r="T13273" s="41">
        <v>0</v>
      </c>
      <c r="U13273" s="41">
        <v>0</v>
      </c>
      <c r="V13273" s="42" t="s">
        <v>113</v>
      </c>
      <c r="W13273" s="42">
        <v>152692.66</v>
      </c>
      <c r="X13273" s="42">
        <v>152692.66</v>
      </c>
    </row>
    <row r="13274" spans="1:24">
      <c r="A13274" s="27" t="s">
        <v>23785</v>
      </c>
      <c r="B13274" s="28" t="s">
        <v>19890</v>
      </c>
      <c r="C13274" s="27" t="s">
        <v>23786</v>
      </c>
      <c r="D13274" s="27" t="s">
        <v>17558</v>
      </c>
      <c r="E13274" s="29">
        <v>35795</v>
      </c>
      <c r="F13274" s="27">
        <v>12</v>
      </c>
      <c r="G13274" s="18">
        <v>152692.66</v>
      </c>
      <c r="H13274" s="27">
        <f t="shared" si="414"/>
        <v>152692.66</v>
      </c>
      <c r="I13274" s="18">
        <v>145058.03</v>
      </c>
      <c r="J13274" s="27">
        <v>152692.66</v>
      </c>
      <c r="K13274" s="18">
        <f t="shared" si="415"/>
        <v>152692.66</v>
      </c>
      <c r="L13274" s="27">
        <v>145058.03</v>
      </c>
      <c r="M13274" s="36">
        <v>0</v>
      </c>
      <c r="T13274" s="41">
        <v>0</v>
      </c>
      <c r="U13274" s="41">
        <v>0</v>
      </c>
      <c r="V13274" s="42" t="s">
        <v>113</v>
      </c>
      <c r="W13274" s="42">
        <v>152692.66</v>
      </c>
      <c r="X13274" s="42">
        <v>152692.66</v>
      </c>
    </row>
    <row r="13275" spans="1:24">
      <c r="A13275" s="27" t="s">
        <v>23787</v>
      </c>
      <c r="B13275" s="28" t="s">
        <v>19890</v>
      </c>
      <c r="C13275" s="27" t="s">
        <v>23788</v>
      </c>
      <c r="D13275" s="27" t="s">
        <v>17558</v>
      </c>
      <c r="E13275" s="29">
        <v>35795</v>
      </c>
      <c r="F13275" s="27">
        <v>12</v>
      </c>
      <c r="G13275" s="18">
        <v>152692.66</v>
      </c>
      <c r="H13275" s="27">
        <f t="shared" si="414"/>
        <v>152692.66</v>
      </c>
      <c r="I13275" s="18">
        <v>145058.03</v>
      </c>
      <c r="J13275" s="27">
        <v>152692.66</v>
      </c>
      <c r="K13275" s="18">
        <f t="shared" si="415"/>
        <v>152692.66</v>
      </c>
      <c r="L13275" s="27">
        <v>145058.03</v>
      </c>
      <c r="M13275" s="36">
        <v>0</v>
      </c>
      <c r="T13275" s="41">
        <v>0</v>
      </c>
      <c r="U13275" s="41">
        <v>0</v>
      </c>
      <c r="V13275" s="42" t="s">
        <v>113</v>
      </c>
      <c r="W13275" s="42">
        <v>152692.66</v>
      </c>
      <c r="X13275" s="42">
        <v>152692.66</v>
      </c>
    </row>
    <row r="13276" spans="1:24">
      <c r="A13276" s="27" t="s">
        <v>23789</v>
      </c>
      <c r="B13276" s="28" t="s">
        <v>19890</v>
      </c>
      <c r="C13276" s="27" t="s">
        <v>23790</v>
      </c>
      <c r="D13276" s="27" t="s">
        <v>17558</v>
      </c>
      <c r="E13276" s="29">
        <v>40298</v>
      </c>
      <c r="F13276" s="27">
        <v>12</v>
      </c>
      <c r="G13276" s="18">
        <v>1642.5</v>
      </c>
      <c r="H13276" s="27">
        <f t="shared" si="414"/>
        <v>1642.5</v>
      </c>
      <c r="I13276" s="18">
        <v>1642.5</v>
      </c>
      <c r="J13276" s="27">
        <v>1642.5</v>
      </c>
      <c r="K13276" s="18">
        <f t="shared" si="415"/>
        <v>1642.5</v>
      </c>
      <c r="L13276" s="27">
        <v>1642.5</v>
      </c>
      <c r="M13276" s="36">
        <v>0</v>
      </c>
      <c r="T13276" s="41">
        <v>0</v>
      </c>
      <c r="U13276" s="41">
        <v>0</v>
      </c>
      <c r="V13276" s="42" t="s">
        <v>113</v>
      </c>
      <c r="W13276" s="42">
        <v>1642.5</v>
      </c>
      <c r="X13276" s="42">
        <v>1642.5</v>
      </c>
    </row>
    <row r="13277" spans="1:24">
      <c r="A13277" s="27" t="s">
        <v>23791</v>
      </c>
      <c r="B13277" s="28" t="s">
        <v>19890</v>
      </c>
      <c r="C13277" s="27" t="s">
        <v>23792</v>
      </c>
      <c r="D13277" s="27" t="s">
        <v>17558</v>
      </c>
      <c r="E13277" s="29">
        <v>35795</v>
      </c>
      <c r="F13277" s="27">
        <v>12</v>
      </c>
      <c r="G13277" s="18">
        <v>8470.44</v>
      </c>
      <c r="H13277" s="27">
        <f t="shared" si="414"/>
        <v>8470.44</v>
      </c>
      <c r="I13277" s="18">
        <v>8046.92</v>
      </c>
      <c r="J13277" s="27">
        <v>8470.44</v>
      </c>
      <c r="K13277" s="18">
        <f t="shared" si="415"/>
        <v>8470.44</v>
      </c>
      <c r="L13277" s="27">
        <v>8046.92</v>
      </c>
      <c r="M13277" s="36">
        <v>0</v>
      </c>
      <c r="T13277" s="41">
        <v>0</v>
      </c>
      <c r="U13277" s="41">
        <v>0</v>
      </c>
      <c r="V13277" s="42" t="s">
        <v>113</v>
      </c>
      <c r="W13277" s="42">
        <v>8470.44</v>
      </c>
      <c r="X13277" s="42">
        <v>8470.44</v>
      </c>
    </row>
    <row r="13278" spans="1:24">
      <c r="A13278" s="27" t="s">
        <v>23793</v>
      </c>
      <c r="B13278" s="28" t="s">
        <v>19890</v>
      </c>
      <c r="C13278" s="27" t="s">
        <v>23794</v>
      </c>
      <c r="D13278" s="27" t="s">
        <v>17558</v>
      </c>
      <c r="E13278" s="29">
        <v>40086</v>
      </c>
      <c r="F13278" s="27">
        <v>12</v>
      </c>
      <c r="G13278" s="18">
        <v>367.5</v>
      </c>
      <c r="H13278" s="27">
        <f t="shared" si="414"/>
        <v>367.5</v>
      </c>
      <c r="I13278" s="18">
        <v>367.5</v>
      </c>
      <c r="J13278" s="27">
        <v>367.5</v>
      </c>
      <c r="K13278" s="18">
        <f t="shared" si="415"/>
        <v>367.5</v>
      </c>
      <c r="L13278" s="27">
        <v>367.5</v>
      </c>
      <c r="M13278" s="36">
        <v>0</v>
      </c>
      <c r="T13278" s="41">
        <v>0</v>
      </c>
      <c r="U13278" s="41">
        <v>0</v>
      </c>
      <c r="V13278" s="42" t="s">
        <v>113</v>
      </c>
      <c r="W13278" s="42">
        <v>367.5</v>
      </c>
      <c r="X13278" s="42">
        <v>367.5</v>
      </c>
    </row>
    <row r="13279" spans="1:24">
      <c r="A13279" s="27" t="s">
        <v>23795</v>
      </c>
      <c r="B13279" s="28" t="s">
        <v>19890</v>
      </c>
      <c r="C13279" s="27" t="s">
        <v>23796</v>
      </c>
      <c r="D13279" s="27" t="s">
        <v>17558</v>
      </c>
      <c r="E13279" s="29">
        <v>40178</v>
      </c>
      <c r="F13279" s="27">
        <v>12</v>
      </c>
      <c r="G13279" s="18">
        <v>19200</v>
      </c>
      <c r="H13279" s="27">
        <f t="shared" si="414"/>
        <v>0</v>
      </c>
      <c r="I13279" s="18">
        <v>14096.51</v>
      </c>
      <c r="J13279" s="27">
        <v>19200</v>
      </c>
      <c r="K13279" s="18">
        <f t="shared" si="415"/>
        <v>0</v>
      </c>
      <c r="L13279" s="27">
        <v>15477.67</v>
      </c>
      <c r="M13279" s="36">
        <v>1381.16</v>
      </c>
      <c r="T13279" s="41">
        <v>0</v>
      </c>
      <c r="U13279" s="41">
        <v>0</v>
      </c>
      <c r="V13279" s="42" t="s">
        <v>113</v>
      </c>
      <c r="W13279" s="42">
        <v>0</v>
      </c>
      <c r="X13279" s="42">
        <v>19200</v>
      </c>
    </row>
    <row r="13280" spans="1:24">
      <c r="A13280" s="27" t="s">
        <v>23797</v>
      </c>
      <c r="B13280" s="28" t="s">
        <v>19890</v>
      </c>
      <c r="C13280" s="27" t="s">
        <v>23798</v>
      </c>
      <c r="D13280" s="27" t="s">
        <v>17558</v>
      </c>
      <c r="E13280" s="29">
        <v>40178</v>
      </c>
      <c r="F13280" s="27">
        <v>12</v>
      </c>
      <c r="G13280" s="18">
        <v>39051.599999999999</v>
      </c>
      <c r="H13280" s="27">
        <f t="shared" si="414"/>
        <v>0</v>
      </c>
      <c r="I13280" s="18">
        <v>28455.02</v>
      </c>
      <c r="J13280" s="27">
        <v>39051.599999999999</v>
      </c>
      <c r="K13280" s="18">
        <f t="shared" si="415"/>
        <v>0</v>
      </c>
      <c r="L13280" s="27">
        <v>31336.35</v>
      </c>
      <c r="M13280" s="36">
        <v>2881.33</v>
      </c>
      <c r="T13280" s="41">
        <v>0</v>
      </c>
      <c r="U13280" s="41">
        <v>0</v>
      </c>
      <c r="V13280" s="42" t="s">
        <v>113</v>
      </c>
      <c r="W13280" s="42">
        <v>0</v>
      </c>
      <c r="X13280" s="42">
        <v>39051.599999999999</v>
      </c>
    </row>
    <row r="13281" spans="1:24">
      <c r="A13281" s="27" t="s">
        <v>23799</v>
      </c>
      <c r="B13281" s="28" t="s">
        <v>19890</v>
      </c>
      <c r="C13281" s="27" t="s">
        <v>23800</v>
      </c>
      <c r="D13281" s="27" t="s">
        <v>17558</v>
      </c>
      <c r="E13281" s="29">
        <v>35795</v>
      </c>
      <c r="F13281" s="27">
        <v>12</v>
      </c>
      <c r="G13281" s="18">
        <v>474.62</v>
      </c>
      <c r="H13281" s="27">
        <f t="shared" si="414"/>
        <v>474.62</v>
      </c>
      <c r="I13281" s="18">
        <v>474.62</v>
      </c>
      <c r="J13281" s="27">
        <v>474.62</v>
      </c>
      <c r="K13281" s="18">
        <f t="shared" si="415"/>
        <v>474.62</v>
      </c>
      <c r="L13281" s="27">
        <v>474.62</v>
      </c>
      <c r="M13281" s="36">
        <v>0</v>
      </c>
      <c r="T13281" s="41">
        <v>0</v>
      </c>
      <c r="U13281" s="41">
        <v>0</v>
      </c>
      <c r="V13281" s="42" t="s">
        <v>113</v>
      </c>
      <c r="W13281" s="42">
        <v>474.62</v>
      </c>
      <c r="X13281" s="42">
        <v>474.62</v>
      </c>
    </row>
    <row r="13282" spans="1:24">
      <c r="A13282" s="27" t="s">
        <v>23801</v>
      </c>
      <c r="B13282" s="28" t="s">
        <v>19890</v>
      </c>
      <c r="C13282" s="27" t="s">
        <v>23802</v>
      </c>
      <c r="D13282" s="27" t="s">
        <v>17558</v>
      </c>
      <c r="E13282" s="29">
        <v>39813</v>
      </c>
      <c r="F13282" s="27">
        <v>12</v>
      </c>
      <c r="G13282" s="18">
        <v>83800</v>
      </c>
      <c r="H13282" s="27">
        <f t="shared" si="414"/>
        <v>0</v>
      </c>
      <c r="I13282" s="18">
        <v>67046.55</v>
      </c>
      <c r="J13282" s="27">
        <v>83800</v>
      </c>
      <c r="K13282" s="18">
        <f t="shared" si="415"/>
        <v>0</v>
      </c>
      <c r="L13282" s="27">
        <v>73328.28</v>
      </c>
      <c r="M13282" s="36">
        <v>6281.73</v>
      </c>
      <c r="T13282" s="41">
        <v>0</v>
      </c>
      <c r="U13282" s="41">
        <v>0</v>
      </c>
      <c r="V13282" s="42" t="s">
        <v>113</v>
      </c>
      <c r="W13282" s="42">
        <v>83800</v>
      </c>
      <c r="X13282" s="42">
        <v>83800</v>
      </c>
    </row>
    <row r="13283" spans="1:24">
      <c r="A13283" s="27" t="s">
        <v>23803</v>
      </c>
      <c r="B13283" s="28" t="s">
        <v>19890</v>
      </c>
      <c r="C13283" s="27" t="s">
        <v>23804</v>
      </c>
      <c r="D13283" s="27" t="s">
        <v>17558</v>
      </c>
      <c r="E13283" s="29">
        <v>35795</v>
      </c>
      <c r="F13283" s="27">
        <v>12</v>
      </c>
      <c r="G13283" s="18">
        <v>54391.45</v>
      </c>
      <c r="H13283" s="27">
        <f t="shared" si="414"/>
        <v>54391.45</v>
      </c>
      <c r="I13283" s="18">
        <v>51671.88</v>
      </c>
      <c r="J13283" s="27">
        <v>54391.45</v>
      </c>
      <c r="K13283" s="18">
        <f t="shared" si="415"/>
        <v>54391.45</v>
      </c>
      <c r="L13283" s="27">
        <v>51671.88</v>
      </c>
      <c r="M13283" s="36">
        <v>0</v>
      </c>
      <c r="T13283" s="41">
        <v>0</v>
      </c>
      <c r="U13283" s="41">
        <v>0</v>
      </c>
      <c r="V13283" s="42" t="s">
        <v>113</v>
      </c>
      <c r="W13283" s="42">
        <v>54391.45</v>
      </c>
      <c r="X13283" s="42">
        <v>54391.45</v>
      </c>
    </row>
    <row r="13284" spans="1:24">
      <c r="A13284" s="27" t="s">
        <v>23805</v>
      </c>
      <c r="B13284" s="28" t="s">
        <v>19890</v>
      </c>
      <c r="C13284" s="27" t="s">
        <v>23806</v>
      </c>
      <c r="D13284" s="27" t="s">
        <v>17558</v>
      </c>
      <c r="E13284" s="29">
        <v>35795</v>
      </c>
      <c r="F13284" s="27">
        <v>12</v>
      </c>
      <c r="G13284" s="18">
        <v>51855.81</v>
      </c>
      <c r="H13284" s="27">
        <f t="shared" si="414"/>
        <v>51855.81</v>
      </c>
      <c r="I13284" s="18">
        <v>49263.02</v>
      </c>
      <c r="J13284" s="27">
        <v>51855.81</v>
      </c>
      <c r="K13284" s="18">
        <f t="shared" si="415"/>
        <v>51855.81</v>
      </c>
      <c r="L13284" s="27">
        <v>49263.02</v>
      </c>
      <c r="M13284" s="36">
        <v>0</v>
      </c>
      <c r="T13284" s="41">
        <v>0</v>
      </c>
      <c r="U13284" s="41">
        <v>0</v>
      </c>
      <c r="V13284" s="42" t="s">
        <v>113</v>
      </c>
      <c r="W13284" s="42">
        <v>51855.81</v>
      </c>
      <c r="X13284" s="42">
        <v>51855.81</v>
      </c>
    </row>
    <row r="13285" spans="1:24">
      <c r="A13285" s="27" t="s">
        <v>23807</v>
      </c>
      <c r="B13285" s="28" t="s">
        <v>19890</v>
      </c>
      <c r="C13285" s="27" t="s">
        <v>23808</v>
      </c>
      <c r="D13285" s="27" t="s">
        <v>17558</v>
      </c>
      <c r="E13285" s="29">
        <v>35795</v>
      </c>
      <c r="F13285" s="27">
        <v>12</v>
      </c>
      <c r="G13285" s="18">
        <v>220800.04</v>
      </c>
      <c r="H13285" s="27">
        <f t="shared" si="414"/>
        <v>220800.04</v>
      </c>
      <c r="I13285" s="18">
        <v>209759.97</v>
      </c>
      <c r="J13285" s="27">
        <v>220800.04</v>
      </c>
      <c r="K13285" s="18">
        <f t="shared" si="415"/>
        <v>220800.04</v>
      </c>
      <c r="L13285" s="27">
        <v>209759.97</v>
      </c>
      <c r="M13285" s="36">
        <v>0</v>
      </c>
      <c r="T13285" s="41">
        <v>0</v>
      </c>
      <c r="U13285" s="41">
        <v>0</v>
      </c>
      <c r="V13285" s="42" t="s">
        <v>113</v>
      </c>
      <c r="W13285" s="42">
        <v>220800.04</v>
      </c>
      <c r="X13285" s="42">
        <v>220800.04</v>
      </c>
    </row>
    <row r="13286" spans="1:24">
      <c r="A13286" s="27" t="s">
        <v>23809</v>
      </c>
      <c r="B13286" s="28" t="s">
        <v>19890</v>
      </c>
      <c r="C13286" s="27" t="s">
        <v>23810</v>
      </c>
      <c r="D13286" s="27" t="s">
        <v>17558</v>
      </c>
      <c r="E13286" s="29">
        <v>39041</v>
      </c>
      <c r="F13286" s="27">
        <v>12</v>
      </c>
      <c r="G13286" s="18">
        <v>41000</v>
      </c>
      <c r="H13286" s="27">
        <f t="shared" si="414"/>
        <v>41000</v>
      </c>
      <c r="I13286" s="18">
        <v>38950</v>
      </c>
      <c r="J13286" s="27">
        <v>41000</v>
      </c>
      <c r="K13286" s="18">
        <f t="shared" si="415"/>
        <v>41000</v>
      </c>
      <c r="L13286" s="27">
        <v>38950</v>
      </c>
      <c r="M13286" s="36">
        <v>0</v>
      </c>
      <c r="T13286" s="41">
        <v>0</v>
      </c>
      <c r="U13286" s="41">
        <v>0</v>
      </c>
      <c r="V13286" s="42" t="s">
        <v>113</v>
      </c>
      <c r="W13286" s="42">
        <v>41000</v>
      </c>
      <c r="X13286" s="42">
        <v>41000</v>
      </c>
    </row>
    <row r="13287" spans="1:24">
      <c r="A13287" s="27" t="s">
        <v>23811</v>
      </c>
      <c r="B13287" s="28" t="s">
        <v>19890</v>
      </c>
      <c r="C13287" s="27" t="s">
        <v>23812</v>
      </c>
      <c r="D13287" s="27" t="s">
        <v>17558</v>
      </c>
      <c r="E13287" s="29">
        <v>35795</v>
      </c>
      <c r="F13287" s="27">
        <v>12</v>
      </c>
      <c r="G13287" s="18">
        <v>7200</v>
      </c>
      <c r="H13287" s="27">
        <f t="shared" si="414"/>
        <v>7200</v>
      </c>
      <c r="I13287" s="18">
        <v>6840</v>
      </c>
      <c r="J13287" s="27">
        <v>7200</v>
      </c>
      <c r="K13287" s="18">
        <f t="shared" si="415"/>
        <v>7200</v>
      </c>
      <c r="L13287" s="27">
        <v>6840</v>
      </c>
      <c r="M13287" s="36">
        <v>0</v>
      </c>
      <c r="T13287" s="41">
        <v>0</v>
      </c>
      <c r="U13287" s="41">
        <v>0</v>
      </c>
      <c r="V13287" s="42" t="s">
        <v>113</v>
      </c>
      <c r="W13287" s="42">
        <v>7200</v>
      </c>
      <c r="X13287" s="42">
        <v>7200</v>
      </c>
    </row>
    <row r="13288" spans="1:24">
      <c r="A13288" s="27" t="s">
        <v>23813</v>
      </c>
      <c r="B13288" s="28" t="s">
        <v>19890</v>
      </c>
      <c r="C13288" s="27" t="s">
        <v>23814</v>
      </c>
      <c r="D13288" s="27" t="s">
        <v>230</v>
      </c>
      <c r="E13288" s="29">
        <v>35795</v>
      </c>
      <c r="F13288" s="27">
        <v>12</v>
      </c>
      <c r="G13288" s="18">
        <v>24750</v>
      </c>
      <c r="H13288" s="27">
        <f t="shared" si="414"/>
        <v>24750</v>
      </c>
      <c r="I13288" s="18">
        <v>23512.5</v>
      </c>
      <c r="J13288" s="27">
        <v>24750</v>
      </c>
      <c r="K13288" s="18">
        <f t="shared" si="415"/>
        <v>24750</v>
      </c>
      <c r="L13288" s="27">
        <v>23512.5</v>
      </c>
      <c r="M13288" s="36">
        <v>0</v>
      </c>
      <c r="T13288" s="41">
        <v>0</v>
      </c>
      <c r="U13288" s="41">
        <v>0</v>
      </c>
      <c r="V13288" s="42" t="s">
        <v>113</v>
      </c>
      <c r="W13288" s="42">
        <v>24750</v>
      </c>
      <c r="X13288" s="42">
        <v>24750</v>
      </c>
    </row>
    <row r="13289" spans="1:24">
      <c r="A13289" s="27" t="s">
        <v>23815</v>
      </c>
      <c r="B13289" s="28" t="s">
        <v>19890</v>
      </c>
      <c r="C13289" s="27" t="s">
        <v>23816</v>
      </c>
      <c r="D13289" s="27" t="s">
        <v>23581</v>
      </c>
      <c r="E13289" s="29">
        <v>35795</v>
      </c>
      <c r="F13289" s="27">
        <v>12</v>
      </c>
      <c r="G13289" s="18">
        <v>17402.29</v>
      </c>
      <c r="H13289" s="27">
        <f t="shared" si="414"/>
        <v>17402.29</v>
      </c>
      <c r="I13289" s="18">
        <v>16532.18</v>
      </c>
      <c r="J13289" s="27">
        <v>17402.29</v>
      </c>
      <c r="K13289" s="18">
        <f t="shared" si="415"/>
        <v>17402.29</v>
      </c>
      <c r="L13289" s="27">
        <v>16532.18</v>
      </c>
      <c r="M13289" s="36">
        <v>0</v>
      </c>
      <c r="T13289" s="41">
        <v>0</v>
      </c>
      <c r="U13289" s="41">
        <v>0</v>
      </c>
      <c r="V13289" s="42" t="s">
        <v>113</v>
      </c>
      <c r="W13289" s="42">
        <v>17402.29</v>
      </c>
      <c r="X13289" s="42">
        <v>17402.29</v>
      </c>
    </row>
    <row r="13290" spans="1:24">
      <c r="A13290" s="27" t="s">
        <v>23817</v>
      </c>
      <c r="B13290" s="28" t="s">
        <v>19890</v>
      </c>
      <c r="C13290" s="27" t="s">
        <v>23818</v>
      </c>
      <c r="D13290" s="27" t="s">
        <v>17558</v>
      </c>
      <c r="E13290" s="29">
        <v>35795</v>
      </c>
      <c r="F13290" s="27">
        <v>12</v>
      </c>
      <c r="G13290" s="18">
        <v>15626.88</v>
      </c>
      <c r="H13290" s="27">
        <f t="shared" si="414"/>
        <v>15626.88</v>
      </c>
      <c r="I13290" s="18">
        <v>14845.54</v>
      </c>
      <c r="J13290" s="27">
        <v>15626.88</v>
      </c>
      <c r="K13290" s="18">
        <f t="shared" si="415"/>
        <v>15626.88</v>
      </c>
      <c r="L13290" s="27">
        <v>14845.54</v>
      </c>
      <c r="M13290" s="36">
        <v>0</v>
      </c>
      <c r="T13290" s="41">
        <v>0</v>
      </c>
      <c r="U13290" s="41">
        <v>0</v>
      </c>
      <c r="V13290" s="42" t="s">
        <v>113</v>
      </c>
      <c r="W13290" s="42">
        <v>15626.88</v>
      </c>
      <c r="X13290" s="42">
        <v>15626.88</v>
      </c>
    </row>
    <row r="13291" spans="1:24">
      <c r="A13291" s="27" t="s">
        <v>23819</v>
      </c>
      <c r="B13291" s="28" t="s">
        <v>19890</v>
      </c>
      <c r="C13291" s="27" t="s">
        <v>23820</v>
      </c>
      <c r="D13291" s="27" t="s">
        <v>17558</v>
      </c>
      <c r="E13291" s="29">
        <v>38655</v>
      </c>
      <c r="F13291" s="27">
        <v>12</v>
      </c>
      <c r="G13291" s="18">
        <v>4760</v>
      </c>
      <c r="H13291" s="27">
        <f t="shared" si="414"/>
        <v>4760</v>
      </c>
      <c r="I13291" s="18">
        <v>4760</v>
      </c>
      <c r="J13291" s="27">
        <v>4760</v>
      </c>
      <c r="K13291" s="18">
        <f t="shared" si="415"/>
        <v>4760</v>
      </c>
      <c r="L13291" s="27">
        <v>4760</v>
      </c>
      <c r="M13291" s="36">
        <v>0</v>
      </c>
      <c r="T13291" s="41">
        <v>0</v>
      </c>
      <c r="U13291" s="41">
        <v>0</v>
      </c>
      <c r="V13291" s="42" t="s">
        <v>113</v>
      </c>
      <c r="W13291" s="42">
        <v>4760</v>
      </c>
      <c r="X13291" s="42">
        <v>4760</v>
      </c>
    </row>
    <row r="13292" spans="1:24">
      <c r="A13292" s="27" t="s">
        <v>23821</v>
      </c>
      <c r="B13292" s="28" t="s">
        <v>19890</v>
      </c>
      <c r="C13292" s="27" t="s">
        <v>23822</v>
      </c>
      <c r="D13292" s="27" t="s">
        <v>17558</v>
      </c>
      <c r="E13292" s="29">
        <v>40543</v>
      </c>
      <c r="F13292" s="27">
        <v>12</v>
      </c>
      <c r="G13292" s="18">
        <v>51690</v>
      </c>
      <c r="H13292" s="27">
        <f t="shared" si="414"/>
        <v>0</v>
      </c>
      <c r="I13292" s="18">
        <v>33276.83</v>
      </c>
      <c r="J13292" s="27">
        <v>51690</v>
      </c>
      <c r="K13292" s="18">
        <f t="shared" si="415"/>
        <v>0</v>
      </c>
      <c r="L13292" s="27">
        <v>37234</v>
      </c>
      <c r="M13292" s="36">
        <v>3957.17</v>
      </c>
      <c r="T13292" s="41">
        <v>0</v>
      </c>
      <c r="U13292" s="41">
        <v>0</v>
      </c>
      <c r="V13292" s="42" t="s">
        <v>113</v>
      </c>
      <c r="W13292" s="42">
        <v>0</v>
      </c>
      <c r="X13292" s="42">
        <v>0</v>
      </c>
    </row>
    <row r="13293" spans="1:24">
      <c r="A13293" s="27" t="s">
        <v>23823</v>
      </c>
      <c r="B13293" s="28" t="s">
        <v>19890</v>
      </c>
      <c r="C13293" s="27" t="s">
        <v>3896</v>
      </c>
      <c r="D13293" s="27" t="s">
        <v>17558</v>
      </c>
      <c r="E13293" s="29">
        <v>40543</v>
      </c>
      <c r="F13293" s="27">
        <v>12</v>
      </c>
      <c r="G13293" s="18">
        <v>7450</v>
      </c>
      <c r="H13293" s="27">
        <f t="shared" si="414"/>
        <v>0</v>
      </c>
      <c r="I13293" s="18">
        <v>4197.26</v>
      </c>
      <c r="J13293" s="27">
        <v>7450</v>
      </c>
      <c r="K13293" s="18">
        <f t="shared" si="415"/>
        <v>0</v>
      </c>
      <c r="L13293" s="27">
        <v>4917.32</v>
      </c>
      <c r="M13293" s="36">
        <v>720.06</v>
      </c>
      <c r="T13293" s="41">
        <v>0</v>
      </c>
      <c r="U13293" s="41">
        <v>0</v>
      </c>
      <c r="V13293" s="42" t="s">
        <v>113</v>
      </c>
      <c r="W13293" s="42">
        <v>0</v>
      </c>
      <c r="X13293" s="42">
        <v>0</v>
      </c>
    </row>
    <row r="13294" spans="1:24">
      <c r="A13294" s="27" t="s">
        <v>23824</v>
      </c>
      <c r="B13294" s="28" t="s">
        <v>19890</v>
      </c>
      <c r="C13294" s="27" t="s">
        <v>23822</v>
      </c>
      <c r="D13294" s="27" t="s">
        <v>17558</v>
      </c>
      <c r="E13294" s="29">
        <v>40543</v>
      </c>
      <c r="F13294" s="27">
        <v>12</v>
      </c>
      <c r="G13294" s="18">
        <v>19370</v>
      </c>
      <c r="H13294" s="27">
        <f t="shared" si="414"/>
        <v>0</v>
      </c>
      <c r="I13294" s="18">
        <v>11936.96</v>
      </c>
      <c r="J13294" s="27">
        <v>19370</v>
      </c>
      <c r="K13294" s="18">
        <f t="shared" si="415"/>
        <v>0</v>
      </c>
      <c r="L13294" s="27">
        <v>13553.1</v>
      </c>
      <c r="M13294" s="36">
        <v>1616.14</v>
      </c>
      <c r="T13294" s="41">
        <v>0</v>
      </c>
      <c r="U13294" s="41">
        <v>0</v>
      </c>
      <c r="V13294" s="42" t="s">
        <v>113</v>
      </c>
      <c r="W13294" s="42">
        <v>0</v>
      </c>
      <c r="X13294" s="42">
        <v>0</v>
      </c>
    </row>
    <row r="13295" spans="1:24">
      <c r="A13295" s="27" t="s">
        <v>23825</v>
      </c>
      <c r="B13295" s="28" t="s">
        <v>19890</v>
      </c>
      <c r="C13295" s="27" t="s">
        <v>23826</v>
      </c>
      <c r="D13295" s="27" t="s">
        <v>17558</v>
      </c>
      <c r="E13295" s="29">
        <v>35795</v>
      </c>
      <c r="F13295" s="27">
        <v>12</v>
      </c>
      <c r="G13295" s="18">
        <v>19862.62</v>
      </c>
      <c r="H13295" s="27">
        <f t="shared" si="414"/>
        <v>19862.62</v>
      </c>
      <c r="I13295" s="18">
        <v>18869.490000000002</v>
      </c>
      <c r="J13295" s="27">
        <v>19862.62</v>
      </c>
      <c r="K13295" s="18">
        <f t="shared" si="415"/>
        <v>19862.62</v>
      </c>
      <c r="L13295" s="27">
        <v>18869.490000000002</v>
      </c>
      <c r="M13295" s="36">
        <v>0</v>
      </c>
      <c r="T13295" s="41">
        <v>0</v>
      </c>
      <c r="U13295" s="41">
        <v>0</v>
      </c>
      <c r="V13295" s="42" t="s">
        <v>113</v>
      </c>
      <c r="W13295" s="42">
        <v>19862.62</v>
      </c>
      <c r="X13295" s="42">
        <v>19862.62</v>
      </c>
    </row>
    <row r="13296" spans="1:24">
      <c r="A13296" s="27" t="s">
        <v>23827</v>
      </c>
      <c r="B13296" s="28" t="s">
        <v>19890</v>
      </c>
      <c r="C13296" s="27" t="s">
        <v>23826</v>
      </c>
      <c r="D13296" s="27" t="s">
        <v>17558</v>
      </c>
      <c r="E13296" s="29">
        <v>35795</v>
      </c>
      <c r="F13296" s="27">
        <v>12</v>
      </c>
      <c r="G13296" s="18">
        <v>8701.11</v>
      </c>
      <c r="H13296" s="27">
        <f t="shared" si="414"/>
        <v>8701.11</v>
      </c>
      <c r="I13296" s="18">
        <v>8266.0499999999993</v>
      </c>
      <c r="J13296" s="27">
        <v>8701.11</v>
      </c>
      <c r="K13296" s="18">
        <f t="shared" si="415"/>
        <v>8701.11</v>
      </c>
      <c r="L13296" s="27">
        <v>8266.0499999999993</v>
      </c>
      <c r="M13296" s="36">
        <v>0</v>
      </c>
      <c r="T13296" s="41">
        <v>0</v>
      </c>
      <c r="U13296" s="41">
        <v>0</v>
      </c>
      <c r="V13296" s="42" t="s">
        <v>113</v>
      </c>
      <c r="W13296" s="42">
        <v>8701.11</v>
      </c>
      <c r="X13296" s="42">
        <v>8701.11</v>
      </c>
    </row>
    <row r="13297" spans="1:24">
      <c r="A13297" s="27" t="s">
        <v>23828</v>
      </c>
      <c r="B13297" s="28" t="s">
        <v>19890</v>
      </c>
      <c r="C13297" s="27" t="s">
        <v>23829</v>
      </c>
      <c r="D13297" s="27" t="s">
        <v>17558</v>
      </c>
      <c r="E13297" s="29">
        <v>40086</v>
      </c>
      <c r="F13297" s="27">
        <v>12</v>
      </c>
      <c r="G13297" s="18">
        <v>367.5</v>
      </c>
      <c r="H13297" s="27">
        <f t="shared" si="414"/>
        <v>367.5</v>
      </c>
      <c r="I13297" s="18">
        <v>367.5</v>
      </c>
      <c r="J13297" s="27">
        <v>367.5</v>
      </c>
      <c r="K13297" s="18">
        <f t="shared" si="415"/>
        <v>367.5</v>
      </c>
      <c r="L13297" s="27">
        <v>367.5</v>
      </c>
      <c r="M13297" s="36">
        <v>0</v>
      </c>
      <c r="T13297" s="41">
        <v>0</v>
      </c>
      <c r="U13297" s="41">
        <v>0</v>
      </c>
      <c r="V13297" s="42" t="s">
        <v>113</v>
      </c>
      <c r="W13297" s="42">
        <v>367.5</v>
      </c>
      <c r="X13297" s="42">
        <v>367.5</v>
      </c>
    </row>
    <row r="13298" spans="1:24">
      <c r="A13298" s="27" t="s">
        <v>23830</v>
      </c>
      <c r="B13298" s="28" t="s">
        <v>19890</v>
      </c>
      <c r="C13298" s="27" t="s">
        <v>23826</v>
      </c>
      <c r="D13298" s="27" t="s">
        <v>17558</v>
      </c>
      <c r="E13298" s="29">
        <v>35795</v>
      </c>
      <c r="F13298" s="27">
        <v>12</v>
      </c>
      <c r="G13298" s="18">
        <v>9626.11</v>
      </c>
      <c r="H13298" s="27">
        <f t="shared" si="414"/>
        <v>9626.11</v>
      </c>
      <c r="I13298" s="18">
        <v>9144.7999999999993</v>
      </c>
      <c r="J13298" s="27">
        <v>9626.11</v>
      </c>
      <c r="K13298" s="18">
        <f t="shared" si="415"/>
        <v>9626.11</v>
      </c>
      <c r="L13298" s="27">
        <v>9144.7999999999993</v>
      </c>
      <c r="M13298" s="36">
        <v>0</v>
      </c>
      <c r="T13298" s="41">
        <v>0</v>
      </c>
      <c r="U13298" s="41">
        <v>0</v>
      </c>
      <c r="V13298" s="42" t="s">
        <v>113</v>
      </c>
      <c r="W13298" s="42">
        <v>9626.11</v>
      </c>
      <c r="X13298" s="42">
        <v>9626.11</v>
      </c>
    </row>
    <row r="13299" spans="1:24">
      <c r="A13299" s="27" t="s">
        <v>23831</v>
      </c>
      <c r="B13299" s="28" t="s">
        <v>19890</v>
      </c>
      <c r="C13299" s="27" t="s">
        <v>23832</v>
      </c>
      <c r="D13299" s="27" t="s">
        <v>17558</v>
      </c>
      <c r="E13299" s="29">
        <v>35795</v>
      </c>
      <c r="F13299" s="27">
        <v>12</v>
      </c>
      <c r="G13299" s="18">
        <v>15627.02</v>
      </c>
      <c r="H13299" s="27">
        <f t="shared" si="414"/>
        <v>15627.02</v>
      </c>
      <c r="I13299" s="18">
        <v>14845.67</v>
      </c>
      <c r="J13299" s="27">
        <v>15627.02</v>
      </c>
      <c r="K13299" s="18">
        <f t="shared" si="415"/>
        <v>15627.02</v>
      </c>
      <c r="L13299" s="27">
        <v>14845.67</v>
      </c>
      <c r="M13299" s="36">
        <v>0</v>
      </c>
      <c r="T13299" s="41">
        <v>0</v>
      </c>
      <c r="U13299" s="41">
        <v>0</v>
      </c>
      <c r="V13299" s="42" t="s">
        <v>113</v>
      </c>
      <c r="W13299" s="42">
        <v>15627.02</v>
      </c>
      <c r="X13299" s="42">
        <v>15627.02</v>
      </c>
    </row>
    <row r="13300" spans="1:24">
      <c r="A13300" s="27" t="s">
        <v>23833</v>
      </c>
      <c r="B13300" s="28" t="s">
        <v>19890</v>
      </c>
      <c r="C13300" s="27" t="s">
        <v>23814</v>
      </c>
      <c r="D13300" s="27" t="s">
        <v>17558</v>
      </c>
      <c r="E13300" s="29">
        <v>35795</v>
      </c>
      <c r="F13300" s="27">
        <v>12</v>
      </c>
      <c r="G13300" s="18">
        <v>474.63</v>
      </c>
      <c r="H13300" s="27">
        <f t="shared" si="414"/>
        <v>474.63</v>
      </c>
      <c r="I13300" s="18">
        <v>474.63</v>
      </c>
      <c r="J13300" s="27">
        <v>474.63</v>
      </c>
      <c r="K13300" s="18">
        <f t="shared" si="415"/>
        <v>474.63</v>
      </c>
      <c r="L13300" s="27">
        <v>474.63</v>
      </c>
      <c r="M13300" s="36">
        <v>0</v>
      </c>
      <c r="T13300" s="41">
        <v>0</v>
      </c>
      <c r="U13300" s="41">
        <v>0</v>
      </c>
      <c r="V13300" s="42" t="s">
        <v>113</v>
      </c>
      <c r="W13300" s="42">
        <v>474.63</v>
      </c>
      <c r="X13300" s="42">
        <v>474.63</v>
      </c>
    </row>
    <row r="13301" spans="1:24">
      <c r="A13301" s="27" t="s">
        <v>23834</v>
      </c>
      <c r="B13301" s="28" t="s">
        <v>19890</v>
      </c>
      <c r="C13301" s="27" t="s">
        <v>23835</v>
      </c>
      <c r="D13301" s="27" t="s">
        <v>17558</v>
      </c>
      <c r="E13301" s="29">
        <v>35795</v>
      </c>
      <c r="F13301" s="27">
        <v>12</v>
      </c>
      <c r="G13301" s="18">
        <v>474.63</v>
      </c>
      <c r="H13301" s="27">
        <f t="shared" si="414"/>
        <v>474.63</v>
      </c>
      <c r="I13301" s="18">
        <v>474.63</v>
      </c>
      <c r="J13301" s="27">
        <v>474.63</v>
      </c>
      <c r="K13301" s="18">
        <f t="shared" si="415"/>
        <v>474.63</v>
      </c>
      <c r="L13301" s="27">
        <v>474.63</v>
      </c>
      <c r="M13301" s="36">
        <v>0</v>
      </c>
      <c r="T13301" s="41">
        <v>0</v>
      </c>
      <c r="U13301" s="41">
        <v>0</v>
      </c>
      <c r="V13301" s="42" t="s">
        <v>113</v>
      </c>
      <c r="W13301" s="42">
        <v>474.63</v>
      </c>
      <c r="X13301" s="42">
        <v>474.63</v>
      </c>
    </row>
    <row r="13302" spans="1:24">
      <c r="A13302" s="27" t="s">
        <v>23836</v>
      </c>
      <c r="B13302" s="28" t="s">
        <v>19890</v>
      </c>
      <c r="C13302" s="27" t="s">
        <v>23837</v>
      </c>
      <c r="D13302" s="27" t="s">
        <v>17558</v>
      </c>
      <c r="E13302" s="29">
        <v>35795</v>
      </c>
      <c r="F13302" s="27">
        <v>12</v>
      </c>
      <c r="G13302" s="18">
        <v>474.63</v>
      </c>
      <c r="H13302" s="27">
        <f t="shared" si="414"/>
        <v>474.63</v>
      </c>
      <c r="I13302" s="18">
        <v>474.63</v>
      </c>
      <c r="J13302" s="27">
        <v>474.63</v>
      </c>
      <c r="K13302" s="18">
        <f t="shared" si="415"/>
        <v>474.63</v>
      </c>
      <c r="L13302" s="27">
        <v>474.63</v>
      </c>
      <c r="M13302" s="36">
        <v>0</v>
      </c>
      <c r="T13302" s="41">
        <v>0</v>
      </c>
      <c r="U13302" s="41">
        <v>0</v>
      </c>
      <c r="V13302" s="42" t="s">
        <v>113</v>
      </c>
      <c r="W13302" s="42">
        <v>474.63</v>
      </c>
      <c r="X13302" s="42">
        <v>474.63</v>
      </c>
    </row>
    <row r="13303" spans="1:24">
      <c r="A13303" s="27" t="s">
        <v>23838</v>
      </c>
      <c r="B13303" s="28" t="s">
        <v>19890</v>
      </c>
      <c r="C13303" s="27" t="s">
        <v>23839</v>
      </c>
      <c r="D13303" s="27" t="s">
        <v>17558</v>
      </c>
      <c r="E13303" s="29">
        <v>35795</v>
      </c>
      <c r="F13303" s="27">
        <v>12</v>
      </c>
      <c r="G13303" s="18">
        <v>474.63</v>
      </c>
      <c r="H13303" s="27">
        <f t="shared" si="414"/>
        <v>474.63</v>
      </c>
      <c r="I13303" s="18">
        <v>474.63</v>
      </c>
      <c r="J13303" s="27">
        <v>474.63</v>
      </c>
      <c r="K13303" s="18">
        <f t="shared" si="415"/>
        <v>474.63</v>
      </c>
      <c r="L13303" s="27">
        <v>474.63</v>
      </c>
      <c r="M13303" s="36">
        <v>0</v>
      </c>
      <c r="T13303" s="41">
        <v>0</v>
      </c>
      <c r="U13303" s="41">
        <v>0</v>
      </c>
      <c r="V13303" s="42" t="s">
        <v>113</v>
      </c>
      <c r="W13303" s="42">
        <v>474.63</v>
      </c>
      <c r="X13303" s="42">
        <v>474.63</v>
      </c>
    </row>
    <row r="13304" spans="1:24">
      <c r="A13304" s="27" t="s">
        <v>23840</v>
      </c>
      <c r="B13304" s="28" t="s">
        <v>19890</v>
      </c>
      <c r="C13304" s="27" t="s">
        <v>23835</v>
      </c>
      <c r="D13304" s="27" t="s">
        <v>17558</v>
      </c>
      <c r="E13304" s="29">
        <v>35795</v>
      </c>
      <c r="F13304" s="27">
        <v>12</v>
      </c>
      <c r="G13304" s="18">
        <v>474.63</v>
      </c>
      <c r="H13304" s="27">
        <f t="shared" si="414"/>
        <v>474.63</v>
      </c>
      <c r="I13304" s="18">
        <v>474.63</v>
      </c>
      <c r="J13304" s="27">
        <v>474.63</v>
      </c>
      <c r="K13304" s="18">
        <f t="shared" si="415"/>
        <v>474.63</v>
      </c>
      <c r="L13304" s="27">
        <v>474.63</v>
      </c>
      <c r="M13304" s="36">
        <v>0</v>
      </c>
      <c r="T13304" s="41">
        <v>0</v>
      </c>
      <c r="U13304" s="41">
        <v>0</v>
      </c>
      <c r="V13304" s="42" t="s">
        <v>113</v>
      </c>
      <c r="W13304" s="42">
        <v>474.63</v>
      </c>
      <c r="X13304" s="42">
        <v>474.63</v>
      </c>
    </row>
    <row r="13305" spans="1:24">
      <c r="A13305" s="27" t="s">
        <v>23841</v>
      </c>
      <c r="B13305" s="28" t="s">
        <v>19890</v>
      </c>
      <c r="C13305" s="27" t="s">
        <v>23837</v>
      </c>
      <c r="D13305" s="27" t="s">
        <v>17558</v>
      </c>
      <c r="E13305" s="29">
        <v>35795</v>
      </c>
      <c r="F13305" s="27">
        <v>12</v>
      </c>
      <c r="G13305" s="18">
        <v>474.63</v>
      </c>
      <c r="H13305" s="27">
        <f t="shared" si="414"/>
        <v>474.63</v>
      </c>
      <c r="I13305" s="18">
        <v>474.63</v>
      </c>
      <c r="J13305" s="27">
        <v>474.63</v>
      </c>
      <c r="K13305" s="18">
        <f t="shared" si="415"/>
        <v>474.63</v>
      </c>
      <c r="L13305" s="27">
        <v>474.63</v>
      </c>
      <c r="M13305" s="36">
        <v>0</v>
      </c>
      <c r="T13305" s="41">
        <v>0</v>
      </c>
      <c r="U13305" s="41">
        <v>0</v>
      </c>
      <c r="V13305" s="42" t="s">
        <v>113</v>
      </c>
      <c r="W13305" s="42">
        <v>474.63</v>
      </c>
      <c r="X13305" s="42">
        <v>474.63</v>
      </c>
    </row>
    <row r="13306" spans="1:24">
      <c r="A13306" s="27" t="s">
        <v>23842</v>
      </c>
      <c r="B13306" s="28" t="s">
        <v>19890</v>
      </c>
      <c r="C13306" s="27" t="s">
        <v>23839</v>
      </c>
      <c r="D13306" s="27" t="s">
        <v>17558</v>
      </c>
      <c r="E13306" s="29">
        <v>35795</v>
      </c>
      <c r="F13306" s="27">
        <v>12</v>
      </c>
      <c r="G13306" s="18">
        <v>474.63</v>
      </c>
      <c r="H13306" s="27">
        <f t="shared" si="414"/>
        <v>474.63</v>
      </c>
      <c r="I13306" s="18">
        <v>474.63</v>
      </c>
      <c r="J13306" s="27">
        <v>474.63</v>
      </c>
      <c r="K13306" s="18">
        <f t="shared" si="415"/>
        <v>474.63</v>
      </c>
      <c r="L13306" s="27">
        <v>474.63</v>
      </c>
      <c r="M13306" s="36">
        <v>0</v>
      </c>
      <c r="T13306" s="41">
        <v>0</v>
      </c>
      <c r="U13306" s="41">
        <v>0</v>
      </c>
      <c r="V13306" s="42" t="s">
        <v>113</v>
      </c>
      <c r="W13306" s="42">
        <v>474.63</v>
      </c>
      <c r="X13306" s="42">
        <v>474.63</v>
      </c>
    </row>
    <row r="13307" spans="1:24">
      <c r="A13307" s="27" t="s">
        <v>23843</v>
      </c>
      <c r="B13307" s="28" t="s">
        <v>19890</v>
      </c>
      <c r="C13307" s="27" t="s">
        <v>23844</v>
      </c>
      <c r="D13307" s="27" t="s">
        <v>17558</v>
      </c>
      <c r="E13307" s="29">
        <v>35795</v>
      </c>
      <c r="F13307" s="27">
        <v>12</v>
      </c>
      <c r="G13307" s="18">
        <v>17402.11</v>
      </c>
      <c r="H13307" s="27">
        <f t="shared" si="414"/>
        <v>17402.11</v>
      </c>
      <c r="I13307" s="18">
        <v>16532</v>
      </c>
      <c r="J13307" s="27">
        <v>17402.11</v>
      </c>
      <c r="K13307" s="18">
        <f t="shared" si="415"/>
        <v>17402.11</v>
      </c>
      <c r="L13307" s="27">
        <v>16532</v>
      </c>
      <c r="M13307" s="36">
        <v>0</v>
      </c>
      <c r="T13307" s="41">
        <v>0</v>
      </c>
      <c r="U13307" s="41">
        <v>0</v>
      </c>
      <c r="V13307" s="42" t="s">
        <v>113</v>
      </c>
      <c r="W13307" s="42">
        <v>17402.11</v>
      </c>
      <c r="X13307" s="42">
        <v>17402.11</v>
      </c>
    </row>
    <row r="13308" spans="1:24">
      <c r="A13308" s="27" t="s">
        <v>23845</v>
      </c>
      <c r="B13308" s="28" t="s">
        <v>19890</v>
      </c>
      <c r="C13308" s="27" t="s">
        <v>23846</v>
      </c>
      <c r="D13308" s="27" t="s">
        <v>17558</v>
      </c>
      <c r="E13308" s="29">
        <v>35795</v>
      </c>
      <c r="F13308" s="27">
        <v>12</v>
      </c>
      <c r="G13308" s="18">
        <v>17402.11</v>
      </c>
      <c r="H13308" s="27">
        <f t="shared" si="414"/>
        <v>17402.11</v>
      </c>
      <c r="I13308" s="18">
        <v>16532</v>
      </c>
      <c r="J13308" s="27">
        <v>17402.11</v>
      </c>
      <c r="K13308" s="18">
        <f t="shared" si="415"/>
        <v>17402.11</v>
      </c>
      <c r="L13308" s="27">
        <v>16532</v>
      </c>
      <c r="M13308" s="36">
        <v>0</v>
      </c>
      <c r="T13308" s="41">
        <v>0</v>
      </c>
      <c r="U13308" s="41">
        <v>0</v>
      </c>
      <c r="V13308" s="42" t="s">
        <v>113</v>
      </c>
      <c r="W13308" s="42">
        <v>17402.11</v>
      </c>
      <c r="X13308" s="42">
        <v>17402.11</v>
      </c>
    </row>
    <row r="13309" spans="1:24">
      <c r="A13309" s="27" t="s">
        <v>23847</v>
      </c>
      <c r="B13309" s="28" t="s">
        <v>19890</v>
      </c>
      <c r="C13309" s="27" t="s">
        <v>23848</v>
      </c>
      <c r="D13309" s="27" t="s">
        <v>17558</v>
      </c>
      <c r="E13309" s="29">
        <v>35795</v>
      </c>
      <c r="F13309" s="27">
        <v>12</v>
      </c>
      <c r="G13309" s="18">
        <v>17402.11</v>
      </c>
      <c r="H13309" s="27">
        <f t="shared" si="414"/>
        <v>17402.11</v>
      </c>
      <c r="I13309" s="18">
        <v>16532</v>
      </c>
      <c r="J13309" s="27">
        <v>17402.11</v>
      </c>
      <c r="K13309" s="18">
        <f t="shared" si="415"/>
        <v>17402.11</v>
      </c>
      <c r="L13309" s="27">
        <v>16532</v>
      </c>
      <c r="M13309" s="36">
        <v>0</v>
      </c>
      <c r="T13309" s="41">
        <v>0</v>
      </c>
      <c r="U13309" s="41">
        <v>0</v>
      </c>
      <c r="V13309" s="42" t="s">
        <v>113</v>
      </c>
      <c r="W13309" s="42">
        <v>17402.11</v>
      </c>
      <c r="X13309" s="42">
        <v>17402.11</v>
      </c>
    </row>
    <row r="13310" spans="1:24">
      <c r="A13310" s="27" t="s">
        <v>23849</v>
      </c>
      <c r="B13310" s="28" t="s">
        <v>19890</v>
      </c>
      <c r="C13310" s="27" t="s">
        <v>23850</v>
      </c>
      <c r="D13310" s="27" t="s">
        <v>17558</v>
      </c>
      <c r="E13310" s="29">
        <v>35795</v>
      </c>
      <c r="F13310" s="27">
        <v>12</v>
      </c>
      <c r="G13310" s="18">
        <v>17402.11</v>
      </c>
      <c r="H13310" s="27">
        <f t="shared" si="414"/>
        <v>17402.11</v>
      </c>
      <c r="I13310" s="18">
        <v>16532</v>
      </c>
      <c r="J13310" s="27">
        <v>17402.11</v>
      </c>
      <c r="K13310" s="18">
        <f t="shared" si="415"/>
        <v>17402.11</v>
      </c>
      <c r="L13310" s="27">
        <v>16532</v>
      </c>
      <c r="M13310" s="36">
        <v>0</v>
      </c>
      <c r="T13310" s="41">
        <v>0</v>
      </c>
      <c r="U13310" s="41">
        <v>0</v>
      </c>
      <c r="V13310" s="42" t="s">
        <v>113</v>
      </c>
      <c r="W13310" s="42">
        <v>17402.11</v>
      </c>
      <c r="X13310" s="42">
        <v>17402.11</v>
      </c>
    </row>
    <row r="13311" spans="1:24">
      <c r="A13311" s="27" t="s">
        <v>23851</v>
      </c>
      <c r="B13311" s="28" t="s">
        <v>19890</v>
      </c>
      <c r="C13311" s="27" t="s">
        <v>23852</v>
      </c>
      <c r="D13311" s="27" t="s">
        <v>17558</v>
      </c>
      <c r="E13311" s="29">
        <v>35795</v>
      </c>
      <c r="F13311" s="27">
        <v>12</v>
      </c>
      <c r="G13311" s="18">
        <v>17402.11</v>
      </c>
      <c r="H13311" s="27">
        <f t="shared" si="414"/>
        <v>17402.11</v>
      </c>
      <c r="I13311" s="18">
        <v>16532</v>
      </c>
      <c r="J13311" s="27">
        <v>17402.11</v>
      </c>
      <c r="K13311" s="18">
        <f t="shared" si="415"/>
        <v>17402.11</v>
      </c>
      <c r="L13311" s="27">
        <v>16532</v>
      </c>
      <c r="M13311" s="36">
        <v>0</v>
      </c>
      <c r="T13311" s="41">
        <v>0</v>
      </c>
      <c r="U13311" s="41">
        <v>0</v>
      </c>
      <c r="V13311" s="42" t="s">
        <v>113</v>
      </c>
      <c r="W13311" s="42">
        <v>17402.11</v>
      </c>
      <c r="X13311" s="42">
        <v>17402.11</v>
      </c>
    </row>
    <row r="13312" spans="1:24">
      <c r="A13312" s="27" t="s">
        <v>23853</v>
      </c>
      <c r="B13312" s="28" t="s">
        <v>19890</v>
      </c>
      <c r="C13312" s="27" t="s">
        <v>23854</v>
      </c>
      <c r="D13312" s="27" t="s">
        <v>17558</v>
      </c>
      <c r="E13312" s="29">
        <v>35795</v>
      </c>
      <c r="F13312" s="27">
        <v>12</v>
      </c>
      <c r="G13312" s="18">
        <v>17402.11</v>
      </c>
      <c r="H13312" s="27">
        <f t="shared" si="414"/>
        <v>17402.11</v>
      </c>
      <c r="I13312" s="18">
        <v>16532</v>
      </c>
      <c r="J13312" s="27">
        <v>17402.11</v>
      </c>
      <c r="K13312" s="18">
        <f t="shared" si="415"/>
        <v>17402.11</v>
      </c>
      <c r="L13312" s="27">
        <v>16532</v>
      </c>
      <c r="M13312" s="36">
        <v>0</v>
      </c>
      <c r="T13312" s="41">
        <v>0</v>
      </c>
      <c r="U13312" s="41">
        <v>0</v>
      </c>
      <c r="V13312" s="42" t="s">
        <v>113</v>
      </c>
      <c r="W13312" s="42">
        <v>17402.11</v>
      </c>
      <c r="X13312" s="42">
        <v>17402.11</v>
      </c>
    </row>
    <row r="13313" spans="1:24">
      <c r="A13313" s="27" t="s">
        <v>23855</v>
      </c>
      <c r="B13313" s="28" t="s">
        <v>19890</v>
      </c>
      <c r="C13313" s="27" t="s">
        <v>23856</v>
      </c>
      <c r="D13313" s="27" t="s">
        <v>17558</v>
      </c>
      <c r="E13313" s="29">
        <v>35795</v>
      </c>
      <c r="F13313" s="27">
        <v>12</v>
      </c>
      <c r="G13313" s="18">
        <v>17402.11</v>
      </c>
      <c r="H13313" s="27">
        <f t="shared" si="414"/>
        <v>17402.11</v>
      </c>
      <c r="I13313" s="18">
        <v>16532</v>
      </c>
      <c r="J13313" s="27">
        <v>17402.11</v>
      </c>
      <c r="K13313" s="18">
        <f t="shared" si="415"/>
        <v>17402.11</v>
      </c>
      <c r="L13313" s="27">
        <v>16532</v>
      </c>
      <c r="M13313" s="36">
        <v>0</v>
      </c>
      <c r="T13313" s="41">
        <v>0</v>
      </c>
      <c r="U13313" s="41">
        <v>0</v>
      </c>
      <c r="V13313" s="42" t="s">
        <v>113</v>
      </c>
      <c r="W13313" s="42">
        <v>17402.11</v>
      </c>
      <c r="X13313" s="42">
        <v>17402.11</v>
      </c>
    </row>
    <row r="13314" spans="1:24">
      <c r="A13314" s="27" t="s">
        <v>23857</v>
      </c>
      <c r="B13314" s="28" t="s">
        <v>19890</v>
      </c>
      <c r="C13314" s="27" t="s">
        <v>23858</v>
      </c>
      <c r="D13314" s="27" t="s">
        <v>17558</v>
      </c>
      <c r="E13314" s="29">
        <v>35795</v>
      </c>
      <c r="F13314" s="27">
        <v>12</v>
      </c>
      <c r="G13314" s="18">
        <v>17402.11</v>
      </c>
      <c r="H13314" s="27">
        <f t="shared" si="414"/>
        <v>17402.11</v>
      </c>
      <c r="I13314" s="18">
        <v>16532</v>
      </c>
      <c r="J13314" s="27">
        <v>17402.11</v>
      </c>
      <c r="K13314" s="18">
        <f t="shared" si="415"/>
        <v>17402.11</v>
      </c>
      <c r="L13314" s="27">
        <v>16532</v>
      </c>
      <c r="M13314" s="36">
        <v>0</v>
      </c>
      <c r="T13314" s="41">
        <v>0</v>
      </c>
      <c r="U13314" s="41">
        <v>0</v>
      </c>
      <c r="V13314" s="42" t="s">
        <v>113</v>
      </c>
      <c r="W13314" s="42">
        <v>17402.11</v>
      </c>
      <c r="X13314" s="42">
        <v>17402.11</v>
      </c>
    </row>
    <row r="13315" spans="1:24">
      <c r="A13315" s="27" t="s">
        <v>23859</v>
      </c>
      <c r="B13315" s="28" t="s">
        <v>19890</v>
      </c>
      <c r="C13315" s="27" t="s">
        <v>23860</v>
      </c>
      <c r="D13315" s="27" t="s">
        <v>17558</v>
      </c>
      <c r="E13315" s="29">
        <v>35795</v>
      </c>
      <c r="F13315" s="27">
        <v>12</v>
      </c>
      <c r="G13315" s="18">
        <v>17402.11</v>
      </c>
      <c r="H13315" s="27">
        <f t="shared" si="414"/>
        <v>17402.11</v>
      </c>
      <c r="I13315" s="18">
        <v>16532</v>
      </c>
      <c r="J13315" s="27">
        <v>17402.11</v>
      </c>
      <c r="K13315" s="18">
        <f t="shared" si="415"/>
        <v>17402.11</v>
      </c>
      <c r="L13315" s="27">
        <v>16532</v>
      </c>
      <c r="M13315" s="36">
        <v>0</v>
      </c>
      <c r="T13315" s="41">
        <v>0</v>
      </c>
      <c r="U13315" s="41">
        <v>0</v>
      </c>
      <c r="V13315" s="42" t="s">
        <v>113</v>
      </c>
      <c r="W13315" s="42">
        <v>17402.11</v>
      </c>
      <c r="X13315" s="42">
        <v>17402.11</v>
      </c>
    </row>
    <row r="13316" spans="1:24">
      <c r="A13316" s="27" t="s">
        <v>23861</v>
      </c>
      <c r="B13316" s="28" t="s">
        <v>19890</v>
      </c>
      <c r="C13316" s="27" t="s">
        <v>23862</v>
      </c>
      <c r="D13316" s="27" t="s">
        <v>17558</v>
      </c>
      <c r="E13316" s="29">
        <v>35795</v>
      </c>
      <c r="F13316" s="27">
        <v>12</v>
      </c>
      <c r="G13316" s="18">
        <v>17402.11</v>
      </c>
      <c r="H13316" s="27">
        <f t="shared" si="414"/>
        <v>17402.11</v>
      </c>
      <c r="I13316" s="18">
        <v>16532</v>
      </c>
      <c r="J13316" s="27">
        <v>17402.11</v>
      </c>
      <c r="K13316" s="18">
        <f t="shared" si="415"/>
        <v>17402.11</v>
      </c>
      <c r="L13316" s="27">
        <v>16532</v>
      </c>
      <c r="M13316" s="36">
        <v>0</v>
      </c>
      <c r="T13316" s="41">
        <v>0</v>
      </c>
      <c r="U13316" s="41">
        <v>0</v>
      </c>
      <c r="V13316" s="42" t="s">
        <v>113</v>
      </c>
      <c r="W13316" s="42">
        <v>17402.11</v>
      </c>
      <c r="X13316" s="42">
        <v>17402.11</v>
      </c>
    </row>
    <row r="13317" spans="1:24">
      <c r="A13317" s="27" t="s">
        <v>23863</v>
      </c>
      <c r="B13317" s="28" t="s">
        <v>19890</v>
      </c>
      <c r="C13317" s="27" t="s">
        <v>23864</v>
      </c>
      <c r="D13317" s="27" t="s">
        <v>17558</v>
      </c>
      <c r="E13317" s="29">
        <v>35795</v>
      </c>
      <c r="F13317" s="27">
        <v>12</v>
      </c>
      <c r="G13317" s="18">
        <v>17402.11</v>
      </c>
      <c r="H13317" s="27">
        <f t="shared" si="414"/>
        <v>17402.11</v>
      </c>
      <c r="I13317" s="18">
        <v>16532</v>
      </c>
      <c r="J13317" s="27">
        <v>17402.11</v>
      </c>
      <c r="K13317" s="18">
        <f t="shared" si="415"/>
        <v>17402.11</v>
      </c>
      <c r="L13317" s="27">
        <v>16532</v>
      </c>
      <c r="M13317" s="36">
        <v>0</v>
      </c>
      <c r="T13317" s="41">
        <v>0</v>
      </c>
      <c r="U13317" s="41">
        <v>0</v>
      </c>
      <c r="V13317" s="42" t="s">
        <v>113</v>
      </c>
      <c r="W13317" s="42">
        <v>17402.11</v>
      </c>
      <c r="X13317" s="42">
        <v>17402.11</v>
      </c>
    </row>
    <row r="13318" spans="1:24">
      <c r="A13318" s="27" t="s">
        <v>23865</v>
      </c>
      <c r="B13318" s="28" t="s">
        <v>19890</v>
      </c>
      <c r="C13318" s="27" t="s">
        <v>17575</v>
      </c>
      <c r="D13318" s="27" t="s">
        <v>17558</v>
      </c>
      <c r="E13318" s="29">
        <v>35795</v>
      </c>
      <c r="F13318" s="27">
        <v>12</v>
      </c>
      <c r="G13318" s="18">
        <v>17402.11</v>
      </c>
      <c r="H13318" s="27">
        <f t="shared" ref="H13318:H13381" si="416">IFERROR(IF(ROUND((G13318-I13318)/G13318,2)&lt;=0.05,G13318,0),0)</f>
        <v>17402.11</v>
      </c>
      <c r="I13318" s="18">
        <v>16532</v>
      </c>
      <c r="J13318" s="27">
        <v>17402.11</v>
      </c>
      <c r="K13318" s="18">
        <f t="shared" ref="K13318:K13381" si="417">IFERROR(IF(ROUND((J13318-L13318)/J13318,2)&lt;=0.05,J13318,0),0)</f>
        <v>17402.11</v>
      </c>
      <c r="L13318" s="27">
        <v>16532</v>
      </c>
      <c r="M13318" s="36">
        <v>0</v>
      </c>
      <c r="T13318" s="41">
        <v>0</v>
      </c>
      <c r="U13318" s="41">
        <v>0</v>
      </c>
      <c r="V13318" s="42" t="s">
        <v>113</v>
      </c>
      <c r="W13318" s="42">
        <v>17402.11</v>
      </c>
      <c r="X13318" s="42">
        <v>17402.11</v>
      </c>
    </row>
    <row r="13319" spans="1:24">
      <c r="A13319" s="27" t="s">
        <v>23866</v>
      </c>
      <c r="B13319" s="28" t="s">
        <v>19890</v>
      </c>
      <c r="C13319" s="27" t="s">
        <v>19896</v>
      </c>
      <c r="D13319" s="27" t="s">
        <v>17558</v>
      </c>
      <c r="E13319" s="29">
        <v>35795</v>
      </c>
      <c r="F13319" s="27">
        <v>12</v>
      </c>
      <c r="G13319" s="18">
        <v>17402.11</v>
      </c>
      <c r="H13319" s="27">
        <f t="shared" si="416"/>
        <v>17402.11</v>
      </c>
      <c r="I13319" s="18">
        <v>16532</v>
      </c>
      <c r="J13319" s="27">
        <v>17402.11</v>
      </c>
      <c r="K13319" s="18">
        <f t="shared" si="417"/>
        <v>17402.11</v>
      </c>
      <c r="L13319" s="27">
        <v>16532</v>
      </c>
      <c r="M13319" s="36">
        <v>0</v>
      </c>
      <c r="T13319" s="41">
        <v>0</v>
      </c>
      <c r="U13319" s="41">
        <v>0</v>
      </c>
      <c r="V13319" s="42" t="s">
        <v>113</v>
      </c>
      <c r="W13319" s="42">
        <v>17402.11</v>
      </c>
      <c r="X13319" s="42">
        <v>17402.11</v>
      </c>
    </row>
    <row r="13320" spans="1:24">
      <c r="A13320" s="27" t="s">
        <v>23867</v>
      </c>
      <c r="B13320" s="28" t="s">
        <v>19890</v>
      </c>
      <c r="C13320" s="27" t="s">
        <v>19898</v>
      </c>
      <c r="D13320" s="27" t="s">
        <v>17558</v>
      </c>
      <c r="E13320" s="29">
        <v>35795</v>
      </c>
      <c r="F13320" s="27">
        <v>12</v>
      </c>
      <c r="G13320" s="18">
        <v>17402.11</v>
      </c>
      <c r="H13320" s="27">
        <f t="shared" si="416"/>
        <v>17402.11</v>
      </c>
      <c r="I13320" s="18">
        <v>16532</v>
      </c>
      <c r="J13320" s="27">
        <v>17402.11</v>
      </c>
      <c r="K13320" s="18">
        <f t="shared" si="417"/>
        <v>17402.11</v>
      </c>
      <c r="L13320" s="27">
        <v>16532</v>
      </c>
      <c r="M13320" s="36">
        <v>0</v>
      </c>
      <c r="T13320" s="41">
        <v>0</v>
      </c>
      <c r="U13320" s="41">
        <v>0</v>
      </c>
      <c r="V13320" s="42" t="s">
        <v>113</v>
      </c>
      <c r="W13320" s="42">
        <v>17402.11</v>
      </c>
      <c r="X13320" s="42">
        <v>17402.11</v>
      </c>
    </row>
    <row r="13321" spans="1:24">
      <c r="A13321" s="27" t="s">
        <v>23868</v>
      </c>
      <c r="B13321" s="28" t="s">
        <v>19890</v>
      </c>
      <c r="C13321" s="27" t="s">
        <v>19900</v>
      </c>
      <c r="D13321" s="27" t="s">
        <v>17558</v>
      </c>
      <c r="E13321" s="29">
        <v>35795</v>
      </c>
      <c r="F13321" s="27">
        <v>12</v>
      </c>
      <c r="G13321" s="18">
        <v>17402.11</v>
      </c>
      <c r="H13321" s="27">
        <f t="shared" si="416"/>
        <v>17402.11</v>
      </c>
      <c r="I13321" s="18">
        <v>16532</v>
      </c>
      <c r="J13321" s="27">
        <v>17402.11</v>
      </c>
      <c r="K13321" s="18">
        <f t="shared" si="417"/>
        <v>17402.11</v>
      </c>
      <c r="L13321" s="27">
        <v>16532</v>
      </c>
      <c r="M13321" s="36">
        <v>0</v>
      </c>
      <c r="T13321" s="41">
        <v>0</v>
      </c>
      <c r="U13321" s="41">
        <v>0</v>
      </c>
      <c r="V13321" s="42" t="s">
        <v>113</v>
      </c>
      <c r="W13321" s="42">
        <v>17402.11</v>
      </c>
      <c r="X13321" s="42">
        <v>17402.11</v>
      </c>
    </row>
    <row r="13322" spans="1:24">
      <c r="A13322" s="27" t="s">
        <v>23869</v>
      </c>
      <c r="B13322" s="28" t="s">
        <v>19890</v>
      </c>
      <c r="C13322" s="27" t="s">
        <v>23870</v>
      </c>
      <c r="D13322" s="27" t="s">
        <v>17558</v>
      </c>
      <c r="E13322" s="29">
        <v>35795</v>
      </c>
      <c r="F13322" s="27">
        <v>12</v>
      </c>
      <c r="G13322" s="18">
        <v>17402.11</v>
      </c>
      <c r="H13322" s="27">
        <f t="shared" si="416"/>
        <v>17402.11</v>
      </c>
      <c r="I13322" s="18">
        <v>16532</v>
      </c>
      <c r="J13322" s="27">
        <v>17402.11</v>
      </c>
      <c r="K13322" s="18">
        <f t="shared" si="417"/>
        <v>17402.11</v>
      </c>
      <c r="L13322" s="27">
        <v>16532</v>
      </c>
      <c r="M13322" s="36">
        <v>0</v>
      </c>
      <c r="T13322" s="41">
        <v>0</v>
      </c>
      <c r="U13322" s="41">
        <v>0</v>
      </c>
      <c r="V13322" s="42" t="s">
        <v>113</v>
      </c>
      <c r="W13322" s="42">
        <v>17402.11</v>
      </c>
      <c r="X13322" s="42">
        <v>17402.11</v>
      </c>
    </row>
    <row r="13323" spans="1:24">
      <c r="A13323" s="27" t="s">
        <v>23871</v>
      </c>
      <c r="B13323" s="28" t="s">
        <v>19890</v>
      </c>
      <c r="C13323" s="27" t="s">
        <v>23872</v>
      </c>
      <c r="D13323" s="27" t="s">
        <v>17558</v>
      </c>
      <c r="E13323" s="29">
        <v>35795</v>
      </c>
      <c r="F13323" s="27">
        <v>12</v>
      </c>
      <c r="G13323" s="18">
        <v>8470.48</v>
      </c>
      <c r="H13323" s="27">
        <f t="shared" si="416"/>
        <v>8470.48</v>
      </c>
      <c r="I13323" s="18">
        <v>8046.96</v>
      </c>
      <c r="J13323" s="27">
        <v>8470.48</v>
      </c>
      <c r="K13323" s="18">
        <f t="shared" si="417"/>
        <v>8470.48</v>
      </c>
      <c r="L13323" s="27">
        <v>8046.96</v>
      </c>
      <c r="M13323" s="36">
        <v>0</v>
      </c>
      <c r="T13323" s="41">
        <v>0</v>
      </c>
      <c r="U13323" s="41">
        <v>0</v>
      </c>
      <c r="V13323" s="42" t="s">
        <v>113</v>
      </c>
      <c r="W13323" s="42">
        <v>8470.48</v>
      </c>
      <c r="X13323" s="42">
        <v>8470.48</v>
      </c>
    </row>
    <row r="13324" spans="1:24">
      <c r="A13324" s="27" t="s">
        <v>23873</v>
      </c>
      <c r="B13324" s="28" t="s">
        <v>19890</v>
      </c>
      <c r="C13324" s="27" t="s">
        <v>23874</v>
      </c>
      <c r="D13324" s="27" t="s">
        <v>17558</v>
      </c>
      <c r="E13324" s="29">
        <v>35795</v>
      </c>
      <c r="F13324" s="27">
        <v>12</v>
      </c>
      <c r="G13324" s="18">
        <v>8470.48</v>
      </c>
      <c r="H13324" s="27">
        <f t="shared" si="416"/>
        <v>8470.48</v>
      </c>
      <c r="I13324" s="18">
        <v>8046.96</v>
      </c>
      <c r="J13324" s="27">
        <v>8470.48</v>
      </c>
      <c r="K13324" s="18">
        <f t="shared" si="417"/>
        <v>8470.48</v>
      </c>
      <c r="L13324" s="27">
        <v>8046.96</v>
      </c>
      <c r="M13324" s="36">
        <v>0</v>
      </c>
      <c r="T13324" s="41">
        <v>0</v>
      </c>
      <c r="U13324" s="41">
        <v>0</v>
      </c>
      <c r="V13324" s="42" t="s">
        <v>113</v>
      </c>
      <c r="W13324" s="42">
        <v>8470.48</v>
      </c>
      <c r="X13324" s="42">
        <v>8470.48</v>
      </c>
    </row>
    <row r="13325" spans="1:24">
      <c r="A13325" s="27" t="s">
        <v>23875</v>
      </c>
      <c r="B13325" s="28" t="s">
        <v>19890</v>
      </c>
      <c r="C13325" s="27" t="s">
        <v>23876</v>
      </c>
      <c r="D13325" s="27" t="s">
        <v>17558</v>
      </c>
      <c r="E13325" s="29">
        <v>35795</v>
      </c>
      <c r="F13325" s="27">
        <v>12</v>
      </c>
      <c r="G13325" s="18">
        <v>8470.48</v>
      </c>
      <c r="H13325" s="27">
        <f t="shared" si="416"/>
        <v>8470.48</v>
      </c>
      <c r="I13325" s="18">
        <v>8046.96</v>
      </c>
      <c r="J13325" s="27">
        <v>8470.48</v>
      </c>
      <c r="K13325" s="18">
        <f t="shared" si="417"/>
        <v>8470.48</v>
      </c>
      <c r="L13325" s="27">
        <v>8046.96</v>
      </c>
      <c r="M13325" s="36">
        <v>0</v>
      </c>
      <c r="T13325" s="41">
        <v>0</v>
      </c>
      <c r="U13325" s="41">
        <v>0</v>
      </c>
      <c r="V13325" s="42" t="s">
        <v>113</v>
      </c>
      <c r="W13325" s="42">
        <v>8470.48</v>
      </c>
      <c r="X13325" s="42">
        <v>8470.48</v>
      </c>
    </row>
    <row r="13326" spans="1:24">
      <c r="A13326" s="27" t="s">
        <v>23877</v>
      </c>
      <c r="B13326" s="28" t="s">
        <v>19890</v>
      </c>
      <c r="C13326" s="27" t="s">
        <v>23878</v>
      </c>
      <c r="D13326" s="27" t="s">
        <v>17558</v>
      </c>
      <c r="E13326" s="29">
        <v>40298</v>
      </c>
      <c r="F13326" s="27">
        <v>12</v>
      </c>
      <c r="G13326" s="18">
        <v>300</v>
      </c>
      <c r="H13326" s="27">
        <f t="shared" si="416"/>
        <v>300</v>
      </c>
      <c r="I13326" s="18">
        <v>300</v>
      </c>
      <c r="J13326" s="27">
        <v>300</v>
      </c>
      <c r="K13326" s="18">
        <f t="shared" si="417"/>
        <v>300</v>
      </c>
      <c r="L13326" s="27">
        <v>300</v>
      </c>
      <c r="M13326" s="36">
        <v>0</v>
      </c>
      <c r="T13326" s="41">
        <v>0</v>
      </c>
      <c r="U13326" s="41">
        <v>0</v>
      </c>
      <c r="V13326" s="42" t="s">
        <v>113</v>
      </c>
      <c r="W13326" s="42">
        <v>300</v>
      </c>
      <c r="X13326" s="42">
        <v>300</v>
      </c>
    </row>
    <row r="13327" spans="1:24">
      <c r="A13327" s="27" t="s">
        <v>23879</v>
      </c>
      <c r="B13327" s="28" t="s">
        <v>19890</v>
      </c>
      <c r="C13327" s="27" t="s">
        <v>23878</v>
      </c>
      <c r="D13327" s="27" t="s">
        <v>17558</v>
      </c>
      <c r="E13327" s="29">
        <v>35795</v>
      </c>
      <c r="F13327" s="27">
        <v>12</v>
      </c>
      <c r="G13327" s="18">
        <v>7813.51</v>
      </c>
      <c r="H13327" s="27">
        <f t="shared" si="416"/>
        <v>7813.51</v>
      </c>
      <c r="I13327" s="18">
        <v>7422.83</v>
      </c>
      <c r="J13327" s="27">
        <v>7813.51</v>
      </c>
      <c r="K13327" s="18">
        <f t="shared" si="417"/>
        <v>7813.51</v>
      </c>
      <c r="L13327" s="27">
        <v>7422.83</v>
      </c>
      <c r="M13327" s="36">
        <v>0</v>
      </c>
      <c r="T13327" s="41">
        <v>0</v>
      </c>
      <c r="U13327" s="41">
        <v>0</v>
      </c>
      <c r="V13327" s="42" t="s">
        <v>113</v>
      </c>
      <c r="W13327" s="42">
        <v>7813.51</v>
      </c>
      <c r="X13327" s="42">
        <v>7813.51</v>
      </c>
    </row>
    <row r="13328" spans="1:24">
      <c r="A13328" s="27" t="s">
        <v>23880</v>
      </c>
      <c r="B13328" s="28" t="s">
        <v>19890</v>
      </c>
      <c r="C13328" s="27" t="s">
        <v>23881</v>
      </c>
      <c r="D13328" s="27" t="s">
        <v>17578</v>
      </c>
      <c r="E13328" s="29">
        <v>35795</v>
      </c>
      <c r="F13328" s="27">
        <v>12</v>
      </c>
      <c r="G13328" s="18">
        <v>8701</v>
      </c>
      <c r="H13328" s="27">
        <f t="shared" si="416"/>
        <v>8701</v>
      </c>
      <c r="I13328" s="18">
        <v>8265.9500000000007</v>
      </c>
      <c r="J13328" s="27">
        <v>8701</v>
      </c>
      <c r="K13328" s="18">
        <f t="shared" si="417"/>
        <v>8701</v>
      </c>
      <c r="L13328" s="27">
        <v>8265.9500000000007</v>
      </c>
      <c r="M13328" s="36">
        <v>0</v>
      </c>
      <c r="T13328" s="41">
        <v>0</v>
      </c>
      <c r="U13328" s="41">
        <v>0</v>
      </c>
      <c r="V13328" s="42" t="s">
        <v>113</v>
      </c>
      <c r="W13328" s="42">
        <v>8701</v>
      </c>
      <c r="X13328" s="42">
        <v>8701</v>
      </c>
    </row>
    <row r="13329" spans="1:24">
      <c r="A13329" s="27" t="s">
        <v>23882</v>
      </c>
      <c r="B13329" s="28" t="s">
        <v>19890</v>
      </c>
      <c r="C13329" s="27" t="s">
        <v>23883</v>
      </c>
      <c r="D13329" s="27" t="s">
        <v>17578</v>
      </c>
      <c r="E13329" s="29">
        <v>32752</v>
      </c>
      <c r="F13329" s="27">
        <v>12</v>
      </c>
      <c r="G13329" s="18">
        <v>18180</v>
      </c>
      <c r="H13329" s="27">
        <f t="shared" si="416"/>
        <v>18180</v>
      </c>
      <c r="I13329" s="18">
        <v>17271</v>
      </c>
      <c r="J13329" s="27">
        <v>0</v>
      </c>
      <c r="K13329" s="18">
        <f t="shared" si="417"/>
        <v>0</v>
      </c>
      <c r="L13329" s="27">
        <v>0</v>
      </c>
      <c r="M13329" s="36">
        <v>0</v>
      </c>
      <c r="Q13329" s="16" t="s">
        <v>19522</v>
      </c>
      <c r="R13329" s="16">
        <v>18180</v>
      </c>
      <c r="S13329" s="16">
        <v>17271</v>
      </c>
      <c r="T13329" s="41">
        <v>0</v>
      </c>
      <c r="U13329" s="41">
        <v>0</v>
      </c>
      <c r="V13329" s="42" t="s">
        <v>113</v>
      </c>
      <c r="W13329" s="42">
        <v>0</v>
      </c>
      <c r="X13329" s="42">
        <v>0</v>
      </c>
    </row>
    <row r="13330" spans="1:24">
      <c r="A13330" s="27" t="s">
        <v>23884</v>
      </c>
      <c r="B13330" s="28" t="s">
        <v>19890</v>
      </c>
      <c r="C13330" s="27" t="s">
        <v>12279</v>
      </c>
      <c r="D13330" s="27" t="s">
        <v>17578</v>
      </c>
      <c r="E13330" s="29">
        <v>32752</v>
      </c>
      <c r="F13330" s="27">
        <v>12</v>
      </c>
      <c r="G13330" s="18">
        <v>8944</v>
      </c>
      <c r="H13330" s="27">
        <f t="shared" si="416"/>
        <v>8944</v>
      </c>
      <c r="I13330" s="18">
        <v>8496.7999999999993</v>
      </c>
      <c r="J13330" s="27">
        <v>0</v>
      </c>
      <c r="K13330" s="18">
        <f t="shared" si="417"/>
        <v>0</v>
      </c>
      <c r="L13330" s="27">
        <v>0</v>
      </c>
      <c r="M13330" s="36">
        <v>0</v>
      </c>
      <c r="Q13330" s="16" t="s">
        <v>19522</v>
      </c>
      <c r="R13330" s="16">
        <v>8944</v>
      </c>
      <c r="S13330" s="16">
        <v>8496.7999999999993</v>
      </c>
      <c r="T13330" s="41">
        <v>0</v>
      </c>
      <c r="U13330" s="41">
        <v>0</v>
      </c>
      <c r="V13330" s="42" t="s">
        <v>113</v>
      </c>
      <c r="W13330" s="42">
        <v>0</v>
      </c>
      <c r="X13330" s="42">
        <v>0</v>
      </c>
    </row>
    <row r="13331" spans="1:24">
      <c r="A13331" s="27" t="s">
        <v>23885</v>
      </c>
      <c r="B13331" s="28" t="s">
        <v>19890</v>
      </c>
      <c r="C13331" s="27" t="s">
        <v>12279</v>
      </c>
      <c r="D13331" s="27" t="s">
        <v>17578</v>
      </c>
      <c r="E13331" s="29">
        <v>32752</v>
      </c>
      <c r="F13331" s="27">
        <v>12</v>
      </c>
      <c r="G13331" s="18">
        <v>3188</v>
      </c>
      <c r="H13331" s="27">
        <f t="shared" si="416"/>
        <v>3188</v>
      </c>
      <c r="I13331" s="18">
        <v>3188</v>
      </c>
      <c r="J13331" s="27">
        <v>0</v>
      </c>
      <c r="K13331" s="18">
        <f t="shared" si="417"/>
        <v>0</v>
      </c>
      <c r="L13331" s="27">
        <v>0</v>
      </c>
      <c r="M13331" s="36">
        <v>0</v>
      </c>
      <c r="Q13331" s="16" t="s">
        <v>19522</v>
      </c>
      <c r="R13331" s="16">
        <v>3188</v>
      </c>
      <c r="S13331" s="16">
        <v>3188</v>
      </c>
      <c r="T13331" s="41">
        <v>0</v>
      </c>
      <c r="U13331" s="41">
        <v>0</v>
      </c>
      <c r="V13331" s="42" t="s">
        <v>113</v>
      </c>
      <c r="W13331" s="42">
        <v>0</v>
      </c>
      <c r="X13331" s="42">
        <v>0</v>
      </c>
    </row>
    <row r="13332" spans="1:24">
      <c r="A13332" s="27" t="s">
        <v>23886</v>
      </c>
      <c r="B13332" s="28" t="s">
        <v>19890</v>
      </c>
      <c r="C13332" s="27" t="s">
        <v>12279</v>
      </c>
      <c r="D13332" s="27" t="s">
        <v>17578</v>
      </c>
      <c r="E13332" s="29">
        <v>32752</v>
      </c>
      <c r="F13332" s="27">
        <v>12</v>
      </c>
      <c r="G13332" s="18">
        <v>2125</v>
      </c>
      <c r="H13332" s="27">
        <f t="shared" si="416"/>
        <v>2125</v>
      </c>
      <c r="I13332" s="18">
        <v>2125</v>
      </c>
      <c r="J13332" s="27">
        <v>0</v>
      </c>
      <c r="K13332" s="18">
        <f t="shared" si="417"/>
        <v>0</v>
      </c>
      <c r="L13332" s="27">
        <v>0</v>
      </c>
      <c r="M13332" s="36">
        <v>0</v>
      </c>
      <c r="Q13332" s="16" t="s">
        <v>19522</v>
      </c>
      <c r="R13332" s="16">
        <v>2125</v>
      </c>
      <c r="S13332" s="16">
        <v>2125</v>
      </c>
      <c r="T13332" s="41">
        <v>0</v>
      </c>
      <c r="U13332" s="41">
        <v>0</v>
      </c>
      <c r="V13332" s="42" t="s">
        <v>113</v>
      </c>
      <c r="W13332" s="42">
        <v>0</v>
      </c>
      <c r="X13332" s="42">
        <v>0</v>
      </c>
    </row>
    <row r="13333" spans="1:24">
      <c r="A13333" s="27" t="s">
        <v>23887</v>
      </c>
      <c r="B13333" s="28" t="s">
        <v>19890</v>
      </c>
      <c r="C13333" s="27" t="s">
        <v>12279</v>
      </c>
      <c r="D13333" s="27" t="s">
        <v>17578</v>
      </c>
      <c r="E13333" s="29">
        <v>32752</v>
      </c>
      <c r="F13333" s="27">
        <v>12</v>
      </c>
      <c r="G13333" s="18">
        <v>2964</v>
      </c>
      <c r="H13333" s="27">
        <f t="shared" si="416"/>
        <v>2964</v>
      </c>
      <c r="I13333" s="18">
        <v>2964</v>
      </c>
      <c r="J13333" s="27">
        <v>0</v>
      </c>
      <c r="K13333" s="18">
        <f t="shared" si="417"/>
        <v>0</v>
      </c>
      <c r="L13333" s="27">
        <v>0</v>
      </c>
      <c r="M13333" s="36">
        <v>0</v>
      </c>
      <c r="Q13333" s="16" t="s">
        <v>19522</v>
      </c>
      <c r="R13333" s="16">
        <v>2964</v>
      </c>
      <c r="S13333" s="16">
        <v>2964</v>
      </c>
      <c r="T13333" s="41">
        <v>0</v>
      </c>
      <c r="U13333" s="41">
        <v>0</v>
      </c>
      <c r="V13333" s="42" t="s">
        <v>113</v>
      </c>
      <c r="W13333" s="42">
        <v>0</v>
      </c>
      <c r="X13333" s="42">
        <v>0</v>
      </c>
    </row>
    <row r="13334" spans="1:24">
      <c r="A13334" s="27" t="s">
        <v>23888</v>
      </c>
      <c r="B13334" s="28" t="s">
        <v>19890</v>
      </c>
      <c r="C13334" s="27" t="s">
        <v>23889</v>
      </c>
      <c r="D13334" s="27" t="s">
        <v>17578</v>
      </c>
      <c r="E13334" s="29">
        <v>32752</v>
      </c>
      <c r="F13334" s="27">
        <v>12</v>
      </c>
      <c r="G13334" s="18">
        <v>19461</v>
      </c>
      <c r="H13334" s="27">
        <f t="shared" si="416"/>
        <v>19461</v>
      </c>
      <c r="I13334" s="18">
        <v>18487.95</v>
      </c>
      <c r="J13334" s="27">
        <v>0</v>
      </c>
      <c r="K13334" s="18">
        <f t="shared" si="417"/>
        <v>0</v>
      </c>
      <c r="L13334" s="27">
        <v>0</v>
      </c>
      <c r="M13334" s="36">
        <v>0</v>
      </c>
      <c r="Q13334" s="16" t="s">
        <v>19522</v>
      </c>
      <c r="R13334" s="16">
        <v>19461</v>
      </c>
      <c r="S13334" s="16">
        <v>18487.95</v>
      </c>
      <c r="T13334" s="41">
        <v>0</v>
      </c>
      <c r="U13334" s="41">
        <v>0</v>
      </c>
      <c r="V13334" s="42" t="s">
        <v>113</v>
      </c>
      <c r="W13334" s="42">
        <v>0</v>
      </c>
      <c r="X13334" s="42">
        <v>0</v>
      </c>
    </row>
    <row r="13335" spans="1:24">
      <c r="A13335" s="27" t="s">
        <v>23890</v>
      </c>
      <c r="B13335" s="28" t="s">
        <v>19890</v>
      </c>
      <c r="C13335" s="27" t="s">
        <v>23891</v>
      </c>
      <c r="D13335" s="27" t="s">
        <v>17578</v>
      </c>
      <c r="E13335" s="29">
        <v>32752</v>
      </c>
      <c r="F13335" s="27">
        <v>12</v>
      </c>
      <c r="G13335" s="18">
        <v>69342</v>
      </c>
      <c r="H13335" s="27">
        <f t="shared" si="416"/>
        <v>69342</v>
      </c>
      <c r="I13335" s="18">
        <v>65874.899999999994</v>
      </c>
      <c r="J13335" s="27">
        <v>0</v>
      </c>
      <c r="K13335" s="18">
        <f t="shared" si="417"/>
        <v>0</v>
      </c>
      <c r="L13335" s="27">
        <v>0</v>
      </c>
      <c r="M13335" s="36">
        <v>0</v>
      </c>
      <c r="Q13335" s="16" t="s">
        <v>19522</v>
      </c>
      <c r="R13335" s="16">
        <v>69342</v>
      </c>
      <c r="S13335" s="16">
        <v>65874.899999999994</v>
      </c>
      <c r="T13335" s="41">
        <v>0</v>
      </c>
      <c r="U13335" s="41">
        <v>0</v>
      </c>
      <c r="V13335" s="42" t="s">
        <v>113</v>
      </c>
      <c r="W13335" s="42">
        <v>0</v>
      </c>
      <c r="X13335" s="42">
        <v>0</v>
      </c>
    </row>
    <row r="13336" spans="1:24">
      <c r="A13336" s="27" t="s">
        <v>23892</v>
      </c>
      <c r="B13336" s="28" t="s">
        <v>19890</v>
      </c>
      <c r="C13336" s="27" t="s">
        <v>19904</v>
      </c>
      <c r="D13336" s="27" t="s">
        <v>17578</v>
      </c>
      <c r="E13336" s="29">
        <v>32752</v>
      </c>
      <c r="F13336" s="27">
        <v>12</v>
      </c>
      <c r="G13336" s="18">
        <v>3242</v>
      </c>
      <c r="H13336" s="27">
        <f t="shared" si="416"/>
        <v>3242</v>
      </c>
      <c r="I13336" s="18">
        <v>3242</v>
      </c>
      <c r="J13336" s="27">
        <v>0</v>
      </c>
      <c r="K13336" s="18">
        <f t="shared" si="417"/>
        <v>0</v>
      </c>
      <c r="L13336" s="27">
        <v>0</v>
      </c>
      <c r="M13336" s="36">
        <v>0</v>
      </c>
      <c r="Q13336" s="16" t="s">
        <v>19522</v>
      </c>
      <c r="R13336" s="16">
        <v>3242</v>
      </c>
      <c r="S13336" s="16">
        <v>3242</v>
      </c>
      <c r="T13336" s="41">
        <v>0</v>
      </c>
      <c r="U13336" s="41">
        <v>0</v>
      </c>
      <c r="V13336" s="42" t="s">
        <v>113</v>
      </c>
      <c r="W13336" s="42">
        <v>0</v>
      </c>
      <c r="X13336" s="42">
        <v>0</v>
      </c>
    </row>
    <row r="13337" spans="1:24">
      <c r="A13337" s="27" t="s">
        <v>23893</v>
      </c>
      <c r="B13337" s="28" t="s">
        <v>19890</v>
      </c>
      <c r="C13337" s="27" t="s">
        <v>23894</v>
      </c>
      <c r="D13337" s="27" t="s">
        <v>17578</v>
      </c>
      <c r="E13337" s="29">
        <v>32752</v>
      </c>
      <c r="F13337" s="27">
        <v>12</v>
      </c>
      <c r="G13337" s="18">
        <v>6864</v>
      </c>
      <c r="H13337" s="27">
        <f t="shared" si="416"/>
        <v>6864</v>
      </c>
      <c r="I13337" s="18">
        <v>6520.8</v>
      </c>
      <c r="J13337" s="27">
        <v>0</v>
      </c>
      <c r="K13337" s="18">
        <f t="shared" si="417"/>
        <v>0</v>
      </c>
      <c r="L13337" s="27">
        <v>0</v>
      </c>
      <c r="M13337" s="36">
        <v>0</v>
      </c>
      <c r="Q13337" s="16" t="s">
        <v>19522</v>
      </c>
      <c r="R13337" s="16">
        <v>6864</v>
      </c>
      <c r="S13337" s="16">
        <v>6520.8</v>
      </c>
      <c r="T13337" s="41">
        <v>0</v>
      </c>
      <c r="U13337" s="41">
        <v>0</v>
      </c>
      <c r="V13337" s="42" t="s">
        <v>113</v>
      </c>
      <c r="W13337" s="42">
        <v>0</v>
      </c>
      <c r="X13337" s="42">
        <v>0</v>
      </c>
    </row>
    <row r="13338" spans="1:24">
      <c r="A13338" s="27" t="s">
        <v>23895</v>
      </c>
      <c r="B13338" s="28" t="s">
        <v>19890</v>
      </c>
      <c r="C13338" s="27" t="s">
        <v>23896</v>
      </c>
      <c r="D13338" s="27" t="s">
        <v>17578</v>
      </c>
      <c r="E13338" s="29">
        <v>32752</v>
      </c>
      <c r="F13338" s="27">
        <v>12</v>
      </c>
      <c r="G13338" s="18">
        <v>6864</v>
      </c>
      <c r="H13338" s="27">
        <f t="shared" si="416"/>
        <v>6864</v>
      </c>
      <c r="I13338" s="18">
        <v>6520.8</v>
      </c>
      <c r="J13338" s="27">
        <v>0</v>
      </c>
      <c r="K13338" s="18">
        <f t="shared" si="417"/>
        <v>0</v>
      </c>
      <c r="L13338" s="27">
        <v>0</v>
      </c>
      <c r="M13338" s="36">
        <v>0</v>
      </c>
      <c r="Q13338" s="16" t="s">
        <v>19522</v>
      </c>
      <c r="R13338" s="16">
        <v>6864</v>
      </c>
      <c r="S13338" s="16">
        <v>6520.8</v>
      </c>
      <c r="T13338" s="41">
        <v>0</v>
      </c>
      <c r="U13338" s="41">
        <v>0</v>
      </c>
      <c r="V13338" s="42" t="s">
        <v>113</v>
      </c>
      <c r="W13338" s="42">
        <v>0</v>
      </c>
      <c r="X13338" s="42">
        <v>0</v>
      </c>
    </row>
    <row r="13339" spans="1:24">
      <c r="A13339" s="27" t="s">
        <v>23897</v>
      </c>
      <c r="B13339" s="28" t="s">
        <v>19890</v>
      </c>
      <c r="C13339" s="27" t="s">
        <v>23898</v>
      </c>
      <c r="D13339" s="27" t="s">
        <v>17578</v>
      </c>
      <c r="E13339" s="29">
        <v>32752</v>
      </c>
      <c r="F13339" s="27">
        <v>12</v>
      </c>
      <c r="G13339" s="18">
        <v>16767</v>
      </c>
      <c r="H13339" s="27">
        <f t="shared" si="416"/>
        <v>16767</v>
      </c>
      <c r="I13339" s="18">
        <v>15928.65</v>
      </c>
      <c r="J13339" s="27">
        <v>0</v>
      </c>
      <c r="K13339" s="18">
        <f t="shared" si="417"/>
        <v>0</v>
      </c>
      <c r="L13339" s="27">
        <v>0</v>
      </c>
      <c r="M13339" s="36">
        <v>0</v>
      </c>
      <c r="Q13339" s="16" t="s">
        <v>19522</v>
      </c>
      <c r="R13339" s="16">
        <v>16767</v>
      </c>
      <c r="S13339" s="16">
        <v>15928.65</v>
      </c>
      <c r="T13339" s="41">
        <v>0</v>
      </c>
      <c r="U13339" s="41">
        <v>0</v>
      </c>
      <c r="V13339" s="42" t="s">
        <v>113</v>
      </c>
      <c r="W13339" s="42">
        <v>0</v>
      </c>
      <c r="X13339" s="42">
        <v>0</v>
      </c>
    </row>
    <row r="13340" spans="1:24">
      <c r="A13340" s="27" t="s">
        <v>23899</v>
      </c>
      <c r="B13340" s="28" t="s">
        <v>19890</v>
      </c>
      <c r="C13340" s="27" t="s">
        <v>23900</v>
      </c>
      <c r="D13340" s="27" t="s">
        <v>17558</v>
      </c>
      <c r="E13340" s="29">
        <v>32752</v>
      </c>
      <c r="F13340" s="27">
        <v>12</v>
      </c>
      <c r="G13340" s="18">
        <v>29064</v>
      </c>
      <c r="H13340" s="27">
        <f t="shared" si="416"/>
        <v>29064</v>
      </c>
      <c r="I13340" s="18">
        <v>27610.799999999999</v>
      </c>
      <c r="J13340" s="27">
        <v>29064</v>
      </c>
      <c r="K13340" s="18">
        <f t="shared" si="417"/>
        <v>29064</v>
      </c>
      <c r="L13340" s="27">
        <v>27610.799999999999</v>
      </c>
      <c r="M13340" s="36">
        <v>0</v>
      </c>
      <c r="T13340" s="41">
        <v>0</v>
      </c>
      <c r="U13340" s="41">
        <v>0</v>
      </c>
      <c r="V13340" s="42" t="s">
        <v>113</v>
      </c>
      <c r="W13340" s="42">
        <v>29064</v>
      </c>
      <c r="X13340" s="42">
        <v>29064</v>
      </c>
    </row>
    <row r="13341" spans="1:24">
      <c r="A13341" s="27" t="s">
        <v>23901</v>
      </c>
      <c r="B13341" s="28" t="s">
        <v>19890</v>
      </c>
      <c r="C13341" s="27" t="s">
        <v>23900</v>
      </c>
      <c r="D13341" s="27" t="s">
        <v>17558</v>
      </c>
      <c r="E13341" s="29">
        <v>32752</v>
      </c>
      <c r="F13341" s="27">
        <v>12</v>
      </c>
      <c r="G13341" s="18">
        <v>5928</v>
      </c>
      <c r="H13341" s="27">
        <f t="shared" si="416"/>
        <v>5928</v>
      </c>
      <c r="I13341" s="18">
        <v>5631.6</v>
      </c>
      <c r="J13341" s="27">
        <v>5928</v>
      </c>
      <c r="K13341" s="18">
        <f t="shared" si="417"/>
        <v>5928</v>
      </c>
      <c r="L13341" s="27">
        <v>5631.6</v>
      </c>
      <c r="M13341" s="36">
        <v>0</v>
      </c>
      <c r="T13341" s="41">
        <v>0</v>
      </c>
      <c r="U13341" s="41">
        <v>0</v>
      </c>
      <c r="V13341" s="42" t="s">
        <v>113</v>
      </c>
      <c r="W13341" s="42">
        <v>5928</v>
      </c>
      <c r="X13341" s="42">
        <v>5928</v>
      </c>
    </row>
    <row r="13342" spans="1:24">
      <c r="A13342" s="27" t="s">
        <v>23902</v>
      </c>
      <c r="B13342" s="28" t="s">
        <v>19890</v>
      </c>
      <c r="C13342" s="27" t="s">
        <v>23900</v>
      </c>
      <c r="D13342" s="27" t="s">
        <v>17558</v>
      </c>
      <c r="E13342" s="29">
        <v>32752</v>
      </c>
      <c r="F13342" s="27">
        <v>12</v>
      </c>
      <c r="G13342" s="18">
        <v>2908</v>
      </c>
      <c r="H13342" s="27">
        <f t="shared" si="416"/>
        <v>2908</v>
      </c>
      <c r="I13342" s="18">
        <v>2908</v>
      </c>
      <c r="J13342" s="27">
        <v>2908</v>
      </c>
      <c r="K13342" s="18">
        <f t="shared" si="417"/>
        <v>2908</v>
      </c>
      <c r="L13342" s="27">
        <v>2908</v>
      </c>
      <c r="M13342" s="36">
        <v>0</v>
      </c>
      <c r="T13342" s="41">
        <v>0</v>
      </c>
      <c r="U13342" s="41">
        <v>0</v>
      </c>
      <c r="V13342" s="42" t="s">
        <v>113</v>
      </c>
      <c r="W13342" s="42">
        <v>2908</v>
      </c>
      <c r="X13342" s="42">
        <v>2908</v>
      </c>
    </row>
    <row r="13343" spans="1:24">
      <c r="A13343" s="27" t="s">
        <v>23903</v>
      </c>
      <c r="B13343" s="28" t="s">
        <v>19890</v>
      </c>
      <c r="C13343" s="27" t="s">
        <v>23904</v>
      </c>
      <c r="D13343" s="27" t="s">
        <v>17558</v>
      </c>
      <c r="E13343" s="29">
        <v>32752</v>
      </c>
      <c r="F13343" s="27">
        <v>12</v>
      </c>
      <c r="G13343" s="18">
        <v>83838</v>
      </c>
      <c r="H13343" s="27">
        <f t="shared" si="416"/>
        <v>83838</v>
      </c>
      <c r="I13343" s="18">
        <v>79646.100000000006</v>
      </c>
      <c r="J13343" s="27">
        <v>83838</v>
      </c>
      <c r="K13343" s="18">
        <f t="shared" si="417"/>
        <v>83838</v>
      </c>
      <c r="L13343" s="27">
        <v>79646.100000000006</v>
      </c>
      <c r="M13343" s="36">
        <v>0</v>
      </c>
      <c r="T13343" s="41">
        <v>0</v>
      </c>
      <c r="U13343" s="41">
        <v>0</v>
      </c>
      <c r="V13343" s="42" t="s">
        <v>113</v>
      </c>
      <c r="W13343" s="42">
        <v>83838</v>
      </c>
      <c r="X13343" s="42">
        <v>83838</v>
      </c>
    </row>
    <row r="13344" spans="1:24">
      <c r="A13344" s="27" t="s">
        <v>23905</v>
      </c>
      <c r="B13344" s="28" t="s">
        <v>19890</v>
      </c>
      <c r="C13344" s="27" t="s">
        <v>23906</v>
      </c>
      <c r="D13344" s="27" t="s">
        <v>17558</v>
      </c>
      <c r="E13344" s="29">
        <v>32752</v>
      </c>
      <c r="F13344" s="27">
        <v>12</v>
      </c>
      <c r="G13344" s="18">
        <v>19003</v>
      </c>
      <c r="H13344" s="27">
        <f t="shared" si="416"/>
        <v>19003</v>
      </c>
      <c r="I13344" s="18">
        <v>18052.849999999999</v>
      </c>
      <c r="J13344" s="27">
        <v>19003</v>
      </c>
      <c r="K13344" s="18">
        <f t="shared" si="417"/>
        <v>19003</v>
      </c>
      <c r="L13344" s="27">
        <v>18052.849999999999</v>
      </c>
      <c r="M13344" s="36">
        <v>0</v>
      </c>
      <c r="T13344" s="41">
        <v>0</v>
      </c>
      <c r="U13344" s="41">
        <v>0</v>
      </c>
      <c r="V13344" s="42" t="s">
        <v>113</v>
      </c>
      <c r="W13344" s="42">
        <v>19003</v>
      </c>
      <c r="X13344" s="42">
        <v>19003</v>
      </c>
    </row>
    <row r="13345" spans="1:24">
      <c r="A13345" s="27" t="s">
        <v>23907</v>
      </c>
      <c r="B13345" s="28" t="s">
        <v>19890</v>
      </c>
      <c r="C13345" s="27" t="s">
        <v>23908</v>
      </c>
      <c r="D13345" s="27" t="s">
        <v>17558</v>
      </c>
      <c r="E13345" s="29">
        <v>32752</v>
      </c>
      <c r="F13345" s="27">
        <v>12</v>
      </c>
      <c r="G13345" s="18">
        <v>342042</v>
      </c>
      <c r="H13345" s="27">
        <f t="shared" si="416"/>
        <v>342042</v>
      </c>
      <c r="I13345" s="18">
        <v>324939.90000000002</v>
      </c>
      <c r="J13345" s="27">
        <v>342042</v>
      </c>
      <c r="K13345" s="18">
        <f t="shared" si="417"/>
        <v>342042</v>
      </c>
      <c r="L13345" s="27">
        <v>324939.90000000002</v>
      </c>
      <c r="M13345" s="36">
        <v>0</v>
      </c>
      <c r="T13345" s="41">
        <v>0</v>
      </c>
      <c r="U13345" s="41">
        <v>0</v>
      </c>
      <c r="V13345" s="42" t="s">
        <v>113</v>
      </c>
      <c r="W13345" s="42">
        <v>342042</v>
      </c>
      <c r="X13345" s="42">
        <v>342042</v>
      </c>
    </row>
    <row r="13346" spans="1:24">
      <c r="A13346" s="27" t="s">
        <v>23909</v>
      </c>
      <c r="B13346" s="28" t="s">
        <v>19890</v>
      </c>
      <c r="C13346" s="27" t="s">
        <v>23910</v>
      </c>
      <c r="D13346" s="27" t="s">
        <v>17558</v>
      </c>
      <c r="E13346" s="29">
        <v>32752</v>
      </c>
      <c r="F13346" s="27">
        <v>12</v>
      </c>
      <c r="G13346" s="18">
        <v>78000</v>
      </c>
      <c r="H13346" s="27">
        <f t="shared" si="416"/>
        <v>78000</v>
      </c>
      <c r="I13346" s="18">
        <v>74100</v>
      </c>
      <c r="J13346" s="27">
        <v>78000</v>
      </c>
      <c r="K13346" s="18">
        <f t="shared" si="417"/>
        <v>78000</v>
      </c>
      <c r="L13346" s="27">
        <v>74100</v>
      </c>
      <c r="M13346" s="36">
        <v>0</v>
      </c>
      <c r="T13346" s="41">
        <v>0</v>
      </c>
      <c r="U13346" s="41">
        <v>0</v>
      </c>
      <c r="V13346" s="42" t="s">
        <v>113</v>
      </c>
      <c r="W13346" s="42">
        <v>78000</v>
      </c>
      <c r="X13346" s="42">
        <v>78000</v>
      </c>
    </row>
    <row r="13347" spans="1:24">
      <c r="A13347" s="27" t="s">
        <v>23911</v>
      </c>
      <c r="B13347" s="28" t="s">
        <v>19890</v>
      </c>
      <c r="C13347" s="27" t="s">
        <v>23912</v>
      </c>
      <c r="D13347" s="27" t="s">
        <v>17558</v>
      </c>
      <c r="E13347" s="29">
        <v>32752</v>
      </c>
      <c r="F13347" s="27">
        <v>12</v>
      </c>
      <c r="G13347" s="18">
        <v>156018</v>
      </c>
      <c r="H13347" s="27">
        <f t="shared" si="416"/>
        <v>156018</v>
      </c>
      <c r="I13347" s="18">
        <v>148217.1</v>
      </c>
      <c r="J13347" s="27">
        <v>156018</v>
      </c>
      <c r="K13347" s="18">
        <f t="shared" si="417"/>
        <v>156018</v>
      </c>
      <c r="L13347" s="27">
        <v>148217.1</v>
      </c>
      <c r="M13347" s="36">
        <v>0</v>
      </c>
      <c r="T13347" s="41">
        <v>0</v>
      </c>
      <c r="U13347" s="41">
        <v>0</v>
      </c>
      <c r="V13347" s="42" t="s">
        <v>113</v>
      </c>
      <c r="W13347" s="42">
        <v>156018</v>
      </c>
      <c r="X13347" s="42">
        <v>156018</v>
      </c>
    </row>
    <row r="13348" spans="1:24">
      <c r="A13348" s="27" t="s">
        <v>23913</v>
      </c>
      <c r="B13348" s="28" t="s">
        <v>19890</v>
      </c>
      <c r="C13348" s="27" t="s">
        <v>23914</v>
      </c>
      <c r="D13348" s="27" t="s">
        <v>17578</v>
      </c>
      <c r="E13348" s="29">
        <v>32752</v>
      </c>
      <c r="F13348" s="27">
        <v>12</v>
      </c>
      <c r="G13348" s="18">
        <v>32532</v>
      </c>
      <c r="H13348" s="27">
        <f t="shared" si="416"/>
        <v>32532</v>
      </c>
      <c r="I13348" s="18">
        <v>30905.4</v>
      </c>
      <c r="J13348" s="27">
        <v>0</v>
      </c>
      <c r="K13348" s="18">
        <f t="shared" si="417"/>
        <v>0</v>
      </c>
      <c r="L13348" s="27">
        <v>0</v>
      </c>
      <c r="M13348" s="36">
        <v>0</v>
      </c>
      <c r="Q13348" s="16" t="s">
        <v>19522</v>
      </c>
      <c r="R13348" s="16">
        <v>32532</v>
      </c>
      <c r="S13348" s="16">
        <v>30905.4</v>
      </c>
      <c r="T13348" s="41">
        <v>0</v>
      </c>
      <c r="U13348" s="41">
        <v>0</v>
      </c>
      <c r="V13348" s="42" t="s">
        <v>113</v>
      </c>
      <c r="W13348" s="42">
        <v>0</v>
      </c>
      <c r="X13348" s="42">
        <v>0</v>
      </c>
    </row>
    <row r="13349" spans="1:24">
      <c r="A13349" s="27" t="s">
        <v>23915</v>
      </c>
      <c r="B13349" s="28" t="s">
        <v>19890</v>
      </c>
      <c r="C13349" s="27" t="s">
        <v>23916</v>
      </c>
      <c r="D13349" s="27" t="s">
        <v>17558</v>
      </c>
      <c r="E13349" s="29">
        <v>32754</v>
      </c>
      <c r="F13349" s="27">
        <v>12</v>
      </c>
      <c r="G13349" s="18">
        <v>28000</v>
      </c>
      <c r="H13349" s="27">
        <f t="shared" si="416"/>
        <v>28000</v>
      </c>
      <c r="I13349" s="18">
        <v>26600</v>
      </c>
      <c r="J13349" s="27">
        <v>28000</v>
      </c>
      <c r="K13349" s="18">
        <f t="shared" si="417"/>
        <v>28000</v>
      </c>
      <c r="L13349" s="27">
        <v>26600</v>
      </c>
      <c r="M13349" s="36">
        <v>0</v>
      </c>
      <c r="T13349" s="41">
        <v>0</v>
      </c>
      <c r="U13349" s="41">
        <v>0</v>
      </c>
      <c r="V13349" s="42" t="s">
        <v>113</v>
      </c>
      <c r="W13349" s="42">
        <v>28000</v>
      </c>
      <c r="X13349" s="42">
        <v>28000</v>
      </c>
    </row>
    <row r="13350" spans="1:24">
      <c r="A13350" s="27" t="s">
        <v>23917</v>
      </c>
      <c r="B13350" s="28" t="s">
        <v>19890</v>
      </c>
      <c r="C13350" s="27" t="s">
        <v>23918</v>
      </c>
      <c r="D13350" s="27" t="s">
        <v>17558</v>
      </c>
      <c r="E13350" s="29">
        <v>32754</v>
      </c>
      <c r="F13350" s="27">
        <v>12</v>
      </c>
      <c r="G13350" s="18">
        <v>57007</v>
      </c>
      <c r="H13350" s="27">
        <f t="shared" si="416"/>
        <v>57007</v>
      </c>
      <c r="I13350" s="18">
        <v>54156.65</v>
      </c>
      <c r="J13350" s="27">
        <v>57007</v>
      </c>
      <c r="K13350" s="18">
        <f t="shared" si="417"/>
        <v>57007</v>
      </c>
      <c r="L13350" s="27">
        <v>54156.65</v>
      </c>
      <c r="M13350" s="36">
        <v>0</v>
      </c>
      <c r="T13350" s="41">
        <v>0</v>
      </c>
      <c r="U13350" s="41">
        <v>0</v>
      </c>
      <c r="V13350" s="42" t="s">
        <v>113</v>
      </c>
      <c r="W13350" s="42">
        <v>57007</v>
      </c>
      <c r="X13350" s="42">
        <v>57007</v>
      </c>
    </row>
    <row r="13351" spans="1:24">
      <c r="A13351" s="27" t="s">
        <v>23919</v>
      </c>
      <c r="B13351" s="28" t="s">
        <v>19890</v>
      </c>
      <c r="C13351" s="27" t="s">
        <v>23920</v>
      </c>
      <c r="D13351" s="27" t="s">
        <v>17558</v>
      </c>
      <c r="E13351" s="29">
        <v>32754</v>
      </c>
      <c r="F13351" s="27">
        <v>12</v>
      </c>
      <c r="G13351" s="18">
        <v>27475</v>
      </c>
      <c r="H13351" s="27">
        <f t="shared" si="416"/>
        <v>27475</v>
      </c>
      <c r="I13351" s="18">
        <v>26101.25</v>
      </c>
      <c r="J13351" s="27">
        <v>27475</v>
      </c>
      <c r="K13351" s="18">
        <f t="shared" si="417"/>
        <v>27475</v>
      </c>
      <c r="L13351" s="27">
        <v>26101.25</v>
      </c>
      <c r="M13351" s="36">
        <v>0</v>
      </c>
      <c r="T13351" s="41">
        <v>0</v>
      </c>
      <c r="U13351" s="41">
        <v>0</v>
      </c>
      <c r="V13351" s="42" t="s">
        <v>113</v>
      </c>
      <c r="W13351" s="42">
        <v>27475</v>
      </c>
      <c r="X13351" s="42">
        <v>27475</v>
      </c>
    </row>
    <row r="13352" spans="1:24">
      <c r="A13352" s="27" t="s">
        <v>23921</v>
      </c>
      <c r="B13352" s="28" t="s">
        <v>19890</v>
      </c>
      <c r="C13352" s="27" t="s">
        <v>23922</v>
      </c>
      <c r="D13352" s="27" t="s">
        <v>23581</v>
      </c>
      <c r="E13352" s="29">
        <v>32754</v>
      </c>
      <c r="F13352" s="27">
        <v>12</v>
      </c>
      <c r="G13352" s="18">
        <v>2829</v>
      </c>
      <c r="H13352" s="27">
        <f t="shared" si="416"/>
        <v>2829</v>
      </c>
      <c r="I13352" s="18">
        <v>2829</v>
      </c>
      <c r="J13352" s="27">
        <v>0</v>
      </c>
      <c r="K13352" s="18">
        <f t="shared" si="417"/>
        <v>0</v>
      </c>
      <c r="L13352" s="27">
        <v>0</v>
      </c>
      <c r="M13352" s="36">
        <v>0</v>
      </c>
      <c r="Q13352" s="16" t="s">
        <v>19522</v>
      </c>
      <c r="R13352" s="16">
        <v>2829</v>
      </c>
      <c r="S13352" s="16">
        <v>2829</v>
      </c>
      <c r="T13352" s="41">
        <v>0</v>
      </c>
      <c r="U13352" s="41">
        <v>0</v>
      </c>
      <c r="V13352" s="42" t="s">
        <v>113</v>
      </c>
      <c r="W13352" s="42">
        <v>0</v>
      </c>
      <c r="X13352" s="42">
        <v>0</v>
      </c>
    </row>
    <row r="13353" spans="1:24">
      <c r="A13353" s="27" t="s">
        <v>23923</v>
      </c>
      <c r="B13353" s="28" t="s">
        <v>19890</v>
      </c>
      <c r="C13353" s="27" t="s">
        <v>23924</v>
      </c>
      <c r="D13353" s="27" t="s">
        <v>23581</v>
      </c>
      <c r="E13353" s="29">
        <v>32754</v>
      </c>
      <c r="F13353" s="27">
        <v>12</v>
      </c>
      <c r="G13353" s="18">
        <v>5463</v>
      </c>
      <c r="H13353" s="27">
        <f t="shared" si="416"/>
        <v>5463</v>
      </c>
      <c r="I13353" s="18">
        <v>5189.8500000000004</v>
      </c>
      <c r="J13353" s="27">
        <v>0</v>
      </c>
      <c r="K13353" s="18">
        <f t="shared" si="417"/>
        <v>0</v>
      </c>
      <c r="L13353" s="27">
        <v>0</v>
      </c>
      <c r="M13353" s="36">
        <v>0</v>
      </c>
      <c r="Q13353" s="16" t="s">
        <v>19522</v>
      </c>
      <c r="R13353" s="16">
        <v>5463</v>
      </c>
      <c r="S13353" s="16">
        <v>5189.8500000000004</v>
      </c>
      <c r="T13353" s="41">
        <v>0</v>
      </c>
      <c r="U13353" s="41">
        <v>0</v>
      </c>
      <c r="V13353" s="42" t="s">
        <v>113</v>
      </c>
      <c r="W13353" s="42">
        <v>0</v>
      </c>
      <c r="X13353" s="42">
        <v>0</v>
      </c>
    </row>
    <row r="13354" spans="1:24">
      <c r="A13354" s="27" t="s">
        <v>23925</v>
      </c>
      <c r="B13354" s="28" t="s">
        <v>19890</v>
      </c>
      <c r="C13354" s="27" t="s">
        <v>23922</v>
      </c>
      <c r="D13354" s="27" t="s">
        <v>17558</v>
      </c>
      <c r="E13354" s="29">
        <v>32754</v>
      </c>
      <c r="F13354" s="27">
        <v>12</v>
      </c>
      <c r="G13354" s="18">
        <v>5232</v>
      </c>
      <c r="H13354" s="27">
        <f t="shared" si="416"/>
        <v>5232</v>
      </c>
      <c r="I13354" s="18">
        <v>4970.3999999999996</v>
      </c>
      <c r="J13354" s="27">
        <v>5232</v>
      </c>
      <c r="K13354" s="18">
        <f t="shared" si="417"/>
        <v>5232</v>
      </c>
      <c r="L13354" s="27">
        <v>4970.3999999999996</v>
      </c>
      <c r="M13354" s="36">
        <v>0</v>
      </c>
      <c r="T13354" s="41">
        <v>0</v>
      </c>
      <c r="U13354" s="41">
        <v>0</v>
      </c>
      <c r="V13354" s="42" t="s">
        <v>113</v>
      </c>
      <c r="W13354" s="42">
        <v>5232</v>
      </c>
      <c r="X13354" s="42">
        <v>5232</v>
      </c>
    </row>
    <row r="13355" spans="1:24">
      <c r="A13355" s="27" t="s">
        <v>23926</v>
      </c>
      <c r="B13355" s="28" t="s">
        <v>19890</v>
      </c>
      <c r="C13355" s="27" t="s">
        <v>23927</v>
      </c>
      <c r="D13355" s="27" t="s">
        <v>17558</v>
      </c>
      <c r="E13355" s="29">
        <v>32754</v>
      </c>
      <c r="F13355" s="27">
        <v>12</v>
      </c>
      <c r="G13355" s="18">
        <v>8996</v>
      </c>
      <c r="H13355" s="27">
        <f t="shared" si="416"/>
        <v>8996</v>
      </c>
      <c r="I13355" s="18">
        <v>8546.2000000000007</v>
      </c>
      <c r="J13355" s="27">
        <v>8996</v>
      </c>
      <c r="K13355" s="18">
        <f t="shared" si="417"/>
        <v>8996</v>
      </c>
      <c r="L13355" s="27">
        <v>8546.2000000000007</v>
      </c>
      <c r="M13355" s="36">
        <v>0</v>
      </c>
      <c r="T13355" s="41">
        <v>0</v>
      </c>
      <c r="U13355" s="41">
        <v>0</v>
      </c>
      <c r="V13355" s="42" t="s">
        <v>113</v>
      </c>
      <c r="W13355" s="42">
        <v>8996</v>
      </c>
      <c r="X13355" s="42">
        <v>8996</v>
      </c>
    </row>
    <row r="13356" spans="1:24">
      <c r="A13356" s="27" t="s">
        <v>23928</v>
      </c>
      <c r="B13356" s="28" t="s">
        <v>19890</v>
      </c>
      <c r="C13356" s="27" t="s">
        <v>23717</v>
      </c>
      <c r="D13356" s="27" t="s">
        <v>17558</v>
      </c>
      <c r="E13356" s="29">
        <v>32754</v>
      </c>
      <c r="F13356" s="27">
        <v>12</v>
      </c>
      <c r="G13356" s="18">
        <v>10757</v>
      </c>
      <c r="H13356" s="27">
        <f t="shared" si="416"/>
        <v>10757</v>
      </c>
      <c r="I13356" s="18">
        <v>10219.15</v>
      </c>
      <c r="J13356" s="27">
        <v>10757</v>
      </c>
      <c r="K13356" s="18">
        <f t="shared" si="417"/>
        <v>10757</v>
      </c>
      <c r="L13356" s="27">
        <v>10219.15</v>
      </c>
      <c r="M13356" s="36">
        <v>0</v>
      </c>
      <c r="T13356" s="41">
        <v>0</v>
      </c>
      <c r="U13356" s="41">
        <v>0</v>
      </c>
      <c r="V13356" s="42" t="s">
        <v>113</v>
      </c>
      <c r="W13356" s="42">
        <v>10757</v>
      </c>
      <c r="X13356" s="42">
        <v>10757</v>
      </c>
    </row>
    <row r="13357" spans="1:24">
      <c r="A13357" s="27" t="s">
        <v>23929</v>
      </c>
      <c r="B13357" s="28" t="s">
        <v>19890</v>
      </c>
      <c r="C13357" s="27" t="s">
        <v>23930</v>
      </c>
      <c r="D13357" s="27" t="s">
        <v>17558</v>
      </c>
      <c r="E13357" s="29">
        <v>32754</v>
      </c>
      <c r="F13357" s="27">
        <v>12</v>
      </c>
      <c r="G13357" s="18">
        <v>1468</v>
      </c>
      <c r="H13357" s="27">
        <f t="shared" si="416"/>
        <v>1468</v>
      </c>
      <c r="I13357" s="18">
        <v>1468</v>
      </c>
      <c r="J13357" s="27">
        <v>1468</v>
      </c>
      <c r="K13357" s="18">
        <f t="shared" si="417"/>
        <v>1468</v>
      </c>
      <c r="L13357" s="27">
        <v>1468</v>
      </c>
      <c r="M13357" s="36">
        <v>0</v>
      </c>
      <c r="T13357" s="41">
        <v>0</v>
      </c>
      <c r="U13357" s="41">
        <v>0</v>
      </c>
      <c r="V13357" s="42" t="s">
        <v>113</v>
      </c>
      <c r="W13357" s="42">
        <v>1468</v>
      </c>
      <c r="X13357" s="42">
        <v>1468</v>
      </c>
    </row>
    <row r="13358" spans="1:24">
      <c r="A13358" s="27" t="s">
        <v>23931</v>
      </c>
      <c r="B13358" s="28" t="s">
        <v>19890</v>
      </c>
      <c r="C13358" s="27" t="s">
        <v>23932</v>
      </c>
      <c r="D13358" s="27" t="s">
        <v>17558</v>
      </c>
      <c r="E13358" s="29">
        <v>32754</v>
      </c>
      <c r="F13358" s="27">
        <v>12</v>
      </c>
      <c r="G13358" s="18">
        <v>3160</v>
      </c>
      <c r="H13358" s="27">
        <f t="shared" si="416"/>
        <v>3160</v>
      </c>
      <c r="I13358" s="18">
        <v>3160</v>
      </c>
      <c r="J13358" s="27">
        <v>3160</v>
      </c>
      <c r="K13358" s="18">
        <f t="shared" si="417"/>
        <v>3160</v>
      </c>
      <c r="L13358" s="27">
        <v>3160</v>
      </c>
      <c r="M13358" s="36">
        <v>0</v>
      </c>
      <c r="T13358" s="41">
        <v>0</v>
      </c>
      <c r="U13358" s="41">
        <v>0</v>
      </c>
      <c r="V13358" s="42" t="s">
        <v>113</v>
      </c>
      <c r="W13358" s="42">
        <v>3160</v>
      </c>
      <c r="X13358" s="42">
        <v>3160</v>
      </c>
    </row>
    <row r="13359" spans="1:24">
      <c r="A13359" s="27" t="s">
        <v>23933</v>
      </c>
      <c r="B13359" s="28" t="s">
        <v>19890</v>
      </c>
      <c r="C13359" s="27" t="s">
        <v>23934</v>
      </c>
      <c r="D13359" s="27" t="s">
        <v>17558</v>
      </c>
      <c r="E13359" s="29">
        <v>32754</v>
      </c>
      <c r="F13359" s="27">
        <v>12</v>
      </c>
      <c r="G13359" s="18">
        <v>7847</v>
      </c>
      <c r="H13359" s="27">
        <f t="shared" si="416"/>
        <v>7847</v>
      </c>
      <c r="I13359" s="18">
        <v>7454.65</v>
      </c>
      <c r="J13359" s="27">
        <v>7847</v>
      </c>
      <c r="K13359" s="18">
        <f t="shared" si="417"/>
        <v>7847</v>
      </c>
      <c r="L13359" s="27">
        <v>7454.65</v>
      </c>
      <c r="M13359" s="36">
        <v>0</v>
      </c>
      <c r="T13359" s="41">
        <v>0</v>
      </c>
      <c r="U13359" s="41">
        <v>0</v>
      </c>
      <c r="V13359" s="42" t="s">
        <v>113</v>
      </c>
      <c r="W13359" s="42">
        <v>7847</v>
      </c>
      <c r="X13359" s="42">
        <v>7847</v>
      </c>
    </row>
    <row r="13360" spans="1:24">
      <c r="A13360" s="27" t="s">
        <v>23935</v>
      </c>
      <c r="B13360" s="28" t="s">
        <v>19890</v>
      </c>
      <c r="C13360" s="27" t="s">
        <v>23936</v>
      </c>
      <c r="D13360" s="27" t="s">
        <v>17558</v>
      </c>
      <c r="E13360" s="29">
        <v>32754</v>
      </c>
      <c r="F13360" s="27">
        <v>12</v>
      </c>
      <c r="G13360" s="18">
        <v>5142</v>
      </c>
      <c r="H13360" s="27">
        <f t="shared" si="416"/>
        <v>5142</v>
      </c>
      <c r="I13360" s="18">
        <v>4884.8999999999996</v>
      </c>
      <c r="J13360" s="27">
        <v>5142</v>
      </c>
      <c r="K13360" s="18">
        <f t="shared" si="417"/>
        <v>5142</v>
      </c>
      <c r="L13360" s="27">
        <v>4884.8999999999996</v>
      </c>
      <c r="M13360" s="36">
        <v>0</v>
      </c>
      <c r="T13360" s="41">
        <v>0</v>
      </c>
      <c r="U13360" s="41">
        <v>0</v>
      </c>
      <c r="V13360" s="42" t="s">
        <v>113</v>
      </c>
      <c r="W13360" s="42">
        <v>5142</v>
      </c>
      <c r="X13360" s="42">
        <v>5142</v>
      </c>
    </row>
    <row r="13361" spans="1:24">
      <c r="A13361" s="27" t="s">
        <v>23937</v>
      </c>
      <c r="B13361" s="28" t="s">
        <v>19890</v>
      </c>
      <c r="C13361" s="27" t="s">
        <v>23938</v>
      </c>
      <c r="D13361" s="27" t="s">
        <v>17558</v>
      </c>
      <c r="E13361" s="29">
        <v>32754</v>
      </c>
      <c r="F13361" s="27">
        <v>12</v>
      </c>
      <c r="G13361" s="18">
        <v>83835</v>
      </c>
      <c r="H13361" s="27">
        <f t="shared" si="416"/>
        <v>83835</v>
      </c>
      <c r="I13361" s="18">
        <v>79643.25</v>
      </c>
      <c r="J13361" s="27">
        <v>83835</v>
      </c>
      <c r="K13361" s="18">
        <f t="shared" si="417"/>
        <v>83835</v>
      </c>
      <c r="L13361" s="27">
        <v>79643.25</v>
      </c>
      <c r="M13361" s="36">
        <v>0</v>
      </c>
      <c r="T13361" s="41">
        <v>0</v>
      </c>
      <c r="U13361" s="41">
        <v>0</v>
      </c>
      <c r="V13361" s="42" t="s">
        <v>113</v>
      </c>
      <c r="W13361" s="42">
        <v>83835</v>
      </c>
      <c r="X13361" s="42">
        <v>83835</v>
      </c>
    </row>
    <row r="13362" spans="1:24">
      <c r="A13362" s="27" t="s">
        <v>23939</v>
      </c>
      <c r="B13362" s="28" t="s">
        <v>19890</v>
      </c>
      <c r="C13362" s="27" t="s">
        <v>23940</v>
      </c>
      <c r="D13362" s="27" t="s">
        <v>230</v>
      </c>
      <c r="E13362" s="29">
        <v>32754</v>
      </c>
      <c r="F13362" s="27">
        <v>12</v>
      </c>
      <c r="G13362" s="18">
        <v>13112</v>
      </c>
      <c r="H13362" s="27">
        <f t="shared" si="416"/>
        <v>13112</v>
      </c>
      <c r="I13362" s="18">
        <v>12456.4</v>
      </c>
      <c r="J13362" s="27">
        <v>0</v>
      </c>
      <c r="K13362" s="18">
        <f t="shared" si="417"/>
        <v>0</v>
      </c>
      <c r="L13362" s="27">
        <v>0</v>
      </c>
      <c r="M13362" s="36">
        <v>0</v>
      </c>
      <c r="Q13362" s="16" t="s">
        <v>19522</v>
      </c>
      <c r="R13362" s="16">
        <v>13112</v>
      </c>
      <c r="S13362" s="16">
        <v>12456.4</v>
      </c>
      <c r="T13362" s="41">
        <v>0</v>
      </c>
      <c r="U13362" s="41">
        <v>0</v>
      </c>
      <c r="V13362" s="42" t="s">
        <v>113</v>
      </c>
      <c r="W13362" s="42">
        <v>0</v>
      </c>
      <c r="X13362" s="42">
        <v>0</v>
      </c>
    </row>
    <row r="13363" spans="1:24">
      <c r="A13363" s="27" t="s">
        <v>23941</v>
      </c>
      <c r="B13363" s="28" t="s">
        <v>19890</v>
      </c>
      <c r="C13363" s="27" t="s">
        <v>23942</v>
      </c>
      <c r="D13363" s="27" t="s">
        <v>17558</v>
      </c>
      <c r="E13363" s="29">
        <v>32754</v>
      </c>
      <c r="F13363" s="27">
        <v>12</v>
      </c>
      <c r="G13363" s="18">
        <v>10250</v>
      </c>
      <c r="H13363" s="27">
        <f t="shared" si="416"/>
        <v>10250</v>
      </c>
      <c r="I13363" s="18">
        <v>9737.5</v>
      </c>
      <c r="J13363" s="27">
        <v>10250</v>
      </c>
      <c r="K13363" s="18">
        <f t="shared" si="417"/>
        <v>10250</v>
      </c>
      <c r="L13363" s="27">
        <v>9737.5</v>
      </c>
      <c r="M13363" s="36">
        <v>0</v>
      </c>
      <c r="T13363" s="41">
        <v>0</v>
      </c>
      <c r="U13363" s="41">
        <v>0</v>
      </c>
      <c r="V13363" s="42" t="s">
        <v>113</v>
      </c>
      <c r="W13363" s="42">
        <v>10250</v>
      </c>
      <c r="X13363" s="42">
        <v>10250</v>
      </c>
    </row>
    <row r="13364" spans="1:24">
      <c r="A13364" s="27" t="s">
        <v>23943</v>
      </c>
      <c r="B13364" s="28" t="s">
        <v>19890</v>
      </c>
      <c r="C13364" s="27" t="s">
        <v>23944</v>
      </c>
      <c r="D13364" s="27" t="s">
        <v>230</v>
      </c>
      <c r="E13364" s="29">
        <v>32754</v>
      </c>
      <c r="F13364" s="27">
        <v>12</v>
      </c>
      <c r="G13364" s="18">
        <v>7316</v>
      </c>
      <c r="H13364" s="27">
        <f t="shared" si="416"/>
        <v>7316</v>
      </c>
      <c r="I13364" s="18">
        <v>6950.2</v>
      </c>
      <c r="J13364" s="27">
        <v>0</v>
      </c>
      <c r="K13364" s="18">
        <f t="shared" si="417"/>
        <v>0</v>
      </c>
      <c r="L13364" s="27">
        <v>0</v>
      </c>
      <c r="M13364" s="36">
        <v>0</v>
      </c>
      <c r="Q13364" s="16" t="s">
        <v>19522</v>
      </c>
      <c r="R13364" s="16">
        <v>7316</v>
      </c>
      <c r="S13364" s="16">
        <v>6950.2</v>
      </c>
      <c r="T13364" s="41">
        <v>0</v>
      </c>
      <c r="U13364" s="41">
        <v>0</v>
      </c>
      <c r="V13364" s="42" t="s">
        <v>113</v>
      </c>
      <c r="W13364" s="42">
        <v>0</v>
      </c>
      <c r="X13364" s="42">
        <v>0</v>
      </c>
    </row>
    <row r="13365" spans="1:24">
      <c r="A13365" s="27" t="s">
        <v>23945</v>
      </c>
      <c r="B13365" s="28" t="s">
        <v>19890</v>
      </c>
      <c r="C13365" s="27" t="s">
        <v>3849</v>
      </c>
      <c r="D13365" s="27" t="s">
        <v>230</v>
      </c>
      <c r="E13365" s="29">
        <v>32754</v>
      </c>
      <c r="F13365" s="27">
        <v>12</v>
      </c>
      <c r="G13365" s="18">
        <v>12314</v>
      </c>
      <c r="H13365" s="27">
        <f t="shared" si="416"/>
        <v>12314</v>
      </c>
      <c r="I13365" s="18">
        <v>11698.3</v>
      </c>
      <c r="J13365" s="27">
        <v>0</v>
      </c>
      <c r="K13365" s="18">
        <f t="shared" si="417"/>
        <v>0</v>
      </c>
      <c r="L13365" s="27">
        <v>0</v>
      </c>
      <c r="M13365" s="36">
        <v>0</v>
      </c>
      <c r="Q13365" s="16" t="s">
        <v>19522</v>
      </c>
      <c r="R13365" s="16">
        <v>12314</v>
      </c>
      <c r="S13365" s="16">
        <v>11698.3</v>
      </c>
      <c r="T13365" s="41">
        <v>0</v>
      </c>
      <c r="U13365" s="41">
        <v>0</v>
      </c>
      <c r="V13365" s="42" t="s">
        <v>113</v>
      </c>
      <c r="W13365" s="42">
        <v>0</v>
      </c>
      <c r="X13365" s="42">
        <v>0</v>
      </c>
    </row>
    <row r="13366" spans="1:24">
      <c r="A13366" s="27" t="s">
        <v>23946</v>
      </c>
      <c r="B13366" s="28" t="s">
        <v>19890</v>
      </c>
      <c r="C13366" s="27" t="s">
        <v>19216</v>
      </c>
      <c r="D13366" s="27" t="s">
        <v>17558</v>
      </c>
      <c r="E13366" s="29">
        <v>32754</v>
      </c>
      <c r="F13366" s="27">
        <v>12</v>
      </c>
      <c r="G13366" s="18">
        <v>2906</v>
      </c>
      <c r="H13366" s="27">
        <f t="shared" si="416"/>
        <v>2906</v>
      </c>
      <c r="I13366" s="18">
        <v>2906</v>
      </c>
      <c r="J13366" s="27">
        <v>2906</v>
      </c>
      <c r="K13366" s="18">
        <f t="shared" si="417"/>
        <v>2906</v>
      </c>
      <c r="L13366" s="27">
        <v>2906</v>
      </c>
      <c r="M13366" s="36">
        <v>0</v>
      </c>
      <c r="T13366" s="41">
        <v>0</v>
      </c>
      <c r="U13366" s="41">
        <v>0</v>
      </c>
      <c r="V13366" s="42" t="s">
        <v>113</v>
      </c>
      <c r="W13366" s="42">
        <v>2906</v>
      </c>
      <c r="X13366" s="42">
        <v>2906</v>
      </c>
    </row>
    <row r="13367" spans="1:24">
      <c r="A13367" s="27" t="s">
        <v>23947</v>
      </c>
      <c r="B13367" s="28" t="s">
        <v>19890</v>
      </c>
      <c r="C13367" s="27" t="s">
        <v>23948</v>
      </c>
      <c r="D13367" s="27" t="s">
        <v>230</v>
      </c>
      <c r="E13367" s="29">
        <v>32754</v>
      </c>
      <c r="F13367" s="27">
        <v>12</v>
      </c>
      <c r="G13367" s="18">
        <v>6466</v>
      </c>
      <c r="H13367" s="27">
        <f t="shared" si="416"/>
        <v>6466</v>
      </c>
      <c r="I13367" s="18">
        <v>6142.7</v>
      </c>
      <c r="J13367" s="27">
        <v>0</v>
      </c>
      <c r="K13367" s="18">
        <f t="shared" si="417"/>
        <v>0</v>
      </c>
      <c r="L13367" s="27">
        <v>0</v>
      </c>
      <c r="M13367" s="36">
        <v>0</v>
      </c>
      <c r="Q13367" s="16" t="s">
        <v>19522</v>
      </c>
      <c r="R13367" s="16">
        <v>6466</v>
      </c>
      <c r="S13367" s="16">
        <v>6142.7</v>
      </c>
      <c r="T13367" s="41">
        <v>0</v>
      </c>
      <c r="U13367" s="41">
        <v>0</v>
      </c>
      <c r="V13367" s="42" t="s">
        <v>113</v>
      </c>
      <c r="W13367" s="42">
        <v>0</v>
      </c>
      <c r="X13367" s="42">
        <v>0</v>
      </c>
    </row>
    <row r="13368" spans="1:24">
      <c r="A13368" s="27" t="s">
        <v>23949</v>
      </c>
      <c r="B13368" s="28" t="s">
        <v>19890</v>
      </c>
      <c r="C13368" s="27" t="s">
        <v>23950</v>
      </c>
      <c r="D13368" s="27" t="s">
        <v>17558</v>
      </c>
      <c r="E13368" s="29">
        <v>32754</v>
      </c>
      <c r="F13368" s="27">
        <v>12</v>
      </c>
      <c r="G13368" s="18">
        <v>4359</v>
      </c>
      <c r="H13368" s="27">
        <f t="shared" si="416"/>
        <v>4359</v>
      </c>
      <c r="I13368" s="18">
        <v>4359</v>
      </c>
      <c r="J13368" s="27">
        <v>4359</v>
      </c>
      <c r="K13368" s="18">
        <f t="shared" si="417"/>
        <v>4359</v>
      </c>
      <c r="L13368" s="27">
        <v>4359</v>
      </c>
      <c r="M13368" s="36">
        <v>0</v>
      </c>
      <c r="T13368" s="41">
        <v>0</v>
      </c>
      <c r="U13368" s="41">
        <v>0</v>
      </c>
      <c r="V13368" s="42" t="s">
        <v>113</v>
      </c>
      <c r="W13368" s="42">
        <v>4359</v>
      </c>
      <c r="X13368" s="42">
        <v>4359</v>
      </c>
    </row>
    <row r="13369" spans="1:24">
      <c r="A13369" s="27" t="s">
        <v>23951</v>
      </c>
      <c r="B13369" s="28" t="s">
        <v>19890</v>
      </c>
      <c r="C13369" s="27" t="s">
        <v>23952</v>
      </c>
      <c r="D13369" s="27" t="s">
        <v>17558</v>
      </c>
      <c r="E13369" s="29">
        <v>32754</v>
      </c>
      <c r="F13369" s="27">
        <v>12</v>
      </c>
      <c r="G13369" s="18">
        <v>1275</v>
      </c>
      <c r="H13369" s="27">
        <f t="shared" si="416"/>
        <v>1275</v>
      </c>
      <c r="I13369" s="18">
        <v>1275</v>
      </c>
      <c r="J13369" s="27">
        <v>1275</v>
      </c>
      <c r="K13369" s="18">
        <f t="shared" si="417"/>
        <v>1275</v>
      </c>
      <c r="L13369" s="27">
        <v>1275</v>
      </c>
      <c r="M13369" s="36">
        <v>0</v>
      </c>
      <c r="T13369" s="41">
        <v>0</v>
      </c>
      <c r="U13369" s="41">
        <v>0</v>
      </c>
      <c r="V13369" s="42" t="s">
        <v>113</v>
      </c>
      <c r="W13369" s="42">
        <v>1275</v>
      </c>
      <c r="X13369" s="42">
        <v>1275</v>
      </c>
    </row>
    <row r="13370" spans="1:24">
      <c r="A13370" s="27" t="s">
        <v>23953</v>
      </c>
      <c r="B13370" s="28" t="s">
        <v>19890</v>
      </c>
      <c r="C13370" s="27" t="s">
        <v>23954</v>
      </c>
      <c r="D13370" s="27" t="s">
        <v>17558</v>
      </c>
      <c r="E13370" s="29">
        <v>32754</v>
      </c>
      <c r="F13370" s="27">
        <v>12</v>
      </c>
      <c r="G13370" s="18">
        <v>897</v>
      </c>
      <c r="H13370" s="27">
        <f t="shared" si="416"/>
        <v>897</v>
      </c>
      <c r="I13370" s="18">
        <v>897</v>
      </c>
      <c r="J13370" s="27">
        <v>897</v>
      </c>
      <c r="K13370" s="18">
        <f t="shared" si="417"/>
        <v>897</v>
      </c>
      <c r="L13370" s="27">
        <v>897</v>
      </c>
      <c r="M13370" s="36">
        <v>0</v>
      </c>
      <c r="T13370" s="41">
        <v>0</v>
      </c>
      <c r="U13370" s="41">
        <v>0</v>
      </c>
      <c r="V13370" s="42" t="s">
        <v>113</v>
      </c>
      <c r="W13370" s="42">
        <v>897</v>
      </c>
      <c r="X13370" s="42">
        <v>897</v>
      </c>
    </row>
    <row r="13371" spans="1:24">
      <c r="A13371" s="27" t="s">
        <v>23955</v>
      </c>
      <c r="B13371" s="28" t="s">
        <v>19890</v>
      </c>
      <c r="C13371" s="27" t="s">
        <v>23956</v>
      </c>
      <c r="D13371" s="27" t="s">
        <v>17558</v>
      </c>
      <c r="E13371" s="29">
        <v>32754</v>
      </c>
      <c r="F13371" s="27">
        <v>12</v>
      </c>
      <c r="G13371" s="18">
        <v>4270</v>
      </c>
      <c r="H13371" s="27">
        <f t="shared" si="416"/>
        <v>4270</v>
      </c>
      <c r="I13371" s="18">
        <v>4270</v>
      </c>
      <c r="J13371" s="27">
        <v>4270</v>
      </c>
      <c r="K13371" s="18">
        <f t="shared" si="417"/>
        <v>4270</v>
      </c>
      <c r="L13371" s="27">
        <v>4270</v>
      </c>
      <c r="M13371" s="36">
        <v>0</v>
      </c>
      <c r="T13371" s="41">
        <v>0</v>
      </c>
      <c r="U13371" s="41">
        <v>0</v>
      </c>
      <c r="V13371" s="42" t="s">
        <v>113</v>
      </c>
      <c r="W13371" s="42">
        <v>4270</v>
      </c>
      <c r="X13371" s="42">
        <v>4270</v>
      </c>
    </row>
    <row r="13372" spans="1:24">
      <c r="A13372" s="27" t="s">
        <v>23957</v>
      </c>
      <c r="B13372" s="28" t="s">
        <v>19890</v>
      </c>
      <c r="C13372" s="27" t="s">
        <v>23958</v>
      </c>
      <c r="D13372" s="27" t="s">
        <v>17558</v>
      </c>
      <c r="E13372" s="29">
        <v>32754</v>
      </c>
      <c r="F13372" s="27">
        <v>12</v>
      </c>
      <c r="G13372" s="18">
        <v>1512</v>
      </c>
      <c r="H13372" s="27">
        <f t="shared" si="416"/>
        <v>1512</v>
      </c>
      <c r="I13372" s="18">
        <v>1512</v>
      </c>
      <c r="J13372" s="27">
        <v>1512</v>
      </c>
      <c r="K13372" s="18">
        <f t="shared" si="417"/>
        <v>1512</v>
      </c>
      <c r="L13372" s="27">
        <v>1512</v>
      </c>
      <c r="M13372" s="36">
        <v>0</v>
      </c>
      <c r="T13372" s="41">
        <v>0</v>
      </c>
      <c r="U13372" s="41">
        <v>0</v>
      </c>
      <c r="V13372" s="42" t="s">
        <v>113</v>
      </c>
      <c r="W13372" s="42">
        <v>1512</v>
      </c>
      <c r="X13372" s="42">
        <v>1512</v>
      </c>
    </row>
    <row r="13373" spans="1:24">
      <c r="A13373" s="27" t="s">
        <v>23959</v>
      </c>
      <c r="B13373" s="28" t="s">
        <v>19890</v>
      </c>
      <c r="C13373" s="27" t="s">
        <v>23960</v>
      </c>
      <c r="D13373" s="27" t="s">
        <v>17558</v>
      </c>
      <c r="E13373" s="29">
        <v>32754</v>
      </c>
      <c r="F13373" s="27">
        <v>12</v>
      </c>
      <c r="G13373" s="18">
        <v>840</v>
      </c>
      <c r="H13373" s="27">
        <f t="shared" si="416"/>
        <v>840</v>
      </c>
      <c r="I13373" s="18">
        <v>840</v>
      </c>
      <c r="J13373" s="27">
        <v>840</v>
      </c>
      <c r="K13373" s="18">
        <f t="shared" si="417"/>
        <v>840</v>
      </c>
      <c r="L13373" s="27">
        <v>840</v>
      </c>
      <c r="M13373" s="36">
        <v>0</v>
      </c>
      <c r="T13373" s="41">
        <v>0</v>
      </c>
      <c r="U13373" s="41">
        <v>0</v>
      </c>
      <c r="V13373" s="42" t="s">
        <v>113</v>
      </c>
      <c r="W13373" s="42">
        <v>840</v>
      </c>
      <c r="X13373" s="42">
        <v>840</v>
      </c>
    </row>
    <row r="13374" spans="1:24">
      <c r="A13374" s="27" t="s">
        <v>23961</v>
      </c>
      <c r="B13374" s="28" t="s">
        <v>19890</v>
      </c>
      <c r="C13374" s="27" t="s">
        <v>23962</v>
      </c>
      <c r="D13374" s="27" t="s">
        <v>17558</v>
      </c>
      <c r="E13374" s="29">
        <v>32754</v>
      </c>
      <c r="F13374" s="27">
        <v>12</v>
      </c>
      <c r="G13374" s="18">
        <v>7716</v>
      </c>
      <c r="H13374" s="27">
        <f t="shared" si="416"/>
        <v>7716</v>
      </c>
      <c r="I13374" s="18">
        <v>7330.2</v>
      </c>
      <c r="J13374" s="27">
        <v>7716</v>
      </c>
      <c r="K13374" s="18">
        <f t="shared" si="417"/>
        <v>7716</v>
      </c>
      <c r="L13374" s="27">
        <v>7330.2</v>
      </c>
      <c r="M13374" s="36">
        <v>0</v>
      </c>
      <c r="T13374" s="41">
        <v>0</v>
      </c>
      <c r="U13374" s="41">
        <v>0</v>
      </c>
      <c r="V13374" s="42" t="s">
        <v>113</v>
      </c>
      <c r="W13374" s="42">
        <v>7716</v>
      </c>
      <c r="X13374" s="42">
        <v>7716</v>
      </c>
    </row>
    <row r="13375" spans="1:24">
      <c r="A13375" s="27" t="s">
        <v>23963</v>
      </c>
      <c r="B13375" s="28" t="s">
        <v>19890</v>
      </c>
      <c r="C13375" s="27" t="s">
        <v>23964</v>
      </c>
      <c r="D13375" s="27" t="s">
        <v>17558</v>
      </c>
      <c r="E13375" s="29">
        <v>32754</v>
      </c>
      <c r="F13375" s="27">
        <v>12</v>
      </c>
      <c r="G13375" s="18">
        <v>1341</v>
      </c>
      <c r="H13375" s="27">
        <f t="shared" si="416"/>
        <v>1341</v>
      </c>
      <c r="I13375" s="18">
        <v>1341</v>
      </c>
      <c r="J13375" s="27">
        <v>1341</v>
      </c>
      <c r="K13375" s="18">
        <f t="shared" si="417"/>
        <v>1341</v>
      </c>
      <c r="L13375" s="27">
        <v>1341</v>
      </c>
      <c r="M13375" s="36">
        <v>0</v>
      </c>
      <c r="T13375" s="41">
        <v>0</v>
      </c>
      <c r="U13375" s="41">
        <v>0</v>
      </c>
      <c r="V13375" s="42" t="s">
        <v>113</v>
      </c>
      <c r="W13375" s="42">
        <v>1341</v>
      </c>
      <c r="X13375" s="42">
        <v>1341</v>
      </c>
    </row>
    <row r="13376" spans="1:24">
      <c r="A13376" s="27" t="s">
        <v>23965</v>
      </c>
      <c r="B13376" s="28" t="s">
        <v>19890</v>
      </c>
      <c r="C13376" s="27" t="s">
        <v>12289</v>
      </c>
      <c r="D13376" s="27" t="s">
        <v>17558</v>
      </c>
      <c r="E13376" s="29">
        <v>32754</v>
      </c>
      <c r="F13376" s="27">
        <v>12</v>
      </c>
      <c r="G13376" s="18">
        <v>1173</v>
      </c>
      <c r="H13376" s="27">
        <f t="shared" si="416"/>
        <v>1173</v>
      </c>
      <c r="I13376" s="18">
        <v>1173</v>
      </c>
      <c r="J13376" s="27">
        <v>1173</v>
      </c>
      <c r="K13376" s="18">
        <f t="shared" si="417"/>
        <v>1173</v>
      </c>
      <c r="L13376" s="27">
        <v>1173</v>
      </c>
      <c r="M13376" s="36">
        <v>0</v>
      </c>
      <c r="T13376" s="41">
        <v>0</v>
      </c>
      <c r="U13376" s="41">
        <v>0</v>
      </c>
      <c r="V13376" s="42" t="s">
        <v>113</v>
      </c>
      <c r="W13376" s="42">
        <v>1173</v>
      </c>
      <c r="X13376" s="42">
        <v>1173</v>
      </c>
    </row>
    <row r="13377" spans="1:24">
      <c r="A13377" s="27" t="s">
        <v>23966</v>
      </c>
      <c r="B13377" s="28" t="s">
        <v>19890</v>
      </c>
      <c r="C13377" s="27" t="s">
        <v>23967</v>
      </c>
      <c r="D13377" s="27" t="s">
        <v>17558</v>
      </c>
      <c r="E13377" s="29">
        <v>32754</v>
      </c>
      <c r="F13377" s="27">
        <v>12</v>
      </c>
      <c r="G13377" s="18">
        <v>3490</v>
      </c>
      <c r="H13377" s="27">
        <f t="shared" si="416"/>
        <v>3490</v>
      </c>
      <c r="I13377" s="18">
        <v>3490</v>
      </c>
      <c r="J13377" s="27">
        <v>3490</v>
      </c>
      <c r="K13377" s="18">
        <f t="shared" si="417"/>
        <v>3490</v>
      </c>
      <c r="L13377" s="27">
        <v>3490</v>
      </c>
      <c r="M13377" s="36">
        <v>0</v>
      </c>
      <c r="T13377" s="41">
        <v>0</v>
      </c>
      <c r="U13377" s="41">
        <v>0</v>
      </c>
      <c r="V13377" s="42" t="s">
        <v>113</v>
      </c>
      <c r="W13377" s="42">
        <v>3490</v>
      </c>
      <c r="X13377" s="42">
        <v>3490</v>
      </c>
    </row>
    <row r="13378" spans="1:24">
      <c r="A13378" s="27" t="s">
        <v>23968</v>
      </c>
      <c r="B13378" s="28" t="s">
        <v>19890</v>
      </c>
      <c r="C13378" s="27" t="s">
        <v>23969</v>
      </c>
      <c r="D13378" s="27" t="s">
        <v>17578</v>
      </c>
      <c r="E13378" s="29">
        <v>32754</v>
      </c>
      <c r="F13378" s="27">
        <v>12</v>
      </c>
      <c r="G13378" s="18">
        <v>3186</v>
      </c>
      <c r="H13378" s="27">
        <f t="shared" si="416"/>
        <v>3186</v>
      </c>
      <c r="I13378" s="18">
        <v>3186</v>
      </c>
      <c r="J13378" s="27">
        <v>0</v>
      </c>
      <c r="K13378" s="18">
        <f t="shared" si="417"/>
        <v>0</v>
      </c>
      <c r="L13378" s="27">
        <v>0</v>
      </c>
      <c r="M13378" s="36">
        <v>0</v>
      </c>
      <c r="Q13378" s="16" t="s">
        <v>19522</v>
      </c>
      <c r="R13378" s="16">
        <v>3186</v>
      </c>
      <c r="S13378" s="16">
        <v>3186</v>
      </c>
      <c r="T13378" s="41">
        <v>0</v>
      </c>
      <c r="U13378" s="41">
        <v>0</v>
      </c>
      <c r="V13378" s="42" t="s">
        <v>113</v>
      </c>
      <c r="W13378" s="42">
        <v>0</v>
      </c>
      <c r="X13378" s="42">
        <v>0</v>
      </c>
    </row>
    <row r="13379" spans="1:24">
      <c r="A13379" s="27" t="s">
        <v>23970</v>
      </c>
      <c r="B13379" s="28" t="s">
        <v>19890</v>
      </c>
      <c r="C13379" s="27" t="s">
        <v>23971</v>
      </c>
      <c r="D13379" s="27" t="s">
        <v>17558</v>
      </c>
      <c r="E13379" s="29">
        <v>32754</v>
      </c>
      <c r="F13379" s="27">
        <v>12</v>
      </c>
      <c r="G13379" s="18">
        <v>3816</v>
      </c>
      <c r="H13379" s="27">
        <f t="shared" si="416"/>
        <v>3816</v>
      </c>
      <c r="I13379" s="18">
        <v>3816</v>
      </c>
      <c r="J13379" s="27">
        <v>3816</v>
      </c>
      <c r="K13379" s="18">
        <f t="shared" si="417"/>
        <v>3816</v>
      </c>
      <c r="L13379" s="27">
        <v>3816</v>
      </c>
      <c r="M13379" s="36">
        <v>0</v>
      </c>
      <c r="T13379" s="41">
        <v>0</v>
      </c>
      <c r="U13379" s="41">
        <v>0</v>
      </c>
      <c r="V13379" s="42" t="s">
        <v>113</v>
      </c>
      <c r="W13379" s="42">
        <v>3816</v>
      </c>
      <c r="X13379" s="42">
        <v>3816</v>
      </c>
    </row>
    <row r="13380" spans="1:24">
      <c r="A13380" s="27" t="s">
        <v>23972</v>
      </c>
      <c r="B13380" s="28" t="s">
        <v>19890</v>
      </c>
      <c r="C13380" s="27" t="s">
        <v>23973</v>
      </c>
      <c r="D13380" s="27" t="s">
        <v>17558</v>
      </c>
      <c r="E13380" s="29">
        <v>35311</v>
      </c>
      <c r="F13380" s="27">
        <v>12</v>
      </c>
      <c r="G13380" s="18">
        <v>2500</v>
      </c>
      <c r="H13380" s="27">
        <f t="shared" si="416"/>
        <v>2500</v>
      </c>
      <c r="I13380" s="18">
        <v>2500</v>
      </c>
      <c r="J13380" s="27">
        <v>2500</v>
      </c>
      <c r="K13380" s="18">
        <f t="shared" si="417"/>
        <v>2500</v>
      </c>
      <c r="L13380" s="27">
        <v>2500</v>
      </c>
      <c r="M13380" s="36">
        <v>0</v>
      </c>
      <c r="T13380" s="41">
        <v>0</v>
      </c>
      <c r="U13380" s="41">
        <v>0</v>
      </c>
      <c r="V13380" s="42" t="s">
        <v>113</v>
      </c>
      <c r="W13380" s="42">
        <v>2500</v>
      </c>
      <c r="X13380" s="42">
        <v>2500</v>
      </c>
    </row>
    <row r="13381" spans="1:24">
      <c r="A13381" s="27" t="s">
        <v>23974</v>
      </c>
      <c r="B13381" s="28" t="s">
        <v>19890</v>
      </c>
      <c r="C13381" s="27" t="s">
        <v>19437</v>
      </c>
      <c r="D13381" s="27" t="s">
        <v>17558</v>
      </c>
      <c r="E13381" s="29">
        <v>36253</v>
      </c>
      <c r="F13381" s="27">
        <v>12</v>
      </c>
      <c r="G13381" s="18">
        <v>2716</v>
      </c>
      <c r="H13381" s="27">
        <f t="shared" si="416"/>
        <v>2716</v>
      </c>
      <c r="I13381" s="18">
        <v>2716</v>
      </c>
      <c r="J13381" s="27">
        <v>2716</v>
      </c>
      <c r="K13381" s="18">
        <f t="shared" si="417"/>
        <v>2716</v>
      </c>
      <c r="L13381" s="27">
        <v>2716</v>
      </c>
      <c r="M13381" s="36">
        <v>0</v>
      </c>
      <c r="T13381" s="41">
        <v>0</v>
      </c>
      <c r="U13381" s="41">
        <v>0</v>
      </c>
      <c r="V13381" s="42" t="s">
        <v>113</v>
      </c>
      <c r="W13381" s="42">
        <v>2716</v>
      </c>
      <c r="X13381" s="42">
        <v>2716</v>
      </c>
    </row>
    <row r="13382" spans="1:24">
      <c r="A13382" s="27" t="s">
        <v>23975</v>
      </c>
      <c r="B13382" s="28" t="s">
        <v>19890</v>
      </c>
      <c r="C13382" s="27" t="s">
        <v>23973</v>
      </c>
      <c r="D13382" s="27" t="s">
        <v>17558</v>
      </c>
      <c r="E13382" s="29">
        <v>35189</v>
      </c>
      <c r="F13382" s="27">
        <v>12</v>
      </c>
      <c r="G13382" s="18">
        <v>2500</v>
      </c>
      <c r="H13382" s="27">
        <f t="shared" ref="H13382:H13445" si="418">IFERROR(IF(ROUND((G13382-I13382)/G13382,2)&lt;=0.05,G13382,0),0)</f>
        <v>2500</v>
      </c>
      <c r="I13382" s="18">
        <v>2500</v>
      </c>
      <c r="J13382" s="27">
        <v>2500</v>
      </c>
      <c r="K13382" s="18">
        <f t="shared" ref="K13382:K13445" si="419">IFERROR(IF(ROUND((J13382-L13382)/J13382,2)&lt;=0.05,J13382,0),0)</f>
        <v>2500</v>
      </c>
      <c r="L13382" s="27">
        <v>2500</v>
      </c>
      <c r="M13382" s="36">
        <v>0</v>
      </c>
      <c r="T13382" s="41">
        <v>0</v>
      </c>
      <c r="U13382" s="41">
        <v>0</v>
      </c>
      <c r="V13382" s="42" t="s">
        <v>113</v>
      </c>
      <c r="W13382" s="42">
        <v>2500</v>
      </c>
      <c r="X13382" s="42">
        <v>2500</v>
      </c>
    </row>
    <row r="13383" spans="1:24">
      <c r="A13383" s="27" t="s">
        <v>23976</v>
      </c>
      <c r="B13383" s="28" t="s">
        <v>19890</v>
      </c>
      <c r="C13383" s="27" t="s">
        <v>23977</v>
      </c>
      <c r="D13383" s="27" t="s">
        <v>17558</v>
      </c>
      <c r="E13383" s="29">
        <v>37014</v>
      </c>
      <c r="F13383" s="27">
        <v>12</v>
      </c>
      <c r="G13383" s="18">
        <v>14000</v>
      </c>
      <c r="H13383" s="27">
        <f t="shared" si="418"/>
        <v>14000</v>
      </c>
      <c r="I13383" s="18">
        <v>13300</v>
      </c>
      <c r="J13383" s="27">
        <v>14000</v>
      </c>
      <c r="K13383" s="18">
        <f t="shared" si="419"/>
        <v>14000</v>
      </c>
      <c r="L13383" s="27">
        <v>13300</v>
      </c>
      <c r="M13383" s="36">
        <v>0</v>
      </c>
      <c r="T13383" s="41">
        <v>0</v>
      </c>
      <c r="U13383" s="41">
        <v>0</v>
      </c>
      <c r="V13383" s="42" t="s">
        <v>113</v>
      </c>
      <c r="W13383" s="42">
        <v>14000</v>
      </c>
      <c r="X13383" s="42">
        <v>14000</v>
      </c>
    </row>
    <row r="13384" spans="1:24">
      <c r="A13384" s="27" t="s">
        <v>23978</v>
      </c>
      <c r="B13384" s="28" t="s">
        <v>19890</v>
      </c>
      <c r="C13384" s="27" t="s">
        <v>23979</v>
      </c>
      <c r="D13384" s="27" t="s">
        <v>17558</v>
      </c>
      <c r="E13384" s="29">
        <v>37076</v>
      </c>
      <c r="F13384" s="27">
        <v>12</v>
      </c>
      <c r="G13384" s="18">
        <v>5700</v>
      </c>
      <c r="H13384" s="27">
        <f t="shared" si="418"/>
        <v>5700</v>
      </c>
      <c r="I13384" s="18">
        <v>5415</v>
      </c>
      <c r="J13384" s="27">
        <v>5700</v>
      </c>
      <c r="K13384" s="18">
        <f t="shared" si="419"/>
        <v>5700</v>
      </c>
      <c r="L13384" s="27">
        <v>5415</v>
      </c>
      <c r="M13384" s="36">
        <v>0</v>
      </c>
      <c r="T13384" s="41">
        <v>0</v>
      </c>
      <c r="U13384" s="41">
        <v>0</v>
      </c>
      <c r="V13384" s="42" t="s">
        <v>113</v>
      </c>
      <c r="W13384" s="42">
        <v>5700</v>
      </c>
      <c r="X13384" s="42">
        <v>5700</v>
      </c>
    </row>
    <row r="13385" spans="1:24">
      <c r="A13385" s="27" t="s">
        <v>23980</v>
      </c>
      <c r="B13385" s="28" t="s">
        <v>19890</v>
      </c>
      <c r="C13385" s="27" t="s">
        <v>23981</v>
      </c>
      <c r="D13385" s="27" t="s">
        <v>17558</v>
      </c>
      <c r="E13385" s="29">
        <v>37561</v>
      </c>
      <c r="F13385" s="27">
        <v>12</v>
      </c>
      <c r="G13385" s="18">
        <v>89000</v>
      </c>
      <c r="H13385" s="27">
        <f t="shared" si="418"/>
        <v>89000</v>
      </c>
      <c r="I13385" s="18">
        <v>84550</v>
      </c>
      <c r="J13385" s="27">
        <v>89000</v>
      </c>
      <c r="K13385" s="18">
        <f t="shared" si="419"/>
        <v>89000</v>
      </c>
      <c r="L13385" s="27">
        <v>84550</v>
      </c>
      <c r="M13385" s="36">
        <v>0</v>
      </c>
      <c r="T13385" s="41">
        <v>0</v>
      </c>
      <c r="U13385" s="41">
        <v>0</v>
      </c>
      <c r="V13385" s="42" t="s">
        <v>113</v>
      </c>
      <c r="W13385" s="42">
        <v>89000</v>
      </c>
      <c r="X13385" s="42">
        <v>89000</v>
      </c>
    </row>
    <row r="13386" spans="1:24">
      <c r="A13386" s="27" t="s">
        <v>23982</v>
      </c>
      <c r="B13386" s="28" t="s">
        <v>19890</v>
      </c>
      <c r="C13386" s="27" t="s">
        <v>23826</v>
      </c>
      <c r="D13386" s="27" t="s">
        <v>17558</v>
      </c>
      <c r="E13386" s="29">
        <v>38169</v>
      </c>
      <c r="F13386" s="27">
        <v>12</v>
      </c>
      <c r="G13386" s="18">
        <v>12550</v>
      </c>
      <c r="H13386" s="27">
        <f t="shared" si="418"/>
        <v>12550</v>
      </c>
      <c r="I13386" s="18">
        <v>11922.5</v>
      </c>
      <c r="J13386" s="27">
        <v>12550</v>
      </c>
      <c r="K13386" s="18">
        <f t="shared" si="419"/>
        <v>12550</v>
      </c>
      <c r="L13386" s="27">
        <v>11922.5</v>
      </c>
      <c r="M13386" s="36">
        <v>0</v>
      </c>
      <c r="T13386" s="41">
        <v>0</v>
      </c>
      <c r="U13386" s="41">
        <v>0</v>
      </c>
      <c r="V13386" s="42" t="s">
        <v>113</v>
      </c>
      <c r="W13386" s="42">
        <v>12550</v>
      </c>
      <c r="X13386" s="42">
        <v>12550</v>
      </c>
    </row>
    <row r="13387" spans="1:24">
      <c r="A13387" s="27" t="s">
        <v>23983</v>
      </c>
      <c r="B13387" s="28" t="s">
        <v>19890</v>
      </c>
      <c r="C13387" s="27" t="s">
        <v>23984</v>
      </c>
      <c r="D13387" s="27" t="s">
        <v>17558</v>
      </c>
      <c r="E13387" s="29">
        <v>40148</v>
      </c>
      <c r="F13387" s="27">
        <v>12</v>
      </c>
      <c r="G13387" s="18">
        <v>40000</v>
      </c>
      <c r="H13387" s="27">
        <f t="shared" si="418"/>
        <v>0</v>
      </c>
      <c r="I13387" s="18">
        <v>29314.35</v>
      </c>
      <c r="J13387" s="27">
        <v>40000</v>
      </c>
      <c r="K13387" s="18">
        <f t="shared" si="419"/>
        <v>0</v>
      </c>
      <c r="L13387" s="27">
        <v>32209.57</v>
      </c>
      <c r="M13387" s="36">
        <v>2895.22</v>
      </c>
      <c r="T13387" s="41">
        <v>0</v>
      </c>
      <c r="U13387" s="41">
        <v>0</v>
      </c>
      <c r="V13387" s="42" t="s">
        <v>113</v>
      </c>
      <c r="W13387" s="42">
        <v>0</v>
      </c>
      <c r="X13387" s="42">
        <v>40000</v>
      </c>
    </row>
    <row r="13388" spans="1:24">
      <c r="A13388" s="27" t="s">
        <v>23985</v>
      </c>
      <c r="B13388" s="28" t="s">
        <v>19890</v>
      </c>
      <c r="C13388" s="27" t="s">
        <v>23986</v>
      </c>
      <c r="D13388" s="27" t="s">
        <v>17558</v>
      </c>
      <c r="E13388" s="29">
        <v>40148</v>
      </c>
      <c r="F13388" s="27">
        <v>12</v>
      </c>
      <c r="G13388" s="18">
        <v>31322.1</v>
      </c>
      <c r="H13388" s="27">
        <f t="shared" si="418"/>
        <v>0</v>
      </c>
      <c r="I13388" s="18">
        <v>22418.04</v>
      </c>
      <c r="J13388" s="27">
        <v>31322.1</v>
      </c>
      <c r="K13388" s="18">
        <f t="shared" si="419"/>
        <v>0</v>
      </c>
      <c r="L13388" s="27">
        <v>24864.02</v>
      </c>
      <c r="M13388" s="36">
        <v>2445.98</v>
      </c>
      <c r="T13388" s="41">
        <v>0</v>
      </c>
      <c r="U13388" s="41">
        <v>0</v>
      </c>
      <c r="V13388" s="42" t="s">
        <v>113</v>
      </c>
      <c r="W13388" s="42">
        <v>0</v>
      </c>
      <c r="X13388" s="42">
        <v>31322.1</v>
      </c>
    </row>
    <row r="13389" spans="1:24">
      <c r="A13389" s="27" t="s">
        <v>23987</v>
      </c>
      <c r="B13389" s="28" t="s">
        <v>19890</v>
      </c>
      <c r="C13389" s="27" t="s">
        <v>23988</v>
      </c>
      <c r="D13389" s="27" t="s">
        <v>17558</v>
      </c>
      <c r="E13389" s="29">
        <v>40148</v>
      </c>
      <c r="F13389" s="27">
        <v>12</v>
      </c>
      <c r="G13389" s="18">
        <v>15678</v>
      </c>
      <c r="H13389" s="27">
        <f t="shared" si="418"/>
        <v>0</v>
      </c>
      <c r="I13389" s="18">
        <v>11489.78</v>
      </c>
      <c r="J13389" s="27">
        <v>15678</v>
      </c>
      <c r="K13389" s="18">
        <f t="shared" si="419"/>
        <v>0</v>
      </c>
      <c r="L13389" s="27">
        <v>12624.55</v>
      </c>
      <c r="M13389" s="36">
        <v>1134.77</v>
      </c>
      <c r="T13389" s="41">
        <v>0</v>
      </c>
      <c r="U13389" s="41">
        <v>0</v>
      </c>
      <c r="V13389" s="42" t="s">
        <v>113</v>
      </c>
      <c r="W13389" s="42">
        <v>0</v>
      </c>
      <c r="X13389" s="42">
        <v>15678</v>
      </c>
    </row>
    <row r="13390" spans="1:24">
      <c r="A13390" s="27" t="s">
        <v>23989</v>
      </c>
      <c r="B13390" s="28" t="s">
        <v>19890</v>
      </c>
      <c r="C13390" s="27" t="s">
        <v>23990</v>
      </c>
      <c r="D13390" s="27" t="s">
        <v>17558</v>
      </c>
      <c r="E13390" s="29">
        <v>40148</v>
      </c>
      <c r="F13390" s="27">
        <v>12</v>
      </c>
      <c r="G13390" s="18">
        <v>49497.4</v>
      </c>
      <c r="H13390" s="27">
        <f t="shared" si="418"/>
        <v>0</v>
      </c>
      <c r="I13390" s="18">
        <v>35740.51</v>
      </c>
      <c r="J13390" s="27">
        <v>49497.4</v>
      </c>
      <c r="K13390" s="18">
        <f t="shared" si="419"/>
        <v>0</v>
      </c>
      <c r="L13390" s="27">
        <v>39501.18</v>
      </c>
      <c r="M13390" s="36">
        <v>3760.67</v>
      </c>
      <c r="T13390" s="41">
        <v>0</v>
      </c>
      <c r="U13390" s="41">
        <v>0</v>
      </c>
      <c r="V13390" s="42" t="s">
        <v>113</v>
      </c>
      <c r="W13390" s="42">
        <v>0</v>
      </c>
      <c r="X13390" s="42">
        <v>49497.4</v>
      </c>
    </row>
    <row r="13391" spans="1:24">
      <c r="A13391" s="27" t="s">
        <v>23991</v>
      </c>
      <c r="B13391" s="28" t="s">
        <v>19890</v>
      </c>
      <c r="C13391" s="27" t="s">
        <v>19216</v>
      </c>
      <c r="D13391" s="27" t="s">
        <v>17558</v>
      </c>
      <c r="E13391" s="29">
        <v>40148</v>
      </c>
      <c r="F13391" s="27">
        <v>12</v>
      </c>
      <c r="G13391" s="18">
        <v>60858.7</v>
      </c>
      <c r="H13391" s="27">
        <f t="shared" si="418"/>
        <v>0</v>
      </c>
      <c r="I13391" s="18">
        <v>43957.16</v>
      </c>
      <c r="J13391" s="27">
        <v>60858.7</v>
      </c>
      <c r="K13391" s="18">
        <f t="shared" si="419"/>
        <v>0</v>
      </c>
      <c r="L13391" s="27">
        <v>48576.69</v>
      </c>
      <c r="M13391" s="36">
        <v>4619.53</v>
      </c>
      <c r="T13391" s="41">
        <v>0</v>
      </c>
      <c r="U13391" s="41">
        <v>0</v>
      </c>
      <c r="V13391" s="42" t="s">
        <v>113</v>
      </c>
      <c r="W13391" s="42">
        <v>0</v>
      </c>
      <c r="X13391" s="42">
        <v>60858.7</v>
      </c>
    </row>
    <row r="13392" spans="1:24">
      <c r="A13392" s="27" t="s">
        <v>23992</v>
      </c>
      <c r="B13392" s="28" t="s">
        <v>19890</v>
      </c>
      <c r="C13392" s="27" t="s">
        <v>23993</v>
      </c>
      <c r="D13392" s="27" t="s">
        <v>17558</v>
      </c>
      <c r="E13392" s="29">
        <v>40148</v>
      </c>
      <c r="F13392" s="27">
        <v>12</v>
      </c>
      <c r="G13392" s="18">
        <v>172220</v>
      </c>
      <c r="H13392" s="27">
        <f t="shared" si="418"/>
        <v>0</v>
      </c>
      <c r="I13392" s="18">
        <v>125298.75</v>
      </c>
      <c r="J13392" s="27">
        <v>172220</v>
      </c>
      <c r="K13392" s="18">
        <f t="shared" si="419"/>
        <v>0</v>
      </c>
      <c r="L13392" s="27">
        <v>138068.82999999999</v>
      </c>
      <c r="M13392" s="36">
        <v>12770.08</v>
      </c>
      <c r="T13392" s="41">
        <v>0</v>
      </c>
      <c r="U13392" s="41">
        <v>0</v>
      </c>
      <c r="V13392" s="42" t="s">
        <v>113</v>
      </c>
      <c r="W13392" s="42">
        <v>0</v>
      </c>
      <c r="X13392" s="42">
        <v>172220</v>
      </c>
    </row>
    <row r="13393" spans="1:24">
      <c r="A13393" s="27" t="s">
        <v>23994</v>
      </c>
      <c r="B13393" s="28" t="s">
        <v>19890</v>
      </c>
      <c r="C13393" s="27" t="s">
        <v>23894</v>
      </c>
      <c r="D13393" s="27" t="s">
        <v>17558</v>
      </c>
      <c r="E13393" s="29">
        <v>40543</v>
      </c>
      <c r="F13393" s="27">
        <v>12</v>
      </c>
      <c r="G13393" s="18">
        <v>99963.55</v>
      </c>
      <c r="H13393" s="27">
        <f t="shared" si="418"/>
        <v>0</v>
      </c>
      <c r="I13393" s="18">
        <v>75389.19</v>
      </c>
      <c r="J13393" s="27">
        <v>99963.55</v>
      </c>
      <c r="K13393" s="18">
        <f t="shared" si="419"/>
        <v>0</v>
      </c>
      <c r="L13393" s="27">
        <v>80283.240000000005</v>
      </c>
      <c r="M13393" s="36">
        <v>4894.05</v>
      </c>
      <c r="T13393" s="41">
        <v>0</v>
      </c>
      <c r="U13393" s="41">
        <v>0</v>
      </c>
      <c r="V13393" s="42" t="s">
        <v>113</v>
      </c>
      <c r="W13393" s="42">
        <v>0</v>
      </c>
      <c r="X13393" s="42">
        <v>0</v>
      </c>
    </row>
    <row r="13394" spans="1:24">
      <c r="A13394" s="27" t="s">
        <v>23995</v>
      </c>
      <c r="B13394" s="28" t="s">
        <v>19890</v>
      </c>
      <c r="C13394" s="27" t="s">
        <v>23996</v>
      </c>
      <c r="D13394" s="27" t="s">
        <v>17558</v>
      </c>
      <c r="E13394" s="29">
        <v>40543</v>
      </c>
      <c r="F13394" s="27">
        <v>12</v>
      </c>
      <c r="G13394" s="18">
        <v>99746.12</v>
      </c>
      <c r="H13394" s="27">
        <f t="shared" si="418"/>
        <v>0</v>
      </c>
      <c r="I13394" s="18">
        <v>65250.62</v>
      </c>
      <c r="J13394" s="27">
        <v>99746.12</v>
      </c>
      <c r="K13394" s="18">
        <f t="shared" si="419"/>
        <v>0</v>
      </c>
      <c r="L13394" s="27">
        <v>72627.67</v>
      </c>
      <c r="M13394" s="36">
        <v>7377.05</v>
      </c>
      <c r="T13394" s="41">
        <v>0</v>
      </c>
      <c r="U13394" s="41">
        <v>0</v>
      </c>
      <c r="V13394" s="42" t="s">
        <v>113</v>
      </c>
      <c r="W13394" s="42">
        <v>0</v>
      </c>
      <c r="X13394" s="42">
        <v>0</v>
      </c>
    </row>
    <row r="13395" spans="1:24">
      <c r="A13395" s="27" t="s">
        <v>23997</v>
      </c>
      <c r="B13395" s="28" t="s">
        <v>19890</v>
      </c>
      <c r="C13395" s="27" t="s">
        <v>23998</v>
      </c>
      <c r="D13395" s="27" t="s">
        <v>17558</v>
      </c>
      <c r="E13395" s="29">
        <v>40543</v>
      </c>
      <c r="F13395" s="27">
        <v>12</v>
      </c>
      <c r="G13395" s="18">
        <v>199857.03</v>
      </c>
      <c r="H13395" s="27">
        <f t="shared" si="418"/>
        <v>0</v>
      </c>
      <c r="I13395" s="18">
        <v>130739.87</v>
      </c>
      <c r="J13395" s="27">
        <v>199857.03</v>
      </c>
      <c r="K13395" s="18">
        <f t="shared" si="419"/>
        <v>0</v>
      </c>
      <c r="L13395" s="27">
        <v>145520.95000000001</v>
      </c>
      <c r="M13395" s="36">
        <v>14781.08</v>
      </c>
      <c r="T13395" s="41">
        <v>0</v>
      </c>
      <c r="U13395" s="41">
        <v>0</v>
      </c>
      <c r="V13395" s="42" t="s">
        <v>113</v>
      </c>
      <c r="W13395" s="42">
        <v>0</v>
      </c>
      <c r="X13395" s="42">
        <v>0</v>
      </c>
    </row>
    <row r="13396" spans="1:24">
      <c r="A13396" s="27" t="s">
        <v>23999</v>
      </c>
      <c r="B13396" s="28" t="s">
        <v>19890</v>
      </c>
      <c r="C13396" s="27" t="s">
        <v>23864</v>
      </c>
      <c r="D13396" s="27" t="s">
        <v>17558</v>
      </c>
      <c r="E13396" s="29">
        <v>40543</v>
      </c>
      <c r="F13396" s="27">
        <v>12</v>
      </c>
      <c r="G13396" s="18">
        <v>95464.45</v>
      </c>
      <c r="H13396" s="27">
        <f t="shared" si="418"/>
        <v>0</v>
      </c>
      <c r="I13396" s="18">
        <v>71996.05</v>
      </c>
      <c r="J13396" s="27">
        <v>95464.45</v>
      </c>
      <c r="K13396" s="18">
        <f t="shared" si="419"/>
        <v>0</v>
      </c>
      <c r="L13396" s="27">
        <v>76669.850000000006</v>
      </c>
      <c r="M13396" s="36">
        <v>4673.8</v>
      </c>
      <c r="T13396" s="41">
        <v>0</v>
      </c>
      <c r="U13396" s="41">
        <v>0</v>
      </c>
      <c r="V13396" s="42" t="s">
        <v>113</v>
      </c>
      <c r="W13396" s="42">
        <v>0</v>
      </c>
      <c r="X13396" s="42">
        <v>0</v>
      </c>
    </row>
    <row r="13397" spans="1:24">
      <c r="A13397" s="27" t="s">
        <v>24000</v>
      </c>
      <c r="B13397" s="28" t="s">
        <v>19890</v>
      </c>
      <c r="C13397" s="27" t="s">
        <v>24001</v>
      </c>
      <c r="D13397" s="27" t="s">
        <v>17558</v>
      </c>
      <c r="E13397" s="29">
        <v>40543</v>
      </c>
      <c r="F13397" s="27">
        <v>12</v>
      </c>
      <c r="G13397" s="18">
        <v>569171.78</v>
      </c>
      <c r="H13397" s="27">
        <f t="shared" si="418"/>
        <v>0</v>
      </c>
      <c r="I13397" s="18">
        <v>429250.41</v>
      </c>
      <c r="J13397" s="27">
        <v>569171.78</v>
      </c>
      <c r="K13397" s="18">
        <f t="shared" si="419"/>
        <v>0</v>
      </c>
      <c r="L13397" s="27">
        <v>457116.11</v>
      </c>
      <c r="M13397" s="36">
        <v>27865.7</v>
      </c>
      <c r="T13397" s="41">
        <v>0</v>
      </c>
      <c r="U13397" s="41">
        <v>0</v>
      </c>
      <c r="V13397" s="42" t="s">
        <v>113</v>
      </c>
      <c r="W13397" s="42">
        <v>0</v>
      </c>
      <c r="X13397" s="42">
        <v>0</v>
      </c>
    </row>
    <row r="13398" spans="1:24">
      <c r="A13398" s="27" t="s">
        <v>24002</v>
      </c>
      <c r="B13398" s="28" t="s">
        <v>19890</v>
      </c>
      <c r="C13398" s="27" t="s">
        <v>24003</v>
      </c>
      <c r="D13398" s="27" t="s">
        <v>17558</v>
      </c>
      <c r="E13398" s="29">
        <v>40543</v>
      </c>
      <c r="F13398" s="27">
        <v>12</v>
      </c>
      <c r="G13398" s="18">
        <v>204106.93</v>
      </c>
      <c r="H13398" s="27">
        <f t="shared" si="418"/>
        <v>0</v>
      </c>
      <c r="I13398" s="18">
        <v>153930.62</v>
      </c>
      <c r="J13398" s="27">
        <v>204106.93</v>
      </c>
      <c r="K13398" s="18">
        <f t="shared" si="419"/>
        <v>0</v>
      </c>
      <c r="L13398" s="27">
        <v>163923.35999999999</v>
      </c>
      <c r="M13398" s="36">
        <v>9992.74</v>
      </c>
      <c r="T13398" s="41">
        <v>0</v>
      </c>
      <c r="U13398" s="41">
        <v>0</v>
      </c>
      <c r="V13398" s="42" t="s">
        <v>113</v>
      </c>
      <c r="W13398" s="42">
        <v>0</v>
      </c>
      <c r="X13398" s="42">
        <v>0</v>
      </c>
    </row>
    <row r="13399" spans="1:24">
      <c r="A13399" s="27" t="s">
        <v>24004</v>
      </c>
      <c r="B13399" s="28" t="s">
        <v>19890</v>
      </c>
      <c r="C13399" s="27" t="s">
        <v>24005</v>
      </c>
      <c r="D13399" s="27" t="s">
        <v>17578</v>
      </c>
      <c r="E13399" s="29">
        <v>43661</v>
      </c>
      <c r="F13399" s="27">
        <v>12</v>
      </c>
      <c r="G13399" s="18">
        <v>0</v>
      </c>
      <c r="H13399" s="27">
        <f t="shared" si="418"/>
        <v>0</v>
      </c>
      <c r="I13399" s="18">
        <v>0</v>
      </c>
      <c r="J13399" s="27">
        <v>318201.25</v>
      </c>
      <c r="K13399" s="18">
        <f t="shared" si="419"/>
        <v>0</v>
      </c>
      <c r="L13399" s="27">
        <v>10496.22</v>
      </c>
      <c r="M13399" s="36">
        <v>10496.22</v>
      </c>
      <c r="N13399" s="18" t="s">
        <v>123</v>
      </c>
      <c r="O13399" s="19">
        <v>318201.25</v>
      </c>
      <c r="T13399" s="41">
        <v>0</v>
      </c>
      <c r="U13399" s="41">
        <v>0</v>
      </c>
      <c r="V13399" s="42" t="s">
        <v>113</v>
      </c>
      <c r="W13399" s="42">
        <v>0</v>
      </c>
      <c r="X13399" s="42">
        <v>0</v>
      </c>
    </row>
    <row r="13400" spans="1:24">
      <c r="A13400" s="27" t="s">
        <v>24006</v>
      </c>
      <c r="B13400" s="28" t="s">
        <v>19890</v>
      </c>
      <c r="C13400" s="27" t="s">
        <v>24007</v>
      </c>
      <c r="D13400" s="27" t="s">
        <v>17578</v>
      </c>
      <c r="E13400" s="29">
        <v>43661</v>
      </c>
      <c r="F13400" s="27">
        <v>12</v>
      </c>
      <c r="G13400" s="18">
        <v>0</v>
      </c>
      <c r="H13400" s="27">
        <f t="shared" si="418"/>
        <v>0</v>
      </c>
      <c r="I13400" s="18">
        <v>0</v>
      </c>
      <c r="J13400" s="27">
        <v>318201.23</v>
      </c>
      <c r="K13400" s="18">
        <f t="shared" si="419"/>
        <v>0</v>
      </c>
      <c r="L13400" s="27">
        <v>10496.22</v>
      </c>
      <c r="M13400" s="36">
        <v>10496.22</v>
      </c>
      <c r="N13400" s="18" t="s">
        <v>123</v>
      </c>
      <c r="O13400" s="19">
        <v>318201.23</v>
      </c>
      <c r="T13400" s="41">
        <v>0</v>
      </c>
      <c r="U13400" s="41">
        <v>0</v>
      </c>
      <c r="V13400" s="42" t="s">
        <v>113</v>
      </c>
      <c r="W13400" s="42">
        <v>0</v>
      </c>
      <c r="X13400" s="42">
        <v>0</v>
      </c>
    </row>
    <row r="13401" spans="1:24">
      <c r="A13401" s="27" t="s">
        <v>24008</v>
      </c>
      <c r="B13401" s="28" t="s">
        <v>19890</v>
      </c>
      <c r="C13401" s="27" t="s">
        <v>24009</v>
      </c>
      <c r="D13401" s="27" t="s">
        <v>17578</v>
      </c>
      <c r="E13401" s="29">
        <v>43661</v>
      </c>
      <c r="F13401" s="27">
        <v>12</v>
      </c>
      <c r="G13401" s="18">
        <v>0</v>
      </c>
      <c r="H13401" s="27">
        <f t="shared" si="418"/>
        <v>0</v>
      </c>
      <c r="I13401" s="18">
        <v>0</v>
      </c>
      <c r="J13401" s="27">
        <v>318201.23</v>
      </c>
      <c r="K13401" s="18">
        <f t="shared" si="419"/>
        <v>0</v>
      </c>
      <c r="L13401" s="27">
        <v>10496.22</v>
      </c>
      <c r="M13401" s="36">
        <v>10496.22</v>
      </c>
      <c r="N13401" s="18" t="s">
        <v>123</v>
      </c>
      <c r="O13401" s="19">
        <v>318201.23</v>
      </c>
      <c r="T13401" s="41">
        <v>0</v>
      </c>
      <c r="U13401" s="41">
        <v>0</v>
      </c>
      <c r="V13401" s="42" t="s">
        <v>113</v>
      </c>
      <c r="W13401" s="42">
        <v>0</v>
      </c>
      <c r="X13401" s="42">
        <v>0</v>
      </c>
    </row>
    <row r="13402" spans="1:24">
      <c r="A13402" s="27" t="s">
        <v>24010</v>
      </c>
      <c r="B13402" s="28" t="s">
        <v>19890</v>
      </c>
      <c r="C13402" s="27" t="s">
        <v>24011</v>
      </c>
      <c r="D13402" s="27" t="s">
        <v>17578</v>
      </c>
      <c r="E13402" s="29">
        <v>43661</v>
      </c>
      <c r="F13402" s="27">
        <v>12</v>
      </c>
      <c r="G13402" s="18">
        <v>0</v>
      </c>
      <c r="H13402" s="27">
        <f t="shared" si="418"/>
        <v>0</v>
      </c>
      <c r="I13402" s="18">
        <v>0</v>
      </c>
      <c r="J13402" s="27">
        <v>318201.23</v>
      </c>
      <c r="K13402" s="18">
        <f t="shared" si="419"/>
        <v>0</v>
      </c>
      <c r="L13402" s="27">
        <v>10496.22</v>
      </c>
      <c r="M13402" s="36">
        <v>10496.22</v>
      </c>
      <c r="N13402" s="18" t="s">
        <v>123</v>
      </c>
      <c r="O13402" s="19">
        <v>318201.23</v>
      </c>
      <c r="T13402" s="41">
        <v>0</v>
      </c>
      <c r="U13402" s="41">
        <v>0</v>
      </c>
      <c r="V13402" s="42" t="s">
        <v>113</v>
      </c>
      <c r="W13402" s="42">
        <v>0</v>
      </c>
      <c r="X13402" s="42">
        <v>0</v>
      </c>
    </row>
    <row r="13403" spans="1:24">
      <c r="A13403" s="27" t="s">
        <v>24012</v>
      </c>
      <c r="B13403" s="28" t="s">
        <v>19890</v>
      </c>
      <c r="C13403" s="27" t="s">
        <v>24013</v>
      </c>
      <c r="D13403" s="27" t="s">
        <v>17578</v>
      </c>
      <c r="E13403" s="29">
        <v>43661</v>
      </c>
      <c r="F13403" s="27">
        <v>12</v>
      </c>
      <c r="G13403" s="18">
        <v>0</v>
      </c>
      <c r="H13403" s="27">
        <f t="shared" si="418"/>
        <v>0</v>
      </c>
      <c r="I13403" s="18">
        <v>0</v>
      </c>
      <c r="J13403" s="27">
        <v>318201.23</v>
      </c>
      <c r="K13403" s="18">
        <f t="shared" si="419"/>
        <v>0</v>
      </c>
      <c r="L13403" s="27">
        <v>10496.22</v>
      </c>
      <c r="M13403" s="36">
        <v>10496.22</v>
      </c>
      <c r="N13403" s="18" t="s">
        <v>123</v>
      </c>
      <c r="O13403" s="19">
        <v>318201.23</v>
      </c>
      <c r="T13403" s="41">
        <v>0</v>
      </c>
      <c r="U13403" s="41">
        <v>0</v>
      </c>
      <c r="V13403" s="42" t="s">
        <v>113</v>
      </c>
      <c r="W13403" s="42">
        <v>0</v>
      </c>
      <c r="X13403" s="42">
        <v>0</v>
      </c>
    </row>
    <row r="13404" spans="1:24">
      <c r="A13404" s="27" t="s">
        <v>24014</v>
      </c>
      <c r="B13404" s="28" t="s">
        <v>19890</v>
      </c>
      <c r="C13404" s="27" t="s">
        <v>24015</v>
      </c>
      <c r="D13404" s="27" t="s">
        <v>20772</v>
      </c>
      <c r="E13404" s="29">
        <v>43799</v>
      </c>
      <c r="F13404" s="27">
        <v>12</v>
      </c>
      <c r="G13404" s="18">
        <v>0</v>
      </c>
      <c r="H13404" s="27">
        <f t="shared" si="418"/>
        <v>0</v>
      </c>
      <c r="I13404" s="18">
        <v>0</v>
      </c>
      <c r="J13404" s="27">
        <v>61629.760000000002</v>
      </c>
      <c r="K13404" s="18">
        <f t="shared" si="419"/>
        <v>0</v>
      </c>
      <c r="L13404" s="27">
        <v>406.59</v>
      </c>
      <c r="M13404" s="36">
        <v>406.59</v>
      </c>
      <c r="N13404" s="18" t="s">
        <v>123</v>
      </c>
      <c r="O13404" s="19">
        <v>61629.760000000002</v>
      </c>
      <c r="T13404" s="41">
        <v>0</v>
      </c>
      <c r="U13404" s="41">
        <v>0</v>
      </c>
      <c r="V13404" s="42" t="s">
        <v>113</v>
      </c>
      <c r="W13404" s="42">
        <v>0</v>
      </c>
      <c r="X13404" s="42">
        <v>0</v>
      </c>
    </row>
    <row r="13405" spans="1:24">
      <c r="A13405" s="27" t="s">
        <v>24016</v>
      </c>
      <c r="B13405" s="28" t="s">
        <v>24017</v>
      </c>
      <c r="C13405" s="27" t="s">
        <v>24018</v>
      </c>
      <c r="D13405" s="27" t="s">
        <v>17558</v>
      </c>
      <c r="E13405" s="29">
        <v>35795</v>
      </c>
      <c r="F13405" s="27">
        <v>10</v>
      </c>
      <c r="G13405" s="18">
        <v>19862.62</v>
      </c>
      <c r="H13405" s="27">
        <f t="shared" si="418"/>
        <v>19862.62</v>
      </c>
      <c r="I13405" s="18">
        <v>18869.490000000002</v>
      </c>
      <c r="J13405" s="27">
        <v>19862.62</v>
      </c>
      <c r="K13405" s="18">
        <f t="shared" si="419"/>
        <v>19862.62</v>
      </c>
      <c r="L13405" s="27">
        <v>18869.490000000002</v>
      </c>
      <c r="M13405" s="36">
        <v>0</v>
      </c>
      <c r="T13405" s="41">
        <v>0</v>
      </c>
      <c r="U13405" s="41">
        <v>0</v>
      </c>
      <c r="V13405" s="42" t="s">
        <v>113</v>
      </c>
      <c r="W13405" s="42">
        <v>19862.62</v>
      </c>
      <c r="X13405" s="42">
        <v>19862.62</v>
      </c>
    </row>
    <row r="13406" spans="1:24">
      <c r="A13406" s="27" t="s">
        <v>24019</v>
      </c>
      <c r="B13406" s="28" t="s">
        <v>24017</v>
      </c>
      <c r="C13406" s="27" t="s">
        <v>24020</v>
      </c>
      <c r="D13406" s="27" t="s">
        <v>17558</v>
      </c>
      <c r="E13406" s="29">
        <v>35795</v>
      </c>
      <c r="F13406" s="27">
        <v>10</v>
      </c>
      <c r="G13406" s="18">
        <v>19862.62</v>
      </c>
      <c r="H13406" s="27">
        <f t="shared" si="418"/>
        <v>19862.62</v>
      </c>
      <c r="I13406" s="18">
        <v>18869.490000000002</v>
      </c>
      <c r="J13406" s="27">
        <v>19862.62</v>
      </c>
      <c r="K13406" s="18">
        <f t="shared" si="419"/>
        <v>19862.62</v>
      </c>
      <c r="L13406" s="27">
        <v>18869.490000000002</v>
      </c>
      <c r="M13406" s="36">
        <v>0</v>
      </c>
      <c r="T13406" s="41">
        <v>0</v>
      </c>
      <c r="U13406" s="41">
        <v>0</v>
      </c>
      <c r="V13406" s="42" t="s">
        <v>113</v>
      </c>
      <c r="W13406" s="42">
        <v>19862.62</v>
      </c>
      <c r="X13406" s="42">
        <v>19862.62</v>
      </c>
    </row>
    <row r="13407" spans="1:24">
      <c r="A13407" s="27" t="s">
        <v>24021</v>
      </c>
      <c r="B13407" s="28" t="s">
        <v>24017</v>
      </c>
      <c r="C13407" s="27" t="s">
        <v>24022</v>
      </c>
      <c r="D13407" s="27" t="s">
        <v>17558</v>
      </c>
      <c r="E13407" s="29">
        <v>35795</v>
      </c>
      <c r="F13407" s="27">
        <v>10</v>
      </c>
      <c r="G13407" s="18">
        <v>19862.62</v>
      </c>
      <c r="H13407" s="27">
        <f t="shared" si="418"/>
        <v>19862.62</v>
      </c>
      <c r="I13407" s="18">
        <v>18869.490000000002</v>
      </c>
      <c r="J13407" s="27">
        <v>19862.62</v>
      </c>
      <c r="K13407" s="18">
        <f t="shared" si="419"/>
        <v>19862.62</v>
      </c>
      <c r="L13407" s="27">
        <v>18869.490000000002</v>
      </c>
      <c r="M13407" s="36">
        <v>0</v>
      </c>
      <c r="T13407" s="41">
        <v>0</v>
      </c>
      <c r="U13407" s="41">
        <v>0</v>
      </c>
      <c r="V13407" s="42" t="s">
        <v>113</v>
      </c>
      <c r="W13407" s="42">
        <v>19862.62</v>
      </c>
      <c r="X13407" s="42">
        <v>19862.62</v>
      </c>
    </row>
    <row r="13408" spans="1:24">
      <c r="A13408" s="27" t="s">
        <v>24023</v>
      </c>
      <c r="B13408" s="28" t="s">
        <v>24017</v>
      </c>
      <c r="C13408" s="27" t="s">
        <v>24024</v>
      </c>
      <c r="D13408" s="27" t="s">
        <v>17558</v>
      </c>
      <c r="E13408" s="29">
        <v>35795</v>
      </c>
      <c r="F13408" s="27">
        <v>10</v>
      </c>
      <c r="G13408" s="18">
        <v>19862.62</v>
      </c>
      <c r="H13408" s="27">
        <f t="shared" si="418"/>
        <v>19862.62</v>
      </c>
      <c r="I13408" s="18">
        <v>18869.490000000002</v>
      </c>
      <c r="J13408" s="27">
        <v>19862.62</v>
      </c>
      <c r="K13408" s="18">
        <f t="shared" si="419"/>
        <v>19862.62</v>
      </c>
      <c r="L13408" s="27">
        <v>18869.490000000002</v>
      </c>
      <c r="M13408" s="36">
        <v>0</v>
      </c>
      <c r="T13408" s="41">
        <v>0</v>
      </c>
      <c r="U13408" s="41">
        <v>0</v>
      </c>
      <c r="V13408" s="42" t="s">
        <v>113</v>
      </c>
      <c r="W13408" s="42">
        <v>19862.62</v>
      </c>
      <c r="X13408" s="42">
        <v>19862.62</v>
      </c>
    </row>
    <row r="13409" spans="1:24">
      <c r="A13409" s="27" t="s">
        <v>24025</v>
      </c>
      <c r="B13409" s="28" t="s">
        <v>24017</v>
      </c>
      <c r="C13409" s="27" t="s">
        <v>24026</v>
      </c>
      <c r="D13409" s="27" t="s">
        <v>17558</v>
      </c>
      <c r="E13409" s="29">
        <v>35795</v>
      </c>
      <c r="F13409" s="27">
        <v>10</v>
      </c>
      <c r="G13409" s="18">
        <v>19862.62</v>
      </c>
      <c r="H13409" s="27">
        <f t="shared" si="418"/>
        <v>19862.62</v>
      </c>
      <c r="I13409" s="18">
        <v>18869.490000000002</v>
      </c>
      <c r="J13409" s="27">
        <v>19862.62</v>
      </c>
      <c r="K13409" s="18">
        <f t="shared" si="419"/>
        <v>19862.62</v>
      </c>
      <c r="L13409" s="27">
        <v>18869.490000000002</v>
      </c>
      <c r="M13409" s="36">
        <v>0</v>
      </c>
      <c r="T13409" s="41">
        <v>0</v>
      </c>
      <c r="U13409" s="41">
        <v>0</v>
      </c>
      <c r="V13409" s="42" t="s">
        <v>113</v>
      </c>
      <c r="W13409" s="42">
        <v>19862.62</v>
      </c>
      <c r="X13409" s="42">
        <v>19862.62</v>
      </c>
    </row>
    <row r="13410" spans="1:24">
      <c r="A13410" s="27" t="s">
        <v>24027</v>
      </c>
      <c r="B13410" s="28" t="s">
        <v>24017</v>
      </c>
      <c r="C13410" s="27" t="s">
        <v>24028</v>
      </c>
      <c r="D13410" s="27" t="s">
        <v>17558</v>
      </c>
      <c r="E13410" s="29">
        <v>35795</v>
      </c>
      <c r="F13410" s="27">
        <v>10</v>
      </c>
      <c r="G13410" s="18">
        <v>19862.62</v>
      </c>
      <c r="H13410" s="27">
        <f t="shared" si="418"/>
        <v>19862.62</v>
      </c>
      <c r="I13410" s="18">
        <v>18869.490000000002</v>
      </c>
      <c r="J13410" s="27">
        <v>19862.62</v>
      </c>
      <c r="K13410" s="18">
        <f t="shared" si="419"/>
        <v>19862.62</v>
      </c>
      <c r="L13410" s="27">
        <v>18869.490000000002</v>
      </c>
      <c r="M13410" s="36">
        <v>0</v>
      </c>
      <c r="T13410" s="41">
        <v>0</v>
      </c>
      <c r="U13410" s="41">
        <v>0</v>
      </c>
      <c r="V13410" s="42" t="s">
        <v>113</v>
      </c>
      <c r="W13410" s="42">
        <v>19862.62</v>
      </c>
      <c r="X13410" s="42">
        <v>19862.62</v>
      </c>
    </row>
    <row r="13411" spans="1:24">
      <c r="A13411" s="27" t="s">
        <v>24029</v>
      </c>
      <c r="B13411" s="28" t="s">
        <v>24017</v>
      </c>
      <c r="C13411" s="27" t="s">
        <v>24030</v>
      </c>
      <c r="D13411" s="27" t="s">
        <v>17558</v>
      </c>
      <c r="E13411" s="29">
        <v>35795</v>
      </c>
      <c r="F13411" s="27">
        <v>10</v>
      </c>
      <c r="G13411" s="18">
        <v>19862.62</v>
      </c>
      <c r="H13411" s="27">
        <f t="shared" si="418"/>
        <v>19862.62</v>
      </c>
      <c r="I13411" s="18">
        <v>18869.490000000002</v>
      </c>
      <c r="J13411" s="27">
        <v>19862.62</v>
      </c>
      <c r="K13411" s="18">
        <f t="shared" si="419"/>
        <v>19862.62</v>
      </c>
      <c r="L13411" s="27">
        <v>18869.490000000002</v>
      </c>
      <c r="M13411" s="36">
        <v>0</v>
      </c>
      <c r="T13411" s="41">
        <v>0</v>
      </c>
      <c r="U13411" s="41">
        <v>0</v>
      </c>
      <c r="V13411" s="42" t="s">
        <v>113</v>
      </c>
      <c r="W13411" s="42">
        <v>19862.62</v>
      </c>
      <c r="X13411" s="42">
        <v>19862.62</v>
      </c>
    </row>
    <row r="13412" spans="1:24">
      <c r="A13412" s="27" t="s">
        <v>24031</v>
      </c>
      <c r="B13412" s="28" t="s">
        <v>24017</v>
      </c>
      <c r="C13412" s="27" t="s">
        <v>24032</v>
      </c>
      <c r="D13412" s="27" t="s">
        <v>17558</v>
      </c>
      <c r="E13412" s="29">
        <v>35795</v>
      </c>
      <c r="F13412" s="27">
        <v>10</v>
      </c>
      <c r="G13412" s="18">
        <v>17402.11</v>
      </c>
      <c r="H13412" s="27">
        <f t="shared" si="418"/>
        <v>17402.11</v>
      </c>
      <c r="I13412" s="18">
        <v>16532</v>
      </c>
      <c r="J13412" s="27">
        <v>17402.11</v>
      </c>
      <c r="K13412" s="18">
        <f t="shared" si="419"/>
        <v>17402.11</v>
      </c>
      <c r="L13412" s="27">
        <v>16532</v>
      </c>
      <c r="M13412" s="36">
        <v>0</v>
      </c>
      <c r="T13412" s="41">
        <v>0</v>
      </c>
      <c r="U13412" s="41">
        <v>0</v>
      </c>
      <c r="V13412" s="42" t="s">
        <v>113</v>
      </c>
      <c r="W13412" s="42">
        <v>17402.11</v>
      </c>
      <c r="X13412" s="42">
        <v>17402.11</v>
      </c>
    </row>
    <row r="13413" spans="1:24">
      <c r="A13413" s="27" t="s">
        <v>24033</v>
      </c>
      <c r="B13413" s="28" t="s">
        <v>24017</v>
      </c>
      <c r="C13413" s="27" t="s">
        <v>24034</v>
      </c>
      <c r="D13413" s="27" t="s">
        <v>17558</v>
      </c>
      <c r="E13413" s="29">
        <v>35795</v>
      </c>
      <c r="F13413" s="27">
        <v>10</v>
      </c>
      <c r="G13413" s="18">
        <v>17402.11</v>
      </c>
      <c r="H13413" s="27">
        <f t="shared" si="418"/>
        <v>17402.11</v>
      </c>
      <c r="I13413" s="18">
        <v>16532</v>
      </c>
      <c r="J13413" s="27">
        <v>17402.11</v>
      </c>
      <c r="K13413" s="18">
        <f t="shared" si="419"/>
        <v>17402.11</v>
      </c>
      <c r="L13413" s="27">
        <v>16532</v>
      </c>
      <c r="M13413" s="36">
        <v>0</v>
      </c>
      <c r="T13413" s="41">
        <v>0</v>
      </c>
      <c r="U13413" s="41">
        <v>0</v>
      </c>
      <c r="V13413" s="42" t="s">
        <v>113</v>
      </c>
      <c r="W13413" s="42">
        <v>17402.11</v>
      </c>
      <c r="X13413" s="42">
        <v>17402.11</v>
      </c>
    </row>
    <row r="13414" spans="1:24">
      <c r="A13414" s="27" t="s">
        <v>24035</v>
      </c>
      <c r="B13414" s="28" t="s">
        <v>24017</v>
      </c>
      <c r="C13414" s="27" t="s">
        <v>24036</v>
      </c>
      <c r="D13414" s="27" t="s">
        <v>17558</v>
      </c>
      <c r="E13414" s="29">
        <v>35795</v>
      </c>
      <c r="F13414" s="27">
        <v>10</v>
      </c>
      <c r="G13414" s="18">
        <v>17402.11</v>
      </c>
      <c r="H13414" s="27">
        <f t="shared" si="418"/>
        <v>17402.11</v>
      </c>
      <c r="I13414" s="18">
        <v>16532</v>
      </c>
      <c r="J13414" s="27">
        <v>17402.11</v>
      </c>
      <c r="K13414" s="18">
        <f t="shared" si="419"/>
        <v>17402.11</v>
      </c>
      <c r="L13414" s="27">
        <v>16532</v>
      </c>
      <c r="M13414" s="36">
        <v>0</v>
      </c>
      <c r="T13414" s="41">
        <v>0</v>
      </c>
      <c r="U13414" s="41">
        <v>0</v>
      </c>
      <c r="V13414" s="42" t="s">
        <v>113</v>
      </c>
      <c r="W13414" s="42">
        <v>17402.11</v>
      </c>
      <c r="X13414" s="42">
        <v>17402.11</v>
      </c>
    </row>
    <row r="13415" spans="1:24">
      <c r="A13415" s="27" t="s">
        <v>24037</v>
      </c>
      <c r="B13415" s="28" t="s">
        <v>24017</v>
      </c>
      <c r="C13415" s="27" t="s">
        <v>24038</v>
      </c>
      <c r="D13415" s="27" t="s">
        <v>17558</v>
      </c>
      <c r="E13415" s="29">
        <v>35795</v>
      </c>
      <c r="F13415" s="27">
        <v>10</v>
      </c>
      <c r="G13415" s="18">
        <v>17402.11</v>
      </c>
      <c r="H13415" s="27">
        <f t="shared" si="418"/>
        <v>17402.11</v>
      </c>
      <c r="I13415" s="18">
        <v>16532</v>
      </c>
      <c r="J13415" s="27">
        <v>17402.11</v>
      </c>
      <c r="K13415" s="18">
        <f t="shared" si="419"/>
        <v>17402.11</v>
      </c>
      <c r="L13415" s="27">
        <v>16532</v>
      </c>
      <c r="M13415" s="36">
        <v>0</v>
      </c>
      <c r="T13415" s="41">
        <v>0</v>
      </c>
      <c r="U13415" s="41">
        <v>0</v>
      </c>
      <c r="V13415" s="42" t="s">
        <v>113</v>
      </c>
      <c r="W13415" s="42">
        <v>17402.11</v>
      </c>
      <c r="X13415" s="42">
        <v>17402.11</v>
      </c>
    </row>
    <row r="13416" spans="1:24">
      <c r="A13416" s="27" t="s">
        <v>24039</v>
      </c>
      <c r="B13416" s="28" t="s">
        <v>24017</v>
      </c>
      <c r="C13416" s="27" t="s">
        <v>24032</v>
      </c>
      <c r="D13416" s="27" t="s">
        <v>17558</v>
      </c>
      <c r="E13416" s="29">
        <v>35795</v>
      </c>
      <c r="F13416" s="27">
        <v>10</v>
      </c>
      <c r="G13416" s="18">
        <v>9626.11</v>
      </c>
      <c r="H13416" s="27">
        <f t="shared" si="418"/>
        <v>9626.11</v>
      </c>
      <c r="I13416" s="18">
        <v>9144.7999999999993</v>
      </c>
      <c r="J13416" s="27">
        <v>9626.11</v>
      </c>
      <c r="K13416" s="18">
        <f t="shared" si="419"/>
        <v>9626.11</v>
      </c>
      <c r="L13416" s="27">
        <v>9144.7999999999993</v>
      </c>
      <c r="M13416" s="36">
        <v>0</v>
      </c>
      <c r="T13416" s="41">
        <v>0</v>
      </c>
      <c r="U13416" s="41">
        <v>0</v>
      </c>
      <c r="V13416" s="42" t="s">
        <v>113</v>
      </c>
      <c r="W13416" s="42">
        <v>9626.11</v>
      </c>
      <c r="X13416" s="42">
        <v>9626.11</v>
      </c>
    </row>
    <row r="13417" spans="1:24">
      <c r="A13417" s="27" t="s">
        <v>24040</v>
      </c>
      <c r="B13417" s="28" t="s">
        <v>24017</v>
      </c>
      <c r="C13417" s="27" t="s">
        <v>24034</v>
      </c>
      <c r="D13417" s="27" t="s">
        <v>17558</v>
      </c>
      <c r="E13417" s="29">
        <v>35795</v>
      </c>
      <c r="F13417" s="27">
        <v>10</v>
      </c>
      <c r="G13417" s="18">
        <v>9626.11</v>
      </c>
      <c r="H13417" s="27">
        <f t="shared" si="418"/>
        <v>9626.11</v>
      </c>
      <c r="I13417" s="18">
        <v>9144.7999999999993</v>
      </c>
      <c r="J13417" s="27">
        <v>9626.11</v>
      </c>
      <c r="K13417" s="18">
        <f t="shared" si="419"/>
        <v>9626.11</v>
      </c>
      <c r="L13417" s="27">
        <v>9144.7999999999993</v>
      </c>
      <c r="M13417" s="36">
        <v>0</v>
      </c>
      <c r="T13417" s="41">
        <v>0</v>
      </c>
      <c r="U13417" s="41">
        <v>0</v>
      </c>
      <c r="V13417" s="42" t="s">
        <v>113</v>
      </c>
      <c r="W13417" s="42">
        <v>9626.11</v>
      </c>
      <c r="X13417" s="42">
        <v>9626.11</v>
      </c>
    </row>
    <row r="13418" spans="1:24">
      <c r="A13418" s="27" t="s">
        <v>24041</v>
      </c>
      <c r="B13418" s="28" t="s">
        <v>24017</v>
      </c>
      <c r="C13418" s="27" t="s">
        <v>24036</v>
      </c>
      <c r="D13418" s="27" t="s">
        <v>17558</v>
      </c>
      <c r="E13418" s="29">
        <v>35795</v>
      </c>
      <c r="F13418" s="27">
        <v>10</v>
      </c>
      <c r="G13418" s="18">
        <v>9626.11</v>
      </c>
      <c r="H13418" s="27">
        <f t="shared" si="418"/>
        <v>9626.11</v>
      </c>
      <c r="I13418" s="18">
        <v>9144.7999999999993</v>
      </c>
      <c r="J13418" s="27">
        <v>9626.11</v>
      </c>
      <c r="K13418" s="18">
        <f t="shared" si="419"/>
        <v>9626.11</v>
      </c>
      <c r="L13418" s="27">
        <v>9144.7999999999993</v>
      </c>
      <c r="M13418" s="36">
        <v>0</v>
      </c>
      <c r="T13418" s="41">
        <v>0</v>
      </c>
      <c r="U13418" s="41">
        <v>0</v>
      </c>
      <c r="V13418" s="42" t="s">
        <v>113</v>
      </c>
      <c r="W13418" s="42">
        <v>9626.11</v>
      </c>
      <c r="X13418" s="42">
        <v>9626.11</v>
      </c>
    </row>
    <row r="13419" spans="1:24">
      <c r="A13419" s="27" t="s">
        <v>24042</v>
      </c>
      <c r="B13419" s="28" t="s">
        <v>24017</v>
      </c>
      <c r="C13419" s="27" t="s">
        <v>24043</v>
      </c>
      <c r="D13419" s="27" t="s">
        <v>17558</v>
      </c>
      <c r="E13419" s="29">
        <v>35795</v>
      </c>
      <c r="F13419" s="27">
        <v>10</v>
      </c>
      <c r="G13419" s="18">
        <v>51855.75</v>
      </c>
      <c r="H13419" s="27">
        <f t="shared" si="418"/>
        <v>51855.75</v>
      </c>
      <c r="I13419" s="18">
        <v>49262.96</v>
      </c>
      <c r="J13419" s="27">
        <v>51855.75</v>
      </c>
      <c r="K13419" s="18">
        <f t="shared" si="419"/>
        <v>51855.75</v>
      </c>
      <c r="L13419" s="27">
        <v>49262.96</v>
      </c>
      <c r="M13419" s="36">
        <v>0</v>
      </c>
      <c r="T13419" s="41">
        <v>0</v>
      </c>
      <c r="U13419" s="41">
        <v>0</v>
      </c>
      <c r="V13419" s="42" t="s">
        <v>113</v>
      </c>
      <c r="W13419" s="42">
        <v>51855.75</v>
      </c>
      <c r="X13419" s="42">
        <v>51855.75</v>
      </c>
    </row>
    <row r="13420" spans="1:24">
      <c r="A13420" s="27" t="s">
        <v>24044</v>
      </c>
      <c r="B13420" s="28" t="s">
        <v>24017</v>
      </c>
      <c r="C13420" s="27" t="s">
        <v>24045</v>
      </c>
      <c r="D13420" s="27" t="s">
        <v>17558</v>
      </c>
      <c r="E13420" s="29">
        <v>35795</v>
      </c>
      <c r="F13420" s="27">
        <v>10</v>
      </c>
      <c r="G13420" s="18">
        <v>51855.75</v>
      </c>
      <c r="H13420" s="27">
        <f t="shared" si="418"/>
        <v>51855.75</v>
      </c>
      <c r="I13420" s="18">
        <v>49262.96</v>
      </c>
      <c r="J13420" s="27">
        <v>51855.75</v>
      </c>
      <c r="K13420" s="18">
        <f t="shared" si="419"/>
        <v>51855.75</v>
      </c>
      <c r="L13420" s="27">
        <v>49262.96</v>
      </c>
      <c r="M13420" s="36">
        <v>0</v>
      </c>
      <c r="T13420" s="41">
        <v>0</v>
      </c>
      <c r="U13420" s="41">
        <v>0</v>
      </c>
      <c r="V13420" s="42" t="s">
        <v>113</v>
      </c>
      <c r="W13420" s="42">
        <v>51855.75</v>
      </c>
      <c r="X13420" s="42">
        <v>51855.75</v>
      </c>
    </row>
    <row r="13421" spans="1:24">
      <c r="A13421" s="27" t="s">
        <v>24046</v>
      </c>
      <c r="B13421" s="28" t="s">
        <v>24017</v>
      </c>
      <c r="C13421" s="27" t="s">
        <v>24047</v>
      </c>
      <c r="D13421" s="27" t="s">
        <v>17558</v>
      </c>
      <c r="E13421" s="29">
        <v>35795</v>
      </c>
      <c r="F13421" s="27">
        <v>10</v>
      </c>
      <c r="G13421" s="18">
        <v>51855.75</v>
      </c>
      <c r="H13421" s="27">
        <f t="shared" si="418"/>
        <v>51855.75</v>
      </c>
      <c r="I13421" s="18">
        <v>49262.96</v>
      </c>
      <c r="J13421" s="27">
        <v>51855.75</v>
      </c>
      <c r="K13421" s="18">
        <f t="shared" si="419"/>
        <v>51855.75</v>
      </c>
      <c r="L13421" s="27">
        <v>49262.96</v>
      </c>
      <c r="M13421" s="36">
        <v>0</v>
      </c>
      <c r="T13421" s="41">
        <v>0</v>
      </c>
      <c r="U13421" s="41">
        <v>0</v>
      </c>
      <c r="V13421" s="42" t="s">
        <v>113</v>
      </c>
      <c r="W13421" s="42">
        <v>51855.75</v>
      </c>
      <c r="X13421" s="42">
        <v>51855.75</v>
      </c>
    </row>
    <row r="13422" spans="1:24">
      <c r="A13422" s="27" t="s">
        <v>24048</v>
      </c>
      <c r="B13422" s="28" t="s">
        <v>24017</v>
      </c>
      <c r="C13422" s="27" t="s">
        <v>24049</v>
      </c>
      <c r="D13422" s="27" t="s">
        <v>17558</v>
      </c>
      <c r="E13422" s="29">
        <v>35795</v>
      </c>
      <c r="F13422" s="27">
        <v>10</v>
      </c>
      <c r="G13422" s="18">
        <v>51855.75</v>
      </c>
      <c r="H13422" s="27">
        <f t="shared" si="418"/>
        <v>51855.75</v>
      </c>
      <c r="I13422" s="18">
        <v>49262.96</v>
      </c>
      <c r="J13422" s="27">
        <v>51855.75</v>
      </c>
      <c r="K13422" s="18">
        <f t="shared" si="419"/>
        <v>51855.75</v>
      </c>
      <c r="L13422" s="27">
        <v>49262.96</v>
      </c>
      <c r="M13422" s="36">
        <v>0</v>
      </c>
      <c r="T13422" s="41">
        <v>0</v>
      </c>
      <c r="U13422" s="41">
        <v>0</v>
      </c>
      <c r="V13422" s="42" t="s">
        <v>113</v>
      </c>
      <c r="W13422" s="42">
        <v>51855.75</v>
      </c>
      <c r="X13422" s="42">
        <v>51855.75</v>
      </c>
    </row>
    <row r="13423" spans="1:24">
      <c r="A13423" s="27" t="s">
        <v>24050</v>
      </c>
      <c r="B13423" s="28" t="s">
        <v>24017</v>
      </c>
      <c r="C13423" s="27" t="s">
        <v>24051</v>
      </c>
      <c r="D13423" s="27" t="s">
        <v>17558</v>
      </c>
      <c r="E13423" s="29">
        <v>35795</v>
      </c>
      <c r="F13423" s="27">
        <v>10</v>
      </c>
      <c r="G13423" s="18">
        <v>51855.75</v>
      </c>
      <c r="H13423" s="27">
        <f t="shared" si="418"/>
        <v>51855.75</v>
      </c>
      <c r="I13423" s="18">
        <v>49262.96</v>
      </c>
      <c r="J13423" s="27">
        <v>51855.75</v>
      </c>
      <c r="K13423" s="18">
        <f t="shared" si="419"/>
        <v>51855.75</v>
      </c>
      <c r="L13423" s="27">
        <v>49262.96</v>
      </c>
      <c r="M13423" s="36">
        <v>0</v>
      </c>
      <c r="T13423" s="41">
        <v>0</v>
      </c>
      <c r="U13423" s="41">
        <v>0</v>
      </c>
      <c r="V13423" s="42" t="s">
        <v>113</v>
      </c>
      <c r="W13423" s="42">
        <v>51855.75</v>
      </c>
      <c r="X13423" s="42">
        <v>51855.75</v>
      </c>
    </row>
    <row r="13424" spans="1:24">
      <c r="A13424" s="27" t="s">
        <v>24052</v>
      </c>
      <c r="B13424" s="28" t="s">
        <v>24017</v>
      </c>
      <c r="C13424" s="27" t="s">
        <v>24053</v>
      </c>
      <c r="D13424" s="27" t="s">
        <v>17558</v>
      </c>
      <c r="E13424" s="29">
        <v>35795</v>
      </c>
      <c r="F13424" s="27">
        <v>10</v>
      </c>
      <c r="G13424" s="18">
        <v>51855.75</v>
      </c>
      <c r="H13424" s="27">
        <f t="shared" si="418"/>
        <v>51855.75</v>
      </c>
      <c r="I13424" s="18">
        <v>49262.96</v>
      </c>
      <c r="J13424" s="27">
        <v>51855.75</v>
      </c>
      <c r="K13424" s="18">
        <f t="shared" si="419"/>
        <v>51855.75</v>
      </c>
      <c r="L13424" s="27">
        <v>49262.96</v>
      </c>
      <c r="M13424" s="36">
        <v>0</v>
      </c>
      <c r="T13424" s="41">
        <v>0</v>
      </c>
      <c r="U13424" s="41">
        <v>0</v>
      </c>
      <c r="V13424" s="42" t="s">
        <v>113</v>
      </c>
      <c r="W13424" s="42">
        <v>51855.75</v>
      </c>
      <c r="X13424" s="42">
        <v>51855.75</v>
      </c>
    </row>
    <row r="13425" spans="1:24">
      <c r="A13425" s="27" t="s">
        <v>24054</v>
      </c>
      <c r="B13425" s="28" t="s">
        <v>24017</v>
      </c>
      <c r="C13425" s="27" t="s">
        <v>24055</v>
      </c>
      <c r="D13425" s="27" t="s">
        <v>17558</v>
      </c>
      <c r="E13425" s="29">
        <v>35795</v>
      </c>
      <c r="F13425" s="27">
        <v>10</v>
      </c>
      <c r="G13425" s="18">
        <v>51855.75</v>
      </c>
      <c r="H13425" s="27">
        <f t="shared" si="418"/>
        <v>51855.75</v>
      </c>
      <c r="I13425" s="18">
        <v>49262.96</v>
      </c>
      <c r="J13425" s="27">
        <v>51855.75</v>
      </c>
      <c r="K13425" s="18">
        <f t="shared" si="419"/>
        <v>51855.75</v>
      </c>
      <c r="L13425" s="27">
        <v>49262.96</v>
      </c>
      <c r="M13425" s="36">
        <v>0</v>
      </c>
      <c r="T13425" s="41">
        <v>0</v>
      </c>
      <c r="U13425" s="41">
        <v>0</v>
      </c>
      <c r="V13425" s="42" t="s">
        <v>113</v>
      </c>
      <c r="W13425" s="42">
        <v>51855.75</v>
      </c>
      <c r="X13425" s="42">
        <v>51855.75</v>
      </c>
    </row>
    <row r="13426" spans="1:24">
      <c r="A13426" s="27" t="s">
        <v>24056</v>
      </c>
      <c r="B13426" s="28" t="s">
        <v>24017</v>
      </c>
      <c r="C13426" s="27" t="s">
        <v>24057</v>
      </c>
      <c r="D13426" s="27" t="s">
        <v>17558</v>
      </c>
      <c r="E13426" s="29">
        <v>35795</v>
      </c>
      <c r="F13426" s="27">
        <v>10</v>
      </c>
      <c r="G13426" s="18">
        <v>51855.75</v>
      </c>
      <c r="H13426" s="27">
        <f t="shared" si="418"/>
        <v>51855.75</v>
      </c>
      <c r="I13426" s="18">
        <v>49262.96</v>
      </c>
      <c r="J13426" s="27">
        <v>51855.75</v>
      </c>
      <c r="K13426" s="18">
        <f t="shared" si="419"/>
        <v>51855.75</v>
      </c>
      <c r="L13426" s="27">
        <v>49262.96</v>
      </c>
      <c r="M13426" s="36">
        <v>0</v>
      </c>
      <c r="T13426" s="41">
        <v>0</v>
      </c>
      <c r="U13426" s="41">
        <v>0</v>
      </c>
      <c r="V13426" s="42" t="s">
        <v>113</v>
      </c>
      <c r="W13426" s="42">
        <v>51855.75</v>
      </c>
      <c r="X13426" s="42">
        <v>51855.75</v>
      </c>
    </row>
    <row r="13427" spans="1:24">
      <c r="A13427" s="27" t="s">
        <v>24058</v>
      </c>
      <c r="B13427" s="28" t="s">
        <v>24017</v>
      </c>
      <c r="C13427" s="27" t="s">
        <v>24059</v>
      </c>
      <c r="D13427" s="27" t="s">
        <v>17578</v>
      </c>
      <c r="E13427" s="29">
        <v>42216</v>
      </c>
      <c r="F13427" s="27">
        <v>10</v>
      </c>
      <c r="G13427" s="18">
        <v>120799.28</v>
      </c>
      <c r="H13427" s="27">
        <f t="shared" si="418"/>
        <v>0</v>
      </c>
      <c r="I13427" s="18">
        <v>40523.339999999997</v>
      </c>
      <c r="J13427" s="27">
        <v>120799.28</v>
      </c>
      <c r="K13427" s="18">
        <f t="shared" si="419"/>
        <v>0</v>
      </c>
      <c r="L13427" s="27">
        <v>51799.69</v>
      </c>
      <c r="M13427" s="36">
        <v>11276.35</v>
      </c>
      <c r="T13427" s="41">
        <v>0</v>
      </c>
      <c r="U13427" s="41">
        <v>0</v>
      </c>
      <c r="V13427" s="42" t="s">
        <v>113</v>
      </c>
      <c r="W13427" s="42">
        <v>0</v>
      </c>
      <c r="X13427" s="42">
        <v>0</v>
      </c>
    </row>
    <row r="13428" spans="1:24">
      <c r="A13428" s="27" t="s">
        <v>24060</v>
      </c>
      <c r="B13428" s="28" t="s">
        <v>24017</v>
      </c>
      <c r="C13428" s="27" t="s">
        <v>24061</v>
      </c>
      <c r="D13428" s="27" t="s">
        <v>17578</v>
      </c>
      <c r="E13428" s="29">
        <v>42216</v>
      </c>
      <c r="F13428" s="27">
        <v>10</v>
      </c>
      <c r="G13428" s="18">
        <v>118417.62</v>
      </c>
      <c r="H13428" s="27">
        <f t="shared" si="418"/>
        <v>0</v>
      </c>
      <c r="I13428" s="18">
        <v>39724.400000000001</v>
      </c>
      <c r="J13428" s="27">
        <v>118417.62</v>
      </c>
      <c r="K13428" s="18">
        <f t="shared" si="419"/>
        <v>0</v>
      </c>
      <c r="L13428" s="27">
        <v>50778.43</v>
      </c>
      <c r="M13428" s="36">
        <v>11054.03</v>
      </c>
      <c r="T13428" s="41">
        <v>0</v>
      </c>
      <c r="U13428" s="41">
        <v>0</v>
      </c>
      <c r="V13428" s="42" t="s">
        <v>113</v>
      </c>
      <c r="W13428" s="42">
        <v>0</v>
      </c>
      <c r="X13428" s="42">
        <v>0</v>
      </c>
    </row>
    <row r="13429" spans="1:24">
      <c r="A13429" s="27" t="s">
        <v>24062</v>
      </c>
      <c r="B13429" s="28" t="s">
        <v>24017</v>
      </c>
      <c r="C13429" s="27" t="s">
        <v>24063</v>
      </c>
      <c r="D13429" s="27" t="s">
        <v>17578</v>
      </c>
      <c r="E13429" s="29">
        <v>42216</v>
      </c>
      <c r="F13429" s="27">
        <v>10</v>
      </c>
      <c r="G13429" s="18">
        <v>121339.32</v>
      </c>
      <c r="H13429" s="27">
        <f t="shared" si="418"/>
        <v>0</v>
      </c>
      <c r="I13429" s="18">
        <v>41305.93</v>
      </c>
      <c r="J13429" s="27">
        <v>121339.32</v>
      </c>
      <c r="K13429" s="18">
        <f t="shared" si="419"/>
        <v>0</v>
      </c>
      <c r="L13429" s="27">
        <v>52833.16</v>
      </c>
      <c r="M13429" s="36">
        <v>11527.23</v>
      </c>
      <c r="T13429" s="41">
        <v>0</v>
      </c>
      <c r="U13429" s="41">
        <v>0</v>
      </c>
      <c r="V13429" s="42" t="s">
        <v>113</v>
      </c>
      <c r="W13429" s="42">
        <v>0</v>
      </c>
      <c r="X13429" s="42">
        <v>0</v>
      </c>
    </row>
    <row r="13430" spans="1:24">
      <c r="A13430" s="27" t="s">
        <v>24064</v>
      </c>
      <c r="B13430" s="28" t="s">
        <v>24017</v>
      </c>
      <c r="C13430" s="27" t="s">
        <v>24065</v>
      </c>
      <c r="D13430" s="27" t="s">
        <v>17578</v>
      </c>
      <c r="E13430" s="29">
        <v>42216</v>
      </c>
      <c r="F13430" s="27">
        <v>10</v>
      </c>
      <c r="G13430" s="18">
        <v>118947.01</v>
      </c>
      <c r="H13430" s="27">
        <f t="shared" si="418"/>
        <v>0</v>
      </c>
      <c r="I13430" s="18">
        <v>40491.550000000003</v>
      </c>
      <c r="J13430" s="27">
        <v>118947.01</v>
      </c>
      <c r="K13430" s="18">
        <f t="shared" si="419"/>
        <v>0</v>
      </c>
      <c r="L13430" s="27">
        <v>51791.519999999997</v>
      </c>
      <c r="M13430" s="36">
        <v>11299.97</v>
      </c>
      <c r="T13430" s="41">
        <v>0</v>
      </c>
      <c r="U13430" s="41">
        <v>0</v>
      </c>
      <c r="V13430" s="42" t="s">
        <v>113</v>
      </c>
      <c r="W13430" s="42">
        <v>0</v>
      </c>
      <c r="X13430" s="42">
        <v>0</v>
      </c>
    </row>
    <row r="13431" spans="1:24">
      <c r="A13431" s="27" t="s">
        <v>24066</v>
      </c>
      <c r="B13431" s="28" t="s">
        <v>24017</v>
      </c>
      <c r="C13431" s="27" t="s">
        <v>24067</v>
      </c>
      <c r="D13431" s="27" t="s">
        <v>17578</v>
      </c>
      <c r="E13431" s="29">
        <v>42216</v>
      </c>
      <c r="F13431" s="27">
        <v>10</v>
      </c>
      <c r="G13431" s="18">
        <v>123180.93</v>
      </c>
      <c r="H13431" s="27">
        <f t="shared" si="418"/>
        <v>0</v>
      </c>
      <c r="I13431" s="18">
        <v>41322.29</v>
      </c>
      <c r="J13431" s="27">
        <v>123180.93</v>
      </c>
      <c r="K13431" s="18">
        <f t="shared" si="419"/>
        <v>0</v>
      </c>
      <c r="L13431" s="27">
        <v>52820.959999999999</v>
      </c>
      <c r="M13431" s="36">
        <v>11498.67</v>
      </c>
      <c r="T13431" s="41">
        <v>0</v>
      </c>
      <c r="U13431" s="41">
        <v>0</v>
      </c>
      <c r="V13431" s="42" t="s">
        <v>113</v>
      </c>
      <c r="W13431" s="42">
        <v>0</v>
      </c>
      <c r="X13431" s="42">
        <v>0</v>
      </c>
    </row>
    <row r="13432" spans="1:24">
      <c r="A13432" s="27" t="s">
        <v>24068</v>
      </c>
      <c r="B13432" s="28" t="s">
        <v>24017</v>
      </c>
      <c r="C13432" s="27" t="s">
        <v>24069</v>
      </c>
      <c r="D13432" s="27" t="s">
        <v>17578</v>
      </c>
      <c r="E13432" s="29">
        <v>42216</v>
      </c>
      <c r="F13432" s="27">
        <v>10</v>
      </c>
      <c r="G13432" s="18">
        <v>123180.93</v>
      </c>
      <c r="H13432" s="27">
        <f t="shared" si="418"/>
        <v>0</v>
      </c>
      <c r="I13432" s="18">
        <v>41322.29</v>
      </c>
      <c r="J13432" s="27">
        <v>123180.93</v>
      </c>
      <c r="K13432" s="18">
        <f t="shared" si="419"/>
        <v>0</v>
      </c>
      <c r="L13432" s="27">
        <v>52820.959999999999</v>
      </c>
      <c r="M13432" s="36">
        <v>11498.67</v>
      </c>
      <c r="T13432" s="41">
        <v>0</v>
      </c>
      <c r="U13432" s="41">
        <v>0</v>
      </c>
      <c r="V13432" s="42" t="s">
        <v>113</v>
      </c>
      <c r="W13432" s="42">
        <v>0</v>
      </c>
      <c r="X13432" s="42">
        <v>0</v>
      </c>
    </row>
    <row r="13433" spans="1:24">
      <c r="A13433" s="27" t="s">
        <v>24070</v>
      </c>
      <c r="B13433" s="28" t="s">
        <v>24017</v>
      </c>
      <c r="C13433" s="27" t="s">
        <v>24071</v>
      </c>
      <c r="D13433" s="27" t="s">
        <v>17578</v>
      </c>
      <c r="E13433" s="29">
        <v>42216</v>
      </c>
      <c r="F13433" s="27">
        <v>10</v>
      </c>
      <c r="G13433" s="18">
        <v>123731.62</v>
      </c>
      <c r="H13433" s="27">
        <f t="shared" si="418"/>
        <v>0</v>
      </c>
      <c r="I13433" s="18">
        <v>42120.3</v>
      </c>
      <c r="J13433" s="27">
        <v>123731.62</v>
      </c>
      <c r="K13433" s="18">
        <f t="shared" si="419"/>
        <v>0</v>
      </c>
      <c r="L13433" s="27">
        <v>53874.8</v>
      </c>
      <c r="M13433" s="36">
        <v>11754.5</v>
      </c>
      <c r="T13433" s="41">
        <v>0</v>
      </c>
      <c r="U13433" s="41">
        <v>0</v>
      </c>
      <c r="V13433" s="42" t="s">
        <v>113</v>
      </c>
      <c r="W13433" s="42">
        <v>0</v>
      </c>
      <c r="X13433" s="42">
        <v>0</v>
      </c>
    </row>
    <row r="13434" spans="1:24">
      <c r="A13434" s="27" t="s">
        <v>24072</v>
      </c>
      <c r="B13434" s="28" t="s">
        <v>24017</v>
      </c>
      <c r="C13434" s="27" t="s">
        <v>24073</v>
      </c>
      <c r="D13434" s="27" t="s">
        <v>17578</v>
      </c>
      <c r="E13434" s="29">
        <v>42216</v>
      </c>
      <c r="F13434" s="27">
        <v>10</v>
      </c>
      <c r="G13434" s="18">
        <v>123731.62</v>
      </c>
      <c r="H13434" s="27">
        <f t="shared" si="418"/>
        <v>0</v>
      </c>
      <c r="I13434" s="18">
        <v>42120.3</v>
      </c>
      <c r="J13434" s="27">
        <v>123731.62</v>
      </c>
      <c r="K13434" s="18">
        <f t="shared" si="419"/>
        <v>0</v>
      </c>
      <c r="L13434" s="27">
        <v>53874.8</v>
      </c>
      <c r="M13434" s="36">
        <v>11754.5</v>
      </c>
      <c r="T13434" s="41">
        <v>0</v>
      </c>
      <c r="U13434" s="41">
        <v>0</v>
      </c>
      <c r="V13434" s="42" t="s">
        <v>113</v>
      </c>
      <c r="W13434" s="42">
        <v>0</v>
      </c>
      <c r="X13434" s="42">
        <v>0</v>
      </c>
    </row>
    <row r="13435" spans="1:24">
      <c r="A13435" s="27" t="s">
        <v>24074</v>
      </c>
      <c r="B13435" s="28" t="s">
        <v>24075</v>
      </c>
      <c r="C13435" s="27" t="s">
        <v>24076</v>
      </c>
      <c r="D13435" s="27" t="s">
        <v>17558</v>
      </c>
      <c r="E13435" s="29">
        <v>39071</v>
      </c>
      <c r="F13435" s="27">
        <v>12</v>
      </c>
      <c r="G13435" s="18">
        <v>5250</v>
      </c>
      <c r="H13435" s="27">
        <f t="shared" si="418"/>
        <v>5250</v>
      </c>
      <c r="I13435" s="18">
        <v>4987.5</v>
      </c>
      <c r="J13435" s="27">
        <v>5250</v>
      </c>
      <c r="K13435" s="18">
        <f t="shared" si="419"/>
        <v>5250</v>
      </c>
      <c r="L13435" s="27">
        <v>4987.5</v>
      </c>
      <c r="M13435" s="36">
        <v>0</v>
      </c>
      <c r="T13435" s="41">
        <v>0</v>
      </c>
      <c r="U13435" s="41">
        <v>0</v>
      </c>
      <c r="V13435" s="42" t="s">
        <v>113</v>
      </c>
      <c r="W13435" s="42">
        <v>5250</v>
      </c>
      <c r="X13435" s="42">
        <v>5250</v>
      </c>
    </row>
    <row r="13436" spans="1:24">
      <c r="A13436" s="27" t="s">
        <v>24077</v>
      </c>
      <c r="B13436" s="28" t="s">
        <v>24075</v>
      </c>
      <c r="C13436" s="27" t="s">
        <v>24078</v>
      </c>
      <c r="D13436" s="27" t="s">
        <v>17558</v>
      </c>
      <c r="E13436" s="29">
        <v>35795</v>
      </c>
      <c r="F13436" s="27">
        <v>12</v>
      </c>
      <c r="G13436" s="18">
        <v>51855.75</v>
      </c>
      <c r="H13436" s="27">
        <f t="shared" si="418"/>
        <v>51855.75</v>
      </c>
      <c r="I13436" s="18">
        <v>49262.96</v>
      </c>
      <c r="J13436" s="27">
        <v>0</v>
      </c>
      <c r="K13436" s="18">
        <f t="shared" si="419"/>
        <v>0</v>
      </c>
      <c r="L13436" s="27">
        <v>0</v>
      </c>
      <c r="M13436" s="36">
        <v>0</v>
      </c>
      <c r="Q13436" s="16" t="s">
        <v>19522</v>
      </c>
      <c r="R13436" s="16">
        <v>51855.75</v>
      </c>
      <c r="S13436" s="16">
        <v>49262.96</v>
      </c>
      <c r="T13436" s="41">
        <v>0</v>
      </c>
      <c r="U13436" s="41">
        <v>0</v>
      </c>
      <c r="V13436" s="42" t="s">
        <v>113</v>
      </c>
      <c r="W13436" s="42">
        <v>0</v>
      </c>
      <c r="X13436" s="42">
        <v>0</v>
      </c>
    </row>
    <row r="13437" spans="1:24">
      <c r="A13437" s="27" t="s">
        <v>24079</v>
      </c>
      <c r="B13437" s="28" t="s">
        <v>24075</v>
      </c>
      <c r="C13437" s="27" t="s">
        <v>24080</v>
      </c>
      <c r="D13437" s="27" t="s">
        <v>17558</v>
      </c>
      <c r="E13437" s="29">
        <v>35795</v>
      </c>
      <c r="F13437" s="27">
        <v>12</v>
      </c>
      <c r="G13437" s="18">
        <v>1324.17</v>
      </c>
      <c r="H13437" s="27">
        <f t="shared" si="418"/>
        <v>1324.17</v>
      </c>
      <c r="I13437" s="18">
        <v>1324.17</v>
      </c>
      <c r="J13437" s="27">
        <v>1324.17</v>
      </c>
      <c r="K13437" s="18">
        <f t="shared" si="419"/>
        <v>1324.17</v>
      </c>
      <c r="L13437" s="27">
        <v>1324.17</v>
      </c>
      <c r="M13437" s="36">
        <v>0</v>
      </c>
      <c r="T13437" s="41">
        <v>0</v>
      </c>
      <c r="U13437" s="41">
        <v>0</v>
      </c>
      <c r="V13437" s="42" t="s">
        <v>113</v>
      </c>
      <c r="W13437" s="42">
        <v>1324.17</v>
      </c>
      <c r="X13437" s="42">
        <v>1324.17</v>
      </c>
    </row>
    <row r="13438" spans="1:24">
      <c r="A13438" s="27" t="s">
        <v>24081</v>
      </c>
      <c r="B13438" s="28" t="s">
        <v>24075</v>
      </c>
      <c r="C13438" s="27" t="s">
        <v>24082</v>
      </c>
      <c r="D13438" s="27" t="s">
        <v>17558</v>
      </c>
      <c r="E13438" s="29">
        <v>35795</v>
      </c>
      <c r="F13438" s="27">
        <v>12</v>
      </c>
      <c r="G13438" s="18">
        <v>51855.75</v>
      </c>
      <c r="H13438" s="27">
        <f t="shared" si="418"/>
        <v>51855.75</v>
      </c>
      <c r="I13438" s="18">
        <v>49262.96</v>
      </c>
      <c r="J13438" s="27">
        <v>51855.75</v>
      </c>
      <c r="K13438" s="18">
        <f t="shared" si="419"/>
        <v>51855.75</v>
      </c>
      <c r="L13438" s="27">
        <v>49262.96</v>
      </c>
      <c r="M13438" s="36">
        <v>0</v>
      </c>
      <c r="T13438" s="41">
        <v>0</v>
      </c>
      <c r="U13438" s="41">
        <v>0</v>
      </c>
      <c r="V13438" s="42" t="s">
        <v>113</v>
      </c>
      <c r="W13438" s="42">
        <v>51855.75</v>
      </c>
      <c r="X13438" s="42">
        <v>51855.75</v>
      </c>
    </row>
    <row r="13439" spans="1:24">
      <c r="A13439" s="27" t="s">
        <v>24083</v>
      </c>
      <c r="B13439" s="28" t="s">
        <v>24075</v>
      </c>
      <c r="C13439" s="27" t="s">
        <v>24084</v>
      </c>
      <c r="D13439" s="27" t="s">
        <v>17578</v>
      </c>
      <c r="E13439" s="29">
        <v>42338</v>
      </c>
      <c r="F13439" s="27">
        <v>12</v>
      </c>
      <c r="G13439" s="18">
        <v>13979.77</v>
      </c>
      <c r="H13439" s="27">
        <f t="shared" si="418"/>
        <v>0</v>
      </c>
      <c r="I13439" s="18">
        <v>3568.13</v>
      </c>
      <c r="J13439" s="27">
        <v>13979.77</v>
      </c>
      <c r="K13439" s="18">
        <f t="shared" si="419"/>
        <v>0</v>
      </c>
      <c r="L13439" s="27">
        <v>4657.3999999999996</v>
      </c>
      <c r="M13439" s="36">
        <v>1089.27</v>
      </c>
      <c r="T13439" s="41">
        <v>0</v>
      </c>
      <c r="U13439" s="41">
        <v>0</v>
      </c>
      <c r="V13439" s="42" t="s">
        <v>113</v>
      </c>
      <c r="W13439" s="42">
        <v>0</v>
      </c>
      <c r="X13439" s="42">
        <v>0</v>
      </c>
    </row>
    <row r="13440" spans="1:24">
      <c r="A13440" s="27" t="s">
        <v>24085</v>
      </c>
      <c r="B13440" s="28" t="s">
        <v>24075</v>
      </c>
      <c r="C13440" s="27" t="s">
        <v>24086</v>
      </c>
      <c r="D13440" s="27" t="s">
        <v>17578</v>
      </c>
      <c r="E13440" s="29">
        <v>42338</v>
      </c>
      <c r="F13440" s="27">
        <v>12</v>
      </c>
      <c r="G13440" s="18">
        <v>14201.03</v>
      </c>
      <c r="H13440" s="27">
        <f t="shared" si="418"/>
        <v>0</v>
      </c>
      <c r="I13440" s="18">
        <v>3606.63</v>
      </c>
      <c r="J13440" s="27">
        <v>14201.03</v>
      </c>
      <c r="K13440" s="18">
        <f t="shared" si="419"/>
        <v>0</v>
      </c>
      <c r="L13440" s="27">
        <v>4715.16</v>
      </c>
      <c r="M13440" s="36">
        <v>1108.53</v>
      </c>
      <c r="T13440" s="41">
        <v>0</v>
      </c>
      <c r="U13440" s="41">
        <v>0</v>
      </c>
      <c r="V13440" s="42" t="s">
        <v>113</v>
      </c>
      <c r="W13440" s="42">
        <v>0</v>
      </c>
      <c r="X13440" s="42">
        <v>0</v>
      </c>
    </row>
    <row r="13441" spans="1:24">
      <c r="A13441" s="27" t="s">
        <v>24087</v>
      </c>
      <c r="B13441" s="28" t="s">
        <v>24075</v>
      </c>
      <c r="C13441" s="27" t="s">
        <v>24088</v>
      </c>
      <c r="D13441" s="27" t="s">
        <v>17578</v>
      </c>
      <c r="E13441" s="29">
        <v>42338</v>
      </c>
      <c r="F13441" s="27">
        <v>12</v>
      </c>
      <c r="G13441" s="18">
        <v>14201.03</v>
      </c>
      <c r="H13441" s="27">
        <f t="shared" si="418"/>
        <v>0</v>
      </c>
      <c r="I13441" s="18">
        <v>3606.63</v>
      </c>
      <c r="J13441" s="27">
        <v>14201.03</v>
      </c>
      <c r="K13441" s="18">
        <f t="shared" si="419"/>
        <v>0</v>
      </c>
      <c r="L13441" s="27">
        <v>4715.16</v>
      </c>
      <c r="M13441" s="36">
        <v>1108.53</v>
      </c>
      <c r="T13441" s="41">
        <v>0</v>
      </c>
      <c r="U13441" s="41">
        <v>0</v>
      </c>
      <c r="V13441" s="42" t="s">
        <v>113</v>
      </c>
      <c r="W13441" s="42">
        <v>0</v>
      </c>
      <c r="X13441" s="42">
        <v>0</v>
      </c>
    </row>
    <row r="13442" spans="1:24">
      <c r="A13442" s="27" t="s">
        <v>24089</v>
      </c>
      <c r="B13442" s="28" t="s">
        <v>24075</v>
      </c>
      <c r="C13442" s="27" t="s">
        <v>24090</v>
      </c>
      <c r="D13442" s="27" t="s">
        <v>17578</v>
      </c>
      <c r="E13442" s="29">
        <v>42338</v>
      </c>
      <c r="F13442" s="27">
        <v>12</v>
      </c>
      <c r="G13442" s="18">
        <v>14201.03</v>
      </c>
      <c r="H13442" s="27">
        <f t="shared" si="418"/>
        <v>0</v>
      </c>
      <c r="I13442" s="18">
        <v>3606.63</v>
      </c>
      <c r="J13442" s="27">
        <v>14201.03</v>
      </c>
      <c r="K13442" s="18">
        <f t="shared" si="419"/>
        <v>0</v>
      </c>
      <c r="L13442" s="27">
        <v>4715.16</v>
      </c>
      <c r="M13442" s="36">
        <v>1108.53</v>
      </c>
      <c r="T13442" s="41">
        <v>0</v>
      </c>
      <c r="U13442" s="41">
        <v>0</v>
      </c>
      <c r="V13442" s="42" t="s">
        <v>113</v>
      </c>
      <c r="W13442" s="42">
        <v>0</v>
      </c>
      <c r="X13442" s="42">
        <v>0</v>
      </c>
    </row>
    <row r="13443" spans="1:24">
      <c r="A13443" s="27" t="s">
        <v>24091</v>
      </c>
      <c r="B13443" s="28" t="s">
        <v>24075</v>
      </c>
      <c r="C13443" s="27" t="s">
        <v>24092</v>
      </c>
      <c r="D13443" s="27" t="s">
        <v>17578</v>
      </c>
      <c r="E13443" s="29">
        <v>42338</v>
      </c>
      <c r="F13443" s="27">
        <v>12</v>
      </c>
      <c r="G13443" s="18">
        <v>14201.03</v>
      </c>
      <c r="H13443" s="27">
        <f t="shared" si="418"/>
        <v>0</v>
      </c>
      <c r="I13443" s="18">
        <v>3606.63</v>
      </c>
      <c r="J13443" s="27">
        <v>14201.03</v>
      </c>
      <c r="K13443" s="18">
        <f t="shared" si="419"/>
        <v>0</v>
      </c>
      <c r="L13443" s="27">
        <v>4715.16</v>
      </c>
      <c r="M13443" s="36">
        <v>1108.53</v>
      </c>
      <c r="T13443" s="41">
        <v>0</v>
      </c>
      <c r="U13443" s="41">
        <v>0</v>
      </c>
      <c r="V13443" s="42" t="s">
        <v>113</v>
      </c>
      <c r="W13443" s="42">
        <v>0</v>
      </c>
      <c r="X13443" s="42">
        <v>0</v>
      </c>
    </row>
    <row r="13444" spans="1:24">
      <c r="A13444" s="27" t="s">
        <v>24093</v>
      </c>
      <c r="B13444" s="28" t="s">
        <v>24075</v>
      </c>
      <c r="C13444" s="27" t="s">
        <v>24094</v>
      </c>
      <c r="D13444" s="27" t="s">
        <v>17578</v>
      </c>
      <c r="E13444" s="29">
        <v>42338</v>
      </c>
      <c r="F13444" s="27">
        <v>12</v>
      </c>
      <c r="G13444" s="18">
        <v>14201.03</v>
      </c>
      <c r="H13444" s="27">
        <f t="shared" si="418"/>
        <v>0</v>
      </c>
      <c r="I13444" s="18">
        <v>3606.63</v>
      </c>
      <c r="J13444" s="27">
        <v>14201.03</v>
      </c>
      <c r="K13444" s="18">
        <f t="shared" si="419"/>
        <v>0</v>
      </c>
      <c r="L13444" s="27">
        <v>4715.16</v>
      </c>
      <c r="M13444" s="36">
        <v>1108.53</v>
      </c>
      <c r="T13444" s="41">
        <v>0</v>
      </c>
      <c r="U13444" s="41">
        <v>0</v>
      </c>
      <c r="V13444" s="42" t="s">
        <v>113</v>
      </c>
      <c r="W13444" s="42">
        <v>0</v>
      </c>
      <c r="X13444" s="42">
        <v>0</v>
      </c>
    </row>
    <row r="13445" spans="1:24">
      <c r="A13445" s="27" t="s">
        <v>24095</v>
      </c>
      <c r="B13445" s="28" t="s">
        <v>24075</v>
      </c>
      <c r="C13445" s="27" t="s">
        <v>24096</v>
      </c>
      <c r="D13445" s="27" t="s">
        <v>17578</v>
      </c>
      <c r="E13445" s="29">
        <v>42338</v>
      </c>
      <c r="F13445" s="27">
        <v>12</v>
      </c>
      <c r="G13445" s="18">
        <v>14201.03</v>
      </c>
      <c r="H13445" s="27">
        <f t="shared" si="418"/>
        <v>0</v>
      </c>
      <c r="I13445" s="18">
        <v>3606.63</v>
      </c>
      <c r="J13445" s="27">
        <v>14201.03</v>
      </c>
      <c r="K13445" s="18">
        <f t="shared" si="419"/>
        <v>0</v>
      </c>
      <c r="L13445" s="27">
        <v>4715.16</v>
      </c>
      <c r="M13445" s="36">
        <v>1108.53</v>
      </c>
      <c r="T13445" s="41">
        <v>0</v>
      </c>
      <c r="U13445" s="41">
        <v>0</v>
      </c>
      <c r="V13445" s="42" t="s">
        <v>113</v>
      </c>
      <c r="W13445" s="42">
        <v>0</v>
      </c>
      <c r="X13445" s="42">
        <v>0</v>
      </c>
    </row>
    <row r="13446" spans="1:24">
      <c r="A13446" s="27" t="s">
        <v>24097</v>
      </c>
      <c r="B13446" s="28" t="s">
        <v>24075</v>
      </c>
      <c r="C13446" s="27" t="s">
        <v>24098</v>
      </c>
      <c r="D13446" s="27" t="s">
        <v>17578</v>
      </c>
      <c r="E13446" s="29">
        <v>42338</v>
      </c>
      <c r="F13446" s="27">
        <v>12</v>
      </c>
      <c r="G13446" s="18">
        <v>14201.03</v>
      </c>
      <c r="H13446" s="27">
        <f t="shared" ref="H13446:H13509" si="420">IFERROR(IF(ROUND((G13446-I13446)/G13446,2)&lt;=0.05,G13446,0),0)</f>
        <v>0</v>
      </c>
      <c r="I13446" s="18">
        <v>3606.63</v>
      </c>
      <c r="J13446" s="27">
        <v>14201.03</v>
      </c>
      <c r="K13446" s="18">
        <f t="shared" ref="K13446:K13509" si="421">IFERROR(IF(ROUND((J13446-L13446)/J13446,2)&lt;=0.05,J13446,0),0)</f>
        <v>0</v>
      </c>
      <c r="L13446" s="27">
        <v>4715.16</v>
      </c>
      <c r="M13446" s="36">
        <v>1108.53</v>
      </c>
      <c r="T13446" s="41">
        <v>0</v>
      </c>
      <c r="U13446" s="41">
        <v>0</v>
      </c>
      <c r="V13446" s="42" t="s">
        <v>113</v>
      </c>
      <c r="W13446" s="42">
        <v>0</v>
      </c>
      <c r="X13446" s="42">
        <v>0</v>
      </c>
    </row>
    <row r="13447" spans="1:24">
      <c r="A13447" s="27" t="s">
        <v>24099</v>
      </c>
      <c r="B13447" s="28" t="s">
        <v>24075</v>
      </c>
      <c r="C13447" s="27" t="s">
        <v>24100</v>
      </c>
      <c r="D13447" s="27" t="s">
        <v>17578</v>
      </c>
      <c r="E13447" s="29">
        <v>42338</v>
      </c>
      <c r="F13447" s="27">
        <v>12</v>
      </c>
      <c r="G13447" s="18">
        <v>14201.03</v>
      </c>
      <c r="H13447" s="27">
        <f t="shared" si="420"/>
        <v>0</v>
      </c>
      <c r="I13447" s="18">
        <v>3606.63</v>
      </c>
      <c r="J13447" s="27">
        <v>14201.03</v>
      </c>
      <c r="K13447" s="18">
        <f t="shared" si="421"/>
        <v>0</v>
      </c>
      <c r="L13447" s="27">
        <v>4715.16</v>
      </c>
      <c r="M13447" s="36">
        <v>1108.53</v>
      </c>
      <c r="T13447" s="41">
        <v>0</v>
      </c>
      <c r="U13447" s="41">
        <v>0</v>
      </c>
      <c r="V13447" s="42" t="s">
        <v>113</v>
      </c>
      <c r="W13447" s="42">
        <v>0</v>
      </c>
      <c r="X13447" s="42">
        <v>0</v>
      </c>
    </row>
    <row r="13448" spans="1:24">
      <c r="A13448" s="27" t="s">
        <v>24101</v>
      </c>
      <c r="B13448" s="28" t="s">
        <v>24075</v>
      </c>
      <c r="C13448" s="27" t="s">
        <v>24102</v>
      </c>
      <c r="D13448" s="27" t="s">
        <v>17578</v>
      </c>
      <c r="E13448" s="29">
        <v>42338</v>
      </c>
      <c r="F13448" s="27">
        <v>12</v>
      </c>
      <c r="G13448" s="18">
        <v>14201.03</v>
      </c>
      <c r="H13448" s="27">
        <f t="shared" si="420"/>
        <v>0</v>
      </c>
      <c r="I13448" s="18">
        <v>3606.63</v>
      </c>
      <c r="J13448" s="27">
        <v>14201.03</v>
      </c>
      <c r="K13448" s="18">
        <f t="shared" si="421"/>
        <v>0</v>
      </c>
      <c r="L13448" s="27">
        <v>4715.16</v>
      </c>
      <c r="M13448" s="36">
        <v>1108.53</v>
      </c>
      <c r="T13448" s="41">
        <v>0</v>
      </c>
      <c r="U13448" s="41">
        <v>0</v>
      </c>
      <c r="V13448" s="42" t="s">
        <v>113</v>
      </c>
      <c r="W13448" s="42">
        <v>0</v>
      </c>
      <c r="X13448" s="42">
        <v>0</v>
      </c>
    </row>
    <row r="13449" spans="1:24">
      <c r="A13449" s="27" t="s">
        <v>24103</v>
      </c>
      <c r="B13449" s="28" t="s">
        <v>24075</v>
      </c>
      <c r="C13449" s="27" t="s">
        <v>24104</v>
      </c>
      <c r="D13449" s="27" t="s">
        <v>17578</v>
      </c>
      <c r="E13449" s="29">
        <v>42338</v>
      </c>
      <c r="F13449" s="27">
        <v>12</v>
      </c>
      <c r="G13449" s="18">
        <v>14201.03</v>
      </c>
      <c r="H13449" s="27">
        <f t="shared" si="420"/>
        <v>0</v>
      </c>
      <c r="I13449" s="18">
        <v>3606.63</v>
      </c>
      <c r="J13449" s="27">
        <v>14201.03</v>
      </c>
      <c r="K13449" s="18">
        <f t="shared" si="421"/>
        <v>0</v>
      </c>
      <c r="L13449" s="27">
        <v>4715.16</v>
      </c>
      <c r="M13449" s="36">
        <v>1108.53</v>
      </c>
      <c r="T13449" s="41">
        <v>0</v>
      </c>
      <c r="U13449" s="41">
        <v>0</v>
      </c>
      <c r="V13449" s="42" t="s">
        <v>113</v>
      </c>
      <c r="W13449" s="42">
        <v>0</v>
      </c>
      <c r="X13449" s="42">
        <v>0</v>
      </c>
    </row>
    <row r="13450" spans="1:24">
      <c r="A13450" s="27" t="s">
        <v>24105</v>
      </c>
      <c r="B13450" s="28" t="s">
        <v>24075</v>
      </c>
      <c r="C13450" s="27" t="s">
        <v>24106</v>
      </c>
      <c r="D13450" s="27" t="s">
        <v>17578</v>
      </c>
      <c r="E13450" s="29">
        <v>42338</v>
      </c>
      <c r="F13450" s="27">
        <v>12</v>
      </c>
      <c r="G13450" s="18">
        <v>14201.03</v>
      </c>
      <c r="H13450" s="27">
        <f t="shared" si="420"/>
        <v>0</v>
      </c>
      <c r="I13450" s="18">
        <v>3606.63</v>
      </c>
      <c r="J13450" s="27">
        <v>14201.03</v>
      </c>
      <c r="K13450" s="18">
        <f t="shared" si="421"/>
        <v>0</v>
      </c>
      <c r="L13450" s="27">
        <v>4715.16</v>
      </c>
      <c r="M13450" s="36">
        <v>1108.53</v>
      </c>
      <c r="T13450" s="41">
        <v>0</v>
      </c>
      <c r="U13450" s="41">
        <v>0</v>
      </c>
      <c r="V13450" s="42" t="s">
        <v>113</v>
      </c>
      <c r="W13450" s="42">
        <v>0</v>
      </c>
      <c r="X13450" s="42">
        <v>0</v>
      </c>
    </row>
    <row r="13451" spans="1:24">
      <c r="A13451" s="27" t="s">
        <v>24107</v>
      </c>
      <c r="B13451" s="28" t="s">
        <v>24075</v>
      </c>
      <c r="C13451" s="27" t="s">
        <v>24108</v>
      </c>
      <c r="D13451" s="27" t="s">
        <v>17578</v>
      </c>
      <c r="E13451" s="29">
        <v>42338</v>
      </c>
      <c r="F13451" s="27">
        <v>12</v>
      </c>
      <c r="G13451" s="18">
        <v>14201.03</v>
      </c>
      <c r="H13451" s="27">
        <f t="shared" si="420"/>
        <v>0</v>
      </c>
      <c r="I13451" s="18">
        <v>3606.63</v>
      </c>
      <c r="J13451" s="27">
        <v>14201.03</v>
      </c>
      <c r="K13451" s="18">
        <f t="shared" si="421"/>
        <v>0</v>
      </c>
      <c r="L13451" s="27">
        <v>4715.16</v>
      </c>
      <c r="M13451" s="36">
        <v>1108.53</v>
      </c>
      <c r="T13451" s="41">
        <v>0</v>
      </c>
      <c r="U13451" s="41">
        <v>0</v>
      </c>
      <c r="V13451" s="42" t="s">
        <v>113</v>
      </c>
      <c r="W13451" s="42">
        <v>0</v>
      </c>
      <c r="X13451" s="42">
        <v>0</v>
      </c>
    </row>
    <row r="13452" spans="1:24">
      <c r="A13452" s="27" t="s">
        <v>24109</v>
      </c>
      <c r="B13452" s="28" t="s">
        <v>24075</v>
      </c>
      <c r="C13452" s="27" t="s">
        <v>24110</v>
      </c>
      <c r="D13452" s="27" t="s">
        <v>17578</v>
      </c>
      <c r="E13452" s="29">
        <v>42338</v>
      </c>
      <c r="F13452" s="27">
        <v>12</v>
      </c>
      <c r="G13452" s="18">
        <v>14201.03</v>
      </c>
      <c r="H13452" s="27">
        <f t="shared" si="420"/>
        <v>0</v>
      </c>
      <c r="I13452" s="18">
        <v>3606.63</v>
      </c>
      <c r="J13452" s="27">
        <v>14201.03</v>
      </c>
      <c r="K13452" s="18">
        <f t="shared" si="421"/>
        <v>0</v>
      </c>
      <c r="L13452" s="27">
        <v>4715.16</v>
      </c>
      <c r="M13452" s="36">
        <v>1108.53</v>
      </c>
      <c r="T13452" s="41">
        <v>0</v>
      </c>
      <c r="U13452" s="41">
        <v>0</v>
      </c>
      <c r="V13452" s="42" t="s">
        <v>113</v>
      </c>
      <c r="W13452" s="42">
        <v>0</v>
      </c>
      <c r="X13452" s="42">
        <v>0</v>
      </c>
    </row>
    <row r="13453" spans="1:24">
      <c r="A13453" s="27" t="s">
        <v>24111</v>
      </c>
      <c r="B13453" s="28" t="s">
        <v>24075</v>
      </c>
      <c r="C13453" s="27" t="s">
        <v>24112</v>
      </c>
      <c r="D13453" s="27" t="s">
        <v>17578</v>
      </c>
      <c r="E13453" s="29">
        <v>42338</v>
      </c>
      <c r="F13453" s="27">
        <v>12</v>
      </c>
      <c r="G13453" s="18">
        <v>14201.03</v>
      </c>
      <c r="H13453" s="27">
        <f t="shared" si="420"/>
        <v>0</v>
      </c>
      <c r="I13453" s="18">
        <v>3606.63</v>
      </c>
      <c r="J13453" s="27">
        <v>14201.03</v>
      </c>
      <c r="K13453" s="18">
        <f t="shared" si="421"/>
        <v>0</v>
      </c>
      <c r="L13453" s="27">
        <v>4715.16</v>
      </c>
      <c r="M13453" s="36">
        <v>1108.53</v>
      </c>
      <c r="T13453" s="41">
        <v>0</v>
      </c>
      <c r="U13453" s="41">
        <v>0</v>
      </c>
      <c r="V13453" s="42" t="s">
        <v>113</v>
      </c>
      <c r="W13453" s="42">
        <v>0</v>
      </c>
      <c r="X13453" s="42">
        <v>0</v>
      </c>
    </row>
    <row r="13454" spans="1:24">
      <c r="A13454" s="27" t="s">
        <v>24113</v>
      </c>
      <c r="B13454" s="28" t="s">
        <v>24075</v>
      </c>
      <c r="C13454" s="27" t="s">
        <v>24114</v>
      </c>
      <c r="D13454" s="27" t="s">
        <v>17578</v>
      </c>
      <c r="E13454" s="29">
        <v>42338</v>
      </c>
      <c r="F13454" s="27">
        <v>12</v>
      </c>
      <c r="G13454" s="18">
        <v>14201.03</v>
      </c>
      <c r="H13454" s="27">
        <f t="shared" si="420"/>
        <v>0</v>
      </c>
      <c r="I13454" s="18">
        <v>3606.63</v>
      </c>
      <c r="J13454" s="27">
        <v>14201.03</v>
      </c>
      <c r="K13454" s="18">
        <f t="shared" si="421"/>
        <v>0</v>
      </c>
      <c r="L13454" s="27">
        <v>4715.16</v>
      </c>
      <c r="M13454" s="36">
        <v>1108.53</v>
      </c>
      <c r="T13454" s="41">
        <v>0</v>
      </c>
      <c r="U13454" s="41">
        <v>0</v>
      </c>
      <c r="V13454" s="42" t="s">
        <v>113</v>
      </c>
      <c r="W13454" s="42">
        <v>0</v>
      </c>
      <c r="X13454" s="42">
        <v>0</v>
      </c>
    </row>
    <row r="13455" spans="1:24">
      <c r="A13455" s="27" t="s">
        <v>24115</v>
      </c>
      <c r="B13455" s="28" t="s">
        <v>24075</v>
      </c>
      <c r="C13455" s="27" t="s">
        <v>24116</v>
      </c>
      <c r="D13455" s="27" t="s">
        <v>17578</v>
      </c>
      <c r="E13455" s="29">
        <v>42338</v>
      </c>
      <c r="F13455" s="27">
        <v>12</v>
      </c>
      <c r="G13455" s="18">
        <v>14201.03</v>
      </c>
      <c r="H13455" s="27">
        <f t="shared" si="420"/>
        <v>0</v>
      </c>
      <c r="I13455" s="18">
        <v>3606.63</v>
      </c>
      <c r="J13455" s="27">
        <v>14201.03</v>
      </c>
      <c r="K13455" s="18">
        <f t="shared" si="421"/>
        <v>0</v>
      </c>
      <c r="L13455" s="27">
        <v>4715.16</v>
      </c>
      <c r="M13455" s="36">
        <v>1108.53</v>
      </c>
      <c r="T13455" s="41">
        <v>0</v>
      </c>
      <c r="U13455" s="41">
        <v>0</v>
      </c>
      <c r="V13455" s="42" t="s">
        <v>113</v>
      </c>
      <c r="W13455" s="42">
        <v>0</v>
      </c>
      <c r="X13455" s="42">
        <v>0</v>
      </c>
    </row>
    <row r="13456" spans="1:24">
      <c r="A13456" s="27" t="s">
        <v>24117</v>
      </c>
      <c r="B13456" s="28" t="s">
        <v>24075</v>
      </c>
      <c r="C13456" s="27" t="s">
        <v>24118</v>
      </c>
      <c r="D13456" s="27" t="s">
        <v>17578</v>
      </c>
      <c r="E13456" s="29">
        <v>42338</v>
      </c>
      <c r="F13456" s="27">
        <v>12</v>
      </c>
      <c r="G13456" s="18">
        <v>14201.03</v>
      </c>
      <c r="H13456" s="27">
        <f t="shared" si="420"/>
        <v>0</v>
      </c>
      <c r="I13456" s="18">
        <v>3606.63</v>
      </c>
      <c r="J13456" s="27">
        <v>14201.03</v>
      </c>
      <c r="K13456" s="18">
        <f t="shared" si="421"/>
        <v>0</v>
      </c>
      <c r="L13456" s="27">
        <v>4715.16</v>
      </c>
      <c r="M13456" s="36">
        <v>1108.53</v>
      </c>
      <c r="T13456" s="41">
        <v>0</v>
      </c>
      <c r="U13456" s="41">
        <v>0</v>
      </c>
      <c r="V13456" s="42" t="s">
        <v>113</v>
      </c>
      <c r="W13456" s="42">
        <v>0</v>
      </c>
      <c r="X13456" s="42">
        <v>0</v>
      </c>
    </row>
    <row r="13457" spans="1:24">
      <c r="A13457" s="27" t="s">
        <v>24119</v>
      </c>
      <c r="B13457" s="28" t="s">
        <v>24075</v>
      </c>
      <c r="C13457" s="27" t="s">
        <v>24120</v>
      </c>
      <c r="D13457" s="27" t="s">
        <v>17578</v>
      </c>
      <c r="E13457" s="29">
        <v>42338</v>
      </c>
      <c r="F13457" s="27">
        <v>12</v>
      </c>
      <c r="G13457" s="18">
        <v>14201.03</v>
      </c>
      <c r="H13457" s="27">
        <f t="shared" si="420"/>
        <v>0</v>
      </c>
      <c r="I13457" s="18">
        <v>3606.63</v>
      </c>
      <c r="J13457" s="27">
        <v>14201.03</v>
      </c>
      <c r="K13457" s="18">
        <f t="shared" si="421"/>
        <v>0</v>
      </c>
      <c r="L13457" s="27">
        <v>4715.16</v>
      </c>
      <c r="M13457" s="36">
        <v>1108.53</v>
      </c>
      <c r="T13457" s="41">
        <v>0</v>
      </c>
      <c r="U13457" s="41">
        <v>0</v>
      </c>
      <c r="V13457" s="42" t="s">
        <v>113</v>
      </c>
      <c r="W13457" s="42">
        <v>0</v>
      </c>
      <c r="X13457" s="42">
        <v>0</v>
      </c>
    </row>
    <row r="13458" spans="1:24">
      <c r="A13458" s="27" t="s">
        <v>24121</v>
      </c>
      <c r="B13458" s="28" t="s">
        <v>24075</v>
      </c>
      <c r="C13458" s="27" t="s">
        <v>24122</v>
      </c>
      <c r="D13458" s="27" t="s">
        <v>17578</v>
      </c>
      <c r="E13458" s="29">
        <v>42711</v>
      </c>
      <c r="F13458" s="27">
        <v>12</v>
      </c>
      <c r="G13458" s="18">
        <v>122136.75</v>
      </c>
      <c r="H13458" s="27">
        <f t="shared" si="420"/>
        <v>0</v>
      </c>
      <c r="I13458" s="18">
        <v>19338.32</v>
      </c>
      <c r="J13458" s="27">
        <v>122136.75</v>
      </c>
      <c r="K13458" s="18">
        <f t="shared" si="421"/>
        <v>0</v>
      </c>
      <c r="L13458" s="27">
        <v>29007.48</v>
      </c>
      <c r="M13458" s="36">
        <v>9669.16</v>
      </c>
      <c r="T13458" s="41">
        <v>0</v>
      </c>
      <c r="U13458" s="41">
        <v>0</v>
      </c>
      <c r="V13458" s="42" t="s">
        <v>113</v>
      </c>
      <c r="W13458" s="42">
        <v>0</v>
      </c>
      <c r="X13458" s="42">
        <v>0</v>
      </c>
    </row>
    <row r="13459" spans="1:24">
      <c r="A13459" s="27" t="s">
        <v>24123</v>
      </c>
      <c r="B13459" s="28" t="s">
        <v>24075</v>
      </c>
      <c r="C13459" s="27" t="s">
        <v>24124</v>
      </c>
      <c r="D13459" s="27" t="s">
        <v>17578</v>
      </c>
      <c r="E13459" s="29">
        <v>42711</v>
      </c>
      <c r="F13459" s="27">
        <v>12</v>
      </c>
      <c r="G13459" s="18">
        <v>117863.25</v>
      </c>
      <c r="H13459" s="27">
        <f t="shared" si="420"/>
        <v>0</v>
      </c>
      <c r="I13459" s="18">
        <v>18661.68</v>
      </c>
      <c r="J13459" s="27">
        <v>117863.25</v>
      </c>
      <c r="K13459" s="18">
        <f t="shared" si="421"/>
        <v>0</v>
      </c>
      <c r="L13459" s="27">
        <v>27992.52</v>
      </c>
      <c r="M13459" s="36">
        <v>9330.84</v>
      </c>
      <c r="T13459" s="41">
        <v>0</v>
      </c>
      <c r="U13459" s="41">
        <v>0</v>
      </c>
      <c r="V13459" s="42" t="s">
        <v>113</v>
      </c>
      <c r="W13459" s="42">
        <v>0</v>
      </c>
      <c r="X13459" s="42">
        <v>0</v>
      </c>
    </row>
    <row r="13460" spans="1:24">
      <c r="A13460" s="27" t="s">
        <v>24125</v>
      </c>
      <c r="B13460" s="28" t="s">
        <v>24075</v>
      </c>
      <c r="C13460" s="27" t="s">
        <v>24126</v>
      </c>
      <c r="D13460" s="27" t="s">
        <v>17558</v>
      </c>
      <c r="E13460" s="29">
        <v>41264</v>
      </c>
      <c r="F13460" s="27">
        <v>12</v>
      </c>
      <c r="G13460" s="18">
        <v>4700.8500000000004</v>
      </c>
      <c r="H13460" s="27">
        <f t="shared" si="420"/>
        <v>4700.8500000000004</v>
      </c>
      <c r="I13460" s="18">
        <v>4700.8500000000004</v>
      </c>
      <c r="J13460" s="27">
        <v>4700.8500000000004</v>
      </c>
      <c r="K13460" s="18">
        <f t="shared" si="421"/>
        <v>4700.8500000000004</v>
      </c>
      <c r="L13460" s="27">
        <v>4700.8500000000004</v>
      </c>
      <c r="M13460" s="36">
        <v>0</v>
      </c>
      <c r="T13460" s="41">
        <v>0</v>
      </c>
      <c r="U13460" s="41">
        <v>0</v>
      </c>
      <c r="V13460" s="42" t="s">
        <v>113</v>
      </c>
      <c r="W13460" s="42">
        <v>4700.8500000000004</v>
      </c>
      <c r="X13460" s="42">
        <v>4700.8500000000004</v>
      </c>
    </row>
    <row r="13461" spans="1:24">
      <c r="A13461" s="27" t="s">
        <v>24127</v>
      </c>
      <c r="B13461" s="28" t="s">
        <v>24075</v>
      </c>
      <c r="C13461" s="27" t="s">
        <v>24128</v>
      </c>
      <c r="D13461" s="27" t="s">
        <v>17558</v>
      </c>
      <c r="E13461" s="29">
        <v>37591</v>
      </c>
      <c r="F13461" s="27">
        <v>12</v>
      </c>
      <c r="G13461" s="18">
        <v>4949</v>
      </c>
      <c r="H13461" s="27">
        <f t="shared" si="420"/>
        <v>4949</v>
      </c>
      <c r="I13461" s="18">
        <v>4949</v>
      </c>
      <c r="J13461" s="27">
        <v>4949</v>
      </c>
      <c r="K13461" s="18">
        <f t="shared" si="421"/>
        <v>4949</v>
      </c>
      <c r="L13461" s="27">
        <v>4949</v>
      </c>
      <c r="M13461" s="36">
        <v>0</v>
      </c>
      <c r="T13461" s="41">
        <v>0</v>
      </c>
      <c r="U13461" s="41">
        <v>0</v>
      </c>
      <c r="V13461" s="42" t="s">
        <v>113</v>
      </c>
      <c r="W13461" s="42">
        <v>4949</v>
      </c>
      <c r="X13461" s="42">
        <v>4949</v>
      </c>
    </row>
    <row r="13462" spans="1:24">
      <c r="A13462" s="27" t="s">
        <v>24129</v>
      </c>
      <c r="B13462" s="28" t="s">
        <v>24075</v>
      </c>
      <c r="C13462" s="27" t="s">
        <v>24130</v>
      </c>
      <c r="D13462" s="27" t="s">
        <v>17558</v>
      </c>
      <c r="E13462" s="29">
        <v>39015</v>
      </c>
      <c r="F13462" s="27">
        <v>12</v>
      </c>
      <c r="G13462" s="18">
        <v>900</v>
      </c>
      <c r="H13462" s="27">
        <f t="shared" si="420"/>
        <v>900</v>
      </c>
      <c r="I13462" s="18">
        <v>900</v>
      </c>
      <c r="J13462" s="27">
        <v>900</v>
      </c>
      <c r="K13462" s="18">
        <f t="shared" si="421"/>
        <v>900</v>
      </c>
      <c r="L13462" s="27">
        <v>900</v>
      </c>
      <c r="M13462" s="36">
        <v>0</v>
      </c>
      <c r="T13462" s="41">
        <v>0</v>
      </c>
      <c r="U13462" s="41">
        <v>0</v>
      </c>
      <c r="V13462" s="42" t="s">
        <v>113</v>
      </c>
      <c r="W13462" s="42">
        <v>900</v>
      </c>
      <c r="X13462" s="42">
        <v>900</v>
      </c>
    </row>
    <row r="13463" spans="1:24">
      <c r="A13463" s="27" t="s">
        <v>24131</v>
      </c>
      <c r="B13463" s="28" t="s">
        <v>24075</v>
      </c>
      <c r="C13463" s="27" t="s">
        <v>24132</v>
      </c>
      <c r="D13463" s="27" t="s">
        <v>17558</v>
      </c>
      <c r="E13463" s="29">
        <v>39015</v>
      </c>
      <c r="F13463" s="27">
        <v>12</v>
      </c>
      <c r="G13463" s="18">
        <v>900</v>
      </c>
      <c r="H13463" s="27">
        <f t="shared" si="420"/>
        <v>900</v>
      </c>
      <c r="I13463" s="18">
        <v>900</v>
      </c>
      <c r="J13463" s="27">
        <v>900</v>
      </c>
      <c r="K13463" s="18">
        <f t="shared" si="421"/>
        <v>900</v>
      </c>
      <c r="L13463" s="27">
        <v>900</v>
      </c>
      <c r="M13463" s="36">
        <v>0</v>
      </c>
      <c r="T13463" s="41">
        <v>0</v>
      </c>
      <c r="U13463" s="41">
        <v>0</v>
      </c>
      <c r="V13463" s="42" t="s">
        <v>113</v>
      </c>
      <c r="W13463" s="42">
        <v>900</v>
      </c>
      <c r="X13463" s="42">
        <v>900</v>
      </c>
    </row>
    <row r="13464" spans="1:24">
      <c r="A13464" s="27" t="s">
        <v>24133</v>
      </c>
      <c r="B13464" s="28" t="s">
        <v>24075</v>
      </c>
      <c r="C13464" s="27" t="s">
        <v>24132</v>
      </c>
      <c r="D13464" s="27" t="s">
        <v>17558</v>
      </c>
      <c r="E13464" s="29">
        <v>39015</v>
      </c>
      <c r="F13464" s="27">
        <v>12</v>
      </c>
      <c r="G13464" s="18">
        <v>900</v>
      </c>
      <c r="H13464" s="27">
        <f t="shared" si="420"/>
        <v>900</v>
      </c>
      <c r="I13464" s="18">
        <v>900</v>
      </c>
      <c r="J13464" s="27">
        <v>900</v>
      </c>
      <c r="K13464" s="18">
        <f t="shared" si="421"/>
        <v>900</v>
      </c>
      <c r="L13464" s="27">
        <v>900</v>
      </c>
      <c r="M13464" s="36">
        <v>0</v>
      </c>
      <c r="T13464" s="41">
        <v>0</v>
      </c>
      <c r="U13464" s="41">
        <v>0</v>
      </c>
      <c r="V13464" s="42" t="s">
        <v>113</v>
      </c>
      <c r="W13464" s="42">
        <v>900</v>
      </c>
      <c r="X13464" s="42">
        <v>900</v>
      </c>
    </row>
    <row r="13465" spans="1:24">
      <c r="A13465" s="27" t="s">
        <v>24134</v>
      </c>
      <c r="B13465" s="28" t="s">
        <v>24075</v>
      </c>
      <c r="C13465" s="27" t="s">
        <v>24135</v>
      </c>
      <c r="D13465" s="27" t="s">
        <v>17578</v>
      </c>
      <c r="E13465" s="29">
        <v>41264</v>
      </c>
      <c r="F13465" s="27">
        <v>12</v>
      </c>
      <c r="G13465" s="18">
        <v>8119.66</v>
      </c>
      <c r="H13465" s="27">
        <f t="shared" si="420"/>
        <v>0</v>
      </c>
      <c r="I13465" s="18">
        <v>3856.85</v>
      </c>
      <c r="J13465" s="27">
        <v>8119.66</v>
      </c>
      <c r="K13465" s="18">
        <f t="shared" si="421"/>
        <v>0</v>
      </c>
      <c r="L13465" s="27">
        <v>4499.66</v>
      </c>
      <c r="M13465" s="36">
        <v>642.80999999999995</v>
      </c>
      <c r="T13465" s="41">
        <v>0</v>
      </c>
      <c r="U13465" s="41">
        <v>0</v>
      </c>
      <c r="V13465" s="42" t="s">
        <v>113</v>
      </c>
      <c r="W13465" s="42">
        <v>0</v>
      </c>
      <c r="X13465" s="42">
        <v>0</v>
      </c>
    </row>
    <row r="13466" spans="1:24">
      <c r="A13466" s="27" t="s">
        <v>24136</v>
      </c>
      <c r="B13466" s="28" t="s">
        <v>24075</v>
      </c>
      <c r="C13466" s="27" t="s">
        <v>24137</v>
      </c>
      <c r="D13466" s="27" t="s">
        <v>17558</v>
      </c>
      <c r="E13466" s="29">
        <v>41264</v>
      </c>
      <c r="F13466" s="27">
        <v>12</v>
      </c>
      <c r="G13466" s="18">
        <v>15235.04</v>
      </c>
      <c r="H13466" s="27">
        <f t="shared" si="420"/>
        <v>0</v>
      </c>
      <c r="I13466" s="18">
        <v>7236.66</v>
      </c>
      <c r="J13466" s="27">
        <v>15235.04</v>
      </c>
      <c r="K13466" s="18">
        <f t="shared" si="421"/>
        <v>0</v>
      </c>
      <c r="L13466" s="27">
        <v>8442.77</v>
      </c>
      <c r="M13466" s="36">
        <v>1206.1099999999999</v>
      </c>
      <c r="T13466" s="41">
        <v>0</v>
      </c>
      <c r="U13466" s="41">
        <v>0</v>
      </c>
      <c r="V13466" s="42" t="s">
        <v>113</v>
      </c>
      <c r="W13466" s="42">
        <v>0</v>
      </c>
      <c r="X13466" s="42">
        <v>0</v>
      </c>
    </row>
    <row r="13467" spans="1:24">
      <c r="A13467" s="27" t="s">
        <v>24138</v>
      </c>
      <c r="B13467" s="28" t="s">
        <v>24075</v>
      </c>
      <c r="C13467" s="27" t="s">
        <v>24139</v>
      </c>
      <c r="D13467" s="27" t="s">
        <v>17558</v>
      </c>
      <c r="E13467" s="29">
        <v>41264</v>
      </c>
      <c r="F13467" s="27">
        <v>12</v>
      </c>
      <c r="G13467" s="18">
        <v>16512.82</v>
      </c>
      <c r="H13467" s="27">
        <f t="shared" si="420"/>
        <v>0</v>
      </c>
      <c r="I13467" s="18">
        <v>7843.59</v>
      </c>
      <c r="J13467" s="27">
        <v>16512.82</v>
      </c>
      <c r="K13467" s="18">
        <f t="shared" si="421"/>
        <v>0</v>
      </c>
      <c r="L13467" s="27">
        <v>9150.86</v>
      </c>
      <c r="M13467" s="36">
        <v>1307.27</v>
      </c>
      <c r="T13467" s="41">
        <v>0</v>
      </c>
      <c r="U13467" s="41">
        <v>0</v>
      </c>
      <c r="V13467" s="42" t="s">
        <v>113</v>
      </c>
      <c r="W13467" s="42">
        <v>0</v>
      </c>
      <c r="X13467" s="42">
        <v>0</v>
      </c>
    </row>
    <row r="13468" spans="1:24">
      <c r="A13468" s="27" t="s">
        <v>24140</v>
      </c>
      <c r="B13468" s="28" t="s">
        <v>24075</v>
      </c>
      <c r="C13468" s="27" t="s">
        <v>24141</v>
      </c>
      <c r="D13468" s="27" t="s">
        <v>17578</v>
      </c>
      <c r="E13468" s="29">
        <v>41264</v>
      </c>
      <c r="F13468" s="27">
        <v>12</v>
      </c>
      <c r="G13468" s="18">
        <v>8290.6</v>
      </c>
      <c r="H13468" s="27">
        <f t="shared" si="420"/>
        <v>0</v>
      </c>
      <c r="I13468" s="18">
        <v>3938.04</v>
      </c>
      <c r="J13468" s="27">
        <v>8290.6</v>
      </c>
      <c r="K13468" s="18">
        <f t="shared" si="421"/>
        <v>0</v>
      </c>
      <c r="L13468" s="27">
        <v>4594.38</v>
      </c>
      <c r="M13468" s="36">
        <v>656.34</v>
      </c>
      <c r="T13468" s="41">
        <v>0</v>
      </c>
      <c r="U13468" s="41">
        <v>0</v>
      </c>
      <c r="V13468" s="42" t="s">
        <v>113</v>
      </c>
      <c r="W13468" s="42">
        <v>0</v>
      </c>
      <c r="X13468" s="42">
        <v>0</v>
      </c>
    </row>
    <row r="13469" spans="1:24">
      <c r="A13469" s="27" t="s">
        <v>24142</v>
      </c>
      <c r="B13469" s="28" t="s">
        <v>24075</v>
      </c>
      <c r="C13469" s="27" t="s">
        <v>24143</v>
      </c>
      <c r="D13469" s="27" t="s">
        <v>17558</v>
      </c>
      <c r="E13469" s="29">
        <v>35795</v>
      </c>
      <c r="F13469" s="27">
        <v>12</v>
      </c>
      <c r="G13469" s="18">
        <v>8470.48</v>
      </c>
      <c r="H13469" s="27">
        <f t="shared" si="420"/>
        <v>8470.48</v>
      </c>
      <c r="I13469" s="18">
        <v>8046.96</v>
      </c>
      <c r="J13469" s="27">
        <v>8470.48</v>
      </c>
      <c r="K13469" s="18">
        <f t="shared" si="421"/>
        <v>8470.48</v>
      </c>
      <c r="L13469" s="27">
        <v>8046.96</v>
      </c>
      <c r="M13469" s="36">
        <v>0</v>
      </c>
      <c r="T13469" s="41">
        <v>0</v>
      </c>
      <c r="U13469" s="41">
        <v>0</v>
      </c>
      <c r="V13469" s="42" t="s">
        <v>113</v>
      </c>
      <c r="W13469" s="42">
        <v>8470.48</v>
      </c>
      <c r="X13469" s="42">
        <v>8470.48</v>
      </c>
    </row>
    <row r="13470" spans="1:24">
      <c r="A13470" s="27" t="s">
        <v>24144</v>
      </c>
      <c r="B13470" s="28" t="s">
        <v>24075</v>
      </c>
      <c r="C13470" s="27" t="s">
        <v>24145</v>
      </c>
      <c r="D13470" s="27" t="s">
        <v>17558</v>
      </c>
      <c r="E13470" s="29">
        <v>35795</v>
      </c>
      <c r="F13470" s="27">
        <v>12</v>
      </c>
      <c r="G13470" s="18">
        <v>8470.48</v>
      </c>
      <c r="H13470" s="27">
        <f t="shared" si="420"/>
        <v>8470.48</v>
      </c>
      <c r="I13470" s="18">
        <v>8046.96</v>
      </c>
      <c r="J13470" s="27">
        <v>8470.48</v>
      </c>
      <c r="K13470" s="18">
        <f t="shared" si="421"/>
        <v>8470.48</v>
      </c>
      <c r="L13470" s="27">
        <v>8046.96</v>
      </c>
      <c r="M13470" s="36">
        <v>0</v>
      </c>
      <c r="T13470" s="41">
        <v>0</v>
      </c>
      <c r="U13470" s="41">
        <v>0</v>
      </c>
      <c r="V13470" s="42" t="s">
        <v>113</v>
      </c>
      <c r="W13470" s="42">
        <v>8470.48</v>
      </c>
      <c r="X13470" s="42">
        <v>8470.48</v>
      </c>
    </row>
    <row r="13471" spans="1:24">
      <c r="A13471" s="27" t="s">
        <v>24146</v>
      </c>
      <c r="B13471" s="28" t="s">
        <v>24075</v>
      </c>
      <c r="C13471" s="27" t="s">
        <v>24147</v>
      </c>
      <c r="D13471" s="27" t="s">
        <v>17558</v>
      </c>
      <c r="E13471" s="29">
        <v>35795</v>
      </c>
      <c r="F13471" s="27">
        <v>12</v>
      </c>
      <c r="G13471" s="18">
        <v>8470.48</v>
      </c>
      <c r="H13471" s="27">
        <f t="shared" si="420"/>
        <v>8470.48</v>
      </c>
      <c r="I13471" s="18">
        <v>8046.96</v>
      </c>
      <c r="J13471" s="27">
        <v>8470.48</v>
      </c>
      <c r="K13471" s="18">
        <f t="shared" si="421"/>
        <v>8470.48</v>
      </c>
      <c r="L13471" s="27">
        <v>8046.96</v>
      </c>
      <c r="M13471" s="36">
        <v>0</v>
      </c>
      <c r="T13471" s="41">
        <v>0</v>
      </c>
      <c r="U13471" s="41">
        <v>0</v>
      </c>
      <c r="V13471" s="42" t="s">
        <v>113</v>
      </c>
      <c r="W13471" s="42">
        <v>8470.48</v>
      </c>
      <c r="X13471" s="42">
        <v>8470.48</v>
      </c>
    </row>
    <row r="13472" spans="1:24">
      <c r="A13472" s="27" t="s">
        <v>24148</v>
      </c>
      <c r="B13472" s="28" t="s">
        <v>24075</v>
      </c>
      <c r="C13472" s="27" t="s">
        <v>24149</v>
      </c>
      <c r="D13472" s="27" t="s">
        <v>17558</v>
      </c>
      <c r="E13472" s="29">
        <v>35795</v>
      </c>
      <c r="F13472" s="27">
        <v>12</v>
      </c>
      <c r="G13472" s="18">
        <v>8470.48</v>
      </c>
      <c r="H13472" s="27">
        <f t="shared" si="420"/>
        <v>8470.48</v>
      </c>
      <c r="I13472" s="18">
        <v>8046.96</v>
      </c>
      <c r="J13472" s="27">
        <v>8470.48</v>
      </c>
      <c r="K13472" s="18">
        <f t="shared" si="421"/>
        <v>8470.48</v>
      </c>
      <c r="L13472" s="27">
        <v>8046.96</v>
      </c>
      <c r="M13472" s="36">
        <v>0</v>
      </c>
      <c r="T13472" s="41">
        <v>0</v>
      </c>
      <c r="U13472" s="41">
        <v>0</v>
      </c>
      <c r="V13472" s="42" t="s">
        <v>113</v>
      </c>
      <c r="W13472" s="42">
        <v>8470.48</v>
      </c>
      <c r="X13472" s="42">
        <v>8470.48</v>
      </c>
    </row>
    <row r="13473" spans="1:24">
      <c r="A13473" s="27" t="s">
        <v>24150</v>
      </c>
      <c r="B13473" s="28" t="s">
        <v>24075</v>
      </c>
      <c r="C13473" s="27" t="s">
        <v>24151</v>
      </c>
      <c r="D13473" s="27" t="s">
        <v>17558</v>
      </c>
      <c r="E13473" s="29">
        <v>35795</v>
      </c>
      <c r="F13473" s="27">
        <v>12</v>
      </c>
      <c r="G13473" s="18">
        <v>8470.48</v>
      </c>
      <c r="H13473" s="27">
        <f t="shared" si="420"/>
        <v>8470.48</v>
      </c>
      <c r="I13473" s="18">
        <v>8046.96</v>
      </c>
      <c r="J13473" s="27">
        <v>8470.48</v>
      </c>
      <c r="K13473" s="18">
        <f t="shared" si="421"/>
        <v>8470.48</v>
      </c>
      <c r="L13473" s="27">
        <v>8046.96</v>
      </c>
      <c r="M13473" s="36">
        <v>0</v>
      </c>
      <c r="T13473" s="41">
        <v>0</v>
      </c>
      <c r="U13473" s="41">
        <v>0</v>
      </c>
      <c r="V13473" s="42" t="s">
        <v>113</v>
      </c>
      <c r="W13473" s="42">
        <v>8470.48</v>
      </c>
      <c r="X13473" s="42">
        <v>8470.48</v>
      </c>
    </row>
    <row r="13474" spans="1:24">
      <c r="A13474" s="27" t="s">
        <v>24152</v>
      </c>
      <c r="B13474" s="28" t="s">
        <v>24075</v>
      </c>
      <c r="C13474" s="27" t="s">
        <v>24153</v>
      </c>
      <c r="D13474" s="27" t="s">
        <v>20772</v>
      </c>
      <c r="E13474" s="29">
        <v>43799</v>
      </c>
      <c r="F13474" s="27">
        <v>12</v>
      </c>
      <c r="G13474" s="18">
        <v>0</v>
      </c>
      <c r="H13474" s="27">
        <f t="shared" si="420"/>
        <v>0</v>
      </c>
      <c r="I13474" s="18">
        <v>0</v>
      </c>
      <c r="J13474" s="27">
        <v>9404.32</v>
      </c>
      <c r="K13474" s="18">
        <f t="shared" si="421"/>
        <v>0</v>
      </c>
      <c r="L13474" s="27">
        <v>62.04</v>
      </c>
      <c r="M13474" s="36">
        <v>62.04</v>
      </c>
      <c r="N13474" s="18" t="s">
        <v>123</v>
      </c>
      <c r="O13474" s="19">
        <v>9404.32</v>
      </c>
      <c r="T13474" s="41">
        <v>0</v>
      </c>
      <c r="U13474" s="41">
        <v>0</v>
      </c>
      <c r="V13474" s="42" t="s">
        <v>113</v>
      </c>
      <c r="W13474" s="42">
        <v>0</v>
      </c>
      <c r="X13474" s="42">
        <v>0</v>
      </c>
    </row>
    <row r="13475" spans="1:24">
      <c r="A13475" s="27" t="s">
        <v>24154</v>
      </c>
      <c r="B13475" s="28" t="s">
        <v>24075</v>
      </c>
      <c r="C13475" s="27" t="s">
        <v>23473</v>
      </c>
      <c r="D13475" s="27" t="s">
        <v>17558</v>
      </c>
      <c r="E13475" s="29">
        <v>35400</v>
      </c>
      <c r="F13475" s="27">
        <v>12</v>
      </c>
      <c r="G13475" s="18">
        <v>4623</v>
      </c>
      <c r="H13475" s="27">
        <f t="shared" si="420"/>
        <v>4623</v>
      </c>
      <c r="I13475" s="18">
        <v>4623</v>
      </c>
      <c r="J13475" s="27">
        <v>4623</v>
      </c>
      <c r="K13475" s="18">
        <f t="shared" si="421"/>
        <v>4623</v>
      </c>
      <c r="L13475" s="27">
        <v>4623</v>
      </c>
      <c r="M13475" s="36">
        <v>0</v>
      </c>
      <c r="T13475" s="41">
        <v>0</v>
      </c>
      <c r="U13475" s="41">
        <v>0</v>
      </c>
      <c r="V13475" s="42" t="s">
        <v>113</v>
      </c>
      <c r="W13475" s="42">
        <v>4623</v>
      </c>
      <c r="X13475" s="42">
        <v>4623</v>
      </c>
    </row>
    <row r="13476" spans="1:24">
      <c r="A13476" s="27" t="s">
        <v>24155</v>
      </c>
      <c r="B13476" s="28" t="s">
        <v>24075</v>
      </c>
      <c r="C13476" s="27" t="s">
        <v>24156</v>
      </c>
      <c r="D13476" s="27" t="s">
        <v>17578</v>
      </c>
      <c r="E13476" s="29">
        <v>35400</v>
      </c>
      <c r="F13476" s="27">
        <v>12</v>
      </c>
      <c r="G13476" s="18">
        <v>270400</v>
      </c>
      <c r="H13476" s="27">
        <f t="shared" si="420"/>
        <v>270400</v>
      </c>
      <c r="I13476" s="18">
        <v>256880</v>
      </c>
      <c r="J13476" s="27">
        <v>270400</v>
      </c>
      <c r="K13476" s="18">
        <f t="shared" si="421"/>
        <v>270400</v>
      </c>
      <c r="L13476" s="27">
        <v>256880</v>
      </c>
      <c r="M13476" s="36">
        <v>0</v>
      </c>
      <c r="T13476" s="41">
        <v>0</v>
      </c>
      <c r="U13476" s="41">
        <v>0</v>
      </c>
      <c r="V13476" s="42" t="s">
        <v>113</v>
      </c>
      <c r="W13476" s="42">
        <v>270400</v>
      </c>
      <c r="X13476" s="42">
        <v>270400</v>
      </c>
    </row>
    <row r="13477" spans="1:24">
      <c r="A13477" s="27" t="s">
        <v>24157</v>
      </c>
      <c r="B13477" s="28" t="s">
        <v>24075</v>
      </c>
      <c r="C13477" s="27" t="s">
        <v>24158</v>
      </c>
      <c r="D13477" s="27" t="s">
        <v>17558</v>
      </c>
      <c r="E13477" s="29">
        <v>35004</v>
      </c>
      <c r="F13477" s="27">
        <v>12</v>
      </c>
      <c r="G13477" s="18">
        <v>3200</v>
      </c>
      <c r="H13477" s="27">
        <f t="shared" si="420"/>
        <v>3200</v>
      </c>
      <c r="I13477" s="18">
        <v>3200</v>
      </c>
      <c r="J13477" s="27">
        <v>3200</v>
      </c>
      <c r="K13477" s="18">
        <f t="shared" si="421"/>
        <v>3200</v>
      </c>
      <c r="L13477" s="27">
        <v>3200</v>
      </c>
      <c r="M13477" s="36">
        <v>0</v>
      </c>
      <c r="T13477" s="41">
        <v>0</v>
      </c>
      <c r="U13477" s="41">
        <v>0</v>
      </c>
      <c r="V13477" s="42" t="s">
        <v>113</v>
      </c>
      <c r="W13477" s="42">
        <v>3200</v>
      </c>
      <c r="X13477" s="42">
        <v>3200</v>
      </c>
    </row>
    <row r="13478" spans="1:24">
      <c r="A13478" s="27" t="s">
        <v>24159</v>
      </c>
      <c r="B13478" s="28" t="s">
        <v>24075</v>
      </c>
      <c r="C13478" s="27" t="s">
        <v>21513</v>
      </c>
      <c r="D13478" s="27" t="s">
        <v>17558</v>
      </c>
      <c r="E13478" s="29">
        <v>37591</v>
      </c>
      <c r="F13478" s="27">
        <v>12</v>
      </c>
      <c r="G13478" s="18">
        <v>3535</v>
      </c>
      <c r="H13478" s="27">
        <f t="shared" si="420"/>
        <v>3535</v>
      </c>
      <c r="I13478" s="18">
        <v>3535</v>
      </c>
      <c r="J13478" s="27">
        <v>3535</v>
      </c>
      <c r="K13478" s="18">
        <f t="shared" si="421"/>
        <v>3535</v>
      </c>
      <c r="L13478" s="27">
        <v>3535</v>
      </c>
      <c r="M13478" s="36">
        <v>0</v>
      </c>
      <c r="T13478" s="41">
        <v>0</v>
      </c>
      <c r="U13478" s="41">
        <v>0</v>
      </c>
      <c r="V13478" s="42" t="s">
        <v>113</v>
      </c>
      <c r="W13478" s="42">
        <v>3535</v>
      </c>
      <c r="X13478" s="42">
        <v>3535</v>
      </c>
    </row>
    <row r="13479" spans="1:24">
      <c r="A13479" s="27" t="s">
        <v>24160</v>
      </c>
      <c r="B13479" s="28" t="s">
        <v>24075</v>
      </c>
      <c r="C13479" s="27" t="s">
        <v>24161</v>
      </c>
      <c r="D13479" s="27" t="s">
        <v>17558</v>
      </c>
      <c r="E13479" s="29">
        <v>37591</v>
      </c>
      <c r="F13479" s="27">
        <v>12</v>
      </c>
      <c r="G13479" s="18">
        <v>5757</v>
      </c>
      <c r="H13479" s="27">
        <f t="shared" si="420"/>
        <v>5757</v>
      </c>
      <c r="I13479" s="18">
        <v>5469.15</v>
      </c>
      <c r="J13479" s="27">
        <v>5757</v>
      </c>
      <c r="K13479" s="18">
        <f t="shared" si="421"/>
        <v>5757</v>
      </c>
      <c r="L13479" s="27">
        <v>5469.15</v>
      </c>
      <c r="M13479" s="36">
        <v>0</v>
      </c>
      <c r="T13479" s="41">
        <v>0</v>
      </c>
      <c r="U13479" s="41">
        <v>0</v>
      </c>
      <c r="V13479" s="42" t="s">
        <v>113</v>
      </c>
      <c r="W13479" s="42">
        <v>5757</v>
      </c>
      <c r="X13479" s="42">
        <v>5757</v>
      </c>
    </row>
    <row r="13480" spans="1:24">
      <c r="A13480" s="27" t="s">
        <v>24162</v>
      </c>
      <c r="B13480" s="28" t="s">
        <v>24075</v>
      </c>
      <c r="C13480" s="27" t="s">
        <v>24163</v>
      </c>
      <c r="D13480" s="27" t="s">
        <v>17558</v>
      </c>
      <c r="E13480" s="29">
        <v>37591</v>
      </c>
      <c r="F13480" s="27">
        <v>12</v>
      </c>
      <c r="G13480" s="18">
        <v>13938</v>
      </c>
      <c r="H13480" s="27">
        <f t="shared" si="420"/>
        <v>13938</v>
      </c>
      <c r="I13480" s="18">
        <v>13241.1</v>
      </c>
      <c r="J13480" s="27">
        <v>13938</v>
      </c>
      <c r="K13480" s="18">
        <f t="shared" si="421"/>
        <v>13938</v>
      </c>
      <c r="L13480" s="27">
        <v>13241.1</v>
      </c>
      <c r="M13480" s="36">
        <v>0</v>
      </c>
      <c r="T13480" s="41">
        <v>0</v>
      </c>
      <c r="U13480" s="41">
        <v>0</v>
      </c>
      <c r="V13480" s="42" t="s">
        <v>113</v>
      </c>
      <c r="W13480" s="42">
        <v>13938</v>
      </c>
      <c r="X13480" s="42">
        <v>13938</v>
      </c>
    </row>
    <row r="13481" spans="1:24">
      <c r="A13481" s="27" t="s">
        <v>24164</v>
      </c>
      <c r="B13481" s="28" t="s">
        <v>24075</v>
      </c>
      <c r="C13481" s="27" t="s">
        <v>24165</v>
      </c>
      <c r="D13481" s="27" t="s">
        <v>17558</v>
      </c>
      <c r="E13481" s="29">
        <v>37591</v>
      </c>
      <c r="F13481" s="27">
        <v>12</v>
      </c>
      <c r="G13481" s="18">
        <v>4141</v>
      </c>
      <c r="H13481" s="27">
        <f t="shared" si="420"/>
        <v>4141</v>
      </c>
      <c r="I13481" s="18">
        <v>4141</v>
      </c>
      <c r="J13481" s="27">
        <v>4141</v>
      </c>
      <c r="K13481" s="18">
        <f t="shared" si="421"/>
        <v>4141</v>
      </c>
      <c r="L13481" s="27">
        <v>4141</v>
      </c>
      <c r="M13481" s="36">
        <v>0</v>
      </c>
      <c r="T13481" s="41">
        <v>0</v>
      </c>
      <c r="U13481" s="41">
        <v>0</v>
      </c>
      <c r="V13481" s="42" t="s">
        <v>113</v>
      </c>
      <c r="W13481" s="42">
        <v>4141</v>
      </c>
      <c r="X13481" s="42">
        <v>4141</v>
      </c>
    </row>
    <row r="13482" spans="1:24">
      <c r="A13482" s="27" t="s">
        <v>24166</v>
      </c>
      <c r="B13482" s="28" t="s">
        <v>24075</v>
      </c>
      <c r="C13482" s="27" t="s">
        <v>24165</v>
      </c>
      <c r="D13482" s="27" t="s">
        <v>17558</v>
      </c>
      <c r="E13482" s="29">
        <v>37591</v>
      </c>
      <c r="F13482" s="27">
        <v>12</v>
      </c>
      <c r="G13482" s="18">
        <v>3939</v>
      </c>
      <c r="H13482" s="27">
        <f t="shared" si="420"/>
        <v>3939</v>
      </c>
      <c r="I13482" s="18">
        <v>3939</v>
      </c>
      <c r="J13482" s="27">
        <v>3939</v>
      </c>
      <c r="K13482" s="18">
        <f t="shared" si="421"/>
        <v>3939</v>
      </c>
      <c r="L13482" s="27">
        <v>3939</v>
      </c>
      <c r="M13482" s="36">
        <v>0</v>
      </c>
      <c r="T13482" s="41">
        <v>0</v>
      </c>
      <c r="U13482" s="41">
        <v>0</v>
      </c>
      <c r="V13482" s="42" t="s">
        <v>113</v>
      </c>
      <c r="W13482" s="42">
        <v>3939</v>
      </c>
      <c r="X13482" s="42">
        <v>3939</v>
      </c>
    </row>
    <row r="13483" spans="1:24">
      <c r="A13483" s="27" t="s">
        <v>24167</v>
      </c>
      <c r="B13483" s="28" t="s">
        <v>24075</v>
      </c>
      <c r="C13483" s="27" t="s">
        <v>24168</v>
      </c>
      <c r="D13483" s="27" t="s">
        <v>17558</v>
      </c>
      <c r="E13483" s="29">
        <v>37591</v>
      </c>
      <c r="F13483" s="27">
        <v>12</v>
      </c>
      <c r="G13483" s="18">
        <v>2323</v>
      </c>
      <c r="H13483" s="27">
        <f t="shared" si="420"/>
        <v>2323</v>
      </c>
      <c r="I13483" s="18">
        <v>2323</v>
      </c>
      <c r="J13483" s="27">
        <v>2323</v>
      </c>
      <c r="K13483" s="18">
        <f t="shared" si="421"/>
        <v>2323</v>
      </c>
      <c r="L13483" s="27">
        <v>2323</v>
      </c>
      <c r="M13483" s="36">
        <v>0</v>
      </c>
      <c r="T13483" s="41">
        <v>0</v>
      </c>
      <c r="U13483" s="41">
        <v>0</v>
      </c>
      <c r="V13483" s="42" t="s">
        <v>113</v>
      </c>
      <c r="W13483" s="42">
        <v>2323</v>
      </c>
      <c r="X13483" s="42">
        <v>2323</v>
      </c>
    </row>
    <row r="13484" spans="1:24">
      <c r="A13484" s="27" t="s">
        <v>24169</v>
      </c>
      <c r="B13484" s="28" t="s">
        <v>24075</v>
      </c>
      <c r="C13484" s="27" t="s">
        <v>24168</v>
      </c>
      <c r="D13484" s="27" t="s">
        <v>17558</v>
      </c>
      <c r="E13484" s="29">
        <v>37591</v>
      </c>
      <c r="F13484" s="27">
        <v>12</v>
      </c>
      <c r="G13484" s="18">
        <v>2626</v>
      </c>
      <c r="H13484" s="27">
        <f t="shared" si="420"/>
        <v>2626</v>
      </c>
      <c r="I13484" s="18">
        <v>2626</v>
      </c>
      <c r="J13484" s="27">
        <v>2626</v>
      </c>
      <c r="K13484" s="18">
        <f t="shared" si="421"/>
        <v>2626</v>
      </c>
      <c r="L13484" s="27">
        <v>2626</v>
      </c>
      <c r="M13484" s="36">
        <v>0</v>
      </c>
      <c r="T13484" s="41">
        <v>0</v>
      </c>
      <c r="U13484" s="41">
        <v>0</v>
      </c>
      <c r="V13484" s="42" t="s">
        <v>113</v>
      </c>
      <c r="W13484" s="42">
        <v>2626</v>
      </c>
      <c r="X13484" s="42">
        <v>2626</v>
      </c>
    </row>
    <row r="13485" spans="1:24">
      <c r="A13485" s="27" t="s">
        <v>24170</v>
      </c>
      <c r="B13485" s="28" t="s">
        <v>24075</v>
      </c>
      <c r="C13485" s="27" t="s">
        <v>24171</v>
      </c>
      <c r="D13485" s="27" t="s">
        <v>17558</v>
      </c>
      <c r="E13485" s="29">
        <v>37591</v>
      </c>
      <c r="F13485" s="27">
        <v>12</v>
      </c>
      <c r="G13485" s="18">
        <v>5858</v>
      </c>
      <c r="H13485" s="27">
        <f t="shared" si="420"/>
        <v>5858</v>
      </c>
      <c r="I13485" s="18">
        <v>5565.1</v>
      </c>
      <c r="J13485" s="27">
        <v>5858</v>
      </c>
      <c r="K13485" s="18">
        <f t="shared" si="421"/>
        <v>5858</v>
      </c>
      <c r="L13485" s="27">
        <v>5565.1</v>
      </c>
      <c r="M13485" s="36">
        <v>0</v>
      </c>
      <c r="T13485" s="41">
        <v>0</v>
      </c>
      <c r="U13485" s="41">
        <v>0</v>
      </c>
      <c r="V13485" s="42" t="s">
        <v>113</v>
      </c>
      <c r="W13485" s="42">
        <v>5858</v>
      </c>
      <c r="X13485" s="42">
        <v>5858</v>
      </c>
    </row>
    <row r="13486" spans="1:24">
      <c r="A13486" s="27" t="s">
        <v>24172</v>
      </c>
      <c r="B13486" s="28" t="s">
        <v>24075</v>
      </c>
      <c r="C13486" s="27" t="s">
        <v>24173</v>
      </c>
      <c r="D13486" s="27" t="s">
        <v>17558</v>
      </c>
      <c r="E13486" s="29">
        <v>37591</v>
      </c>
      <c r="F13486" s="27">
        <v>12</v>
      </c>
      <c r="G13486" s="18">
        <v>14948</v>
      </c>
      <c r="H13486" s="27">
        <f t="shared" si="420"/>
        <v>14948</v>
      </c>
      <c r="I13486" s="18">
        <v>14200.6</v>
      </c>
      <c r="J13486" s="27">
        <v>14948</v>
      </c>
      <c r="K13486" s="18">
        <f t="shared" si="421"/>
        <v>14948</v>
      </c>
      <c r="L13486" s="27">
        <v>14200.6</v>
      </c>
      <c r="M13486" s="36">
        <v>0</v>
      </c>
      <c r="T13486" s="41">
        <v>0</v>
      </c>
      <c r="U13486" s="41">
        <v>0</v>
      </c>
      <c r="V13486" s="42" t="s">
        <v>113</v>
      </c>
      <c r="W13486" s="42">
        <v>14948</v>
      </c>
      <c r="X13486" s="42">
        <v>14948</v>
      </c>
    </row>
    <row r="13487" spans="1:24">
      <c r="A13487" s="27" t="s">
        <v>24174</v>
      </c>
      <c r="B13487" s="28" t="s">
        <v>24075</v>
      </c>
      <c r="C13487" s="27" t="s">
        <v>24175</v>
      </c>
      <c r="D13487" s="27" t="s">
        <v>17558</v>
      </c>
      <c r="E13487" s="29">
        <v>37591</v>
      </c>
      <c r="F13487" s="27">
        <v>12</v>
      </c>
      <c r="G13487" s="18">
        <v>3060.81</v>
      </c>
      <c r="H13487" s="27">
        <f t="shared" si="420"/>
        <v>3060.81</v>
      </c>
      <c r="I13487" s="18">
        <v>3060.81</v>
      </c>
      <c r="J13487" s="27">
        <v>3060.81</v>
      </c>
      <c r="K13487" s="18">
        <f t="shared" si="421"/>
        <v>3060.81</v>
      </c>
      <c r="L13487" s="27">
        <v>3060.81</v>
      </c>
      <c r="M13487" s="36">
        <v>0</v>
      </c>
      <c r="T13487" s="41">
        <v>0</v>
      </c>
      <c r="U13487" s="41">
        <v>0</v>
      </c>
      <c r="V13487" s="42" t="s">
        <v>113</v>
      </c>
      <c r="W13487" s="42">
        <v>3060.81</v>
      </c>
      <c r="X13487" s="42">
        <v>3060.81</v>
      </c>
    </row>
    <row r="13488" spans="1:24">
      <c r="A13488" s="27" t="s">
        <v>24176</v>
      </c>
      <c r="B13488" s="28" t="s">
        <v>24075</v>
      </c>
      <c r="C13488" s="27" t="s">
        <v>24177</v>
      </c>
      <c r="D13488" s="27" t="s">
        <v>17558</v>
      </c>
      <c r="E13488" s="29">
        <v>37591</v>
      </c>
      <c r="F13488" s="27">
        <v>12</v>
      </c>
      <c r="G13488" s="18">
        <v>2302.8000000000002</v>
      </c>
      <c r="H13488" s="27">
        <f t="shared" si="420"/>
        <v>2302.8000000000002</v>
      </c>
      <c r="I13488" s="18">
        <v>2302.8000000000002</v>
      </c>
      <c r="J13488" s="27">
        <v>2302.8000000000002</v>
      </c>
      <c r="K13488" s="18">
        <f t="shared" si="421"/>
        <v>2302.8000000000002</v>
      </c>
      <c r="L13488" s="27">
        <v>2302.8000000000002</v>
      </c>
      <c r="M13488" s="36">
        <v>0</v>
      </c>
      <c r="T13488" s="41">
        <v>0</v>
      </c>
      <c r="U13488" s="41">
        <v>0</v>
      </c>
      <c r="V13488" s="42" t="s">
        <v>113</v>
      </c>
      <c r="W13488" s="42">
        <v>2302.8000000000002</v>
      </c>
      <c r="X13488" s="42">
        <v>2302.8000000000002</v>
      </c>
    </row>
    <row r="13489" spans="1:24">
      <c r="A13489" s="27" t="s">
        <v>24178</v>
      </c>
      <c r="B13489" s="28" t="s">
        <v>24075</v>
      </c>
      <c r="C13489" s="27" t="s">
        <v>24179</v>
      </c>
      <c r="D13489" s="27" t="s">
        <v>17558</v>
      </c>
      <c r="E13489" s="29">
        <v>37591</v>
      </c>
      <c r="F13489" s="27">
        <v>12</v>
      </c>
      <c r="G13489" s="18">
        <v>5454</v>
      </c>
      <c r="H13489" s="27">
        <f t="shared" si="420"/>
        <v>5454</v>
      </c>
      <c r="I13489" s="18">
        <v>5181.3</v>
      </c>
      <c r="J13489" s="27">
        <v>5454</v>
      </c>
      <c r="K13489" s="18">
        <f t="shared" si="421"/>
        <v>5454</v>
      </c>
      <c r="L13489" s="27">
        <v>5181.3</v>
      </c>
      <c r="M13489" s="36">
        <v>0</v>
      </c>
      <c r="T13489" s="41">
        <v>0</v>
      </c>
      <c r="U13489" s="41">
        <v>0</v>
      </c>
      <c r="V13489" s="42" t="s">
        <v>113</v>
      </c>
      <c r="W13489" s="42">
        <v>5454</v>
      </c>
      <c r="X13489" s="42">
        <v>5454</v>
      </c>
    </row>
    <row r="13490" spans="1:24">
      <c r="A13490" s="27" t="s">
        <v>24180</v>
      </c>
      <c r="B13490" s="28" t="s">
        <v>24075</v>
      </c>
      <c r="C13490" s="27" t="s">
        <v>24181</v>
      </c>
      <c r="D13490" s="27" t="s">
        <v>17558</v>
      </c>
      <c r="E13490" s="29">
        <v>37591</v>
      </c>
      <c r="F13490" s="27">
        <v>12</v>
      </c>
      <c r="G13490" s="18">
        <v>3272.4</v>
      </c>
      <c r="H13490" s="27">
        <f t="shared" si="420"/>
        <v>3272.4</v>
      </c>
      <c r="I13490" s="18">
        <v>3272.4</v>
      </c>
      <c r="J13490" s="27">
        <v>3272.4</v>
      </c>
      <c r="K13490" s="18">
        <f t="shared" si="421"/>
        <v>3272.4</v>
      </c>
      <c r="L13490" s="27">
        <v>3272.4</v>
      </c>
      <c r="M13490" s="36">
        <v>0</v>
      </c>
      <c r="T13490" s="41">
        <v>0</v>
      </c>
      <c r="U13490" s="41">
        <v>0</v>
      </c>
      <c r="V13490" s="42" t="s">
        <v>113</v>
      </c>
      <c r="W13490" s="42">
        <v>3272.4</v>
      </c>
      <c r="X13490" s="42">
        <v>3272.4</v>
      </c>
    </row>
    <row r="13491" spans="1:24">
      <c r="A13491" s="27" t="s">
        <v>24182</v>
      </c>
      <c r="B13491" s="28" t="s">
        <v>24075</v>
      </c>
      <c r="C13491" s="27" t="s">
        <v>24183</v>
      </c>
      <c r="D13491" s="27" t="s">
        <v>17558</v>
      </c>
      <c r="E13491" s="29">
        <v>37591</v>
      </c>
      <c r="F13491" s="27">
        <v>12</v>
      </c>
      <c r="G13491" s="18">
        <v>3674.38</v>
      </c>
      <c r="H13491" s="27">
        <f t="shared" si="420"/>
        <v>3674.38</v>
      </c>
      <c r="I13491" s="18">
        <v>3674.38</v>
      </c>
      <c r="J13491" s="27">
        <v>3674.38</v>
      </c>
      <c r="K13491" s="18">
        <f t="shared" si="421"/>
        <v>3674.38</v>
      </c>
      <c r="L13491" s="27">
        <v>3674.38</v>
      </c>
      <c r="M13491" s="36">
        <v>0</v>
      </c>
      <c r="T13491" s="41">
        <v>0</v>
      </c>
      <c r="U13491" s="41">
        <v>0</v>
      </c>
      <c r="V13491" s="42" t="s">
        <v>113</v>
      </c>
      <c r="W13491" s="42">
        <v>3674.38</v>
      </c>
      <c r="X13491" s="42">
        <v>3674.38</v>
      </c>
    </row>
    <row r="13492" spans="1:24">
      <c r="A13492" s="27" t="s">
        <v>24184</v>
      </c>
      <c r="B13492" s="28" t="s">
        <v>24075</v>
      </c>
      <c r="C13492" s="27" t="s">
        <v>24183</v>
      </c>
      <c r="D13492" s="27" t="s">
        <v>17558</v>
      </c>
      <c r="E13492" s="29">
        <v>37591</v>
      </c>
      <c r="F13492" s="27">
        <v>12</v>
      </c>
      <c r="G13492" s="18">
        <v>3674.38</v>
      </c>
      <c r="H13492" s="27">
        <f t="shared" si="420"/>
        <v>3674.38</v>
      </c>
      <c r="I13492" s="18">
        <v>3674.38</v>
      </c>
      <c r="J13492" s="27">
        <v>3674.38</v>
      </c>
      <c r="K13492" s="18">
        <f t="shared" si="421"/>
        <v>3674.38</v>
      </c>
      <c r="L13492" s="27">
        <v>3674.38</v>
      </c>
      <c r="M13492" s="36">
        <v>0</v>
      </c>
      <c r="T13492" s="41">
        <v>0</v>
      </c>
      <c r="U13492" s="41">
        <v>0</v>
      </c>
      <c r="V13492" s="42" t="s">
        <v>113</v>
      </c>
      <c r="W13492" s="42">
        <v>3674.38</v>
      </c>
      <c r="X13492" s="42">
        <v>3674.38</v>
      </c>
    </row>
    <row r="13493" spans="1:24">
      <c r="A13493" s="27" t="s">
        <v>24185</v>
      </c>
      <c r="B13493" s="28" t="s">
        <v>24075</v>
      </c>
      <c r="C13493" s="27" t="s">
        <v>24186</v>
      </c>
      <c r="D13493" s="27" t="s">
        <v>17558</v>
      </c>
      <c r="E13493" s="29">
        <v>37591</v>
      </c>
      <c r="F13493" s="27">
        <v>12</v>
      </c>
      <c r="G13493" s="18">
        <v>1090.8</v>
      </c>
      <c r="H13493" s="27">
        <f t="shared" si="420"/>
        <v>1090.8</v>
      </c>
      <c r="I13493" s="18">
        <v>1090.8</v>
      </c>
      <c r="J13493" s="27">
        <v>1090.8</v>
      </c>
      <c r="K13493" s="18">
        <f t="shared" si="421"/>
        <v>1090.8</v>
      </c>
      <c r="L13493" s="27">
        <v>1090.8</v>
      </c>
      <c r="M13493" s="36">
        <v>0</v>
      </c>
      <c r="T13493" s="41">
        <v>0</v>
      </c>
      <c r="U13493" s="41">
        <v>0</v>
      </c>
      <c r="V13493" s="42" t="s">
        <v>113</v>
      </c>
      <c r="W13493" s="42">
        <v>1090.8</v>
      </c>
      <c r="X13493" s="42">
        <v>1090.8</v>
      </c>
    </row>
    <row r="13494" spans="1:24">
      <c r="A13494" s="27" t="s">
        <v>24187</v>
      </c>
      <c r="B13494" s="28" t="s">
        <v>24075</v>
      </c>
      <c r="C13494" s="27" t="s">
        <v>24188</v>
      </c>
      <c r="D13494" s="27" t="s">
        <v>17578</v>
      </c>
      <c r="E13494" s="29">
        <v>37591</v>
      </c>
      <c r="F13494" s="27">
        <v>12</v>
      </c>
      <c r="G13494" s="18">
        <v>1323.1</v>
      </c>
      <c r="H13494" s="27">
        <f t="shared" si="420"/>
        <v>1323.1</v>
      </c>
      <c r="I13494" s="18">
        <v>1323.1</v>
      </c>
      <c r="J13494" s="27">
        <v>1323.1</v>
      </c>
      <c r="K13494" s="18">
        <f t="shared" si="421"/>
        <v>1323.1</v>
      </c>
      <c r="L13494" s="27">
        <v>1323.1</v>
      </c>
      <c r="M13494" s="36">
        <v>0</v>
      </c>
      <c r="T13494" s="41">
        <v>0</v>
      </c>
      <c r="U13494" s="41">
        <v>0</v>
      </c>
      <c r="V13494" s="42" t="s">
        <v>113</v>
      </c>
      <c r="W13494" s="42">
        <v>1323.1</v>
      </c>
      <c r="X13494" s="42">
        <v>1323.1</v>
      </c>
    </row>
    <row r="13495" spans="1:24">
      <c r="A13495" s="27" t="s">
        <v>24189</v>
      </c>
      <c r="B13495" s="28" t="s">
        <v>24075</v>
      </c>
      <c r="C13495" s="27" t="s">
        <v>24190</v>
      </c>
      <c r="D13495" s="27" t="s">
        <v>17578</v>
      </c>
      <c r="E13495" s="29">
        <v>37591</v>
      </c>
      <c r="F13495" s="27">
        <v>12</v>
      </c>
      <c r="G13495" s="18">
        <v>4242</v>
      </c>
      <c r="H13495" s="27">
        <f t="shared" si="420"/>
        <v>4242</v>
      </c>
      <c r="I13495" s="18">
        <v>4242</v>
      </c>
      <c r="J13495" s="27">
        <v>4242</v>
      </c>
      <c r="K13495" s="18">
        <f t="shared" si="421"/>
        <v>4242</v>
      </c>
      <c r="L13495" s="27">
        <v>4242</v>
      </c>
      <c r="M13495" s="36">
        <v>0</v>
      </c>
      <c r="T13495" s="41">
        <v>0</v>
      </c>
      <c r="U13495" s="41">
        <v>0</v>
      </c>
      <c r="V13495" s="42" t="s">
        <v>113</v>
      </c>
      <c r="W13495" s="42">
        <v>4242</v>
      </c>
      <c r="X13495" s="42">
        <v>4242</v>
      </c>
    </row>
    <row r="13496" spans="1:24">
      <c r="A13496" s="27" t="s">
        <v>24191</v>
      </c>
      <c r="B13496" s="28" t="s">
        <v>24075</v>
      </c>
      <c r="C13496" s="27" t="s">
        <v>24192</v>
      </c>
      <c r="D13496" s="27" t="s">
        <v>17578</v>
      </c>
      <c r="E13496" s="29">
        <v>37591</v>
      </c>
      <c r="F13496" s="27">
        <v>12</v>
      </c>
      <c r="G13496" s="18">
        <v>498.94</v>
      </c>
      <c r="H13496" s="27">
        <f t="shared" si="420"/>
        <v>498.94</v>
      </c>
      <c r="I13496" s="18">
        <v>498.94</v>
      </c>
      <c r="J13496" s="27">
        <v>498.94</v>
      </c>
      <c r="K13496" s="18">
        <f t="shared" si="421"/>
        <v>498.94</v>
      </c>
      <c r="L13496" s="27">
        <v>498.94</v>
      </c>
      <c r="M13496" s="36">
        <v>0</v>
      </c>
      <c r="T13496" s="41">
        <v>0</v>
      </c>
      <c r="U13496" s="41">
        <v>0</v>
      </c>
      <c r="V13496" s="42" t="s">
        <v>113</v>
      </c>
      <c r="W13496" s="42">
        <v>498.94</v>
      </c>
      <c r="X13496" s="42">
        <v>498.94</v>
      </c>
    </row>
    <row r="13497" spans="1:24">
      <c r="A13497" s="27" t="s">
        <v>24193</v>
      </c>
      <c r="B13497" s="28" t="s">
        <v>24075</v>
      </c>
      <c r="C13497" s="27" t="s">
        <v>24194</v>
      </c>
      <c r="D13497" s="27" t="s">
        <v>17558</v>
      </c>
      <c r="E13497" s="29">
        <v>37591</v>
      </c>
      <c r="F13497" s="27">
        <v>12</v>
      </c>
      <c r="G13497" s="18">
        <v>7979</v>
      </c>
      <c r="H13497" s="27">
        <f t="shared" si="420"/>
        <v>7979</v>
      </c>
      <c r="I13497" s="18">
        <v>7580.05</v>
      </c>
      <c r="J13497" s="27">
        <v>7979</v>
      </c>
      <c r="K13497" s="18">
        <f t="shared" si="421"/>
        <v>7979</v>
      </c>
      <c r="L13497" s="27">
        <v>7580.05</v>
      </c>
      <c r="M13497" s="36">
        <v>0</v>
      </c>
      <c r="T13497" s="41">
        <v>0</v>
      </c>
      <c r="U13497" s="41">
        <v>0</v>
      </c>
      <c r="V13497" s="42" t="s">
        <v>113</v>
      </c>
      <c r="W13497" s="42">
        <v>7979</v>
      </c>
      <c r="X13497" s="42">
        <v>7979</v>
      </c>
    </row>
    <row r="13498" spans="1:24">
      <c r="A13498" s="27" t="s">
        <v>24195</v>
      </c>
      <c r="B13498" s="28" t="s">
        <v>24075</v>
      </c>
      <c r="C13498" s="27" t="s">
        <v>24196</v>
      </c>
      <c r="D13498" s="27" t="s">
        <v>17558</v>
      </c>
      <c r="E13498" s="29">
        <v>37591</v>
      </c>
      <c r="F13498" s="27">
        <v>12</v>
      </c>
      <c r="G13498" s="18">
        <v>1919</v>
      </c>
      <c r="H13498" s="27">
        <f t="shared" si="420"/>
        <v>1919</v>
      </c>
      <c r="I13498" s="18">
        <v>1919</v>
      </c>
      <c r="J13498" s="27">
        <v>1919</v>
      </c>
      <c r="K13498" s="18">
        <f t="shared" si="421"/>
        <v>1919</v>
      </c>
      <c r="L13498" s="27">
        <v>1919</v>
      </c>
      <c r="M13498" s="36">
        <v>0</v>
      </c>
      <c r="T13498" s="41">
        <v>0</v>
      </c>
      <c r="U13498" s="41">
        <v>0</v>
      </c>
      <c r="V13498" s="42" t="s">
        <v>113</v>
      </c>
      <c r="W13498" s="42">
        <v>1919</v>
      </c>
      <c r="X13498" s="42">
        <v>1919</v>
      </c>
    </row>
    <row r="13499" spans="1:24">
      <c r="A13499" s="27" t="s">
        <v>24197</v>
      </c>
      <c r="B13499" s="28" t="s">
        <v>24075</v>
      </c>
      <c r="C13499" s="27" t="s">
        <v>24198</v>
      </c>
      <c r="D13499" s="27" t="s">
        <v>17558</v>
      </c>
      <c r="E13499" s="29">
        <v>37591</v>
      </c>
      <c r="F13499" s="27">
        <v>12</v>
      </c>
      <c r="G13499" s="18">
        <v>3636</v>
      </c>
      <c r="H13499" s="27">
        <f t="shared" si="420"/>
        <v>3636</v>
      </c>
      <c r="I13499" s="18">
        <v>3636</v>
      </c>
      <c r="J13499" s="27">
        <v>3636</v>
      </c>
      <c r="K13499" s="18">
        <f t="shared" si="421"/>
        <v>3636</v>
      </c>
      <c r="L13499" s="27">
        <v>3636</v>
      </c>
      <c r="M13499" s="36">
        <v>0</v>
      </c>
      <c r="T13499" s="41">
        <v>0</v>
      </c>
      <c r="U13499" s="41">
        <v>0</v>
      </c>
      <c r="V13499" s="42" t="s">
        <v>113</v>
      </c>
      <c r="W13499" s="42">
        <v>3636</v>
      </c>
      <c r="X13499" s="42">
        <v>3636</v>
      </c>
    </row>
    <row r="13500" spans="1:24">
      <c r="A13500" s="27" t="s">
        <v>24199</v>
      </c>
      <c r="B13500" s="28" t="s">
        <v>24075</v>
      </c>
      <c r="C13500" s="27" t="s">
        <v>24200</v>
      </c>
      <c r="D13500" s="27" t="s">
        <v>17558</v>
      </c>
      <c r="E13500" s="29">
        <v>37591</v>
      </c>
      <c r="F13500" s="27">
        <v>12</v>
      </c>
      <c r="G13500" s="18">
        <v>28280</v>
      </c>
      <c r="H13500" s="27">
        <f t="shared" si="420"/>
        <v>28280</v>
      </c>
      <c r="I13500" s="18">
        <v>26866</v>
      </c>
      <c r="J13500" s="27">
        <v>28280</v>
      </c>
      <c r="K13500" s="18">
        <f t="shared" si="421"/>
        <v>28280</v>
      </c>
      <c r="L13500" s="27">
        <v>26866</v>
      </c>
      <c r="M13500" s="36">
        <v>0</v>
      </c>
      <c r="T13500" s="41">
        <v>0</v>
      </c>
      <c r="U13500" s="41">
        <v>0</v>
      </c>
      <c r="V13500" s="42" t="s">
        <v>113</v>
      </c>
      <c r="W13500" s="42">
        <v>28280</v>
      </c>
      <c r="X13500" s="42">
        <v>28280</v>
      </c>
    </row>
    <row r="13501" spans="1:24">
      <c r="A13501" s="27" t="s">
        <v>24201</v>
      </c>
      <c r="B13501" s="28" t="s">
        <v>24075</v>
      </c>
      <c r="C13501" s="27" t="s">
        <v>24158</v>
      </c>
      <c r="D13501" s="27" t="s">
        <v>17558</v>
      </c>
      <c r="E13501" s="29">
        <v>37591</v>
      </c>
      <c r="F13501" s="27">
        <v>12</v>
      </c>
      <c r="G13501" s="18">
        <v>2323</v>
      </c>
      <c r="H13501" s="27">
        <f t="shared" si="420"/>
        <v>2323</v>
      </c>
      <c r="I13501" s="18">
        <v>2323</v>
      </c>
      <c r="J13501" s="27">
        <v>2323</v>
      </c>
      <c r="K13501" s="18">
        <f t="shared" si="421"/>
        <v>2323</v>
      </c>
      <c r="L13501" s="27">
        <v>2323</v>
      </c>
      <c r="M13501" s="36">
        <v>0</v>
      </c>
      <c r="T13501" s="41">
        <v>0</v>
      </c>
      <c r="U13501" s="41">
        <v>0</v>
      </c>
      <c r="V13501" s="42" t="s">
        <v>113</v>
      </c>
      <c r="W13501" s="42">
        <v>2323</v>
      </c>
      <c r="X13501" s="42">
        <v>2323</v>
      </c>
    </row>
    <row r="13502" spans="1:24">
      <c r="A13502" s="27" t="s">
        <v>24202</v>
      </c>
      <c r="B13502" s="28" t="s">
        <v>24075</v>
      </c>
      <c r="C13502" s="27" t="s">
        <v>23810</v>
      </c>
      <c r="D13502" s="27" t="s">
        <v>17558</v>
      </c>
      <c r="E13502" s="29">
        <v>37591</v>
      </c>
      <c r="F13502" s="27">
        <v>12</v>
      </c>
      <c r="G13502" s="18">
        <v>14746</v>
      </c>
      <c r="H13502" s="27">
        <f t="shared" si="420"/>
        <v>14746</v>
      </c>
      <c r="I13502" s="18">
        <v>14008.7</v>
      </c>
      <c r="J13502" s="27">
        <v>14746</v>
      </c>
      <c r="K13502" s="18">
        <f t="shared" si="421"/>
        <v>14746</v>
      </c>
      <c r="L13502" s="27">
        <v>14008.7</v>
      </c>
      <c r="M13502" s="36">
        <v>0</v>
      </c>
      <c r="T13502" s="41">
        <v>0</v>
      </c>
      <c r="U13502" s="41">
        <v>0</v>
      </c>
      <c r="V13502" s="42" t="s">
        <v>113</v>
      </c>
      <c r="W13502" s="42">
        <v>14746</v>
      </c>
      <c r="X13502" s="42">
        <v>14746</v>
      </c>
    </row>
    <row r="13503" spans="1:24">
      <c r="A13503" s="27" t="s">
        <v>24203</v>
      </c>
      <c r="B13503" s="28" t="s">
        <v>24075</v>
      </c>
      <c r="C13503" s="27" t="s">
        <v>23473</v>
      </c>
      <c r="D13503" s="27" t="s">
        <v>17558</v>
      </c>
      <c r="E13503" s="29">
        <v>37591</v>
      </c>
      <c r="F13503" s="27">
        <v>12</v>
      </c>
      <c r="G13503" s="18">
        <v>2828</v>
      </c>
      <c r="H13503" s="27">
        <f t="shared" si="420"/>
        <v>2828</v>
      </c>
      <c r="I13503" s="18">
        <v>2828</v>
      </c>
      <c r="J13503" s="27">
        <v>2828</v>
      </c>
      <c r="K13503" s="18">
        <f t="shared" si="421"/>
        <v>2828</v>
      </c>
      <c r="L13503" s="27">
        <v>2828</v>
      </c>
      <c r="M13503" s="36">
        <v>0</v>
      </c>
      <c r="T13503" s="41">
        <v>0</v>
      </c>
      <c r="U13503" s="41">
        <v>0</v>
      </c>
      <c r="V13503" s="42" t="s">
        <v>113</v>
      </c>
      <c r="W13503" s="42">
        <v>2828</v>
      </c>
      <c r="X13503" s="42">
        <v>2828</v>
      </c>
    </row>
    <row r="13504" spans="1:24">
      <c r="A13504" s="27" t="s">
        <v>24204</v>
      </c>
      <c r="B13504" s="28" t="s">
        <v>24075</v>
      </c>
      <c r="C13504" s="27" t="s">
        <v>24196</v>
      </c>
      <c r="D13504" s="27" t="s">
        <v>17558</v>
      </c>
      <c r="E13504" s="29">
        <v>37591</v>
      </c>
      <c r="F13504" s="27">
        <v>12</v>
      </c>
      <c r="G13504" s="18">
        <v>1919</v>
      </c>
      <c r="H13504" s="27">
        <f t="shared" si="420"/>
        <v>1919</v>
      </c>
      <c r="I13504" s="18">
        <v>1919</v>
      </c>
      <c r="J13504" s="27">
        <v>1919</v>
      </c>
      <c r="K13504" s="18">
        <f t="shared" si="421"/>
        <v>1919</v>
      </c>
      <c r="L13504" s="27">
        <v>1919</v>
      </c>
      <c r="M13504" s="36">
        <v>0</v>
      </c>
      <c r="T13504" s="41">
        <v>0</v>
      </c>
      <c r="U13504" s="41">
        <v>0</v>
      </c>
      <c r="V13504" s="42" t="s">
        <v>113</v>
      </c>
      <c r="W13504" s="42">
        <v>1919</v>
      </c>
      <c r="X13504" s="42">
        <v>1919</v>
      </c>
    </row>
    <row r="13505" spans="1:24">
      <c r="A13505" s="27" t="s">
        <v>24205</v>
      </c>
      <c r="B13505" s="28" t="s">
        <v>24075</v>
      </c>
      <c r="C13505" s="27" t="s">
        <v>24206</v>
      </c>
      <c r="D13505" s="27" t="s">
        <v>17578</v>
      </c>
      <c r="E13505" s="29">
        <v>37591</v>
      </c>
      <c r="F13505" s="27">
        <v>12</v>
      </c>
      <c r="G13505" s="18">
        <v>1583.17</v>
      </c>
      <c r="H13505" s="27">
        <f t="shared" si="420"/>
        <v>1583.17</v>
      </c>
      <c r="I13505" s="18">
        <v>1583.17</v>
      </c>
      <c r="J13505" s="27">
        <v>1583.17</v>
      </c>
      <c r="K13505" s="18">
        <f t="shared" si="421"/>
        <v>1583.17</v>
      </c>
      <c r="L13505" s="27">
        <v>1583.17</v>
      </c>
      <c r="M13505" s="36">
        <v>0</v>
      </c>
      <c r="T13505" s="41">
        <v>0</v>
      </c>
      <c r="U13505" s="41">
        <v>0</v>
      </c>
      <c r="V13505" s="42" t="s">
        <v>113</v>
      </c>
      <c r="W13505" s="42">
        <v>1583.17</v>
      </c>
      <c r="X13505" s="42">
        <v>1583.17</v>
      </c>
    </row>
    <row r="13506" spans="1:24">
      <c r="A13506" s="27" t="s">
        <v>24207</v>
      </c>
      <c r="B13506" s="28" t="s">
        <v>24075</v>
      </c>
      <c r="C13506" s="27" t="s">
        <v>24208</v>
      </c>
      <c r="D13506" s="27" t="s">
        <v>17558</v>
      </c>
      <c r="E13506" s="29">
        <v>37591</v>
      </c>
      <c r="F13506" s="27">
        <v>12</v>
      </c>
      <c r="G13506" s="18">
        <v>3535</v>
      </c>
      <c r="H13506" s="27">
        <f t="shared" si="420"/>
        <v>3535</v>
      </c>
      <c r="I13506" s="18">
        <v>3535</v>
      </c>
      <c r="J13506" s="27">
        <v>3535</v>
      </c>
      <c r="K13506" s="18">
        <f t="shared" si="421"/>
        <v>3535</v>
      </c>
      <c r="L13506" s="27">
        <v>3535</v>
      </c>
      <c r="M13506" s="36">
        <v>0</v>
      </c>
      <c r="T13506" s="41">
        <v>0</v>
      </c>
      <c r="U13506" s="41">
        <v>0</v>
      </c>
      <c r="V13506" s="42" t="s">
        <v>113</v>
      </c>
      <c r="W13506" s="42">
        <v>3535</v>
      </c>
      <c r="X13506" s="42">
        <v>3535</v>
      </c>
    </row>
    <row r="13507" spans="1:24">
      <c r="A13507" s="27" t="s">
        <v>24209</v>
      </c>
      <c r="B13507" s="28" t="s">
        <v>24075</v>
      </c>
      <c r="C13507" s="27" t="s">
        <v>24210</v>
      </c>
      <c r="D13507" s="27" t="s">
        <v>17578</v>
      </c>
      <c r="E13507" s="29">
        <v>41827</v>
      </c>
      <c r="F13507" s="27">
        <v>12</v>
      </c>
      <c r="G13507" s="18">
        <v>39743.589999999997</v>
      </c>
      <c r="H13507" s="27">
        <f t="shared" si="420"/>
        <v>0</v>
      </c>
      <c r="I13507" s="18">
        <v>14535.22</v>
      </c>
      <c r="J13507" s="27">
        <v>39743.589999999997</v>
      </c>
      <c r="K13507" s="18">
        <f t="shared" si="421"/>
        <v>0</v>
      </c>
      <c r="L13507" s="27">
        <v>17597.349999999999</v>
      </c>
      <c r="M13507" s="36">
        <v>3062.13</v>
      </c>
      <c r="T13507" s="41">
        <v>0</v>
      </c>
      <c r="U13507" s="41">
        <v>0</v>
      </c>
      <c r="V13507" s="42" t="s">
        <v>113</v>
      </c>
      <c r="W13507" s="42">
        <v>0</v>
      </c>
      <c r="X13507" s="42">
        <v>0</v>
      </c>
    </row>
    <row r="13508" spans="1:24">
      <c r="A13508" s="27" t="s">
        <v>24211</v>
      </c>
      <c r="B13508" s="28" t="s">
        <v>24075</v>
      </c>
      <c r="C13508" s="27" t="s">
        <v>24212</v>
      </c>
      <c r="D13508" s="27" t="s">
        <v>17558</v>
      </c>
      <c r="E13508" s="29">
        <v>40178</v>
      </c>
      <c r="F13508" s="27">
        <v>12</v>
      </c>
      <c r="G13508" s="18">
        <v>48700</v>
      </c>
      <c r="H13508" s="27">
        <f t="shared" si="420"/>
        <v>0</v>
      </c>
      <c r="I13508" s="18">
        <v>34970.050000000003</v>
      </c>
      <c r="J13508" s="27">
        <v>48700</v>
      </c>
      <c r="K13508" s="18">
        <f t="shared" si="421"/>
        <v>0</v>
      </c>
      <c r="L13508" s="27">
        <v>38735.03</v>
      </c>
      <c r="M13508" s="36">
        <v>3764.98</v>
      </c>
      <c r="T13508" s="41">
        <v>0</v>
      </c>
      <c r="U13508" s="41">
        <v>0</v>
      </c>
      <c r="V13508" s="42" t="s">
        <v>113</v>
      </c>
      <c r="W13508" s="42">
        <v>0</v>
      </c>
      <c r="X13508" s="42">
        <v>48700</v>
      </c>
    </row>
    <row r="13509" spans="1:24">
      <c r="A13509" s="27" t="s">
        <v>24213</v>
      </c>
      <c r="B13509" s="28" t="s">
        <v>24075</v>
      </c>
      <c r="C13509" s="27" t="s">
        <v>24214</v>
      </c>
      <c r="D13509" s="27" t="s">
        <v>17558</v>
      </c>
      <c r="E13509" s="29">
        <v>40178</v>
      </c>
      <c r="F13509" s="27">
        <v>12</v>
      </c>
      <c r="G13509" s="18">
        <v>10450</v>
      </c>
      <c r="H13509" s="27">
        <f t="shared" si="420"/>
        <v>0</v>
      </c>
      <c r="I13509" s="18">
        <v>7503.85</v>
      </c>
      <c r="J13509" s="27">
        <v>10450</v>
      </c>
      <c r="K13509" s="18">
        <f t="shared" si="421"/>
        <v>0</v>
      </c>
      <c r="L13509" s="27">
        <v>8311.73</v>
      </c>
      <c r="M13509" s="36">
        <v>807.88</v>
      </c>
      <c r="T13509" s="41">
        <v>0</v>
      </c>
      <c r="U13509" s="41">
        <v>0</v>
      </c>
      <c r="V13509" s="42" t="s">
        <v>113</v>
      </c>
      <c r="W13509" s="42">
        <v>0</v>
      </c>
      <c r="X13509" s="42">
        <v>10450</v>
      </c>
    </row>
    <row r="13510" spans="1:24">
      <c r="A13510" s="27" t="s">
        <v>24215</v>
      </c>
      <c r="B13510" s="28" t="s">
        <v>24075</v>
      </c>
      <c r="C13510" s="27" t="s">
        <v>24216</v>
      </c>
      <c r="D13510" s="27" t="s">
        <v>17578</v>
      </c>
      <c r="E13510" s="29">
        <v>40178</v>
      </c>
      <c r="F13510" s="27">
        <v>12</v>
      </c>
      <c r="G13510" s="18">
        <v>17700</v>
      </c>
      <c r="H13510" s="27">
        <f t="shared" ref="H13510:H13573" si="422">IFERROR(IF(ROUND((G13510-I13510)/G13510,2)&lt;=0.05,G13510,0),0)</f>
        <v>0</v>
      </c>
      <c r="I13510" s="18">
        <v>12709.87</v>
      </c>
      <c r="J13510" s="27">
        <v>17700</v>
      </c>
      <c r="K13510" s="18">
        <f t="shared" ref="K13510:K13573" si="423">IFERROR(IF(ROUND((J13510-L13510)/J13510,2)&lt;=0.05,J13510,0),0)</f>
        <v>0</v>
      </c>
      <c r="L13510" s="27">
        <v>14078.25</v>
      </c>
      <c r="M13510" s="36">
        <v>1368.38</v>
      </c>
      <c r="T13510" s="41">
        <v>0</v>
      </c>
      <c r="U13510" s="41">
        <v>0</v>
      </c>
      <c r="V13510" s="42" t="s">
        <v>113</v>
      </c>
      <c r="W13510" s="42">
        <v>0</v>
      </c>
      <c r="X13510" s="42">
        <v>17700</v>
      </c>
    </row>
    <row r="13511" spans="1:24">
      <c r="A13511" s="27" t="s">
        <v>24217</v>
      </c>
      <c r="B13511" s="28" t="s">
        <v>24075</v>
      </c>
      <c r="C13511" s="27" t="s">
        <v>24218</v>
      </c>
      <c r="D13511" s="27" t="s">
        <v>17558</v>
      </c>
      <c r="E13511" s="29">
        <v>40178</v>
      </c>
      <c r="F13511" s="27">
        <v>12</v>
      </c>
      <c r="G13511" s="18">
        <v>62400</v>
      </c>
      <c r="H13511" s="27">
        <f t="shared" si="422"/>
        <v>0</v>
      </c>
      <c r="I13511" s="18">
        <v>44807.63</v>
      </c>
      <c r="J13511" s="27">
        <v>62400</v>
      </c>
      <c r="K13511" s="18">
        <f t="shared" si="423"/>
        <v>0</v>
      </c>
      <c r="L13511" s="27">
        <v>49631.75</v>
      </c>
      <c r="M13511" s="36">
        <v>4824.12</v>
      </c>
      <c r="T13511" s="41">
        <v>0</v>
      </c>
      <c r="U13511" s="41">
        <v>0</v>
      </c>
      <c r="V13511" s="42" t="s">
        <v>113</v>
      </c>
      <c r="W13511" s="42">
        <v>0</v>
      </c>
      <c r="X13511" s="42">
        <v>62400</v>
      </c>
    </row>
    <row r="13512" spans="1:24">
      <c r="A13512" s="27" t="s">
        <v>24219</v>
      </c>
      <c r="B13512" s="28" t="s">
        <v>24075</v>
      </c>
      <c r="C13512" s="27" t="s">
        <v>24220</v>
      </c>
      <c r="D13512" s="27" t="s">
        <v>17558</v>
      </c>
      <c r="E13512" s="29">
        <v>38776</v>
      </c>
      <c r="F13512" s="27">
        <v>12</v>
      </c>
      <c r="G13512" s="18">
        <v>18000</v>
      </c>
      <c r="H13512" s="27">
        <f t="shared" si="422"/>
        <v>18000</v>
      </c>
      <c r="I13512" s="18">
        <v>17100</v>
      </c>
      <c r="J13512" s="27">
        <v>18000</v>
      </c>
      <c r="K13512" s="18">
        <f t="shared" si="423"/>
        <v>18000</v>
      </c>
      <c r="L13512" s="27">
        <v>17100</v>
      </c>
      <c r="M13512" s="36">
        <v>0</v>
      </c>
      <c r="T13512" s="41">
        <v>0</v>
      </c>
      <c r="U13512" s="41">
        <v>0</v>
      </c>
      <c r="V13512" s="42" t="s">
        <v>113</v>
      </c>
      <c r="W13512" s="42">
        <v>18000</v>
      </c>
      <c r="X13512" s="42">
        <v>18000</v>
      </c>
    </row>
    <row r="13513" spans="1:24">
      <c r="A13513" s="27" t="s">
        <v>24221</v>
      </c>
      <c r="B13513" s="28" t="s">
        <v>24075</v>
      </c>
      <c r="C13513" s="27" t="s">
        <v>24198</v>
      </c>
      <c r="D13513" s="27" t="s">
        <v>17558</v>
      </c>
      <c r="E13513" s="29">
        <v>40178</v>
      </c>
      <c r="F13513" s="27">
        <v>12</v>
      </c>
      <c r="G13513" s="18">
        <v>96600</v>
      </c>
      <c r="H13513" s="27">
        <f t="shared" si="422"/>
        <v>0</v>
      </c>
      <c r="I13513" s="18">
        <v>69365.66</v>
      </c>
      <c r="J13513" s="27">
        <v>96600</v>
      </c>
      <c r="K13513" s="18">
        <f t="shared" si="423"/>
        <v>0</v>
      </c>
      <c r="L13513" s="27">
        <v>76833.77</v>
      </c>
      <c r="M13513" s="36">
        <v>7468.11</v>
      </c>
      <c r="T13513" s="41">
        <v>0</v>
      </c>
      <c r="U13513" s="41">
        <v>0</v>
      </c>
      <c r="V13513" s="42" t="s">
        <v>113</v>
      </c>
      <c r="W13513" s="42">
        <v>0</v>
      </c>
      <c r="X13513" s="42">
        <v>96600</v>
      </c>
    </row>
    <row r="13514" spans="1:24">
      <c r="A13514" s="27" t="s">
        <v>24222</v>
      </c>
      <c r="B13514" s="28" t="s">
        <v>24075</v>
      </c>
      <c r="C13514" s="27" t="s">
        <v>24132</v>
      </c>
      <c r="D13514" s="27" t="s">
        <v>17558</v>
      </c>
      <c r="E13514" s="29">
        <v>39015</v>
      </c>
      <c r="F13514" s="27">
        <v>12</v>
      </c>
      <c r="G13514" s="18">
        <v>900</v>
      </c>
      <c r="H13514" s="27">
        <f t="shared" si="422"/>
        <v>900</v>
      </c>
      <c r="I13514" s="18">
        <v>900</v>
      </c>
      <c r="J13514" s="27">
        <v>900</v>
      </c>
      <c r="K13514" s="18">
        <f t="shared" si="423"/>
        <v>900</v>
      </c>
      <c r="L13514" s="27">
        <v>900</v>
      </c>
      <c r="M13514" s="36">
        <v>0</v>
      </c>
      <c r="T13514" s="41">
        <v>0</v>
      </c>
      <c r="U13514" s="41">
        <v>0</v>
      </c>
      <c r="V13514" s="42" t="s">
        <v>113</v>
      </c>
      <c r="W13514" s="42">
        <v>900</v>
      </c>
      <c r="X13514" s="42">
        <v>900</v>
      </c>
    </row>
    <row r="13515" spans="1:24">
      <c r="A13515" s="27" t="s">
        <v>24223</v>
      </c>
      <c r="B13515" s="28" t="s">
        <v>24075</v>
      </c>
      <c r="C13515" s="27" t="s">
        <v>24224</v>
      </c>
      <c r="D13515" s="27" t="s">
        <v>17558</v>
      </c>
      <c r="E13515" s="29">
        <v>38868</v>
      </c>
      <c r="F13515" s="27">
        <v>12</v>
      </c>
      <c r="G13515" s="18">
        <v>11800</v>
      </c>
      <c r="H13515" s="27">
        <f t="shared" si="422"/>
        <v>11800</v>
      </c>
      <c r="I13515" s="18">
        <v>11210</v>
      </c>
      <c r="J13515" s="27">
        <v>11800</v>
      </c>
      <c r="K13515" s="18">
        <f t="shared" si="423"/>
        <v>11800</v>
      </c>
      <c r="L13515" s="27">
        <v>11210</v>
      </c>
      <c r="M13515" s="36">
        <v>0</v>
      </c>
      <c r="T13515" s="41">
        <v>0</v>
      </c>
      <c r="U13515" s="41">
        <v>0</v>
      </c>
      <c r="V13515" s="42" t="s">
        <v>113</v>
      </c>
      <c r="W13515" s="42">
        <v>11800</v>
      </c>
      <c r="X13515" s="42">
        <v>11800</v>
      </c>
    </row>
    <row r="13516" spans="1:24">
      <c r="A13516" s="27" t="s">
        <v>24225</v>
      </c>
      <c r="B13516" s="28" t="s">
        <v>24075</v>
      </c>
      <c r="C13516" s="27" t="s">
        <v>24226</v>
      </c>
      <c r="D13516" s="27" t="s">
        <v>17558</v>
      </c>
      <c r="E13516" s="29">
        <v>40178</v>
      </c>
      <c r="F13516" s="27">
        <v>12</v>
      </c>
      <c r="G13516" s="18">
        <v>7980</v>
      </c>
      <c r="H13516" s="27">
        <f t="shared" si="422"/>
        <v>0</v>
      </c>
      <c r="I13516" s="18">
        <v>5730.22</v>
      </c>
      <c r="J13516" s="27">
        <v>7980</v>
      </c>
      <c r="K13516" s="18">
        <f t="shared" si="423"/>
        <v>0</v>
      </c>
      <c r="L13516" s="27">
        <v>6347.15</v>
      </c>
      <c r="M13516" s="36">
        <v>616.92999999999995</v>
      </c>
      <c r="T13516" s="41">
        <v>0</v>
      </c>
      <c r="U13516" s="41">
        <v>0</v>
      </c>
      <c r="V13516" s="42" t="s">
        <v>113</v>
      </c>
      <c r="W13516" s="42">
        <v>0</v>
      </c>
      <c r="X13516" s="42">
        <v>7980</v>
      </c>
    </row>
    <row r="13517" spans="1:24">
      <c r="A13517" s="27" t="s">
        <v>24227</v>
      </c>
      <c r="B13517" s="28" t="s">
        <v>24075</v>
      </c>
      <c r="C13517" s="27" t="s">
        <v>24228</v>
      </c>
      <c r="D13517" s="27" t="s">
        <v>17578</v>
      </c>
      <c r="E13517" s="29">
        <v>40178</v>
      </c>
      <c r="F13517" s="27">
        <v>12</v>
      </c>
      <c r="G13517" s="18">
        <v>1900</v>
      </c>
      <c r="H13517" s="27">
        <f t="shared" si="422"/>
        <v>1900</v>
      </c>
      <c r="I13517" s="18">
        <v>1900</v>
      </c>
      <c r="J13517" s="27">
        <v>1900</v>
      </c>
      <c r="K13517" s="18">
        <f t="shared" si="423"/>
        <v>1900</v>
      </c>
      <c r="L13517" s="27">
        <v>1900</v>
      </c>
      <c r="M13517" s="36">
        <v>0</v>
      </c>
      <c r="T13517" s="41">
        <v>0</v>
      </c>
      <c r="U13517" s="41">
        <v>0</v>
      </c>
      <c r="V13517" s="42" t="s">
        <v>113</v>
      </c>
      <c r="W13517" s="42">
        <v>1900</v>
      </c>
      <c r="X13517" s="42">
        <v>1900</v>
      </c>
    </row>
    <row r="13518" spans="1:24">
      <c r="A13518" s="27" t="s">
        <v>24229</v>
      </c>
      <c r="B13518" s="28" t="s">
        <v>24075</v>
      </c>
      <c r="C13518" s="27" t="s">
        <v>24230</v>
      </c>
      <c r="D13518" s="27" t="s">
        <v>17578</v>
      </c>
      <c r="E13518" s="29">
        <v>38776</v>
      </c>
      <c r="F13518" s="27">
        <v>12</v>
      </c>
      <c r="G13518" s="18">
        <v>8000</v>
      </c>
      <c r="H13518" s="27">
        <f t="shared" si="422"/>
        <v>8000</v>
      </c>
      <c r="I13518" s="18">
        <v>7600</v>
      </c>
      <c r="J13518" s="27">
        <v>8000</v>
      </c>
      <c r="K13518" s="18">
        <f t="shared" si="423"/>
        <v>8000</v>
      </c>
      <c r="L13518" s="27">
        <v>7600</v>
      </c>
      <c r="M13518" s="36">
        <v>0</v>
      </c>
      <c r="T13518" s="41">
        <v>0</v>
      </c>
      <c r="U13518" s="41">
        <v>0</v>
      </c>
      <c r="V13518" s="42" t="s">
        <v>113</v>
      </c>
      <c r="W13518" s="42">
        <v>8000</v>
      </c>
      <c r="X13518" s="42">
        <v>8000</v>
      </c>
    </row>
    <row r="13519" spans="1:24">
      <c r="A13519" s="27" t="s">
        <v>24231</v>
      </c>
      <c r="B13519" s="28" t="s">
        <v>24075</v>
      </c>
      <c r="C13519" s="27" t="s">
        <v>24232</v>
      </c>
      <c r="D13519" s="27" t="s">
        <v>17558</v>
      </c>
      <c r="E13519" s="29">
        <v>39071</v>
      </c>
      <c r="F13519" s="27">
        <v>12</v>
      </c>
      <c r="G13519" s="18">
        <v>5250</v>
      </c>
      <c r="H13519" s="27">
        <f t="shared" si="422"/>
        <v>5250</v>
      </c>
      <c r="I13519" s="18">
        <v>4987.5</v>
      </c>
      <c r="J13519" s="27">
        <v>5250</v>
      </c>
      <c r="K13519" s="18">
        <f t="shared" si="423"/>
        <v>5250</v>
      </c>
      <c r="L13519" s="27">
        <v>4987.5</v>
      </c>
      <c r="M13519" s="36">
        <v>0</v>
      </c>
      <c r="T13519" s="41">
        <v>0</v>
      </c>
      <c r="U13519" s="41">
        <v>0</v>
      </c>
      <c r="V13519" s="42" t="s">
        <v>113</v>
      </c>
      <c r="W13519" s="42">
        <v>5250</v>
      </c>
      <c r="X13519" s="42">
        <v>5250</v>
      </c>
    </row>
    <row r="13520" spans="1:24">
      <c r="A13520" s="27" t="s">
        <v>24233</v>
      </c>
      <c r="B13520" s="28" t="s">
        <v>24075</v>
      </c>
      <c r="C13520" s="27" t="s">
        <v>24234</v>
      </c>
      <c r="D13520" s="27" t="s">
        <v>17558</v>
      </c>
      <c r="E13520" s="29">
        <v>40178</v>
      </c>
      <c r="F13520" s="27">
        <v>12</v>
      </c>
      <c r="G13520" s="18">
        <v>17700</v>
      </c>
      <c r="H13520" s="27">
        <f t="shared" si="422"/>
        <v>0</v>
      </c>
      <c r="I13520" s="18">
        <v>12709.87</v>
      </c>
      <c r="J13520" s="27">
        <v>17700</v>
      </c>
      <c r="K13520" s="18">
        <f t="shared" si="423"/>
        <v>0</v>
      </c>
      <c r="L13520" s="27">
        <v>14078.25</v>
      </c>
      <c r="M13520" s="36">
        <v>1368.38</v>
      </c>
      <c r="T13520" s="41">
        <v>0</v>
      </c>
      <c r="U13520" s="41">
        <v>0</v>
      </c>
      <c r="V13520" s="42" t="s">
        <v>113</v>
      </c>
      <c r="W13520" s="42">
        <v>0</v>
      </c>
      <c r="X13520" s="42">
        <v>17700</v>
      </c>
    </row>
    <row r="13521" spans="1:24">
      <c r="A13521" s="27" t="s">
        <v>24235</v>
      </c>
      <c r="B13521" s="28" t="s">
        <v>24075</v>
      </c>
      <c r="C13521" s="27" t="s">
        <v>24236</v>
      </c>
      <c r="D13521" s="27" t="s">
        <v>17558</v>
      </c>
      <c r="E13521" s="29">
        <v>40178</v>
      </c>
      <c r="F13521" s="27">
        <v>12</v>
      </c>
      <c r="G13521" s="18">
        <v>28350</v>
      </c>
      <c r="H13521" s="27">
        <f t="shared" si="422"/>
        <v>0</v>
      </c>
      <c r="I13521" s="18">
        <v>20357.3</v>
      </c>
      <c r="J13521" s="27">
        <v>28350</v>
      </c>
      <c r="K13521" s="18">
        <f t="shared" si="423"/>
        <v>0</v>
      </c>
      <c r="L13521" s="27">
        <v>22549.03</v>
      </c>
      <c r="M13521" s="36">
        <v>2191.73</v>
      </c>
      <c r="T13521" s="41">
        <v>0</v>
      </c>
      <c r="U13521" s="41">
        <v>0</v>
      </c>
      <c r="V13521" s="42" t="s">
        <v>113</v>
      </c>
      <c r="W13521" s="42">
        <v>0</v>
      </c>
      <c r="X13521" s="42">
        <v>28350</v>
      </c>
    </row>
    <row r="13522" spans="1:24">
      <c r="A13522" s="27" t="s">
        <v>24237</v>
      </c>
      <c r="B13522" s="28" t="s">
        <v>24075</v>
      </c>
      <c r="C13522" s="27" t="s">
        <v>24238</v>
      </c>
      <c r="D13522" s="27" t="s">
        <v>17558</v>
      </c>
      <c r="E13522" s="29">
        <v>41264</v>
      </c>
      <c r="F13522" s="27">
        <v>12</v>
      </c>
      <c r="G13522" s="18">
        <v>2350.4299999999998</v>
      </c>
      <c r="H13522" s="27">
        <f t="shared" si="422"/>
        <v>2350.4299999999998</v>
      </c>
      <c r="I13522" s="18">
        <v>2350.4299999999998</v>
      </c>
      <c r="J13522" s="27">
        <v>2350.4299999999998</v>
      </c>
      <c r="K13522" s="18">
        <f t="shared" si="423"/>
        <v>2350.4299999999998</v>
      </c>
      <c r="L13522" s="27">
        <v>2350.4299999999998</v>
      </c>
      <c r="M13522" s="36">
        <v>0</v>
      </c>
      <c r="T13522" s="41">
        <v>0</v>
      </c>
      <c r="U13522" s="41">
        <v>0</v>
      </c>
      <c r="V13522" s="42" t="s">
        <v>113</v>
      </c>
      <c r="W13522" s="42">
        <v>2350.4299999999998</v>
      </c>
      <c r="X13522" s="42">
        <v>2350.4299999999998</v>
      </c>
    </row>
    <row r="13523" spans="1:24">
      <c r="A13523" s="27" t="s">
        <v>24239</v>
      </c>
      <c r="B13523" s="28" t="s">
        <v>24075</v>
      </c>
      <c r="C13523" s="27" t="s">
        <v>24238</v>
      </c>
      <c r="D13523" s="27" t="s">
        <v>17558</v>
      </c>
      <c r="E13523" s="29">
        <v>41264</v>
      </c>
      <c r="F13523" s="27">
        <v>12</v>
      </c>
      <c r="G13523" s="18">
        <v>2435.9</v>
      </c>
      <c r="H13523" s="27">
        <f t="shared" si="422"/>
        <v>2435.9</v>
      </c>
      <c r="I13523" s="18">
        <v>2435.9</v>
      </c>
      <c r="J13523" s="27">
        <v>2435.9</v>
      </c>
      <c r="K13523" s="18">
        <f t="shared" si="423"/>
        <v>2435.9</v>
      </c>
      <c r="L13523" s="27">
        <v>2435.9</v>
      </c>
      <c r="M13523" s="36">
        <v>0</v>
      </c>
      <c r="T13523" s="41">
        <v>0</v>
      </c>
      <c r="U13523" s="41">
        <v>0</v>
      </c>
      <c r="V13523" s="42" t="s">
        <v>113</v>
      </c>
      <c r="W13523" s="42">
        <v>2435.9</v>
      </c>
      <c r="X13523" s="42">
        <v>2435.9</v>
      </c>
    </row>
    <row r="13524" spans="1:24">
      <c r="A13524" s="27" t="s">
        <v>24240</v>
      </c>
      <c r="B13524" s="28" t="s">
        <v>24075</v>
      </c>
      <c r="C13524" s="27" t="s">
        <v>24241</v>
      </c>
      <c r="D13524" s="27" t="s">
        <v>17558</v>
      </c>
      <c r="E13524" s="29">
        <v>41264</v>
      </c>
      <c r="F13524" s="27">
        <v>12</v>
      </c>
      <c r="G13524" s="18">
        <v>22905.98</v>
      </c>
      <c r="H13524" s="27">
        <f t="shared" si="422"/>
        <v>0</v>
      </c>
      <c r="I13524" s="18">
        <v>10880.34</v>
      </c>
      <c r="J13524" s="27">
        <v>22905.98</v>
      </c>
      <c r="K13524" s="18">
        <f t="shared" si="423"/>
        <v>0</v>
      </c>
      <c r="L13524" s="27">
        <v>12693.73</v>
      </c>
      <c r="M13524" s="36">
        <v>1813.39</v>
      </c>
      <c r="T13524" s="41">
        <v>0</v>
      </c>
      <c r="U13524" s="41">
        <v>0</v>
      </c>
      <c r="V13524" s="42" t="s">
        <v>113</v>
      </c>
      <c r="W13524" s="42">
        <v>0</v>
      </c>
      <c r="X13524" s="42">
        <v>0</v>
      </c>
    </row>
    <row r="13525" spans="1:24">
      <c r="A13525" s="27" t="s">
        <v>24242</v>
      </c>
      <c r="B13525" s="28" t="s">
        <v>24075</v>
      </c>
      <c r="C13525" s="27" t="s">
        <v>23973</v>
      </c>
      <c r="D13525" s="27" t="s">
        <v>17558</v>
      </c>
      <c r="E13525" s="29">
        <v>35795</v>
      </c>
      <c r="F13525" s="27">
        <v>12</v>
      </c>
      <c r="G13525" s="18">
        <v>8470.48</v>
      </c>
      <c r="H13525" s="27">
        <f t="shared" si="422"/>
        <v>8470.48</v>
      </c>
      <c r="I13525" s="18">
        <v>8046.96</v>
      </c>
      <c r="J13525" s="27">
        <v>8470.48</v>
      </c>
      <c r="K13525" s="18">
        <f t="shared" si="423"/>
        <v>8470.48</v>
      </c>
      <c r="L13525" s="27">
        <v>8046.96</v>
      </c>
      <c r="M13525" s="36">
        <v>0</v>
      </c>
      <c r="T13525" s="41">
        <v>0</v>
      </c>
      <c r="U13525" s="41">
        <v>0</v>
      </c>
      <c r="V13525" s="42" t="s">
        <v>113</v>
      </c>
      <c r="W13525" s="42">
        <v>8470.48</v>
      </c>
      <c r="X13525" s="42">
        <v>8470.48</v>
      </c>
    </row>
    <row r="13526" spans="1:24">
      <c r="A13526" s="27" t="s">
        <v>24243</v>
      </c>
      <c r="B13526" s="28" t="s">
        <v>24075</v>
      </c>
      <c r="C13526" s="27" t="s">
        <v>23973</v>
      </c>
      <c r="D13526" s="27" t="s">
        <v>17558</v>
      </c>
      <c r="E13526" s="29">
        <v>35795</v>
      </c>
      <c r="F13526" s="27">
        <v>12</v>
      </c>
      <c r="G13526" s="18">
        <v>8470.48</v>
      </c>
      <c r="H13526" s="27">
        <f t="shared" si="422"/>
        <v>8470.48</v>
      </c>
      <c r="I13526" s="18">
        <v>8046.96</v>
      </c>
      <c r="J13526" s="27">
        <v>8470.48</v>
      </c>
      <c r="K13526" s="18">
        <f t="shared" si="423"/>
        <v>8470.48</v>
      </c>
      <c r="L13526" s="27">
        <v>8046.96</v>
      </c>
      <c r="M13526" s="36">
        <v>0</v>
      </c>
      <c r="T13526" s="41">
        <v>0</v>
      </c>
      <c r="U13526" s="41">
        <v>0</v>
      </c>
      <c r="V13526" s="42" t="s">
        <v>113</v>
      </c>
      <c r="W13526" s="42">
        <v>8470.48</v>
      </c>
      <c r="X13526" s="42">
        <v>8470.48</v>
      </c>
    </row>
    <row r="13527" spans="1:24">
      <c r="A13527" s="27" t="s">
        <v>24244</v>
      </c>
      <c r="B13527" s="28" t="s">
        <v>24075</v>
      </c>
      <c r="C13527" s="27" t="s">
        <v>23747</v>
      </c>
      <c r="D13527" s="27" t="s">
        <v>17558</v>
      </c>
      <c r="E13527" s="29">
        <v>40086</v>
      </c>
      <c r="F13527" s="27">
        <v>12</v>
      </c>
      <c r="G13527" s="18">
        <v>367.5</v>
      </c>
      <c r="H13527" s="27">
        <f t="shared" si="422"/>
        <v>367.5</v>
      </c>
      <c r="I13527" s="18">
        <v>367.5</v>
      </c>
      <c r="J13527" s="27">
        <v>367.5</v>
      </c>
      <c r="K13527" s="18">
        <f t="shared" si="423"/>
        <v>367.5</v>
      </c>
      <c r="L13527" s="27">
        <v>367.5</v>
      </c>
      <c r="M13527" s="36">
        <v>0</v>
      </c>
      <c r="T13527" s="41">
        <v>0</v>
      </c>
      <c r="U13527" s="41">
        <v>0</v>
      </c>
      <c r="V13527" s="42" t="s">
        <v>113</v>
      </c>
      <c r="W13527" s="42">
        <v>367.5</v>
      </c>
      <c r="X13527" s="42">
        <v>367.5</v>
      </c>
    </row>
    <row r="13528" spans="1:24">
      <c r="A13528" s="27" t="s">
        <v>24245</v>
      </c>
      <c r="B13528" s="28" t="s">
        <v>24075</v>
      </c>
      <c r="C13528" s="27" t="s">
        <v>24246</v>
      </c>
      <c r="D13528" s="27" t="s">
        <v>17558</v>
      </c>
      <c r="E13528" s="29">
        <v>40086</v>
      </c>
      <c r="F13528" s="27">
        <v>12</v>
      </c>
      <c r="G13528" s="18">
        <v>367.5</v>
      </c>
      <c r="H13528" s="27">
        <f t="shared" si="422"/>
        <v>367.5</v>
      </c>
      <c r="I13528" s="18">
        <v>367.5</v>
      </c>
      <c r="J13528" s="27">
        <v>367.5</v>
      </c>
      <c r="K13528" s="18">
        <f t="shared" si="423"/>
        <v>367.5</v>
      </c>
      <c r="L13528" s="27">
        <v>367.5</v>
      </c>
      <c r="M13528" s="36">
        <v>0</v>
      </c>
      <c r="T13528" s="41">
        <v>0</v>
      </c>
      <c r="U13528" s="41">
        <v>0</v>
      </c>
      <c r="V13528" s="42" t="s">
        <v>113</v>
      </c>
      <c r="W13528" s="42">
        <v>367.5</v>
      </c>
      <c r="X13528" s="42">
        <v>367.5</v>
      </c>
    </row>
    <row r="13529" spans="1:24">
      <c r="A13529" s="27" t="s">
        <v>24247</v>
      </c>
      <c r="B13529" s="28" t="s">
        <v>24075</v>
      </c>
      <c r="C13529" s="27" t="s">
        <v>24248</v>
      </c>
      <c r="D13529" s="27" t="s">
        <v>17558</v>
      </c>
      <c r="E13529" s="29">
        <v>42170</v>
      </c>
      <c r="F13529" s="27">
        <v>12</v>
      </c>
      <c r="G13529" s="18">
        <v>4402</v>
      </c>
      <c r="H13529" s="27">
        <f t="shared" si="422"/>
        <v>4402</v>
      </c>
      <c r="I13529" s="18">
        <v>4402</v>
      </c>
      <c r="J13529" s="27">
        <v>4402</v>
      </c>
      <c r="K13529" s="18">
        <f t="shared" si="423"/>
        <v>4402</v>
      </c>
      <c r="L13529" s="27">
        <v>4402</v>
      </c>
      <c r="M13529" s="36">
        <v>0</v>
      </c>
      <c r="T13529" s="41">
        <v>0</v>
      </c>
      <c r="U13529" s="41">
        <v>0</v>
      </c>
      <c r="V13529" s="42" t="s">
        <v>113</v>
      </c>
      <c r="W13529" s="42">
        <v>4402</v>
      </c>
      <c r="X13529" s="42">
        <v>4402</v>
      </c>
    </row>
    <row r="13530" spans="1:24">
      <c r="A13530" s="27" t="s">
        <v>24249</v>
      </c>
      <c r="B13530" s="28" t="s">
        <v>24075</v>
      </c>
      <c r="C13530" s="27" t="s">
        <v>24250</v>
      </c>
      <c r="D13530" s="27" t="s">
        <v>17558</v>
      </c>
      <c r="E13530" s="29">
        <v>42170</v>
      </c>
      <c r="F13530" s="27">
        <v>12</v>
      </c>
      <c r="G13530" s="18">
        <v>4402</v>
      </c>
      <c r="H13530" s="27">
        <f t="shared" si="422"/>
        <v>4402</v>
      </c>
      <c r="I13530" s="18">
        <v>4402</v>
      </c>
      <c r="J13530" s="27">
        <v>4402</v>
      </c>
      <c r="K13530" s="18">
        <f t="shared" si="423"/>
        <v>4402</v>
      </c>
      <c r="L13530" s="27">
        <v>4402</v>
      </c>
      <c r="M13530" s="36">
        <v>0</v>
      </c>
      <c r="T13530" s="41">
        <v>0</v>
      </c>
      <c r="U13530" s="41">
        <v>0</v>
      </c>
      <c r="V13530" s="42" t="s">
        <v>113</v>
      </c>
      <c r="W13530" s="42">
        <v>4402</v>
      </c>
      <c r="X13530" s="42">
        <v>4402</v>
      </c>
    </row>
    <row r="13531" spans="1:24">
      <c r="A13531" s="27" t="s">
        <v>24251</v>
      </c>
      <c r="B13531" s="28" t="s">
        <v>24075</v>
      </c>
      <c r="C13531" s="27" t="s">
        <v>24252</v>
      </c>
      <c r="D13531" s="27" t="s">
        <v>17558</v>
      </c>
      <c r="E13531" s="29">
        <v>42170</v>
      </c>
      <c r="F13531" s="27">
        <v>12</v>
      </c>
      <c r="G13531" s="18">
        <v>4402</v>
      </c>
      <c r="H13531" s="27">
        <f t="shared" si="422"/>
        <v>4402</v>
      </c>
      <c r="I13531" s="18">
        <v>4402</v>
      </c>
      <c r="J13531" s="27">
        <v>4402</v>
      </c>
      <c r="K13531" s="18">
        <f t="shared" si="423"/>
        <v>4402</v>
      </c>
      <c r="L13531" s="27">
        <v>4402</v>
      </c>
      <c r="M13531" s="36">
        <v>0</v>
      </c>
      <c r="T13531" s="41">
        <v>0</v>
      </c>
      <c r="U13531" s="41">
        <v>0</v>
      </c>
      <c r="V13531" s="42" t="s">
        <v>113</v>
      </c>
      <c r="W13531" s="42">
        <v>4402</v>
      </c>
      <c r="X13531" s="42">
        <v>4402</v>
      </c>
    </row>
    <row r="13532" spans="1:24">
      <c r="A13532" s="27" t="s">
        <v>24253</v>
      </c>
      <c r="B13532" s="28" t="s">
        <v>24075</v>
      </c>
      <c r="C13532" s="27" t="s">
        <v>24254</v>
      </c>
      <c r="D13532" s="27" t="s">
        <v>17558</v>
      </c>
      <c r="E13532" s="29">
        <v>42170</v>
      </c>
      <c r="F13532" s="27">
        <v>12</v>
      </c>
      <c r="G13532" s="18">
        <v>4402</v>
      </c>
      <c r="H13532" s="27">
        <f t="shared" si="422"/>
        <v>4402</v>
      </c>
      <c r="I13532" s="18">
        <v>4402</v>
      </c>
      <c r="J13532" s="27">
        <v>4402</v>
      </c>
      <c r="K13532" s="18">
        <f t="shared" si="423"/>
        <v>4402</v>
      </c>
      <c r="L13532" s="27">
        <v>4402</v>
      </c>
      <c r="M13532" s="36">
        <v>0</v>
      </c>
      <c r="T13532" s="41">
        <v>0</v>
      </c>
      <c r="U13532" s="41">
        <v>0</v>
      </c>
      <c r="V13532" s="42" t="s">
        <v>113</v>
      </c>
      <c r="W13532" s="42">
        <v>4402</v>
      </c>
      <c r="X13532" s="42">
        <v>4402</v>
      </c>
    </row>
    <row r="13533" spans="1:24">
      <c r="A13533" s="27" t="s">
        <v>24255</v>
      </c>
      <c r="B13533" s="28" t="s">
        <v>24075</v>
      </c>
      <c r="C13533" s="27" t="s">
        <v>24256</v>
      </c>
      <c r="D13533" s="27" t="s">
        <v>17558</v>
      </c>
      <c r="E13533" s="29">
        <v>42170</v>
      </c>
      <c r="F13533" s="27">
        <v>12</v>
      </c>
      <c r="G13533" s="18">
        <v>4402</v>
      </c>
      <c r="H13533" s="27">
        <f t="shared" si="422"/>
        <v>4402</v>
      </c>
      <c r="I13533" s="18">
        <v>4402</v>
      </c>
      <c r="J13533" s="27">
        <v>4402</v>
      </c>
      <c r="K13533" s="18">
        <f t="shared" si="423"/>
        <v>4402</v>
      </c>
      <c r="L13533" s="27">
        <v>4402</v>
      </c>
      <c r="M13533" s="36">
        <v>0</v>
      </c>
      <c r="T13533" s="41">
        <v>0</v>
      </c>
      <c r="U13533" s="41">
        <v>0</v>
      </c>
      <c r="V13533" s="42" t="s">
        <v>113</v>
      </c>
      <c r="W13533" s="42">
        <v>4402</v>
      </c>
      <c r="X13533" s="42">
        <v>4402</v>
      </c>
    </row>
    <row r="13534" spans="1:24">
      <c r="A13534" s="27" t="s">
        <v>24257</v>
      </c>
      <c r="B13534" s="28" t="s">
        <v>24075</v>
      </c>
      <c r="C13534" s="27" t="s">
        <v>24258</v>
      </c>
      <c r="D13534" s="27" t="s">
        <v>17558</v>
      </c>
      <c r="E13534" s="29">
        <v>42170</v>
      </c>
      <c r="F13534" s="27">
        <v>12</v>
      </c>
      <c r="G13534" s="18">
        <v>4402</v>
      </c>
      <c r="H13534" s="27">
        <f t="shared" si="422"/>
        <v>4402</v>
      </c>
      <c r="I13534" s="18">
        <v>4402</v>
      </c>
      <c r="J13534" s="27">
        <v>4402</v>
      </c>
      <c r="K13534" s="18">
        <f t="shared" si="423"/>
        <v>4402</v>
      </c>
      <c r="L13534" s="27">
        <v>4402</v>
      </c>
      <c r="M13534" s="36">
        <v>0</v>
      </c>
      <c r="T13534" s="41">
        <v>0</v>
      </c>
      <c r="U13534" s="41">
        <v>0</v>
      </c>
      <c r="V13534" s="42" t="s">
        <v>113</v>
      </c>
      <c r="W13534" s="42">
        <v>4402</v>
      </c>
      <c r="X13534" s="42">
        <v>4402</v>
      </c>
    </row>
    <row r="13535" spans="1:24">
      <c r="A13535" s="27" t="s">
        <v>24259</v>
      </c>
      <c r="B13535" s="28" t="s">
        <v>24075</v>
      </c>
      <c r="C13535" s="27" t="s">
        <v>24260</v>
      </c>
      <c r="D13535" s="27" t="s">
        <v>17558</v>
      </c>
      <c r="E13535" s="29">
        <v>42170</v>
      </c>
      <c r="F13535" s="27">
        <v>12</v>
      </c>
      <c r="G13535" s="18">
        <v>4402</v>
      </c>
      <c r="H13535" s="27">
        <f t="shared" si="422"/>
        <v>4402</v>
      </c>
      <c r="I13535" s="18">
        <v>4402</v>
      </c>
      <c r="J13535" s="27">
        <v>4402</v>
      </c>
      <c r="K13535" s="18">
        <f t="shared" si="423"/>
        <v>4402</v>
      </c>
      <c r="L13535" s="27">
        <v>4402</v>
      </c>
      <c r="M13535" s="36">
        <v>0</v>
      </c>
      <c r="T13535" s="41">
        <v>0</v>
      </c>
      <c r="U13535" s="41">
        <v>0</v>
      </c>
      <c r="V13535" s="42" t="s">
        <v>113</v>
      </c>
      <c r="W13535" s="42">
        <v>4402</v>
      </c>
      <c r="X13535" s="42">
        <v>4402</v>
      </c>
    </row>
    <row r="13536" spans="1:24">
      <c r="A13536" s="27" t="s">
        <v>24261</v>
      </c>
      <c r="B13536" s="28" t="s">
        <v>24075</v>
      </c>
      <c r="C13536" s="27" t="s">
        <v>24262</v>
      </c>
      <c r="D13536" s="27" t="s">
        <v>17558</v>
      </c>
      <c r="E13536" s="29">
        <v>42170</v>
      </c>
      <c r="F13536" s="27">
        <v>12</v>
      </c>
      <c r="G13536" s="18">
        <v>4402</v>
      </c>
      <c r="H13536" s="27">
        <f t="shared" si="422"/>
        <v>4402</v>
      </c>
      <c r="I13536" s="18">
        <v>4402</v>
      </c>
      <c r="J13536" s="27">
        <v>4402</v>
      </c>
      <c r="K13536" s="18">
        <f t="shared" si="423"/>
        <v>4402</v>
      </c>
      <c r="L13536" s="27">
        <v>4402</v>
      </c>
      <c r="M13536" s="36">
        <v>0</v>
      </c>
      <c r="T13536" s="41">
        <v>0</v>
      </c>
      <c r="U13536" s="41">
        <v>0</v>
      </c>
      <c r="V13536" s="42" t="s">
        <v>113</v>
      </c>
      <c r="W13536" s="42">
        <v>4402</v>
      </c>
      <c r="X13536" s="42">
        <v>4402</v>
      </c>
    </row>
    <row r="13537" spans="1:24">
      <c r="A13537" s="27" t="s">
        <v>24263</v>
      </c>
      <c r="B13537" s="28" t="s">
        <v>24075</v>
      </c>
      <c r="C13537" s="27" t="s">
        <v>24264</v>
      </c>
      <c r="D13537" s="27" t="s">
        <v>17558</v>
      </c>
      <c r="E13537" s="29">
        <v>42170</v>
      </c>
      <c r="F13537" s="27">
        <v>12</v>
      </c>
      <c r="G13537" s="18">
        <v>4402</v>
      </c>
      <c r="H13537" s="27">
        <f t="shared" si="422"/>
        <v>4402</v>
      </c>
      <c r="I13537" s="18">
        <v>4402</v>
      </c>
      <c r="J13537" s="27">
        <v>4402</v>
      </c>
      <c r="K13537" s="18">
        <f t="shared" si="423"/>
        <v>4402</v>
      </c>
      <c r="L13537" s="27">
        <v>4402</v>
      </c>
      <c r="M13537" s="36">
        <v>0</v>
      </c>
      <c r="T13537" s="41">
        <v>0</v>
      </c>
      <c r="U13537" s="41">
        <v>0</v>
      </c>
      <c r="V13537" s="42" t="s">
        <v>113</v>
      </c>
      <c r="W13537" s="42">
        <v>4402</v>
      </c>
      <c r="X13537" s="42">
        <v>4402</v>
      </c>
    </row>
    <row r="13538" spans="1:24">
      <c r="A13538" s="27" t="s">
        <v>24265</v>
      </c>
      <c r="B13538" s="28" t="s">
        <v>24075</v>
      </c>
      <c r="C13538" s="27" t="s">
        <v>24266</v>
      </c>
      <c r="D13538" s="27" t="s">
        <v>17558</v>
      </c>
      <c r="E13538" s="29">
        <v>42170</v>
      </c>
      <c r="F13538" s="27">
        <v>12</v>
      </c>
      <c r="G13538" s="18">
        <v>4402</v>
      </c>
      <c r="H13538" s="27">
        <f t="shared" si="422"/>
        <v>4402</v>
      </c>
      <c r="I13538" s="18">
        <v>4402</v>
      </c>
      <c r="J13538" s="27">
        <v>4402</v>
      </c>
      <c r="K13538" s="18">
        <f t="shared" si="423"/>
        <v>4402</v>
      </c>
      <c r="L13538" s="27">
        <v>4402</v>
      </c>
      <c r="M13538" s="36">
        <v>0</v>
      </c>
      <c r="T13538" s="41">
        <v>0</v>
      </c>
      <c r="U13538" s="41">
        <v>0</v>
      </c>
      <c r="V13538" s="42" t="s">
        <v>113</v>
      </c>
      <c r="W13538" s="42">
        <v>4402</v>
      </c>
      <c r="X13538" s="42">
        <v>4402</v>
      </c>
    </row>
    <row r="13539" spans="1:24">
      <c r="A13539" s="27" t="s">
        <v>24267</v>
      </c>
      <c r="B13539" s="28" t="s">
        <v>24075</v>
      </c>
      <c r="C13539" s="27" t="s">
        <v>24268</v>
      </c>
      <c r="D13539" s="27" t="s">
        <v>17558</v>
      </c>
      <c r="E13539" s="29">
        <v>42170</v>
      </c>
      <c r="F13539" s="27">
        <v>12</v>
      </c>
      <c r="G13539" s="18">
        <v>4402</v>
      </c>
      <c r="H13539" s="27">
        <f t="shared" si="422"/>
        <v>4402</v>
      </c>
      <c r="I13539" s="18">
        <v>4402</v>
      </c>
      <c r="J13539" s="27">
        <v>4402</v>
      </c>
      <c r="K13539" s="18">
        <f t="shared" si="423"/>
        <v>4402</v>
      </c>
      <c r="L13539" s="27">
        <v>4402</v>
      </c>
      <c r="M13539" s="36">
        <v>0</v>
      </c>
      <c r="T13539" s="41">
        <v>0</v>
      </c>
      <c r="U13539" s="41">
        <v>0</v>
      </c>
      <c r="V13539" s="42" t="s">
        <v>113</v>
      </c>
      <c r="W13539" s="42">
        <v>4402</v>
      </c>
      <c r="X13539" s="42">
        <v>4402</v>
      </c>
    </row>
    <row r="13540" spans="1:24">
      <c r="A13540" s="27" t="s">
        <v>24269</v>
      </c>
      <c r="B13540" s="28" t="s">
        <v>24075</v>
      </c>
      <c r="C13540" s="27" t="s">
        <v>24270</v>
      </c>
      <c r="D13540" s="27" t="s">
        <v>17558</v>
      </c>
      <c r="E13540" s="29">
        <v>42170</v>
      </c>
      <c r="F13540" s="27">
        <v>12</v>
      </c>
      <c r="G13540" s="18">
        <v>4402</v>
      </c>
      <c r="H13540" s="27">
        <f t="shared" si="422"/>
        <v>4402</v>
      </c>
      <c r="I13540" s="18">
        <v>4402</v>
      </c>
      <c r="J13540" s="27">
        <v>4402</v>
      </c>
      <c r="K13540" s="18">
        <f t="shared" si="423"/>
        <v>4402</v>
      </c>
      <c r="L13540" s="27">
        <v>4402</v>
      </c>
      <c r="M13540" s="36">
        <v>0</v>
      </c>
      <c r="T13540" s="41">
        <v>0</v>
      </c>
      <c r="U13540" s="41">
        <v>0</v>
      </c>
      <c r="V13540" s="42" t="s">
        <v>113</v>
      </c>
      <c r="W13540" s="42">
        <v>4402</v>
      </c>
      <c r="X13540" s="42">
        <v>4402</v>
      </c>
    </row>
    <row r="13541" spans="1:24">
      <c r="A13541" s="27" t="s">
        <v>24271</v>
      </c>
      <c r="B13541" s="28" t="s">
        <v>24075</v>
      </c>
      <c r="C13541" s="27" t="s">
        <v>24272</v>
      </c>
      <c r="D13541" s="27" t="s">
        <v>17558</v>
      </c>
      <c r="E13541" s="29">
        <v>42170</v>
      </c>
      <c r="F13541" s="27">
        <v>12</v>
      </c>
      <c r="G13541" s="18">
        <v>4402</v>
      </c>
      <c r="H13541" s="27">
        <f t="shared" si="422"/>
        <v>4402</v>
      </c>
      <c r="I13541" s="18">
        <v>4402</v>
      </c>
      <c r="J13541" s="27">
        <v>4402</v>
      </c>
      <c r="K13541" s="18">
        <f t="shared" si="423"/>
        <v>4402</v>
      </c>
      <c r="L13541" s="27">
        <v>4402</v>
      </c>
      <c r="M13541" s="36">
        <v>0</v>
      </c>
      <c r="T13541" s="41">
        <v>0</v>
      </c>
      <c r="U13541" s="41">
        <v>0</v>
      </c>
      <c r="V13541" s="42" t="s">
        <v>113</v>
      </c>
      <c r="W13541" s="42">
        <v>4402</v>
      </c>
      <c r="X13541" s="42">
        <v>4402</v>
      </c>
    </row>
    <row r="13542" spans="1:24">
      <c r="A13542" s="27" t="s">
        <v>24273</v>
      </c>
      <c r="B13542" s="28" t="s">
        <v>24075</v>
      </c>
      <c r="C13542" s="27" t="s">
        <v>24274</v>
      </c>
      <c r="D13542" s="27" t="s">
        <v>17558</v>
      </c>
      <c r="E13542" s="29">
        <v>42170</v>
      </c>
      <c r="F13542" s="27">
        <v>12</v>
      </c>
      <c r="G13542" s="18">
        <v>4402</v>
      </c>
      <c r="H13542" s="27">
        <f t="shared" si="422"/>
        <v>4402</v>
      </c>
      <c r="I13542" s="18">
        <v>4402</v>
      </c>
      <c r="J13542" s="27">
        <v>4402</v>
      </c>
      <c r="K13542" s="18">
        <f t="shared" si="423"/>
        <v>4402</v>
      </c>
      <c r="L13542" s="27">
        <v>4402</v>
      </c>
      <c r="M13542" s="36">
        <v>0</v>
      </c>
      <c r="T13542" s="41">
        <v>0</v>
      </c>
      <c r="U13542" s="41">
        <v>0</v>
      </c>
      <c r="V13542" s="42" t="s">
        <v>113</v>
      </c>
      <c r="W13542" s="42">
        <v>4402</v>
      </c>
      <c r="X13542" s="42">
        <v>4402</v>
      </c>
    </row>
    <row r="13543" spans="1:24">
      <c r="A13543" s="27" t="s">
        <v>24275</v>
      </c>
      <c r="B13543" s="28" t="s">
        <v>24075</v>
      </c>
      <c r="C13543" s="27" t="s">
        <v>24276</v>
      </c>
      <c r="D13543" s="27" t="s">
        <v>17558</v>
      </c>
      <c r="E13543" s="29">
        <v>42170</v>
      </c>
      <c r="F13543" s="27">
        <v>12</v>
      </c>
      <c r="G13543" s="18">
        <v>4402</v>
      </c>
      <c r="H13543" s="27">
        <f t="shared" si="422"/>
        <v>4402</v>
      </c>
      <c r="I13543" s="18">
        <v>4402</v>
      </c>
      <c r="J13543" s="27">
        <v>4402</v>
      </c>
      <c r="K13543" s="18">
        <f t="shared" si="423"/>
        <v>4402</v>
      </c>
      <c r="L13543" s="27">
        <v>4402</v>
      </c>
      <c r="M13543" s="36">
        <v>0</v>
      </c>
      <c r="T13543" s="41">
        <v>0</v>
      </c>
      <c r="U13543" s="41">
        <v>0</v>
      </c>
      <c r="V13543" s="42" t="s">
        <v>113</v>
      </c>
      <c r="W13543" s="42">
        <v>4402</v>
      </c>
      <c r="X13543" s="42">
        <v>4402</v>
      </c>
    </row>
    <row r="13544" spans="1:24">
      <c r="A13544" s="27" t="s">
        <v>24277</v>
      </c>
      <c r="B13544" s="28" t="s">
        <v>24075</v>
      </c>
      <c r="C13544" s="27" t="s">
        <v>24278</v>
      </c>
      <c r="D13544" s="27" t="s">
        <v>17558</v>
      </c>
      <c r="E13544" s="29">
        <v>42170</v>
      </c>
      <c r="F13544" s="27">
        <v>12</v>
      </c>
      <c r="G13544" s="18">
        <v>4402</v>
      </c>
      <c r="H13544" s="27">
        <f t="shared" si="422"/>
        <v>4402</v>
      </c>
      <c r="I13544" s="18">
        <v>4402</v>
      </c>
      <c r="J13544" s="27">
        <v>4402</v>
      </c>
      <c r="K13544" s="18">
        <f t="shared" si="423"/>
        <v>4402</v>
      </c>
      <c r="L13544" s="27">
        <v>4402</v>
      </c>
      <c r="M13544" s="36">
        <v>0</v>
      </c>
      <c r="T13544" s="41">
        <v>0</v>
      </c>
      <c r="U13544" s="41">
        <v>0</v>
      </c>
      <c r="V13544" s="42" t="s">
        <v>113</v>
      </c>
      <c r="W13544" s="42">
        <v>4402</v>
      </c>
      <c r="X13544" s="42">
        <v>4402</v>
      </c>
    </row>
    <row r="13545" spans="1:24">
      <c r="A13545" s="27" t="s">
        <v>24279</v>
      </c>
      <c r="B13545" s="28" t="s">
        <v>24075</v>
      </c>
      <c r="C13545" s="27" t="s">
        <v>24280</v>
      </c>
      <c r="D13545" s="27" t="s">
        <v>17558</v>
      </c>
      <c r="E13545" s="29">
        <v>42170</v>
      </c>
      <c r="F13545" s="27">
        <v>12</v>
      </c>
      <c r="G13545" s="18">
        <v>4402</v>
      </c>
      <c r="H13545" s="27">
        <f t="shared" si="422"/>
        <v>4402</v>
      </c>
      <c r="I13545" s="18">
        <v>4402</v>
      </c>
      <c r="J13545" s="27">
        <v>4402</v>
      </c>
      <c r="K13545" s="18">
        <f t="shared" si="423"/>
        <v>4402</v>
      </c>
      <c r="L13545" s="27">
        <v>4402</v>
      </c>
      <c r="M13545" s="36">
        <v>0</v>
      </c>
      <c r="T13545" s="41">
        <v>0</v>
      </c>
      <c r="U13545" s="41">
        <v>0</v>
      </c>
      <c r="V13545" s="42" t="s">
        <v>113</v>
      </c>
      <c r="W13545" s="42">
        <v>4402</v>
      </c>
      <c r="X13545" s="42">
        <v>4402</v>
      </c>
    </row>
    <row r="13546" spans="1:24">
      <c r="A13546" s="27" t="s">
        <v>24281</v>
      </c>
      <c r="B13546" s="28" t="s">
        <v>24075</v>
      </c>
      <c r="C13546" s="27" t="s">
        <v>24282</v>
      </c>
      <c r="D13546" s="27" t="s">
        <v>17558</v>
      </c>
      <c r="E13546" s="29">
        <v>42170</v>
      </c>
      <c r="F13546" s="27">
        <v>12</v>
      </c>
      <c r="G13546" s="18">
        <v>4402</v>
      </c>
      <c r="H13546" s="27">
        <f t="shared" si="422"/>
        <v>4402</v>
      </c>
      <c r="I13546" s="18">
        <v>4402</v>
      </c>
      <c r="J13546" s="27">
        <v>4402</v>
      </c>
      <c r="K13546" s="18">
        <f t="shared" si="423"/>
        <v>4402</v>
      </c>
      <c r="L13546" s="27">
        <v>4402</v>
      </c>
      <c r="M13546" s="36">
        <v>0</v>
      </c>
      <c r="T13546" s="41">
        <v>0</v>
      </c>
      <c r="U13546" s="41">
        <v>0</v>
      </c>
      <c r="V13546" s="42" t="s">
        <v>113</v>
      </c>
      <c r="W13546" s="42">
        <v>4402</v>
      </c>
      <c r="X13546" s="42">
        <v>4402</v>
      </c>
    </row>
    <row r="13547" spans="1:24">
      <c r="A13547" s="27" t="s">
        <v>24283</v>
      </c>
      <c r="B13547" s="28" t="s">
        <v>24075</v>
      </c>
      <c r="C13547" s="27" t="s">
        <v>24284</v>
      </c>
      <c r="D13547" s="27" t="s">
        <v>17558</v>
      </c>
      <c r="E13547" s="29">
        <v>42170</v>
      </c>
      <c r="F13547" s="27">
        <v>12</v>
      </c>
      <c r="G13547" s="18">
        <v>4402</v>
      </c>
      <c r="H13547" s="27">
        <f t="shared" si="422"/>
        <v>4402</v>
      </c>
      <c r="I13547" s="18">
        <v>4402</v>
      </c>
      <c r="J13547" s="27">
        <v>4402</v>
      </c>
      <c r="K13547" s="18">
        <f t="shared" si="423"/>
        <v>4402</v>
      </c>
      <c r="L13547" s="27">
        <v>4402</v>
      </c>
      <c r="M13547" s="36">
        <v>0</v>
      </c>
      <c r="T13547" s="41">
        <v>0</v>
      </c>
      <c r="U13547" s="41">
        <v>0</v>
      </c>
      <c r="V13547" s="42" t="s">
        <v>113</v>
      </c>
      <c r="W13547" s="42">
        <v>4402</v>
      </c>
      <c r="X13547" s="42">
        <v>4402</v>
      </c>
    </row>
    <row r="13548" spans="1:24">
      <c r="A13548" s="27" t="s">
        <v>24285</v>
      </c>
      <c r="B13548" s="28" t="s">
        <v>24075</v>
      </c>
      <c r="C13548" s="27" t="s">
        <v>24286</v>
      </c>
      <c r="D13548" s="27" t="s">
        <v>17558</v>
      </c>
      <c r="E13548" s="29">
        <v>42170</v>
      </c>
      <c r="F13548" s="27">
        <v>12</v>
      </c>
      <c r="G13548" s="18">
        <v>4403</v>
      </c>
      <c r="H13548" s="27">
        <f t="shared" si="422"/>
        <v>4403</v>
      </c>
      <c r="I13548" s="18">
        <v>4403</v>
      </c>
      <c r="J13548" s="27">
        <v>4403</v>
      </c>
      <c r="K13548" s="18">
        <f t="shared" si="423"/>
        <v>4403</v>
      </c>
      <c r="L13548" s="27">
        <v>4403</v>
      </c>
      <c r="M13548" s="36">
        <v>0</v>
      </c>
      <c r="T13548" s="41">
        <v>0</v>
      </c>
      <c r="U13548" s="41">
        <v>0</v>
      </c>
      <c r="V13548" s="42" t="s">
        <v>113</v>
      </c>
      <c r="W13548" s="42">
        <v>4403</v>
      </c>
      <c r="X13548" s="42">
        <v>4403</v>
      </c>
    </row>
    <row r="13549" spans="1:24">
      <c r="A13549" s="27" t="s">
        <v>24287</v>
      </c>
      <c r="B13549" s="28" t="s">
        <v>24288</v>
      </c>
      <c r="C13549" s="27" t="s">
        <v>24289</v>
      </c>
      <c r="D13549" s="27" t="s">
        <v>17558</v>
      </c>
      <c r="E13549" s="29">
        <v>39974</v>
      </c>
      <c r="F13549" s="27">
        <v>7</v>
      </c>
      <c r="G13549" s="18">
        <v>337272.12</v>
      </c>
      <c r="H13549" s="27">
        <f t="shared" si="422"/>
        <v>337272.12</v>
      </c>
      <c r="I13549" s="18">
        <v>320408.51</v>
      </c>
      <c r="J13549" s="27">
        <v>337272.12</v>
      </c>
      <c r="K13549" s="18">
        <f t="shared" si="423"/>
        <v>337272.12</v>
      </c>
      <c r="L13549" s="27">
        <v>320408.51</v>
      </c>
      <c r="M13549" s="36">
        <v>0</v>
      </c>
      <c r="T13549" s="41">
        <v>0</v>
      </c>
      <c r="U13549" s="41">
        <v>0</v>
      </c>
      <c r="V13549" s="42" t="s">
        <v>113</v>
      </c>
      <c r="W13549" s="42">
        <v>337272.12</v>
      </c>
      <c r="X13549" s="42">
        <v>337272.12</v>
      </c>
    </row>
    <row r="13550" spans="1:24">
      <c r="A13550" s="27" t="s">
        <v>24290</v>
      </c>
      <c r="B13550" s="28" t="s">
        <v>24288</v>
      </c>
      <c r="C13550" s="27" t="s">
        <v>24289</v>
      </c>
      <c r="D13550" s="27" t="s">
        <v>17558</v>
      </c>
      <c r="E13550" s="29">
        <v>39974</v>
      </c>
      <c r="F13550" s="27">
        <v>7</v>
      </c>
      <c r="G13550" s="18">
        <v>181250</v>
      </c>
      <c r="H13550" s="27">
        <f t="shared" si="422"/>
        <v>181250</v>
      </c>
      <c r="I13550" s="18">
        <v>172187.5</v>
      </c>
      <c r="J13550" s="27">
        <v>181250</v>
      </c>
      <c r="K13550" s="18">
        <f t="shared" si="423"/>
        <v>181250</v>
      </c>
      <c r="L13550" s="27">
        <v>172187.5</v>
      </c>
      <c r="M13550" s="36">
        <v>0</v>
      </c>
      <c r="T13550" s="41">
        <v>0</v>
      </c>
      <c r="U13550" s="41">
        <v>0</v>
      </c>
      <c r="V13550" s="42" t="s">
        <v>113</v>
      </c>
      <c r="W13550" s="42">
        <v>181250</v>
      </c>
      <c r="X13550" s="42">
        <v>181250</v>
      </c>
    </row>
    <row r="13551" spans="1:24">
      <c r="A13551" s="27" t="s">
        <v>24291</v>
      </c>
      <c r="B13551" s="28" t="s">
        <v>24288</v>
      </c>
      <c r="C13551" s="27" t="s">
        <v>24292</v>
      </c>
      <c r="D13551" s="27" t="s">
        <v>17558</v>
      </c>
      <c r="E13551" s="29">
        <v>39812</v>
      </c>
      <c r="F13551" s="27">
        <v>7</v>
      </c>
      <c r="G13551" s="18">
        <v>27000</v>
      </c>
      <c r="H13551" s="27">
        <f t="shared" si="422"/>
        <v>27000</v>
      </c>
      <c r="I13551" s="18">
        <v>25650</v>
      </c>
      <c r="J13551" s="27">
        <v>27000</v>
      </c>
      <c r="K13551" s="18">
        <f t="shared" si="423"/>
        <v>27000</v>
      </c>
      <c r="L13551" s="27">
        <v>25650</v>
      </c>
      <c r="M13551" s="36">
        <v>0</v>
      </c>
      <c r="T13551" s="41">
        <v>0</v>
      </c>
      <c r="U13551" s="41">
        <v>0</v>
      </c>
      <c r="V13551" s="42" t="s">
        <v>113</v>
      </c>
      <c r="W13551" s="42">
        <v>27000</v>
      </c>
      <c r="X13551" s="42">
        <v>27000</v>
      </c>
    </row>
    <row r="13552" spans="1:24">
      <c r="A13552" s="27" t="s">
        <v>24293</v>
      </c>
      <c r="B13552" s="28" t="s">
        <v>24288</v>
      </c>
      <c r="C13552" s="27" t="s">
        <v>24294</v>
      </c>
      <c r="D13552" s="27" t="s">
        <v>17578</v>
      </c>
      <c r="E13552" s="29">
        <v>40046</v>
      </c>
      <c r="F13552" s="27">
        <v>7</v>
      </c>
      <c r="G13552" s="18">
        <v>189121.37</v>
      </c>
      <c r="H13552" s="27">
        <f t="shared" si="422"/>
        <v>189121.37</v>
      </c>
      <c r="I13552" s="18">
        <v>179665.3</v>
      </c>
      <c r="J13552" s="27">
        <v>189121.37</v>
      </c>
      <c r="K13552" s="18">
        <f t="shared" si="423"/>
        <v>189121.37</v>
      </c>
      <c r="L13552" s="27">
        <v>179665.3</v>
      </c>
      <c r="M13552" s="36">
        <v>0</v>
      </c>
      <c r="T13552" s="41">
        <v>0</v>
      </c>
      <c r="U13552" s="41">
        <v>0</v>
      </c>
      <c r="V13552" s="42" t="s">
        <v>113</v>
      </c>
      <c r="W13552" s="42">
        <v>189121.37</v>
      </c>
      <c r="X13552" s="42">
        <v>189121.37</v>
      </c>
    </row>
    <row r="13553" spans="1:24">
      <c r="A13553" s="27" t="s">
        <v>24295</v>
      </c>
      <c r="B13553" s="28" t="s">
        <v>24288</v>
      </c>
      <c r="C13553" s="27" t="s">
        <v>24294</v>
      </c>
      <c r="D13553" s="27" t="s">
        <v>17578</v>
      </c>
      <c r="E13553" s="29">
        <v>40046</v>
      </c>
      <c r="F13553" s="27">
        <v>7</v>
      </c>
      <c r="G13553" s="18">
        <v>80410.25</v>
      </c>
      <c r="H13553" s="27">
        <f t="shared" si="422"/>
        <v>80410.25</v>
      </c>
      <c r="I13553" s="18">
        <v>76389.740000000005</v>
      </c>
      <c r="J13553" s="27">
        <v>80410.25</v>
      </c>
      <c r="K13553" s="18">
        <f t="shared" si="423"/>
        <v>80410.25</v>
      </c>
      <c r="L13553" s="27">
        <v>76389.740000000005</v>
      </c>
      <c r="M13553" s="36">
        <v>0</v>
      </c>
      <c r="T13553" s="41">
        <v>0</v>
      </c>
      <c r="U13553" s="41">
        <v>0</v>
      </c>
      <c r="V13553" s="42" t="s">
        <v>113</v>
      </c>
      <c r="W13553" s="42">
        <v>80410.25</v>
      </c>
      <c r="X13553" s="42">
        <v>80410.25</v>
      </c>
    </row>
    <row r="13554" spans="1:24">
      <c r="A13554" s="27" t="s">
        <v>24296</v>
      </c>
      <c r="B13554" s="28" t="s">
        <v>24288</v>
      </c>
      <c r="C13554" s="27" t="s">
        <v>17636</v>
      </c>
      <c r="D13554" s="27" t="s">
        <v>17558</v>
      </c>
      <c r="E13554" s="29">
        <v>39620</v>
      </c>
      <c r="F13554" s="27">
        <v>7</v>
      </c>
      <c r="G13554" s="18">
        <v>8977.2099999999991</v>
      </c>
      <c r="H13554" s="27">
        <f t="shared" si="422"/>
        <v>8977.2099999999991</v>
      </c>
      <c r="I13554" s="18">
        <v>8528.35</v>
      </c>
      <c r="J13554" s="27">
        <v>8977.2099999999991</v>
      </c>
      <c r="K13554" s="18">
        <f t="shared" si="423"/>
        <v>8977.2099999999991</v>
      </c>
      <c r="L13554" s="27">
        <v>8528.35</v>
      </c>
      <c r="M13554" s="36">
        <v>0</v>
      </c>
      <c r="T13554" s="41">
        <v>0</v>
      </c>
      <c r="U13554" s="41">
        <v>0</v>
      </c>
      <c r="V13554" s="42" t="s">
        <v>113</v>
      </c>
      <c r="W13554" s="42">
        <v>8977.2099999999991</v>
      </c>
      <c r="X13554" s="42">
        <v>8977.2099999999991</v>
      </c>
    </row>
    <row r="13555" spans="1:24">
      <c r="A13555" s="27" t="s">
        <v>24297</v>
      </c>
      <c r="B13555" s="28" t="s">
        <v>24288</v>
      </c>
      <c r="C13555" s="27" t="s">
        <v>24298</v>
      </c>
      <c r="D13555" s="27" t="s">
        <v>17558</v>
      </c>
      <c r="E13555" s="29">
        <v>40054</v>
      </c>
      <c r="F13555" s="27">
        <v>7</v>
      </c>
      <c r="G13555" s="18">
        <v>5982.91</v>
      </c>
      <c r="H13555" s="27">
        <f t="shared" si="422"/>
        <v>5982.91</v>
      </c>
      <c r="I13555" s="18">
        <v>5683.76</v>
      </c>
      <c r="J13555" s="27">
        <v>5982.91</v>
      </c>
      <c r="K13555" s="18">
        <f t="shared" si="423"/>
        <v>5982.91</v>
      </c>
      <c r="L13555" s="27">
        <v>5683.76</v>
      </c>
      <c r="M13555" s="36">
        <v>0</v>
      </c>
      <c r="T13555" s="41">
        <v>0</v>
      </c>
      <c r="U13555" s="41">
        <v>0</v>
      </c>
      <c r="V13555" s="42" t="s">
        <v>113</v>
      </c>
      <c r="W13555" s="42">
        <v>5982.91</v>
      </c>
      <c r="X13555" s="42">
        <v>5982.91</v>
      </c>
    </row>
    <row r="13556" spans="1:24">
      <c r="A13556" s="27" t="s">
        <v>24299</v>
      </c>
      <c r="B13556" s="28" t="s">
        <v>24288</v>
      </c>
      <c r="C13556" s="27" t="s">
        <v>21596</v>
      </c>
      <c r="D13556" s="27" t="s">
        <v>17558</v>
      </c>
      <c r="E13556" s="29">
        <v>36069</v>
      </c>
      <c r="F13556" s="27">
        <v>7</v>
      </c>
      <c r="G13556" s="18">
        <v>14535</v>
      </c>
      <c r="H13556" s="27">
        <f t="shared" si="422"/>
        <v>14535</v>
      </c>
      <c r="I13556" s="18">
        <v>13808.25</v>
      </c>
      <c r="J13556" s="27">
        <v>14535</v>
      </c>
      <c r="K13556" s="18">
        <f t="shared" si="423"/>
        <v>14535</v>
      </c>
      <c r="L13556" s="27">
        <v>13808.25</v>
      </c>
      <c r="M13556" s="36">
        <v>0</v>
      </c>
      <c r="T13556" s="41">
        <v>0</v>
      </c>
      <c r="U13556" s="41">
        <v>0</v>
      </c>
      <c r="V13556" s="42" t="s">
        <v>113</v>
      </c>
      <c r="W13556" s="42">
        <v>14535</v>
      </c>
      <c r="X13556" s="42">
        <v>14535</v>
      </c>
    </row>
    <row r="13557" spans="1:24">
      <c r="A13557" s="27" t="s">
        <v>24300</v>
      </c>
      <c r="B13557" s="28" t="s">
        <v>24288</v>
      </c>
      <c r="C13557" s="27" t="s">
        <v>24301</v>
      </c>
      <c r="D13557" s="27" t="s">
        <v>17558</v>
      </c>
      <c r="E13557" s="29">
        <v>36434</v>
      </c>
      <c r="F13557" s="27">
        <v>7</v>
      </c>
      <c r="G13557" s="18">
        <v>21000</v>
      </c>
      <c r="H13557" s="27">
        <f t="shared" si="422"/>
        <v>21000</v>
      </c>
      <c r="I13557" s="18">
        <v>19950</v>
      </c>
      <c r="J13557" s="27">
        <v>21000</v>
      </c>
      <c r="K13557" s="18">
        <f t="shared" si="423"/>
        <v>21000</v>
      </c>
      <c r="L13557" s="27">
        <v>19950</v>
      </c>
      <c r="M13557" s="36">
        <v>0</v>
      </c>
      <c r="T13557" s="41">
        <v>0</v>
      </c>
      <c r="U13557" s="41">
        <v>0</v>
      </c>
      <c r="V13557" s="42" t="s">
        <v>113</v>
      </c>
      <c r="W13557" s="42">
        <v>21000</v>
      </c>
      <c r="X13557" s="42">
        <v>21000</v>
      </c>
    </row>
    <row r="13558" spans="1:24">
      <c r="A13558" s="27" t="s">
        <v>24302</v>
      </c>
      <c r="B13558" s="28" t="s">
        <v>24288</v>
      </c>
      <c r="C13558" s="27" t="s">
        <v>22486</v>
      </c>
      <c r="D13558" s="27" t="s">
        <v>17578</v>
      </c>
      <c r="E13558" s="29">
        <v>35370</v>
      </c>
      <c r="F13558" s="27">
        <v>7</v>
      </c>
      <c r="G13558" s="18">
        <v>30000</v>
      </c>
      <c r="H13558" s="27">
        <f t="shared" si="422"/>
        <v>30000</v>
      </c>
      <c r="I13558" s="18">
        <v>28500</v>
      </c>
      <c r="J13558" s="27">
        <v>30000</v>
      </c>
      <c r="K13558" s="18">
        <f t="shared" si="423"/>
        <v>30000</v>
      </c>
      <c r="L13558" s="27">
        <v>28500</v>
      </c>
      <c r="M13558" s="36">
        <v>0</v>
      </c>
      <c r="T13558" s="41">
        <v>0</v>
      </c>
      <c r="U13558" s="41">
        <v>0</v>
      </c>
      <c r="V13558" s="42" t="s">
        <v>113</v>
      </c>
      <c r="W13558" s="42">
        <v>30000</v>
      </c>
      <c r="X13558" s="42">
        <v>30000</v>
      </c>
    </row>
    <row r="13559" spans="1:24">
      <c r="A13559" s="27" t="s">
        <v>24303</v>
      </c>
      <c r="B13559" s="28" t="s">
        <v>24288</v>
      </c>
      <c r="C13559" s="27" t="s">
        <v>22486</v>
      </c>
      <c r="D13559" s="27" t="s">
        <v>17578</v>
      </c>
      <c r="E13559" s="29">
        <v>35370</v>
      </c>
      <c r="F13559" s="27">
        <v>7</v>
      </c>
      <c r="G13559" s="18">
        <v>30000</v>
      </c>
      <c r="H13559" s="27">
        <f t="shared" si="422"/>
        <v>30000</v>
      </c>
      <c r="I13559" s="18">
        <v>28500</v>
      </c>
      <c r="J13559" s="27">
        <v>30000</v>
      </c>
      <c r="K13559" s="18">
        <f t="shared" si="423"/>
        <v>30000</v>
      </c>
      <c r="L13559" s="27">
        <v>28500</v>
      </c>
      <c r="M13559" s="36">
        <v>0</v>
      </c>
      <c r="T13559" s="41">
        <v>0</v>
      </c>
      <c r="U13559" s="41">
        <v>0</v>
      </c>
      <c r="V13559" s="42" t="s">
        <v>113</v>
      </c>
      <c r="W13559" s="42">
        <v>30000</v>
      </c>
      <c r="X13559" s="42">
        <v>30000</v>
      </c>
    </row>
    <row r="13560" spans="1:24">
      <c r="A13560" s="27" t="s">
        <v>24304</v>
      </c>
      <c r="B13560" s="28" t="s">
        <v>24288</v>
      </c>
      <c r="C13560" s="27" t="s">
        <v>21596</v>
      </c>
      <c r="D13560" s="27" t="s">
        <v>17558</v>
      </c>
      <c r="E13560" s="29">
        <v>35370</v>
      </c>
      <c r="F13560" s="27">
        <v>7</v>
      </c>
      <c r="G13560" s="18">
        <v>15000</v>
      </c>
      <c r="H13560" s="27">
        <f t="shared" si="422"/>
        <v>15000</v>
      </c>
      <c r="I13560" s="18">
        <v>14250</v>
      </c>
      <c r="J13560" s="27">
        <v>15000</v>
      </c>
      <c r="K13560" s="18">
        <f t="shared" si="423"/>
        <v>15000</v>
      </c>
      <c r="L13560" s="27">
        <v>14250</v>
      </c>
      <c r="M13560" s="36">
        <v>0</v>
      </c>
      <c r="T13560" s="41">
        <v>0</v>
      </c>
      <c r="U13560" s="41">
        <v>0</v>
      </c>
      <c r="V13560" s="42" t="s">
        <v>113</v>
      </c>
      <c r="W13560" s="42">
        <v>15000</v>
      </c>
      <c r="X13560" s="42">
        <v>15000</v>
      </c>
    </row>
    <row r="13561" spans="1:24">
      <c r="A13561" s="27" t="s">
        <v>24305</v>
      </c>
      <c r="B13561" s="28" t="s">
        <v>24288</v>
      </c>
      <c r="C13561" s="27" t="s">
        <v>24306</v>
      </c>
      <c r="D13561" s="27" t="s">
        <v>17558</v>
      </c>
      <c r="E13561" s="29">
        <v>35370</v>
      </c>
      <c r="F13561" s="27">
        <v>7</v>
      </c>
      <c r="G13561" s="18">
        <v>9750</v>
      </c>
      <c r="H13561" s="27">
        <f t="shared" si="422"/>
        <v>9750</v>
      </c>
      <c r="I13561" s="18">
        <v>9262.5</v>
      </c>
      <c r="J13561" s="27">
        <v>9750</v>
      </c>
      <c r="K13561" s="18">
        <f t="shared" si="423"/>
        <v>9750</v>
      </c>
      <c r="L13561" s="27">
        <v>9262.5</v>
      </c>
      <c r="M13561" s="36">
        <v>0</v>
      </c>
      <c r="T13561" s="41">
        <v>0</v>
      </c>
      <c r="U13561" s="41">
        <v>0</v>
      </c>
      <c r="V13561" s="42" t="s">
        <v>113</v>
      </c>
      <c r="W13561" s="42">
        <v>9750</v>
      </c>
      <c r="X13561" s="42">
        <v>9750</v>
      </c>
    </row>
    <row r="13562" spans="1:24">
      <c r="A13562" s="27" t="s">
        <v>24307</v>
      </c>
      <c r="B13562" s="28" t="s">
        <v>24288</v>
      </c>
      <c r="C13562" s="27" t="s">
        <v>24308</v>
      </c>
      <c r="D13562" s="27" t="s">
        <v>17558</v>
      </c>
      <c r="E13562" s="29">
        <v>35034</v>
      </c>
      <c r="F13562" s="27">
        <v>7</v>
      </c>
      <c r="G13562" s="18">
        <v>3000</v>
      </c>
      <c r="H13562" s="27">
        <f t="shared" si="422"/>
        <v>3000</v>
      </c>
      <c r="I13562" s="18">
        <v>3000</v>
      </c>
      <c r="J13562" s="27">
        <v>3000</v>
      </c>
      <c r="K13562" s="18">
        <f t="shared" si="423"/>
        <v>3000</v>
      </c>
      <c r="L13562" s="27">
        <v>3000</v>
      </c>
      <c r="M13562" s="36">
        <v>0</v>
      </c>
      <c r="T13562" s="41">
        <v>0</v>
      </c>
      <c r="U13562" s="41">
        <v>0</v>
      </c>
      <c r="V13562" s="42" t="s">
        <v>113</v>
      </c>
      <c r="W13562" s="42">
        <v>3000</v>
      </c>
      <c r="X13562" s="42">
        <v>3000</v>
      </c>
    </row>
    <row r="13563" spans="1:24">
      <c r="A13563" s="27" t="s">
        <v>24309</v>
      </c>
      <c r="B13563" s="28" t="s">
        <v>24288</v>
      </c>
      <c r="C13563" s="27" t="s">
        <v>22486</v>
      </c>
      <c r="D13563" s="27" t="s">
        <v>17578</v>
      </c>
      <c r="E13563" s="29">
        <v>35034</v>
      </c>
      <c r="F13563" s="27">
        <v>7</v>
      </c>
      <c r="G13563" s="18">
        <v>23800</v>
      </c>
      <c r="H13563" s="27">
        <f t="shared" si="422"/>
        <v>23800</v>
      </c>
      <c r="I13563" s="18">
        <v>22610</v>
      </c>
      <c r="J13563" s="27">
        <v>23800</v>
      </c>
      <c r="K13563" s="18">
        <f t="shared" si="423"/>
        <v>23800</v>
      </c>
      <c r="L13563" s="27">
        <v>22610</v>
      </c>
      <c r="M13563" s="36">
        <v>0</v>
      </c>
      <c r="T13563" s="41">
        <v>0</v>
      </c>
      <c r="U13563" s="41">
        <v>0</v>
      </c>
      <c r="V13563" s="42" t="s">
        <v>113</v>
      </c>
      <c r="W13563" s="42">
        <v>23800</v>
      </c>
      <c r="X13563" s="42">
        <v>23800</v>
      </c>
    </row>
    <row r="13564" spans="1:24">
      <c r="A13564" s="27" t="s">
        <v>24310</v>
      </c>
      <c r="B13564" s="28" t="s">
        <v>24288</v>
      </c>
      <c r="C13564" s="27" t="s">
        <v>24311</v>
      </c>
      <c r="D13564" s="27" t="s">
        <v>17558</v>
      </c>
      <c r="E13564" s="29">
        <v>35034</v>
      </c>
      <c r="F13564" s="27">
        <v>7</v>
      </c>
      <c r="G13564" s="18">
        <v>5000</v>
      </c>
      <c r="H13564" s="27">
        <f t="shared" si="422"/>
        <v>5000</v>
      </c>
      <c r="I13564" s="18">
        <v>5000</v>
      </c>
      <c r="J13564" s="27">
        <v>5000</v>
      </c>
      <c r="K13564" s="18">
        <f t="shared" si="423"/>
        <v>5000</v>
      </c>
      <c r="L13564" s="27">
        <v>5000</v>
      </c>
      <c r="M13564" s="36">
        <v>0</v>
      </c>
      <c r="T13564" s="41">
        <v>0</v>
      </c>
      <c r="U13564" s="41">
        <v>0</v>
      </c>
      <c r="V13564" s="42" t="s">
        <v>113</v>
      </c>
      <c r="W13564" s="42">
        <v>5000</v>
      </c>
      <c r="X13564" s="42">
        <v>5000</v>
      </c>
    </row>
    <row r="13565" spans="1:24">
      <c r="A13565" s="27" t="s">
        <v>24312</v>
      </c>
      <c r="B13565" s="28" t="s">
        <v>24288</v>
      </c>
      <c r="C13565" s="27" t="s">
        <v>24313</v>
      </c>
      <c r="D13565" s="27" t="s">
        <v>17578</v>
      </c>
      <c r="E13565" s="29">
        <v>35034</v>
      </c>
      <c r="F13565" s="27">
        <v>7</v>
      </c>
      <c r="G13565" s="18">
        <v>9100</v>
      </c>
      <c r="H13565" s="27">
        <f t="shared" si="422"/>
        <v>9100</v>
      </c>
      <c r="I13565" s="18">
        <v>8645</v>
      </c>
      <c r="J13565" s="27">
        <v>9100</v>
      </c>
      <c r="K13565" s="18">
        <f t="shared" si="423"/>
        <v>9100</v>
      </c>
      <c r="L13565" s="27">
        <v>8645</v>
      </c>
      <c r="M13565" s="36">
        <v>0</v>
      </c>
      <c r="T13565" s="41">
        <v>0</v>
      </c>
      <c r="U13565" s="41">
        <v>0</v>
      </c>
      <c r="V13565" s="42" t="s">
        <v>113</v>
      </c>
      <c r="W13565" s="42">
        <v>9100</v>
      </c>
      <c r="X13565" s="42">
        <v>9100</v>
      </c>
    </row>
    <row r="13566" spans="1:24">
      <c r="A13566" s="27" t="s">
        <v>24314</v>
      </c>
      <c r="B13566" s="28" t="s">
        <v>24288</v>
      </c>
      <c r="C13566" s="27" t="s">
        <v>24315</v>
      </c>
      <c r="D13566" s="27" t="s">
        <v>17558</v>
      </c>
      <c r="E13566" s="29">
        <v>34669</v>
      </c>
      <c r="F13566" s="27">
        <v>7</v>
      </c>
      <c r="G13566" s="18">
        <v>8400</v>
      </c>
      <c r="H13566" s="27">
        <f t="shared" si="422"/>
        <v>8400</v>
      </c>
      <c r="I13566" s="18">
        <v>7980</v>
      </c>
      <c r="J13566" s="27">
        <v>8400</v>
      </c>
      <c r="K13566" s="18">
        <f t="shared" si="423"/>
        <v>8400</v>
      </c>
      <c r="L13566" s="27">
        <v>7980</v>
      </c>
      <c r="M13566" s="36">
        <v>0</v>
      </c>
      <c r="T13566" s="41">
        <v>0</v>
      </c>
      <c r="U13566" s="41">
        <v>0</v>
      </c>
      <c r="V13566" s="42" t="s">
        <v>113</v>
      </c>
      <c r="W13566" s="42">
        <v>8400</v>
      </c>
      <c r="X13566" s="42">
        <v>8400</v>
      </c>
    </row>
    <row r="13567" spans="1:24">
      <c r="A13567" s="27" t="s">
        <v>24316</v>
      </c>
      <c r="B13567" s="28" t="s">
        <v>24288</v>
      </c>
      <c r="C13567" s="27" t="s">
        <v>24317</v>
      </c>
      <c r="D13567" s="27" t="s">
        <v>17558</v>
      </c>
      <c r="E13567" s="29">
        <v>34669</v>
      </c>
      <c r="F13567" s="27">
        <v>7</v>
      </c>
      <c r="G13567" s="18">
        <v>8480</v>
      </c>
      <c r="H13567" s="27">
        <f t="shared" si="422"/>
        <v>8480</v>
      </c>
      <c r="I13567" s="18">
        <v>8056</v>
      </c>
      <c r="J13567" s="27">
        <v>8480</v>
      </c>
      <c r="K13567" s="18">
        <f t="shared" si="423"/>
        <v>8480</v>
      </c>
      <c r="L13567" s="27">
        <v>8056</v>
      </c>
      <c r="M13567" s="36">
        <v>0</v>
      </c>
      <c r="T13567" s="41">
        <v>0</v>
      </c>
      <c r="U13567" s="41">
        <v>0</v>
      </c>
      <c r="V13567" s="42" t="s">
        <v>113</v>
      </c>
      <c r="W13567" s="42">
        <v>8480</v>
      </c>
      <c r="X13567" s="42">
        <v>8480</v>
      </c>
    </row>
    <row r="13568" spans="1:24">
      <c r="A13568" s="27" t="s">
        <v>24318</v>
      </c>
      <c r="B13568" s="28" t="s">
        <v>24288</v>
      </c>
      <c r="C13568" s="27" t="s">
        <v>24319</v>
      </c>
      <c r="D13568" s="27" t="s">
        <v>17558</v>
      </c>
      <c r="E13568" s="29">
        <v>34669</v>
      </c>
      <c r="F13568" s="27">
        <v>7</v>
      </c>
      <c r="G13568" s="18">
        <v>8180</v>
      </c>
      <c r="H13568" s="27">
        <f t="shared" si="422"/>
        <v>8180</v>
      </c>
      <c r="I13568" s="18">
        <v>7771</v>
      </c>
      <c r="J13568" s="27">
        <v>8180</v>
      </c>
      <c r="K13568" s="18">
        <f t="shared" si="423"/>
        <v>8180</v>
      </c>
      <c r="L13568" s="27">
        <v>7771</v>
      </c>
      <c r="M13568" s="36">
        <v>0</v>
      </c>
      <c r="T13568" s="41">
        <v>0</v>
      </c>
      <c r="U13568" s="41">
        <v>0</v>
      </c>
      <c r="V13568" s="42" t="s">
        <v>113</v>
      </c>
      <c r="W13568" s="42">
        <v>8180</v>
      </c>
      <c r="X13568" s="42">
        <v>8180</v>
      </c>
    </row>
    <row r="13569" spans="1:24">
      <c r="A13569" s="27" t="s">
        <v>24320</v>
      </c>
      <c r="B13569" s="28" t="s">
        <v>24288</v>
      </c>
      <c r="C13569" s="27" t="s">
        <v>24321</v>
      </c>
      <c r="D13569" s="27" t="s">
        <v>17558</v>
      </c>
      <c r="E13569" s="29">
        <v>34121</v>
      </c>
      <c r="F13569" s="27">
        <v>7</v>
      </c>
      <c r="G13569" s="18">
        <v>2500</v>
      </c>
      <c r="H13569" s="27">
        <f t="shared" si="422"/>
        <v>2500</v>
      </c>
      <c r="I13569" s="18">
        <v>2500</v>
      </c>
      <c r="J13569" s="27">
        <v>2500</v>
      </c>
      <c r="K13569" s="18">
        <f t="shared" si="423"/>
        <v>2500</v>
      </c>
      <c r="L13569" s="27">
        <v>2500</v>
      </c>
      <c r="M13569" s="36">
        <v>0</v>
      </c>
      <c r="T13569" s="41">
        <v>0</v>
      </c>
      <c r="U13569" s="41">
        <v>0</v>
      </c>
      <c r="V13569" s="42" t="s">
        <v>113</v>
      </c>
      <c r="W13569" s="42">
        <v>2500</v>
      </c>
      <c r="X13569" s="42">
        <v>2500</v>
      </c>
    </row>
    <row r="13570" spans="1:24">
      <c r="A13570" s="27" t="s">
        <v>24322</v>
      </c>
      <c r="B13570" s="28" t="s">
        <v>24288</v>
      </c>
      <c r="C13570" s="27" t="s">
        <v>24323</v>
      </c>
      <c r="D13570" s="27" t="s">
        <v>17558</v>
      </c>
      <c r="E13570" s="29">
        <v>33208</v>
      </c>
      <c r="F13570" s="27">
        <v>7</v>
      </c>
      <c r="G13570" s="18">
        <v>27882.06</v>
      </c>
      <c r="H13570" s="27">
        <f t="shared" si="422"/>
        <v>27882.06</v>
      </c>
      <c r="I13570" s="18">
        <v>26487.96</v>
      </c>
      <c r="J13570" s="27">
        <v>27882.06</v>
      </c>
      <c r="K13570" s="18">
        <f t="shared" si="423"/>
        <v>27882.06</v>
      </c>
      <c r="L13570" s="27">
        <v>26487.96</v>
      </c>
      <c r="M13570" s="36">
        <v>0</v>
      </c>
      <c r="T13570" s="41">
        <v>0</v>
      </c>
      <c r="U13570" s="41">
        <v>0</v>
      </c>
      <c r="V13570" s="42" t="s">
        <v>113</v>
      </c>
      <c r="W13570" s="42">
        <v>27882.06</v>
      </c>
      <c r="X13570" s="42">
        <v>27882.06</v>
      </c>
    </row>
    <row r="13571" spans="1:24">
      <c r="A13571" s="27" t="s">
        <v>24324</v>
      </c>
      <c r="B13571" s="28" t="s">
        <v>24288</v>
      </c>
      <c r="C13571" s="27" t="s">
        <v>24325</v>
      </c>
      <c r="D13571" s="27" t="s">
        <v>17558</v>
      </c>
      <c r="E13571" s="29">
        <v>29921</v>
      </c>
      <c r="F13571" s="27">
        <v>7</v>
      </c>
      <c r="G13571" s="18">
        <v>5853.68</v>
      </c>
      <c r="H13571" s="27">
        <f t="shared" si="422"/>
        <v>5853.68</v>
      </c>
      <c r="I13571" s="18">
        <v>5561</v>
      </c>
      <c r="J13571" s="27">
        <v>5853.68</v>
      </c>
      <c r="K13571" s="18">
        <f t="shared" si="423"/>
        <v>5853.68</v>
      </c>
      <c r="L13571" s="27">
        <v>5561</v>
      </c>
      <c r="M13571" s="36">
        <v>0</v>
      </c>
      <c r="T13571" s="41">
        <v>0</v>
      </c>
      <c r="U13571" s="41">
        <v>0</v>
      </c>
      <c r="V13571" s="42" t="s">
        <v>113</v>
      </c>
      <c r="W13571" s="42">
        <v>5853.68</v>
      </c>
      <c r="X13571" s="42">
        <v>5853.68</v>
      </c>
    </row>
    <row r="13572" spans="1:24">
      <c r="A13572" s="27" t="s">
        <v>24326</v>
      </c>
      <c r="B13572" s="28" t="s">
        <v>24288</v>
      </c>
      <c r="C13572" s="27" t="s">
        <v>22486</v>
      </c>
      <c r="D13572" s="27" t="s">
        <v>17578</v>
      </c>
      <c r="E13572" s="29">
        <v>33178</v>
      </c>
      <c r="F13572" s="27">
        <v>7</v>
      </c>
      <c r="G13572" s="18">
        <v>71662.820000000007</v>
      </c>
      <c r="H13572" s="27">
        <f t="shared" si="422"/>
        <v>71662.820000000007</v>
      </c>
      <c r="I13572" s="18">
        <v>68079.679999999993</v>
      </c>
      <c r="J13572" s="27">
        <v>71662.820000000007</v>
      </c>
      <c r="K13572" s="18">
        <f t="shared" si="423"/>
        <v>71662.820000000007</v>
      </c>
      <c r="L13572" s="27">
        <v>68079.679999999993</v>
      </c>
      <c r="M13572" s="36">
        <v>0</v>
      </c>
      <c r="T13572" s="41">
        <v>0</v>
      </c>
      <c r="U13572" s="41">
        <v>0</v>
      </c>
      <c r="V13572" s="42" t="s">
        <v>113</v>
      </c>
      <c r="W13572" s="42">
        <v>71662.820000000007</v>
      </c>
      <c r="X13572" s="42">
        <v>71662.820000000007</v>
      </c>
    </row>
    <row r="13573" spans="1:24">
      <c r="A13573" s="27" t="s">
        <v>24327</v>
      </c>
      <c r="B13573" s="28" t="s">
        <v>24288</v>
      </c>
      <c r="C13573" s="27" t="s">
        <v>22730</v>
      </c>
      <c r="D13573" s="27" t="s">
        <v>17578</v>
      </c>
      <c r="E13573" s="29">
        <v>32417</v>
      </c>
      <c r="F13573" s="27">
        <v>7</v>
      </c>
      <c r="G13573" s="18">
        <v>6156.6</v>
      </c>
      <c r="H13573" s="27">
        <f t="shared" si="422"/>
        <v>6156.6</v>
      </c>
      <c r="I13573" s="18">
        <v>5848.77</v>
      </c>
      <c r="J13573" s="27">
        <v>6156.6</v>
      </c>
      <c r="K13573" s="18">
        <f t="shared" si="423"/>
        <v>6156.6</v>
      </c>
      <c r="L13573" s="27">
        <v>5848.77</v>
      </c>
      <c r="M13573" s="36">
        <v>0</v>
      </c>
      <c r="T13573" s="41">
        <v>0</v>
      </c>
      <c r="U13573" s="41">
        <v>0</v>
      </c>
      <c r="V13573" s="42" t="s">
        <v>113</v>
      </c>
      <c r="W13573" s="42">
        <v>6156.6</v>
      </c>
      <c r="X13573" s="42">
        <v>6156.6</v>
      </c>
    </row>
    <row r="13574" spans="1:24">
      <c r="A13574" s="27" t="s">
        <v>24328</v>
      </c>
      <c r="B13574" s="28" t="s">
        <v>24288</v>
      </c>
      <c r="C13574" s="27" t="s">
        <v>24329</v>
      </c>
      <c r="D13574" s="27" t="s">
        <v>17578</v>
      </c>
      <c r="E13574" s="29">
        <v>37135</v>
      </c>
      <c r="F13574" s="27">
        <v>7</v>
      </c>
      <c r="G13574" s="18">
        <v>1900</v>
      </c>
      <c r="H13574" s="27">
        <f t="shared" ref="H13574:H13637" si="424">IFERROR(IF(ROUND((G13574-I13574)/G13574,2)&lt;=0.05,G13574,0),0)</f>
        <v>1900</v>
      </c>
      <c r="I13574" s="18">
        <v>1900</v>
      </c>
      <c r="J13574" s="27">
        <v>1900</v>
      </c>
      <c r="K13574" s="18">
        <f t="shared" ref="K13574:K13637" si="425">IFERROR(IF(ROUND((J13574-L13574)/J13574,2)&lt;=0.05,J13574,0),0)</f>
        <v>1900</v>
      </c>
      <c r="L13574" s="27">
        <v>1900</v>
      </c>
      <c r="M13574" s="36">
        <v>0</v>
      </c>
      <c r="T13574" s="41">
        <v>0</v>
      </c>
      <c r="U13574" s="41">
        <v>0</v>
      </c>
      <c r="V13574" s="42" t="s">
        <v>113</v>
      </c>
      <c r="W13574" s="42">
        <v>1900</v>
      </c>
      <c r="X13574" s="42">
        <v>1900</v>
      </c>
    </row>
    <row r="13575" spans="1:24">
      <c r="A13575" s="27" t="s">
        <v>24330</v>
      </c>
      <c r="B13575" s="28" t="s">
        <v>24288</v>
      </c>
      <c r="C13575" s="27" t="s">
        <v>24329</v>
      </c>
      <c r="D13575" s="27" t="s">
        <v>17578</v>
      </c>
      <c r="E13575" s="29">
        <v>37135</v>
      </c>
      <c r="F13575" s="27">
        <v>7</v>
      </c>
      <c r="G13575" s="18">
        <v>1900</v>
      </c>
      <c r="H13575" s="27">
        <f t="shared" si="424"/>
        <v>1900</v>
      </c>
      <c r="I13575" s="18">
        <v>1900</v>
      </c>
      <c r="J13575" s="27">
        <v>1900</v>
      </c>
      <c r="K13575" s="18">
        <f t="shared" si="425"/>
        <v>1900</v>
      </c>
      <c r="L13575" s="27">
        <v>1900</v>
      </c>
      <c r="M13575" s="36">
        <v>0</v>
      </c>
      <c r="T13575" s="41">
        <v>0</v>
      </c>
      <c r="U13575" s="41">
        <v>0</v>
      </c>
      <c r="V13575" s="42" t="s">
        <v>113</v>
      </c>
      <c r="W13575" s="42">
        <v>1900</v>
      </c>
      <c r="X13575" s="42">
        <v>1900</v>
      </c>
    </row>
    <row r="13576" spans="1:24">
      <c r="A13576" s="27" t="s">
        <v>24331</v>
      </c>
      <c r="B13576" s="28" t="s">
        <v>24288</v>
      </c>
      <c r="C13576" s="27" t="s">
        <v>24329</v>
      </c>
      <c r="D13576" s="27" t="s">
        <v>17578</v>
      </c>
      <c r="E13576" s="29">
        <v>37135</v>
      </c>
      <c r="F13576" s="27">
        <v>7</v>
      </c>
      <c r="G13576" s="18">
        <v>1900</v>
      </c>
      <c r="H13576" s="27">
        <f t="shared" si="424"/>
        <v>1900</v>
      </c>
      <c r="I13576" s="18">
        <v>1900</v>
      </c>
      <c r="J13576" s="27">
        <v>1900</v>
      </c>
      <c r="K13576" s="18">
        <f t="shared" si="425"/>
        <v>1900</v>
      </c>
      <c r="L13576" s="27">
        <v>1900</v>
      </c>
      <c r="M13576" s="36">
        <v>0</v>
      </c>
      <c r="T13576" s="41">
        <v>0</v>
      </c>
      <c r="U13576" s="41">
        <v>0</v>
      </c>
      <c r="V13576" s="42" t="s">
        <v>113</v>
      </c>
      <c r="W13576" s="42">
        <v>1900</v>
      </c>
      <c r="X13576" s="42">
        <v>1900</v>
      </c>
    </row>
    <row r="13577" spans="1:24">
      <c r="A13577" s="27" t="s">
        <v>24332</v>
      </c>
      <c r="B13577" s="28" t="s">
        <v>24288</v>
      </c>
      <c r="C13577" s="27" t="s">
        <v>24329</v>
      </c>
      <c r="D13577" s="27" t="s">
        <v>17578</v>
      </c>
      <c r="E13577" s="29">
        <v>37135</v>
      </c>
      <c r="F13577" s="27">
        <v>7</v>
      </c>
      <c r="G13577" s="18">
        <v>1900</v>
      </c>
      <c r="H13577" s="27">
        <f t="shared" si="424"/>
        <v>1900</v>
      </c>
      <c r="I13577" s="18">
        <v>1900</v>
      </c>
      <c r="J13577" s="27">
        <v>1900</v>
      </c>
      <c r="K13577" s="18">
        <f t="shared" si="425"/>
        <v>1900</v>
      </c>
      <c r="L13577" s="27">
        <v>1900</v>
      </c>
      <c r="M13577" s="36">
        <v>0</v>
      </c>
      <c r="T13577" s="41">
        <v>0</v>
      </c>
      <c r="U13577" s="41">
        <v>0</v>
      </c>
      <c r="V13577" s="42" t="s">
        <v>113</v>
      </c>
      <c r="W13577" s="42">
        <v>1900</v>
      </c>
      <c r="X13577" s="42">
        <v>1900</v>
      </c>
    </row>
    <row r="13578" spans="1:24">
      <c r="A13578" s="27" t="s">
        <v>24333</v>
      </c>
      <c r="B13578" s="28" t="s">
        <v>24288</v>
      </c>
      <c r="C13578" s="27" t="s">
        <v>24329</v>
      </c>
      <c r="D13578" s="27" t="s">
        <v>17578</v>
      </c>
      <c r="E13578" s="29">
        <v>37135</v>
      </c>
      <c r="F13578" s="27">
        <v>7</v>
      </c>
      <c r="G13578" s="18">
        <v>1700</v>
      </c>
      <c r="H13578" s="27">
        <f t="shared" si="424"/>
        <v>1700</v>
      </c>
      <c r="I13578" s="18">
        <v>1700</v>
      </c>
      <c r="J13578" s="27">
        <v>1700</v>
      </c>
      <c r="K13578" s="18">
        <f t="shared" si="425"/>
        <v>1700</v>
      </c>
      <c r="L13578" s="27">
        <v>1700</v>
      </c>
      <c r="M13578" s="36">
        <v>0</v>
      </c>
      <c r="T13578" s="41">
        <v>0</v>
      </c>
      <c r="U13578" s="41">
        <v>0</v>
      </c>
      <c r="V13578" s="42" t="s">
        <v>113</v>
      </c>
      <c r="W13578" s="42">
        <v>1700</v>
      </c>
      <c r="X13578" s="42">
        <v>1700</v>
      </c>
    </row>
    <row r="13579" spans="1:24">
      <c r="A13579" s="27" t="s">
        <v>24334</v>
      </c>
      <c r="B13579" s="28" t="s">
        <v>24288</v>
      </c>
      <c r="C13579" s="27" t="s">
        <v>24329</v>
      </c>
      <c r="D13579" s="27" t="s">
        <v>17578</v>
      </c>
      <c r="E13579" s="29">
        <v>37135</v>
      </c>
      <c r="F13579" s="27">
        <v>7</v>
      </c>
      <c r="G13579" s="18">
        <v>1700</v>
      </c>
      <c r="H13579" s="27">
        <f t="shared" si="424"/>
        <v>1700</v>
      </c>
      <c r="I13579" s="18">
        <v>1700</v>
      </c>
      <c r="J13579" s="27">
        <v>1700</v>
      </c>
      <c r="K13579" s="18">
        <f t="shared" si="425"/>
        <v>1700</v>
      </c>
      <c r="L13579" s="27">
        <v>1700</v>
      </c>
      <c r="M13579" s="36">
        <v>0</v>
      </c>
      <c r="T13579" s="41">
        <v>0</v>
      </c>
      <c r="U13579" s="41">
        <v>0</v>
      </c>
      <c r="V13579" s="42" t="s">
        <v>113</v>
      </c>
      <c r="W13579" s="42">
        <v>1700</v>
      </c>
      <c r="X13579" s="42">
        <v>1700</v>
      </c>
    </row>
    <row r="13580" spans="1:24">
      <c r="A13580" s="27" t="s">
        <v>24335</v>
      </c>
      <c r="B13580" s="28" t="s">
        <v>24288</v>
      </c>
      <c r="C13580" s="27" t="s">
        <v>24329</v>
      </c>
      <c r="D13580" s="27" t="s">
        <v>17578</v>
      </c>
      <c r="E13580" s="29">
        <v>37135</v>
      </c>
      <c r="F13580" s="27">
        <v>7</v>
      </c>
      <c r="G13580" s="18">
        <v>1700</v>
      </c>
      <c r="H13580" s="27">
        <f t="shared" si="424"/>
        <v>1700</v>
      </c>
      <c r="I13580" s="18">
        <v>1700</v>
      </c>
      <c r="J13580" s="27">
        <v>1700</v>
      </c>
      <c r="K13580" s="18">
        <f t="shared" si="425"/>
        <v>1700</v>
      </c>
      <c r="L13580" s="27">
        <v>1700</v>
      </c>
      <c r="M13580" s="36">
        <v>0</v>
      </c>
      <c r="T13580" s="41">
        <v>0</v>
      </c>
      <c r="U13580" s="41">
        <v>0</v>
      </c>
      <c r="V13580" s="42" t="s">
        <v>113</v>
      </c>
      <c r="W13580" s="42">
        <v>1700</v>
      </c>
      <c r="X13580" s="42">
        <v>1700</v>
      </c>
    </row>
    <row r="13581" spans="1:24">
      <c r="A13581" s="27" t="s">
        <v>24336</v>
      </c>
      <c r="B13581" s="28" t="s">
        <v>24288</v>
      </c>
      <c r="C13581" s="27" t="s">
        <v>24329</v>
      </c>
      <c r="D13581" s="27" t="s">
        <v>17578</v>
      </c>
      <c r="E13581" s="29">
        <v>37135</v>
      </c>
      <c r="F13581" s="27">
        <v>7</v>
      </c>
      <c r="G13581" s="18">
        <v>1700</v>
      </c>
      <c r="H13581" s="27">
        <f t="shared" si="424"/>
        <v>1700</v>
      </c>
      <c r="I13581" s="18">
        <v>1700</v>
      </c>
      <c r="J13581" s="27">
        <v>1700</v>
      </c>
      <c r="K13581" s="18">
        <f t="shared" si="425"/>
        <v>1700</v>
      </c>
      <c r="L13581" s="27">
        <v>1700</v>
      </c>
      <c r="M13581" s="36">
        <v>0</v>
      </c>
      <c r="T13581" s="41">
        <v>0</v>
      </c>
      <c r="U13581" s="41">
        <v>0</v>
      </c>
      <c r="V13581" s="42" t="s">
        <v>113</v>
      </c>
      <c r="W13581" s="42">
        <v>1700</v>
      </c>
      <c r="X13581" s="42">
        <v>1700</v>
      </c>
    </row>
    <row r="13582" spans="1:24">
      <c r="A13582" s="27" t="s">
        <v>24337</v>
      </c>
      <c r="B13582" s="28" t="s">
        <v>24288</v>
      </c>
      <c r="C13582" s="27" t="s">
        <v>24338</v>
      </c>
      <c r="D13582" s="27" t="s">
        <v>17558</v>
      </c>
      <c r="E13582" s="29">
        <v>37135</v>
      </c>
      <c r="F13582" s="27">
        <v>7</v>
      </c>
      <c r="G13582" s="18">
        <v>2500</v>
      </c>
      <c r="H13582" s="27">
        <f t="shared" si="424"/>
        <v>2500</v>
      </c>
      <c r="I13582" s="18">
        <v>2500</v>
      </c>
      <c r="J13582" s="27">
        <v>2500</v>
      </c>
      <c r="K13582" s="18">
        <f t="shared" si="425"/>
        <v>2500</v>
      </c>
      <c r="L13582" s="27">
        <v>2500</v>
      </c>
      <c r="M13582" s="36">
        <v>0</v>
      </c>
      <c r="T13582" s="41">
        <v>0</v>
      </c>
      <c r="U13582" s="41">
        <v>0</v>
      </c>
      <c r="V13582" s="42" t="s">
        <v>113</v>
      </c>
      <c r="W13582" s="42">
        <v>2500</v>
      </c>
      <c r="X13582" s="42">
        <v>2500</v>
      </c>
    </row>
    <row r="13583" spans="1:24">
      <c r="A13583" s="27" t="s">
        <v>24339</v>
      </c>
      <c r="B13583" s="28" t="s">
        <v>24288</v>
      </c>
      <c r="C13583" s="27" t="s">
        <v>24338</v>
      </c>
      <c r="D13583" s="27" t="s">
        <v>17558</v>
      </c>
      <c r="E13583" s="29">
        <v>37135</v>
      </c>
      <c r="F13583" s="27">
        <v>7</v>
      </c>
      <c r="G13583" s="18">
        <v>2500</v>
      </c>
      <c r="H13583" s="27">
        <f t="shared" si="424"/>
        <v>2500</v>
      </c>
      <c r="I13583" s="18">
        <v>2500</v>
      </c>
      <c r="J13583" s="27">
        <v>2500</v>
      </c>
      <c r="K13583" s="18">
        <f t="shared" si="425"/>
        <v>2500</v>
      </c>
      <c r="L13583" s="27">
        <v>2500</v>
      </c>
      <c r="M13583" s="36">
        <v>0</v>
      </c>
      <c r="T13583" s="41">
        <v>0</v>
      </c>
      <c r="U13583" s="41">
        <v>0</v>
      </c>
      <c r="V13583" s="42" t="s">
        <v>113</v>
      </c>
      <c r="W13583" s="42">
        <v>2500</v>
      </c>
      <c r="X13583" s="42">
        <v>2500</v>
      </c>
    </row>
    <row r="13584" spans="1:24">
      <c r="A13584" s="27" t="s">
        <v>24340</v>
      </c>
      <c r="B13584" s="28" t="s">
        <v>24288</v>
      </c>
      <c r="C13584" s="27" t="s">
        <v>24341</v>
      </c>
      <c r="D13584" s="27" t="s">
        <v>17558</v>
      </c>
      <c r="E13584" s="29">
        <v>37135</v>
      </c>
      <c r="F13584" s="27">
        <v>7</v>
      </c>
      <c r="G13584" s="18">
        <v>2500</v>
      </c>
      <c r="H13584" s="27">
        <f t="shared" si="424"/>
        <v>2500</v>
      </c>
      <c r="I13584" s="18">
        <v>2500</v>
      </c>
      <c r="J13584" s="27">
        <v>2500</v>
      </c>
      <c r="K13584" s="18">
        <f t="shared" si="425"/>
        <v>2500</v>
      </c>
      <c r="L13584" s="27">
        <v>2500</v>
      </c>
      <c r="M13584" s="36">
        <v>0</v>
      </c>
      <c r="T13584" s="41">
        <v>0</v>
      </c>
      <c r="U13584" s="41">
        <v>0</v>
      </c>
      <c r="V13584" s="42" t="s">
        <v>113</v>
      </c>
      <c r="W13584" s="42">
        <v>2500</v>
      </c>
      <c r="X13584" s="42">
        <v>2500</v>
      </c>
    </row>
    <row r="13585" spans="1:24">
      <c r="A13585" s="27" t="s">
        <v>24342</v>
      </c>
      <c r="B13585" s="28" t="s">
        <v>24288</v>
      </c>
      <c r="C13585" s="27" t="s">
        <v>24341</v>
      </c>
      <c r="D13585" s="27" t="s">
        <v>17558</v>
      </c>
      <c r="E13585" s="29">
        <v>37135</v>
      </c>
      <c r="F13585" s="27">
        <v>7</v>
      </c>
      <c r="G13585" s="18">
        <v>2500</v>
      </c>
      <c r="H13585" s="27">
        <f t="shared" si="424"/>
        <v>2500</v>
      </c>
      <c r="I13585" s="18">
        <v>2500</v>
      </c>
      <c r="J13585" s="27">
        <v>2500</v>
      </c>
      <c r="K13585" s="18">
        <f t="shared" si="425"/>
        <v>2500</v>
      </c>
      <c r="L13585" s="27">
        <v>2500</v>
      </c>
      <c r="M13585" s="36">
        <v>0</v>
      </c>
      <c r="T13585" s="41">
        <v>0</v>
      </c>
      <c r="U13585" s="41">
        <v>0</v>
      </c>
      <c r="V13585" s="42" t="s">
        <v>113</v>
      </c>
      <c r="W13585" s="42">
        <v>2500</v>
      </c>
      <c r="X13585" s="42">
        <v>2500</v>
      </c>
    </row>
    <row r="13586" spans="1:24">
      <c r="A13586" s="27" t="s">
        <v>24343</v>
      </c>
      <c r="B13586" s="28" t="s">
        <v>24288</v>
      </c>
      <c r="C13586" s="27" t="s">
        <v>21596</v>
      </c>
      <c r="D13586" s="27" t="s">
        <v>17558</v>
      </c>
      <c r="E13586" s="29">
        <v>37226</v>
      </c>
      <c r="F13586" s="27">
        <v>7</v>
      </c>
      <c r="G13586" s="18">
        <v>7566</v>
      </c>
      <c r="H13586" s="27">
        <f t="shared" si="424"/>
        <v>7566</v>
      </c>
      <c r="I13586" s="18">
        <v>7187.7</v>
      </c>
      <c r="J13586" s="27">
        <v>7566</v>
      </c>
      <c r="K13586" s="18">
        <f t="shared" si="425"/>
        <v>7566</v>
      </c>
      <c r="L13586" s="27">
        <v>7187.7</v>
      </c>
      <c r="M13586" s="36">
        <v>0</v>
      </c>
      <c r="T13586" s="41">
        <v>0</v>
      </c>
      <c r="U13586" s="41">
        <v>0</v>
      </c>
      <c r="V13586" s="42" t="s">
        <v>113</v>
      </c>
      <c r="W13586" s="42">
        <v>7566</v>
      </c>
      <c r="X13586" s="42">
        <v>7566</v>
      </c>
    </row>
    <row r="13587" spans="1:24">
      <c r="A13587" s="27" t="s">
        <v>24344</v>
      </c>
      <c r="B13587" s="28" t="s">
        <v>24288</v>
      </c>
      <c r="C13587" s="27" t="s">
        <v>24345</v>
      </c>
      <c r="D13587" s="27" t="s">
        <v>17558</v>
      </c>
      <c r="E13587" s="29">
        <v>37226</v>
      </c>
      <c r="F13587" s="27">
        <v>7</v>
      </c>
      <c r="G13587" s="18">
        <v>2764.5</v>
      </c>
      <c r="H13587" s="27">
        <f t="shared" si="424"/>
        <v>2764.5</v>
      </c>
      <c r="I13587" s="18">
        <v>2764.5</v>
      </c>
      <c r="J13587" s="27">
        <v>2764.5</v>
      </c>
      <c r="K13587" s="18">
        <f t="shared" si="425"/>
        <v>2764.5</v>
      </c>
      <c r="L13587" s="27">
        <v>2764.5</v>
      </c>
      <c r="M13587" s="36">
        <v>0</v>
      </c>
      <c r="T13587" s="41">
        <v>0</v>
      </c>
      <c r="U13587" s="41">
        <v>0</v>
      </c>
      <c r="V13587" s="42" t="s">
        <v>113</v>
      </c>
      <c r="W13587" s="42">
        <v>2764.5</v>
      </c>
      <c r="X13587" s="42">
        <v>2764.5</v>
      </c>
    </row>
    <row r="13588" spans="1:24">
      <c r="A13588" s="27" t="s">
        <v>24346</v>
      </c>
      <c r="B13588" s="28" t="s">
        <v>24288</v>
      </c>
      <c r="C13588" s="27" t="s">
        <v>24347</v>
      </c>
      <c r="D13588" s="27" t="s">
        <v>17558</v>
      </c>
      <c r="E13588" s="29">
        <v>37226</v>
      </c>
      <c r="F13588" s="27">
        <v>7</v>
      </c>
      <c r="G13588" s="18">
        <v>2619</v>
      </c>
      <c r="H13588" s="27">
        <f t="shared" si="424"/>
        <v>2619</v>
      </c>
      <c r="I13588" s="18">
        <v>2619</v>
      </c>
      <c r="J13588" s="27">
        <v>2619</v>
      </c>
      <c r="K13588" s="18">
        <f t="shared" si="425"/>
        <v>2619</v>
      </c>
      <c r="L13588" s="27">
        <v>2619</v>
      </c>
      <c r="M13588" s="36">
        <v>0</v>
      </c>
      <c r="T13588" s="41">
        <v>0</v>
      </c>
      <c r="U13588" s="41">
        <v>0</v>
      </c>
      <c r="V13588" s="42" t="s">
        <v>113</v>
      </c>
      <c r="W13588" s="42">
        <v>2619</v>
      </c>
      <c r="X13588" s="42">
        <v>2619</v>
      </c>
    </row>
    <row r="13589" spans="1:24">
      <c r="A13589" s="27" t="s">
        <v>24348</v>
      </c>
      <c r="B13589" s="28" t="s">
        <v>24288</v>
      </c>
      <c r="C13589" s="27" t="s">
        <v>24349</v>
      </c>
      <c r="D13589" s="27" t="s">
        <v>17558</v>
      </c>
      <c r="E13589" s="29">
        <v>37226</v>
      </c>
      <c r="F13589" s="27">
        <v>7</v>
      </c>
      <c r="G13589" s="18">
        <v>562.6</v>
      </c>
      <c r="H13589" s="27">
        <f t="shared" si="424"/>
        <v>562.6</v>
      </c>
      <c r="I13589" s="18">
        <v>562.6</v>
      </c>
      <c r="J13589" s="27">
        <v>562.6</v>
      </c>
      <c r="K13589" s="18">
        <f t="shared" si="425"/>
        <v>562.6</v>
      </c>
      <c r="L13589" s="27">
        <v>562.6</v>
      </c>
      <c r="M13589" s="36">
        <v>0</v>
      </c>
      <c r="T13589" s="41">
        <v>0</v>
      </c>
      <c r="U13589" s="41">
        <v>0</v>
      </c>
      <c r="V13589" s="42" t="s">
        <v>113</v>
      </c>
      <c r="W13589" s="42">
        <v>562.6</v>
      </c>
      <c r="X13589" s="42">
        <v>562.6</v>
      </c>
    </row>
    <row r="13590" spans="1:24">
      <c r="A13590" s="27" t="s">
        <v>24350</v>
      </c>
      <c r="B13590" s="28" t="s">
        <v>24288</v>
      </c>
      <c r="C13590" s="27" t="s">
        <v>24351</v>
      </c>
      <c r="D13590" s="27" t="s">
        <v>17558</v>
      </c>
      <c r="E13590" s="29">
        <v>37226</v>
      </c>
      <c r="F13590" s="27">
        <v>7</v>
      </c>
      <c r="G13590" s="18">
        <v>3734.5</v>
      </c>
      <c r="H13590" s="27">
        <f t="shared" si="424"/>
        <v>3734.5</v>
      </c>
      <c r="I13590" s="18">
        <v>3734.5</v>
      </c>
      <c r="J13590" s="27">
        <v>3734.5</v>
      </c>
      <c r="K13590" s="18">
        <f t="shared" si="425"/>
        <v>3734.5</v>
      </c>
      <c r="L13590" s="27">
        <v>3734.5</v>
      </c>
      <c r="M13590" s="36">
        <v>0</v>
      </c>
      <c r="T13590" s="41">
        <v>0</v>
      </c>
      <c r="U13590" s="41">
        <v>0</v>
      </c>
      <c r="V13590" s="42" t="s">
        <v>113</v>
      </c>
      <c r="W13590" s="42">
        <v>3734.5</v>
      </c>
      <c r="X13590" s="42">
        <v>3734.5</v>
      </c>
    </row>
    <row r="13591" spans="1:24">
      <c r="A13591" s="27" t="s">
        <v>24352</v>
      </c>
      <c r="B13591" s="28" t="s">
        <v>24288</v>
      </c>
      <c r="C13591" s="27" t="s">
        <v>24353</v>
      </c>
      <c r="D13591" s="27" t="s">
        <v>17558</v>
      </c>
      <c r="E13591" s="29">
        <v>39753</v>
      </c>
      <c r="F13591" s="27">
        <v>7</v>
      </c>
      <c r="G13591" s="18">
        <v>115300</v>
      </c>
      <c r="H13591" s="27">
        <f t="shared" si="424"/>
        <v>115300</v>
      </c>
      <c r="I13591" s="18">
        <v>109535</v>
      </c>
      <c r="J13591" s="27">
        <v>115300</v>
      </c>
      <c r="K13591" s="18">
        <f t="shared" si="425"/>
        <v>115300</v>
      </c>
      <c r="L13591" s="27">
        <v>109535</v>
      </c>
      <c r="M13591" s="36">
        <v>0</v>
      </c>
      <c r="T13591" s="41">
        <v>0</v>
      </c>
      <c r="U13591" s="41">
        <v>0</v>
      </c>
      <c r="V13591" s="42" t="s">
        <v>113</v>
      </c>
      <c r="W13591" s="42">
        <v>115300</v>
      </c>
      <c r="X13591" s="42">
        <v>115300</v>
      </c>
    </row>
    <row r="13592" spans="1:24">
      <c r="A13592" s="27" t="s">
        <v>24354</v>
      </c>
      <c r="B13592" s="28" t="s">
        <v>24288</v>
      </c>
      <c r="C13592" s="27" t="s">
        <v>24355</v>
      </c>
      <c r="D13592" s="27" t="s">
        <v>17578</v>
      </c>
      <c r="E13592" s="29">
        <v>37742</v>
      </c>
      <c r="F13592" s="27">
        <v>7</v>
      </c>
      <c r="G13592" s="18">
        <v>7548.68</v>
      </c>
      <c r="H13592" s="27">
        <f t="shared" si="424"/>
        <v>7548.68</v>
      </c>
      <c r="I13592" s="18">
        <v>7171.25</v>
      </c>
      <c r="J13592" s="27">
        <v>7548.68</v>
      </c>
      <c r="K13592" s="18">
        <f t="shared" si="425"/>
        <v>7548.68</v>
      </c>
      <c r="L13592" s="27">
        <v>7171.25</v>
      </c>
      <c r="M13592" s="36">
        <v>0</v>
      </c>
      <c r="T13592" s="41">
        <v>0</v>
      </c>
      <c r="U13592" s="41">
        <v>0</v>
      </c>
      <c r="V13592" s="42" t="s">
        <v>113</v>
      </c>
      <c r="W13592" s="42">
        <v>7548.68</v>
      </c>
      <c r="X13592" s="42">
        <v>7548.68</v>
      </c>
    </row>
    <row r="13593" spans="1:24">
      <c r="A13593" s="27" t="s">
        <v>24356</v>
      </c>
      <c r="B13593" s="28" t="s">
        <v>24288</v>
      </c>
      <c r="C13593" s="27" t="s">
        <v>24357</v>
      </c>
      <c r="D13593" s="27" t="s">
        <v>17578</v>
      </c>
      <c r="E13593" s="29">
        <v>39692</v>
      </c>
      <c r="F13593" s="27">
        <v>7</v>
      </c>
      <c r="G13593" s="18">
        <v>20716.349999999999</v>
      </c>
      <c r="H13593" s="27">
        <f t="shared" si="424"/>
        <v>20716.349999999999</v>
      </c>
      <c r="I13593" s="18">
        <v>19680.53</v>
      </c>
      <c r="J13593" s="27">
        <v>20716.349999999999</v>
      </c>
      <c r="K13593" s="18">
        <f t="shared" si="425"/>
        <v>20716.349999999999</v>
      </c>
      <c r="L13593" s="27">
        <v>19680.53</v>
      </c>
      <c r="M13593" s="36">
        <v>0</v>
      </c>
      <c r="T13593" s="41">
        <v>0</v>
      </c>
      <c r="U13593" s="41">
        <v>0</v>
      </c>
      <c r="V13593" s="42" t="s">
        <v>113</v>
      </c>
      <c r="W13593" s="42">
        <v>20716.349999999999</v>
      </c>
      <c r="X13593" s="42">
        <v>20716.349999999999</v>
      </c>
    </row>
    <row r="13594" spans="1:24">
      <c r="A13594" s="27" t="s">
        <v>24358</v>
      </c>
      <c r="B13594" s="28" t="s">
        <v>24288</v>
      </c>
      <c r="C13594" s="27" t="s">
        <v>24359</v>
      </c>
      <c r="D13594" s="27" t="s">
        <v>17558</v>
      </c>
      <c r="E13594" s="29">
        <v>39387</v>
      </c>
      <c r="F13594" s="27">
        <v>7</v>
      </c>
      <c r="G13594" s="18">
        <v>18504.38</v>
      </c>
      <c r="H13594" s="27">
        <f t="shared" si="424"/>
        <v>18504.38</v>
      </c>
      <c r="I13594" s="18">
        <v>17579.16</v>
      </c>
      <c r="J13594" s="27">
        <v>18504.38</v>
      </c>
      <c r="K13594" s="18">
        <f t="shared" si="425"/>
        <v>18504.38</v>
      </c>
      <c r="L13594" s="27">
        <v>17579.16</v>
      </c>
      <c r="M13594" s="36">
        <v>0</v>
      </c>
      <c r="T13594" s="41">
        <v>0</v>
      </c>
      <c r="U13594" s="41">
        <v>0</v>
      </c>
      <c r="V13594" s="42" t="s">
        <v>113</v>
      </c>
      <c r="W13594" s="42">
        <v>18504.38</v>
      </c>
      <c r="X13594" s="42">
        <v>18504.38</v>
      </c>
    </row>
    <row r="13595" spans="1:24">
      <c r="A13595" s="27" t="s">
        <v>24360</v>
      </c>
      <c r="B13595" s="28" t="s">
        <v>24288</v>
      </c>
      <c r="C13595" s="27" t="s">
        <v>22730</v>
      </c>
      <c r="D13595" s="27" t="s">
        <v>17578</v>
      </c>
      <c r="E13595" s="29">
        <v>39387</v>
      </c>
      <c r="F13595" s="27">
        <v>7</v>
      </c>
      <c r="G13595" s="18">
        <v>2467.2600000000002</v>
      </c>
      <c r="H13595" s="27">
        <f t="shared" si="424"/>
        <v>2467.2600000000002</v>
      </c>
      <c r="I13595" s="18">
        <v>2467.2600000000002</v>
      </c>
      <c r="J13595" s="27">
        <v>2467.2600000000002</v>
      </c>
      <c r="K13595" s="18">
        <f t="shared" si="425"/>
        <v>2467.2600000000002</v>
      </c>
      <c r="L13595" s="27">
        <v>2467.2600000000002</v>
      </c>
      <c r="M13595" s="36">
        <v>0</v>
      </c>
      <c r="T13595" s="41">
        <v>0</v>
      </c>
      <c r="U13595" s="41">
        <v>0</v>
      </c>
      <c r="V13595" s="42" t="s">
        <v>113</v>
      </c>
      <c r="W13595" s="42">
        <v>2467.2600000000002</v>
      </c>
      <c r="X13595" s="42">
        <v>2467.2600000000002</v>
      </c>
    </row>
    <row r="13596" spans="1:24">
      <c r="A13596" s="27" t="s">
        <v>24361</v>
      </c>
      <c r="B13596" s="28" t="s">
        <v>24288</v>
      </c>
      <c r="C13596" s="27" t="s">
        <v>24362</v>
      </c>
      <c r="D13596" s="27" t="s">
        <v>17578</v>
      </c>
      <c r="E13596" s="29">
        <v>35765</v>
      </c>
      <c r="F13596" s="27">
        <v>7</v>
      </c>
      <c r="G13596" s="18">
        <v>31883</v>
      </c>
      <c r="H13596" s="27">
        <f t="shared" si="424"/>
        <v>31883</v>
      </c>
      <c r="I13596" s="18">
        <v>30288.85</v>
      </c>
      <c r="J13596" s="27">
        <v>31883</v>
      </c>
      <c r="K13596" s="18">
        <f t="shared" si="425"/>
        <v>31883</v>
      </c>
      <c r="L13596" s="27">
        <v>30288.85</v>
      </c>
      <c r="M13596" s="36">
        <v>0</v>
      </c>
      <c r="T13596" s="41">
        <v>0</v>
      </c>
      <c r="U13596" s="41">
        <v>0</v>
      </c>
      <c r="V13596" s="42" t="s">
        <v>113</v>
      </c>
      <c r="W13596" s="42">
        <v>31883</v>
      </c>
      <c r="X13596" s="42">
        <v>31883</v>
      </c>
    </row>
    <row r="13597" spans="1:24">
      <c r="A13597" s="27" t="s">
        <v>24363</v>
      </c>
      <c r="B13597" s="28" t="s">
        <v>24288</v>
      </c>
      <c r="C13597" s="27" t="s">
        <v>24364</v>
      </c>
      <c r="D13597" s="27" t="s">
        <v>17558</v>
      </c>
      <c r="E13597" s="29">
        <v>38322</v>
      </c>
      <c r="F13597" s="27">
        <v>7</v>
      </c>
      <c r="G13597" s="18">
        <v>6100</v>
      </c>
      <c r="H13597" s="27">
        <f t="shared" si="424"/>
        <v>6100</v>
      </c>
      <c r="I13597" s="18">
        <v>5795</v>
      </c>
      <c r="J13597" s="27">
        <v>6100</v>
      </c>
      <c r="K13597" s="18">
        <f t="shared" si="425"/>
        <v>6100</v>
      </c>
      <c r="L13597" s="27">
        <v>5795</v>
      </c>
      <c r="M13597" s="36">
        <v>0</v>
      </c>
      <c r="T13597" s="41">
        <v>0</v>
      </c>
      <c r="U13597" s="41">
        <v>0</v>
      </c>
      <c r="V13597" s="42" t="s">
        <v>113</v>
      </c>
      <c r="W13597" s="42">
        <v>6100</v>
      </c>
      <c r="X13597" s="42">
        <v>6100</v>
      </c>
    </row>
    <row r="13598" spans="1:24">
      <c r="A13598" s="27" t="s">
        <v>24365</v>
      </c>
      <c r="B13598" s="28" t="s">
        <v>24288</v>
      </c>
      <c r="C13598" s="27" t="s">
        <v>24366</v>
      </c>
      <c r="D13598" s="27" t="s">
        <v>17558</v>
      </c>
      <c r="E13598" s="29">
        <v>38322</v>
      </c>
      <c r="F13598" s="27">
        <v>7</v>
      </c>
      <c r="G13598" s="18">
        <v>18500</v>
      </c>
      <c r="H13598" s="27">
        <f t="shared" si="424"/>
        <v>18500</v>
      </c>
      <c r="I13598" s="18">
        <v>17575</v>
      </c>
      <c r="J13598" s="27">
        <v>18500</v>
      </c>
      <c r="K13598" s="18">
        <f t="shared" si="425"/>
        <v>18500</v>
      </c>
      <c r="L13598" s="27">
        <v>17575</v>
      </c>
      <c r="M13598" s="36">
        <v>0</v>
      </c>
      <c r="T13598" s="41">
        <v>0</v>
      </c>
      <c r="U13598" s="41">
        <v>0</v>
      </c>
      <c r="V13598" s="42" t="s">
        <v>113</v>
      </c>
      <c r="W13598" s="42">
        <v>18500</v>
      </c>
      <c r="X13598" s="42">
        <v>18500</v>
      </c>
    </row>
    <row r="13599" spans="1:24">
      <c r="A13599" s="27" t="s">
        <v>24367</v>
      </c>
      <c r="B13599" s="28" t="s">
        <v>24288</v>
      </c>
      <c r="C13599" s="27" t="s">
        <v>23973</v>
      </c>
      <c r="D13599" s="27" t="s">
        <v>17558</v>
      </c>
      <c r="E13599" s="29">
        <v>38322</v>
      </c>
      <c r="F13599" s="27">
        <v>7</v>
      </c>
      <c r="G13599" s="18">
        <v>11000</v>
      </c>
      <c r="H13599" s="27">
        <f t="shared" si="424"/>
        <v>11000</v>
      </c>
      <c r="I13599" s="18">
        <v>10450</v>
      </c>
      <c r="J13599" s="27">
        <v>11000</v>
      </c>
      <c r="K13599" s="18">
        <f t="shared" si="425"/>
        <v>11000</v>
      </c>
      <c r="L13599" s="27">
        <v>10450</v>
      </c>
      <c r="M13599" s="36">
        <v>0</v>
      </c>
      <c r="T13599" s="41">
        <v>0</v>
      </c>
      <c r="U13599" s="41">
        <v>0</v>
      </c>
      <c r="V13599" s="42" t="s">
        <v>113</v>
      </c>
      <c r="W13599" s="42">
        <v>11000</v>
      </c>
      <c r="X13599" s="42">
        <v>11000</v>
      </c>
    </row>
    <row r="13600" spans="1:24">
      <c r="A13600" s="27" t="s">
        <v>24368</v>
      </c>
      <c r="B13600" s="28" t="s">
        <v>24288</v>
      </c>
      <c r="C13600" s="27" t="s">
        <v>24369</v>
      </c>
      <c r="D13600" s="27" t="s">
        <v>17558</v>
      </c>
      <c r="E13600" s="29">
        <v>38322</v>
      </c>
      <c r="F13600" s="27">
        <v>7</v>
      </c>
      <c r="G13600" s="18">
        <v>3200</v>
      </c>
      <c r="H13600" s="27">
        <f t="shared" si="424"/>
        <v>3200</v>
      </c>
      <c r="I13600" s="18">
        <v>3200</v>
      </c>
      <c r="J13600" s="27">
        <v>3200</v>
      </c>
      <c r="K13600" s="18">
        <f t="shared" si="425"/>
        <v>3200</v>
      </c>
      <c r="L13600" s="27">
        <v>3200</v>
      </c>
      <c r="M13600" s="36">
        <v>0</v>
      </c>
      <c r="T13600" s="41">
        <v>0</v>
      </c>
      <c r="U13600" s="41">
        <v>0</v>
      </c>
      <c r="V13600" s="42" t="s">
        <v>113</v>
      </c>
      <c r="W13600" s="42">
        <v>3200</v>
      </c>
      <c r="X13600" s="42">
        <v>3200</v>
      </c>
    </row>
    <row r="13601" spans="1:24">
      <c r="A13601" s="27" t="s">
        <v>24370</v>
      </c>
      <c r="B13601" s="28" t="s">
        <v>24288</v>
      </c>
      <c r="C13601" s="27" t="s">
        <v>24362</v>
      </c>
      <c r="D13601" s="27" t="s">
        <v>17558</v>
      </c>
      <c r="E13601" s="29">
        <v>37591</v>
      </c>
      <c r="F13601" s="27">
        <v>7</v>
      </c>
      <c r="G13601" s="18">
        <v>3282.5</v>
      </c>
      <c r="H13601" s="27">
        <f t="shared" si="424"/>
        <v>3282.5</v>
      </c>
      <c r="I13601" s="18">
        <v>3282.5</v>
      </c>
      <c r="J13601" s="27">
        <v>3282.5</v>
      </c>
      <c r="K13601" s="18">
        <f t="shared" si="425"/>
        <v>3282.5</v>
      </c>
      <c r="L13601" s="27">
        <v>3282.5</v>
      </c>
      <c r="M13601" s="36">
        <v>0</v>
      </c>
      <c r="T13601" s="41">
        <v>0</v>
      </c>
      <c r="U13601" s="41">
        <v>0</v>
      </c>
      <c r="V13601" s="42" t="s">
        <v>113</v>
      </c>
      <c r="W13601" s="42">
        <v>3282.5</v>
      </c>
      <c r="X13601" s="42">
        <v>3282.5</v>
      </c>
    </row>
    <row r="13602" spans="1:24">
      <c r="A13602" s="27" t="s">
        <v>24371</v>
      </c>
      <c r="B13602" s="28" t="s">
        <v>24288</v>
      </c>
      <c r="C13602" s="27" t="s">
        <v>22486</v>
      </c>
      <c r="D13602" s="27" t="s">
        <v>17578</v>
      </c>
      <c r="E13602" s="29">
        <v>39417</v>
      </c>
      <c r="F13602" s="27">
        <v>7</v>
      </c>
      <c r="G13602" s="18">
        <v>30000</v>
      </c>
      <c r="H13602" s="27">
        <f t="shared" si="424"/>
        <v>30000</v>
      </c>
      <c r="I13602" s="18">
        <v>28500</v>
      </c>
      <c r="J13602" s="27">
        <v>30000</v>
      </c>
      <c r="K13602" s="18">
        <f t="shared" si="425"/>
        <v>30000</v>
      </c>
      <c r="L13602" s="27">
        <v>28500</v>
      </c>
      <c r="M13602" s="36">
        <v>0</v>
      </c>
      <c r="T13602" s="41">
        <v>0</v>
      </c>
      <c r="U13602" s="41">
        <v>0</v>
      </c>
      <c r="V13602" s="42" t="s">
        <v>113</v>
      </c>
      <c r="W13602" s="42">
        <v>30000</v>
      </c>
      <c r="X13602" s="42">
        <v>30000</v>
      </c>
    </row>
    <row r="13603" spans="1:24">
      <c r="A13603" s="27" t="s">
        <v>24372</v>
      </c>
      <c r="B13603" s="28" t="s">
        <v>24288</v>
      </c>
      <c r="C13603" s="27" t="s">
        <v>22486</v>
      </c>
      <c r="D13603" s="27" t="s">
        <v>17578</v>
      </c>
      <c r="E13603" s="29">
        <v>39417</v>
      </c>
      <c r="F13603" s="27">
        <v>7</v>
      </c>
      <c r="G13603" s="18">
        <v>6000</v>
      </c>
      <c r="H13603" s="27">
        <f t="shared" si="424"/>
        <v>6000</v>
      </c>
      <c r="I13603" s="18">
        <v>5700</v>
      </c>
      <c r="J13603" s="27">
        <v>6000</v>
      </c>
      <c r="K13603" s="18">
        <f t="shared" si="425"/>
        <v>6000</v>
      </c>
      <c r="L13603" s="27">
        <v>5700</v>
      </c>
      <c r="M13603" s="36">
        <v>0</v>
      </c>
      <c r="T13603" s="41">
        <v>0</v>
      </c>
      <c r="U13603" s="41">
        <v>0</v>
      </c>
      <c r="V13603" s="42" t="s">
        <v>113</v>
      </c>
      <c r="W13603" s="42">
        <v>6000</v>
      </c>
      <c r="X13603" s="42">
        <v>6000</v>
      </c>
    </row>
    <row r="13604" spans="1:24">
      <c r="A13604" s="27" t="s">
        <v>24373</v>
      </c>
      <c r="B13604" s="28" t="s">
        <v>24288</v>
      </c>
      <c r="C13604" s="27" t="s">
        <v>17636</v>
      </c>
      <c r="D13604" s="27" t="s">
        <v>17578</v>
      </c>
      <c r="E13604" s="29">
        <v>39417</v>
      </c>
      <c r="F13604" s="27">
        <v>7</v>
      </c>
      <c r="G13604" s="18">
        <v>24500</v>
      </c>
      <c r="H13604" s="27">
        <f t="shared" si="424"/>
        <v>24500</v>
      </c>
      <c r="I13604" s="18">
        <v>23275</v>
      </c>
      <c r="J13604" s="27">
        <v>24500</v>
      </c>
      <c r="K13604" s="18">
        <f t="shared" si="425"/>
        <v>24500</v>
      </c>
      <c r="L13604" s="27">
        <v>23275</v>
      </c>
      <c r="M13604" s="36">
        <v>0</v>
      </c>
      <c r="T13604" s="41">
        <v>0</v>
      </c>
      <c r="U13604" s="41">
        <v>0</v>
      </c>
      <c r="V13604" s="42" t="s">
        <v>113</v>
      </c>
      <c r="W13604" s="42">
        <v>24500</v>
      </c>
      <c r="X13604" s="42">
        <v>24500</v>
      </c>
    </row>
    <row r="13605" spans="1:24">
      <c r="A13605" s="27" t="s">
        <v>24374</v>
      </c>
      <c r="B13605" s="28" t="s">
        <v>24288</v>
      </c>
      <c r="C13605" s="27" t="s">
        <v>24375</v>
      </c>
      <c r="D13605" s="27" t="s">
        <v>17578</v>
      </c>
      <c r="E13605" s="29">
        <v>39417</v>
      </c>
      <c r="F13605" s="27">
        <v>7</v>
      </c>
      <c r="G13605" s="18">
        <v>4000</v>
      </c>
      <c r="H13605" s="27">
        <f t="shared" si="424"/>
        <v>4000</v>
      </c>
      <c r="I13605" s="18">
        <v>4000</v>
      </c>
      <c r="J13605" s="27">
        <v>4000</v>
      </c>
      <c r="K13605" s="18">
        <f t="shared" si="425"/>
        <v>4000</v>
      </c>
      <c r="L13605" s="27">
        <v>4000</v>
      </c>
      <c r="M13605" s="36">
        <v>0</v>
      </c>
      <c r="T13605" s="41">
        <v>0</v>
      </c>
      <c r="U13605" s="41">
        <v>0</v>
      </c>
      <c r="V13605" s="42" t="s">
        <v>113</v>
      </c>
      <c r="W13605" s="42">
        <v>4000</v>
      </c>
      <c r="X13605" s="42">
        <v>4000</v>
      </c>
    </row>
    <row r="13606" spans="1:24">
      <c r="A13606" s="27" t="s">
        <v>24376</v>
      </c>
      <c r="B13606" s="28" t="s">
        <v>24288</v>
      </c>
      <c r="C13606" s="27" t="s">
        <v>17636</v>
      </c>
      <c r="D13606" s="27" t="s">
        <v>17578</v>
      </c>
      <c r="E13606" s="29">
        <v>39417</v>
      </c>
      <c r="F13606" s="27">
        <v>7</v>
      </c>
      <c r="G13606" s="18">
        <v>9800</v>
      </c>
      <c r="H13606" s="27">
        <f t="shared" si="424"/>
        <v>9800</v>
      </c>
      <c r="I13606" s="18">
        <v>9310</v>
      </c>
      <c r="J13606" s="27">
        <v>9800</v>
      </c>
      <c r="K13606" s="18">
        <f t="shared" si="425"/>
        <v>9800</v>
      </c>
      <c r="L13606" s="27">
        <v>9310</v>
      </c>
      <c r="M13606" s="36">
        <v>0</v>
      </c>
      <c r="T13606" s="41">
        <v>0</v>
      </c>
      <c r="U13606" s="41">
        <v>0</v>
      </c>
      <c r="V13606" s="42" t="s">
        <v>113</v>
      </c>
      <c r="W13606" s="42">
        <v>9800</v>
      </c>
      <c r="X13606" s="42">
        <v>9800</v>
      </c>
    </row>
    <row r="13607" spans="1:24">
      <c r="A13607" s="27" t="s">
        <v>24377</v>
      </c>
      <c r="B13607" s="28" t="s">
        <v>24288</v>
      </c>
      <c r="C13607" s="27" t="s">
        <v>24362</v>
      </c>
      <c r="D13607" s="27" t="s">
        <v>17578</v>
      </c>
      <c r="E13607" s="29">
        <v>36342</v>
      </c>
      <c r="F13607" s="27">
        <v>7</v>
      </c>
      <c r="G13607" s="18">
        <v>2951.67</v>
      </c>
      <c r="H13607" s="27">
        <f t="shared" si="424"/>
        <v>2951.67</v>
      </c>
      <c r="I13607" s="18">
        <v>2951.67</v>
      </c>
      <c r="J13607" s="27">
        <v>2951.67</v>
      </c>
      <c r="K13607" s="18">
        <f t="shared" si="425"/>
        <v>2951.67</v>
      </c>
      <c r="L13607" s="27">
        <v>2951.67</v>
      </c>
      <c r="M13607" s="36">
        <v>0</v>
      </c>
      <c r="T13607" s="41">
        <v>0</v>
      </c>
      <c r="U13607" s="41">
        <v>0</v>
      </c>
      <c r="V13607" s="42" t="s">
        <v>113</v>
      </c>
      <c r="W13607" s="42">
        <v>2951.67</v>
      </c>
      <c r="X13607" s="42">
        <v>2951.67</v>
      </c>
    </row>
    <row r="13608" spans="1:24">
      <c r="A13608" s="27" t="s">
        <v>24378</v>
      </c>
      <c r="B13608" s="28" t="s">
        <v>24288</v>
      </c>
      <c r="C13608" s="27" t="s">
        <v>24362</v>
      </c>
      <c r="D13608" s="27" t="s">
        <v>17578</v>
      </c>
      <c r="E13608" s="29">
        <v>36647</v>
      </c>
      <c r="F13608" s="27">
        <v>7</v>
      </c>
      <c r="G13608" s="18">
        <v>680</v>
      </c>
      <c r="H13608" s="27">
        <f t="shared" si="424"/>
        <v>680</v>
      </c>
      <c r="I13608" s="18">
        <v>680</v>
      </c>
      <c r="J13608" s="27">
        <v>680</v>
      </c>
      <c r="K13608" s="18">
        <f t="shared" si="425"/>
        <v>680</v>
      </c>
      <c r="L13608" s="27">
        <v>680</v>
      </c>
      <c r="M13608" s="36">
        <v>0</v>
      </c>
      <c r="T13608" s="41">
        <v>0</v>
      </c>
      <c r="U13608" s="41">
        <v>0</v>
      </c>
      <c r="V13608" s="42" t="s">
        <v>113</v>
      </c>
      <c r="W13608" s="42">
        <v>680</v>
      </c>
      <c r="X13608" s="42">
        <v>680</v>
      </c>
    </row>
    <row r="13609" spans="1:24">
      <c r="A13609" s="27" t="s">
        <v>24379</v>
      </c>
      <c r="B13609" s="28" t="s">
        <v>24288</v>
      </c>
      <c r="C13609" s="27" t="s">
        <v>24375</v>
      </c>
      <c r="D13609" s="27" t="s">
        <v>17578</v>
      </c>
      <c r="E13609" s="29">
        <v>39417</v>
      </c>
      <c r="F13609" s="27">
        <v>7</v>
      </c>
      <c r="G13609" s="18">
        <v>2000</v>
      </c>
      <c r="H13609" s="27">
        <f t="shared" si="424"/>
        <v>2000</v>
      </c>
      <c r="I13609" s="18">
        <v>2000</v>
      </c>
      <c r="J13609" s="27">
        <v>2000</v>
      </c>
      <c r="K13609" s="18">
        <f t="shared" si="425"/>
        <v>2000</v>
      </c>
      <c r="L13609" s="27">
        <v>2000</v>
      </c>
      <c r="M13609" s="36">
        <v>0</v>
      </c>
      <c r="T13609" s="41">
        <v>0</v>
      </c>
      <c r="U13609" s="41">
        <v>0</v>
      </c>
      <c r="V13609" s="42" t="s">
        <v>113</v>
      </c>
      <c r="W13609" s="42">
        <v>2000</v>
      </c>
      <c r="X13609" s="42">
        <v>2000</v>
      </c>
    </row>
    <row r="13610" spans="1:24">
      <c r="A13610" s="27" t="s">
        <v>24380</v>
      </c>
      <c r="B13610" s="28" t="s">
        <v>24288</v>
      </c>
      <c r="C13610" s="27" t="s">
        <v>24381</v>
      </c>
      <c r="D13610" s="27" t="s">
        <v>17578</v>
      </c>
      <c r="E13610" s="29">
        <v>39417</v>
      </c>
      <c r="F13610" s="27">
        <v>7</v>
      </c>
      <c r="G13610" s="18">
        <v>2000</v>
      </c>
      <c r="H13610" s="27">
        <f t="shared" si="424"/>
        <v>2000</v>
      </c>
      <c r="I13610" s="18">
        <v>2000</v>
      </c>
      <c r="J13610" s="27">
        <v>2000</v>
      </c>
      <c r="K13610" s="18">
        <f t="shared" si="425"/>
        <v>2000</v>
      </c>
      <c r="L13610" s="27">
        <v>2000</v>
      </c>
      <c r="M13610" s="36">
        <v>0</v>
      </c>
      <c r="T13610" s="41">
        <v>0</v>
      </c>
      <c r="U13610" s="41">
        <v>0</v>
      </c>
      <c r="V13610" s="42" t="s">
        <v>113</v>
      </c>
      <c r="W13610" s="42">
        <v>2000</v>
      </c>
      <c r="X13610" s="42">
        <v>2000</v>
      </c>
    </row>
    <row r="13611" spans="1:24">
      <c r="A13611" s="27" t="s">
        <v>24382</v>
      </c>
      <c r="B13611" s="28" t="s">
        <v>24288</v>
      </c>
      <c r="C13611" s="27" t="s">
        <v>24383</v>
      </c>
      <c r="D13611" s="27" t="s">
        <v>17578</v>
      </c>
      <c r="E13611" s="29">
        <v>37226</v>
      </c>
      <c r="F13611" s="27">
        <v>7</v>
      </c>
      <c r="G13611" s="18">
        <v>1688.74</v>
      </c>
      <c r="H13611" s="27">
        <f t="shared" si="424"/>
        <v>1688.74</v>
      </c>
      <c r="I13611" s="18">
        <v>1688.74</v>
      </c>
      <c r="J13611" s="27">
        <v>1688.74</v>
      </c>
      <c r="K13611" s="18">
        <f t="shared" si="425"/>
        <v>1688.74</v>
      </c>
      <c r="L13611" s="27">
        <v>1688.74</v>
      </c>
      <c r="M13611" s="36">
        <v>0</v>
      </c>
      <c r="T13611" s="41">
        <v>0</v>
      </c>
      <c r="U13611" s="41">
        <v>0</v>
      </c>
      <c r="V13611" s="42" t="s">
        <v>113</v>
      </c>
      <c r="W13611" s="42">
        <v>1688.74</v>
      </c>
      <c r="X13611" s="42">
        <v>1688.74</v>
      </c>
    </row>
    <row r="13612" spans="1:24">
      <c r="A13612" s="27" t="s">
        <v>24384</v>
      </c>
      <c r="B13612" s="28" t="s">
        <v>24288</v>
      </c>
      <c r="C13612" s="27" t="s">
        <v>24385</v>
      </c>
      <c r="D13612" s="27" t="s">
        <v>17578</v>
      </c>
      <c r="E13612" s="29">
        <v>39783</v>
      </c>
      <c r="F13612" s="27">
        <v>7</v>
      </c>
      <c r="G13612" s="18">
        <v>15500</v>
      </c>
      <c r="H13612" s="27">
        <f t="shared" si="424"/>
        <v>15500</v>
      </c>
      <c r="I13612" s="18">
        <v>14725</v>
      </c>
      <c r="J13612" s="27">
        <v>15500</v>
      </c>
      <c r="K13612" s="18">
        <f t="shared" si="425"/>
        <v>15500</v>
      </c>
      <c r="L13612" s="27">
        <v>14725</v>
      </c>
      <c r="M13612" s="36">
        <v>0</v>
      </c>
      <c r="T13612" s="41">
        <v>0</v>
      </c>
      <c r="U13612" s="41">
        <v>0</v>
      </c>
      <c r="V13612" s="42" t="s">
        <v>113</v>
      </c>
      <c r="W13612" s="42">
        <v>15500</v>
      </c>
      <c r="X13612" s="42">
        <v>15500</v>
      </c>
    </row>
    <row r="13613" spans="1:24">
      <c r="A13613" s="27" t="s">
        <v>24386</v>
      </c>
      <c r="B13613" s="28" t="s">
        <v>24288</v>
      </c>
      <c r="C13613" s="27" t="s">
        <v>24387</v>
      </c>
      <c r="D13613" s="27" t="s">
        <v>17558</v>
      </c>
      <c r="E13613" s="29">
        <v>39114</v>
      </c>
      <c r="F13613" s="27">
        <v>7</v>
      </c>
      <c r="G13613" s="18">
        <v>4098.6000000000004</v>
      </c>
      <c r="H13613" s="27">
        <f t="shared" si="424"/>
        <v>4098.6000000000004</v>
      </c>
      <c r="I13613" s="18">
        <v>4098.6000000000004</v>
      </c>
      <c r="J13613" s="27">
        <v>4098.6000000000004</v>
      </c>
      <c r="K13613" s="18">
        <f t="shared" si="425"/>
        <v>4098.6000000000004</v>
      </c>
      <c r="L13613" s="27">
        <v>4098.6000000000004</v>
      </c>
      <c r="M13613" s="36">
        <v>0</v>
      </c>
      <c r="T13613" s="41">
        <v>0</v>
      </c>
      <c r="U13613" s="41">
        <v>0</v>
      </c>
      <c r="V13613" s="42" t="s">
        <v>113</v>
      </c>
      <c r="W13613" s="42">
        <v>4098.6000000000004</v>
      </c>
      <c r="X13613" s="42">
        <v>4098.6000000000004</v>
      </c>
    </row>
    <row r="13614" spans="1:24">
      <c r="A13614" s="27" t="s">
        <v>24388</v>
      </c>
      <c r="B13614" s="28" t="s">
        <v>24288</v>
      </c>
      <c r="C13614" s="27" t="s">
        <v>21575</v>
      </c>
      <c r="D13614" s="27" t="s">
        <v>17558</v>
      </c>
      <c r="E13614" s="29">
        <v>36130</v>
      </c>
      <c r="F13614" s="27">
        <v>7</v>
      </c>
      <c r="G13614" s="18">
        <v>7350</v>
      </c>
      <c r="H13614" s="27">
        <f t="shared" si="424"/>
        <v>7350</v>
      </c>
      <c r="I13614" s="18">
        <v>6982.5</v>
      </c>
      <c r="J13614" s="27">
        <v>7350</v>
      </c>
      <c r="K13614" s="18">
        <f t="shared" si="425"/>
        <v>7350</v>
      </c>
      <c r="L13614" s="27">
        <v>6982.5</v>
      </c>
      <c r="M13614" s="36">
        <v>0</v>
      </c>
      <c r="T13614" s="41">
        <v>0</v>
      </c>
      <c r="U13614" s="41">
        <v>0</v>
      </c>
      <c r="V13614" s="42" t="s">
        <v>113</v>
      </c>
      <c r="W13614" s="42">
        <v>7350</v>
      </c>
      <c r="X13614" s="42">
        <v>7350</v>
      </c>
    </row>
    <row r="13615" spans="1:24">
      <c r="A13615" s="27" t="s">
        <v>24389</v>
      </c>
      <c r="B13615" s="28" t="s">
        <v>24288</v>
      </c>
      <c r="C13615" s="27" t="s">
        <v>21596</v>
      </c>
      <c r="D13615" s="27" t="s">
        <v>17558</v>
      </c>
      <c r="E13615" s="29">
        <v>36130</v>
      </c>
      <c r="F13615" s="27">
        <v>7</v>
      </c>
      <c r="G13615" s="18">
        <v>10710</v>
      </c>
      <c r="H13615" s="27">
        <f t="shared" si="424"/>
        <v>10710</v>
      </c>
      <c r="I13615" s="18">
        <v>10174.5</v>
      </c>
      <c r="J13615" s="27">
        <v>10710</v>
      </c>
      <c r="K13615" s="18">
        <f t="shared" si="425"/>
        <v>10710</v>
      </c>
      <c r="L13615" s="27">
        <v>10174.5</v>
      </c>
      <c r="M13615" s="36">
        <v>0</v>
      </c>
      <c r="T13615" s="41">
        <v>0</v>
      </c>
      <c r="U13615" s="41">
        <v>0</v>
      </c>
      <c r="V13615" s="42" t="s">
        <v>113</v>
      </c>
      <c r="W13615" s="42">
        <v>10710</v>
      </c>
      <c r="X13615" s="42">
        <v>10710</v>
      </c>
    </row>
    <row r="13616" spans="1:24">
      <c r="A13616" s="27" t="s">
        <v>24390</v>
      </c>
      <c r="B13616" s="28" t="s">
        <v>24288</v>
      </c>
      <c r="C13616" s="27" t="s">
        <v>21513</v>
      </c>
      <c r="D13616" s="27" t="s">
        <v>17558</v>
      </c>
      <c r="E13616" s="29">
        <v>36130</v>
      </c>
      <c r="F13616" s="27">
        <v>7</v>
      </c>
      <c r="G13616" s="18">
        <v>4830</v>
      </c>
      <c r="H13616" s="27">
        <f t="shared" si="424"/>
        <v>4830</v>
      </c>
      <c r="I13616" s="18">
        <v>4830</v>
      </c>
      <c r="J13616" s="27">
        <v>4830</v>
      </c>
      <c r="K13616" s="18">
        <f t="shared" si="425"/>
        <v>4830</v>
      </c>
      <c r="L13616" s="27">
        <v>4830</v>
      </c>
      <c r="M13616" s="36">
        <v>0</v>
      </c>
      <c r="T13616" s="41">
        <v>0</v>
      </c>
      <c r="U13616" s="41">
        <v>0</v>
      </c>
      <c r="V13616" s="42" t="s">
        <v>113</v>
      </c>
      <c r="W13616" s="42">
        <v>4830</v>
      </c>
      <c r="X13616" s="42">
        <v>4830</v>
      </c>
    </row>
    <row r="13617" spans="1:24">
      <c r="A13617" s="27" t="s">
        <v>24391</v>
      </c>
      <c r="B13617" s="28" t="s">
        <v>24288</v>
      </c>
      <c r="C13617" s="27" t="s">
        <v>24392</v>
      </c>
      <c r="D13617" s="27" t="s">
        <v>17558</v>
      </c>
      <c r="E13617" s="29">
        <v>36130</v>
      </c>
      <c r="F13617" s="27">
        <v>7</v>
      </c>
      <c r="G13617" s="18">
        <v>1826</v>
      </c>
      <c r="H13617" s="27">
        <f t="shared" si="424"/>
        <v>1826</v>
      </c>
      <c r="I13617" s="18">
        <v>1826</v>
      </c>
      <c r="J13617" s="27">
        <v>1826</v>
      </c>
      <c r="K13617" s="18">
        <f t="shared" si="425"/>
        <v>1826</v>
      </c>
      <c r="L13617" s="27">
        <v>1826</v>
      </c>
      <c r="M13617" s="36">
        <v>0</v>
      </c>
      <c r="T13617" s="41">
        <v>0</v>
      </c>
      <c r="U13617" s="41">
        <v>0</v>
      </c>
      <c r="V13617" s="42" t="s">
        <v>113</v>
      </c>
      <c r="W13617" s="42">
        <v>1826</v>
      </c>
      <c r="X13617" s="42">
        <v>1826</v>
      </c>
    </row>
    <row r="13618" spans="1:24">
      <c r="A13618" s="27" t="s">
        <v>24393</v>
      </c>
      <c r="B13618" s="28" t="s">
        <v>24288</v>
      </c>
      <c r="C13618" s="27" t="s">
        <v>24394</v>
      </c>
      <c r="D13618" s="27" t="s">
        <v>17558</v>
      </c>
      <c r="E13618" s="29">
        <v>36130</v>
      </c>
      <c r="F13618" s="27">
        <v>7</v>
      </c>
      <c r="G13618" s="18">
        <v>3245</v>
      </c>
      <c r="H13618" s="27">
        <f t="shared" si="424"/>
        <v>3245</v>
      </c>
      <c r="I13618" s="18">
        <v>3245</v>
      </c>
      <c r="J13618" s="27">
        <v>3245</v>
      </c>
      <c r="K13618" s="18">
        <f t="shared" si="425"/>
        <v>3245</v>
      </c>
      <c r="L13618" s="27">
        <v>3245</v>
      </c>
      <c r="M13618" s="36">
        <v>0</v>
      </c>
      <c r="T13618" s="41">
        <v>0</v>
      </c>
      <c r="U13618" s="41">
        <v>0</v>
      </c>
      <c r="V13618" s="42" t="s">
        <v>113</v>
      </c>
      <c r="W13618" s="42">
        <v>3245</v>
      </c>
      <c r="X13618" s="42">
        <v>3245</v>
      </c>
    </row>
    <row r="13619" spans="1:24">
      <c r="A13619" s="27" t="s">
        <v>24395</v>
      </c>
      <c r="B13619" s="28" t="s">
        <v>24288</v>
      </c>
      <c r="C13619" s="27" t="s">
        <v>24396</v>
      </c>
      <c r="D13619" s="27" t="s">
        <v>17558</v>
      </c>
      <c r="E13619" s="29">
        <v>36130</v>
      </c>
      <c r="F13619" s="27">
        <v>7</v>
      </c>
      <c r="G13619" s="18">
        <v>2538.8000000000002</v>
      </c>
      <c r="H13619" s="27">
        <f t="shared" si="424"/>
        <v>2538.8000000000002</v>
      </c>
      <c r="I13619" s="18">
        <v>2538.8000000000002</v>
      </c>
      <c r="J13619" s="27">
        <v>2538.8000000000002</v>
      </c>
      <c r="K13619" s="18">
        <f t="shared" si="425"/>
        <v>2538.8000000000002</v>
      </c>
      <c r="L13619" s="27">
        <v>2538.8000000000002</v>
      </c>
      <c r="M13619" s="36">
        <v>0</v>
      </c>
      <c r="T13619" s="41">
        <v>0</v>
      </c>
      <c r="U13619" s="41">
        <v>0</v>
      </c>
      <c r="V13619" s="42" t="s">
        <v>113</v>
      </c>
      <c r="W13619" s="42">
        <v>2538.8000000000002</v>
      </c>
      <c r="X13619" s="42">
        <v>2538.8000000000002</v>
      </c>
    </row>
    <row r="13620" spans="1:24">
      <c r="A13620" s="27" t="s">
        <v>24397</v>
      </c>
      <c r="B13620" s="28" t="s">
        <v>24288</v>
      </c>
      <c r="C13620" s="27" t="s">
        <v>24398</v>
      </c>
      <c r="D13620" s="27" t="s">
        <v>17558</v>
      </c>
      <c r="E13620" s="29">
        <v>36130</v>
      </c>
      <c r="F13620" s="27">
        <v>7</v>
      </c>
      <c r="G13620" s="18">
        <v>3668.5</v>
      </c>
      <c r="H13620" s="27">
        <f t="shared" si="424"/>
        <v>3668.5</v>
      </c>
      <c r="I13620" s="18">
        <v>3668.5</v>
      </c>
      <c r="J13620" s="27">
        <v>3668.5</v>
      </c>
      <c r="K13620" s="18">
        <f t="shared" si="425"/>
        <v>3668.5</v>
      </c>
      <c r="L13620" s="27">
        <v>3668.5</v>
      </c>
      <c r="M13620" s="36">
        <v>0</v>
      </c>
      <c r="T13620" s="41">
        <v>0</v>
      </c>
      <c r="U13620" s="41">
        <v>0</v>
      </c>
      <c r="V13620" s="42" t="s">
        <v>113</v>
      </c>
      <c r="W13620" s="42">
        <v>3668.5</v>
      </c>
      <c r="X13620" s="42">
        <v>3668.5</v>
      </c>
    </row>
    <row r="13621" spans="1:24">
      <c r="A13621" s="27" t="s">
        <v>24399</v>
      </c>
      <c r="B13621" s="28" t="s">
        <v>24288</v>
      </c>
      <c r="C13621" s="27" t="s">
        <v>24362</v>
      </c>
      <c r="D13621" s="27" t="s">
        <v>17558</v>
      </c>
      <c r="E13621" s="29">
        <v>36130</v>
      </c>
      <c r="F13621" s="27">
        <v>7</v>
      </c>
      <c r="G13621" s="18">
        <v>25000</v>
      </c>
      <c r="H13621" s="27">
        <f t="shared" si="424"/>
        <v>25000</v>
      </c>
      <c r="I13621" s="18">
        <v>23750</v>
      </c>
      <c r="J13621" s="27">
        <v>25000</v>
      </c>
      <c r="K13621" s="18">
        <f t="shared" si="425"/>
        <v>25000</v>
      </c>
      <c r="L13621" s="27">
        <v>23750</v>
      </c>
      <c r="M13621" s="36">
        <v>0</v>
      </c>
      <c r="T13621" s="41">
        <v>0</v>
      </c>
      <c r="U13621" s="41">
        <v>0</v>
      </c>
      <c r="V13621" s="42" t="s">
        <v>113</v>
      </c>
      <c r="W13621" s="42">
        <v>25000</v>
      </c>
      <c r="X13621" s="42">
        <v>25000</v>
      </c>
    </row>
    <row r="13622" spans="1:24">
      <c r="A13622" s="27" t="s">
        <v>24400</v>
      </c>
      <c r="B13622" s="28" t="s">
        <v>24288</v>
      </c>
      <c r="C13622" s="27" t="s">
        <v>24362</v>
      </c>
      <c r="D13622" s="27" t="s">
        <v>17578</v>
      </c>
      <c r="E13622" s="29">
        <v>37591</v>
      </c>
      <c r="F13622" s="27">
        <v>7</v>
      </c>
      <c r="G13622" s="18">
        <v>34845</v>
      </c>
      <c r="H13622" s="27">
        <f t="shared" si="424"/>
        <v>34845</v>
      </c>
      <c r="I13622" s="18">
        <v>33102.75</v>
      </c>
      <c r="J13622" s="27">
        <v>34845</v>
      </c>
      <c r="K13622" s="18">
        <f t="shared" si="425"/>
        <v>34845</v>
      </c>
      <c r="L13622" s="27">
        <v>33102.75</v>
      </c>
      <c r="M13622" s="36">
        <v>0</v>
      </c>
      <c r="T13622" s="41">
        <v>0</v>
      </c>
      <c r="U13622" s="41">
        <v>0</v>
      </c>
      <c r="V13622" s="42" t="s">
        <v>113</v>
      </c>
      <c r="W13622" s="42">
        <v>34845</v>
      </c>
      <c r="X13622" s="42">
        <v>34845</v>
      </c>
    </row>
    <row r="13623" spans="1:24">
      <c r="A13623" s="27" t="s">
        <v>24401</v>
      </c>
      <c r="B13623" s="28" t="s">
        <v>24288</v>
      </c>
      <c r="C13623" s="27" t="s">
        <v>24362</v>
      </c>
      <c r="D13623" s="27" t="s">
        <v>17578</v>
      </c>
      <c r="E13623" s="29">
        <v>39417</v>
      </c>
      <c r="F13623" s="27">
        <v>7</v>
      </c>
      <c r="G13623" s="18">
        <v>2200</v>
      </c>
      <c r="H13623" s="27">
        <f t="shared" si="424"/>
        <v>2200</v>
      </c>
      <c r="I13623" s="18">
        <v>2200</v>
      </c>
      <c r="J13623" s="27">
        <v>2200</v>
      </c>
      <c r="K13623" s="18">
        <f t="shared" si="425"/>
        <v>2200</v>
      </c>
      <c r="L13623" s="27">
        <v>2200</v>
      </c>
      <c r="M13623" s="36">
        <v>0</v>
      </c>
      <c r="T13623" s="41">
        <v>0</v>
      </c>
      <c r="U13623" s="41">
        <v>0</v>
      </c>
      <c r="V13623" s="42" t="s">
        <v>113</v>
      </c>
      <c r="W13623" s="42">
        <v>2200</v>
      </c>
      <c r="X13623" s="42">
        <v>2200</v>
      </c>
    </row>
    <row r="13624" spans="1:24">
      <c r="A13624" s="27" t="s">
        <v>24402</v>
      </c>
      <c r="B13624" s="28" t="s">
        <v>24288</v>
      </c>
      <c r="C13624" s="27" t="s">
        <v>17636</v>
      </c>
      <c r="D13624" s="27" t="s">
        <v>17578</v>
      </c>
      <c r="E13624" s="29">
        <v>39417</v>
      </c>
      <c r="F13624" s="27">
        <v>7</v>
      </c>
      <c r="G13624" s="18">
        <v>29400</v>
      </c>
      <c r="H13624" s="27">
        <f t="shared" si="424"/>
        <v>29400</v>
      </c>
      <c r="I13624" s="18">
        <v>27930</v>
      </c>
      <c r="J13624" s="27">
        <v>29400</v>
      </c>
      <c r="K13624" s="18">
        <f t="shared" si="425"/>
        <v>29400</v>
      </c>
      <c r="L13624" s="27">
        <v>27930</v>
      </c>
      <c r="M13624" s="36">
        <v>0</v>
      </c>
      <c r="T13624" s="41">
        <v>0</v>
      </c>
      <c r="U13624" s="41">
        <v>0</v>
      </c>
      <c r="V13624" s="42" t="s">
        <v>113</v>
      </c>
      <c r="W13624" s="42">
        <v>29400</v>
      </c>
      <c r="X13624" s="42">
        <v>29400</v>
      </c>
    </row>
    <row r="13625" spans="1:24">
      <c r="A13625" s="27" t="s">
        <v>24403</v>
      </c>
      <c r="B13625" s="28" t="s">
        <v>24288</v>
      </c>
      <c r="C13625" s="27" t="s">
        <v>22730</v>
      </c>
      <c r="D13625" s="27" t="s">
        <v>17578</v>
      </c>
      <c r="E13625" s="29">
        <v>39417</v>
      </c>
      <c r="F13625" s="27">
        <v>7</v>
      </c>
      <c r="G13625" s="18">
        <v>1800</v>
      </c>
      <c r="H13625" s="27">
        <f t="shared" si="424"/>
        <v>1800</v>
      </c>
      <c r="I13625" s="18">
        <v>1800</v>
      </c>
      <c r="J13625" s="27">
        <v>1800</v>
      </c>
      <c r="K13625" s="18">
        <f t="shared" si="425"/>
        <v>1800</v>
      </c>
      <c r="L13625" s="27">
        <v>1800</v>
      </c>
      <c r="M13625" s="36">
        <v>0</v>
      </c>
      <c r="T13625" s="41">
        <v>0</v>
      </c>
      <c r="U13625" s="41">
        <v>0</v>
      </c>
      <c r="V13625" s="42" t="s">
        <v>113</v>
      </c>
      <c r="W13625" s="42">
        <v>1800</v>
      </c>
      <c r="X13625" s="42">
        <v>1800</v>
      </c>
    </row>
    <row r="13626" spans="1:24">
      <c r="A13626" s="27" t="s">
        <v>24404</v>
      </c>
      <c r="B13626" s="28" t="s">
        <v>24288</v>
      </c>
      <c r="C13626" s="27" t="s">
        <v>24362</v>
      </c>
      <c r="D13626" s="27" t="s">
        <v>17578</v>
      </c>
      <c r="E13626" s="29">
        <v>39417</v>
      </c>
      <c r="F13626" s="27">
        <v>7</v>
      </c>
      <c r="G13626" s="18">
        <v>5600</v>
      </c>
      <c r="H13626" s="27">
        <f t="shared" si="424"/>
        <v>5600</v>
      </c>
      <c r="I13626" s="18">
        <v>5320</v>
      </c>
      <c r="J13626" s="27">
        <v>5600</v>
      </c>
      <c r="K13626" s="18">
        <f t="shared" si="425"/>
        <v>5600</v>
      </c>
      <c r="L13626" s="27">
        <v>5320</v>
      </c>
      <c r="M13626" s="36">
        <v>0</v>
      </c>
      <c r="T13626" s="41">
        <v>0</v>
      </c>
      <c r="U13626" s="41">
        <v>0</v>
      </c>
      <c r="V13626" s="42" t="s">
        <v>113</v>
      </c>
      <c r="W13626" s="42">
        <v>5600</v>
      </c>
      <c r="X13626" s="42">
        <v>5600</v>
      </c>
    </row>
    <row r="13627" spans="1:24">
      <c r="A13627" s="27" t="s">
        <v>24405</v>
      </c>
      <c r="B13627" s="28" t="s">
        <v>24288</v>
      </c>
      <c r="C13627" s="27" t="s">
        <v>24375</v>
      </c>
      <c r="D13627" s="27" t="s">
        <v>17578</v>
      </c>
      <c r="E13627" s="29">
        <v>39417</v>
      </c>
      <c r="F13627" s="27">
        <v>7</v>
      </c>
      <c r="G13627" s="18">
        <v>4000</v>
      </c>
      <c r="H13627" s="27">
        <f t="shared" si="424"/>
        <v>4000</v>
      </c>
      <c r="I13627" s="18">
        <v>4000</v>
      </c>
      <c r="J13627" s="27">
        <v>4000</v>
      </c>
      <c r="K13627" s="18">
        <f t="shared" si="425"/>
        <v>4000</v>
      </c>
      <c r="L13627" s="27">
        <v>4000</v>
      </c>
      <c r="M13627" s="36">
        <v>0</v>
      </c>
      <c r="T13627" s="41">
        <v>0</v>
      </c>
      <c r="U13627" s="41">
        <v>0</v>
      </c>
      <c r="V13627" s="42" t="s">
        <v>113</v>
      </c>
      <c r="W13627" s="42">
        <v>4000</v>
      </c>
      <c r="X13627" s="42">
        <v>4000</v>
      </c>
    </row>
    <row r="13628" spans="1:24">
      <c r="A13628" s="27" t="s">
        <v>24406</v>
      </c>
      <c r="B13628" s="28" t="s">
        <v>24288</v>
      </c>
      <c r="C13628" s="27" t="s">
        <v>24407</v>
      </c>
      <c r="D13628" s="27" t="s">
        <v>17578</v>
      </c>
      <c r="E13628" s="29">
        <v>35765</v>
      </c>
      <c r="F13628" s="27">
        <v>7</v>
      </c>
      <c r="G13628" s="18">
        <v>15775.94</v>
      </c>
      <c r="H13628" s="27">
        <f t="shared" si="424"/>
        <v>15775.94</v>
      </c>
      <c r="I13628" s="18">
        <v>14987.14</v>
      </c>
      <c r="J13628" s="27">
        <v>15775.94</v>
      </c>
      <c r="K13628" s="18">
        <f t="shared" si="425"/>
        <v>15775.94</v>
      </c>
      <c r="L13628" s="27">
        <v>14987.14</v>
      </c>
      <c r="M13628" s="36">
        <v>0</v>
      </c>
      <c r="T13628" s="41">
        <v>0</v>
      </c>
      <c r="U13628" s="41">
        <v>0</v>
      </c>
      <c r="V13628" s="42" t="s">
        <v>113</v>
      </c>
      <c r="W13628" s="42">
        <v>15775.94</v>
      </c>
      <c r="X13628" s="42">
        <v>15775.94</v>
      </c>
    </row>
    <row r="13629" spans="1:24">
      <c r="A13629" s="27" t="s">
        <v>24408</v>
      </c>
      <c r="B13629" s="28" t="s">
        <v>24288</v>
      </c>
      <c r="C13629" s="27" t="s">
        <v>22486</v>
      </c>
      <c r="D13629" s="27" t="s">
        <v>17578</v>
      </c>
      <c r="E13629" s="29">
        <v>39417</v>
      </c>
      <c r="F13629" s="27">
        <v>7</v>
      </c>
      <c r="G13629" s="18">
        <v>2400</v>
      </c>
      <c r="H13629" s="27">
        <f t="shared" si="424"/>
        <v>2400</v>
      </c>
      <c r="I13629" s="18">
        <v>2400</v>
      </c>
      <c r="J13629" s="27">
        <v>2400</v>
      </c>
      <c r="K13629" s="18">
        <f t="shared" si="425"/>
        <v>2400</v>
      </c>
      <c r="L13629" s="27">
        <v>2400</v>
      </c>
      <c r="M13629" s="36">
        <v>0</v>
      </c>
      <c r="T13629" s="41">
        <v>0</v>
      </c>
      <c r="U13629" s="41">
        <v>0</v>
      </c>
      <c r="V13629" s="42" t="s">
        <v>113</v>
      </c>
      <c r="W13629" s="42">
        <v>2400</v>
      </c>
      <c r="X13629" s="42">
        <v>2400</v>
      </c>
    </row>
    <row r="13630" spans="1:24">
      <c r="A13630" s="27" t="s">
        <v>24409</v>
      </c>
      <c r="B13630" s="28" t="s">
        <v>24288</v>
      </c>
      <c r="C13630" s="27" t="s">
        <v>22486</v>
      </c>
      <c r="D13630" s="27" t="s">
        <v>17578</v>
      </c>
      <c r="E13630" s="29">
        <v>39417</v>
      </c>
      <c r="F13630" s="27">
        <v>7</v>
      </c>
      <c r="G13630" s="18">
        <v>12000</v>
      </c>
      <c r="H13630" s="27">
        <f t="shared" si="424"/>
        <v>12000</v>
      </c>
      <c r="I13630" s="18">
        <v>11400</v>
      </c>
      <c r="J13630" s="27">
        <v>12000</v>
      </c>
      <c r="K13630" s="18">
        <f t="shared" si="425"/>
        <v>12000</v>
      </c>
      <c r="L13630" s="27">
        <v>11400</v>
      </c>
      <c r="M13630" s="36">
        <v>0</v>
      </c>
      <c r="T13630" s="41">
        <v>0</v>
      </c>
      <c r="U13630" s="41">
        <v>0</v>
      </c>
      <c r="V13630" s="42" t="s">
        <v>113</v>
      </c>
      <c r="W13630" s="42">
        <v>12000</v>
      </c>
      <c r="X13630" s="42">
        <v>12000</v>
      </c>
    </row>
    <row r="13631" spans="1:24">
      <c r="A13631" s="27" t="s">
        <v>24410</v>
      </c>
      <c r="B13631" s="28" t="s">
        <v>24288</v>
      </c>
      <c r="C13631" s="27" t="s">
        <v>17636</v>
      </c>
      <c r="D13631" s="27" t="s">
        <v>17578</v>
      </c>
      <c r="E13631" s="29">
        <v>39417</v>
      </c>
      <c r="F13631" s="27">
        <v>7</v>
      </c>
      <c r="G13631" s="18">
        <v>39200</v>
      </c>
      <c r="H13631" s="27">
        <f t="shared" si="424"/>
        <v>39200</v>
      </c>
      <c r="I13631" s="18">
        <v>37240</v>
      </c>
      <c r="J13631" s="27">
        <v>39200</v>
      </c>
      <c r="K13631" s="18">
        <f t="shared" si="425"/>
        <v>39200</v>
      </c>
      <c r="L13631" s="27">
        <v>37240</v>
      </c>
      <c r="M13631" s="36">
        <v>0</v>
      </c>
      <c r="T13631" s="41">
        <v>0</v>
      </c>
      <c r="U13631" s="41">
        <v>0</v>
      </c>
      <c r="V13631" s="42" t="s">
        <v>113</v>
      </c>
      <c r="W13631" s="42">
        <v>39200</v>
      </c>
      <c r="X13631" s="42">
        <v>39200</v>
      </c>
    </row>
    <row r="13632" spans="1:24">
      <c r="A13632" s="27" t="s">
        <v>24411</v>
      </c>
      <c r="B13632" s="28" t="s">
        <v>24288</v>
      </c>
      <c r="C13632" s="27" t="s">
        <v>24362</v>
      </c>
      <c r="D13632" s="27" t="s">
        <v>17578</v>
      </c>
      <c r="E13632" s="29">
        <v>39417</v>
      </c>
      <c r="F13632" s="27">
        <v>7</v>
      </c>
      <c r="G13632" s="18">
        <v>5600</v>
      </c>
      <c r="H13632" s="27">
        <f t="shared" si="424"/>
        <v>5600</v>
      </c>
      <c r="I13632" s="18">
        <v>5320</v>
      </c>
      <c r="J13632" s="27">
        <v>5600</v>
      </c>
      <c r="K13632" s="18">
        <f t="shared" si="425"/>
        <v>5600</v>
      </c>
      <c r="L13632" s="27">
        <v>5320</v>
      </c>
      <c r="M13632" s="36">
        <v>0</v>
      </c>
      <c r="T13632" s="41">
        <v>0</v>
      </c>
      <c r="U13632" s="41">
        <v>0</v>
      </c>
      <c r="V13632" s="42" t="s">
        <v>113</v>
      </c>
      <c r="W13632" s="42">
        <v>5600</v>
      </c>
      <c r="X13632" s="42">
        <v>5600</v>
      </c>
    </row>
    <row r="13633" spans="1:24">
      <c r="A13633" s="27" t="s">
        <v>24412</v>
      </c>
      <c r="B13633" s="28" t="s">
        <v>24288</v>
      </c>
      <c r="C13633" s="27" t="s">
        <v>24375</v>
      </c>
      <c r="D13633" s="27" t="s">
        <v>17578</v>
      </c>
      <c r="E13633" s="29">
        <v>39417</v>
      </c>
      <c r="F13633" s="27">
        <v>7</v>
      </c>
      <c r="G13633" s="18">
        <v>2000</v>
      </c>
      <c r="H13633" s="27">
        <f t="shared" si="424"/>
        <v>2000</v>
      </c>
      <c r="I13633" s="18">
        <v>2000</v>
      </c>
      <c r="J13633" s="27">
        <v>2000</v>
      </c>
      <c r="K13633" s="18">
        <f t="shared" si="425"/>
        <v>2000</v>
      </c>
      <c r="L13633" s="27">
        <v>2000</v>
      </c>
      <c r="M13633" s="36">
        <v>0</v>
      </c>
      <c r="T13633" s="41">
        <v>0</v>
      </c>
      <c r="U13633" s="41">
        <v>0</v>
      </c>
      <c r="V13633" s="42" t="s">
        <v>113</v>
      </c>
      <c r="W13633" s="42">
        <v>2000</v>
      </c>
      <c r="X13633" s="42">
        <v>2000</v>
      </c>
    </row>
    <row r="13634" spans="1:24">
      <c r="A13634" s="27" t="s">
        <v>24413</v>
      </c>
      <c r="B13634" s="28" t="s">
        <v>24288</v>
      </c>
      <c r="C13634" s="27" t="s">
        <v>22730</v>
      </c>
      <c r="D13634" s="27" t="s">
        <v>17578</v>
      </c>
      <c r="E13634" s="29">
        <v>39417</v>
      </c>
      <c r="F13634" s="27">
        <v>7</v>
      </c>
      <c r="G13634" s="18">
        <v>1140</v>
      </c>
      <c r="H13634" s="27">
        <f t="shared" si="424"/>
        <v>1140</v>
      </c>
      <c r="I13634" s="18">
        <v>1140</v>
      </c>
      <c r="J13634" s="27">
        <v>1140</v>
      </c>
      <c r="K13634" s="18">
        <f t="shared" si="425"/>
        <v>1140</v>
      </c>
      <c r="L13634" s="27">
        <v>1140</v>
      </c>
      <c r="M13634" s="36">
        <v>0</v>
      </c>
      <c r="T13634" s="41">
        <v>0</v>
      </c>
      <c r="U13634" s="41">
        <v>0</v>
      </c>
      <c r="V13634" s="42" t="s">
        <v>113</v>
      </c>
      <c r="W13634" s="42">
        <v>1140</v>
      </c>
      <c r="X13634" s="42">
        <v>1140</v>
      </c>
    </row>
    <row r="13635" spans="1:24">
      <c r="A13635" s="27" t="s">
        <v>24414</v>
      </c>
      <c r="B13635" s="28" t="s">
        <v>24288</v>
      </c>
      <c r="C13635" s="27" t="s">
        <v>20155</v>
      </c>
      <c r="D13635" s="27" t="s">
        <v>17578</v>
      </c>
      <c r="E13635" s="29">
        <v>39142</v>
      </c>
      <c r="F13635" s="27">
        <v>7</v>
      </c>
      <c r="G13635" s="18">
        <v>5192.5</v>
      </c>
      <c r="H13635" s="27">
        <f t="shared" si="424"/>
        <v>5192.5</v>
      </c>
      <c r="I13635" s="18">
        <v>4932.87</v>
      </c>
      <c r="J13635" s="27">
        <v>5192.5</v>
      </c>
      <c r="K13635" s="18">
        <f t="shared" si="425"/>
        <v>5192.5</v>
      </c>
      <c r="L13635" s="27">
        <v>4932.87</v>
      </c>
      <c r="M13635" s="36">
        <v>0</v>
      </c>
      <c r="T13635" s="41">
        <v>0</v>
      </c>
      <c r="U13635" s="41">
        <v>0</v>
      </c>
      <c r="V13635" s="42" t="s">
        <v>113</v>
      </c>
      <c r="W13635" s="42">
        <v>5192.5</v>
      </c>
      <c r="X13635" s="42">
        <v>5192.5</v>
      </c>
    </row>
    <row r="13636" spans="1:24">
      <c r="A13636" s="27" t="s">
        <v>24415</v>
      </c>
      <c r="B13636" s="28" t="s">
        <v>24288</v>
      </c>
      <c r="C13636" s="27" t="s">
        <v>24416</v>
      </c>
      <c r="D13636" s="27" t="s">
        <v>17578</v>
      </c>
      <c r="E13636" s="29">
        <v>39142</v>
      </c>
      <c r="F13636" s="27">
        <v>7</v>
      </c>
      <c r="G13636" s="18">
        <v>1317.5</v>
      </c>
      <c r="H13636" s="27">
        <f t="shared" si="424"/>
        <v>1317.5</v>
      </c>
      <c r="I13636" s="18">
        <v>1317.5</v>
      </c>
      <c r="J13636" s="27">
        <v>1317.5</v>
      </c>
      <c r="K13636" s="18">
        <f t="shared" si="425"/>
        <v>1317.5</v>
      </c>
      <c r="L13636" s="27">
        <v>1317.5</v>
      </c>
      <c r="M13636" s="36">
        <v>0</v>
      </c>
      <c r="T13636" s="41">
        <v>0</v>
      </c>
      <c r="U13636" s="41">
        <v>0</v>
      </c>
      <c r="V13636" s="42" t="s">
        <v>113</v>
      </c>
      <c r="W13636" s="42">
        <v>1317.5</v>
      </c>
      <c r="X13636" s="42">
        <v>1317.5</v>
      </c>
    </row>
    <row r="13637" spans="1:24">
      <c r="A13637" s="27" t="s">
        <v>24417</v>
      </c>
      <c r="B13637" s="28" t="s">
        <v>24288</v>
      </c>
      <c r="C13637" s="27" t="s">
        <v>24418</v>
      </c>
      <c r="D13637" s="27" t="s">
        <v>17578</v>
      </c>
      <c r="E13637" s="29">
        <v>39142</v>
      </c>
      <c r="F13637" s="27">
        <v>7</v>
      </c>
      <c r="G13637" s="18">
        <v>10323</v>
      </c>
      <c r="H13637" s="27">
        <f t="shared" si="424"/>
        <v>10323</v>
      </c>
      <c r="I13637" s="18">
        <v>9806.85</v>
      </c>
      <c r="J13637" s="27">
        <v>10323</v>
      </c>
      <c r="K13637" s="18">
        <f t="shared" si="425"/>
        <v>10323</v>
      </c>
      <c r="L13637" s="27">
        <v>9806.85</v>
      </c>
      <c r="M13637" s="36">
        <v>0</v>
      </c>
      <c r="T13637" s="41">
        <v>0</v>
      </c>
      <c r="U13637" s="41">
        <v>0</v>
      </c>
      <c r="V13637" s="42" t="s">
        <v>113</v>
      </c>
      <c r="W13637" s="42">
        <v>10323</v>
      </c>
      <c r="X13637" s="42">
        <v>10323</v>
      </c>
    </row>
    <row r="13638" spans="1:24">
      <c r="A13638" s="27" t="s">
        <v>24419</v>
      </c>
      <c r="B13638" s="28" t="s">
        <v>24288</v>
      </c>
      <c r="C13638" s="27" t="s">
        <v>24420</v>
      </c>
      <c r="D13638" s="27" t="s">
        <v>17578</v>
      </c>
      <c r="E13638" s="29">
        <v>39142</v>
      </c>
      <c r="F13638" s="27">
        <v>7</v>
      </c>
      <c r="G13638" s="18">
        <v>3069</v>
      </c>
      <c r="H13638" s="27">
        <f t="shared" ref="H13638:H13701" si="426">IFERROR(IF(ROUND((G13638-I13638)/G13638,2)&lt;=0.05,G13638,0),0)</f>
        <v>3069</v>
      </c>
      <c r="I13638" s="18">
        <v>3069</v>
      </c>
      <c r="J13638" s="27">
        <v>3069</v>
      </c>
      <c r="K13638" s="18">
        <f t="shared" ref="K13638:K13701" si="427">IFERROR(IF(ROUND((J13638-L13638)/J13638,2)&lt;=0.05,J13638,0),0)</f>
        <v>3069</v>
      </c>
      <c r="L13638" s="27">
        <v>3069</v>
      </c>
      <c r="M13638" s="36">
        <v>0</v>
      </c>
      <c r="T13638" s="41">
        <v>0</v>
      </c>
      <c r="U13638" s="41">
        <v>0</v>
      </c>
      <c r="V13638" s="42" t="s">
        <v>113</v>
      </c>
      <c r="W13638" s="42">
        <v>3069</v>
      </c>
      <c r="X13638" s="42">
        <v>3069</v>
      </c>
    </row>
    <row r="13639" spans="1:24">
      <c r="A13639" s="27" t="s">
        <v>24421</v>
      </c>
      <c r="B13639" s="28" t="s">
        <v>24288</v>
      </c>
      <c r="C13639" s="27" t="s">
        <v>24313</v>
      </c>
      <c r="D13639" s="27" t="s">
        <v>17558</v>
      </c>
      <c r="E13639" s="29">
        <v>37591</v>
      </c>
      <c r="F13639" s="27">
        <v>7</v>
      </c>
      <c r="G13639" s="18">
        <v>7575</v>
      </c>
      <c r="H13639" s="27">
        <f t="shared" si="426"/>
        <v>7575</v>
      </c>
      <c r="I13639" s="18">
        <v>7196.25</v>
      </c>
      <c r="J13639" s="27">
        <v>7575</v>
      </c>
      <c r="K13639" s="18">
        <f t="shared" si="427"/>
        <v>7575</v>
      </c>
      <c r="L13639" s="27">
        <v>7196.25</v>
      </c>
      <c r="M13639" s="36">
        <v>0</v>
      </c>
      <c r="T13639" s="41">
        <v>0</v>
      </c>
      <c r="U13639" s="41">
        <v>0</v>
      </c>
      <c r="V13639" s="42" t="s">
        <v>113</v>
      </c>
      <c r="W13639" s="42">
        <v>7575</v>
      </c>
      <c r="X13639" s="42">
        <v>7575</v>
      </c>
    </row>
    <row r="13640" spans="1:24">
      <c r="A13640" s="27" t="s">
        <v>24422</v>
      </c>
      <c r="B13640" s="28" t="s">
        <v>24288</v>
      </c>
      <c r="C13640" s="27" t="s">
        <v>24423</v>
      </c>
      <c r="D13640" s="27" t="s">
        <v>17558</v>
      </c>
      <c r="E13640" s="29">
        <v>39417</v>
      </c>
      <c r="F13640" s="27">
        <v>7</v>
      </c>
      <c r="G13640" s="18">
        <v>55000</v>
      </c>
      <c r="H13640" s="27">
        <f t="shared" si="426"/>
        <v>55000</v>
      </c>
      <c r="I13640" s="18">
        <v>52250</v>
      </c>
      <c r="J13640" s="27">
        <v>55000</v>
      </c>
      <c r="K13640" s="18">
        <f t="shared" si="427"/>
        <v>55000</v>
      </c>
      <c r="L13640" s="27">
        <v>52250</v>
      </c>
      <c r="M13640" s="36">
        <v>0</v>
      </c>
      <c r="T13640" s="41">
        <v>0</v>
      </c>
      <c r="U13640" s="41">
        <v>0</v>
      </c>
      <c r="V13640" s="42" t="s">
        <v>113</v>
      </c>
      <c r="W13640" s="42">
        <v>55000</v>
      </c>
      <c r="X13640" s="42">
        <v>55000</v>
      </c>
    </row>
    <row r="13641" spans="1:24">
      <c r="A13641" s="27" t="s">
        <v>24424</v>
      </c>
      <c r="B13641" s="28" t="s">
        <v>24288</v>
      </c>
      <c r="C13641" s="27" t="s">
        <v>22486</v>
      </c>
      <c r="D13641" s="27" t="s">
        <v>17578</v>
      </c>
      <c r="E13641" s="29">
        <v>39417</v>
      </c>
      <c r="F13641" s="27">
        <v>7</v>
      </c>
      <c r="G13641" s="18">
        <v>30000</v>
      </c>
      <c r="H13641" s="27">
        <f t="shared" si="426"/>
        <v>30000</v>
      </c>
      <c r="I13641" s="18">
        <v>28500</v>
      </c>
      <c r="J13641" s="27">
        <v>30000</v>
      </c>
      <c r="K13641" s="18">
        <f t="shared" si="427"/>
        <v>30000</v>
      </c>
      <c r="L13641" s="27">
        <v>28500</v>
      </c>
      <c r="M13641" s="36">
        <v>0</v>
      </c>
      <c r="T13641" s="41">
        <v>0</v>
      </c>
      <c r="U13641" s="41">
        <v>0</v>
      </c>
      <c r="V13641" s="42" t="s">
        <v>113</v>
      </c>
      <c r="W13641" s="42">
        <v>30000</v>
      </c>
      <c r="X13641" s="42">
        <v>30000</v>
      </c>
    </row>
    <row r="13642" spans="1:24">
      <c r="A13642" s="27" t="s">
        <v>24425</v>
      </c>
      <c r="B13642" s="28" t="s">
        <v>24288</v>
      </c>
      <c r="C13642" s="27" t="s">
        <v>17636</v>
      </c>
      <c r="D13642" s="27" t="s">
        <v>17578</v>
      </c>
      <c r="E13642" s="29">
        <v>39417</v>
      </c>
      <c r="F13642" s="27">
        <v>7</v>
      </c>
      <c r="G13642" s="18">
        <v>12250</v>
      </c>
      <c r="H13642" s="27">
        <f t="shared" si="426"/>
        <v>12250</v>
      </c>
      <c r="I13642" s="18">
        <v>11637.5</v>
      </c>
      <c r="J13642" s="27">
        <v>12250</v>
      </c>
      <c r="K13642" s="18">
        <f t="shared" si="427"/>
        <v>12250</v>
      </c>
      <c r="L13642" s="27">
        <v>11637.5</v>
      </c>
      <c r="M13642" s="36">
        <v>0</v>
      </c>
      <c r="T13642" s="41">
        <v>0</v>
      </c>
      <c r="U13642" s="41">
        <v>0</v>
      </c>
      <c r="V13642" s="42" t="s">
        <v>113</v>
      </c>
      <c r="W13642" s="42">
        <v>12250</v>
      </c>
      <c r="X13642" s="42">
        <v>12250</v>
      </c>
    </row>
    <row r="13643" spans="1:24">
      <c r="A13643" s="27" t="s">
        <v>24426</v>
      </c>
      <c r="B13643" s="28" t="s">
        <v>24288</v>
      </c>
      <c r="C13643" s="27" t="s">
        <v>24375</v>
      </c>
      <c r="D13643" s="27" t="s">
        <v>17578</v>
      </c>
      <c r="E13643" s="29">
        <v>39417</v>
      </c>
      <c r="F13643" s="27">
        <v>7</v>
      </c>
      <c r="G13643" s="18">
        <v>2000</v>
      </c>
      <c r="H13643" s="27">
        <f t="shared" si="426"/>
        <v>2000</v>
      </c>
      <c r="I13643" s="18">
        <v>2000</v>
      </c>
      <c r="J13643" s="27">
        <v>2000</v>
      </c>
      <c r="K13643" s="18">
        <f t="shared" si="427"/>
        <v>2000</v>
      </c>
      <c r="L13643" s="27">
        <v>2000</v>
      </c>
      <c r="M13643" s="36">
        <v>0</v>
      </c>
      <c r="T13643" s="41">
        <v>0</v>
      </c>
      <c r="U13643" s="41">
        <v>0</v>
      </c>
      <c r="V13643" s="42" t="s">
        <v>113</v>
      </c>
      <c r="W13643" s="42">
        <v>2000</v>
      </c>
      <c r="X13643" s="42">
        <v>2000</v>
      </c>
    </row>
    <row r="13644" spans="1:24">
      <c r="A13644" s="27" t="s">
        <v>24427</v>
      </c>
      <c r="B13644" s="28" t="s">
        <v>24288</v>
      </c>
      <c r="C13644" s="27" t="s">
        <v>24381</v>
      </c>
      <c r="D13644" s="27" t="s">
        <v>17578</v>
      </c>
      <c r="E13644" s="29">
        <v>39417</v>
      </c>
      <c r="F13644" s="27">
        <v>7</v>
      </c>
      <c r="G13644" s="18">
        <v>1600</v>
      </c>
      <c r="H13644" s="27">
        <f t="shared" si="426"/>
        <v>1600</v>
      </c>
      <c r="I13644" s="18">
        <v>1600</v>
      </c>
      <c r="J13644" s="27">
        <v>1600</v>
      </c>
      <c r="K13644" s="18">
        <f t="shared" si="427"/>
        <v>1600</v>
      </c>
      <c r="L13644" s="27">
        <v>1600</v>
      </c>
      <c r="M13644" s="36">
        <v>0</v>
      </c>
      <c r="T13644" s="41">
        <v>0</v>
      </c>
      <c r="U13644" s="41">
        <v>0</v>
      </c>
      <c r="V13644" s="42" t="s">
        <v>113</v>
      </c>
      <c r="W13644" s="42">
        <v>1600</v>
      </c>
      <c r="X13644" s="42">
        <v>1600</v>
      </c>
    </row>
    <row r="13645" spans="1:24">
      <c r="A13645" s="27" t="s">
        <v>24428</v>
      </c>
      <c r="B13645" s="28" t="s">
        <v>24288</v>
      </c>
      <c r="C13645" s="27" t="s">
        <v>22730</v>
      </c>
      <c r="D13645" s="27" t="s">
        <v>17578</v>
      </c>
      <c r="E13645" s="29">
        <v>39417</v>
      </c>
      <c r="F13645" s="27">
        <v>7</v>
      </c>
      <c r="G13645" s="18">
        <v>1140</v>
      </c>
      <c r="H13645" s="27">
        <f t="shared" si="426"/>
        <v>1140</v>
      </c>
      <c r="I13645" s="18">
        <v>1140</v>
      </c>
      <c r="J13645" s="27">
        <v>1140</v>
      </c>
      <c r="K13645" s="18">
        <f t="shared" si="427"/>
        <v>1140</v>
      </c>
      <c r="L13645" s="27">
        <v>1140</v>
      </c>
      <c r="M13645" s="36">
        <v>0</v>
      </c>
      <c r="T13645" s="41">
        <v>0</v>
      </c>
      <c r="U13645" s="41">
        <v>0</v>
      </c>
      <c r="V13645" s="42" t="s">
        <v>113</v>
      </c>
      <c r="W13645" s="42">
        <v>1140</v>
      </c>
      <c r="X13645" s="42">
        <v>1140</v>
      </c>
    </row>
    <row r="13646" spans="1:24">
      <c r="A13646" s="27" t="s">
        <v>24429</v>
      </c>
      <c r="B13646" s="28" t="s">
        <v>24288</v>
      </c>
      <c r="C13646" s="27" t="s">
        <v>24430</v>
      </c>
      <c r="D13646" s="27" t="s">
        <v>17578</v>
      </c>
      <c r="E13646" s="29">
        <v>36281</v>
      </c>
      <c r="F13646" s="27">
        <v>7</v>
      </c>
      <c r="G13646" s="18">
        <v>1333.83</v>
      </c>
      <c r="H13646" s="27">
        <f t="shared" si="426"/>
        <v>1333.83</v>
      </c>
      <c r="I13646" s="18">
        <v>1333.83</v>
      </c>
      <c r="J13646" s="27">
        <v>1333.83</v>
      </c>
      <c r="K13646" s="18">
        <f t="shared" si="427"/>
        <v>1333.83</v>
      </c>
      <c r="L13646" s="27">
        <v>1333.83</v>
      </c>
      <c r="M13646" s="36">
        <v>0</v>
      </c>
      <c r="T13646" s="41">
        <v>0</v>
      </c>
      <c r="U13646" s="41">
        <v>0</v>
      </c>
      <c r="V13646" s="42" t="s">
        <v>113</v>
      </c>
      <c r="W13646" s="42">
        <v>1333.83</v>
      </c>
      <c r="X13646" s="42">
        <v>1333.83</v>
      </c>
    </row>
    <row r="13647" spans="1:24">
      <c r="A13647" s="27" t="s">
        <v>24431</v>
      </c>
      <c r="B13647" s="28" t="s">
        <v>24288</v>
      </c>
      <c r="C13647" s="27" t="s">
        <v>24432</v>
      </c>
      <c r="D13647" s="27" t="s">
        <v>17578</v>
      </c>
      <c r="E13647" s="29">
        <v>36281</v>
      </c>
      <c r="F13647" s="27">
        <v>7</v>
      </c>
      <c r="G13647" s="18">
        <v>404.42</v>
      </c>
      <c r="H13647" s="27">
        <f t="shared" si="426"/>
        <v>404.42</v>
      </c>
      <c r="I13647" s="18">
        <v>404.42</v>
      </c>
      <c r="J13647" s="27">
        <v>404.42</v>
      </c>
      <c r="K13647" s="18">
        <f t="shared" si="427"/>
        <v>404.42</v>
      </c>
      <c r="L13647" s="27">
        <v>404.42</v>
      </c>
      <c r="M13647" s="36">
        <v>0</v>
      </c>
      <c r="T13647" s="41">
        <v>0</v>
      </c>
      <c r="U13647" s="41">
        <v>0</v>
      </c>
      <c r="V13647" s="42" t="s">
        <v>113</v>
      </c>
      <c r="W13647" s="42">
        <v>404.42</v>
      </c>
      <c r="X13647" s="42">
        <v>404.42</v>
      </c>
    </row>
    <row r="13648" spans="1:24">
      <c r="A13648" s="27" t="s">
        <v>24433</v>
      </c>
      <c r="B13648" s="28" t="s">
        <v>24288</v>
      </c>
      <c r="C13648" s="27" t="s">
        <v>24381</v>
      </c>
      <c r="D13648" s="27" t="s">
        <v>17578</v>
      </c>
      <c r="E13648" s="29">
        <v>39417</v>
      </c>
      <c r="F13648" s="27">
        <v>7</v>
      </c>
      <c r="G13648" s="18">
        <v>2000</v>
      </c>
      <c r="H13648" s="27">
        <f t="shared" si="426"/>
        <v>2000</v>
      </c>
      <c r="I13648" s="18">
        <v>2000</v>
      </c>
      <c r="J13648" s="27">
        <v>2000</v>
      </c>
      <c r="K13648" s="18">
        <f t="shared" si="427"/>
        <v>2000</v>
      </c>
      <c r="L13648" s="27">
        <v>2000</v>
      </c>
      <c r="M13648" s="36">
        <v>0</v>
      </c>
      <c r="T13648" s="41">
        <v>0</v>
      </c>
      <c r="U13648" s="41">
        <v>0</v>
      </c>
      <c r="V13648" s="42" t="s">
        <v>113</v>
      </c>
      <c r="W13648" s="42">
        <v>2000</v>
      </c>
      <c r="X13648" s="42">
        <v>2000</v>
      </c>
    </row>
    <row r="13649" spans="1:24">
      <c r="A13649" s="27" t="s">
        <v>24434</v>
      </c>
      <c r="B13649" s="28" t="s">
        <v>24288</v>
      </c>
      <c r="C13649" s="27" t="s">
        <v>19528</v>
      </c>
      <c r="D13649" s="27" t="s">
        <v>17578</v>
      </c>
      <c r="E13649" s="29">
        <v>39417</v>
      </c>
      <c r="F13649" s="27">
        <v>7</v>
      </c>
      <c r="G13649" s="18">
        <v>6000</v>
      </c>
      <c r="H13649" s="27">
        <f t="shared" si="426"/>
        <v>6000</v>
      </c>
      <c r="I13649" s="18">
        <v>5700</v>
      </c>
      <c r="J13649" s="27">
        <v>6000</v>
      </c>
      <c r="K13649" s="18">
        <f t="shared" si="427"/>
        <v>6000</v>
      </c>
      <c r="L13649" s="27">
        <v>5700</v>
      </c>
      <c r="M13649" s="36">
        <v>0</v>
      </c>
      <c r="T13649" s="41">
        <v>0</v>
      </c>
      <c r="U13649" s="41">
        <v>0</v>
      </c>
      <c r="V13649" s="42" t="s">
        <v>113</v>
      </c>
      <c r="W13649" s="42">
        <v>6000</v>
      </c>
      <c r="X13649" s="42">
        <v>6000</v>
      </c>
    </row>
    <row r="13650" spans="1:24">
      <c r="A13650" s="27" t="s">
        <v>24435</v>
      </c>
      <c r="B13650" s="28" t="s">
        <v>24288</v>
      </c>
      <c r="C13650" s="27" t="s">
        <v>24375</v>
      </c>
      <c r="D13650" s="27" t="s">
        <v>17578</v>
      </c>
      <c r="E13650" s="29">
        <v>39417</v>
      </c>
      <c r="F13650" s="27">
        <v>7</v>
      </c>
      <c r="G13650" s="18">
        <v>2000</v>
      </c>
      <c r="H13650" s="27">
        <f t="shared" si="426"/>
        <v>2000</v>
      </c>
      <c r="I13650" s="18">
        <v>2000</v>
      </c>
      <c r="J13650" s="27">
        <v>2000</v>
      </c>
      <c r="K13650" s="18">
        <f t="shared" si="427"/>
        <v>2000</v>
      </c>
      <c r="L13650" s="27">
        <v>2000</v>
      </c>
      <c r="M13650" s="36">
        <v>0</v>
      </c>
      <c r="T13650" s="41">
        <v>0</v>
      </c>
      <c r="U13650" s="41">
        <v>0</v>
      </c>
      <c r="V13650" s="42" t="s">
        <v>113</v>
      </c>
      <c r="W13650" s="42">
        <v>2000</v>
      </c>
      <c r="X13650" s="42">
        <v>2000</v>
      </c>
    </row>
    <row r="13651" spans="1:24">
      <c r="A13651" s="27" t="s">
        <v>24436</v>
      </c>
      <c r="B13651" s="28" t="s">
        <v>24288</v>
      </c>
      <c r="C13651" s="27" t="s">
        <v>24362</v>
      </c>
      <c r="D13651" s="27" t="s">
        <v>17578</v>
      </c>
      <c r="E13651" s="29">
        <v>39417</v>
      </c>
      <c r="F13651" s="27">
        <v>7</v>
      </c>
      <c r="G13651" s="18">
        <v>5600</v>
      </c>
      <c r="H13651" s="27">
        <f t="shared" si="426"/>
        <v>5600</v>
      </c>
      <c r="I13651" s="18">
        <v>5320</v>
      </c>
      <c r="J13651" s="27">
        <v>5600</v>
      </c>
      <c r="K13651" s="18">
        <f t="shared" si="427"/>
        <v>5600</v>
      </c>
      <c r="L13651" s="27">
        <v>5320</v>
      </c>
      <c r="M13651" s="36">
        <v>0</v>
      </c>
      <c r="T13651" s="41">
        <v>0</v>
      </c>
      <c r="U13651" s="41">
        <v>0</v>
      </c>
      <c r="V13651" s="42" t="s">
        <v>113</v>
      </c>
      <c r="W13651" s="42">
        <v>5600</v>
      </c>
      <c r="X13651" s="42">
        <v>5600</v>
      </c>
    </row>
    <row r="13652" spans="1:24">
      <c r="A13652" s="27" t="s">
        <v>24437</v>
      </c>
      <c r="B13652" s="28" t="s">
        <v>24288</v>
      </c>
      <c r="C13652" s="27" t="s">
        <v>17636</v>
      </c>
      <c r="D13652" s="27" t="s">
        <v>17578</v>
      </c>
      <c r="E13652" s="29">
        <v>39417</v>
      </c>
      <c r="F13652" s="27">
        <v>7</v>
      </c>
      <c r="G13652" s="18">
        <v>31850</v>
      </c>
      <c r="H13652" s="27">
        <f t="shared" si="426"/>
        <v>31850</v>
      </c>
      <c r="I13652" s="18">
        <v>30257.5</v>
      </c>
      <c r="J13652" s="27">
        <v>31850</v>
      </c>
      <c r="K13652" s="18">
        <f t="shared" si="427"/>
        <v>31850</v>
      </c>
      <c r="L13652" s="27">
        <v>30257.5</v>
      </c>
      <c r="M13652" s="36">
        <v>0</v>
      </c>
      <c r="T13652" s="41">
        <v>0</v>
      </c>
      <c r="U13652" s="41">
        <v>0</v>
      </c>
      <c r="V13652" s="42" t="s">
        <v>113</v>
      </c>
      <c r="W13652" s="42">
        <v>31850</v>
      </c>
      <c r="X13652" s="42">
        <v>31850</v>
      </c>
    </row>
    <row r="13653" spans="1:24">
      <c r="A13653" s="27" t="s">
        <v>24438</v>
      </c>
      <c r="B13653" s="28" t="s">
        <v>24288</v>
      </c>
      <c r="C13653" s="27" t="s">
        <v>22486</v>
      </c>
      <c r="D13653" s="27" t="s">
        <v>17578</v>
      </c>
      <c r="E13653" s="29">
        <v>39417</v>
      </c>
      <c r="F13653" s="27">
        <v>7</v>
      </c>
      <c r="G13653" s="18">
        <v>25000</v>
      </c>
      <c r="H13653" s="27">
        <f t="shared" si="426"/>
        <v>25000</v>
      </c>
      <c r="I13653" s="18">
        <v>23750</v>
      </c>
      <c r="J13653" s="27">
        <v>25000</v>
      </c>
      <c r="K13653" s="18">
        <f t="shared" si="427"/>
        <v>25000</v>
      </c>
      <c r="L13653" s="27">
        <v>23750</v>
      </c>
      <c r="M13653" s="36">
        <v>0</v>
      </c>
      <c r="T13653" s="41">
        <v>0</v>
      </c>
      <c r="U13653" s="41">
        <v>0</v>
      </c>
      <c r="V13653" s="42" t="s">
        <v>113</v>
      </c>
      <c r="W13653" s="42">
        <v>25000</v>
      </c>
      <c r="X13653" s="42">
        <v>25000</v>
      </c>
    </row>
    <row r="13654" spans="1:24">
      <c r="A13654" s="27" t="s">
        <v>24439</v>
      </c>
      <c r="B13654" s="28" t="s">
        <v>24288</v>
      </c>
      <c r="C13654" s="27" t="s">
        <v>22730</v>
      </c>
      <c r="D13654" s="27" t="s">
        <v>17578</v>
      </c>
      <c r="E13654" s="29">
        <v>39417</v>
      </c>
      <c r="F13654" s="27">
        <v>7</v>
      </c>
      <c r="G13654" s="18">
        <v>1140</v>
      </c>
      <c r="H13654" s="27">
        <f t="shared" si="426"/>
        <v>1140</v>
      </c>
      <c r="I13654" s="18">
        <v>1140</v>
      </c>
      <c r="J13654" s="27">
        <v>1140</v>
      </c>
      <c r="K13654" s="18">
        <f t="shared" si="427"/>
        <v>1140</v>
      </c>
      <c r="L13654" s="27">
        <v>1140</v>
      </c>
      <c r="M13654" s="36">
        <v>0</v>
      </c>
      <c r="T13654" s="41">
        <v>0</v>
      </c>
      <c r="U13654" s="41">
        <v>0</v>
      </c>
      <c r="V13654" s="42" t="s">
        <v>113</v>
      </c>
      <c r="W13654" s="42">
        <v>1140</v>
      </c>
      <c r="X13654" s="42">
        <v>1140</v>
      </c>
    </row>
    <row r="13655" spans="1:24">
      <c r="A13655" s="27" t="s">
        <v>24440</v>
      </c>
      <c r="B13655" s="28" t="s">
        <v>24288</v>
      </c>
      <c r="C13655" s="27" t="s">
        <v>24441</v>
      </c>
      <c r="D13655" s="27" t="s">
        <v>17578</v>
      </c>
      <c r="E13655" s="29">
        <v>39508</v>
      </c>
      <c r="F13655" s="27">
        <v>7</v>
      </c>
      <c r="G13655" s="18">
        <v>4860</v>
      </c>
      <c r="H13655" s="27">
        <f t="shared" si="426"/>
        <v>4860</v>
      </c>
      <c r="I13655" s="18">
        <v>4860</v>
      </c>
      <c r="J13655" s="27">
        <v>4860</v>
      </c>
      <c r="K13655" s="18">
        <f t="shared" si="427"/>
        <v>4860</v>
      </c>
      <c r="L13655" s="27">
        <v>4860</v>
      </c>
      <c r="M13655" s="36">
        <v>0</v>
      </c>
      <c r="T13655" s="41">
        <v>0</v>
      </c>
      <c r="U13655" s="41">
        <v>0</v>
      </c>
      <c r="V13655" s="42" t="s">
        <v>113</v>
      </c>
      <c r="W13655" s="42">
        <v>4860</v>
      </c>
      <c r="X13655" s="42">
        <v>4860</v>
      </c>
    </row>
    <row r="13656" spans="1:24">
      <c r="A13656" s="27" t="s">
        <v>24442</v>
      </c>
      <c r="B13656" s="28" t="s">
        <v>24288</v>
      </c>
      <c r="C13656" s="27" t="s">
        <v>20155</v>
      </c>
      <c r="D13656" s="27" t="s">
        <v>17578</v>
      </c>
      <c r="E13656" s="29">
        <v>39142</v>
      </c>
      <c r="F13656" s="27">
        <v>7</v>
      </c>
      <c r="G13656" s="18">
        <v>5192.5</v>
      </c>
      <c r="H13656" s="27">
        <f t="shared" si="426"/>
        <v>5192.5</v>
      </c>
      <c r="I13656" s="18">
        <v>4932.87</v>
      </c>
      <c r="J13656" s="27">
        <v>5192.5</v>
      </c>
      <c r="K13656" s="18">
        <f t="shared" si="427"/>
        <v>5192.5</v>
      </c>
      <c r="L13656" s="27">
        <v>4932.87</v>
      </c>
      <c r="M13656" s="36">
        <v>0</v>
      </c>
      <c r="T13656" s="41">
        <v>0</v>
      </c>
      <c r="U13656" s="41">
        <v>0</v>
      </c>
      <c r="V13656" s="42" t="s">
        <v>113</v>
      </c>
      <c r="W13656" s="42">
        <v>5192.5</v>
      </c>
      <c r="X13656" s="42">
        <v>5192.5</v>
      </c>
    </row>
    <row r="13657" spans="1:24">
      <c r="A13657" s="27" t="s">
        <v>24443</v>
      </c>
      <c r="B13657" s="28" t="s">
        <v>24288</v>
      </c>
      <c r="C13657" s="27" t="s">
        <v>24416</v>
      </c>
      <c r="D13657" s="27" t="s">
        <v>17578</v>
      </c>
      <c r="E13657" s="29">
        <v>39142</v>
      </c>
      <c r="F13657" s="27">
        <v>7</v>
      </c>
      <c r="G13657" s="18">
        <v>1317.5</v>
      </c>
      <c r="H13657" s="27">
        <f t="shared" si="426"/>
        <v>1317.5</v>
      </c>
      <c r="I13657" s="18">
        <v>1317.5</v>
      </c>
      <c r="J13657" s="27">
        <v>1317.5</v>
      </c>
      <c r="K13657" s="18">
        <f t="shared" si="427"/>
        <v>1317.5</v>
      </c>
      <c r="L13657" s="27">
        <v>1317.5</v>
      </c>
      <c r="M13657" s="36">
        <v>0</v>
      </c>
      <c r="T13657" s="41">
        <v>0</v>
      </c>
      <c r="U13657" s="41">
        <v>0</v>
      </c>
      <c r="V13657" s="42" t="s">
        <v>113</v>
      </c>
      <c r="W13657" s="42">
        <v>1317.5</v>
      </c>
      <c r="X13657" s="42">
        <v>1317.5</v>
      </c>
    </row>
    <row r="13658" spans="1:24">
      <c r="A13658" s="27" t="s">
        <v>24444</v>
      </c>
      <c r="B13658" s="28" t="s">
        <v>24288</v>
      </c>
      <c r="C13658" s="27" t="s">
        <v>24418</v>
      </c>
      <c r="D13658" s="27" t="s">
        <v>17578</v>
      </c>
      <c r="E13658" s="29">
        <v>39142</v>
      </c>
      <c r="F13658" s="27">
        <v>7</v>
      </c>
      <c r="G13658" s="18">
        <v>10323</v>
      </c>
      <c r="H13658" s="27">
        <f t="shared" si="426"/>
        <v>10323</v>
      </c>
      <c r="I13658" s="18">
        <v>9806.85</v>
      </c>
      <c r="J13658" s="27">
        <v>10323</v>
      </c>
      <c r="K13658" s="18">
        <f t="shared" si="427"/>
        <v>10323</v>
      </c>
      <c r="L13658" s="27">
        <v>9806.85</v>
      </c>
      <c r="M13658" s="36">
        <v>0</v>
      </c>
      <c r="T13658" s="41">
        <v>0</v>
      </c>
      <c r="U13658" s="41">
        <v>0</v>
      </c>
      <c r="V13658" s="42" t="s">
        <v>113</v>
      </c>
      <c r="W13658" s="42">
        <v>10323</v>
      </c>
      <c r="X13658" s="42">
        <v>10323</v>
      </c>
    </row>
    <row r="13659" spans="1:24">
      <c r="A13659" s="27" t="s">
        <v>24445</v>
      </c>
      <c r="B13659" s="28" t="s">
        <v>24288</v>
      </c>
      <c r="C13659" s="27" t="s">
        <v>24420</v>
      </c>
      <c r="D13659" s="27" t="s">
        <v>17578</v>
      </c>
      <c r="E13659" s="29">
        <v>39142</v>
      </c>
      <c r="F13659" s="27">
        <v>7</v>
      </c>
      <c r="G13659" s="18">
        <v>3069</v>
      </c>
      <c r="H13659" s="27">
        <f t="shared" si="426"/>
        <v>3069</v>
      </c>
      <c r="I13659" s="18">
        <v>3069</v>
      </c>
      <c r="J13659" s="27">
        <v>3069</v>
      </c>
      <c r="K13659" s="18">
        <f t="shared" si="427"/>
        <v>3069</v>
      </c>
      <c r="L13659" s="27">
        <v>3069</v>
      </c>
      <c r="M13659" s="36">
        <v>0</v>
      </c>
      <c r="T13659" s="41">
        <v>0</v>
      </c>
      <c r="U13659" s="41">
        <v>0</v>
      </c>
      <c r="V13659" s="42" t="s">
        <v>113</v>
      </c>
      <c r="W13659" s="42">
        <v>3069</v>
      </c>
      <c r="X13659" s="42">
        <v>3069</v>
      </c>
    </row>
    <row r="13660" spans="1:24">
      <c r="A13660" s="27" t="s">
        <v>24446</v>
      </c>
      <c r="B13660" s="28" t="s">
        <v>24288</v>
      </c>
      <c r="C13660" s="27" t="s">
        <v>24447</v>
      </c>
      <c r="D13660" s="27" t="s">
        <v>17558</v>
      </c>
      <c r="E13660" s="29">
        <v>38991</v>
      </c>
      <c r="F13660" s="27">
        <v>7</v>
      </c>
      <c r="G13660" s="18">
        <v>9031.25</v>
      </c>
      <c r="H13660" s="27">
        <f t="shared" si="426"/>
        <v>9031.25</v>
      </c>
      <c r="I13660" s="18">
        <v>8579.69</v>
      </c>
      <c r="J13660" s="27">
        <v>9031.25</v>
      </c>
      <c r="K13660" s="18">
        <f t="shared" si="427"/>
        <v>9031.25</v>
      </c>
      <c r="L13660" s="27">
        <v>8579.69</v>
      </c>
      <c r="M13660" s="36">
        <v>0</v>
      </c>
      <c r="T13660" s="41">
        <v>0</v>
      </c>
      <c r="U13660" s="41">
        <v>0</v>
      </c>
      <c r="V13660" s="42" t="s">
        <v>113</v>
      </c>
      <c r="W13660" s="42">
        <v>9031.25</v>
      </c>
      <c r="X13660" s="42">
        <v>9031.25</v>
      </c>
    </row>
    <row r="13661" spans="1:24">
      <c r="A13661" s="27" t="s">
        <v>24448</v>
      </c>
      <c r="B13661" s="28" t="s">
        <v>24288</v>
      </c>
      <c r="C13661" s="27" t="s">
        <v>24230</v>
      </c>
      <c r="D13661" s="27" t="s">
        <v>17558</v>
      </c>
      <c r="E13661" s="29">
        <v>38991</v>
      </c>
      <c r="F13661" s="27">
        <v>7</v>
      </c>
      <c r="G13661" s="18">
        <v>3346.88</v>
      </c>
      <c r="H13661" s="27">
        <f t="shared" si="426"/>
        <v>3346.88</v>
      </c>
      <c r="I13661" s="18">
        <v>3346.88</v>
      </c>
      <c r="J13661" s="27">
        <v>3346.88</v>
      </c>
      <c r="K13661" s="18">
        <f t="shared" si="427"/>
        <v>3346.88</v>
      </c>
      <c r="L13661" s="27">
        <v>3346.88</v>
      </c>
      <c r="M13661" s="36">
        <v>0</v>
      </c>
      <c r="T13661" s="41">
        <v>0</v>
      </c>
      <c r="U13661" s="41">
        <v>0</v>
      </c>
      <c r="V13661" s="42" t="s">
        <v>113</v>
      </c>
      <c r="W13661" s="42">
        <v>3346.88</v>
      </c>
      <c r="X13661" s="42">
        <v>3346.88</v>
      </c>
    </row>
    <row r="13662" spans="1:24">
      <c r="A13662" s="27" t="s">
        <v>24449</v>
      </c>
      <c r="B13662" s="28" t="s">
        <v>24288</v>
      </c>
      <c r="C13662" s="27" t="s">
        <v>20155</v>
      </c>
      <c r="D13662" s="27" t="s">
        <v>17558</v>
      </c>
      <c r="E13662" s="29">
        <v>39142</v>
      </c>
      <c r="F13662" s="27">
        <v>7</v>
      </c>
      <c r="G13662" s="18">
        <v>5192.5</v>
      </c>
      <c r="H13662" s="27">
        <f t="shared" si="426"/>
        <v>5192.5</v>
      </c>
      <c r="I13662" s="18">
        <v>4932.87</v>
      </c>
      <c r="J13662" s="27">
        <v>5192.5</v>
      </c>
      <c r="K13662" s="18">
        <f t="shared" si="427"/>
        <v>5192.5</v>
      </c>
      <c r="L13662" s="27">
        <v>4932.87</v>
      </c>
      <c r="M13662" s="36">
        <v>0</v>
      </c>
      <c r="T13662" s="41">
        <v>0</v>
      </c>
      <c r="U13662" s="41">
        <v>0</v>
      </c>
      <c r="V13662" s="42" t="s">
        <v>113</v>
      </c>
      <c r="W13662" s="42">
        <v>5192.5</v>
      </c>
      <c r="X13662" s="42">
        <v>5192.5</v>
      </c>
    </row>
    <row r="13663" spans="1:24">
      <c r="A13663" s="27" t="s">
        <v>24450</v>
      </c>
      <c r="B13663" s="28" t="s">
        <v>24288</v>
      </c>
      <c r="C13663" s="27" t="s">
        <v>24451</v>
      </c>
      <c r="D13663" s="27" t="s">
        <v>17558</v>
      </c>
      <c r="E13663" s="29">
        <v>38991</v>
      </c>
      <c r="F13663" s="27">
        <v>7</v>
      </c>
      <c r="G13663" s="18">
        <v>990.11</v>
      </c>
      <c r="H13663" s="27">
        <f t="shared" si="426"/>
        <v>990.11</v>
      </c>
      <c r="I13663" s="18">
        <v>990.11</v>
      </c>
      <c r="J13663" s="27">
        <v>990.11</v>
      </c>
      <c r="K13663" s="18">
        <f t="shared" si="427"/>
        <v>990.11</v>
      </c>
      <c r="L13663" s="27">
        <v>990.11</v>
      </c>
      <c r="M13663" s="36">
        <v>0</v>
      </c>
      <c r="T13663" s="41">
        <v>0</v>
      </c>
      <c r="U13663" s="41">
        <v>0</v>
      </c>
      <c r="V13663" s="42" t="s">
        <v>113</v>
      </c>
      <c r="W13663" s="42">
        <v>990.11</v>
      </c>
      <c r="X13663" s="42">
        <v>990.11</v>
      </c>
    </row>
    <row r="13664" spans="1:24">
      <c r="A13664" s="27" t="s">
        <v>24452</v>
      </c>
      <c r="B13664" s="28" t="s">
        <v>24288</v>
      </c>
      <c r="C13664" s="27" t="s">
        <v>22486</v>
      </c>
      <c r="D13664" s="27" t="s">
        <v>17558</v>
      </c>
      <c r="E13664" s="29">
        <v>38991</v>
      </c>
      <c r="F13664" s="27">
        <v>7</v>
      </c>
      <c r="G13664" s="18">
        <v>5312.5</v>
      </c>
      <c r="H13664" s="27">
        <f t="shared" si="426"/>
        <v>5312.5</v>
      </c>
      <c r="I13664" s="18">
        <v>5046.87</v>
      </c>
      <c r="J13664" s="27">
        <v>5312.5</v>
      </c>
      <c r="K13664" s="18">
        <f t="shared" si="427"/>
        <v>5312.5</v>
      </c>
      <c r="L13664" s="27">
        <v>5046.87</v>
      </c>
      <c r="M13664" s="36">
        <v>0</v>
      </c>
      <c r="T13664" s="41">
        <v>0</v>
      </c>
      <c r="U13664" s="41">
        <v>0</v>
      </c>
      <c r="V13664" s="42" t="s">
        <v>113</v>
      </c>
      <c r="W13664" s="42">
        <v>5312.5</v>
      </c>
      <c r="X13664" s="42">
        <v>5312.5</v>
      </c>
    </row>
    <row r="13665" spans="1:24">
      <c r="A13665" s="27" t="s">
        <v>24453</v>
      </c>
      <c r="B13665" s="28" t="s">
        <v>24288</v>
      </c>
      <c r="C13665" s="27" t="s">
        <v>24381</v>
      </c>
      <c r="D13665" s="27" t="s">
        <v>17558</v>
      </c>
      <c r="E13665" s="29">
        <v>38991</v>
      </c>
      <c r="F13665" s="27">
        <v>7</v>
      </c>
      <c r="G13665" s="18">
        <v>1325.11</v>
      </c>
      <c r="H13665" s="27">
        <f t="shared" si="426"/>
        <v>1325.11</v>
      </c>
      <c r="I13665" s="18">
        <v>1325.11</v>
      </c>
      <c r="J13665" s="27">
        <v>1325.11</v>
      </c>
      <c r="K13665" s="18">
        <f t="shared" si="427"/>
        <v>1325.11</v>
      </c>
      <c r="L13665" s="27">
        <v>1325.11</v>
      </c>
      <c r="M13665" s="36">
        <v>0</v>
      </c>
      <c r="T13665" s="41">
        <v>0</v>
      </c>
      <c r="U13665" s="41">
        <v>0</v>
      </c>
      <c r="V13665" s="42" t="s">
        <v>113</v>
      </c>
      <c r="W13665" s="42">
        <v>1325.11</v>
      </c>
      <c r="X13665" s="42">
        <v>1325.11</v>
      </c>
    </row>
    <row r="13666" spans="1:24">
      <c r="A13666" s="27" t="s">
        <v>24454</v>
      </c>
      <c r="B13666" s="28" t="s">
        <v>24288</v>
      </c>
      <c r="C13666" s="27" t="s">
        <v>24455</v>
      </c>
      <c r="D13666" s="27" t="s">
        <v>17558</v>
      </c>
      <c r="E13666" s="29">
        <v>39052</v>
      </c>
      <c r="F13666" s="27">
        <v>7</v>
      </c>
      <c r="G13666" s="18">
        <v>1413.75</v>
      </c>
      <c r="H13666" s="27">
        <f t="shared" si="426"/>
        <v>1413.75</v>
      </c>
      <c r="I13666" s="18">
        <v>1413.75</v>
      </c>
      <c r="J13666" s="27">
        <v>1413.75</v>
      </c>
      <c r="K13666" s="18">
        <f t="shared" si="427"/>
        <v>1413.75</v>
      </c>
      <c r="L13666" s="27">
        <v>1413.75</v>
      </c>
      <c r="M13666" s="36">
        <v>0</v>
      </c>
      <c r="T13666" s="41">
        <v>0</v>
      </c>
      <c r="U13666" s="41">
        <v>0</v>
      </c>
      <c r="V13666" s="42" t="s">
        <v>113</v>
      </c>
      <c r="W13666" s="42">
        <v>1413.75</v>
      </c>
      <c r="X13666" s="42">
        <v>1413.75</v>
      </c>
    </row>
    <row r="13667" spans="1:24">
      <c r="A13667" s="27" t="s">
        <v>24456</v>
      </c>
      <c r="B13667" s="28" t="s">
        <v>24288</v>
      </c>
      <c r="C13667" s="27" t="s">
        <v>24289</v>
      </c>
      <c r="D13667" s="27" t="s">
        <v>17558</v>
      </c>
      <c r="E13667" s="29">
        <v>38322</v>
      </c>
      <c r="F13667" s="27">
        <v>7</v>
      </c>
      <c r="G13667" s="18">
        <v>4000</v>
      </c>
      <c r="H13667" s="27">
        <f t="shared" si="426"/>
        <v>4000</v>
      </c>
      <c r="I13667" s="18">
        <v>4000</v>
      </c>
      <c r="J13667" s="27">
        <v>4000</v>
      </c>
      <c r="K13667" s="18">
        <f t="shared" si="427"/>
        <v>4000</v>
      </c>
      <c r="L13667" s="27">
        <v>4000</v>
      </c>
      <c r="M13667" s="36">
        <v>0</v>
      </c>
      <c r="T13667" s="41">
        <v>0</v>
      </c>
      <c r="U13667" s="41">
        <v>0</v>
      </c>
      <c r="V13667" s="42" t="s">
        <v>113</v>
      </c>
      <c r="W13667" s="42">
        <v>4000</v>
      </c>
      <c r="X13667" s="42">
        <v>4000</v>
      </c>
    </row>
    <row r="13668" spans="1:24">
      <c r="A13668" s="27" t="s">
        <v>24457</v>
      </c>
      <c r="B13668" s="28" t="s">
        <v>24288</v>
      </c>
      <c r="C13668" s="27" t="s">
        <v>24364</v>
      </c>
      <c r="D13668" s="27" t="s">
        <v>17578</v>
      </c>
      <c r="E13668" s="29">
        <v>39539</v>
      </c>
      <c r="F13668" s="27">
        <v>7</v>
      </c>
      <c r="G13668" s="18">
        <v>5800</v>
      </c>
      <c r="H13668" s="27">
        <f t="shared" si="426"/>
        <v>5800</v>
      </c>
      <c r="I13668" s="18">
        <v>5510</v>
      </c>
      <c r="J13668" s="27">
        <v>5800</v>
      </c>
      <c r="K13668" s="18">
        <f t="shared" si="427"/>
        <v>5800</v>
      </c>
      <c r="L13668" s="27">
        <v>5510</v>
      </c>
      <c r="M13668" s="36">
        <v>0</v>
      </c>
      <c r="T13668" s="41">
        <v>0</v>
      </c>
      <c r="U13668" s="41">
        <v>0</v>
      </c>
      <c r="V13668" s="42" t="s">
        <v>113</v>
      </c>
      <c r="W13668" s="42">
        <v>5800</v>
      </c>
      <c r="X13668" s="42">
        <v>5800</v>
      </c>
    </row>
    <row r="13669" spans="1:24">
      <c r="A13669" s="27" t="s">
        <v>24458</v>
      </c>
      <c r="B13669" s="28" t="s">
        <v>24288</v>
      </c>
      <c r="C13669" s="27" t="s">
        <v>24362</v>
      </c>
      <c r="D13669" s="27" t="s">
        <v>17558</v>
      </c>
      <c r="E13669" s="29">
        <v>37591</v>
      </c>
      <c r="F13669" s="27">
        <v>7</v>
      </c>
      <c r="G13669" s="18">
        <v>3282.5</v>
      </c>
      <c r="H13669" s="27">
        <f t="shared" si="426"/>
        <v>3282.5</v>
      </c>
      <c r="I13669" s="18">
        <v>3282.5</v>
      </c>
      <c r="J13669" s="27">
        <v>3282.5</v>
      </c>
      <c r="K13669" s="18">
        <f t="shared" si="427"/>
        <v>3282.5</v>
      </c>
      <c r="L13669" s="27">
        <v>3282.5</v>
      </c>
      <c r="M13669" s="36">
        <v>0</v>
      </c>
      <c r="T13669" s="41">
        <v>0</v>
      </c>
      <c r="U13669" s="41">
        <v>0</v>
      </c>
      <c r="V13669" s="42" t="s">
        <v>113</v>
      </c>
      <c r="W13669" s="42">
        <v>3282.5</v>
      </c>
      <c r="X13669" s="42">
        <v>3282.5</v>
      </c>
    </row>
    <row r="13670" spans="1:24">
      <c r="A13670" s="27" t="s">
        <v>24459</v>
      </c>
      <c r="B13670" s="28" t="s">
        <v>24288</v>
      </c>
      <c r="C13670" s="27" t="s">
        <v>24383</v>
      </c>
      <c r="D13670" s="27" t="s">
        <v>17578</v>
      </c>
      <c r="E13670" s="29">
        <v>37226</v>
      </c>
      <c r="F13670" s="27">
        <v>7</v>
      </c>
      <c r="G13670" s="18">
        <v>1695.6</v>
      </c>
      <c r="H13670" s="27">
        <f t="shared" si="426"/>
        <v>1695.6</v>
      </c>
      <c r="I13670" s="18">
        <v>1695.6</v>
      </c>
      <c r="J13670" s="27">
        <v>1695.6</v>
      </c>
      <c r="K13670" s="18">
        <f t="shared" si="427"/>
        <v>1695.6</v>
      </c>
      <c r="L13670" s="27">
        <v>1695.6</v>
      </c>
      <c r="M13670" s="36">
        <v>0</v>
      </c>
      <c r="T13670" s="41">
        <v>0</v>
      </c>
      <c r="U13670" s="41">
        <v>0</v>
      </c>
      <c r="V13670" s="42" t="s">
        <v>113</v>
      </c>
      <c r="W13670" s="42">
        <v>1695.6</v>
      </c>
      <c r="X13670" s="42">
        <v>1695.6</v>
      </c>
    </row>
    <row r="13671" spans="1:24">
      <c r="A13671" s="27" t="s">
        <v>24460</v>
      </c>
      <c r="B13671" s="28" t="s">
        <v>24288</v>
      </c>
      <c r="C13671" s="27" t="s">
        <v>24383</v>
      </c>
      <c r="D13671" s="27" t="s">
        <v>17578</v>
      </c>
      <c r="E13671" s="29">
        <v>37226</v>
      </c>
      <c r="F13671" s="27">
        <v>7</v>
      </c>
      <c r="G13671" s="18">
        <v>1673.75</v>
      </c>
      <c r="H13671" s="27">
        <f t="shared" si="426"/>
        <v>1673.75</v>
      </c>
      <c r="I13671" s="18">
        <v>1673.75</v>
      </c>
      <c r="J13671" s="27">
        <v>1673.75</v>
      </c>
      <c r="K13671" s="18">
        <f t="shared" si="427"/>
        <v>1673.75</v>
      </c>
      <c r="L13671" s="27">
        <v>1673.75</v>
      </c>
      <c r="M13671" s="36">
        <v>0</v>
      </c>
      <c r="T13671" s="41">
        <v>0</v>
      </c>
      <c r="U13671" s="41">
        <v>0</v>
      </c>
      <c r="V13671" s="42" t="s">
        <v>113</v>
      </c>
      <c r="W13671" s="42">
        <v>1673.75</v>
      </c>
      <c r="X13671" s="42">
        <v>1673.75</v>
      </c>
    </row>
    <row r="13672" spans="1:24">
      <c r="A13672" s="27" t="s">
        <v>24461</v>
      </c>
      <c r="B13672" s="28" t="s">
        <v>24288</v>
      </c>
      <c r="C13672" s="27" t="s">
        <v>22486</v>
      </c>
      <c r="D13672" s="27" t="s">
        <v>17578</v>
      </c>
      <c r="E13672" s="29">
        <v>39417</v>
      </c>
      <c r="F13672" s="27">
        <v>7</v>
      </c>
      <c r="G13672" s="18">
        <v>12000</v>
      </c>
      <c r="H13672" s="27">
        <f t="shared" si="426"/>
        <v>12000</v>
      </c>
      <c r="I13672" s="18">
        <v>11400</v>
      </c>
      <c r="J13672" s="27">
        <v>12000</v>
      </c>
      <c r="K13672" s="18">
        <f t="shared" si="427"/>
        <v>12000</v>
      </c>
      <c r="L13672" s="27">
        <v>11400</v>
      </c>
      <c r="M13672" s="36">
        <v>0</v>
      </c>
      <c r="T13672" s="41">
        <v>0</v>
      </c>
      <c r="U13672" s="41">
        <v>0</v>
      </c>
      <c r="V13672" s="42" t="s">
        <v>113</v>
      </c>
      <c r="W13672" s="42">
        <v>12000</v>
      </c>
      <c r="X13672" s="42">
        <v>12000</v>
      </c>
    </row>
    <row r="13673" spans="1:24">
      <c r="A13673" s="27" t="s">
        <v>24462</v>
      </c>
      <c r="B13673" s="28" t="s">
        <v>24288</v>
      </c>
      <c r="C13673" s="27" t="s">
        <v>24375</v>
      </c>
      <c r="D13673" s="27" t="s">
        <v>17578</v>
      </c>
      <c r="E13673" s="29">
        <v>39417</v>
      </c>
      <c r="F13673" s="27">
        <v>7</v>
      </c>
      <c r="G13673" s="18">
        <v>2000</v>
      </c>
      <c r="H13673" s="27">
        <f t="shared" si="426"/>
        <v>2000</v>
      </c>
      <c r="I13673" s="18">
        <v>2000</v>
      </c>
      <c r="J13673" s="27">
        <v>2000</v>
      </c>
      <c r="K13673" s="18">
        <f t="shared" si="427"/>
        <v>2000</v>
      </c>
      <c r="L13673" s="27">
        <v>2000</v>
      </c>
      <c r="M13673" s="36">
        <v>0</v>
      </c>
      <c r="T13673" s="41">
        <v>0</v>
      </c>
      <c r="U13673" s="41">
        <v>0</v>
      </c>
      <c r="V13673" s="42" t="s">
        <v>113</v>
      </c>
      <c r="W13673" s="42">
        <v>2000</v>
      </c>
      <c r="X13673" s="42">
        <v>2000</v>
      </c>
    </row>
    <row r="13674" spans="1:24">
      <c r="A13674" s="27" t="s">
        <v>24463</v>
      </c>
      <c r="B13674" s="28" t="s">
        <v>24288</v>
      </c>
      <c r="C13674" s="27" t="s">
        <v>23335</v>
      </c>
      <c r="D13674" s="27" t="s">
        <v>17558</v>
      </c>
      <c r="E13674" s="29">
        <v>38322</v>
      </c>
      <c r="F13674" s="27">
        <v>7</v>
      </c>
      <c r="G13674" s="18">
        <v>32000</v>
      </c>
      <c r="H13674" s="27">
        <f t="shared" si="426"/>
        <v>32000</v>
      </c>
      <c r="I13674" s="18">
        <v>30400</v>
      </c>
      <c r="J13674" s="27">
        <v>32000</v>
      </c>
      <c r="K13674" s="18">
        <f t="shared" si="427"/>
        <v>32000</v>
      </c>
      <c r="L13674" s="27">
        <v>30400</v>
      </c>
      <c r="M13674" s="36">
        <v>0</v>
      </c>
      <c r="T13674" s="41">
        <v>0</v>
      </c>
      <c r="U13674" s="41">
        <v>0</v>
      </c>
      <c r="V13674" s="42" t="s">
        <v>113</v>
      </c>
      <c r="W13674" s="42">
        <v>32000</v>
      </c>
      <c r="X13674" s="42">
        <v>32000</v>
      </c>
    </row>
    <row r="13675" spans="1:24">
      <c r="A13675" s="27" t="s">
        <v>24464</v>
      </c>
      <c r="B13675" s="28" t="s">
        <v>24288</v>
      </c>
      <c r="C13675" s="27" t="s">
        <v>24362</v>
      </c>
      <c r="D13675" s="27" t="s">
        <v>17578</v>
      </c>
      <c r="E13675" s="29">
        <v>37591</v>
      </c>
      <c r="F13675" s="27">
        <v>7</v>
      </c>
      <c r="G13675" s="18">
        <v>349541.26</v>
      </c>
      <c r="H13675" s="27">
        <f t="shared" si="426"/>
        <v>349541.26</v>
      </c>
      <c r="I13675" s="18">
        <v>349488.51</v>
      </c>
      <c r="J13675" s="27">
        <v>349541.26</v>
      </c>
      <c r="K13675" s="18">
        <f t="shared" si="427"/>
        <v>349541.26</v>
      </c>
      <c r="L13675" s="27">
        <v>332064.2</v>
      </c>
      <c r="M13675" s="36">
        <v>-17424.310000000001</v>
      </c>
      <c r="T13675" s="41">
        <v>0</v>
      </c>
      <c r="U13675" s="41">
        <v>0</v>
      </c>
      <c r="V13675" s="42" t="s">
        <v>113</v>
      </c>
      <c r="W13675" s="42">
        <v>349541.26</v>
      </c>
      <c r="X13675" s="42">
        <v>349541.26</v>
      </c>
    </row>
    <row r="13676" spans="1:24">
      <c r="A13676" s="27" t="s">
        <v>24465</v>
      </c>
      <c r="B13676" s="28" t="s">
        <v>24288</v>
      </c>
      <c r="C13676" s="27" t="s">
        <v>22486</v>
      </c>
      <c r="D13676" s="27" t="s">
        <v>17558</v>
      </c>
      <c r="E13676" s="29">
        <v>39417</v>
      </c>
      <c r="F13676" s="27">
        <v>7</v>
      </c>
      <c r="G13676" s="18">
        <v>5000</v>
      </c>
      <c r="H13676" s="27">
        <f t="shared" si="426"/>
        <v>5000</v>
      </c>
      <c r="I13676" s="18">
        <v>5000</v>
      </c>
      <c r="J13676" s="27">
        <v>5000</v>
      </c>
      <c r="K13676" s="18">
        <f t="shared" si="427"/>
        <v>5000</v>
      </c>
      <c r="L13676" s="27">
        <v>5000</v>
      </c>
      <c r="M13676" s="36">
        <v>0</v>
      </c>
      <c r="T13676" s="41">
        <v>0</v>
      </c>
      <c r="U13676" s="41">
        <v>0</v>
      </c>
      <c r="V13676" s="42" t="s">
        <v>113</v>
      </c>
      <c r="W13676" s="42">
        <v>5000</v>
      </c>
      <c r="X13676" s="42">
        <v>5000</v>
      </c>
    </row>
    <row r="13677" spans="1:24">
      <c r="A13677" s="27" t="s">
        <v>24466</v>
      </c>
      <c r="B13677" s="28" t="s">
        <v>24288</v>
      </c>
      <c r="C13677" s="27" t="s">
        <v>22730</v>
      </c>
      <c r="D13677" s="27" t="s">
        <v>17558</v>
      </c>
      <c r="E13677" s="29">
        <v>39417</v>
      </c>
      <c r="F13677" s="27">
        <v>7</v>
      </c>
      <c r="G13677" s="18">
        <v>1140</v>
      </c>
      <c r="H13677" s="27">
        <f t="shared" si="426"/>
        <v>1140</v>
      </c>
      <c r="I13677" s="18">
        <v>1140</v>
      </c>
      <c r="J13677" s="27">
        <v>1140</v>
      </c>
      <c r="K13677" s="18">
        <f t="shared" si="427"/>
        <v>1140</v>
      </c>
      <c r="L13677" s="27">
        <v>1140</v>
      </c>
      <c r="M13677" s="36">
        <v>0</v>
      </c>
      <c r="T13677" s="41">
        <v>0</v>
      </c>
      <c r="U13677" s="41">
        <v>0</v>
      </c>
      <c r="V13677" s="42" t="s">
        <v>113</v>
      </c>
      <c r="W13677" s="42">
        <v>1140</v>
      </c>
      <c r="X13677" s="42">
        <v>1140</v>
      </c>
    </row>
    <row r="13678" spans="1:24">
      <c r="A13678" s="27" t="s">
        <v>24467</v>
      </c>
      <c r="B13678" s="28" t="s">
        <v>24288</v>
      </c>
      <c r="C13678" s="27" t="s">
        <v>22730</v>
      </c>
      <c r="D13678" s="27" t="s">
        <v>17558</v>
      </c>
      <c r="E13678" s="29">
        <v>39417</v>
      </c>
      <c r="F13678" s="27">
        <v>7</v>
      </c>
      <c r="G13678" s="18">
        <v>1140</v>
      </c>
      <c r="H13678" s="27">
        <f t="shared" si="426"/>
        <v>1140</v>
      </c>
      <c r="I13678" s="18">
        <v>1140</v>
      </c>
      <c r="J13678" s="27">
        <v>1140</v>
      </c>
      <c r="K13678" s="18">
        <f t="shared" si="427"/>
        <v>1140</v>
      </c>
      <c r="L13678" s="27">
        <v>1140</v>
      </c>
      <c r="M13678" s="36">
        <v>0</v>
      </c>
      <c r="T13678" s="41">
        <v>0</v>
      </c>
      <c r="U13678" s="41">
        <v>0</v>
      </c>
      <c r="V13678" s="42" t="s">
        <v>113</v>
      </c>
      <c r="W13678" s="42">
        <v>1140</v>
      </c>
      <c r="X13678" s="42">
        <v>1140</v>
      </c>
    </row>
    <row r="13679" spans="1:24">
      <c r="A13679" s="27" t="s">
        <v>24468</v>
      </c>
      <c r="B13679" s="28" t="s">
        <v>24288</v>
      </c>
      <c r="C13679" s="27" t="s">
        <v>24469</v>
      </c>
      <c r="D13679" s="27" t="s">
        <v>17578</v>
      </c>
      <c r="E13679" s="29">
        <v>36526</v>
      </c>
      <c r="F13679" s="27">
        <v>7</v>
      </c>
      <c r="G13679" s="18">
        <v>762.88</v>
      </c>
      <c r="H13679" s="27">
        <f t="shared" si="426"/>
        <v>762.88</v>
      </c>
      <c r="I13679" s="18">
        <v>762.88</v>
      </c>
      <c r="J13679" s="27">
        <v>762.88</v>
      </c>
      <c r="K13679" s="18">
        <f t="shared" si="427"/>
        <v>762.88</v>
      </c>
      <c r="L13679" s="27">
        <v>762.88</v>
      </c>
      <c r="M13679" s="36">
        <v>0</v>
      </c>
      <c r="T13679" s="41">
        <v>0</v>
      </c>
      <c r="U13679" s="41">
        <v>0</v>
      </c>
      <c r="V13679" s="42" t="s">
        <v>113</v>
      </c>
      <c r="W13679" s="42">
        <v>762.88</v>
      </c>
      <c r="X13679" s="42">
        <v>762.88</v>
      </c>
    </row>
    <row r="13680" spans="1:24">
      <c r="A13680" s="27" t="s">
        <v>24470</v>
      </c>
      <c r="B13680" s="28" t="s">
        <v>24288</v>
      </c>
      <c r="C13680" s="27" t="s">
        <v>24375</v>
      </c>
      <c r="D13680" s="27" t="s">
        <v>17578</v>
      </c>
      <c r="E13680" s="29">
        <v>39417</v>
      </c>
      <c r="F13680" s="27">
        <v>7</v>
      </c>
      <c r="G13680" s="18">
        <v>2000</v>
      </c>
      <c r="H13680" s="27">
        <f t="shared" si="426"/>
        <v>2000</v>
      </c>
      <c r="I13680" s="18">
        <v>2000</v>
      </c>
      <c r="J13680" s="27">
        <v>2000</v>
      </c>
      <c r="K13680" s="18">
        <f t="shared" si="427"/>
        <v>2000</v>
      </c>
      <c r="L13680" s="27">
        <v>2000</v>
      </c>
      <c r="M13680" s="36">
        <v>0</v>
      </c>
      <c r="T13680" s="41">
        <v>0</v>
      </c>
      <c r="U13680" s="41">
        <v>0</v>
      </c>
      <c r="V13680" s="42" t="s">
        <v>113</v>
      </c>
      <c r="W13680" s="42">
        <v>2000</v>
      </c>
      <c r="X13680" s="42">
        <v>2000</v>
      </c>
    </row>
    <row r="13681" spans="1:24">
      <c r="A13681" s="27" t="s">
        <v>24471</v>
      </c>
      <c r="B13681" s="28" t="s">
        <v>24288</v>
      </c>
      <c r="C13681" s="27" t="s">
        <v>22486</v>
      </c>
      <c r="D13681" s="27" t="s">
        <v>17578</v>
      </c>
      <c r="E13681" s="29">
        <v>39417</v>
      </c>
      <c r="F13681" s="27">
        <v>7</v>
      </c>
      <c r="G13681" s="18">
        <v>6000</v>
      </c>
      <c r="H13681" s="27">
        <f t="shared" si="426"/>
        <v>6000</v>
      </c>
      <c r="I13681" s="18">
        <v>5700</v>
      </c>
      <c r="J13681" s="27">
        <v>6000</v>
      </c>
      <c r="K13681" s="18">
        <f t="shared" si="427"/>
        <v>6000</v>
      </c>
      <c r="L13681" s="27">
        <v>5700</v>
      </c>
      <c r="M13681" s="36">
        <v>0</v>
      </c>
      <c r="T13681" s="41">
        <v>0</v>
      </c>
      <c r="U13681" s="41">
        <v>0</v>
      </c>
      <c r="V13681" s="42" t="s">
        <v>113</v>
      </c>
      <c r="W13681" s="42">
        <v>6000</v>
      </c>
      <c r="X13681" s="42">
        <v>6000</v>
      </c>
    </row>
    <row r="13682" spans="1:24">
      <c r="A13682" s="27" t="s">
        <v>24472</v>
      </c>
      <c r="B13682" s="28" t="s">
        <v>24288</v>
      </c>
      <c r="C13682" s="27" t="s">
        <v>22730</v>
      </c>
      <c r="D13682" s="27" t="s">
        <v>17578</v>
      </c>
      <c r="E13682" s="29">
        <v>39417</v>
      </c>
      <c r="F13682" s="27">
        <v>7</v>
      </c>
      <c r="G13682" s="18">
        <v>1140</v>
      </c>
      <c r="H13682" s="27">
        <f t="shared" si="426"/>
        <v>1140</v>
      </c>
      <c r="I13682" s="18">
        <v>1140</v>
      </c>
      <c r="J13682" s="27">
        <v>1140</v>
      </c>
      <c r="K13682" s="18">
        <f t="shared" si="427"/>
        <v>1140</v>
      </c>
      <c r="L13682" s="27">
        <v>1140</v>
      </c>
      <c r="M13682" s="36">
        <v>0</v>
      </c>
      <c r="T13682" s="41">
        <v>0</v>
      </c>
      <c r="U13682" s="41">
        <v>0</v>
      </c>
      <c r="V13682" s="42" t="s">
        <v>113</v>
      </c>
      <c r="W13682" s="42">
        <v>1140</v>
      </c>
      <c r="X13682" s="42">
        <v>1140</v>
      </c>
    </row>
    <row r="13683" spans="1:24">
      <c r="A13683" s="27" t="s">
        <v>24473</v>
      </c>
      <c r="B13683" s="28" t="s">
        <v>24288</v>
      </c>
      <c r="C13683" s="27" t="s">
        <v>24474</v>
      </c>
      <c r="D13683" s="27" t="s">
        <v>17578</v>
      </c>
      <c r="E13683" s="29">
        <v>39173</v>
      </c>
      <c r="F13683" s="27">
        <v>7</v>
      </c>
      <c r="G13683" s="18">
        <v>4371</v>
      </c>
      <c r="H13683" s="27">
        <f t="shared" si="426"/>
        <v>4371</v>
      </c>
      <c r="I13683" s="18">
        <v>4371</v>
      </c>
      <c r="J13683" s="27">
        <v>4371</v>
      </c>
      <c r="K13683" s="18">
        <f t="shared" si="427"/>
        <v>4371</v>
      </c>
      <c r="L13683" s="27">
        <v>4371</v>
      </c>
      <c r="M13683" s="36">
        <v>0</v>
      </c>
      <c r="T13683" s="41">
        <v>0</v>
      </c>
      <c r="U13683" s="41">
        <v>0</v>
      </c>
      <c r="V13683" s="42" t="s">
        <v>113</v>
      </c>
      <c r="W13683" s="42">
        <v>4371</v>
      </c>
      <c r="X13683" s="42">
        <v>4371</v>
      </c>
    </row>
    <row r="13684" spans="1:24">
      <c r="A13684" s="27" t="s">
        <v>24475</v>
      </c>
      <c r="B13684" s="28" t="s">
        <v>24288</v>
      </c>
      <c r="C13684" s="27" t="s">
        <v>20155</v>
      </c>
      <c r="D13684" s="27" t="s">
        <v>17578</v>
      </c>
      <c r="E13684" s="29">
        <v>39173</v>
      </c>
      <c r="F13684" s="27">
        <v>7</v>
      </c>
      <c r="G13684" s="18">
        <v>5248.33</v>
      </c>
      <c r="H13684" s="27">
        <f t="shared" si="426"/>
        <v>5248.33</v>
      </c>
      <c r="I13684" s="18">
        <v>4985.91</v>
      </c>
      <c r="J13684" s="27">
        <v>5248.33</v>
      </c>
      <c r="K13684" s="18">
        <f t="shared" si="427"/>
        <v>5248.33</v>
      </c>
      <c r="L13684" s="27">
        <v>4985.91</v>
      </c>
      <c r="M13684" s="36">
        <v>0</v>
      </c>
      <c r="T13684" s="41">
        <v>0</v>
      </c>
      <c r="U13684" s="41">
        <v>0</v>
      </c>
      <c r="V13684" s="42" t="s">
        <v>113</v>
      </c>
      <c r="W13684" s="42">
        <v>5248.33</v>
      </c>
      <c r="X13684" s="42">
        <v>5248.33</v>
      </c>
    </row>
    <row r="13685" spans="1:24">
      <c r="A13685" s="27" t="s">
        <v>24476</v>
      </c>
      <c r="B13685" s="28" t="s">
        <v>24288</v>
      </c>
      <c r="C13685" s="27" t="s">
        <v>24381</v>
      </c>
      <c r="D13685" s="27" t="s">
        <v>17578</v>
      </c>
      <c r="E13685" s="29">
        <v>39417</v>
      </c>
      <c r="F13685" s="27">
        <v>7</v>
      </c>
      <c r="G13685" s="18">
        <v>1600</v>
      </c>
      <c r="H13685" s="27">
        <f t="shared" si="426"/>
        <v>1600</v>
      </c>
      <c r="I13685" s="18">
        <v>1600</v>
      </c>
      <c r="J13685" s="27">
        <v>1600</v>
      </c>
      <c r="K13685" s="18">
        <f t="shared" si="427"/>
        <v>1600</v>
      </c>
      <c r="L13685" s="27">
        <v>1600</v>
      </c>
      <c r="M13685" s="36">
        <v>0</v>
      </c>
      <c r="T13685" s="41">
        <v>0</v>
      </c>
      <c r="U13685" s="41">
        <v>0</v>
      </c>
      <c r="V13685" s="42" t="s">
        <v>113</v>
      </c>
      <c r="W13685" s="42">
        <v>1600</v>
      </c>
      <c r="X13685" s="42">
        <v>1600</v>
      </c>
    </row>
    <row r="13686" spans="1:24">
      <c r="A13686" s="27" t="s">
        <v>24477</v>
      </c>
      <c r="B13686" s="28" t="s">
        <v>24288</v>
      </c>
      <c r="C13686" s="27" t="s">
        <v>24362</v>
      </c>
      <c r="D13686" s="27" t="s">
        <v>17558</v>
      </c>
      <c r="E13686" s="29">
        <v>39417</v>
      </c>
      <c r="F13686" s="27">
        <v>7</v>
      </c>
      <c r="G13686" s="18">
        <v>5600</v>
      </c>
      <c r="H13686" s="27">
        <f t="shared" si="426"/>
        <v>5600</v>
      </c>
      <c r="I13686" s="18">
        <v>5320</v>
      </c>
      <c r="J13686" s="27">
        <v>5600</v>
      </c>
      <c r="K13686" s="18">
        <f t="shared" si="427"/>
        <v>5600</v>
      </c>
      <c r="L13686" s="27">
        <v>5320</v>
      </c>
      <c r="M13686" s="36">
        <v>0</v>
      </c>
      <c r="T13686" s="41">
        <v>0</v>
      </c>
      <c r="U13686" s="41">
        <v>0</v>
      </c>
      <c r="V13686" s="42" t="s">
        <v>113</v>
      </c>
      <c r="W13686" s="42">
        <v>5600</v>
      </c>
      <c r="X13686" s="42">
        <v>5600</v>
      </c>
    </row>
    <row r="13687" spans="1:24">
      <c r="A13687" s="27" t="s">
        <v>24478</v>
      </c>
      <c r="B13687" s="28" t="s">
        <v>24288</v>
      </c>
      <c r="C13687" s="27" t="s">
        <v>22486</v>
      </c>
      <c r="D13687" s="27" t="s">
        <v>17558</v>
      </c>
      <c r="E13687" s="29">
        <v>39417</v>
      </c>
      <c r="F13687" s="27">
        <v>7</v>
      </c>
      <c r="G13687" s="18">
        <v>4500</v>
      </c>
      <c r="H13687" s="27">
        <f t="shared" si="426"/>
        <v>4500</v>
      </c>
      <c r="I13687" s="18">
        <v>4500</v>
      </c>
      <c r="J13687" s="27">
        <v>4500</v>
      </c>
      <c r="K13687" s="18">
        <f t="shared" si="427"/>
        <v>4500</v>
      </c>
      <c r="L13687" s="27">
        <v>4500</v>
      </c>
      <c r="M13687" s="36">
        <v>0</v>
      </c>
      <c r="T13687" s="41">
        <v>0</v>
      </c>
      <c r="U13687" s="41">
        <v>0</v>
      </c>
      <c r="V13687" s="42" t="s">
        <v>113</v>
      </c>
      <c r="W13687" s="42">
        <v>4500</v>
      </c>
      <c r="X13687" s="42">
        <v>4500</v>
      </c>
    </row>
    <row r="13688" spans="1:24">
      <c r="A13688" s="27" t="s">
        <v>24479</v>
      </c>
      <c r="B13688" s="28" t="s">
        <v>24288</v>
      </c>
      <c r="C13688" s="27" t="s">
        <v>24480</v>
      </c>
      <c r="D13688" s="27" t="s">
        <v>17558</v>
      </c>
      <c r="E13688" s="29">
        <v>39783</v>
      </c>
      <c r="F13688" s="27">
        <v>7</v>
      </c>
      <c r="G13688" s="18">
        <v>18000</v>
      </c>
      <c r="H13688" s="27">
        <f t="shared" si="426"/>
        <v>18000</v>
      </c>
      <c r="I13688" s="18">
        <v>17100</v>
      </c>
      <c r="J13688" s="27">
        <v>18000</v>
      </c>
      <c r="K13688" s="18">
        <f t="shared" si="427"/>
        <v>18000</v>
      </c>
      <c r="L13688" s="27">
        <v>17100</v>
      </c>
      <c r="M13688" s="36">
        <v>0</v>
      </c>
      <c r="T13688" s="41">
        <v>0</v>
      </c>
      <c r="U13688" s="41">
        <v>0</v>
      </c>
      <c r="V13688" s="42" t="s">
        <v>113</v>
      </c>
      <c r="W13688" s="42">
        <v>18000</v>
      </c>
      <c r="X13688" s="42">
        <v>18000</v>
      </c>
    </row>
    <row r="13689" spans="1:24">
      <c r="A13689" s="27" t="s">
        <v>24481</v>
      </c>
      <c r="B13689" s="28" t="s">
        <v>24288</v>
      </c>
      <c r="C13689" s="27" t="s">
        <v>24482</v>
      </c>
      <c r="D13689" s="27" t="s">
        <v>17578</v>
      </c>
      <c r="E13689" s="29">
        <v>37347</v>
      </c>
      <c r="F13689" s="27">
        <v>7</v>
      </c>
      <c r="G13689" s="18">
        <v>2333.33</v>
      </c>
      <c r="H13689" s="27">
        <f t="shared" si="426"/>
        <v>2333.33</v>
      </c>
      <c r="I13689" s="18">
        <v>2333.33</v>
      </c>
      <c r="J13689" s="27">
        <v>2333.33</v>
      </c>
      <c r="K13689" s="18">
        <f t="shared" si="427"/>
        <v>2333.33</v>
      </c>
      <c r="L13689" s="27">
        <v>2333.33</v>
      </c>
      <c r="M13689" s="36">
        <v>0</v>
      </c>
      <c r="T13689" s="41">
        <v>0</v>
      </c>
      <c r="U13689" s="41">
        <v>0</v>
      </c>
      <c r="V13689" s="42" t="s">
        <v>113</v>
      </c>
      <c r="W13689" s="42">
        <v>2333.33</v>
      </c>
      <c r="X13689" s="42">
        <v>2333.33</v>
      </c>
    </row>
    <row r="13690" spans="1:24">
      <c r="A13690" s="27" t="s">
        <v>24483</v>
      </c>
      <c r="B13690" s="28" t="s">
        <v>24288</v>
      </c>
      <c r="C13690" s="27" t="s">
        <v>22486</v>
      </c>
      <c r="D13690" s="27" t="s">
        <v>17578</v>
      </c>
      <c r="E13690" s="29">
        <v>39417</v>
      </c>
      <c r="F13690" s="27">
        <v>7</v>
      </c>
      <c r="G13690" s="18">
        <v>30000</v>
      </c>
      <c r="H13690" s="27">
        <f t="shared" si="426"/>
        <v>30000</v>
      </c>
      <c r="I13690" s="18">
        <v>28500</v>
      </c>
      <c r="J13690" s="27">
        <v>30000</v>
      </c>
      <c r="K13690" s="18">
        <f t="shared" si="427"/>
        <v>30000</v>
      </c>
      <c r="L13690" s="27">
        <v>28500</v>
      </c>
      <c r="M13690" s="36">
        <v>0</v>
      </c>
      <c r="T13690" s="41">
        <v>0</v>
      </c>
      <c r="U13690" s="41">
        <v>0</v>
      </c>
      <c r="V13690" s="42" t="s">
        <v>113</v>
      </c>
      <c r="W13690" s="42">
        <v>30000</v>
      </c>
      <c r="X13690" s="42">
        <v>30000</v>
      </c>
    </row>
    <row r="13691" spans="1:24">
      <c r="A13691" s="27" t="s">
        <v>24484</v>
      </c>
      <c r="B13691" s="28" t="s">
        <v>24288</v>
      </c>
      <c r="C13691" s="27" t="s">
        <v>17636</v>
      </c>
      <c r="D13691" s="27" t="s">
        <v>17578</v>
      </c>
      <c r="E13691" s="29">
        <v>39417</v>
      </c>
      <c r="F13691" s="27">
        <v>7</v>
      </c>
      <c r="G13691" s="18">
        <v>9800</v>
      </c>
      <c r="H13691" s="27">
        <f t="shared" si="426"/>
        <v>9800</v>
      </c>
      <c r="I13691" s="18">
        <v>9310</v>
      </c>
      <c r="J13691" s="27">
        <v>9800</v>
      </c>
      <c r="K13691" s="18">
        <f t="shared" si="427"/>
        <v>9800</v>
      </c>
      <c r="L13691" s="27">
        <v>9310</v>
      </c>
      <c r="M13691" s="36">
        <v>0</v>
      </c>
      <c r="T13691" s="41">
        <v>0</v>
      </c>
      <c r="U13691" s="41">
        <v>0</v>
      </c>
      <c r="V13691" s="42" t="s">
        <v>113</v>
      </c>
      <c r="W13691" s="42">
        <v>9800</v>
      </c>
      <c r="X13691" s="42">
        <v>9800</v>
      </c>
    </row>
    <row r="13692" spans="1:24">
      <c r="A13692" s="27" t="s">
        <v>24485</v>
      </c>
      <c r="B13692" s="28" t="s">
        <v>24288</v>
      </c>
      <c r="C13692" s="27" t="s">
        <v>24362</v>
      </c>
      <c r="D13692" s="27" t="s">
        <v>17578</v>
      </c>
      <c r="E13692" s="29">
        <v>39417</v>
      </c>
      <c r="F13692" s="27">
        <v>7</v>
      </c>
      <c r="G13692" s="18">
        <v>3400</v>
      </c>
      <c r="H13692" s="27">
        <f t="shared" si="426"/>
        <v>3400</v>
      </c>
      <c r="I13692" s="18">
        <v>3400</v>
      </c>
      <c r="J13692" s="27">
        <v>3400</v>
      </c>
      <c r="K13692" s="18">
        <f t="shared" si="427"/>
        <v>3400</v>
      </c>
      <c r="L13692" s="27">
        <v>3400</v>
      </c>
      <c r="M13692" s="36">
        <v>0</v>
      </c>
      <c r="T13692" s="41">
        <v>0</v>
      </c>
      <c r="U13692" s="41">
        <v>0</v>
      </c>
      <c r="V13692" s="42" t="s">
        <v>113</v>
      </c>
      <c r="W13692" s="42">
        <v>3400</v>
      </c>
      <c r="X13692" s="42">
        <v>3400</v>
      </c>
    </row>
    <row r="13693" spans="1:24">
      <c r="A13693" s="27" t="s">
        <v>24486</v>
      </c>
      <c r="B13693" s="28" t="s">
        <v>24288</v>
      </c>
      <c r="C13693" s="27" t="s">
        <v>24375</v>
      </c>
      <c r="D13693" s="27" t="s">
        <v>17578</v>
      </c>
      <c r="E13693" s="29">
        <v>39417</v>
      </c>
      <c r="F13693" s="27">
        <v>7</v>
      </c>
      <c r="G13693" s="18">
        <v>2000</v>
      </c>
      <c r="H13693" s="27">
        <f t="shared" si="426"/>
        <v>2000</v>
      </c>
      <c r="I13693" s="18">
        <v>2000</v>
      </c>
      <c r="J13693" s="27">
        <v>2000</v>
      </c>
      <c r="K13693" s="18">
        <f t="shared" si="427"/>
        <v>2000</v>
      </c>
      <c r="L13693" s="27">
        <v>2000</v>
      </c>
      <c r="M13693" s="36">
        <v>0</v>
      </c>
      <c r="T13693" s="41">
        <v>0</v>
      </c>
      <c r="U13693" s="41">
        <v>0</v>
      </c>
      <c r="V13693" s="42" t="s">
        <v>113</v>
      </c>
      <c r="W13693" s="42">
        <v>2000</v>
      </c>
      <c r="X13693" s="42">
        <v>2000</v>
      </c>
    </row>
    <row r="13694" spans="1:24">
      <c r="A13694" s="27" t="s">
        <v>24487</v>
      </c>
      <c r="B13694" s="28" t="s">
        <v>24288</v>
      </c>
      <c r="C13694" s="27" t="s">
        <v>20155</v>
      </c>
      <c r="D13694" s="27" t="s">
        <v>17578</v>
      </c>
      <c r="E13694" s="29">
        <v>39142</v>
      </c>
      <c r="F13694" s="27">
        <v>7</v>
      </c>
      <c r="G13694" s="18">
        <v>5192.5</v>
      </c>
      <c r="H13694" s="27">
        <f t="shared" si="426"/>
        <v>5192.5</v>
      </c>
      <c r="I13694" s="18">
        <v>4932.87</v>
      </c>
      <c r="J13694" s="27">
        <v>5192.5</v>
      </c>
      <c r="K13694" s="18">
        <f t="shared" si="427"/>
        <v>5192.5</v>
      </c>
      <c r="L13694" s="27">
        <v>4932.87</v>
      </c>
      <c r="M13694" s="36">
        <v>0</v>
      </c>
      <c r="T13694" s="41">
        <v>0</v>
      </c>
      <c r="U13694" s="41">
        <v>0</v>
      </c>
      <c r="V13694" s="42" t="s">
        <v>113</v>
      </c>
      <c r="W13694" s="42">
        <v>5192.5</v>
      </c>
      <c r="X13694" s="42">
        <v>5192.5</v>
      </c>
    </row>
    <row r="13695" spans="1:24">
      <c r="A13695" s="27" t="s">
        <v>24488</v>
      </c>
      <c r="B13695" s="28" t="s">
        <v>24288</v>
      </c>
      <c r="C13695" s="27" t="s">
        <v>24451</v>
      </c>
      <c r="D13695" s="27" t="s">
        <v>17578</v>
      </c>
      <c r="E13695" s="29">
        <v>35704</v>
      </c>
      <c r="F13695" s="27">
        <v>7</v>
      </c>
      <c r="G13695" s="18">
        <v>498.75</v>
      </c>
      <c r="H13695" s="27">
        <f t="shared" si="426"/>
        <v>498.75</v>
      </c>
      <c r="I13695" s="18">
        <v>498.75</v>
      </c>
      <c r="J13695" s="27">
        <v>498.75</v>
      </c>
      <c r="K13695" s="18">
        <f t="shared" si="427"/>
        <v>498.75</v>
      </c>
      <c r="L13695" s="27">
        <v>498.75</v>
      </c>
      <c r="M13695" s="36">
        <v>0</v>
      </c>
      <c r="T13695" s="41">
        <v>0</v>
      </c>
      <c r="U13695" s="41">
        <v>0</v>
      </c>
      <c r="V13695" s="42" t="s">
        <v>113</v>
      </c>
      <c r="W13695" s="42">
        <v>498.75</v>
      </c>
      <c r="X13695" s="42">
        <v>498.75</v>
      </c>
    </row>
    <row r="13696" spans="1:24">
      <c r="A13696" s="27" t="s">
        <v>24489</v>
      </c>
      <c r="B13696" s="28" t="s">
        <v>24288</v>
      </c>
      <c r="C13696" s="27" t="s">
        <v>24381</v>
      </c>
      <c r="D13696" s="27" t="s">
        <v>17578</v>
      </c>
      <c r="E13696" s="29">
        <v>38991</v>
      </c>
      <c r="F13696" s="27">
        <v>7</v>
      </c>
      <c r="G13696" s="18">
        <v>1325.11</v>
      </c>
      <c r="H13696" s="27">
        <f t="shared" si="426"/>
        <v>1325.11</v>
      </c>
      <c r="I13696" s="18">
        <v>1325.11</v>
      </c>
      <c r="J13696" s="27">
        <v>1325.11</v>
      </c>
      <c r="K13696" s="18">
        <f t="shared" si="427"/>
        <v>1325.11</v>
      </c>
      <c r="L13696" s="27">
        <v>1325.11</v>
      </c>
      <c r="M13696" s="36">
        <v>0</v>
      </c>
      <c r="T13696" s="41">
        <v>0</v>
      </c>
      <c r="U13696" s="41">
        <v>0</v>
      </c>
      <c r="V13696" s="42" t="s">
        <v>113</v>
      </c>
      <c r="W13696" s="42">
        <v>1325.11</v>
      </c>
      <c r="X13696" s="42">
        <v>1325.11</v>
      </c>
    </row>
    <row r="13697" spans="1:24">
      <c r="A13697" s="27" t="s">
        <v>24490</v>
      </c>
      <c r="B13697" s="28" t="s">
        <v>24288</v>
      </c>
      <c r="C13697" s="27" t="s">
        <v>24491</v>
      </c>
      <c r="D13697" s="27" t="s">
        <v>17558</v>
      </c>
      <c r="E13697" s="29">
        <v>36495</v>
      </c>
      <c r="F13697" s="27">
        <v>7</v>
      </c>
      <c r="G13697" s="18">
        <v>1277.7</v>
      </c>
      <c r="H13697" s="27">
        <f t="shared" si="426"/>
        <v>1277.7</v>
      </c>
      <c r="I13697" s="18">
        <v>1277.7</v>
      </c>
      <c r="J13697" s="27">
        <v>1277.7</v>
      </c>
      <c r="K13697" s="18">
        <f t="shared" si="427"/>
        <v>1277.7</v>
      </c>
      <c r="L13697" s="27">
        <v>1277.7</v>
      </c>
      <c r="M13697" s="36">
        <v>0</v>
      </c>
      <c r="T13697" s="41">
        <v>0</v>
      </c>
      <c r="U13697" s="41">
        <v>0</v>
      </c>
      <c r="V13697" s="42" t="s">
        <v>113</v>
      </c>
      <c r="W13697" s="42">
        <v>1277.7</v>
      </c>
      <c r="X13697" s="42">
        <v>1277.7</v>
      </c>
    </row>
    <row r="13698" spans="1:24">
      <c r="A13698" s="27" t="s">
        <v>24492</v>
      </c>
      <c r="B13698" s="28" t="s">
        <v>24288</v>
      </c>
      <c r="C13698" s="27" t="s">
        <v>24362</v>
      </c>
      <c r="D13698" s="27" t="s">
        <v>17578</v>
      </c>
      <c r="E13698" s="29">
        <v>39417</v>
      </c>
      <c r="F13698" s="27">
        <v>7</v>
      </c>
      <c r="G13698" s="18">
        <v>5600</v>
      </c>
      <c r="H13698" s="27">
        <f t="shared" si="426"/>
        <v>5600</v>
      </c>
      <c r="I13698" s="18">
        <v>5320</v>
      </c>
      <c r="J13698" s="27">
        <v>5600</v>
      </c>
      <c r="K13698" s="18">
        <f t="shared" si="427"/>
        <v>5600</v>
      </c>
      <c r="L13698" s="27">
        <v>5320</v>
      </c>
      <c r="M13698" s="36">
        <v>0</v>
      </c>
      <c r="T13698" s="41">
        <v>0</v>
      </c>
      <c r="U13698" s="41">
        <v>0</v>
      </c>
      <c r="V13698" s="42" t="s">
        <v>113</v>
      </c>
      <c r="W13698" s="42">
        <v>5600</v>
      </c>
      <c r="X13698" s="42">
        <v>5600</v>
      </c>
    </row>
    <row r="13699" spans="1:24">
      <c r="A13699" s="27" t="s">
        <v>24493</v>
      </c>
      <c r="B13699" s="28" t="s">
        <v>24288</v>
      </c>
      <c r="C13699" s="27" t="s">
        <v>24362</v>
      </c>
      <c r="D13699" s="27" t="s">
        <v>17578</v>
      </c>
      <c r="E13699" s="29">
        <v>39417</v>
      </c>
      <c r="F13699" s="27">
        <v>7</v>
      </c>
      <c r="G13699" s="18">
        <v>5600</v>
      </c>
      <c r="H13699" s="27">
        <f t="shared" si="426"/>
        <v>5600</v>
      </c>
      <c r="I13699" s="18">
        <v>5320</v>
      </c>
      <c r="J13699" s="27">
        <v>5600</v>
      </c>
      <c r="K13699" s="18">
        <f t="shared" si="427"/>
        <v>5600</v>
      </c>
      <c r="L13699" s="27">
        <v>5320</v>
      </c>
      <c r="M13699" s="36">
        <v>0</v>
      </c>
      <c r="T13699" s="41">
        <v>0</v>
      </c>
      <c r="U13699" s="41">
        <v>0</v>
      </c>
      <c r="V13699" s="42" t="s">
        <v>113</v>
      </c>
      <c r="W13699" s="42">
        <v>5600</v>
      </c>
      <c r="X13699" s="42">
        <v>5600</v>
      </c>
    </row>
    <row r="13700" spans="1:24">
      <c r="A13700" s="27" t="s">
        <v>24494</v>
      </c>
      <c r="B13700" s="28" t="s">
        <v>24288</v>
      </c>
      <c r="C13700" s="27" t="s">
        <v>22486</v>
      </c>
      <c r="D13700" s="27" t="s">
        <v>17578</v>
      </c>
      <c r="E13700" s="29">
        <v>39417</v>
      </c>
      <c r="F13700" s="27">
        <v>7</v>
      </c>
      <c r="G13700" s="18">
        <v>30000</v>
      </c>
      <c r="H13700" s="27">
        <f t="shared" si="426"/>
        <v>30000</v>
      </c>
      <c r="I13700" s="18">
        <v>28500</v>
      </c>
      <c r="J13700" s="27">
        <v>30000</v>
      </c>
      <c r="K13700" s="18">
        <f t="shared" si="427"/>
        <v>30000</v>
      </c>
      <c r="L13700" s="27">
        <v>28500</v>
      </c>
      <c r="M13700" s="36">
        <v>0</v>
      </c>
      <c r="T13700" s="41">
        <v>0</v>
      </c>
      <c r="U13700" s="41">
        <v>0</v>
      </c>
      <c r="V13700" s="42" t="s">
        <v>113</v>
      </c>
      <c r="W13700" s="42">
        <v>30000</v>
      </c>
      <c r="X13700" s="42">
        <v>30000</v>
      </c>
    </row>
    <row r="13701" spans="1:24">
      <c r="A13701" s="27" t="s">
        <v>24495</v>
      </c>
      <c r="B13701" s="28" t="s">
        <v>24288</v>
      </c>
      <c r="C13701" s="27" t="s">
        <v>24375</v>
      </c>
      <c r="D13701" s="27" t="s">
        <v>17578</v>
      </c>
      <c r="E13701" s="29">
        <v>39417</v>
      </c>
      <c r="F13701" s="27">
        <v>7</v>
      </c>
      <c r="G13701" s="18">
        <v>2000</v>
      </c>
      <c r="H13701" s="27">
        <f t="shared" si="426"/>
        <v>2000</v>
      </c>
      <c r="I13701" s="18">
        <v>2000</v>
      </c>
      <c r="J13701" s="27">
        <v>2000</v>
      </c>
      <c r="K13701" s="18">
        <f t="shared" si="427"/>
        <v>2000</v>
      </c>
      <c r="L13701" s="27">
        <v>2000</v>
      </c>
      <c r="M13701" s="36">
        <v>0</v>
      </c>
      <c r="T13701" s="41">
        <v>0</v>
      </c>
      <c r="U13701" s="41">
        <v>0</v>
      </c>
      <c r="V13701" s="42" t="s">
        <v>113</v>
      </c>
      <c r="W13701" s="42">
        <v>2000</v>
      </c>
      <c r="X13701" s="42">
        <v>2000</v>
      </c>
    </row>
    <row r="13702" spans="1:24">
      <c r="A13702" s="27" t="s">
        <v>24496</v>
      </c>
      <c r="B13702" s="28" t="s">
        <v>24288</v>
      </c>
      <c r="C13702" s="27" t="s">
        <v>24381</v>
      </c>
      <c r="D13702" s="27" t="s">
        <v>17578</v>
      </c>
      <c r="E13702" s="29">
        <v>39417</v>
      </c>
      <c r="F13702" s="27">
        <v>7</v>
      </c>
      <c r="G13702" s="18">
        <v>1600</v>
      </c>
      <c r="H13702" s="27">
        <f t="shared" ref="H13702:H13765" si="428">IFERROR(IF(ROUND((G13702-I13702)/G13702,2)&lt;=0.05,G13702,0),0)</f>
        <v>1600</v>
      </c>
      <c r="I13702" s="18">
        <v>1600</v>
      </c>
      <c r="J13702" s="27">
        <v>1600</v>
      </c>
      <c r="K13702" s="18">
        <f t="shared" ref="K13702:K13765" si="429">IFERROR(IF(ROUND((J13702-L13702)/J13702,2)&lt;=0.05,J13702,0),0)</f>
        <v>1600</v>
      </c>
      <c r="L13702" s="27">
        <v>1600</v>
      </c>
      <c r="M13702" s="36">
        <v>0</v>
      </c>
      <c r="T13702" s="41">
        <v>0</v>
      </c>
      <c r="U13702" s="41">
        <v>0</v>
      </c>
      <c r="V13702" s="42" t="s">
        <v>113</v>
      </c>
      <c r="W13702" s="42">
        <v>1600</v>
      </c>
      <c r="X13702" s="42">
        <v>1600</v>
      </c>
    </row>
    <row r="13703" spans="1:24">
      <c r="A13703" s="27" t="s">
        <v>24497</v>
      </c>
      <c r="B13703" s="28" t="s">
        <v>24288</v>
      </c>
      <c r="C13703" s="27" t="s">
        <v>24362</v>
      </c>
      <c r="D13703" s="27" t="s">
        <v>17578</v>
      </c>
      <c r="E13703" s="29">
        <v>39417</v>
      </c>
      <c r="F13703" s="27">
        <v>7</v>
      </c>
      <c r="G13703" s="18">
        <v>5600</v>
      </c>
      <c r="H13703" s="27">
        <f t="shared" si="428"/>
        <v>5600</v>
      </c>
      <c r="I13703" s="18">
        <v>5320</v>
      </c>
      <c r="J13703" s="27">
        <v>5600</v>
      </c>
      <c r="K13703" s="18">
        <f t="shared" si="429"/>
        <v>5600</v>
      </c>
      <c r="L13703" s="27">
        <v>5320</v>
      </c>
      <c r="M13703" s="36">
        <v>0</v>
      </c>
      <c r="T13703" s="41">
        <v>0</v>
      </c>
      <c r="U13703" s="41">
        <v>0</v>
      </c>
      <c r="V13703" s="42" t="s">
        <v>113</v>
      </c>
      <c r="W13703" s="42">
        <v>5600</v>
      </c>
      <c r="X13703" s="42">
        <v>5600</v>
      </c>
    </row>
    <row r="13704" spans="1:24">
      <c r="A13704" s="27" t="s">
        <v>24498</v>
      </c>
      <c r="B13704" s="28" t="s">
        <v>24288</v>
      </c>
      <c r="C13704" s="27" t="s">
        <v>22486</v>
      </c>
      <c r="D13704" s="27" t="s">
        <v>17578</v>
      </c>
      <c r="E13704" s="29">
        <v>39417</v>
      </c>
      <c r="F13704" s="27">
        <v>7</v>
      </c>
      <c r="G13704" s="18">
        <v>6000</v>
      </c>
      <c r="H13704" s="27">
        <f t="shared" si="428"/>
        <v>6000</v>
      </c>
      <c r="I13704" s="18">
        <v>5700</v>
      </c>
      <c r="J13704" s="27">
        <v>6000</v>
      </c>
      <c r="K13704" s="18">
        <f t="shared" si="429"/>
        <v>6000</v>
      </c>
      <c r="L13704" s="27">
        <v>5700</v>
      </c>
      <c r="M13704" s="36">
        <v>0</v>
      </c>
      <c r="T13704" s="41">
        <v>0</v>
      </c>
      <c r="U13704" s="41">
        <v>0</v>
      </c>
      <c r="V13704" s="42" t="s">
        <v>113</v>
      </c>
      <c r="W13704" s="42">
        <v>6000</v>
      </c>
      <c r="X13704" s="42">
        <v>6000</v>
      </c>
    </row>
    <row r="13705" spans="1:24">
      <c r="A13705" s="27" t="s">
        <v>24499</v>
      </c>
      <c r="B13705" s="28" t="s">
        <v>24288</v>
      </c>
      <c r="C13705" s="27" t="s">
        <v>17636</v>
      </c>
      <c r="D13705" s="27" t="s">
        <v>17578</v>
      </c>
      <c r="E13705" s="29">
        <v>39417</v>
      </c>
      <c r="F13705" s="27">
        <v>7</v>
      </c>
      <c r="G13705" s="18">
        <v>49000</v>
      </c>
      <c r="H13705" s="27">
        <f t="shared" si="428"/>
        <v>49000</v>
      </c>
      <c r="I13705" s="18">
        <v>46550</v>
      </c>
      <c r="J13705" s="27">
        <v>49000</v>
      </c>
      <c r="K13705" s="18">
        <f t="shared" si="429"/>
        <v>49000</v>
      </c>
      <c r="L13705" s="27">
        <v>46550</v>
      </c>
      <c r="M13705" s="36">
        <v>0</v>
      </c>
      <c r="T13705" s="41">
        <v>0</v>
      </c>
      <c r="U13705" s="41">
        <v>0</v>
      </c>
      <c r="V13705" s="42" t="s">
        <v>113</v>
      </c>
      <c r="W13705" s="42">
        <v>49000</v>
      </c>
      <c r="X13705" s="42">
        <v>49000</v>
      </c>
    </row>
    <row r="13706" spans="1:24">
      <c r="A13706" s="27" t="s">
        <v>24500</v>
      </c>
      <c r="B13706" s="28" t="s">
        <v>24288</v>
      </c>
      <c r="C13706" s="27" t="s">
        <v>24362</v>
      </c>
      <c r="D13706" s="27" t="s">
        <v>17578</v>
      </c>
      <c r="E13706" s="29">
        <v>39417</v>
      </c>
      <c r="F13706" s="27">
        <v>7</v>
      </c>
      <c r="G13706" s="18">
        <v>4400</v>
      </c>
      <c r="H13706" s="27">
        <f t="shared" si="428"/>
        <v>4400</v>
      </c>
      <c r="I13706" s="18">
        <v>4400</v>
      </c>
      <c r="J13706" s="27">
        <v>4400</v>
      </c>
      <c r="K13706" s="18">
        <f t="shared" si="429"/>
        <v>4400</v>
      </c>
      <c r="L13706" s="27">
        <v>4400</v>
      </c>
      <c r="M13706" s="36">
        <v>0</v>
      </c>
      <c r="T13706" s="41">
        <v>0</v>
      </c>
      <c r="U13706" s="41">
        <v>0</v>
      </c>
      <c r="V13706" s="42" t="s">
        <v>113</v>
      </c>
      <c r="W13706" s="42">
        <v>4400</v>
      </c>
      <c r="X13706" s="42">
        <v>4400</v>
      </c>
    </row>
    <row r="13707" spans="1:24">
      <c r="A13707" s="27" t="s">
        <v>24501</v>
      </c>
      <c r="B13707" s="28" t="s">
        <v>24288</v>
      </c>
      <c r="C13707" s="27" t="s">
        <v>24208</v>
      </c>
      <c r="D13707" s="27" t="s">
        <v>17558</v>
      </c>
      <c r="E13707" s="29">
        <v>38322</v>
      </c>
      <c r="F13707" s="27">
        <v>7</v>
      </c>
      <c r="G13707" s="18">
        <v>3700</v>
      </c>
      <c r="H13707" s="27">
        <f t="shared" si="428"/>
        <v>3700</v>
      </c>
      <c r="I13707" s="18">
        <v>3700</v>
      </c>
      <c r="J13707" s="27">
        <v>3700</v>
      </c>
      <c r="K13707" s="18">
        <f t="shared" si="429"/>
        <v>3700</v>
      </c>
      <c r="L13707" s="27">
        <v>3700</v>
      </c>
      <c r="M13707" s="36">
        <v>0</v>
      </c>
      <c r="T13707" s="41">
        <v>0</v>
      </c>
      <c r="U13707" s="41">
        <v>0</v>
      </c>
      <c r="V13707" s="42" t="s">
        <v>113</v>
      </c>
      <c r="W13707" s="42">
        <v>3700</v>
      </c>
      <c r="X13707" s="42">
        <v>3700</v>
      </c>
    </row>
    <row r="13708" spans="1:24">
      <c r="A13708" s="27" t="s">
        <v>24502</v>
      </c>
      <c r="B13708" s="28" t="s">
        <v>24288</v>
      </c>
      <c r="C13708" s="27" t="s">
        <v>24503</v>
      </c>
      <c r="D13708" s="27" t="s">
        <v>17558</v>
      </c>
      <c r="E13708" s="29">
        <v>39783</v>
      </c>
      <c r="F13708" s="27">
        <v>7</v>
      </c>
      <c r="G13708" s="18">
        <v>19500</v>
      </c>
      <c r="H13708" s="27">
        <f t="shared" si="428"/>
        <v>19500</v>
      </c>
      <c r="I13708" s="18">
        <v>18525</v>
      </c>
      <c r="J13708" s="27">
        <v>19500</v>
      </c>
      <c r="K13708" s="18">
        <f t="shared" si="429"/>
        <v>19500</v>
      </c>
      <c r="L13708" s="27">
        <v>18525</v>
      </c>
      <c r="M13708" s="36">
        <v>0</v>
      </c>
      <c r="T13708" s="41">
        <v>0</v>
      </c>
      <c r="U13708" s="41">
        <v>0</v>
      </c>
      <c r="V13708" s="42" t="s">
        <v>113</v>
      </c>
      <c r="W13708" s="42">
        <v>19500</v>
      </c>
      <c r="X13708" s="42">
        <v>19500</v>
      </c>
    </row>
    <row r="13709" spans="1:24">
      <c r="A13709" s="27" t="s">
        <v>24504</v>
      </c>
      <c r="B13709" s="28" t="s">
        <v>24288</v>
      </c>
      <c r="C13709" s="27" t="s">
        <v>22486</v>
      </c>
      <c r="D13709" s="27" t="s">
        <v>17578</v>
      </c>
      <c r="E13709" s="29">
        <v>39417</v>
      </c>
      <c r="F13709" s="27">
        <v>7</v>
      </c>
      <c r="G13709" s="18">
        <v>4000</v>
      </c>
      <c r="H13709" s="27">
        <f t="shared" si="428"/>
        <v>4000</v>
      </c>
      <c r="I13709" s="18">
        <v>4000</v>
      </c>
      <c r="J13709" s="27">
        <v>4000</v>
      </c>
      <c r="K13709" s="18">
        <f t="shared" si="429"/>
        <v>4000</v>
      </c>
      <c r="L13709" s="27">
        <v>4000</v>
      </c>
      <c r="M13709" s="36">
        <v>0</v>
      </c>
      <c r="T13709" s="41">
        <v>0</v>
      </c>
      <c r="U13709" s="41">
        <v>0</v>
      </c>
      <c r="V13709" s="42" t="s">
        <v>113</v>
      </c>
      <c r="W13709" s="42">
        <v>4000</v>
      </c>
      <c r="X13709" s="42">
        <v>4000</v>
      </c>
    </row>
    <row r="13710" spans="1:24">
      <c r="A13710" s="27" t="s">
        <v>24505</v>
      </c>
      <c r="B13710" s="28" t="s">
        <v>24288</v>
      </c>
      <c r="C13710" s="27" t="s">
        <v>22730</v>
      </c>
      <c r="D13710" s="27" t="s">
        <v>17578</v>
      </c>
      <c r="E13710" s="29">
        <v>39417</v>
      </c>
      <c r="F13710" s="27">
        <v>7</v>
      </c>
      <c r="G13710" s="18">
        <v>1140</v>
      </c>
      <c r="H13710" s="27">
        <f t="shared" si="428"/>
        <v>1140</v>
      </c>
      <c r="I13710" s="18">
        <v>1140</v>
      </c>
      <c r="J13710" s="27">
        <v>1140</v>
      </c>
      <c r="K13710" s="18">
        <f t="shared" si="429"/>
        <v>1140</v>
      </c>
      <c r="L13710" s="27">
        <v>1140</v>
      </c>
      <c r="M13710" s="36">
        <v>0</v>
      </c>
      <c r="T13710" s="41">
        <v>0</v>
      </c>
      <c r="U13710" s="41">
        <v>0</v>
      </c>
      <c r="V13710" s="42" t="s">
        <v>113</v>
      </c>
      <c r="W13710" s="42">
        <v>1140</v>
      </c>
      <c r="X13710" s="42">
        <v>1140</v>
      </c>
    </row>
    <row r="13711" spans="1:24">
      <c r="A13711" s="27" t="s">
        <v>24506</v>
      </c>
      <c r="B13711" s="28" t="s">
        <v>24288</v>
      </c>
      <c r="C13711" s="27" t="s">
        <v>24507</v>
      </c>
      <c r="D13711" s="27" t="s">
        <v>17558</v>
      </c>
      <c r="E13711" s="29">
        <v>39052</v>
      </c>
      <c r="F13711" s="27">
        <v>7</v>
      </c>
      <c r="G13711" s="18">
        <v>30000</v>
      </c>
      <c r="H13711" s="27">
        <f t="shared" si="428"/>
        <v>30000</v>
      </c>
      <c r="I13711" s="18">
        <v>28500</v>
      </c>
      <c r="J13711" s="27">
        <v>30000</v>
      </c>
      <c r="K13711" s="18">
        <f t="shared" si="429"/>
        <v>30000</v>
      </c>
      <c r="L13711" s="27">
        <v>28500</v>
      </c>
      <c r="M13711" s="36">
        <v>0</v>
      </c>
      <c r="T13711" s="41">
        <v>0</v>
      </c>
      <c r="U13711" s="41">
        <v>0</v>
      </c>
      <c r="V13711" s="42" t="s">
        <v>113</v>
      </c>
      <c r="W13711" s="42">
        <v>30000</v>
      </c>
      <c r="X13711" s="42">
        <v>30000</v>
      </c>
    </row>
    <row r="13712" spans="1:24">
      <c r="A13712" s="27" t="s">
        <v>24508</v>
      </c>
      <c r="B13712" s="28" t="s">
        <v>24288</v>
      </c>
      <c r="C13712" s="27" t="s">
        <v>24509</v>
      </c>
      <c r="D13712" s="27" t="s">
        <v>17558</v>
      </c>
      <c r="E13712" s="29">
        <v>40174</v>
      </c>
      <c r="F13712" s="27">
        <v>7</v>
      </c>
      <c r="G13712" s="18">
        <v>15498</v>
      </c>
      <c r="H13712" s="27">
        <f t="shared" si="428"/>
        <v>15498</v>
      </c>
      <c r="I13712" s="18">
        <v>14723.1</v>
      </c>
      <c r="J13712" s="27">
        <v>15498</v>
      </c>
      <c r="K13712" s="18">
        <f t="shared" si="429"/>
        <v>15498</v>
      </c>
      <c r="L13712" s="27">
        <v>14723.1</v>
      </c>
      <c r="M13712" s="36">
        <v>0</v>
      </c>
      <c r="T13712" s="41">
        <v>0</v>
      </c>
      <c r="U13712" s="41">
        <v>0</v>
      </c>
      <c r="V13712" s="42" t="s">
        <v>113</v>
      </c>
      <c r="W13712" s="42">
        <v>15498</v>
      </c>
      <c r="X13712" s="42">
        <v>15498</v>
      </c>
    </row>
    <row r="13713" spans="1:24">
      <c r="A13713" s="27" t="s">
        <v>24510</v>
      </c>
      <c r="B13713" s="28" t="s">
        <v>24288</v>
      </c>
      <c r="C13713" s="27" t="s">
        <v>24509</v>
      </c>
      <c r="D13713" s="27" t="s">
        <v>17558</v>
      </c>
      <c r="E13713" s="29">
        <v>40174</v>
      </c>
      <c r="F13713" s="27">
        <v>7</v>
      </c>
      <c r="G13713" s="18">
        <v>15876</v>
      </c>
      <c r="H13713" s="27">
        <f t="shared" si="428"/>
        <v>15876</v>
      </c>
      <c r="I13713" s="18">
        <v>15082.2</v>
      </c>
      <c r="J13713" s="27">
        <v>15876</v>
      </c>
      <c r="K13713" s="18">
        <f t="shared" si="429"/>
        <v>15876</v>
      </c>
      <c r="L13713" s="27">
        <v>15082.2</v>
      </c>
      <c r="M13713" s="36">
        <v>0</v>
      </c>
      <c r="T13713" s="41">
        <v>0</v>
      </c>
      <c r="U13713" s="41">
        <v>0</v>
      </c>
      <c r="V13713" s="42" t="s">
        <v>113</v>
      </c>
      <c r="W13713" s="42">
        <v>15876</v>
      </c>
      <c r="X13713" s="42">
        <v>15876</v>
      </c>
    </row>
    <row r="13714" spans="1:24">
      <c r="A13714" s="27" t="s">
        <v>24511</v>
      </c>
      <c r="B13714" s="28" t="s">
        <v>24288</v>
      </c>
      <c r="C13714" s="27" t="s">
        <v>24512</v>
      </c>
      <c r="D13714" s="27" t="s">
        <v>17558</v>
      </c>
      <c r="E13714" s="29">
        <v>40174</v>
      </c>
      <c r="F13714" s="27">
        <v>7</v>
      </c>
      <c r="G13714" s="18">
        <v>10329</v>
      </c>
      <c r="H13714" s="27">
        <f t="shared" si="428"/>
        <v>10329</v>
      </c>
      <c r="I13714" s="18">
        <v>9812.5499999999993</v>
      </c>
      <c r="J13714" s="27">
        <v>10329</v>
      </c>
      <c r="K13714" s="18">
        <f t="shared" si="429"/>
        <v>10329</v>
      </c>
      <c r="L13714" s="27">
        <v>9812.5499999999993</v>
      </c>
      <c r="M13714" s="36">
        <v>0</v>
      </c>
      <c r="T13714" s="41">
        <v>0</v>
      </c>
      <c r="U13714" s="41">
        <v>0</v>
      </c>
      <c r="V13714" s="42" t="s">
        <v>113</v>
      </c>
      <c r="W13714" s="42">
        <v>10329</v>
      </c>
      <c r="X13714" s="42">
        <v>10329</v>
      </c>
    </row>
    <row r="13715" spans="1:24">
      <c r="A13715" s="27" t="s">
        <v>24513</v>
      </c>
      <c r="B13715" s="28" t="s">
        <v>24288</v>
      </c>
      <c r="C13715" s="27" t="s">
        <v>24514</v>
      </c>
      <c r="D13715" s="27" t="s">
        <v>17558</v>
      </c>
      <c r="E13715" s="29">
        <v>40174</v>
      </c>
      <c r="F13715" s="27">
        <v>7</v>
      </c>
      <c r="G13715" s="18">
        <v>11780</v>
      </c>
      <c r="H13715" s="27">
        <f t="shared" si="428"/>
        <v>11780</v>
      </c>
      <c r="I13715" s="18">
        <v>11191</v>
      </c>
      <c r="J13715" s="27">
        <v>11780</v>
      </c>
      <c r="K13715" s="18">
        <f t="shared" si="429"/>
        <v>11780</v>
      </c>
      <c r="L13715" s="27">
        <v>11191</v>
      </c>
      <c r="M13715" s="36">
        <v>0</v>
      </c>
      <c r="T13715" s="41">
        <v>0</v>
      </c>
      <c r="U13715" s="41">
        <v>0</v>
      </c>
      <c r="V13715" s="42" t="s">
        <v>113</v>
      </c>
      <c r="W13715" s="42">
        <v>11780</v>
      </c>
      <c r="X13715" s="42">
        <v>11780</v>
      </c>
    </row>
    <row r="13716" spans="1:24">
      <c r="A13716" s="27" t="s">
        <v>24515</v>
      </c>
      <c r="B13716" s="28" t="s">
        <v>24288</v>
      </c>
      <c r="C13716" s="27" t="s">
        <v>24516</v>
      </c>
      <c r="D13716" s="27" t="s">
        <v>17558</v>
      </c>
      <c r="E13716" s="29">
        <v>40174</v>
      </c>
      <c r="F13716" s="27">
        <v>7</v>
      </c>
      <c r="G13716" s="18">
        <v>14697</v>
      </c>
      <c r="H13716" s="27">
        <f t="shared" si="428"/>
        <v>14697</v>
      </c>
      <c r="I13716" s="18">
        <v>13962.15</v>
      </c>
      <c r="J13716" s="27">
        <v>14697</v>
      </c>
      <c r="K13716" s="18">
        <f t="shared" si="429"/>
        <v>14697</v>
      </c>
      <c r="L13716" s="27">
        <v>13962.15</v>
      </c>
      <c r="M13716" s="36">
        <v>0</v>
      </c>
      <c r="T13716" s="41">
        <v>0</v>
      </c>
      <c r="U13716" s="41">
        <v>0</v>
      </c>
      <c r="V13716" s="42" t="s">
        <v>113</v>
      </c>
      <c r="W13716" s="42">
        <v>14697</v>
      </c>
      <c r="X13716" s="42">
        <v>14697</v>
      </c>
    </row>
    <row r="13717" spans="1:24">
      <c r="A13717" s="27" t="s">
        <v>24517</v>
      </c>
      <c r="B13717" s="28" t="s">
        <v>24288</v>
      </c>
      <c r="C13717" s="27" t="s">
        <v>24518</v>
      </c>
      <c r="D13717" s="27" t="s">
        <v>17558</v>
      </c>
      <c r="E13717" s="29">
        <v>40174</v>
      </c>
      <c r="F13717" s="27">
        <v>7</v>
      </c>
      <c r="G13717" s="18">
        <v>30488</v>
      </c>
      <c r="H13717" s="27">
        <f t="shared" si="428"/>
        <v>30488</v>
      </c>
      <c r="I13717" s="18">
        <v>28963.599999999999</v>
      </c>
      <c r="J13717" s="27">
        <v>30488</v>
      </c>
      <c r="K13717" s="18">
        <f t="shared" si="429"/>
        <v>30488</v>
      </c>
      <c r="L13717" s="27">
        <v>28963.599999999999</v>
      </c>
      <c r="M13717" s="36">
        <v>0</v>
      </c>
      <c r="T13717" s="41">
        <v>0</v>
      </c>
      <c r="U13717" s="41">
        <v>0</v>
      </c>
      <c r="V13717" s="42" t="s">
        <v>113</v>
      </c>
      <c r="W13717" s="42">
        <v>30488</v>
      </c>
      <c r="X13717" s="42">
        <v>30488</v>
      </c>
    </row>
    <row r="13718" spans="1:24">
      <c r="A13718" s="27" t="s">
        <v>24519</v>
      </c>
      <c r="B13718" s="28" t="s">
        <v>24288</v>
      </c>
      <c r="C13718" s="27" t="s">
        <v>24520</v>
      </c>
      <c r="D13718" s="27" t="s">
        <v>17558</v>
      </c>
      <c r="E13718" s="29">
        <v>40174</v>
      </c>
      <c r="F13718" s="27">
        <v>7</v>
      </c>
      <c r="G13718" s="18">
        <v>4185</v>
      </c>
      <c r="H13718" s="27">
        <f t="shared" si="428"/>
        <v>4185</v>
      </c>
      <c r="I13718" s="18">
        <v>4185</v>
      </c>
      <c r="J13718" s="27">
        <v>4185</v>
      </c>
      <c r="K13718" s="18">
        <f t="shared" si="429"/>
        <v>4185</v>
      </c>
      <c r="L13718" s="27">
        <v>4185</v>
      </c>
      <c r="M13718" s="36">
        <v>0</v>
      </c>
      <c r="T13718" s="41">
        <v>0</v>
      </c>
      <c r="U13718" s="41">
        <v>0</v>
      </c>
      <c r="V13718" s="42" t="s">
        <v>113</v>
      </c>
      <c r="W13718" s="42">
        <v>4185</v>
      </c>
      <c r="X13718" s="42">
        <v>4185</v>
      </c>
    </row>
    <row r="13719" spans="1:24">
      <c r="A13719" s="27" t="s">
        <v>24521</v>
      </c>
      <c r="B13719" s="28" t="s">
        <v>24288</v>
      </c>
      <c r="C13719" s="27" t="s">
        <v>24522</v>
      </c>
      <c r="D13719" s="27" t="s">
        <v>17558</v>
      </c>
      <c r="E13719" s="29">
        <v>40174</v>
      </c>
      <c r="F13719" s="27">
        <v>7</v>
      </c>
      <c r="G13719" s="18">
        <v>14170</v>
      </c>
      <c r="H13719" s="27">
        <f t="shared" si="428"/>
        <v>14170</v>
      </c>
      <c r="I13719" s="18">
        <v>13461.5</v>
      </c>
      <c r="J13719" s="27">
        <v>14170</v>
      </c>
      <c r="K13719" s="18">
        <f t="shared" si="429"/>
        <v>14170</v>
      </c>
      <c r="L13719" s="27">
        <v>13461.5</v>
      </c>
      <c r="M13719" s="36">
        <v>0</v>
      </c>
      <c r="T13719" s="41">
        <v>0</v>
      </c>
      <c r="U13719" s="41">
        <v>0</v>
      </c>
      <c r="V13719" s="42" t="s">
        <v>113</v>
      </c>
      <c r="W13719" s="42">
        <v>14170</v>
      </c>
      <c r="X13719" s="42">
        <v>14170</v>
      </c>
    </row>
    <row r="13720" spans="1:24">
      <c r="A13720" s="27" t="s">
        <v>24523</v>
      </c>
      <c r="B13720" s="28" t="s">
        <v>24288</v>
      </c>
      <c r="C13720" s="27" t="s">
        <v>24524</v>
      </c>
      <c r="D13720" s="27" t="s">
        <v>17558</v>
      </c>
      <c r="E13720" s="29">
        <v>40174</v>
      </c>
      <c r="F13720" s="27">
        <v>7</v>
      </c>
      <c r="G13720" s="18">
        <v>7674</v>
      </c>
      <c r="H13720" s="27">
        <f t="shared" si="428"/>
        <v>7674</v>
      </c>
      <c r="I13720" s="18">
        <v>7290.3</v>
      </c>
      <c r="J13720" s="27">
        <v>7674</v>
      </c>
      <c r="K13720" s="18">
        <f t="shared" si="429"/>
        <v>7674</v>
      </c>
      <c r="L13720" s="27">
        <v>7290.3</v>
      </c>
      <c r="M13720" s="36">
        <v>0</v>
      </c>
      <c r="T13720" s="41">
        <v>0</v>
      </c>
      <c r="U13720" s="41">
        <v>0</v>
      </c>
      <c r="V13720" s="42" t="s">
        <v>113</v>
      </c>
      <c r="W13720" s="42">
        <v>7674</v>
      </c>
      <c r="X13720" s="42">
        <v>7674</v>
      </c>
    </row>
    <row r="13721" spans="1:24">
      <c r="A13721" s="27" t="s">
        <v>24525</v>
      </c>
      <c r="B13721" s="28" t="s">
        <v>24288</v>
      </c>
      <c r="C13721" s="27" t="s">
        <v>24526</v>
      </c>
      <c r="D13721" s="27" t="s">
        <v>17558</v>
      </c>
      <c r="E13721" s="29">
        <v>40174</v>
      </c>
      <c r="F13721" s="27">
        <v>7</v>
      </c>
      <c r="G13721" s="18">
        <v>23887</v>
      </c>
      <c r="H13721" s="27">
        <f t="shared" si="428"/>
        <v>23887</v>
      </c>
      <c r="I13721" s="18">
        <v>22692.65</v>
      </c>
      <c r="J13721" s="27">
        <v>23887</v>
      </c>
      <c r="K13721" s="18">
        <f t="shared" si="429"/>
        <v>23887</v>
      </c>
      <c r="L13721" s="27">
        <v>22692.65</v>
      </c>
      <c r="M13721" s="36">
        <v>0</v>
      </c>
      <c r="T13721" s="41">
        <v>0</v>
      </c>
      <c r="U13721" s="41">
        <v>0</v>
      </c>
      <c r="V13721" s="42" t="s">
        <v>113</v>
      </c>
      <c r="W13721" s="42">
        <v>23887</v>
      </c>
      <c r="X13721" s="42">
        <v>23887</v>
      </c>
    </row>
    <row r="13722" spans="1:24">
      <c r="A13722" s="27" t="s">
        <v>24527</v>
      </c>
      <c r="B13722" s="28" t="s">
        <v>24288</v>
      </c>
      <c r="C13722" s="27" t="s">
        <v>24528</v>
      </c>
      <c r="D13722" s="27" t="s">
        <v>17558</v>
      </c>
      <c r="E13722" s="29">
        <v>40174</v>
      </c>
      <c r="F13722" s="27">
        <v>7</v>
      </c>
      <c r="G13722" s="18">
        <v>17573</v>
      </c>
      <c r="H13722" s="27">
        <f t="shared" si="428"/>
        <v>17573</v>
      </c>
      <c r="I13722" s="18">
        <v>16694.349999999999</v>
      </c>
      <c r="J13722" s="27">
        <v>17573</v>
      </c>
      <c r="K13722" s="18">
        <f t="shared" si="429"/>
        <v>17573</v>
      </c>
      <c r="L13722" s="27">
        <v>16694.349999999999</v>
      </c>
      <c r="M13722" s="36">
        <v>0</v>
      </c>
      <c r="T13722" s="41">
        <v>0</v>
      </c>
      <c r="U13722" s="41">
        <v>0</v>
      </c>
      <c r="V13722" s="42" t="s">
        <v>113</v>
      </c>
      <c r="W13722" s="42">
        <v>17573</v>
      </c>
      <c r="X13722" s="42">
        <v>17573</v>
      </c>
    </row>
    <row r="13723" spans="1:24">
      <c r="A13723" s="27" t="s">
        <v>24529</v>
      </c>
      <c r="B13723" s="28" t="s">
        <v>24288</v>
      </c>
      <c r="C13723" s="27" t="s">
        <v>24183</v>
      </c>
      <c r="D13723" s="27" t="s">
        <v>17558</v>
      </c>
      <c r="E13723" s="29">
        <v>40174</v>
      </c>
      <c r="F13723" s="27">
        <v>7</v>
      </c>
      <c r="G13723" s="18">
        <v>21670</v>
      </c>
      <c r="H13723" s="27">
        <f t="shared" si="428"/>
        <v>21670</v>
      </c>
      <c r="I13723" s="18">
        <v>20586.5</v>
      </c>
      <c r="J13723" s="27">
        <v>21670</v>
      </c>
      <c r="K13723" s="18">
        <f t="shared" si="429"/>
        <v>21670</v>
      </c>
      <c r="L13723" s="27">
        <v>20586.5</v>
      </c>
      <c r="M13723" s="36">
        <v>0</v>
      </c>
      <c r="T13723" s="41">
        <v>0</v>
      </c>
      <c r="U13723" s="41">
        <v>0</v>
      </c>
      <c r="V13723" s="42" t="s">
        <v>113</v>
      </c>
      <c r="W13723" s="42">
        <v>21670</v>
      </c>
      <c r="X13723" s="42">
        <v>21670</v>
      </c>
    </row>
    <row r="13724" spans="1:24">
      <c r="A13724" s="27" t="s">
        <v>24530</v>
      </c>
      <c r="B13724" s="28" t="s">
        <v>24288</v>
      </c>
      <c r="C13724" s="27" t="s">
        <v>24531</v>
      </c>
      <c r="D13724" s="27" t="s">
        <v>17578</v>
      </c>
      <c r="E13724" s="29">
        <v>40268</v>
      </c>
      <c r="F13724" s="27">
        <v>7</v>
      </c>
      <c r="G13724" s="18">
        <v>10935.87</v>
      </c>
      <c r="H13724" s="27">
        <f t="shared" si="428"/>
        <v>10935.87</v>
      </c>
      <c r="I13724" s="18">
        <v>10389.08</v>
      </c>
      <c r="J13724" s="27">
        <v>10935.87</v>
      </c>
      <c r="K13724" s="18">
        <f t="shared" si="429"/>
        <v>10935.87</v>
      </c>
      <c r="L13724" s="27">
        <v>10389.08</v>
      </c>
      <c r="M13724" s="36">
        <v>0</v>
      </c>
      <c r="T13724" s="41">
        <v>0</v>
      </c>
      <c r="U13724" s="41">
        <v>0</v>
      </c>
      <c r="V13724" s="42" t="s">
        <v>113</v>
      </c>
      <c r="W13724" s="42">
        <v>10935.87</v>
      </c>
      <c r="X13724" s="42">
        <v>10935.87</v>
      </c>
    </row>
    <row r="13725" spans="1:24">
      <c r="A13725" s="27" t="s">
        <v>24532</v>
      </c>
      <c r="B13725" s="28" t="s">
        <v>24288</v>
      </c>
      <c r="C13725" s="27" t="s">
        <v>24362</v>
      </c>
      <c r="D13725" s="27" t="s">
        <v>17558</v>
      </c>
      <c r="E13725" s="29">
        <v>40543</v>
      </c>
      <c r="F13725" s="27">
        <v>7</v>
      </c>
      <c r="G13725" s="18">
        <v>4000</v>
      </c>
      <c r="H13725" s="27">
        <f t="shared" si="428"/>
        <v>4000</v>
      </c>
      <c r="I13725" s="18">
        <v>4000</v>
      </c>
      <c r="J13725" s="27">
        <v>4000</v>
      </c>
      <c r="K13725" s="18">
        <f t="shared" si="429"/>
        <v>4000</v>
      </c>
      <c r="L13725" s="27">
        <v>4000</v>
      </c>
      <c r="M13725" s="36">
        <v>0</v>
      </c>
      <c r="T13725" s="41">
        <v>0</v>
      </c>
      <c r="U13725" s="41">
        <v>0</v>
      </c>
      <c r="V13725" s="42" t="s">
        <v>113</v>
      </c>
      <c r="W13725" s="42">
        <v>4000</v>
      </c>
      <c r="X13725" s="42">
        <v>4000</v>
      </c>
    </row>
    <row r="13726" spans="1:24">
      <c r="A13726" s="27" t="s">
        <v>24533</v>
      </c>
      <c r="B13726" s="28" t="s">
        <v>24288</v>
      </c>
      <c r="C13726" s="27" t="s">
        <v>24503</v>
      </c>
      <c r="D13726" s="27" t="s">
        <v>17578</v>
      </c>
      <c r="E13726" s="29">
        <v>40544</v>
      </c>
      <c r="F13726" s="27">
        <v>7</v>
      </c>
      <c r="G13726" s="18">
        <v>26000</v>
      </c>
      <c r="H13726" s="27">
        <f t="shared" si="428"/>
        <v>26000</v>
      </c>
      <c r="I13726" s="18">
        <v>26000</v>
      </c>
      <c r="J13726" s="27">
        <v>26000</v>
      </c>
      <c r="K13726" s="18">
        <f t="shared" si="429"/>
        <v>26000</v>
      </c>
      <c r="L13726" s="27">
        <v>24700</v>
      </c>
      <c r="M13726" s="36">
        <v>-1300</v>
      </c>
      <c r="T13726" s="41">
        <v>0</v>
      </c>
      <c r="U13726" s="41">
        <v>0</v>
      </c>
      <c r="V13726" s="42" t="s">
        <v>113</v>
      </c>
      <c r="W13726" s="42">
        <v>26000</v>
      </c>
      <c r="X13726" s="42">
        <v>26000</v>
      </c>
    </row>
    <row r="13727" spans="1:24">
      <c r="A13727" s="27" t="s">
        <v>24534</v>
      </c>
      <c r="B13727" s="28" t="s">
        <v>24288</v>
      </c>
      <c r="C13727" s="27" t="s">
        <v>24503</v>
      </c>
      <c r="D13727" s="27" t="s">
        <v>17578</v>
      </c>
      <c r="E13727" s="29">
        <v>40544</v>
      </c>
      <c r="F13727" s="27">
        <v>7</v>
      </c>
      <c r="G13727" s="18">
        <v>26000</v>
      </c>
      <c r="H13727" s="27">
        <f t="shared" si="428"/>
        <v>26000</v>
      </c>
      <c r="I13727" s="18">
        <v>26000</v>
      </c>
      <c r="J13727" s="27">
        <v>26000</v>
      </c>
      <c r="K13727" s="18">
        <f t="shared" si="429"/>
        <v>26000</v>
      </c>
      <c r="L13727" s="27">
        <v>24700</v>
      </c>
      <c r="M13727" s="36">
        <v>-1300</v>
      </c>
      <c r="T13727" s="41">
        <v>0</v>
      </c>
      <c r="U13727" s="41">
        <v>0</v>
      </c>
      <c r="V13727" s="42" t="s">
        <v>113</v>
      </c>
      <c r="W13727" s="42">
        <v>26000</v>
      </c>
      <c r="X13727" s="42">
        <v>26000</v>
      </c>
    </row>
    <row r="13728" spans="1:24">
      <c r="A13728" s="27" t="s">
        <v>24535</v>
      </c>
      <c r="B13728" s="28" t="s">
        <v>24288</v>
      </c>
      <c r="C13728" s="27" t="s">
        <v>24536</v>
      </c>
      <c r="D13728" s="27" t="s">
        <v>17578</v>
      </c>
      <c r="E13728" s="29">
        <v>41946</v>
      </c>
      <c r="F13728" s="27">
        <v>7</v>
      </c>
      <c r="G13728" s="18">
        <v>762.82</v>
      </c>
      <c r="H13728" s="27">
        <f t="shared" si="428"/>
        <v>762.82</v>
      </c>
      <c r="I13728" s="18">
        <v>762.82</v>
      </c>
      <c r="J13728" s="27">
        <v>762.82</v>
      </c>
      <c r="K13728" s="18">
        <f t="shared" si="429"/>
        <v>762.82</v>
      </c>
      <c r="L13728" s="27">
        <v>762.82</v>
      </c>
      <c r="M13728" s="36">
        <v>0</v>
      </c>
      <c r="T13728" s="41">
        <v>0</v>
      </c>
      <c r="U13728" s="41">
        <v>0</v>
      </c>
      <c r="V13728" s="42" t="s">
        <v>113</v>
      </c>
      <c r="W13728" s="42">
        <v>762.82</v>
      </c>
      <c r="X13728" s="42">
        <v>762.82</v>
      </c>
    </row>
    <row r="13729" spans="1:24">
      <c r="A13729" s="27" t="s">
        <v>24537</v>
      </c>
      <c r="B13729" s="28" t="s">
        <v>24288</v>
      </c>
      <c r="C13729" s="27" t="s">
        <v>24536</v>
      </c>
      <c r="D13729" s="27" t="s">
        <v>17578</v>
      </c>
      <c r="E13729" s="29">
        <v>41946</v>
      </c>
      <c r="F13729" s="27">
        <v>7</v>
      </c>
      <c r="G13729" s="18">
        <v>353.8</v>
      </c>
      <c r="H13729" s="27">
        <f t="shared" si="428"/>
        <v>353.8</v>
      </c>
      <c r="I13729" s="18">
        <v>353.8</v>
      </c>
      <c r="J13729" s="27">
        <v>353.8</v>
      </c>
      <c r="K13729" s="18">
        <f t="shared" si="429"/>
        <v>353.8</v>
      </c>
      <c r="L13729" s="27">
        <v>353.8</v>
      </c>
      <c r="M13729" s="36">
        <v>0</v>
      </c>
      <c r="T13729" s="41">
        <v>0</v>
      </c>
      <c r="U13729" s="41">
        <v>0</v>
      </c>
      <c r="V13729" s="42" t="s">
        <v>113</v>
      </c>
      <c r="W13729" s="42">
        <v>353.8</v>
      </c>
      <c r="X13729" s="42">
        <v>353.8</v>
      </c>
    </row>
    <row r="13730" spans="1:24">
      <c r="A13730" s="27" t="s">
        <v>24538</v>
      </c>
      <c r="B13730" s="28" t="s">
        <v>24288</v>
      </c>
      <c r="C13730" s="27" t="s">
        <v>24536</v>
      </c>
      <c r="D13730" s="27" t="s">
        <v>17578</v>
      </c>
      <c r="E13730" s="29">
        <v>41946</v>
      </c>
      <c r="F13730" s="27">
        <v>7</v>
      </c>
      <c r="G13730" s="18">
        <v>762.82</v>
      </c>
      <c r="H13730" s="27">
        <f t="shared" si="428"/>
        <v>762.82</v>
      </c>
      <c r="I13730" s="18">
        <v>762.82</v>
      </c>
      <c r="J13730" s="27">
        <v>762.82</v>
      </c>
      <c r="K13730" s="18">
        <f t="shared" si="429"/>
        <v>762.82</v>
      </c>
      <c r="L13730" s="27">
        <v>762.82</v>
      </c>
      <c r="M13730" s="36">
        <v>0</v>
      </c>
      <c r="T13730" s="41">
        <v>0</v>
      </c>
      <c r="U13730" s="41">
        <v>0</v>
      </c>
      <c r="V13730" s="42" t="s">
        <v>113</v>
      </c>
      <c r="W13730" s="42">
        <v>762.82</v>
      </c>
      <c r="X13730" s="42">
        <v>762.82</v>
      </c>
    </row>
    <row r="13731" spans="1:24">
      <c r="A13731" s="27" t="s">
        <v>24539</v>
      </c>
      <c r="B13731" s="28" t="s">
        <v>24288</v>
      </c>
      <c r="C13731" s="27" t="s">
        <v>24536</v>
      </c>
      <c r="D13731" s="27" t="s">
        <v>17578</v>
      </c>
      <c r="E13731" s="29">
        <v>41946</v>
      </c>
      <c r="F13731" s="27">
        <v>7</v>
      </c>
      <c r="G13731" s="18">
        <v>762.82</v>
      </c>
      <c r="H13731" s="27">
        <f t="shared" si="428"/>
        <v>762.82</v>
      </c>
      <c r="I13731" s="18">
        <v>762.82</v>
      </c>
      <c r="J13731" s="27">
        <v>762.82</v>
      </c>
      <c r="K13731" s="18">
        <f t="shared" si="429"/>
        <v>762.82</v>
      </c>
      <c r="L13731" s="27">
        <v>762.82</v>
      </c>
      <c r="M13731" s="36">
        <v>0</v>
      </c>
      <c r="T13731" s="41">
        <v>0</v>
      </c>
      <c r="U13731" s="41">
        <v>0</v>
      </c>
      <c r="V13731" s="42" t="s">
        <v>113</v>
      </c>
      <c r="W13731" s="42">
        <v>762.82</v>
      </c>
      <c r="X13731" s="42">
        <v>762.82</v>
      </c>
    </row>
    <row r="13732" spans="1:24">
      <c r="A13732" s="27" t="s">
        <v>24540</v>
      </c>
      <c r="B13732" s="28" t="s">
        <v>24288</v>
      </c>
      <c r="C13732" s="27" t="s">
        <v>24536</v>
      </c>
      <c r="D13732" s="27" t="s">
        <v>17578</v>
      </c>
      <c r="E13732" s="29">
        <v>41946</v>
      </c>
      <c r="F13732" s="27">
        <v>7</v>
      </c>
      <c r="G13732" s="18">
        <v>762.82</v>
      </c>
      <c r="H13732" s="27">
        <f t="shared" si="428"/>
        <v>762.82</v>
      </c>
      <c r="I13732" s="18">
        <v>762.82</v>
      </c>
      <c r="J13732" s="27">
        <v>762.82</v>
      </c>
      <c r="K13732" s="18">
        <f t="shared" si="429"/>
        <v>762.82</v>
      </c>
      <c r="L13732" s="27">
        <v>762.82</v>
      </c>
      <c r="M13732" s="36">
        <v>0</v>
      </c>
      <c r="T13732" s="41">
        <v>0</v>
      </c>
      <c r="U13732" s="41">
        <v>0</v>
      </c>
      <c r="V13732" s="42" t="s">
        <v>113</v>
      </c>
      <c r="W13732" s="42">
        <v>762.82</v>
      </c>
      <c r="X13732" s="42">
        <v>762.82</v>
      </c>
    </row>
    <row r="13733" spans="1:24">
      <c r="A13733" s="27" t="s">
        <v>24541</v>
      </c>
      <c r="B13733" s="28" t="s">
        <v>24288</v>
      </c>
      <c r="C13733" s="27" t="s">
        <v>24536</v>
      </c>
      <c r="D13733" s="27" t="s">
        <v>17578</v>
      </c>
      <c r="E13733" s="29">
        <v>41946</v>
      </c>
      <c r="F13733" s="27">
        <v>7</v>
      </c>
      <c r="G13733" s="18">
        <v>762.82</v>
      </c>
      <c r="H13733" s="27">
        <f t="shared" si="428"/>
        <v>762.82</v>
      </c>
      <c r="I13733" s="18">
        <v>762.82</v>
      </c>
      <c r="J13733" s="27">
        <v>762.82</v>
      </c>
      <c r="K13733" s="18">
        <f t="shared" si="429"/>
        <v>762.82</v>
      </c>
      <c r="L13733" s="27">
        <v>762.82</v>
      </c>
      <c r="M13733" s="36">
        <v>0</v>
      </c>
      <c r="T13733" s="41">
        <v>0</v>
      </c>
      <c r="U13733" s="41">
        <v>0</v>
      </c>
      <c r="V13733" s="42" t="s">
        <v>113</v>
      </c>
      <c r="W13733" s="42">
        <v>762.82</v>
      </c>
      <c r="X13733" s="42">
        <v>762.82</v>
      </c>
    </row>
    <row r="13734" spans="1:24">
      <c r="A13734" s="27" t="s">
        <v>24542</v>
      </c>
      <c r="B13734" s="28" t="s">
        <v>24288</v>
      </c>
      <c r="C13734" s="27" t="s">
        <v>24536</v>
      </c>
      <c r="D13734" s="27" t="s">
        <v>17578</v>
      </c>
      <c r="E13734" s="29">
        <v>41946</v>
      </c>
      <c r="F13734" s="27">
        <v>7</v>
      </c>
      <c r="G13734" s="18">
        <v>762.82</v>
      </c>
      <c r="H13734" s="27">
        <f t="shared" si="428"/>
        <v>762.82</v>
      </c>
      <c r="I13734" s="18">
        <v>762.82</v>
      </c>
      <c r="J13734" s="27">
        <v>762.82</v>
      </c>
      <c r="K13734" s="18">
        <f t="shared" si="429"/>
        <v>762.82</v>
      </c>
      <c r="L13734" s="27">
        <v>762.82</v>
      </c>
      <c r="M13734" s="36">
        <v>0</v>
      </c>
      <c r="T13734" s="41">
        <v>0</v>
      </c>
      <c r="U13734" s="41">
        <v>0</v>
      </c>
      <c r="V13734" s="42" t="s">
        <v>113</v>
      </c>
      <c r="W13734" s="42">
        <v>762.82</v>
      </c>
      <c r="X13734" s="42">
        <v>762.82</v>
      </c>
    </row>
    <row r="13735" spans="1:24">
      <c r="A13735" s="27" t="s">
        <v>24543</v>
      </c>
      <c r="B13735" s="28" t="s">
        <v>24288</v>
      </c>
      <c r="C13735" s="27" t="s">
        <v>24536</v>
      </c>
      <c r="D13735" s="27" t="s">
        <v>17578</v>
      </c>
      <c r="E13735" s="29">
        <v>41946</v>
      </c>
      <c r="F13735" s="27">
        <v>7</v>
      </c>
      <c r="G13735" s="18">
        <v>762.82</v>
      </c>
      <c r="H13735" s="27">
        <f t="shared" si="428"/>
        <v>762.82</v>
      </c>
      <c r="I13735" s="18">
        <v>762.82</v>
      </c>
      <c r="J13735" s="27">
        <v>762.82</v>
      </c>
      <c r="K13735" s="18">
        <f t="shared" si="429"/>
        <v>762.82</v>
      </c>
      <c r="L13735" s="27">
        <v>762.82</v>
      </c>
      <c r="M13735" s="36">
        <v>0</v>
      </c>
      <c r="T13735" s="41">
        <v>0</v>
      </c>
      <c r="U13735" s="41">
        <v>0</v>
      </c>
      <c r="V13735" s="42" t="s">
        <v>113</v>
      </c>
      <c r="W13735" s="42">
        <v>762.82</v>
      </c>
      <c r="X13735" s="42">
        <v>762.82</v>
      </c>
    </row>
    <row r="13736" spans="1:24">
      <c r="A13736" s="27" t="s">
        <v>24544</v>
      </c>
      <c r="B13736" s="28" t="s">
        <v>24288</v>
      </c>
      <c r="C13736" s="27" t="s">
        <v>24536</v>
      </c>
      <c r="D13736" s="27" t="s">
        <v>17578</v>
      </c>
      <c r="E13736" s="29">
        <v>41946</v>
      </c>
      <c r="F13736" s="27">
        <v>7</v>
      </c>
      <c r="G13736" s="18">
        <v>762.83</v>
      </c>
      <c r="H13736" s="27">
        <f t="shared" si="428"/>
        <v>762.83</v>
      </c>
      <c r="I13736" s="18">
        <v>762.83</v>
      </c>
      <c r="J13736" s="27">
        <v>762.83</v>
      </c>
      <c r="K13736" s="18">
        <f t="shared" si="429"/>
        <v>762.83</v>
      </c>
      <c r="L13736" s="27">
        <v>762.83</v>
      </c>
      <c r="M13736" s="36">
        <v>0</v>
      </c>
      <c r="T13736" s="41">
        <v>0</v>
      </c>
      <c r="U13736" s="41">
        <v>0</v>
      </c>
      <c r="V13736" s="42" t="s">
        <v>113</v>
      </c>
      <c r="W13736" s="42">
        <v>762.83</v>
      </c>
      <c r="X13736" s="42">
        <v>762.83</v>
      </c>
    </row>
    <row r="13737" spans="1:24">
      <c r="A13737" s="27" t="s">
        <v>24545</v>
      </c>
      <c r="B13737" s="28" t="s">
        <v>24288</v>
      </c>
      <c r="C13737" s="27" t="s">
        <v>24536</v>
      </c>
      <c r="D13737" s="27" t="s">
        <v>17578</v>
      </c>
      <c r="E13737" s="29">
        <v>41946</v>
      </c>
      <c r="F13737" s="27">
        <v>7</v>
      </c>
      <c r="G13737" s="18">
        <v>762.82</v>
      </c>
      <c r="H13737" s="27">
        <f t="shared" si="428"/>
        <v>762.82</v>
      </c>
      <c r="I13737" s="18">
        <v>762.82</v>
      </c>
      <c r="J13737" s="27">
        <v>762.82</v>
      </c>
      <c r="K13737" s="18">
        <f t="shared" si="429"/>
        <v>762.82</v>
      </c>
      <c r="L13737" s="27">
        <v>762.82</v>
      </c>
      <c r="M13737" s="36">
        <v>0</v>
      </c>
      <c r="T13737" s="41">
        <v>0</v>
      </c>
      <c r="U13737" s="41">
        <v>0</v>
      </c>
      <c r="V13737" s="42" t="s">
        <v>113</v>
      </c>
      <c r="W13737" s="42">
        <v>762.82</v>
      </c>
      <c r="X13737" s="42">
        <v>762.82</v>
      </c>
    </row>
    <row r="13738" spans="1:24">
      <c r="A13738" s="27" t="s">
        <v>24546</v>
      </c>
      <c r="B13738" s="28" t="s">
        <v>24288</v>
      </c>
      <c r="C13738" s="27" t="s">
        <v>24547</v>
      </c>
      <c r="D13738" s="27" t="s">
        <v>17578</v>
      </c>
      <c r="E13738" s="29">
        <v>41992</v>
      </c>
      <c r="F13738" s="27">
        <v>7</v>
      </c>
      <c r="G13738" s="18">
        <v>19999.080000000002</v>
      </c>
      <c r="H13738" s="27">
        <f t="shared" si="428"/>
        <v>0</v>
      </c>
      <c r="I13738" s="18">
        <v>10856.64</v>
      </c>
      <c r="J13738" s="27">
        <v>19999.080000000002</v>
      </c>
      <c r="K13738" s="18">
        <f t="shared" si="429"/>
        <v>0</v>
      </c>
      <c r="L13738" s="27">
        <v>13570.8</v>
      </c>
      <c r="M13738" s="36">
        <v>2714.16</v>
      </c>
      <c r="T13738" s="41">
        <v>0</v>
      </c>
      <c r="U13738" s="41">
        <v>0</v>
      </c>
      <c r="V13738" s="42" t="s">
        <v>113</v>
      </c>
      <c r="W13738" s="42">
        <v>0</v>
      </c>
      <c r="X13738" s="42">
        <v>19999.080000000002</v>
      </c>
    </row>
    <row r="13739" spans="1:24">
      <c r="A13739" s="27" t="s">
        <v>24548</v>
      </c>
      <c r="B13739" s="28" t="s">
        <v>24288</v>
      </c>
      <c r="C13739" s="27" t="s">
        <v>24549</v>
      </c>
      <c r="D13739" s="27" t="s">
        <v>17578</v>
      </c>
      <c r="E13739" s="29">
        <v>42072</v>
      </c>
      <c r="F13739" s="27">
        <v>7</v>
      </c>
      <c r="G13739" s="18">
        <v>15481.56</v>
      </c>
      <c r="H13739" s="27">
        <f t="shared" si="428"/>
        <v>0</v>
      </c>
      <c r="I13739" s="18">
        <v>7879.01</v>
      </c>
      <c r="J13739" s="27">
        <v>15481.56</v>
      </c>
      <c r="K13739" s="18">
        <f t="shared" si="429"/>
        <v>0</v>
      </c>
      <c r="L13739" s="27">
        <v>9980.08</v>
      </c>
      <c r="M13739" s="36">
        <v>2101.0700000000002</v>
      </c>
      <c r="T13739" s="41">
        <v>0</v>
      </c>
      <c r="U13739" s="41">
        <v>0</v>
      </c>
      <c r="V13739" s="42" t="s">
        <v>113</v>
      </c>
      <c r="W13739" s="42">
        <v>0</v>
      </c>
      <c r="X13739" s="42">
        <v>0</v>
      </c>
    </row>
    <row r="13740" spans="1:24">
      <c r="A13740" s="27" t="s">
        <v>24550</v>
      </c>
      <c r="B13740" s="28" t="s">
        <v>24288</v>
      </c>
      <c r="C13740" s="27" t="s">
        <v>24551</v>
      </c>
      <c r="D13740" s="27" t="s">
        <v>17578</v>
      </c>
      <c r="E13740" s="29">
        <v>41992</v>
      </c>
      <c r="F13740" s="27">
        <v>7</v>
      </c>
      <c r="G13740" s="18">
        <v>19015.12</v>
      </c>
      <c r="H13740" s="27">
        <f t="shared" si="428"/>
        <v>0</v>
      </c>
      <c r="I13740" s="18">
        <v>10322.49</v>
      </c>
      <c r="J13740" s="27">
        <v>19015.12</v>
      </c>
      <c r="K13740" s="18">
        <f t="shared" si="429"/>
        <v>0</v>
      </c>
      <c r="L13740" s="27">
        <v>12903.11</v>
      </c>
      <c r="M13740" s="36">
        <v>2580.62</v>
      </c>
      <c r="T13740" s="41">
        <v>0</v>
      </c>
      <c r="U13740" s="41">
        <v>0</v>
      </c>
      <c r="V13740" s="42" t="s">
        <v>113</v>
      </c>
      <c r="W13740" s="42">
        <v>0</v>
      </c>
      <c r="X13740" s="42">
        <v>19015.12</v>
      </c>
    </row>
    <row r="13741" spans="1:24">
      <c r="A13741" s="27" t="s">
        <v>24552</v>
      </c>
      <c r="B13741" s="28" t="s">
        <v>24288</v>
      </c>
      <c r="C13741" s="27" t="s">
        <v>24553</v>
      </c>
      <c r="D13741" s="27" t="s">
        <v>17578</v>
      </c>
      <c r="E13741" s="29">
        <v>42072</v>
      </c>
      <c r="F13741" s="27">
        <v>7</v>
      </c>
      <c r="G13741" s="18">
        <v>6658.74</v>
      </c>
      <c r="H13741" s="27">
        <f t="shared" si="428"/>
        <v>0</v>
      </c>
      <c r="I13741" s="18">
        <v>3388.82</v>
      </c>
      <c r="J13741" s="27">
        <v>6658.74</v>
      </c>
      <c r="K13741" s="18">
        <f t="shared" si="429"/>
        <v>0</v>
      </c>
      <c r="L13741" s="27">
        <v>4292.51</v>
      </c>
      <c r="M13741" s="36">
        <v>903.69</v>
      </c>
      <c r="T13741" s="41">
        <v>0</v>
      </c>
      <c r="U13741" s="41">
        <v>0</v>
      </c>
      <c r="V13741" s="42" t="s">
        <v>113</v>
      </c>
      <c r="W13741" s="42">
        <v>0</v>
      </c>
      <c r="X13741" s="42">
        <v>0</v>
      </c>
    </row>
    <row r="13742" spans="1:24">
      <c r="A13742" s="27" t="s">
        <v>24554</v>
      </c>
      <c r="B13742" s="28" t="s">
        <v>24288</v>
      </c>
      <c r="C13742" s="27" t="s">
        <v>24555</v>
      </c>
      <c r="D13742" s="27" t="s">
        <v>17578</v>
      </c>
      <c r="E13742" s="29">
        <v>41484</v>
      </c>
      <c r="F13742" s="27">
        <v>7</v>
      </c>
      <c r="G13742" s="18">
        <v>48769.21</v>
      </c>
      <c r="H13742" s="27">
        <f t="shared" si="428"/>
        <v>0</v>
      </c>
      <c r="I13742" s="18">
        <v>35851.18</v>
      </c>
      <c r="J13742" s="27">
        <v>48769.21</v>
      </c>
      <c r="K13742" s="18">
        <f t="shared" si="429"/>
        <v>0</v>
      </c>
      <c r="L13742" s="27">
        <v>42469.86</v>
      </c>
      <c r="M13742" s="36">
        <v>6618.68</v>
      </c>
      <c r="T13742" s="41">
        <v>0</v>
      </c>
      <c r="U13742" s="41">
        <v>0</v>
      </c>
      <c r="V13742" s="42" t="s">
        <v>113</v>
      </c>
      <c r="W13742" s="42">
        <v>48769.21</v>
      </c>
      <c r="X13742" s="42">
        <v>48769.21</v>
      </c>
    </row>
    <row r="13743" spans="1:24">
      <c r="A13743" s="27" t="s">
        <v>24556</v>
      </c>
      <c r="B13743" s="28" t="s">
        <v>24288</v>
      </c>
      <c r="C13743" s="27" t="s">
        <v>24557</v>
      </c>
      <c r="D13743" s="27" t="s">
        <v>17578</v>
      </c>
      <c r="E13743" s="29">
        <v>41606</v>
      </c>
      <c r="F13743" s="27">
        <v>7</v>
      </c>
      <c r="G13743" s="18">
        <v>75213.679999999993</v>
      </c>
      <c r="H13743" s="27">
        <f t="shared" si="428"/>
        <v>75213.679999999993</v>
      </c>
      <c r="I13743" s="18">
        <v>75213.679999999993</v>
      </c>
      <c r="J13743" s="27">
        <v>75213.679999999993</v>
      </c>
      <c r="K13743" s="18">
        <f t="shared" si="429"/>
        <v>75213.679999999993</v>
      </c>
      <c r="L13743" s="27">
        <v>71453</v>
      </c>
      <c r="M13743" s="36">
        <v>-3760.68</v>
      </c>
      <c r="T13743" s="41">
        <v>0</v>
      </c>
      <c r="U13743" s="41">
        <v>0</v>
      </c>
      <c r="V13743" s="42" t="s">
        <v>113</v>
      </c>
      <c r="W13743" s="42">
        <v>75213.679999999993</v>
      </c>
      <c r="X13743" s="42">
        <v>75213.679999999993</v>
      </c>
    </row>
    <row r="13744" spans="1:24">
      <c r="A13744" s="27" t="s">
        <v>24558</v>
      </c>
      <c r="B13744" s="28" t="s">
        <v>24288</v>
      </c>
      <c r="C13744" s="27" t="s">
        <v>24559</v>
      </c>
      <c r="D13744" s="27" t="s">
        <v>17578</v>
      </c>
      <c r="E13744" s="29">
        <v>41606</v>
      </c>
      <c r="F13744" s="27">
        <v>7</v>
      </c>
      <c r="G13744" s="18">
        <v>75213.679999999993</v>
      </c>
      <c r="H13744" s="27">
        <f t="shared" si="428"/>
        <v>75213.679999999993</v>
      </c>
      <c r="I13744" s="18">
        <v>75213.679999999993</v>
      </c>
      <c r="J13744" s="27">
        <v>75213.679999999993</v>
      </c>
      <c r="K13744" s="18">
        <f t="shared" si="429"/>
        <v>75213.679999999993</v>
      </c>
      <c r="L13744" s="27">
        <v>71453</v>
      </c>
      <c r="M13744" s="36">
        <v>-3760.68</v>
      </c>
      <c r="T13744" s="41">
        <v>0</v>
      </c>
      <c r="U13744" s="41">
        <v>0</v>
      </c>
      <c r="V13744" s="42" t="s">
        <v>113</v>
      </c>
      <c r="W13744" s="42">
        <v>75213.679999999993</v>
      </c>
      <c r="X13744" s="42">
        <v>75213.679999999993</v>
      </c>
    </row>
    <row r="13745" spans="1:24">
      <c r="A13745" s="27" t="s">
        <v>24560</v>
      </c>
      <c r="B13745" s="28" t="s">
        <v>24288</v>
      </c>
      <c r="C13745" s="27" t="s">
        <v>24561</v>
      </c>
      <c r="D13745" s="27" t="s">
        <v>17578</v>
      </c>
      <c r="E13745" s="29">
        <v>41992</v>
      </c>
      <c r="F13745" s="27">
        <v>7</v>
      </c>
      <c r="G13745" s="18">
        <v>3675.21</v>
      </c>
      <c r="H13745" s="27">
        <f t="shared" si="428"/>
        <v>3675.21</v>
      </c>
      <c r="I13745" s="18">
        <v>3675.21</v>
      </c>
      <c r="J13745" s="27">
        <v>3675.21</v>
      </c>
      <c r="K13745" s="18">
        <f t="shared" si="429"/>
        <v>3675.21</v>
      </c>
      <c r="L13745" s="27">
        <v>3675.21</v>
      </c>
      <c r="M13745" s="36">
        <v>0</v>
      </c>
      <c r="T13745" s="41">
        <v>0</v>
      </c>
      <c r="U13745" s="41">
        <v>0</v>
      </c>
      <c r="V13745" s="42" t="s">
        <v>113</v>
      </c>
      <c r="W13745" s="42">
        <v>3675.21</v>
      </c>
      <c r="X13745" s="42">
        <v>3675.21</v>
      </c>
    </row>
    <row r="13746" spans="1:24">
      <c r="A13746" s="27" t="s">
        <v>24562</v>
      </c>
      <c r="B13746" s="28" t="s">
        <v>24288</v>
      </c>
      <c r="C13746" s="27" t="s">
        <v>24563</v>
      </c>
      <c r="D13746" s="27" t="s">
        <v>17578</v>
      </c>
      <c r="E13746" s="29">
        <v>41269</v>
      </c>
      <c r="F13746" s="27">
        <v>7</v>
      </c>
      <c r="G13746" s="18">
        <v>9634</v>
      </c>
      <c r="H13746" s="27">
        <f t="shared" si="428"/>
        <v>0</v>
      </c>
      <c r="I13746" s="18">
        <v>7300.51</v>
      </c>
      <c r="J13746" s="27">
        <v>9634</v>
      </c>
      <c r="K13746" s="18">
        <f t="shared" si="429"/>
        <v>9634</v>
      </c>
      <c r="L13746" s="27">
        <v>9152.2999999999993</v>
      </c>
      <c r="M13746" s="36">
        <v>1851.79</v>
      </c>
      <c r="T13746" s="41">
        <v>0</v>
      </c>
      <c r="U13746" s="41">
        <v>0</v>
      </c>
      <c r="V13746" s="42" t="s">
        <v>113</v>
      </c>
      <c r="W13746" s="42">
        <v>9634</v>
      </c>
      <c r="X13746" s="42">
        <v>9634</v>
      </c>
    </row>
    <row r="13747" spans="1:24">
      <c r="A13747" s="27" t="s">
        <v>24564</v>
      </c>
      <c r="B13747" s="28" t="s">
        <v>24288</v>
      </c>
      <c r="C13747" s="27" t="s">
        <v>24565</v>
      </c>
      <c r="D13747" s="27" t="s">
        <v>17578</v>
      </c>
      <c r="E13747" s="29">
        <v>41269</v>
      </c>
      <c r="F13747" s="27">
        <v>7</v>
      </c>
      <c r="G13747" s="18">
        <v>9633</v>
      </c>
      <c r="H13747" s="27">
        <f t="shared" si="428"/>
        <v>0</v>
      </c>
      <c r="I13747" s="18">
        <v>7299.75</v>
      </c>
      <c r="J13747" s="27">
        <v>9633</v>
      </c>
      <c r="K13747" s="18">
        <f t="shared" si="429"/>
        <v>9633</v>
      </c>
      <c r="L13747" s="27">
        <v>9151.35</v>
      </c>
      <c r="M13747" s="36">
        <v>1851.6</v>
      </c>
      <c r="T13747" s="41">
        <v>0</v>
      </c>
      <c r="U13747" s="41">
        <v>0</v>
      </c>
      <c r="V13747" s="42" t="s">
        <v>113</v>
      </c>
      <c r="W13747" s="42">
        <v>9633</v>
      </c>
      <c r="X13747" s="42">
        <v>9633</v>
      </c>
    </row>
    <row r="13748" spans="1:24">
      <c r="A13748" s="27" t="s">
        <v>24566</v>
      </c>
      <c r="B13748" s="28" t="s">
        <v>24288</v>
      </c>
      <c r="C13748" s="27" t="s">
        <v>24567</v>
      </c>
      <c r="D13748" s="27" t="s">
        <v>17578</v>
      </c>
      <c r="E13748" s="29">
        <v>41269</v>
      </c>
      <c r="F13748" s="27">
        <v>7</v>
      </c>
      <c r="G13748" s="18">
        <v>9633</v>
      </c>
      <c r="H13748" s="27">
        <f t="shared" si="428"/>
        <v>0</v>
      </c>
      <c r="I13748" s="18">
        <v>7299.75</v>
      </c>
      <c r="J13748" s="27">
        <v>9633</v>
      </c>
      <c r="K13748" s="18">
        <f t="shared" si="429"/>
        <v>9633</v>
      </c>
      <c r="L13748" s="27">
        <v>9151.35</v>
      </c>
      <c r="M13748" s="36">
        <v>1851.6</v>
      </c>
      <c r="T13748" s="41">
        <v>0</v>
      </c>
      <c r="U13748" s="41">
        <v>0</v>
      </c>
      <c r="V13748" s="42" t="s">
        <v>113</v>
      </c>
      <c r="W13748" s="42">
        <v>9633</v>
      </c>
      <c r="X13748" s="42">
        <v>9633</v>
      </c>
    </row>
    <row r="13749" spans="1:24">
      <c r="A13749" s="27" t="s">
        <v>24568</v>
      </c>
      <c r="B13749" s="28" t="s">
        <v>24288</v>
      </c>
      <c r="C13749" s="27" t="s">
        <v>24569</v>
      </c>
      <c r="D13749" s="27" t="s">
        <v>17578</v>
      </c>
      <c r="E13749" s="29">
        <v>41269</v>
      </c>
      <c r="F13749" s="27">
        <v>7</v>
      </c>
      <c r="G13749" s="18">
        <v>9633</v>
      </c>
      <c r="H13749" s="27">
        <f t="shared" si="428"/>
        <v>0</v>
      </c>
      <c r="I13749" s="18">
        <v>7299.75</v>
      </c>
      <c r="J13749" s="27">
        <v>9633</v>
      </c>
      <c r="K13749" s="18">
        <f t="shared" si="429"/>
        <v>9633</v>
      </c>
      <c r="L13749" s="27">
        <v>9151.35</v>
      </c>
      <c r="M13749" s="36">
        <v>1851.6</v>
      </c>
      <c r="T13749" s="41">
        <v>0</v>
      </c>
      <c r="U13749" s="41">
        <v>0</v>
      </c>
      <c r="V13749" s="42" t="s">
        <v>113</v>
      </c>
      <c r="W13749" s="42">
        <v>9633</v>
      </c>
      <c r="X13749" s="42">
        <v>9633</v>
      </c>
    </row>
    <row r="13750" spans="1:24">
      <c r="A13750" s="27" t="s">
        <v>24570</v>
      </c>
      <c r="B13750" s="28" t="s">
        <v>24288</v>
      </c>
      <c r="C13750" s="27" t="s">
        <v>24571</v>
      </c>
      <c r="D13750" s="27" t="s">
        <v>17578</v>
      </c>
      <c r="E13750" s="29">
        <v>41269</v>
      </c>
      <c r="F13750" s="27">
        <v>7</v>
      </c>
      <c r="G13750" s="18">
        <v>9633</v>
      </c>
      <c r="H13750" s="27">
        <f t="shared" si="428"/>
        <v>0</v>
      </c>
      <c r="I13750" s="18">
        <v>7299.75</v>
      </c>
      <c r="J13750" s="27">
        <v>9633</v>
      </c>
      <c r="K13750" s="18">
        <f t="shared" si="429"/>
        <v>9633</v>
      </c>
      <c r="L13750" s="27">
        <v>9151.35</v>
      </c>
      <c r="M13750" s="36">
        <v>1851.6</v>
      </c>
      <c r="T13750" s="41">
        <v>0</v>
      </c>
      <c r="U13750" s="41">
        <v>0</v>
      </c>
      <c r="V13750" s="42" t="s">
        <v>113</v>
      </c>
      <c r="W13750" s="42">
        <v>9633</v>
      </c>
      <c r="X13750" s="42">
        <v>9633</v>
      </c>
    </row>
    <row r="13751" spans="1:24">
      <c r="A13751" s="27" t="s">
        <v>24572</v>
      </c>
      <c r="B13751" s="28" t="s">
        <v>24288</v>
      </c>
      <c r="C13751" s="27" t="s">
        <v>24573</v>
      </c>
      <c r="D13751" s="27" t="s">
        <v>17578</v>
      </c>
      <c r="E13751" s="29">
        <v>41269</v>
      </c>
      <c r="F13751" s="27">
        <v>7</v>
      </c>
      <c r="G13751" s="18">
        <v>9634</v>
      </c>
      <c r="H13751" s="27">
        <f t="shared" si="428"/>
        <v>0</v>
      </c>
      <c r="I13751" s="18">
        <v>7300.51</v>
      </c>
      <c r="J13751" s="27">
        <v>9634</v>
      </c>
      <c r="K13751" s="18">
        <f t="shared" si="429"/>
        <v>9634</v>
      </c>
      <c r="L13751" s="27">
        <v>9152.2999999999993</v>
      </c>
      <c r="M13751" s="36">
        <v>1851.79</v>
      </c>
      <c r="T13751" s="41">
        <v>0</v>
      </c>
      <c r="U13751" s="41">
        <v>0</v>
      </c>
      <c r="V13751" s="42" t="s">
        <v>113</v>
      </c>
      <c r="W13751" s="42">
        <v>9634</v>
      </c>
      <c r="X13751" s="42">
        <v>9634</v>
      </c>
    </row>
    <row r="13752" spans="1:24">
      <c r="A13752" s="27" t="s">
        <v>24574</v>
      </c>
      <c r="B13752" s="28" t="s">
        <v>24288</v>
      </c>
      <c r="C13752" s="27" t="s">
        <v>24575</v>
      </c>
      <c r="D13752" s="27" t="s">
        <v>17578</v>
      </c>
      <c r="E13752" s="29">
        <v>41269</v>
      </c>
      <c r="F13752" s="27">
        <v>7</v>
      </c>
      <c r="G13752" s="18">
        <v>3000</v>
      </c>
      <c r="H13752" s="27">
        <f t="shared" si="428"/>
        <v>0</v>
      </c>
      <c r="I13752" s="18">
        <v>2273.36</v>
      </c>
      <c r="J13752" s="27">
        <v>3000</v>
      </c>
      <c r="K13752" s="18">
        <f t="shared" si="429"/>
        <v>3000</v>
      </c>
      <c r="L13752" s="27">
        <v>2850</v>
      </c>
      <c r="M13752" s="36">
        <v>576.64</v>
      </c>
      <c r="T13752" s="41">
        <v>0</v>
      </c>
      <c r="U13752" s="41">
        <v>0</v>
      </c>
      <c r="V13752" s="42" t="s">
        <v>113</v>
      </c>
      <c r="W13752" s="42">
        <v>3000</v>
      </c>
      <c r="X13752" s="42">
        <v>3000</v>
      </c>
    </row>
    <row r="13753" spans="1:24">
      <c r="A13753" s="27" t="s">
        <v>24576</v>
      </c>
      <c r="B13753" s="28" t="s">
        <v>24288</v>
      </c>
      <c r="C13753" s="27" t="s">
        <v>24577</v>
      </c>
      <c r="D13753" s="27" t="s">
        <v>17578</v>
      </c>
      <c r="E13753" s="29">
        <v>41269</v>
      </c>
      <c r="F13753" s="27">
        <v>7</v>
      </c>
      <c r="G13753" s="18">
        <v>3000</v>
      </c>
      <c r="H13753" s="27">
        <f t="shared" si="428"/>
        <v>0</v>
      </c>
      <c r="I13753" s="18">
        <v>2273.36</v>
      </c>
      <c r="J13753" s="27">
        <v>3000</v>
      </c>
      <c r="K13753" s="18">
        <f t="shared" si="429"/>
        <v>3000</v>
      </c>
      <c r="L13753" s="27">
        <v>2850</v>
      </c>
      <c r="M13753" s="36">
        <v>576.64</v>
      </c>
      <c r="T13753" s="41">
        <v>0</v>
      </c>
      <c r="U13753" s="41">
        <v>0</v>
      </c>
      <c r="V13753" s="42" t="s">
        <v>113</v>
      </c>
      <c r="W13753" s="42">
        <v>3000</v>
      </c>
      <c r="X13753" s="42">
        <v>3000</v>
      </c>
    </row>
    <row r="13754" spans="1:24">
      <c r="A13754" s="27" t="s">
        <v>24578</v>
      </c>
      <c r="B13754" s="28" t="s">
        <v>24288</v>
      </c>
      <c r="C13754" s="27" t="s">
        <v>24579</v>
      </c>
      <c r="D13754" s="27" t="s">
        <v>17578</v>
      </c>
      <c r="E13754" s="29">
        <v>42275</v>
      </c>
      <c r="F13754" s="27">
        <v>7</v>
      </c>
      <c r="G13754" s="18">
        <v>4316.9399999999996</v>
      </c>
      <c r="H13754" s="27">
        <f t="shared" si="428"/>
        <v>4316.9399999999996</v>
      </c>
      <c r="I13754" s="18">
        <v>4316.9399999999996</v>
      </c>
      <c r="J13754" s="27">
        <v>4316.9399999999996</v>
      </c>
      <c r="K13754" s="18">
        <f t="shared" si="429"/>
        <v>4316.9399999999996</v>
      </c>
      <c r="L13754" s="27">
        <v>4316.9399999999996</v>
      </c>
      <c r="M13754" s="36">
        <v>0</v>
      </c>
      <c r="T13754" s="41">
        <v>0</v>
      </c>
      <c r="U13754" s="41">
        <v>0</v>
      </c>
      <c r="V13754" s="42" t="s">
        <v>113</v>
      </c>
      <c r="W13754" s="42">
        <v>4316.9399999999996</v>
      </c>
      <c r="X13754" s="42">
        <v>4316.9399999999996</v>
      </c>
    </row>
    <row r="13755" spans="1:24">
      <c r="A13755" s="27" t="s">
        <v>24580</v>
      </c>
      <c r="B13755" s="28" t="s">
        <v>24288</v>
      </c>
      <c r="C13755" s="27" t="s">
        <v>24581</v>
      </c>
      <c r="D13755" s="27" t="s">
        <v>17578</v>
      </c>
      <c r="E13755" s="29">
        <v>42275</v>
      </c>
      <c r="F13755" s="27">
        <v>7</v>
      </c>
      <c r="G13755" s="18">
        <v>4520.01</v>
      </c>
      <c r="H13755" s="27">
        <f t="shared" si="428"/>
        <v>4520.01</v>
      </c>
      <c r="I13755" s="18">
        <v>4520.01</v>
      </c>
      <c r="J13755" s="27">
        <v>4520.01</v>
      </c>
      <c r="K13755" s="18">
        <f t="shared" si="429"/>
        <v>4520.01</v>
      </c>
      <c r="L13755" s="27">
        <v>4520.01</v>
      </c>
      <c r="M13755" s="36">
        <v>0</v>
      </c>
      <c r="T13755" s="41">
        <v>0</v>
      </c>
      <c r="U13755" s="41">
        <v>0</v>
      </c>
      <c r="V13755" s="42" t="s">
        <v>113</v>
      </c>
      <c r="W13755" s="42">
        <v>4520.01</v>
      </c>
      <c r="X13755" s="42">
        <v>4520.01</v>
      </c>
    </row>
    <row r="13756" spans="1:24">
      <c r="A13756" s="27" t="s">
        <v>24582</v>
      </c>
      <c r="B13756" s="28" t="s">
        <v>24288</v>
      </c>
      <c r="C13756" s="27" t="s">
        <v>24583</v>
      </c>
      <c r="D13756" s="27" t="s">
        <v>17578</v>
      </c>
      <c r="E13756" s="29">
        <v>42212</v>
      </c>
      <c r="F13756" s="27">
        <v>7</v>
      </c>
      <c r="G13756" s="18">
        <v>2765.38</v>
      </c>
      <c r="H13756" s="27">
        <f t="shared" si="428"/>
        <v>2765.38</v>
      </c>
      <c r="I13756" s="18">
        <v>2765.38</v>
      </c>
      <c r="J13756" s="27">
        <v>2765.38</v>
      </c>
      <c r="K13756" s="18">
        <f t="shared" si="429"/>
        <v>2765.38</v>
      </c>
      <c r="L13756" s="27">
        <v>2765.38</v>
      </c>
      <c r="M13756" s="36">
        <v>0</v>
      </c>
      <c r="T13756" s="41">
        <v>0</v>
      </c>
      <c r="U13756" s="41">
        <v>0</v>
      </c>
      <c r="V13756" s="42" t="s">
        <v>113</v>
      </c>
      <c r="W13756" s="42">
        <v>2765.38</v>
      </c>
      <c r="X13756" s="42">
        <v>2765.38</v>
      </c>
    </row>
    <row r="13757" spans="1:24">
      <c r="A13757" s="27" t="s">
        <v>24584</v>
      </c>
      <c r="B13757" s="28" t="s">
        <v>24288</v>
      </c>
      <c r="C13757" s="27" t="s">
        <v>24585</v>
      </c>
      <c r="D13757" s="27" t="s">
        <v>17578</v>
      </c>
      <c r="E13757" s="29">
        <v>42212</v>
      </c>
      <c r="F13757" s="27">
        <v>7</v>
      </c>
      <c r="G13757" s="18">
        <v>2765.38</v>
      </c>
      <c r="H13757" s="27">
        <f t="shared" si="428"/>
        <v>2765.38</v>
      </c>
      <c r="I13757" s="18">
        <v>2765.38</v>
      </c>
      <c r="J13757" s="27">
        <v>2765.38</v>
      </c>
      <c r="K13757" s="18">
        <f t="shared" si="429"/>
        <v>2765.38</v>
      </c>
      <c r="L13757" s="27">
        <v>2765.38</v>
      </c>
      <c r="M13757" s="36">
        <v>0</v>
      </c>
      <c r="T13757" s="41">
        <v>0</v>
      </c>
      <c r="U13757" s="41">
        <v>0</v>
      </c>
      <c r="V13757" s="42" t="s">
        <v>113</v>
      </c>
      <c r="W13757" s="42">
        <v>2765.38</v>
      </c>
      <c r="X13757" s="42">
        <v>2765.38</v>
      </c>
    </row>
    <row r="13758" spans="1:24">
      <c r="A13758" s="27" t="s">
        <v>24586</v>
      </c>
      <c r="B13758" s="28" t="s">
        <v>24288</v>
      </c>
      <c r="C13758" s="27" t="s">
        <v>24587</v>
      </c>
      <c r="D13758" s="27" t="s">
        <v>17578</v>
      </c>
      <c r="E13758" s="29">
        <v>42212</v>
      </c>
      <c r="F13758" s="27">
        <v>7</v>
      </c>
      <c r="G13758" s="18">
        <v>2765.38</v>
      </c>
      <c r="H13758" s="27">
        <f t="shared" si="428"/>
        <v>2765.38</v>
      </c>
      <c r="I13758" s="18">
        <v>2765.38</v>
      </c>
      <c r="J13758" s="27">
        <v>2765.38</v>
      </c>
      <c r="K13758" s="18">
        <f t="shared" si="429"/>
        <v>2765.38</v>
      </c>
      <c r="L13758" s="27">
        <v>2765.38</v>
      </c>
      <c r="M13758" s="36">
        <v>0</v>
      </c>
      <c r="T13758" s="41">
        <v>0</v>
      </c>
      <c r="U13758" s="41">
        <v>0</v>
      </c>
      <c r="V13758" s="42" t="s">
        <v>113</v>
      </c>
      <c r="W13758" s="42">
        <v>2765.38</v>
      </c>
      <c r="X13758" s="42">
        <v>2765.38</v>
      </c>
    </row>
    <row r="13759" spans="1:24">
      <c r="A13759" s="27" t="s">
        <v>24588</v>
      </c>
      <c r="B13759" s="28" t="s">
        <v>24288</v>
      </c>
      <c r="C13759" s="27" t="s">
        <v>24589</v>
      </c>
      <c r="D13759" s="27" t="s">
        <v>17578</v>
      </c>
      <c r="E13759" s="29">
        <v>42212</v>
      </c>
      <c r="F13759" s="27">
        <v>7</v>
      </c>
      <c r="G13759" s="18">
        <v>2765.38</v>
      </c>
      <c r="H13759" s="27">
        <f t="shared" si="428"/>
        <v>2765.38</v>
      </c>
      <c r="I13759" s="18">
        <v>2765.38</v>
      </c>
      <c r="J13759" s="27">
        <v>2765.38</v>
      </c>
      <c r="K13759" s="18">
        <f t="shared" si="429"/>
        <v>2765.38</v>
      </c>
      <c r="L13759" s="27">
        <v>2765.38</v>
      </c>
      <c r="M13759" s="36">
        <v>0</v>
      </c>
      <c r="T13759" s="41">
        <v>0</v>
      </c>
      <c r="U13759" s="41">
        <v>0</v>
      </c>
      <c r="V13759" s="42" t="s">
        <v>113</v>
      </c>
      <c r="W13759" s="42">
        <v>2765.38</v>
      </c>
      <c r="X13759" s="42">
        <v>2765.38</v>
      </c>
    </row>
    <row r="13760" spans="1:24">
      <c r="A13760" s="27" t="s">
        <v>24590</v>
      </c>
      <c r="B13760" s="28" t="s">
        <v>24288</v>
      </c>
      <c r="C13760" s="27" t="s">
        <v>24591</v>
      </c>
      <c r="D13760" s="27" t="s">
        <v>17578</v>
      </c>
      <c r="E13760" s="29">
        <v>42275</v>
      </c>
      <c r="F13760" s="27">
        <v>7</v>
      </c>
      <c r="G13760" s="18">
        <v>4753.78</v>
      </c>
      <c r="H13760" s="27">
        <f t="shared" si="428"/>
        <v>4753.78</v>
      </c>
      <c r="I13760" s="18">
        <v>4753.78</v>
      </c>
      <c r="J13760" s="27">
        <v>4753.78</v>
      </c>
      <c r="K13760" s="18">
        <f t="shared" si="429"/>
        <v>4753.78</v>
      </c>
      <c r="L13760" s="27">
        <v>4753.78</v>
      </c>
      <c r="M13760" s="36">
        <v>0</v>
      </c>
      <c r="T13760" s="41">
        <v>0</v>
      </c>
      <c r="U13760" s="41">
        <v>0</v>
      </c>
      <c r="V13760" s="42" t="s">
        <v>113</v>
      </c>
      <c r="W13760" s="42">
        <v>4753.78</v>
      </c>
      <c r="X13760" s="42">
        <v>4753.78</v>
      </c>
    </row>
    <row r="13761" spans="1:24">
      <c r="A13761" s="27" t="s">
        <v>24592</v>
      </c>
      <c r="B13761" s="28" t="s">
        <v>24288</v>
      </c>
      <c r="C13761" s="27" t="s">
        <v>24593</v>
      </c>
      <c r="D13761" s="27" t="s">
        <v>17578</v>
      </c>
      <c r="E13761" s="29">
        <v>42275</v>
      </c>
      <c r="F13761" s="27">
        <v>7</v>
      </c>
      <c r="G13761" s="18">
        <v>2298.7199999999998</v>
      </c>
      <c r="H13761" s="27">
        <f t="shared" si="428"/>
        <v>2298.7199999999998</v>
      </c>
      <c r="I13761" s="18">
        <v>2298.7199999999998</v>
      </c>
      <c r="J13761" s="27">
        <v>2298.7199999999998</v>
      </c>
      <c r="K13761" s="18">
        <f t="shared" si="429"/>
        <v>2298.7199999999998</v>
      </c>
      <c r="L13761" s="27">
        <v>2298.7199999999998</v>
      </c>
      <c r="M13761" s="36">
        <v>0</v>
      </c>
      <c r="T13761" s="41">
        <v>0</v>
      </c>
      <c r="U13761" s="41">
        <v>0</v>
      </c>
      <c r="V13761" s="42" t="s">
        <v>113</v>
      </c>
      <c r="W13761" s="42">
        <v>2298.7199999999998</v>
      </c>
      <c r="X13761" s="42">
        <v>2298.7199999999998</v>
      </c>
    </row>
    <row r="13762" spans="1:24">
      <c r="A13762" s="27" t="s">
        <v>24594</v>
      </c>
      <c r="B13762" s="28" t="s">
        <v>24288</v>
      </c>
      <c r="C13762" s="27" t="s">
        <v>24595</v>
      </c>
      <c r="D13762" s="27" t="s">
        <v>17578</v>
      </c>
      <c r="E13762" s="29">
        <v>42275</v>
      </c>
      <c r="F13762" s="27">
        <v>7</v>
      </c>
      <c r="G13762" s="18">
        <v>2298.7199999999998</v>
      </c>
      <c r="H13762" s="27">
        <f t="shared" si="428"/>
        <v>2298.7199999999998</v>
      </c>
      <c r="I13762" s="18">
        <v>2298.7199999999998</v>
      </c>
      <c r="J13762" s="27">
        <v>2298.7199999999998</v>
      </c>
      <c r="K13762" s="18">
        <f t="shared" si="429"/>
        <v>2298.7199999999998</v>
      </c>
      <c r="L13762" s="27">
        <v>2298.7199999999998</v>
      </c>
      <c r="M13762" s="36">
        <v>0</v>
      </c>
      <c r="T13762" s="41">
        <v>0</v>
      </c>
      <c r="U13762" s="41">
        <v>0</v>
      </c>
      <c r="V13762" s="42" t="s">
        <v>113</v>
      </c>
      <c r="W13762" s="42">
        <v>2298.7199999999998</v>
      </c>
      <c r="X13762" s="42">
        <v>2298.7199999999998</v>
      </c>
    </row>
    <row r="13763" spans="1:24">
      <c r="A13763" s="27" t="s">
        <v>24596</v>
      </c>
      <c r="B13763" s="28" t="s">
        <v>24288</v>
      </c>
      <c r="C13763" s="27" t="s">
        <v>24597</v>
      </c>
      <c r="D13763" s="27" t="s">
        <v>17578</v>
      </c>
      <c r="E13763" s="29">
        <v>42275</v>
      </c>
      <c r="F13763" s="27">
        <v>7</v>
      </c>
      <c r="G13763" s="18">
        <v>2298.7199999999998</v>
      </c>
      <c r="H13763" s="27">
        <f t="shared" si="428"/>
        <v>2298.7199999999998</v>
      </c>
      <c r="I13763" s="18">
        <v>2298.7199999999998</v>
      </c>
      <c r="J13763" s="27">
        <v>2298.7199999999998</v>
      </c>
      <c r="K13763" s="18">
        <f t="shared" si="429"/>
        <v>2298.7199999999998</v>
      </c>
      <c r="L13763" s="27">
        <v>2298.7199999999998</v>
      </c>
      <c r="M13763" s="36">
        <v>0</v>
      </c>
      <c r="T13763" s="41">
        <v>0</v>
      </c>
      <c r="U13763" s="41">
        <v>0</v>
      </c>
      <c r="V13763" s="42" t="s">
        <v>113</v>
      </c>
      <c r="W13763" s="42">
        <v>2298.7199999999998</v>
      </c>
      <c r="X13763" s="42">
        <v>2298.7199999999998</v>
      </c>
    </row>
    <row r="13764" spans="1:24">
      <c r="A13764" s="27" t="s">
        <v>24598</v>
      </c>
      <c r="B13764" s="28" t="s">
        <v>24288</v>
      </c>
      <c r="C13764" s="27" t="s">
        <v>24599</v>
      </c>
      <c r="D13764" s="27" t="s">
        <v>17578</v>
      </c>
      <c r="E13764" s="29">
        <v>42275</v>
      </c>
      <c r="F13764" s="27">
        <v>7</v>
      </c>
      <c r="G13764" s="18">
        <v>2298.7199999999998</v>
      </c>
      <c r="H13764" s="27">
        <f t="shared" si="428"/>
        <v>2298.7199999999998</v>
      </c>
      <c r="I13764" s="18">
        <v>2298.7199999999998</v>
      </c>
      <c r="J13764" s="27">
        <v>2298.7199999999998</v>
      </c>
      <c r="K13764" s="18">
        <f t="shared" si="429"/>
        <v>2298.7199999999998</v>
      </c>
      <c r="L13764" s="27">
        <v>2298.7199999999998</v>
      </c>
      <c r="M13764" s="36">
        <v>0</v>
      </c>
      <c r="T13764" s="41">
        <v>0</v>
      </c>
      <c r="U13764" s="41">
        <v>0</v>
      </c>
      <c r="V13764" s="42" t="s">
        <v>113</v>
      </c>
      <c r="W13764" s="42">
        <v>2298.7199999999998</v>
      </c>
      <c r="X13764" s="42">
        <v>2298.7199999999998</v>
      </c>
    </row>
    <row r="13765" spans="1:24">
      <c r="A13765" s="27" t="s">
        <v>24600</v>
      </c>
      <c r="B13765" s="28" t="s">
        <v>24288</v>
      </c>
      <c r="C13765" s="27" t="s">
        <v>24601</v>
      </c>
      <c r="D13765" s="27" t="s">
        <v>17578</v>
      </c>
      <c r="E13765" s="29">
        <v>42551</v>
      </c>
      <c r="F13765" s="27">
        <v>7</v>
      </c>
      <c r="G13765" s="18">
        <v>62377.74</v>
      </c>
      <c r="H13765" s="27">
        <f t="shared" si="428"/>
        <v>0</v>
      </c>
      <c r="I13765" s="18">
        <v>21163.88</v>
      </c>
      <c r="J13765" s="27">
        <v>62377.74</v>
      </c>
      <c r="K13765" s="18">
        <f t="shared" si="429"/>
        <v>0</v>
      </c>
      <c r="L13765" s="27">
        <v>29629.43</v>
      </c>
      <c r="M13765" s="36">
        <v>8465.5499999999993</v>
      </c>
      <c r="T13765" s="41">
        <v>0</v>
      </c>
      <c r="U13765" s="41">
        <v>0</v>
      </c>
      <c r="V13765" s="42" t="s">
        <v>113</v>
      </c>
      <c r="W13765" s="42">
        <v>0</v>
      </c>
      <c r="X13765" s="42">
        <v>0</v>
      </c>
    </row>
    <row r="13766" spans="1:24">
      <c r="A13766" s="27" t="s">
        <v>24602</v>
      </c>
      <c r="B13766" s="28" t="s">
        <v>24288</v>
      </c>
      <c r="C13766" s="27" t="s">
        <v>24603</v>
      </c>
      <c r="D13766" s="27" t="s">
        <v>17578</v>
      </c>
      <c r="E13766" s="29">
        <v>42551</v>
      </c>
      <c r="F13766" s="27">
        <v>7</v>
      </c>
      <c r="G13766" s="18">
        <v>15594.43</v>
      </c>
      <c r="H13766" s="27">
        <f t="shared" ref="H13766:H13829" si="430">IFERROR(IF(ROUND((G13766-I13766)/G13766,2)&lt;=0.05,G13766,0),0)</f>
        <v>0</v>
      </c>
      <c r="I13766" s="18">
        <v>5290.97</v>
      </c>
      <c r="J13766" s="27">
        <v>15594.43</v>
      </c>
      <c r="K13766" s="18">
        <f t="shared" ref="K13766:K13829" si="431">IFERROR(IF(ROUND((J13766-L13766)/J13766,2)&lt;=0.05,J13766,0),0)</f>
        <v>0</v>
      </c>
      <c r="L13766" s="27">
        <v>7407.36</v>
      </c>
      <c r="M13766" s="36">
        <v>2116.39</v>
      </c>
      <c r="T13766" s="41">
        <v>0</v>
      </c>
      <c r="U13766" s="41">
        <v>0</v>
      </c>
      <c r="V13766" s="42" t="s">
        <v>113</v>
      </c>
      <c r="W13766" s="42">
        <v>0</v>
      </c>
      <c r="X13766" s="42">
        <v>0</v>
      </c>
    </row>
    <row r="13767" spans="1:24">
      <c r="A13767" s="27" t="s">
        <v>24604</v>
      </c>
      <c r="B13767" s="28" t="s">
        <v>24288</v>
      </c>
      <c r="C13767" s="27" t="s">
        <v>24605</v>
      </c>
      <c r="D13767" s="27" t="s">
        <v>17578</v>
      </c>
      <c r="E13767" s="29">
        <v>42551</v>
      </c>
      <c r="F13767" s="27">
        <v>7</v>
      </c>
      <c r="G13767" s="18">
        <v>15594.43</v>
      </c>
      <c r="H13767" s="27">
        <f t="shared" si="430"/>
        <v>0</v>
      </c>
      <c r="I13767" s="18">
        <v>5290.97</v>
      </c>
      <c r="J13767" s="27">
        <v>15594.43</v>
      </c>
      <c r="K13767" s="18">
        <f t="shared" si="431"/>
        <v>0</v>
      </c>
      <c r="L13767" s="27">
        <v>7407.36</v>
      </c>
      <c r="M13767" s="36">
        <v>2116.39</v>
      </c>
      <c r="T13767" s="41">
        <v>0</v>
      </c>
      <c r="U13767" s="41">
        <v>0</v>
      </c>
      <c r="V13767" s="42" t="s">
        <v>113</v>
      </c>
      <c r="W13767" s="42">
        <v>0</v>
      </c>
      <c r="X13767" s="42">
        <v>0</v>
      </c>
    </row>
    <row r="13768" spans="1:24">
      <c r="A13768" s="27" t="s">
        <v>24606</v>
      </c>
      <c r="B13768" s="28" t="s">
        <v>24288</v>
      </c>
      <c r="C13768" s="27" t="s">
        <v>24607</v>
      </c>
      <c r="D13768" s="27" t="s">
        <v>17578</v>
      </c>
      <c r="E13768" s="29">
        <v>42551</v>
      </c>
      <c r="F13768" s="27">
        <v>7</v>
      </c>
      <c r="G13768" s="18">
        <v>223604.4</v>
      </c>
      <c r="H13768" s="27">
        <f t="shared" si="430"/>
        <v>0</v>
      </c>
      <c r="I13768" s="18">
        <v>75865.78</v>
      </c>
      <c r="J13768" s="27">
        <v>223604.4</v>
      </c>
      <c r="K13768" s="18">
        <f t="shared" si="431"/>
        <v>0</v>
      </c>
      <c r="L13768" s="27">
        <v>106212.09</v>
      </c>
      <c r="M13768" s="36">
        <v>30346.31</v>
      </c>
      <c r="T13768" s="41">
        <v>0</v>
      </c>
      <c r="U13768" s="41">
        <v>0</v>
      </c>
      <c r="V13768" s="42" t="s">
        <v>113</v>
      </c>
      <c r="W13768" s="42">
        <v>0</v>
      </c>
      <c r="X13768" s="42">
        <v>0</v>
      </c>
    </row>
    <row r="13769" spans="1:24">
      <c r="A13769" s="27" t="s">
        <v>24608</v>
      </c>
      <c r="B13769" s="28" t="s">
        <v>24288</v>
      </c>
      <c r="C13769" s="27" t="s">
        <v>24609</v>
      </c>
      <c r="D13769" s="27" t="s">
        <v>17558</v>
      </c>
      <c r="E13769" s="29">
        <v>40298</v>
      </c>
      <c r="F13769" s="27">
        <v>7</v>
      </c>
      <c r="G13769" s="18">
        <v>9800</v>
      </c>
      <c r="H13769" s="27">
        <f t="shared" si="430"/>
        <v>9800</v>
      </c>
      <c r="I13769" s="18">
        <v>9310</v>
      </c>
      <c r="J13769" s="27">
        <v>9800</v>
      </c>
      <c r="K13769" s="18">
        <f t="shared" si="431"/>
        <v>9800</v>
      </c>
      <c r="L13769" s="27">
        <v>9310</v>
      </c>
      <c r="M13769" s="36">
        <v>0</v>
      </c>
      <c r="T13769" s="41">
        <v>0</v>
      </c>
      <c r="U13769" s="41">
        <v>0</v>
      </c>
      <c r="V13769" s="42" t="s">
        <v>113</v>
      </c>
      <c r="W13769" s="42">
        <v>9800</v>
      </c>
      <c r="X13769" s="42">
        <v>9800</v>
      </c>
    </row>
    <row r="13770" spans="1:24">
      <c r="A13770" s="27" t="s">
        <v>24610</v>
      </c>
      <c r="B13770" s="28" t="s">
        <v>24288</v>
      </c>
      <c r="C13770" s="27" t="s">
        <v>24611</v>
      </c>
      <c r="D13770" s="27" t="s">
        <v>17558</v>
      </c>
      <c r="E13770" s="29">
        <v>40298</v>
      </c>
      <c r="F13770" s="27">
        <v>7</v>
      </c>
      <c r="G13770" s="18">
        <v>2100</v>
      </c>
      <c r="H13770" s="27">
        <f t="shared" si="430"/>
        <v>2100</v>
      </c>
      <c r="I13770" s="18">
        <v>2100</v>
      </c>
      <c r="J13770" s="27">
        <v>2100</v>
      </c>
      <c r="K13770" s="18">
        <f t="shared" si="431"/>
        <v>2100</v>
      </c>
      <c r="L13770" s="27">
        <v>2100</v>
      </c>
      <c r="M13770" s="36">
        <v>0</v>
      </c>
      <c r="T13770" s="41">
        <v>0</v>
      </c>
      <c r="U13770" s="41">
        <v>0</v>
      </c>
      <c r="V13770" s="42" t="s">
        <v>113</v>
      </c>
      <c r="W13770" s="42">
        <v>2100</v>
      </c>
      <c r="X13770" s="42">
        <v>2100</v>
      </c>
    </row>
    <row r="13771" spans="1:24">
      <c r="A13771" s="27" t="s">
        <v>24612</v>
      </c>
      <c r="B13771" s="28" t="s">
        <v>24288</v>
      </c>
      <c r="C13771" s="27" t="s">
        <v>24613</v>
      </c>
      <c r="D13771" s="27" t="s">
        <v>17558</v>
      </c>
      <c r="E13771" s="29">
        <v>40298</v>
      </c>
      <c r="F13771" s="27">
        <v>7</v>
      </c>
      <c r="G13771" s="18">
        <v>2070</v>
      </c>
      <c r="H13771" s="27">
        <f t="shared" si="430"/>
        <v>2070</v>
      </c>
      <c r="I13771" s="18">
        <v>2070</v>
      </c>
      <c r="J13771" s="27">
        <v>2070</v>
      </c>
      <c r="K13771" s="18">
        <f t="shared" si="431"/>
        <v>2070</v>
      </c>
      <c r="L13771" s="27">
        <v>2070</v>
      </c>
      <c r="M13771" s="36">
        <v>0</v>
      </c>
      <c r="T13771" s="41">
        <v>0</v>
      </c>
      <c r="U13771" s="41">
        <v>0</v>
      </c>
      <c r="V13771" s="42" t="s">
        <v>113</v>
      </c>
      <c r="W13771" s="42">
        <v>2070</v>
      </c>
      <c r="X13771" s="42">
        <v>2070</v>
      </c>
    </row>
    <row r="13772" spans="1:24">
      <c r="A13772" s="27" t="s">
        <v>24614</v>
      </c>
      <c r="B13772" s="28" t="s">
        <v>24288</v>
      </c>
      <c r="C13772" s="27" t="s">
        <v>24615</v>
      </c>
      <c r="D13772" s="27" t="s">
        <v>17558</v>
      </c>
      <c r="E13772" s="29">
        <v>40298</v>
      </c>
      <c r="F13772" s="27">
        <v>7</v>
      </c>
      <c r="G13772" s="18">
        <v>8600</v>
      </c>
      <c r="H13772" s="27">
        <f t="shared" si="430"/>
        <v>8600</v>
      </c>
      <c r="I13772" s="18">
        <v>8170</v>
      </c>
      <c r="J13772" s="27">
        <v>8600</v>
      </c>
      <c r="K13772" s="18">
        <f t="shared" si="431"/>
        <v>8600</v>
      </c>
      <c r="L13772" s="27">
        <v>8170</v>
      </c>
      <c r="M13772" s="36">
        <v>0</v>
      </c>
      <c r="T13772" s="41">
        <v>0</v>
      </c>
      <c r="U13772" s="41">
        <v>0</v>
      </c>
      <c r="V13772" s="42" t="s">
        <v>113</v>
      </c>
      <c r="W13772" s="42">
        <v>8600</v>
      </c>
      <c r="X13772" s="42">
        <v>8600</v>
      </c>
    </row>
    <row r="13773" spans="1:24">
      <c r="A13773" s="27" t="s">
        <v>24616</v>
      </c>
      <c r="B13773" s="28" t="s">
        <v>24288</v>
      </c>
      <c r="C13773" s="27" t="s">
        <v>24617</v>
      </c>
      <c r="D13773" s="27" t="s">
        <v>17558</v>
      </c>
      <c r="E13773" s="29">
        <v>40298</v>
      </c>
      <c r="F13773" s="27">
        <v>7</v>
      </c>
      <c r="G13773" s="18">
        <v>5100</v>
      </c>
      <c r="H13773" s="27">
        <f t="shared" si="430"/>
        <v>5100</v>
      </c>
      <c r="I13773" s="18">
        <v>4845</v>
      </c>
      <c r="J13773" s="27">
        <v>5100</v>
      </c>
      <c r="K13773" s="18">
        <f t="shared" si="431"/>
        <v>5100</v>
      </c>
      <c r="L13773" s="27">
        <v>4845</v>
      </c>
      <c r="M13773" s="36">
        <v>0</v>
      </c>
      <c r="T13773" s="41">
        <v>0</v>
      </c>
      <c r="U13773" s="41">
        <v>0</v>
      </c>
      <c r="V13773" s="42" t="s">
        <v>113</v>
      </c>
      <c r="W13773" s="42">
        <v>5100</v>
      </c>
      <c r="X13773" s="42">
        <v>5100</v>
      </c>
    </row>
    <row r="13774" spans="1:24">
      <c r="A13774" s="27" t="s">
        <v>24618</v>
      </c>
      <c r="B13774" s="28" t="s">
        <v>24288</v>
      </c>
      <c r="C13774" s="27" t="s">
        <v>24619</v>
      </c>
      <c r="D13774" s="27" t="s">
        <v>17558</v>
      </c>
      <c r="E13774" s="29">
        <v>40298</v>
      </c>
      <c r="F13774" s="27">
        <v>7</v>
      </c>
      <c r="G13774" s="18">
        <v>15200</v>
      </c>
      <c r="H13774" s="27">
        <f t="shared" si="430"/>
        <v>15200</v>
      </c>
      <c r="I13774" s="18">
        <v>14440</v>
      </c>
      <c r="J13774" s="27">
        <v>15200</v>
      </c>
      <c r="K13774" s="18">
        <f t="shared" si="431"/>
        <v>15200</v>
      </c>
      <c r="L13774" s="27">
        <v>14440</v>
      </c>
      <c r="M13774" s="36">
        <v>0</v>
      </c>
      <c r="T13774" s="41">
        <v>0</v>
      </c>
      <c r="U13774" s="41">
        <v>0</v>
      </c>
      <c r="V13774" s="42" t="s">
        <v>113</v>
      </c>
      <c r="W13774" s="42">
        <v>15200</v>
      </c>
      <c r="X13774" s="42">
        <v>15200</v>
      </c>
    </row>
    <row r="13775" spans="1:24">
      <c r="A13775" s="27" t="s">
        <v>24620</v>
      </c>
      <c r="B13775" s="28" t="s">
        <v>24288</v>
      </c>
      <c r="C13775" s="27" t="s">
        <v>24621</v>
      </c>
      <c r="D13775" s="27" t="s">
        <v>17558</v>
      </c>
      <c r="E13775" s="29">
        <v>39629</v>
      </c>
      <c r="F13775" s="27">
        <v>7</v>
      </c>
      <c r="G13775" s="18">
        <v>8200</v>
      </c>
      <c r="H13775" s="27">
        <f t="shared" si="430"/>
        <v>8200</v>
      </c>
      <c r="I13775" s="18">
        <v>7790</v>
      </c>
      <c r="J13775" s="27">
        <v>8200</v>
      </c>
      <c r="K13775" s="18">
        <f t="shared" si="431"/>
        <v>8200</v>
      </c>
      <c r="L13775" s="27">
        <v>7790</v>
      </c>
      <c r="M13775" s="36">
        <v>0</v>
      </c>
      <c r="T13775" s="41">
        <v>0</v>
      </c>
      <c r="U13775" s="41">
        <v>0</v>
      </c>
      <c r="V13775" s="42" t="s">
        <v>113</v>
      </c>
      <c r="W13775" s="42">
        <v>8200</v>
      </c>
      <c r="X13775" s="42">
        <v>8200</v>
      </c>
    </row>
    <row r="13776" spans="1:24">
      <c r="A13776" s="27" t="s">
        <v>24622</v>
      </c>
      <c r="B13776" s="28" t="s">
        <v>24288</v>
      </c>
      <c r="C13776" s="27" t="s">
        <v>24623</v>
      </c>
      <c r="D13776" s="27" t="s">
        <v>17558</v>
      </c>
      <c r="E13776" s="29">
        <v>39447</v>
      </c>
      <c r="F13776" s="27">
        <v>7</v>
      </c>
      <c r="G13776" s="18">
        <v>7860</v>
      </c>
      <c r="H13776" s="27">
        <f t="shared" si="430"/>
        <v>7860</v>
      </c>
      <c r="I13776" s="18">
        <v>7467</v>
      </c>
      <c r="J13776" s="27">
        <v>7860</v>
      </c>
      <c r="K13776" s="18">
        <f t="shared" si="431"/>
        <v>7860</v>
      </c>
      <c r="L13776" s="27">
        <v>7467</v>
      </c>
      <c r="M13776" s="36">
        <v>0</v>
      </c>
      <c r="T13776" s="41">
        <v>0</v>
      </c>
      <c r="U13776" s="41">
        <v>0</v>
      </c>
      <c r="V13776" s="42" t="s">
        <v>113</v>
      </c>
      <c r="W13776" s="42">
        <v>7860</v>
      </c>
      <c r="X13776" s="42">
        <v>7860</v>
      </c>
    </row>
    <row r="13777" spans="1:24">
      <c r="A13777" s="27" t="s">
        <v>24624</v>
      </c>
      <c r="B13777" s="28" t="s">
        <v>24288</v>
      </c>
      <c r="C13777" s="27" t="s">
        <v>24625</v>
      </c>
      <c r="D13777" s="27" t="s">
        <v>17558</v>
      </c>
      <c r="E13777" s="29">
        <v>39475</v>
      </c>
      <c r="F13777" s="27">
        <v>7</v>
      </c>
      <c r="G13777" s="18">
        <v>2900</v>
      </c>
      <c r="H13777" s="27">
        <f t="shared" si="430"/>
        <v>2900</v>
      </c>
      <c r="I13777" s="18">
        <v>2900</v>
      </c>
      <c r="J13777" s="27">
        <v>2900</v>
      </c>
      <c r="K13777" s="18">
        <f t="shared" si="431"/>
        <v>2900</v>
      </c>
      <c r="L13777" s="27">
        <v>2900</v>
      </c>
      <c r="M13777" s="36">
        <v>0</v>
      </c>
      <c r="T13777" s="41">
        <v>0</v>
      </c>
      <c r="U13777" s="41">
        <v>0</v>
      </c>
      <c r="V13777" s="42" t="s">
        <v>113</v>
      </c>
      <c r="W13777" s="42">
        <v>2900</v>
      </c>
      <c r="X13777" s="42">
        <v>2900</v>
      </c>
    </row>
    <row r="13778" spans="1:24">
      <c r="A13778" s="27" t="s">
        <v>24626</v>
      </c>
      <c r="B13778" s="28" t="s">
        <v>24288</v>
      </c>
      <c r="C13778" s="27" t="s">
        <v>24627</v>
      </c>
      <c r="D13778" s="27" t="s">
        <v>17558</v>
      </c>
      <c r="E13778" s="29">
        <v>39629</v>
      </c>
      <c r="F13778" s="27">
        <v>7</v>
      </c>
      <c r="G13778" s="18">
        <v>4800</v>
      </c>
      <c r="H13778" s="27">
        <f t="shared" si="430"/>
        <v>4800</v>
      </c>
      <c r="I13778" s="18">
        <v>4800</v>
      </c>
      <c r="J13778" s="27">
        <v>4800</v>
      </c>
      <c r="K13778" s="18">
        <f t="shared" si="431"/>
        <v>4800</v>
      </c>
      <c r="L13778" s="27">
        <v>4800</v>
      </c>
      <c r="M13778" s="36">
        <v>0</v>
      </c>
      <c r="T13778" s="41">
        <v>0</v>
      </c>
      <c r="U13778" s="41">
        <v>0</v>
      </c>
      <c r="V13778" s="42" t="s">
        <v>113</v>
      </c>
      <c r="W13778" s="42">
        <v>4800</v>
      </c>
      <c r="X13778" s="42">
        <v>4800</v>
      </c>
    </row>
    <row r="13779" spans="1:24">
      <c r="A13779" s="27" t="s">
        <v>24628</v>
      </c>
      <c r="B13779" s="28" t="s">
        <v>24288</v>
      </c>
      <c r="C13779" s="27" t="s">
        <v>24629</v>
      </c>
      <c r="D13779" s="27" t="s">
        <v>17558</v>
      </c>
      <c r="E13779" s="29">
        <v>39933</v>
      </c>
      <c r="F13779" s="27">
        <v>7</v>
      </c>
      <c r="G13779" s="18">
        <v>2340</v>
      </c>
      <c r="H13779" s="27">
        <f t="shared" si="430"/>
        <v>2340</v>
      </c>
      <c r="I13779" s="18">
        <v>2340</v>
      </c>
      <c r="J13779" s="27">
        <v>2340</v>
      </c>
      <c r="K13779" s="18">
        <f t="shared" si="431"/>
        <v>2340</v>
      </c>
      <c r="L13779" s="27">
        <v>2340</v>
      </c>
      <c r="M13779" s="36">
        <v>0</v>
      </c>
      <c r="T13779" s="41">
        <v>0</v>
      </c>
      <c r="U13779" s="41">
        <v>0</v>
      </c>
      <c r="V13779" s="42" t="s">
        <v>113</v>
      </c>
      <c r="W13779" s="42">
        <v>2340</v>
      </c>
      <c r="X13779" s="42">
        <v>2340</v>
      </c>
    </row>
    <row r="13780" spans="1:24">
      <c r="A13780" s="27" t="s">
        <v>24630</v>
      </c>
      <c r="B13780" s="28" t="s">
        <v>24288</v>
      </c>
      <c r="C13780" s="27" t="s">
        <v>24631</v>
      </c>
      <c r="D13780" s="27" t="s">
        <v>17558</v>
      </c>
      <c r="E13780" s="29">
        <v>39751</v>
      </c>
      <c r="F13780" s="27">
        <v>7</v>
      </c>
      <c r="G13780" s="18">
        <v>3370</v>
      </c>
      <c r="H13780" s="27">
        <f t="shared" si="430"/>
        <v>3370</v>
      </c>
      <c r="I13780" s="18">
        <v>3370</v>
      </c>
      <c r="J13780" s="27">
        <v>3370</v>
      </c>
      <c r="K13780" s="18">
        <f t="shared" si="431"/>
        <v>3370</v>
      </c>
      <c r="L13780" s="27">
        <v>3370</v>
      </c>
      <c r="M13780" s="36">
        <v>0</v>
      </c>
      <c r="T13780" s="41">
        <v>0</v>
      </c>
      <c r="U13780" s="41">
        <v>0</v>
      </c>
      <c r="V13780" s="42" t="s">
        <v>113</v>
      </c>
      <c r="W13780" s="42">
        <v>3370</v>
      </c>
      <c r="X13780" s="42">
        <v>3370</v>
      </c>
    </row>
    <row r="13781" spans="1:24">
      <c r="A13781" s="27" t="s">
        <v>24632</v>
      </c>
      <c r="B13781" s="28" t="s">
        <v>24288</v>
      </c>
      <c r="C13781" s="27" t="s">
        <v>24633</v>
      </c>
      <c r="D13781" s="27" t="s">
        <v>17558</v>
      </c>
      <c r="E13781" s="29">
        <v>39963</v>
      </c>
      <c r="F13781" s="27">
        <v>7</v>
      </c>
      <c r="G13781" s="18">
        <v>35100</v>
      </c>
      <c r="H13781" s="27">
        <f t="shared" si="430"/>
        <v>35100</v>
      </c>
      <c r="I13781" s="18">
        <v>33345</v>
      </c>
      <c r="J13781" s="27">
        <v>35100</v>
      </c>
      <c r="K13781" s="18">
        <f t="shared" si="431"/>
        <v>35100</v>
      </c>
      <c r="L13781" s="27">
        <v>33345</v>
      </c>
      <c r="M13781" s="36">
        <v>0</v>
      </c>
      <c r="T13781" s="41">
        <v>0</v>
      </c>
      <c r="U13781" s="41">
        <v>0</v>
      </c>
      <c r="V13781" s="42" t="s">
        <v>113</v>
      </c>
      <c r="W13781" s="42">
        <v>35100</v>
      </c>
      <c r="X13781" s="42">
        <v>35100</v>
      </c>
    </row>
    <row r="13782" spans="1:24">
      <c r="A13782" s="27" t="s">
        <v>24634</v>
      </c>
      <c r="B13782" s="28" t="s">
        <v>24288</v>
      </c>
      <c r="C13782" s="27" t="s">
        <v>24635</v>
      </c>
      <c r="D13782" s="27" t="s">
        <v>17558</v>
      </c>
      <c r="E13782" s="29">
        <v>39629</v>
      </c>
      <c r="F13782" s="27">
        <v>7</v>
      </c>
      <c r="G13782" s="18">
        <v>3600</v>
      </c>
      <c r="H13782" s="27">
        <f t="shared" si="430"/>
        <v>3600</v>
      </c>
      <c r="I13782" s="18">
        <v>3600</v>
      </c>
      <c r="J13782" s="27">
        <v>3600</v>
      </c>
      <c r="K13782" s="18">
        <f t="shared" si="431"/>
        <v>3600</v>
      </c>
      <c r="L13782" s="27">
        <v>3600</v>
      </c>
      <c r="M13782" s="36">
        <v>0</v>
      </c>
      <c r="T13782" s="41">
        <v>0</v>
      </c>
      <c r="U13782" s="41">
        <v>0</v>
      </c>
      <c r="V13782" s="42" t="s">
        <v>113</v>
      </c>
      <c r="W13782" s="42">
        <v>3600</v>
      </c>
      <c r="X13782" s="42">
        <v>3600</v>
      </c>
    </row>
    <row r="13783" spans="1:24">
      <c r="A13783" s="27" t="s">
        <v>24636</v>
      </c>
      <c r="B13783" s="28" t="s">
        <v>24288</v>
      </c>
      <c r="C13783" s="27" t="s">
        <v>24637</v>
      </c>
      <c r="D13783" s="27" t="s">
        <v>17558</v>
      </c>
      <c r="E13783" s="29">
        <v>39782</v>
      </c>
      <c r="F13783" s="27">
        <v>7</v>
      </c>
      <c r="G13783" s="18">
        <v>18000</v>
      </c>
      <c r="H13783" s="27">
        <f t="shared" si="430"/>
        <v>18000</v>
      </c>
      <c r="I13783" s="18">
        <v>17100</v>
      </c>
      <c r="J13783" s="27">
        <v>18000</v>
      </c>
      <c r="K13783" s="18">
        <f t="shared" si="431"/>
        <v>18000</v>
      </c>
      <c r="L13783" s="27">
        <v>17100</v>
      </c>
      <c r="M13783" s="36">
        <v>0</v>
      </c>
      <c r="T13783" s="41">
        <v>0</v>
      </c>
      <c r="U13783" s="41">
        <v>0</v>
      </c>
      <c r="V13783" s="42" t="s">
        <v>113</v>
      </c>
      <c r="W13783" s="42">
        <v>18000</v>
      </c>
      <c r="X13783" s="42">
        <v>18000</v>
      </c>
    </row>
    <row r="13784" spans="1:24">
      <c r="A13784" s="27" t="s">
        <v>24638</v>
      </c>
      <c r="B13784" s="28" t="s">
        <v>24288</v>
      </c>
      <c r="C13784" s="27" t="s">
        <v>24639</v>
      </c>
      <c r="D13784" s="27" t="s">
        <v>17558</v>
      </c>
      <c r="E13784" s="29">
        <v>40178</v>
      </c>
      <c r="F13784" s="27">
        <v>7</v>
      </c>
      <c r="G13784" s="18">
        <v>5992</v>
      </c>
      <c r="H13784" s="27">
        <f t="shared" si="430"/>
        <v>5992</v>
      </c>
      <c r="I13784" s="18">
        <v>5692.4</v>
      </c>
      <c r="J13784" s="27">
        <v>5992</v>
      </c>
      <c r="K13784" s="18">
        <f t="shared" si="431"/>
        <v>5992</v>
      </c>
      <c r="L13784" s="27">
        <v>5692.4</v>
      </c>
      <c r="M13784" s="36">
        <v>0</v>
      </c>
      <c r="T13784" s="41">
        <v>0</v>
      </c>
      <c r="U13784" s="41">
        <v>0</v>
      </c>
      <c r="V13784" s="42" t="s">
        <v>113</v>
      </c>
      <c r="W13784" s="42">
        <v>5992</v>
      </c>
      <c r="X13784" s="42">
        <v>5992</v>
      </c>
    </row>
    <row r="13785" spans="1:24">
      <c r="A13785" s="27" t="s">
        <v>24640</v>
      </c>
      <c r="B13785" s="28" t="s">
        <v>24288</v>
      </c>
      <c r="C13785" s="27" t="s">
        <v>24364</v>
      </c>
      <c r="D13785" s="27" t="s">
        <v>17558</v>
      </c>
      <c r="E13785" s="29">
        <v>39048</v>
      </c>
      <c r="F13785" s="27">
        <v>7</v>
      </c>
      <c r="G13785" s="18">
        <v>9950</v>
      </c>
      <c r="H13785" s="27">
        <f t="shared" si="430"/>
        <v>9950</v>
      </c>
      <c r="I13785" s="18">
        <v>9452.5</v>
      </c>
      <c r="J13785" s="27">
        <v>9950</v>
      </c>
      <c r="K13785" s="18">
        <f t="shared" si="431"/>
        <v>9950</v>
      </c>
      <c r="L13785" s="27">
        <v>9452.5</v>
      </c>
      <c r="M13785" s="36">
        <v>0</v>
      </c>
      <c r="T13785" s="41">
        <v>0</v>
      </c>
      <c r="U13785" s="41">
        <v>0</v>
      </c>
      <c r="V13785" s="42" t="s">
        <v>113</v>
      </c>
      <c r="W13785" s="42">
        <v>9950</v>
      </c>
      <c r="X13785" s="42">
        <v>9950</v>
      </c>
    </row>
    <row r="13786" spans="1:24">
      <c r="A13786" s="27" t="s">
        <v>24641</v>
      </c>
      <c r="B13786" s="28" t="s">
        <v>24288</v>
      </c>
      <c r="C13786" s="27" t="s">
        <v>24642</v>
      </c>
      <c r="D13786" s="27" t="s">
        <v>17558</v>
      </c>
      <c r="E13786" s="29">
        <v>39782</v>
      </c>
      <c r="F13786" s="27">
        <v>7</v>
      </c>
      <c r="G13786" s="18">
        <v>4000</v>
      </c>
      <c r="H13786" s="27">
        <f t="shared" si="430"/>
        <v>4000</v>
      </c>
      <c r="I13786" s="18">
        <v>4000</v>
      </c>
      <c r="J13786" s="27">
        <v>4000</v>
      </c>
      <c r="K13786" s="18">
        <f t="shared" si="431"/>
        <v>4000</v>
      </c>
      <c r="L13786" s="27">
        <v>4000</v>
      </c>
      <c r="M13786" s="36">
        <v>0</v>
      </c>
      <c r="T13786" s="41">
        <v>0</v>
      </c>
      <c r="U13786" s="41">
        <v>0</v>
      </c>
      <c r="V13786" s="42" t="s">
        <v>113</v>
      </c>
      <c r="W13786" s="42">
        <v>4000</v>
      </c>
      <c r="X13786" s="42">
        <v>4000</v>
      </c>
    </row>
    <row r="13787" spans="1:24">
      <c r="A13787" s="27" t="s">
        <v>24643</v>
      </c>
      <c r="B13787" s="28" t="s">
        <v>24288</v>
      </c>
      <c r="C13787" s="27" t="s">
        <v>24644</v>
      </c>
      <c r="D13787" s="27" t="s">
        <v>17558</v>
      </c>
      <c r="E13787" s="29">
        <v>40024</v>
      </c>
      <c r="F13787" s="27">
        <v>7</v>
      </c>
      <c r="G13787" s="18">
        <v>5500</v>
      </c>
      <c r="H13787" s="27">
        <f t="shared" si="430"/>
        <v>5500</v>
      </c>
      <c r="I13787" s="18">
        <v>5225</v>
      </c>
      <c r="J13787" s="27">
        <v>5500</v>
      </c>
      <c r="K13787" s="18">
        <f t="shared" si="431"/>
        <v>5500</v>
      </c>
      <c r="L13787" s="27">
        <v>5225</v>
      </c>
      <c r="M13787" s="36">
        <v>0</v>
      </c>
      <c r="T13787" s="41">
        <v>0</v>
      </c>
      <c r="U13787" s="41">
        <v>0</v>
      </c>
      <c r="V13787" s="42" t="s">
        <v>113</v>
      </c>
      <c r="W13787" s="42">
        <v>5500</v>
      </c>
      <c r="X13787" s="42">
        <v>5500</v>
      </c>
    </row>
    <row r="13788" spans="1:24">
      <c r="A13788" s="27" t="s">
        <v>24645</v>
      </c>
      <c r="B13788" s="28" t="s">
        <v>24288</v>
      </c>
      <c r="C13788" s="27" t="s">
        <v>24646</v>
      </c>
      <c r="D13788" s="27" t="s">
        <v>17558</v>
      </c>
      <c r="E13788" s="29">
        <v>39963</v>
      </c>
      <c r="F13788" s="27">
        <v>7</v>
      </c>
      <c r="G13788" s="18">
        <v>5500</v>
      </c>
      <c r="H13788" s="27">
        <f t="shared" si="430"/>
        <v>5500</v>
      </c>
      <c r="I13788" s="18">
        <v>5225</v>
      </c>
      <c r="J13788" s="27">
        <v>5500</v>
      </c>
      <c r="K13788" s="18">
        <f t="shared" si="431"/>
        <v>5500</v>
      </c>
      <c r="L13788" s="27">
        <v>5225</v>
      </c>
      <c r="M13788" s="36">
        <v>0</v>
      </c>
      <c r="T13788" s="41">
        <v>0</v>
      </c>
      <c r="U13788" s="41">
        <v>0</v>
      </c>
      <c r="V13788" s="42" t="s">
        <v>113</v>
      </c>
      <c r="W13788" s="42">
        <v>5500</v>
      </c>
      <c r="X13788" s="42">
        <v>5500</v>
      </c>
    </row>
    <row r="13789" spans="1:24">
      <c r="A13789" s="27" t="s">
        <v>24647</v>
      </c>
      <c r="B13789" s="28" t="s">
        <v>24288</v>
      </c>
      <c r="C13789" s="27" t="s">
        <v>24648</v>
      </c>
      <c r="D13789" s="27" t="s">
        <v>17558</v>
      </c>
      <c r="E13789" s="29">
        <v>40024</v>
      </c>
      <c r="F13789" s="27">
        <v>7</v>
      </c>
      <c r="G13789" s="18">
        <v>6800</v>
      </c>
      <c r="H13789" s="27">
        <f t="shared" si="430"/>
        <v>6800</v>
      </c>
      <c r="I13789" s="18">
        <v>6460</v>
      </c>
      <c r="J13789" s="27">
        <v>6800</v>
      </c>
      <c r="K13789" s="18">
        <f t="shared" si="431"/>
        <v>6800</v>
      </c>
      <c r="L13789" s="27">
        <v>6460</v>
      </c>
      <c r="M13789" s="36">
        <v>0</v>
      </c>
      <c r="T13789" s="41">
        <v>0</v>
      </c>
      <c r="U13789" s="41">
        <v>0</v>
      </c>
      <c r="V13789" s="42" t="s">
        <v>113</v>
      </c>
      <c r="W13789" s="42">
        <v>6800</v>
      </c>
      <c r="X13789" s="42">
        <v>6800</v>
      </c>
    </row>
    <row r="13790" spans="1:24">
      <c r="A13790" s="27" t="s">
        <v>24649</v>
      </c>
      <c r="B13790" s="28" t="s">
        <v>24288</v>
      </c>
      <c r="C13790" s="27" t="s">
        <v>21639</v>
      </c>
      <c r="D13790" s="27" t="s">
        <v>17558</v>
      </c>
      <c r="E13790" s="29">
        <v>39751</v>
      </c>
      <c r="F13790" s="27">
        <v>7</v>
      </c>
      <c r="G13790" s="18">
        <v>20000</v>
      </c>
      <c r="H13790" s="27">
        <f t="shared" si="430"/>
        <v>20000</v>
      </c>
      <c r="I13790" s="18">
        <v>19000</v>
      </c>
      <c r="J13790" s="27">
        <v>20000</v>
      </c>
      <c r="K13790" s="18">
        <f t="shared" si="431"/>
        <v>20000</v>
      </c>
      <c r="L13790" s="27">
        <v>19000</v>
      </c>
      <c r="M13790" s="36">
        <v>0</v>
      </c>
      <c r="T13790" s="41">
        <v>0</v>
      </c>
      <c r="U13790" s="41">
        <v>0</v>
      </c>
      <c r="V13790" s="42" t="s">
        <v>113</v>
      </c>
      <c r="W13790" s="42">
        <v>20000</v>
      </c>
      <c r="X13790" s="42">
        <v>20000</v>
      </c>
    </row>
    <row r="13791" spans="1:24">
      <c r="A13791" s="27" t="s">
        <v>24650</v>
      </c>
      <c r="B13791" s="28" t="s">
        <v>24288</v>
      </c>
      <c r="C13791" s="27" t="s">
        <v>24651</v>
      </c>
      <c r="D13791" s="27" t="s">
        <v>17558</v>
      </c>
      <c r="E13791" s="29">
        <v>40024</v>
      </c>
      <c r="F13791" s="27">
        <v>7</v>
      </c>
      <c r="G13791" s="18">
        <v>1140</v>
      </c>
      <c r="H13791" s="27">
        <f t="shared" si="430"/>
        <v>1140</v>
      </c>
      <c r="I13791" s="18">
        <v>1140</v>
      </c>
      <c r="J13791" s="27">
        <v>1140</v>
      </c>
      <c r="K13791" s="18">
        <f t="shared" si="431"/>
        <v>1140</v>
      </c>
      <c r="L13791" s="27">
        <v>1140</v>
      </c>
      <c r="M13791" s="36">
        <v>0</v>
      </c>
      <c r="T13791" s="41">
        <v>0</v>
      </c>
      <c r="U13791" s="41">
        <v>0</v>
      </c>
      <c r="V13791" s="42" t="s">
        <v>113</v>
      </c>
      <c r="W13791" s="42">
        <v>1140</v>
      </c>
      <c r="X13791" s="42">
        <v>1140</v>
      </c>
    </row>
    <row r="13792" spans="1:24">
      <c r="A13792" s="27" t="s">
        <v>24652</v>
      </c>
      <c r="B13792" s="28" t="s">
        <v>24288</v>
      </c>
      <c r="C13792" s="27" t="s">
        <v>24653</v>
      </c>
      <c r="D13792" s="27" t="s">
        <v>17558</v>
      </c>
      <c r="E13792" s="29">
        <v>40086</v>
      </c>
      <c r="F13792" s="27">
        <v>7</v>
      </c>
      <c r="G13792" s="18">
        <v>2790</v>
      </c>
      <c r="H13792" s="27">
        <f t="shared" si="430"/>
        <v>2790</v>
      </c>
      <c r="I13792" s="18">
        <v>2790</v>
      </c>
      <c r="J13792" s="27">
        <v>2790</v>
      </c>
      <c r="K13792" s="18">
        <f t="shared" si="431"/>
        <v>2790</v>
      </c>
      <c r="L13792" s="27">
        <v>2790</v>
      </c>
      <c r="M13792" s="36">
        <v>0</v>
      </c>
      <c r="T13792" s="41">
        <v>0</v>
      </c>
      <c r="U13792" s="41">
        <v>0</v>
      </c>
      <c r="V13792" s="42" t="s">
        <v>113</v>
      </c>
      <c r="W13792" s="42">
        <v>2790</v>
      </c>
      <c r="X13792" s="42">
        <v>2790</v>
      </c>
    </row>
    <row r="13793" spans="1:24">
      <c r="A13793" s="27" t="s">
        <v>24654</v>
      </c>
      <c r="B13793" s="28" t="s">
        <v>24288</v>
      </c>
      <c r="C13793" s="27" t="s">
        <v>24151</v>
      </c>
      <c r="D13793" s="27" t="s">
        <v>17578</v>
      </c>
      <c r="E13793" s="29">
        <v>40024</v>
      </c>
      <c r="F13793" s="27">
        <v>7</v>
      </c>
      <c r="G13793" s="18">
        <v>2300</v>
      </c>
      <c r="H13793" s="27">
        <f t="shared" si="430"/>
        <v>2300</v>
      </c>
      <c r="I13793" s="18">
        <v>2300</v>
      </c>
      <c r="J13793" s="27">
        <v>2300</v>
      </c>
      <c r="K13793" s="18">
        <f t="shared" si="431"/>
        <v>2300</v>
      </c>
      <c r="L13793" s="27">
        <v>2300</v>
      </c>
      <c r="M13793" s="36">
        <v>0</v>
      </c>
      <c r="T13793" s="41">
        <v>0</v>
      </c>
      <c r="U13793" s="41">
        <v>0</v>
      </c>
      <c r="V13793" s="42" t="s">
        <v>113</v>
      </c>
      <c r="W13793" s="42">
        <v>2300</v>
      </c>
      <c r="X13793" s="42">
        <v>2300</v>
      </c>
    </row>
    <row r="13794" spans="1:24">
      <c r="A13794" s="27" t="s">
        <v>24655</v>
      </c>
      <c r="B13794" s="28" t="s">
        <v>24288</v>
      </c>
      <c r="C13794" s="27" t="s">
        <v>24656</v>
      </c>
      <c r="D13794" s="27" t="s">
        <v>17558</v>
      </c>
      <c r="E13794" s="29">
        <v>40055</v>
      </c>
      <c r="F13794" s="27">
        <v>7</v>
      </c>
      <c r="G13794" s="18">
        <v>2760</v>
      </c>
      <c r="H13794" s="27">
        <f t="shared" si="430"/>
        <v>2760</v>
      </c>
      <c r="I13794" s="18">
        <v>2760</v>
      </c>
      <c r="J13794" s="27">
        <v>2760</v>
      </c>
      <c r="K13794" s="18">
        <f t="shared" si="431"/>
        <v>2760</v>
      </c>
      <c r="L13794" s="27">
        <v>2760</v>
      </c>
      <c r="M13794" s="36">
        <v>0</v>
      </c>
      <c r="T13794" s="41">
        <v>0</v>
      </c>
      <c r="U13794" s="41">
        <v>0</v>
      </c>
      <c r="V13794" s="42" t="s">
        <v>113</v>
      </c>
      <c r="W13794" s="42">
        <v>2760</v>
      </c>
      <c r="X13794" s="42">
        <v>2760</v>
      </c>
    </row>
    <row r="13795" spans="1:24">
      <c r="A13795" s="27" t="s">
        <v>24657</v>
      </c>
      <c r="B13795" s="28" t="s">
        <v>24288</v>
      </c>
      <c r="C13795" s="27" t="s">
        <v>24658</v>
      </c>
      <c r="D13795" s="27" t="s">
        <v>17558</v>
      </c>
      <c r="E13795" s="29">
        <v>40024</v>
      </c>
      <c r="F13795" s="27">
        <v>7</v>
      </c>
      <c r="G13795" s="18">
        <v>3400</v>
      </c>
      <c r="H13795" s="27">
        <f t="shared" si="430"/>
        <v>3400</v>
      </c>
      <c r="I13795" s="18">
        <v>3400</v>
      </c>
      <c r="J13795" s="27">
        <v>3400</v>
      </c>
      <c r="K13795" s="18">
        <f t="shared" si="431"/>
        <v>3400</v>
      </c>
      <c r="L13795" s="27">
        <v>3400</v>
      </c>
      <c r="M13795" s="36">
        <v>0</v>
      </c>
      <c r="T13795" s="41">
        <v>0</v>
      </c>
      <c r="U13795" s="41">
        <v>0</v>
      </c>
      <c r="V13795" s="42" t="s">
        <v>113</v>
      </c>
      <c r="W13795" s="42">
        <v>3400</v>
      </c>
      <c r="X13795" s="42">
        <v>3400</v>
      </c>
    </row>
    <row r="13796" spans="1:24">
      <c r="A13796" s="27" t="s">
        <v>24659</v>
      </c>
      <c r="B13796" s="28" t="s">
        <v>24288</v>
      </c>
      <c r="C13796" s="27" t="s">
        <v>24660</v>
      </c>
      <c r="D13796" s="27" t="s">
        <v>17558</v>
      </c>
      <c r="E13796" s="29">
        <v>39963</v>
      </c>
      <c r="F13796" s="27">
        <v>7</v>
      </c>
      <c r="G13796" s="18">
        <v>3900</v>
      </c>
      <c r="H13796" s="27">
        <f t="shared" si="430"/>
        <v>3900</v>
      </c>
      <c r="I13796" s="18">
        <v>3900</v>
      </c>
      <c r="J13796" s="27">
        <v>3900</v>
      </c>
      <c r="K13796" s="18">
        <f t="shared" si="431"/>
        <v>3900</v>
      </c>
      <c r="L13796" s="27">
        <v>3900</v>
      </c>
      <c r="M13796" s="36">
        <v>0</v>
      </c>
      <c r="T13796" s="41">
        <v>0</v>
      </c>
      <c r="U13796" s="41">
        <v>0</v>
      </c>
      <c r="V13796" s="42" t="s">
        <v>113</v>
      </c>
      <c r="W13796" s="42">
        <v>3900</v>
      </c>
      <c r="X13796" s="42">
        <v>3900</v>
      </c>
    </row>
    <row r="13797" spans="1:24">
      <c r="A13797" s="27" t="s">
        <v>24661</v>
      </c>
      <c r="B13797" s="28" t="s">
        <v>24288</v>
      </c>
      <c r="C13797" s="27" t="s">
        <v>24662</v>
      </c>
      <c r="D13797" s="27" t="s">
        <v>17558</v>
      </c>
      <c r="E13797" s="29">
        <v>39751</v>
      </c>
      <c r="F13797" s="27">
        <v>7</v>
      </c>
      <c r="G13797" s="18">
        <v>2800</v>
      </c>
      <c r="H13797" s="27">
        <f t="shared" si="430"/>
        <v>2800</v>
      </c>
      <c r="I13797" s="18">
        <v>2800</v>
      </c>
      <c r="J13797" s="27">
        <v>2800</v>
      </c>
      <c r="K13797" s="18">
        <f t="shared" si="431"/>
        <v>2800</v>
      </c>
      <c r="L13797" s="27">
        <v>2800</v>
      </c>
      <c r="M13797" s="36">
        <v>0</v>
      </c>
      <c r="T13797" s="41">
        <v>0</v>
      </c>
      <c r="U13797" s="41">
        <v>0</v>
      </c>
      <c r="V13797" s="42" t="s">
        <v>113</v>
      </c>
      <c r="W13797" s="42">
        <v>2800</v>
      </c>
      <c r="X13797" s="42">
        <v>2800</v>
      </c>
    </row>
    <row r="13798" spans="1:24">
      <c r="A13798" s="27" t="s">
        <v>24663</v>
      </c>
      <c r="B13798" s="28" t="s">
        <v>24288</v>
      </c>
      <c r="C13798" s="27" t="s">
        <v>24664</v>
      </c>
      <c r="D13798" s="27" t="s">
        <v>17558</v>
      </c>
      <c r="E13798" s="29">
        <v>40086</v>
      </c>
      <c r="F13798" s="27">
        <v>7</v>
      </c>
      <c r="G13798" s="18">
        <v>2880</v>
      </c>
      <c r="H13798" s="27">
        <f t="shared" si="430"/>
        <v>2880</v>
      </c>
      <c r="I13798" s="18">
        <v>2880</v>
      </c>
      <c r="J13798" s="27">
        <v>2880</v>
      </c>
      <c r="K13798" s="18">
        <f t="shared" si="431"/>
        <v>2880</v>
      </c>
      <c r="L13798" s="27">
        <v>2880</v>
      </c>
      <c r="M13798" s="36">
        <v>0</v>
      </c>
      <c r="T13798" s="41">
        <v>0</v>
      </c>
      <c r="U13798" s="41">
        <v>0</v>
      </c>
      <c r="V13798" s="42" t="s">
        <v>113</v>
      </c>
      <c r="W13798" s="42">
        <v>2880</v>
      </c>
      <c r="X13798" s="42">
        <v>2880</v>
      </c>
    </row>
    <row r="13799" spans="1:24">
      <c r="A13799" s="27" t="s">
        <v>24665</v>
      </c>
      <c r="B13799" s="28" t="s">
        <v>24288</v>
      </c>
      <c r="C13799" s="27" t="s">
        <v>24491</v>
      </c>
      <c r="D13799" s="27" t="s">
        <v>17558</v>
      </c>
      <c r="E13799" s="29">
        <v>39015</v>
      </c>
      <c r="F13799" s="27">
        <v>7</v>
      </c>
      <c r="G13799" s="18">
        <v>3650</v>
      </c>
      <c r="H13799" s="27">
        <f t="shared" si="430"/>
        <v>3650</v>
      </c>
      <c r="I13799" s="18">
        <v>3650</v>
      </c>
      <c r="J13799" s="27">
        <v>3650</v>
      </c>
      <c r="K13799" s="18">
        <f t="shared" si="431"/>
        <v>3650</v>
      </c>
      <c r="L13799" s="27">
        <v>3650</v>
      </c>
      <c r="M13799" s="36">
        <v>0</v>
      </c>
      <c r="T13799" s="41">
        <v>0</v>
      </c>
      <c r="U13799" s="41">
        <v>0</v>
      </c>
      <c r="V13799" s="42" t="s">
        <v>113</v>
      </c>
      <c r="W13799" s="42">
        <v>3650</v>
      </c>
      <c r="X13799" s="42">
        <v>3650</v>
      </c>
    </row>
    <row r="13800" spans="1:24">
      <c r="A13800" s="27" t="s">
        <v>24666</v>
      </c>
      <c r="B13800" s="28" t="s">
        <v>24288</v>
      </c>
      <c r="C13800" s="27" t="s">
        <v>24667</v>
      </c>
      <c r="D13800" s="27" t="s">
        <v>17558</v>
      </c>
      <c r="E13800" s="29">
        <v>39933</v>
      </c>
      <c r="F13800" s="27">
        <v>7</v>
      </c>
      <c r="G13800" s="18">
        <v>5360</v>
      </c>
      <c r="H13800" s="27">
        <f t="shared" si="430"/>
        <v>5360</v>
      </c>
      <c r="I13800" s="18">
        <v>5092</v>
      </c>
      <c r="J13800" s="27">
        <v>5360</v>
      </c>
      <c r="K13800" s="18">
        <f t="shared" si="431"/>
        <v>5360</v>
      </c>
      <c r="L13800" s="27">
        <v>5092</v>
      </c>
      <c r="M13800" s="36">
        <v>0</v>
      </c>
      <c r="T13800" s="41">
        <v>0</v>
      </c>
      <c r="U13800" s="41">
        <v>0</v>
      </c>
      <c r="V13800" s="42" t="s">
        <v>113</v>
      </c>
      <c r="W13800" s="42">
        <v>5360</v>
      </c>
      <c r="X13800" s="42">
        <v>5360</v>
      </c>
    </row>
    <row r="13801" spans="1:24">
      <c r="A13801" s="27" t="s">
        <v>24668</v>
      </c>
      <c r="B13801" s="28" t="s">
        <v>24288</v>
      </c>
      <c r="C13801" s="27" t="s">
        <v>24669</v>
      </c>
      <c r="D13801" s="27" t="s">
        <v>17558</v>
      </c>
      <c r="E13801" s="29">
        <v>40178</v>
      </c>
      <c r="F13801" s="27">
        <v>7</v>
      </c>
      <c r="G13801" s="18">
        <v>57420</v>
      </c>
      <c r="H13801" s="27">
        <f t="shared" si="430"/>
        <v>57420</v>
      </c>
      <c r="I13801" s="18">
        <v>54549</v>
      </c>
      <c r="J13801" s="27">
        <v>57420</v>
      </c>
      <c r="K13801" s="18">
        <f t="shared" si="431"/>
        <v>57420</v>
      </c>
      <c r="L13801" s="27">
        <v>54549</v>
      </c>
      <c r="M13801" s="36">
        <v>0</v>
      </c>
      <c r="T13801" s="41">
        <v>0</v>
      </c>
      <c r="U13801" s="41">
        <v>0</v>
      </c>
      <c r="V13801" s="42" t="s">
        <v>113</v>
      </c>
      <c r="W13801" s="42">
        <v>57420</v>
      </c>
      <c r="X13801" s="42">
        <v>57420</v>
      </c>
    </row>
    <row r="13802" spans="1:24">
      <c r="A13802" s="27" t="s">
        <v>24670</v>
      </c>
      <c r="B13802" s="28" t="s">
        <v>24288</v>
      </c>
      <c r="C13802" s="27" t="s">
        <v>24671</v>
      </c>
      <c r="D13802" s="27" t="s">
        <v>17558</v>
      </c>
      <c r="E13802" s="29">
        <v>39015</v>
      </c>
      <c r="F13802" s="27">
        <v>7</v>
      </c>
      <c r="G13802" s="18">
        <v>9800</v>
      </c>
      <c r="H13802" s="27">
        <f t="shared" si="430"/>
        <v>9800</v>
      </c>
      <c r="I13802" s="18">
        <v>9310</v>
      </c>
      <c r="J13802" s="27">
        <v>9800</v>
      </c>
      <c r="K13802" s="18">
        <f t="shared" si="431"/>
        <v>9800</v>
      </c>
      <c r="L13802" s="27">
        <v>9310</v>
      </c>
      <c r="M13802" s="36">
        <v>0</v>
      </c>
      <c r="T13802" s="41">
        <v>0</v>
      </c>
      <c r="U13802" s="41">
        <v>0</v>
      </c>
      <c r="V13802" s="42" t="s">
        <v>113</v>
      </c>
      <c r="W13802" s="42">
        <v>9800</v>
      </c>
      <c r="X13802" s="42">
        <v>9800</v>
      </c>
    </row>
    <row r="13803" spans="1:24">
      <c r="A13803" s="27" t="s">
        <v>24672</v>
      </c>
      <c r="B13803" s="28" t="s">
        <v>24288</v>
      </c>
      <c r="C13803" s="27" t="s">
        <v>24621</v>
      </c>
      <c r="D13803" s="27" t="s">
        <v>17558</v>
      </c>
      <c r="E13803" s="29">
        <v>39629</v>
      </c>
      <c r="F13803" s="27">
        <v>7</v>
      </c>
      <c r="G13803" s="18">
        <v>8200</v>
      </c>
      <c r="H13803" s="27">
        <f t="shared" si="430"/>
        <v>8200</v>
      </c>
      <c r="I13803" s="18">
        <v>7790</v>
      </c>
      <c r="J13803" s="27">
        <v>8200</v>
      </c>
      <c r="K13803" s="18">
        <f t="shared" si="431"/>
        <v>8200</v>
      </c>
      <c r="L13803" s="27">
        <v>7790</v>
      </c>
      <c r="M13803" s="36">
        <v>0</v>
      </c>
      <c r="T13803" s="41">
        <v>0</v>
      </c>
      <c r="U13803" s="41">
        <v>0</v>
      </c>
      <c r="V13803" s="42" t="s">
        <v>113</v>
      </c>
      <c r="W13803" s="42">
        <v>8200</v>
      </c>
      <c r="X13803" s="42">
        <v>8200</v>
      </c>
    </row>
    <row r="13804" spans="1:24">
      <c r="A13804" s="27" t="s">
        <v>24673</v>
      </c>
      <c r="B13804" s="28" t="s">
        <v>24288</v>
      </c>
      <c r="C13804" s="27" t="s">
        <v>24674</v>
      </c>
      <c r="D13804" s="27" t="s">
        <v>17558</v>
      </c>
      <c r="E13804" s="29">
        <v>39629</v>
      </c>
      <c r="F13804" s="27">
        <v>7</v>
      </c>
      <c r="G13804" s="18">
        <v>3320</v>
      </c>
      <c r="H13804" s="27">
        <f t="shared" si="430"/>
        <v>3320</v>
      </c>
      <c r="I13804" s="18">
        <v>3320</v>
      </c>
      <c r="J13804" s="27">
        <v>3320</v>
      </c>
      <c r="K13804" s="18">
        <f t="shared" si="431"/>
        <v>3320</v>
      </c>
      <c r="L13804" s="27">
        <v>3320</v>
      </c>
      <c r="M13804" s="36">
        <v>0</v>
      </c>
      <c r="T13804" s="41">
        <v>0</v>
      </c>
      <c r="U13804" s="41">
        <v>0</v>
      </c>
      <c r="V13804" s="42" t="s">
        <v>113</v>
      </c>
      <c r="W13804" s="42">
        <v>3320</v>
      </c>
      <c r="X13804" s="42">
        <v>3320</v>
      </c>
    </row>
    <row r="13805" spans="1:24">
      <c r="A13805" s="27" t="s">
        <v>24675</v>
      </c>
      <c r="B13805" s="28" t="s">
        <v>24288</v>
      </c>
      <c r="C13805" s="27" t="s">
        <v>24676</v>
      </c>
      <c r="D13805" s="27" t="s">
        <v>17558</v>
      </c>
      <c r="E13805" s="29">
        <v>40086</v>
      </c>
      <c r="F13805" s="27">
        <v>7</v>
      </c>
      <c r="G13805" s="18">
        <v>5070</v>
      </c>
      <c r="H13805" s="27">
        <f t="shared" si="430"/>
        <v>5070</v>
      </c>
      <c r="I13805" s="18">
        <v>4816.5</v>
      </c>
      <c r="J13805" s="27">
        <v>5070</v>
      </c>
      <c r="K13805" s="18">
        <f t="shared" si="431"/>
        <v>5070</v>
      </c>
      <c r="L13805" s="27">
        <v>4816.5</v>
      </c>
      <c r="M13805" s="36">
        <v>0</v>
      </c>
      <c r="T13805" s="41">
        <v>0</v>
      </c>
      <c r="U13805" s="41">
        <v>0</v>
      </c>
      <c r="V13805" s="42" t="s">
        <v>113</v>
      </c>
      <c r="W13805" s="42">
        <v>5070</v>
      </c>
      <c r="X13805" s="42">
        <v>5070</v>
      </c>
    </row>
    <row r="13806" spans="1:24">
      <c r="A13806" s="27" t="s">
        <v>24677</v>
      </c>
      <c r="B13806" s="28" t="s">
        <v>24288</v>
      </c>
      <c r="C13806" s="27" t="s">
        <v>24678</v>
      </c>
      <c r="D13806" s="27" t="s">
        <v>17558</v>
      </c>
      <c r="E13806" s="29">
        <v>39629</v>
      </c>
      <c r="F13806" s="27">
        <v>7</v>
      </c>
      <c r="G13806" s="18">
        <v>9980</v>
      </c>
      <c r="H13806" s="27">
        <f t="shared" si="430"/>
        <v>9980</v>
      </c>
      <c r="I13806" s="18">
        <v>9481</v>
      </c>
      <c r="J13806" s="27">
        <v>9980</v>
      </c>
      <c r="K13806" s="18">
        <f t="shared" si="431"/>
        <v>9980</v>
      </c>
      <c r="L13806" s="27">
        <v>9481</v>
      </c>
      <c r="M13806" s="36">
        <v>0</v>
      </c>
      <c r="T13806" s="41">
        <v>0</v>
      </c>
      <c r="U13806" s="41">
        <v>0</v>
      </c>
      <c r="V13806" s="42" t="s">
        <v>113</v>
      </c>
      <c r="W13806" s="42">
        <v>9980</v>
      </c>
      <c r="X13806" s="42">
        <v>9980</v>
      </c>
    </row>
    <row r="13807" spans="1:24">
      <c r="A13807" s="27" t="s">
        <v>24679</v>
      </c>
      <c r="B13807" s="28" t="s">
        <v>24288</v>
      </c>
      <c r="C13807" s="27" t="s">
        <v>24680</v>
      </c>
      <c r="D13807" s="27" t="s">
        <v>17558</v>
      </c>
      <c r="E13807" s="29">
        <v>40086</v>
      </c>
      <c r="F13807" s="27">
        <v>7</v>
      </c>
      <c r="G13807" s="18">
        <v>4700</v>
      </c>
      <c r="H13807" s="27">
        <f t="shared" si="430"/>
        <v>4700</v>
      </c>
      <c r="I13807" s="18">
        <v>4700</v>
      </c>
      <c r="J13807" s="27">
        <v>4700</v>
      </c>
      <c r="K13807" s="18">
        <f t="shared" si="431"/>
        <v>4700</v>
      </c>
      <c r="L13807" s="27">
        <v>4700</v>
      </c>
      <c r="M13807" s="36">
        <v>0</v>
      </c>
      <c r="T13807" s="41">
        <v>0</v>
      </c>
      <c r="U13807" s="41">
        <v>0</v>
      </c>
      <c r="V13807" s="42" t="s">
        <v>113</v>
      </c>
      <c r="W13807" s="42">
        <v>4700</v>
      </c>
      <c r="X13807" s="42">
        <v>4700</v>
      </c>
    </row>
    <row r="13808" spans="1:24">
      <c r="A13808" s="27" t="s">
        <v>24681</v>
      </c>
      <c r="B13808" s="28" t="s">
        <v>24288</v>
      </c>
      <c r="C13808" s="27" t="s">
        <v>24682</v>
      </c>
      <c r="D13808" s="27" t="s">
        <v>17558</v>
      </c>
      <c r="E13808" s="29">
        <v>39994</v>
      </c>
      <c r="F13808" s="27">
        <v>7</v>
      </c>
      <c r="G13808" s="18">
        <v>8700</v>
      </c>
      <c r="H13808" s="27">
        <f t="shared" si="430"/>
        <v>8700</v>
      </c>
      <c r="I13808" s="18">
        <v>8265</v>
      </c>
      <c r="J13808" s="27">
        <v>8700</v>
      </c>
      <c r="K13808" s="18">
        <f t="shared" si="431"/>
        <v>8700</v>
      </c>
      <c r="L13808" s="27">
        <v>8265</v>
      </c>
      <c r="M13808" s="36">
        <v>0</v>
      </c>
      <c r="T13808" s="41">
        <v>0</v>
      </c>
      <c r="U13808" s="41">
        <v>0</v>
      </c>
      <c r="V13808" s="42" t="s">
        <v>113</v>
      </c>
      <c r="W13808" s="42">
        <v>8700</v>
      </c>
      <c r="X13808" s="42">
        <v>8700</v>
      </c>
    </row>
    <row r="13809" spans="1:24">
      <c r="A13809" s="27" t="s">
        <v>24683</v>
      </c>
      <c r="B13809" s="28" t="s">
        <v>24288</v>
      </c>
      <c r="C13809" s="27" t="s">
        <v>24684</v>
      </c>
      <c r="D13809" s="27" t="s">
        <v>17558</v>
      </c>
      <c r="E13809" s="29">
        <v>38290</v>
      </c>
      <c r="F13809" s="27">
        <v>7</v>
      </c>
      <c r="G13809" s="18">
        <v>2450</v>
      </c>
      <c r="H13809" s="27">
        <f t="shared" si="430"/>
        <v>2450</v>
      </c>
      <c r="I13809" s="18">
        <v>2450</v>
      </c>
      <c r="J13809" s="27">
        <v>2450</v>
      </c>
      <c r="K13809" s="18">
        <f t="shared" si="431"/>
        <v>2450</v>
      </c>
      <c r="L13809" s="27">
        <v>2450</v>
      </c>
      <c r="M13809" s="36">
        <v>0</v>
      </c>
      <c r="T13809" s="41">
        <v>0</v>
      </c>
      <c r="U13809" s="41">
        <v>0</v>
      </c>
      <c r="V13809" s="42" t="s">
        <v>113</v>
      </c>
      <c r="W13809" s="42">
        <v>2450</v>
      </c>
      <c r="X13809" s="42">
        <v>2450</v>
      </c>
    </row>
    <row r="13810" spans="1:24">
      <c r="A13810" s="27" t="s">
        <v>24685</v>
      </c>
      <c r="B13810" s="28" t="s">
        <v>24288</v>
      </c>
      <c r="C13810" s="27" t="s">
        <v>24686</v>
      </c>
      <c r="D13810" s="27" t="s">
        <v>17558</v>
      </c>
      <c r="E13810" s="29">
        <v>40178</v>
      </c>
      <c r="F13810" s="27">
        <v>7</v>
      </c>
      <c r="G13810" s="18">
        <v>1900</v>
      </c>
      <c r="H13810" s="27">
        <f t="shared" si="430"/>
        <v>1900</v>
      </c>
      <c r="I13810" s="18">
        <v>1900</v>
      </c>
      <c r="J13810" s="27">
        <v>1900</v>
      </c>
      <c r="K13810" s="18">
        <f t="shared" si="431"/>
        <v>1900</v>
      </c>
      <c r="L13810" s="27">
        <v>1900</v>
      </c>
      <c r="M13810" s="36">
        <v>0</v>
      </c>
      <c r="T13810" s="41">
        <v>0</v>
      </c>
      <c r="U13810" s="41">
        <v>0</v>
      </c>
      <c r="V13810" s="42" t="s">
        <v>113</v>
      </c>
      <c r="W13810" s="42">
        <v>1900</v>
      </c>
      <c r="X13810" s="42">
        <v>1900</v>
      </c>
    </row>
    <row r="13811" spans="1:24">
      <c r="A13811" s="27" t="s">
        <v>24687</v>
      </c>
      <c r="B13811" s="28" t="s">
        <v>24288</v>
      </c>
      <c r="C13811" s="27" t="s">
        <v>24688</v>
      </c>
      <c r="D13811" s="27" t="s">
        <v>17558</v>
      </c>
      <c r="E13811" s="29">
        <v>40055</v>
      </c>
      <c r="F13811" s="27">
        <v>7</v>
      </c>
      <c r="G13811" s="18">
        <v>5600</v>
      </c>
      <c r="H13811" s="27">
        <f t="shared" si="430"/>
        <v>5600</v>
      </c>
      <c r="I13811" s="18">
        <v>5320</v>
      </c>
      <c r="J13811" s="27">
        <v>5600</v>
      </c>
      <c r="K13811" s="18">
        <f t="shared" si="431"/>
        <v>5600</v>
      </c>
      <c r="L13811" s="27">
        <v>5320</v>
      </c>
      <c r="M13811" s="36">
        <v>0</v>
      </c>
      <c r="T13811" s="41">
        <v>0</v>
      </c>
      <c r="U13811" s="41">
        <v>0</v>
      </c>
      <c r="V13811" s="42" t="s">
        <v>113</v>
      </c>
      <c r="W13811" s="42">
        <v>5600</v>
      </c>
      <c r="X13811" s="42">
        <v>5600</v>
      </c>
    </row>
    <row r="13812" spans="1:24">
      <c r="A13812" s="27" t="s">
        <v>24689</v>
      </c>
      <c r="B13812" s="28" t="s">
        <v>24288</v>
      </c>
      <c r="C13812" s="27" t="s">
        <v>24690</v>
      </c>
      <c r="D13812" s="27" t="s">
        <v>17558</v>
      </c>
      <c r="E13812" s="29">
        <v>39963</v>
      </c>
      <c r="F13812" s="27">
        <v>7</v>
      </c>
      <c r="G13812" s="18">
        <v>3260</v>
      </c>
      <c r="H13812" s="27">
        <f t="shared" si="430"/>
        <v>3260</v>
      </c>
      <c r="I13812" s="18">
        <v>3260</v>
      </c>
      <c r="J13812" s="27">
        <v>3260</v>
      </c>
      <c r="K13812" s="18">
        <f t="shared" si="431"/>
        <v>3260</v>
      </c>
      <c r="L13812" s="27">
        <v>3260</v>
      </c>
      <c r="M13812" s="36">
        <v>0</v>
      </c>
      <c r="T13812" s="41">
        <v>0</v>
      </c>
      <c r="U13812" s="41">
        <v>0</v>
      </c>
      <c r="V13812" s="42" t="s">
        <v>113</v>
      </c>
      <c r="W13812" s="42">
        <v>3260</v>
      </c>
      <c r="X13812" s="42">
        <v>3260</v>
      </c>
    </row>
    <row r="13813" spans="1:24">
      <c r="A13813" s="27" t="s">
        <v>24691</v>
      </c>
      <c r="B13813" s="28" t="s">
        <v>24288</v>
      </c>
      <c r="C13813" s="27" t="s">
        <v>24692</v>
      </c>
      <c r="D13813" s="27" t="s">
        <v>17558</v>
      </c>
      <c r="E13813" s="29">
        <v>39071</v>
      </c>
      <c r="F13813" s="27">
        <v>7</v>
      </c>
      <c r="G13813" s="18">
        <v>22500</v>
      </c>
      <c r="H13813" s="27">
        <f t="shared" si="430"/>
        <v>22500</v>
      </c>
      <c r="I13813" s="18">
        <v>21375</v>
      </c>
      <c r="J13813" s="27">
        <v>22500</v>
      </c>
      <c r="K13813" s="18">
        <f t="shared" si="431"/>
        <v>22500</v>
      </c>
      <c r="L13813" s="27">
        <v>21375</v>
      </c>
      <c r="M13813" s="36">
        <v>0</v>
      </c>
      <c r="T13813" s="41">
        <v>0</v>
      </c>
      <c r="U13813" s="41">
        <v>0</v>
      </c>
      <c r="V13813" s="42" t="s">
        <v>113</v>
      </c>
      <c r="W13813" s="42">
        <v>22500</v>
      </c>
      <c r="X13813" s="42">
        <v>22500</v>
      </c>
    </row>
    <row r="13814" spans="1:24">
      <c r="A13814" s="27" t="s">
        <v>24693</v>
      </c>
      <c r="B13814" s="28" t="s">
        <v>24288</v>
      </c>
      <c r="C13814" s="27" t="s">
        <v>24694</v>
      </c>
      <c r="D13814" s="27" t="s">
        <v>17558</v>
      </c>
      <c r="E13814" s="29">
        <v>39568</v>
      </c>
      <c r="F13814" s="27">
        <v>7</v>
      </c>
      <c r="G13814" s="18">
        <v>16700</v>
      </c>
      <c r="H13814" s="27">
        <f t="shared" si="430"/>
        <v>16700</v>
      </c>
      <c r="I13814" s="18">
        <v>15865</v>
      </c>
      <c r="J13814" s="27">
        <v>16700</v>
      </c>
      <c r="K13814" s="18">
        <f t="shared" si="431"/>
        <v>16700</v>
      </c>
      <c r="L13814" s="27">
        <v>15865</v>
      </c>
      <c r="M13814" s="36">
        <v>0</v>
      </c>
      <c r="T13814" s="41">
        <v>0</v>
      </c>
      <c r="U13814" s="41">
        <v>0</v>
      </c>
      <c r="V13814" s="42" t="s">
        <v>113</v>
      </c>
      <c r="W13814" s="42">
        <v>16700</v>
      </c>
      <c r="X13814" s="42">
        <v>16700</v>
      </c>
    </row>
    <row r="13815" spans="1:24">
      <c r="A13815" s="27" t="s">
        <v>24695</v>
      </c>
      <c r="B13815" s="28" t="s">
        <v>24288</v>
      </c>
      <c r="C13815" s="27" t="s">
        <v>24696</v>
      </c>
      <c r="D13815" s="27" t="s">
        <v>17578</v>
      </c>
      <c r="E13815" s="29">
        <v>40178</v>
      </c>
      <c r="F13815" s="27">
        <v>7</v>
      </c>
      <c r="G13815" s="18">
        <v>193000</v>
      </c>
      <c r="H13815" s="27">
        <f t="shared" si="430"/>
        <v>193000</v>
      </c>
      <c r="I13815" s="18">
        <v>183350</v>
      </c>
      <c r="J13815" s="27">
        <v>193000</v>
      </c>
      <c r="K13815" s="18">
        <f t="shared" si="431"/>
        <v>193000</v>
      </c>
      <c r="L13815" s="27">
        <v>183350</v>
      </c>
      <c r="M13815" s="36">
        <v>0</v>
      </c>
      <c r="T13815" s="41">
        <v>0</v>
      </c>
      <c r="U13815" s="41">
        <v>0</v>
      </c>
      <c r="V13815" s="42" t="s">
        <v>113</v>
      </c>
      <c r="W13815" s="42">
        <v>193000</v>
      </c>
      <c r="X13815" s="42">
        <v>193000</v>
      </c>
    </row>
    <row r="13816" spans="1:24">
      <c r="A13816" s="27" t="s">
        <v>24697</v>
      </c>
      <c r="B13816" s="28" t="s">
        <v>24288</v>
      </c>
      <c r="C13816" s="27" t="s">
        <v>24698</v>
      </c>
      <c r="D13816" s="27" t="s">
        <v>17558</v>
      </c>
      <c r="E13816" s="29">
        <v>39475</v>
      </c>
      <c r="F13816" s="27">
        <v>7</v>
      </c>
      <c r="G13816" s="18">
        <v>3080</v>
      </c>
      <c r="H13816" s="27">
        <f t="shared" si="430"/>
        <v>3080</v>
      </c>
      <c r="I13816" s="18">
        <v>3080</v>
      </c>
      <c r="J13816" s="27">
        <v>3080</v>
      </c>
      <c r="K13816" s="18">
        <f t="shared" si="431"/>
        <v>3080</v>
      </c>
      <c r="L13816" s="27">
        <v>3080</v>
      </c>
      <c r="M13816" s="36">
        <v>0</v>
      </c>
      <c r="T13816" s="41">
        <v>0</v>
      </c>
      <c r="U13816" s="41">
        <v>0</v>
      </c>
      <c r="V13816" s="42" t="s">
        <v>113</v>
      </c>
      <c r="W13816" s="42">
        <v>3080</v>
      </c>
      <c r="X13816" s="42">
        <v>3080</v>
      </c>
    </row>
    <row r="13817" spans="1:24">
      <c r="A13817" s="27" t="s">
        <v>24699</v>
      </c>
      <c r="B13817" s="28" t="s">
        <v>24288</v>
      </c>
      <c r="C13817" s="27" t="s">
        <v>24700</v>
      </c>
      <c r="D13817" s="27" t="s">
        <v>17558</v>
      </c>
      <c r="E13817" s="29">
        <v>40086</v>
      </c>
      <c r="F13817" s="27">
        <v>7</v>
      </c>
      <c r="G13817" s="18">
        <v>12600</v>
      </c>
      <c r="H13817" s="27">
        <f t="shared" si="430"/>
        <v>12600</v>
      </c>
      <c r="I13817" s="18">
        <v>11970</v>
      </c>
      <c r="J13817" s="27">
        <v>12600</v>
      </c>
      <c r="K13817" s="18">
        <f t="shared" si="431"/>
        <v>12600</v>
      </c>
      <c r="L13817" s="27">
        <v>11970</v>
      </c>
      <c r="M13817" s="36">
        <v>0</v>
      </c>
      <c r="T13817" s="41">
        <v>0</v>
      </c>
      <c r="U13817" s="41">
        <v>0</v>
      </c>
      <c r="V13817" s="42" t="s">
        <v>113</v>
      </c>
      <c r="W13817" s="42">
        <v>12600</v>
      </c>
      <c r="X13817" s="42">
        <v>12600</v>
      </c>
    </row>
    <row r="13818" spans="1:24">
      <c r="A13818" s="27" t="s">
        <v>24701</v>
      </c>
      <c r="B13818" s="28" t="s">
        <v>24288</v>
      </c>
      <c r="C13818" s="27" t="s">
        <v>24702</v>
      </c>
      <c r="D13818" s="27" t="s">
        <v>17558</v>
      </c>
      <c r="E13818" s="29">
        <v>39963</v>
      </c>
      <c r="F13818" s="27">
        <v>7</v>
      </c>
      <c r="G13818" s="18">
        <v>2700</v>
      </c>
      <c r="H13818" s="27">
        <f t="shared" si="430"/>
        <v>2700</v>
      </c>
      <c r="I13818" s="18">
        <v>2700</v>
      </c>
      <c r="J13818" s="27">
        <v>2700</v>
      </c>
      <c r="K13818" s="18">
        <f t="shared" si="431"/>
        <v>2700</v>
      </c>
      <c r="L13818" s="27">
        <v>2700</v>
      </c>
      <c r="M13818" s="36">
        <v>0</v>
      </c>
      <c r="T13818" s="41">
        <v>0</v>
      </c>
      <c r="U13818" s="41">
        <v>0</v>
      </c>
      <c r="V13818" s="42" t="s">
        <v>113</v>
      </c>
      <c r="W13818" s="42">
        <v>2700</v>
      </c>
      <c r="X13818" s="42">
        <v>2700</v>
      </c>
    </row>
    <row r="13819" spans="1:24">
      <c r="A13819" s="27" t="s">
        <v>24703</v>
      </c>
      <c r="B13819" s="28" t="s">
        <v>24288</v>
      </c>
      <c r="C13819" s="27" t="s">
        <v>24704</v>
      </c>
      <c r="D13819" s="27" t="s">
        <v>17558</v>
      </c>
      <c r="E13819" s="29">
        <v>40178</v>
      </c>
      <c r="F13819" s="27">
        <v>7</v>
      </c>
      <c r="G13819" s="18">
        <v>2222.2600000000002</v>
      </c>
      <c r="H13819" s="27">
        <f t="shared" si="430"/>
        <v>2222.2600000000002</v>
      </c>
      <c r="I13819" s="18">
        <v>2222.2600000000002</v>
      </c>
      <c r="J13819" s="27">
        <v>2222.2600000000002</v>
      </c>
      <c r="K13819" s="18">
        <f t="shared" si="431"/>
        <v>2222.2600000000002</v>
      </c>
      <c r="L13819" s="27">
        <v>2222.2600000000002</v>
      </c>
      <c r="M13819" s="36">
        <v>0</v>
      </c>
      <c r="T13819" s="41">
        <v>0</v>
      </c>
      <c r="U13819" s="41">
        <v>0</v>
      </c>
      <c r="V13819" s="42" t="s">
        <v>113</v>
      </c>
      <c r="W13819" s="42">
        <v>2222.2600000000002</v>
      </c>
      <c r="X13819" s="42">
        <v>2222.2600000000002</v>
      </c>
    </row>
    <row r="13820" spans="1:24">
      <c r="A13820" s="27" t="s">
        <v>24705</v>
      </c>
      <c r="B13820" s="28" t="s">
        <v>24288</v>
      </c>
      <c r="C13820" s="27" t="s">
        <v>24706</v>
      </c>
      <c r="D13820" s="27" t="s">
        <v>17558</v>
      </c>
      <c r="E13820" s="29">
        <v>39902</v>
      </c>
      <c r="F13820" s="27">
        <v>7</v>
      </c>
      <c r="G13820" s="18">
        <v>2450</v>
      </c>
      <c r="H13820" s="27">
        <f t="shared" si="430"/>
        <v>2450</v>
      </c>
      <c r="I13820" s="18">
        <v>2450</v>
      </c>
      <c r="J13820" s="27">
        <v>2450</v>
      </c>
      <c r="K13820" s="18">
        <f t="shared" si="431"/>
        <v>2450</v>
      </c>
      <c r="L13820" s="27">
        <v>2450</v>
      </c>
      <c r="M13820" s="36">
        <v>0</v>
      </c>
      <c r="T13820" s="41">
        <v>0</v>
      </c>
      <c r="U13820" s="41">
        <v>0</v>
      </c>
      <c r="V13820" s="42" t="s">
        <v>113</v>
      </c>
      <c r="W13820" s="42">
        <v>2450</v>
      </c>
      <c r="X13820" s="42">
        <v>2450</v>
      </c>
    </row>
    <row r="13821" spans="1:24">
      <c r="A13821" s="27" t="s">
        <v>24707</v>
      </c>
      <c r="B13821" s="28" t="s">
        <v>24288</v>
      </c>
      <c r="C13821" s="27" t="s">
        <v>24708</v>
      </c>
      <c r="D13821" s="27" t="s">
        <v>17558</v>
      </c>
      <c r="E13821" s="29">
        <v>39963</v>
      </c>
      <c r="F13821" s="27">
        <v>7</v>
      </c>
      <c r="G13821" s="18">
        <v>7400</v>
      </c>
      <c r="H13821" s="27">
        <f t="shared" si="430"/>
        <v>7400</v>
      </c>
      <c r="I13821" s="18">
        <v>7030</v>
      </c>
      <c r="J13821" s="27">
        <v>7400</v>
      </c>
      <c r="K13821" s="18">
        <f t="shared" si="431"/>
        <v>7400</v>
      </c>
      <c r="L13821" s="27">
        <v>7030</v>
      </c>
      <c r="M13821" s="36">
        <v>0</v>
      </c>
      <c r="T13821" s="41">
        <v>0</v>
      </c>
      <c r="U13821" s="41">
        <v>0</v>
      </c>
      <c r="V13821" s="42" t="s">
        <v>113</v>
      </c>
      <c r="W13821" s="42">
        <v>7400</v>
      </c>
      <c r="X13821" s="42">
        <v>7400</v>
      </c>
    </row>
    <row r="13822" spans="1:24">
      <c r="A13822" s="27" t="s">
        <v>24709</v>
      </c>
      <c r="B13822" s="28" t="s">
        <v>24288</v>
      </c>
      <c r="C13822" s="27" t="s">
        <v>24710</v>
      </c>
      <c r="D13822" s="27" t="s">
        <v>17558</v>
      </c>
      <c r="E13822" s="29">
        <v>40178</v>
      </c>
      <c r="F13822" s="27">
        <v>7</v>
      </c>
      <c r="G13822" s="18">
        <v>11010</v>
      </c>
      <c r="H13822" s="27">
        <f t="shared" si="430"/>
        <v>11010</v>
      </c>
      <c r="I13822" s="18">
        <v>10459.5</v>
      </c>
      <c r="J13822" s="27">
        <v>11010</v>
      </c>
      <c r="K13822" s="18">
        <f t="shared" si="431"/>
        <v>11010</v>
      </c>
      <c r="L13822" s="27">
        <v>10459.5</v>
      </c>
      <c r="M13822" s="36">
        <v>0</v>
      </c>
      <c r="T13822" s="41">
        <v>0</v>
      </c>
      <c r="U13822" s="41">
        <v>0</v>
      </c>
      <c r="V13822" s="42" t="s">
        <v>113</v>
      </c>
      <c r="W13822" s="42">
        <v>11010</v>
      </c>
      <c r="X13822" s="42">
        <v>11010</v>
      </c>
    </row>
    <row r="13823" spans="1:24">
      <c r="A13823" s="27" t="s">
        <v>24711</v>
      </c>
      <c r="B13823" s="28" t="s">
        <v>24288</v>
      </c>
      <c r="C13823" s="27" t="s">
        <v>24712</v>
      </c>
      <c r="D13823" s="27" t="s">
        <v>17558</v>
      </c>
      <c r="E13823" s="29">
        <v>40086</v>
      </c>
      <c r="F13823" s="27">
        <v>7</v>
      </c>
      <c r="G13823" s="18">
        <v>2625</v>
      </c>
      <c r="H13823" s="27">
        <f t="shared" si="430"/>
        <v>2625</v>
      </c>
      <c r="I13823" s="18">
        <v>2625</v>
      </c>
      <c r="J13823" s="27">
        <v>2625</v>
      </c>
      <c r="K13823" s="18">
        <f t="shared" si="431"/>
        <v>2625</v>
      </c>
      <c r="L13823" s="27">
        <v>2625</v>
      </c>
      <c r="M13823" s="36">
        <v>0</v>
      </c>
      <c r="T13823" s="41">
        <v>0</v>
      </c>
      <c r="U13823" s="41">
        <v>0</v>
      </c>
      <c r="V13823" s="42" t="s">
        <v>113</v>
      </c>
      <c r="W13823" s="42">
        <v>2625</v>
      </c>
      <c r="X13823" s="42">
        <v>2625</v>
      </c>
    </row>
    <row r="13824" spans="1:24">
      <c r="A13824" s="27" t="s">
        <v>24713</v>
      </c>
      <c r="B13824" s="28" t="s">
        <v>24288</v>
      </c>
      <c r="C13824" s="27" t="s">
        <v>24714</v>
      </c>
      <c r="D13824" s="27" t="s">
        <v>17558</v>
      </c>
      <c r="E13824" s="29">
        <v>40116</v>
      </c>
      <c r="F13824" s="27">
        <v>7</v>
      </c>
      <c r="G13824" s="18">
        <v>19680</v>
      </c>
      <c r="H13824" s="27">
        <f t="shared" si="430"/>
        <v>19680</v>
      </c>
      <c r="I13824" s="18">
        <v>18696</v>
      </c>
      <c r="J13824" s="27">
        <v>19680</v>
      </c>
      <c r="K13824" s="18">
        <f t="shared" si="431"/>
        <v>19680</v>
      </c>
      <c r="L13824" s="27">
        <v>18696</v>
      </c>
      <c r="M13824" s="36">
        <v>0</v>
      </c>
      <c r="T13824" s="41">
        <v>0</v>
      </c>
      <c r="U13824" s="41">
        <v>0</v>
      </c>
      <c r="V13824" s="42" t="s">
        <v>113</v>
      </c>
      <c r="W13824" s="42">
        <v>19680</v>
      </c>
      <c r="X13824" s="42">
        <v>19680</v>
      </c>
    </row>
    <row r="13825" spans="1:24">
      <c r="A13825" s="27" t="s">
        <v>24715</v>
      </c>
      <c r="B13825" s="28" t="s">
        <v>24288</v>
      </c>
      <c r="C13825" s="27" t="s">
        <v>24716</v>
      </c>
      <c r="D13825" s="27" t="s">
        <v>17558</v>
      </c>
      <c r="E13825" s="29">
        <v>39963</v>
      </c>
      <c r="F13825" s="27">
        <v>7</v>
      </c>
      <c r="G13825" s="18">
        <v>2700</v>
      </c>
      <c r="H13825" s="27">
        <f t="shared" si="430"/>
        <v>2700</v>
      </c>
      <c r="I13825" s="18">
        <v>2700</v>
      </c>
      <c r="J13825" s="27">
        <v>2700</v>
      </c>
      <c r="K13825" s="18">
        <f t="shared" si="431"/>
        <v>2700</v>
      </c>
      <c r="L13825" s="27">
        <v>2700</v>
      </c>
      <c r="M13825" s="36">
        <v>0</v>
      </c>
      <c r="T13825" s="41">
        <v>0</v>
      </c>
      <c r="U13825" s="41">
        <v>0</v>
      </c>
      <c r="V13825" s="42" t="s">
        <v>113</v>
      </c>
      <c r="W13825" s="42">
        <v>2700</v>
      </c>
      <c r="X13825" s="42">
        <v>2700</v>
      </c>
    </row>
    <row r="13826" spans="1:24">
      <c r="A13826" s="27" t="s">
        <v>24717</v>
      </c>
      <c r="B13826" s="28" t="s">
        <v>24288</v>
      </c>
      <c r="C13826" s="27" t="s">
        <v>22457</v>
      </c>
      <c r="D13826" s="27" t="s">
        <v>17558</v>
      </c>
      <c r="E13826" s="29">
        <v>39077</v>
      </c>
      <c r="F13826" s="27">
        <v>7</v>
      </c>
      <c r="G13826" s="18">
        <v>475</v>
      </c>
      <c r="H13826" s="27">
        <f t="shared" si="430"/>
        <v>475</v>
      </c>
      <c r="I13826" s="18">
        <v>475</v>
      </c>
      <c r="J13826" s="27">
        <v>475</v>
      </c>
      <c r="K13826" s="18">
        <f t="shared" si="431"/>
        <v>475</v>
      </c>
      <c r="L13826" s="27">
        <v>475</v>
      </c>
      <c r="M13826" s="36">
        <v>0</v>
      </c>
      <c r="T13826" s="41">
        <v>0</v>
      </c>
      <c r="U13826" s="41">
        <v>0</v>
      </c>
      <c r="V13826" s="42" t="s">
        <v>113</v>
      </c>
      <c r="W13826" s="42">
        <v>475</v>
      </c>
      <c r="X13826" s="42">
        <v>475</v>
      </c>
    </row>
    <row r="13827" spans="1:24">
      <c r="A13827" s="27" t="s">
        <v>24718</v>
      </c>
      <c r="B13827" s="28" t="s">
        <v>24288</v>
      </c>
      <c r="C13827" s="27" t="s">
        <v>24719</v>
      </c>
      <c r="D13827" s="27" t="s">
        <v>17558</v>
      </c>
      <c r="E13827" s="29">
        <v>40055</v>
      </c>
      <c r="F13827" s="27">
        <v>7</v>
      </c>
      <c r="G13827" s="18">
        <v>8600</v>
      </c>
      <c r="H13827" s="27">
        <f t="shared" si="430"/>
        <v>8600</v>
      </c>
      <c r="I13827" s="18">
        <v>8170</v>
      </c>
      <c r="J13827" s="27">
        <v>8600</v>
      </c>
      <c r="K13827" s="18">
        <f t="shared" si="431"/>
        <v>8600</v>
      </c>
      <c r="L13827" s="27">
        <v>8170</v>
      </c>
      <c r="M13827" s="36">
        <v>0</v>
      </c>
      <c r="T13827" s="41">
        <v>0</v>
      </c>
      <c r="U13827" s="41">
        <v>0</v>
      </c>
      <c r="V13827" s="42" t="s">
        <v>113</v>
      </c>
      <c r="W13827" s="42">
        <v>8600</v>
      </c>
      <c r="X13827" s="42">
        <v>8600</v>
      </c>
    </row>
    <row r="13828" spans="1:24">
      <c r="A13828" s="27" t="s">
        <v>24720</v>
      </c>
      <c r="B13828" s="28" t="s">
        <v>24288</v>
      </c>
      <c r="C13828" s="27" t="s">
        <v>24721</v>
      </c>
      <c r="D13828" s="27" t="s">
        <v>17558</v>
      </c>
      <c r="E13828" s="29">
        <v>38806</v>
      </c>
      <c r="F13828" s="27">
        <v>7</v>
      </c>
      <c r="G13828" s="18">
        <v>8980</v>
      </c>
      <c r="H13828" s="27">
        <f t="shared" si="430"/>
        <v>8980</v>
      </c>
      <c r="I13828" s="18">
        <v>8531</v>
      </c>
      <c r="J13828" s="27">
        <v>8980</v>
      </c>
      <c r="K13828" s="18">
        <f t="shared" si="431"/>
        <v>8980</v>
      </c>
      <c r="L13828" s="27">
        <v>8531</v>
      </c>
      <c r="M13828" s="36">
        <v>0</v>
      </c>
      <c r="T13828" s="41">
        <v>0</v>
      </c>
      <c r="U13828" s="41">
        <v>0</v>
      </c>
      <c r="V13828" s="42" t="s">
        <v>113</v>
      </c>
      <c r="W13828" s="42">
        <v>8980</v>
      </c>
      <c r="X13828" s="42">
        <v>8980</v>
      </c>
    </row>
    <row r="13829" spans="1:24">
      <c r="A13829" s="27" t="s">
        <v>24722</v>
      </c>
      <c r="B13829" s="28" t="s">
        <v>24288</v>
      </c>
      <c r="C13829" s="27" t="s">
        <v>24723</v>
      </c>
      <c r="D13829" s="27" t="s">
        <v>17558</v>
      </c>
      <c r="E13829" s="29">
        <v>39963</v>
      </c>
      <c r="F13829" s="27">
        <v>7</v>
      </c>
      <c r="G13829" s="18">
        <v>5600</v>
      </c>
      <c r="H13829" s="27">
        <f t="shared" si="430"/>
        <v>5600</v>
      </c>
      <c r="I13829" s="18">
        <v>5320</v>
      </c>
      <c r="J13829" s="27">
        <v>5600</v>
      </c>
      <c r="K13829" s="18">
        <f t="shared" si="431"/>
        <v>5600</v>
      </c>
      <c r="L13829" s="27">
        <v>5320</v>
      </c>
      <c r="M13829" s="36">
        <v>0</v>
      </c>
      <c r="T13829" s="41">
        <v>0</v>
      </c>
      <c r="U13829" s="41">
        <v>0</v>
      </c>
      <c r="V13829" s="42" t="s">
        <v>113</v>
      </c>
      <c r="W13829" s="42">
        <v>5600</v>
      </c>
      <c r="X13829" s="42">
        <v>5600</v>
      </c>
    </row>
    <row r="13830" spans="1:24">
      <c r="A13830" s="27" t="s">
        <v>24724</v>
      </c>
      <c r="B13830" s="28" t="s">
        <v>24288</v>
      </c>
      <c r="C13830" s="27" t="s">
        <v>24725</v>
      </c>
      <c r="D13830" s="27" t="s">
        <v>17558</v>
      </c>
      <c r="E13830" s="29">
        <v>40178</v>
      </c>
      <c r="F13830" s="27">
        <v>7</v>
      </c>
      <c r="G13830" s="18">
        <v>163000</v>
      </c>
      <c r="H13830" s="27">
        <f t="shared" ref="H13830:H13893" si="432">IFERROR(IF(ROUND((G13830-I13830)/G13830,2)&lt;=0.05,G13830,0),0)</f>
        <v>163000</v>
      </c>
      <c r="I13830" s="18">
        <v>154850</v>
      </c>
      <c r="J13830" s="27">
        <v>163000</v>
      </c>
      <c r="K13830" s="18">
        <f t="shared" ref="K13830:K13893" si="433">IFERROR(IF(ROUND((J13830-L13830)/J13830,2)&lt;=0.05,J13830,0),0)</f>
        <v>163000</v>
      </c>
      <c r="L13830" s="27">
        <v>154850</v>
      </c>
      <c r="M13830" s="36">
        <v>0</v>
      </c>
      <c r="T13830" s="41">
        <v>0</v>
      </c>
      <c r="U13830" s="41">
        <v>0</v>
      </c>
      <c r="V13830" s="42" t="s">
        <v>113</v>
      </c>
      <c r="W13830" s="42">
        <v>163000</v>
      </c>
      <c r="X13830" s="42">
        <v>163000</v>
      </c>
    </row>
    <row r="13831" spans="1:24">
      <c r="A13831" s="27" t="s">
        <v>24726</v>
      </c>
      <c r="B13831" s="28" t="s">
        <v>24288</v>
      </c>
      <c r="C13831" s="27" t="s">
        <v>24727</v>
      </c>
      <c r="D13831" s="27" t="s">
        <v>17558</v>
      </c>
      <c r="E13831" s="29">
        <v>40116</v>
      </c>
      <c r="F13831" s="27">
        <v>7</v>
      </c>
      <c r="G13831" s="18">
        <v>9100</v>
      </c>
      <c r="H13831" s="27">
        <f t="shared" si="432"/>
        <v>9100</v>
      </c>
      <c r="I13831" s="18">
        <v>8645</v>
      </c>
      <c r="J13831" s="27">
        <v>9100</v>
      </c>
      <c r="K13831" s="18">
        <f t="shared" si="433"/>
        <v>9100</v>
      </c>
      <c r="L13831" s="27">
        <v>8645</v>
      </c>
      <c r="M13831" s="36">
        <v>0</v>
      </c>
      <c r="T13831" s="41">
        <v>0</v>
      </c>
      <c r="U13831" s="41">
        <v>0</v>
      </c>
      <c r="V13831" s="42" t="s">
        <v>113</v>
      </c>
      <c r="W13831" s="42">
        <v>9100</v>
      </c>
      <c r="X13831" s="42">
        <v>9100</v>
      </c>
    </row>
    <row r="13832" spans="1:24">
      <c r="A13832" s="27" t="s">
        <v>24728</v>
      </c>
      <c r="B13832" s="28" t="s">
        <v>24288</v>
      </c>
      <c r="C13832" s="27" t="s">
        <v>24729</v>
      </c>
      <c r="D13832" s="27" t="s">
        <v>17558</v>
      </c>
      <c r="E13832" s="29">
        <v>39447</v>
      </c>
      <c r="F13832" s="27">
        <v>7</v>
      </c>
      <c r="G13832" s="18">
        <v>9500</v>
      </c>
      <c r="H13832" s="27">
        <f t="shared" si="432"/>
        <v>9500</v>
      </c>
      <c r="I13832" s="18">
        <v>9025</v>
      </c>
      <c r="J13832" s="27">
        <v>9500</v>
      </c>
      <c r="K13832" s="18">
        <f t="shared" si="433"/>
        <v>9500</v>
      </c>
      <c r="L13832" s="27">
        <v>9025</v>
      </c>
      <c r="M13832" s="36">
        <v>0</v>
      </c>
      <c r="T13832" s="41">
        <v>0</v>
      </c>
      <c r="U13832" s="41">
        <v>0</v>
      </c>
      <c r="V13832" s="42" t="s">
        <v>113</v>
      </c>
      <c r="W13832" s="42">
        <v>9500</v>
      </c>
      <c r="X13832" s="42">
        <v>9500</v>
      </c>
    </row>
    <row r="13833" spans="1:24">
      <c r="A13833" s="27" t="s">
        <v>24730</v>
      </c>
      <c r="B13833" s="28" t="s">
        <v>24288</v>
      </c>
      <c r="C13833" s="27" t="s">
        <v>24731</v>
      </c>
      <c r="D13833" s="27" t="s">
        <v>17558</v>
      </c>
      <c r="E13833" s="29">
        <v>40055</v>
      </c>
      <c r="F13833" s="27">
        <v>7</v>
      </c>
      <c r="G13833" s="18">
        <v>21600</v>
      </c>
      <c r="H13833" s="27">
        <f t="shared" si="432"/>
        <v>21600</v>
      </c>
      <c r="I13833" s="18">
        <v>20520</v>
      </c>
      <c r="J13833" s="27">
        <v>21600</v>
      </c>
      <c r="K13833" s="18">
        <f t="shared" si="433"/>
        <v>21600</v>
      </c>
      <c r="L13833" s="27">
        <v>20520</v>
      </c>
      <c r="M13833" s="36">
        <v>0</v>
      </c>
      <c r="T13833" s="41">
        <v>0</v>
      </c>
      <c r="U13833" s="41">
        <v>0</v>
      </c>
      <c r="V13833" s="42" t="s">
        <v>113</v>
      </c>
      <c r="W13833" s="42">
        <v>21600</v>
      </c>
      <c r="X13833" s="42">
        <v>21600</v>
      </c>
    </row>
    <row r="13834" spans="1:24">
      <c r="A13834" s="27" t="s">
        <v>24732</v>
      </c>
      <c r="B13834" s="28" t="s">
        <v>24288</v>
      </c>
      <c r="C13834" s="27" t="s">
        <v>24733</v>
      </c>
      <c r="D13834" s="27" t="s">
        <v>17558</v>
      </c>
      <c r="E13834" s="29">
        <v>40055</v>
      </c>
      <c r="F13834" s="27">
        <v>7</v>
      </c>
      <c r="G13834" s="18">
        <v>17600</v>
      </c>
      <c r="H13834" s="27">
        <f t="shared" si="432"/>
        <v>17600</v>
      </c>
      <c r="I13834" s="18">
        <v>16720</v>
      </c>
      <c r="J13834" s="27">
        <v>17600</v>
      </c>
      <c r="K13834" s="18">
        <f t="shared" si="433"/>
        <v>17600</v>
      </c>
      <c r="L13834" s="27">
        <v>16720</v>
      </c>
      <c r="M13834" s="36">
        <v>0</v>
      </c>
      <c r="T13834" s="41">
        <v>0</v>
      </c>
      <c r="U13834" s="41">
        <v>0</v>
      </c>
      <c r="V13834" s="42" t="s">
        <v>113</v>
      </c>
      <c r="W13834" s="42">
        <v>17600</v>
      </c>
      <c r="X13834" s="42">
        <v>17600</v>
      </c>
    </row>
    <row r="13835" spans="1:24">
      <c r="A13835" s="27" t="s">
        <v>24734</v>
      </c>
      <c r="B13835" s="28" t="s">
        <v>24288</v>
      </c>
      <c r="C13835" s="27" t="s">
        <v>24735</v>
      </c>
      <c r="D13835" s="27" t="s">
        <v>17558</v>
      </c>
      <c r="E13835" s="29">
        <v>39963</v>
      </c>
      <c r="F13835" s="27">
        <v>7</v>
      </c>
      <c r="G13835" s="18">
        <v>19920</v>
      </c>
      <c r="H13835" s="27">
        <f t="shared" si="432"/>
        <v>19920</v>
      </c>
      <c r="I13835" s="18">
        <v>18924</v>
      </c>
      <c r="J13835" s="27">
        <v>19920</v>
      </c>
      <c r="K13835" s="18">
        <f t="shared" si="433"/>
        <v>19920</v>
      </c>
      <c r="L13835" s="27">
        <v>18924</v>
      </c>
      <c r="M13835" s="36">
        <v>0</v>
      </c>
      <c r="T13835" s="41">
        <v>0</v>
      </c>
      <c r="U13835" s="41">
        <v>0</v>
      </c>
      <c r="V13835" s="42" t="s">
        <v>113</v>
      </c>
      <c r="W13835" s="42">
        <v>19920</v>
      </c>
      <c r="X13835" s="42">
        <v>19920</v>
      </c>
    </row>
    <row r="13836" spans="1:24">
      <c r="A13836" s="27" t="s">
        <v>24736</v>
      </c>
      <c r="B13836" s="28" t="s">
        <v>24288</v>
      </c>
      <c r="C13836" s="27" t="s">
        <v>24737</v>
      </c>
      <c r="D13836" s="27" t="s">
        <v>17578</v>
      </c>
      <c r="E13836" s="29">
        <v>39963</v>
      </c>
      <c r="F13836" s="27">
        <v>7</v>
      </c>
      <c r="G13836" s="18">
        <v>102000</v>
      </c>
      <c r="H13836" s="27">
        <f t="shared" si="432"/>
        <v>102000</v>
      </c>
      <c r="I13836" s="18">
        <v>96900</v>
      </c>
      <c r="J13836" s="27">
        <v>102000</v>
      </c>
      <c r="K13836" s="18">
        <f t="shared" si="433"/>
        <v>102000</v>
      </c>
      <c r="L13836" s="27">
        <v>96900</v>
      </c>
      <c r="M13836" s="36">
        <v>0</v>
      </c>
      <c r="T13836" s="41">
        <v>0</v>
      </c>
      <c r="U13836" s="41">
        <v>0</v>
      </c>
      <c r="V13836" s="42" t="s">
        <v>113</v>
      </c>
      <c r="W13836" s="42">
        <v>102000</v>
      </c>
      <c r="X13836" s="42">
        <v>102000</v>
      </c>
    </row>
    <row r="13837" spans="1:24">
      <c r="A13837" s="27" t="s">
        <v>24738</v>
      </c>
      <c r="B13837" s="28" t="s">
        <v>24288</v>
      </c>
      <c r="C13837" s="27" t="s">
        <v>21513</v>
      </c>
      <c r="D13837" s="27" t="s">
        <v>17578</v>
      </c>
      <c r="E13837" s="29">
        <v>39355</v>
      </c>
      <c r="F13837" s="27">
        <v>7</v>
      </c>
      <c r="G13837" s="18">
        <v>17500</v>
      </c>
      <c r="H13837" s="27">
        <f t="shared" si="432"/>
        <v>17500</v>
      </c>
      <c r="I13837" s="18">
        <v>16625</v>
      </c>
      <c r="J13837" s="27">
        <v>17500</v>
      </c>
      <c r="K13837" s="18">
        <f t="shared" si="433"/>
        <v>17500</v>
      </c>
      <c r="L13837" s="27">
        <v>16625</v>
      </c>
      <c r="M13837" s="36">
        <v>0</v>
      </c>
      <c r="T13837" s="41">
        <v>0</v>
      </c>
      <c r="U13837" s="41">
        <v>0</v>
      </c>
      <c r="V13837" s="42" t="s">
        <v>113</v>
      </c>
      <c r="W13837" s="42">
        <v>17500</v>
      </c>
      <c r="X13837" s="42">
        <v>17500</v>
      </c>
    </row>
    <row r="13838" spans="1:24">
      <c r="A13838" s="27" t="s">
        <v>24739</v>
      </c>
      <c r="B13838" s="28" t="s">
        <v>24288</v>
      </c>
      <c r="C13838" s="27" t="s">
        <v>24740</v>
      </c>
      <c r="D13838" s="27" t="s">
        <v>17578</v>
      </c>
      <c r="E13838" s="29">
        <v>40178</v>
      </c>
      <c r="F13838" s="27">
        <v>7</v>
      </c>
      <c r="G13838" s="18">
        <v>1940</v>
      </c>
      <c r="H13838" s="27">
        <f t="shared" si="432"/>
        <v>1940</v>
      </c>
      <c r="I13838" s="18">
        <v>1940</v>
      </c>
      <c r="J13838" s="27">
        <v>1940</v>
      </c>
      <c r="K13838" s="18">
        <f t="shared" si="433"/>
        <v>1940</v>
      </c>
      <c r="L13838" s="27">
        <v>1940</v>
      </c>
      <c r="M13838" s="36">
        <v>0</v>
      </c>
      <c r="T13838" s="41">
        <v>0</v>
      </c>
      <c r="U13838" s="41">
        <v>0</v>
      </c>
      <c r="V13838" s="42" t="s">
        <v>113</v>
      </c>
      <c r="W13838" s="42">
        <v>1940</v>
      </c>
      <c r="X13838" s="42">
        <v>1940</v>
      </c>
    </row>
    <row r="13839" spans="1:24">
      <c r="A13839" s="27" t="s">
        <v>24741</v>
      </c>
      <c r="B13839" s="28" t="s">
        <v>24288</v>
      </c>
      <c r="C13839" s="27" t="s">
        <v>24742</v>
      </c>
      <c r="D13839" s="27" t="s">
        <v>17558</v>
      </c>
      <c r="E13839" s="29">
        <v>39263</v>
      </c>
      <c r="F13839" s="27">
        <v>7</v>
      </c>
      <c r="G13839" s="18">
        <v>9000</v>
      </c>
      <c r="H13839" s="27">
        <f t="shared" si="432"/>
        <v>9000</v>
      </c>
      <c r="I13839" s="18">
        <v>8550</v>
      </c>
      <c r="J13839" s="27">
        <v>9000</v>
      </c>
      <c r="K13839" s="18">
        <f t="shared" si="433"/>
        <v>9000</v>
      </c>
      <c r="L13839" s="27">
        <v>8550</v>
      </c>
      <c r="M13839" s="36">
        <v>0</v>
      </c>
      <c r="T13839" s="41">
        <v>0</v>
      </c>
      <c r="U13839" s="41">
        <v>0</v>
      </c>
      <c r="V13839" s="42" t="s">
        <v>113</v>
      </c>
      <c r="W13839" s="42">
        <v>9000</v>
      </c>
      <c r="X13839" s="42">
        <v>9000</v>
      </c>
    </row>
    <row r="13840" spans="1:24">
      <c r="A13840" s="27" t="s">
        <v>24743</v>
      </c>
      <c r="B13840" s="28" t="s">
        <v>24288</v>
      </c>
      <c r="C13840" s="27" t="s">
        <v>24744</v>
      </c>
      <c r="D13840" s="27" t="s">
        <v>17558</v>
      </c>
      <c r="E13840" s="29">
        <v>40086</v>
      </c>
      <c r="F13840" s="27">
        <v>7</v>
      </c>
      <c r="G13840" s="18">
        <v>9890</v>
      </c>
      <c r="H13840" s="27">
        <f t="shared" si="432"/>
        <v>9890</v>
      </c>
      <c r="I13840" s="18">
        <v>9395.5</v>
      </c>
      <c r="J13840" s="27">
        <v>9890</v>
      </c>
      <c r="K13840" s="18">
        <f t="shared" si="433"/>
        <v>9890</v>
      </c>
      <c r="L13840" s="27">
        <v>9395.5</v>
      </c>
      <c r="M13840" s="36">
        <v>0</v>
      </c>
      <c r="T13840" s="41">
        <v>0</v>
      </c>
      <c r="U13840" s="41">
        <v>0</v>
      </c>
      <c r="V13840" s="42" t="s">
        <v>113</v>
      </c>
      <c r="W13840" s="42">
        <v>9890</v>
      </c>
      <c r="X13840" s="42">
        <v>9890</v>
      </c>
    </row>
    <row r="13841" spans="1:24">
      <c r="A13841" s="27" t="s">
        <v>24745</v>
      </c>
      <c r="B13841" s="28" t="s">
        <v>24288</v>
      </c>
      <c r="C13841" s="27" t="s">
        <v>24364</v>
      </c>
      <c r="D13841" s="27" t="s">
        <v>17558</v>
      </c>
      <c r="E13841" s="29">
        <v>39015</v>
      </c>
      <c r="F13841" s="27">
        <v>7</v>
      </c>
      <c r="G13841" s="18">
        <v>3650</v>
      </c>
      <c r="H13841" s="27">
        <f t="shared" si="432"/>
        <v>3650</v>
      </c>
      <c r="I13841" s="18">
        <v>3650</v>
      </c>
      <c r="J13841" s="27">
        <v>3650</v>
      </c>
      <c r="K13841" s="18">
        <f t="shared" si="433"/>
        <v>3650</v>
      </c>
      <c r="L13841" s="27">
        <v>3650</v>
      </c>
      <c r="M13841" s="36">
        <v>0</v>
      </c>
      <c r="T13841" s="41">
        <v>0</v>
      </c>
      <c r="U13841" s="41">
        <v>0</v>
      </c>
      <c r="V13841" s="42" t="s">
        <v>113</v>
      </c>
      <c r="W13841" s="42">
        <v>3650</v>
      </c>
      <c r="X13841" s="42">
        <v>3650</v>
      </c>
    </row>
    <row r="13842" spans="1:24">
      <c r="A13842" s="27" t="s">
        <v>24746</v>
      </c>
      <c r="B13842" s="28" t="s">
        <v>24288</v>
      </c>
      <c r="C13842" s="27" t="s">
        <v>24674</v>
      </c>
      <c r="D13842" s="27" t="s">
        <v>17558</v>
      </c>
      <c r="E13842" s="29">
        <v>39629</v>
      </c>
      <c r="F13842" s="27">
        <v>7</v>
      </c>
      <c r="G13842" s="18">
        <v>3320</v>
      </c>
      <c r="H13842" s="27">
        <f t="shared" si="432"/>
        <v>3320</v>
      </c>
      <c r="I13842" s="18">
        <v>3320</v>
      </c>
      <c r="J13842" s="27">
        <v>3320</v>
      </c>
      <c r="K13842" s="18">
        <f t="shared" si="433"/>
        <v>3320</v>
      </c>
      <c r="L13842" s="27">
        <v>3320</v>
      </c>
      <c r="M13842" s="36">
        <v>0</v>
      </c>
      <c r="T13842" s="41">
        <v>0</v>
      </c>
      <c r="U13842" s="41">
        <v>0</v>
      </c>
      <c r="V13842" s="42" t="s">
        <v>113</v>
      </c>
      <c r="W13842" s="42">
        <v>3320</v>
      </c>
      <c r="X13842" s="42">
        <v>3320</v>
      </c>
    </row>
    <row r="13843" spans="1:24">
      <c r="A13843" s="27" t="s">
        <v>24747</v>
      </c>
      <c r="B13843" s="28" t="s">
        <v>24288</v>
      </c>
      <c r="C13843" s="27" t="s">
        <v>24748</v>
      </c>
      <c r="D13843" s="27" t="s">
        <v>17558</v>
      </c>
      <c r="E13843" s="29">
        <v>37286</v>
      </c>
      <c r="F13843" s="27">
        <v>7</v>
      </c>
      <c r="G13843" s="18">
        <v>19800</v>
      </c>
      <c r="H13843" s="27">
        <f t="shared" si="432"/>
        <v>19800</v>
      </c>
      <c r="I13843" s="18">
        <v>18810</v>
      </c>
      <c r="J13843" s="27">
        <v>19800</v>
      </c>
      <c r="K13843" s="18">
        <f t="shared" si="433"/>
        <v>19800</v>
      </c>
      <c r="L13843" s="27">
        <v>18810</v>
      </c>
      <c r="M13843" s="36">
        <v>0</v>
      </c>
      <c r="T13843" s="41">
        <v>0</v>
      </c>
      <c r="U13843" s="41">
        <v>0</v>
      </c>
      <c r="V13843" s="42" t="s">
        <v>113</v>
      </c>
      <c r="W13843" s="42">
        <v>19800</v>
      </c>
      <c r="X13843" s="42">
        <v>19800</v>
      </c>
    </row>
    <row r="13844" spans="1:24">
      <c r="A13844" s="27" t="s">
        <v>24749</v>
      </c>
      <c r="B13844" s="28" t="s">
        <v>24288</v>
      </c>
      <c r="C13844" s="27" t="s">
        <v>24750</v>
      </c>
      <c r="D13844" s="27" t="s">
        <v>17558</v>
      </c>
      <c r="E13844" s="29">
        <v>40086</v>
      </c>
      <c r="F13844" s="27">
        <v>7</v>
      </c>
      <c r="G13844" s="18">
        <v>9500</v>
      </c>
      <c r="H13844" s="27">
        <f t="shared" si="432"/>
        <v>9500</v>
      </c>
      <c r="I13844" s="18">
        <v>9025</v>
      </c>
      <c r="J13844" s="27">
        <v>9500</v>
      </c>
      <c r="K13844" s="18">
        <f t="shared" si="433"/>
        <v>9500</v>
      </c>
      <c r="L13844" s="27">
        <v>9025</v>
      </c>
      <c r="M13844" s="36">
        <v>0</v>
      </c>
      <c r="T13844" s="41">
        <v>0</v>
      </c>
      <c r="U13844" s="41">
        <v>0</v>
      </c>
      <c r="V13844" s="42" t="s">
        <v>113</v>
      </c>
      <c r="W13844" s="42">
        <v>9500</v>
      </c>
      <c r="X13844" s="42">
        <v>9500</v>
      </c>
    </row>
    <row r="13845" spans="1:24">
      <c r="A13845" s="27" t="s">
        <v>24751</v>
      </c>
      <c r="B13845" s="28" t="s">
        <v>24288</v>
      </c>
      <c r="C13845" s="27" t="s">
        <v>24752</v>
      </c>
      <c r="D13845" s="27" t="s">
        <v>17558</v>
      </c>
      <c r="E13845" s="29">
        <v>39963</v>
      </c>
      <c r="F13845" s="27">
        <v>7</v>
      </c>
      <c r="G13845" s="18">
        <v>6200</v>
      </c>
      <c r="H13845" s="27">
        <f t="shared" si="432"/>
        <v>6200</v>
      </c>
      <c r="I13845" s="18">
        <v>5890</v>
      </c>
      <c r="J13845" s="27">
        <v>6200</v>
      </c>
      <c r="K13845" s="18">
        <f t="shared" si="433"/>
        <v>6200</v>
      </c>
      <c r="L13845" s="27">
        <v>5890</v>
      </c>
      <c r="M13845" s="36">
        <v>0</v>
      </c>
      <c r="T13845" s="41">
        <v>0</v>
      </c>
      <c r="U13845" s="41">
        <v>0</v>
      </c>
      <c r="V13845" s="42" t="s">
        <v>113</v>
      </c>
      <c r="W13845" s="42">
        <v>6200</v>
      </c>
      <c r="X13845" s="42">
        <v>6200</v>
      </c>
    </row>
    <row r="13846" spans="1:24">
      <c r="A13846" s="27" t="s">
        <v>24753</v>
      </c>
      <c r="B13846" s="28" t="s">
        <v>24288</v>
      </c>
      <c r="C13846" s="27" t="s">
        <v>24754</v>
      </c>
      <c r="D13846" s="27" t="s">
        <v>17558</v>
      </c>
      <c r="E13846" s="29">
        <v>40539</v>
      </c>
      <c r="F13846" s="27">
        <v>7</v>
      </c>
      <c r="G13846" s="18">
        <v>94017.1</v>
      </c>
      <c r="H13846" s="27">
        <f t="shared" si="432"/>
        <v>94017.1</v>
      </c>
      <c r="I13846" s="18">
        <v>89316.24</v>
      </c>
      <c r="J13846" s="27">
        <v>94017.1</v>
      </c>
      <c r="K13846" s="18">
        <f t="shared" si="433"/>
        <v>94017.1</v>
      </c>
      <c r="L13846" s="27">
        <v>89316.24</v>
      </c>
      <c r="M13846" s="36">
        <v>0</v>
      </c>
      <c r="T13846" s="41">
        <v>0</v>
      </c>
      <c r="U13846" s="41">
        <v>0</v>
      </c>
      <c r="V13846" s="42" t="s">
        <v>113</v>
      </c>
      <c r="W13846" s="42">
        <v>94017.1</v>
      </c>
      <c r="X13846" s="42">
        <v>94017.1</v>
      </c>
    </row>
    <row r="13847" spans="1:24">
      <c r="A13847" s="27" t="s">
        <v>24755</v>
      </c>
      <c r="B13847" s="28" t="s">
        <v>24288</v>
      </c>
      <c r="C13847" s="27" t="s">
        <v>24756</v>
      </c>
      <c r="D13847" s="27" t="s">
        <v>17558</v>
      </c>
      <c r="E13847" s="29">
        <v>40543</v>
      </c>
      <c r="F13847" s="27">
        <v>7</v>
      </c>
      <c r="G13847" s="18">
        <v>6461.54</v>
      </c>
      <c r="H13847" s="27">
        <f t="shared" si="432"/>
        <v>6461.54</v>
      </c>
      <c r="I13847" s="18">
        <v>6138.46</v>
      </c>
      <c r="J13847" s="27">
        <v>6461.54</v>
      </c>
      <c r="K13847" s="18">
        <f t="shared" si="433"/>
        <v>6461.54</v>
      </c>
      <c r="L13847" s="27">
        <v>6138.46</v>
      </c>
      <c r="M13847" s="36">
        <v>0</v>
      </c>
      <c r="T13847" s="41">
        <v>0</v>
      </c>
      <c r="U13847" s="41">
        <v>0</v>
      </c>
      <c r="V13847" s="42" t="s">
        <v>113</v>
      </c>
      <c r="W13847" s="42">
        <v>6461.54</v>
      </c>
      <c r="X13847" s="42">
        <v>6461.54</v>
      </c>
    </row>
    <row r="13848" spans="1:24">
      <c r="A13848" s="27" t="s">
        <v>24757</v>
      </c>
      <c r="B13848" s="28" t="s">
        <v>24288</v>
      </c>
      <c r="C13848" s="27" t="s">
        <v>24758</v>
      </c>
      <c r="D13848" s="27" t="s">
        <v>17558</v>
      </c>
      <c r="E13848" s="29">
        <v>40543</v>
      </c>
      <c r="F13848" s="27">
        <v>7</v>
      </c>
      <c r="G13848" s="18">
        <v>8290.6</v>
      </c>
      <c r="H13848" s="27">
        <f t="shared" si="432"/>
        <v>8290.6</v>
      </c>
      <c r="I13848" s="18">
        <v>7876.07</v>
      </c>
      <c r="J13848" s="27">
        <v>8290.6</v>
      </c>
      <c r="K13848" s="18">
        <f t="shared" si="433"/>
        <v>8290.6</v>
      </c>
      <c r="L13848" s="27">
        <v>7876.07</v>
      </c>
      <c r="M13848" s="36">
        <v>0</v>
      </c>
      <c r="T13848" s="41">
        <v>0</v>
      </c>
      <c r="U13848" s="41">
        <v>0</v>
      </c>
      <c r="V13848" s="42" t="s">
        <v>113</v>
      </c>
      <c r="W13848" s="42">
        <v>8290.6</v>
      </c>
      <c r="X13848" s="42">
        <v>8290.6</v>
      </c>
    </row>
    <row r="13849" spans="1:24">
      <c r="A13849" s="27" t="s">
        <v>24759</v>
      </c>
      <c r="B13849" s="28" t="s">
        <v>24288</v>
      </c>
      <c r="C13849" s="27" t="s">
        <v>24760</v>
      </c>
      <c r="D13849" s="27" t="s">
        <v>17558</v>
      </c>
      <c r="E13849" s="29">
        <v>40543</v>
      </c>
      <c r="F13849" s="27">
        <v>7</v>
      </c>
      <c r="G13849" s="18">
        <v>3125.64</v>
      </c>
      <c r="H13849" s="27">
        <f t="shared" si="432"/>
        <v>3125.64</v>
      </c>
      <c r="I13849" s="18">
        <v>3125.64</v>
      </c>
      <c r="J13849" s="27">
        <v>3125.64</v>
      </c>
      <c r="K13849" s="18">
        <f t="shared" si="433"/>
        <v>3125.64</v>
      </c>
      <c r="L13849" s="27">
        <v>3125.64</v>
      </c>
      <c r="M13849" s="36">
        <v>0</v>
      </c>
      <c r="T13849" s="41">
        <v>0</v>
      </c>
      <c r="U13849" s="41">
        <v>0</v>
      </c>
      <c r="V13849" s="42" t="s">
        <v>113</v>
      </c>
      <c r="W13849" s="42">
        <v>3125.64</v>
      </c>
      <c r="X13849" s="42">
        <v>3125.64</v>
      </c>
    </row>
    <row r="13850" spans="1:24">
      <c r="A13850" s="27" t="s">
        <v>24761</v>
      </c>
      <c r="B13850" s="28" t="s">
        <v>24288</v>
      </c>
      <c r="C13850" s="27" t="s">
        <v>24762</v>
      </c>
      <c r="D13850" s="27" t="s">
        <v>17558</v>
      </c>
      <c r="E13850" s="29">
        <v>40543</v>
      </c>
      <c r="F13850" s="27">
        <v>7</v>
      </c>
      <c r="G13850" s="18">
        <v>4273.5</v>
      </c>
      <c r="H13850" s="27">
        <f t="shared" si="432"/>
        <v>4273.5</v>
      </c>
      <c r="I13850" s="18">
        <v>4273.5</v>
      </c>
      <c r="J13850" s="27">
        <v>4273.5</v>
      </c>
      <c r="K13850" s="18">
        <f t="shared" si="433"/>
        <v>4273.5</v>
      </c>
      <c r="L13850" s="27">
        <v>4273.5</v>
      </c>
      <c r="M13850" s="36">
        <v>0</v>
      </c>
      <c r="T13850" s="41">
        <v>0</v>
      </c>
      <c r="U13850" s="41">
        <v>0</v>
      </c>
      <c r="V13850" s="42" t="s">
        <v>113</v>
      </c>
      <c r="W13850" s="42">
        <v>4273.5</v>
      </c>
      <c r="X13850" s="42">
        <v>4273.5</v>
      </c>
    </row>
    <row r="13851" spans="1:24">
      <c r="A13851" s="27" t="s">
        <v>24763</v>
      </c>
      <c r="B13851" s="28" t="s">
        <v>24288</v>
      </c>
      <c r="C13851" s="27" t="s">
        <v>24764</v>
      </c>
      <c r="D13851" s="27" t="s">
        <v>17558</v>
      </c>
      <c r="E13851" s="29">
        <v>40543</v>
      </c>
      <c r="F13851" s="27">
        <v>7</v>
      </c>
      <c r="G13851" s="18">
        <v>683.76</v>
      </c>
      <c r="H13851" s="27">
        <f t="shared" si="432"/>
        <v>683.76</v>
      </c>
      <c r="I13851" s="18">
        <v>683.76</v>
      </c>
      <c r="J13851" s="27">
        <v>683.76</v>
      </c>
      <c r="K13851" s="18">
        <f t="shared" si="433"/>
        <v>683.76</v>
      </c>
      <c r="L13851" s="27">
        <v>683.76</v>
      </c>
      <c r="M13851" s="36">
        <v>0</v>
      </c>
      <c r="T13851" s="41">
        <v>0</v>
      </c>
      <c r="U13851" s="41">
        <v>0</v>
      </c>
      <c r="V13851" s="42" t="s">
        <v>113</v>
      </c>
      <c r="W13851" s="42">
        <v>683.76</v>
      </c>
      <c r="X13851" s="42">
        <v>683.76</v>
      </c>
    </row>
    <row r="13852" spans="1:24">
      <c r="A13852" s="27" t="s">
        <v>24765</v>
      </c>
      <c r="B13852" s="28" t="s">
        <v>24288</v>
      </c>
      <c r="C13852" s="27" t="s">
        <v>24766</v>
      </c>
      <c r="D13852" s="27" t="s">
        <v>17578</v>
      </c>
      <c r="E13852" s="29">
        <v>40872</v>
      </c>
      <c r="F13852" s="27">
        <v>7</v>
      </c>
      <c r="G13852" s="18">
        <v>3489220.82</v>
      </c>
      <c r="H13852" s="27">
        <f t="shared" si="432"/>
        <v>3489220.82</v>
      </c>
      <c r="I13852" s="18">
        <v>3314759.78</v>
      </c>
      <c r="J13852" s="27">
        <v>3489220.82</v>
      </c>
      <c r="K13852" s="18">
        <f t="shared" si="433"/>
        <v>3489220.82</v>
      </c>
      <c r="L13852" s="27">
        <v>3314759.78</v>
      </c>
      <c r="M13852" s="36">
        <v>0</v>
      </c>
      <c r="T13852" s="41">
        <v>0</v>
      </c>
      <c r="U13852" s="41">
        <v>0</v>
      </c>
      <c r="V13852" s="42" t="s">
        <v>113</v>
      </c>
      <c r="W13852" s="42">
        <v>3489220.82</v>
      </c>
      <c r="X13852" s="42">
        <v>3489220.82</v>
      </c>
    </row>
    <row r="13853" spans="1:24">
      <c r="A13853" s="27" t="s">
        <v>24767</v>
      </c>
      <c r="B13853" s="28" t="s">
        <v>24288</v>
      </c>
      <c r="C13853" s="27" t="s">
        <v>24768</v>
      </c>
      <c r="D13853" s="27" t="s">
        <v>17558</v>
      </c>
      <c r="E13853" s="29">
        <v>41057</v>
      </c>
      <c r="F13853" s="27">
        <v>7</v>
      </c>
      <c r="G13853" s="18">
        <v>176923.08</v>
      </c>
      <c r="H13853" s="27">
        <f t="shared" si="432"/>
        <v>0</v>
      </c>
      <c r="I13853" s="18">
        <v>158072.35</v>
      </c>
      <c r="J13853" s="27">
        <v>176923.08</v>
      </c>
      <c r="K13853" s="18">
        <f t="shared" si="433"/>
        <v>176923.08</v>
      </c>
      <c r="L13853" s="27">
        <v>168076.93</v>
      </c>
      <c r="M13853" s="36">
        <v>10004.58</v>
      </c>
      <c r="T13853" s="41">
        <v>0</v>
      </c>
      <c r="U13853" s="41">
        <v>0</v>
      </c>
      <c r="V13853" s="42" t="s">
        <v>113</v>
      </c>
      <c r="W13853" s="42">
        <v>176923.08</v>
      </c>
      <c r="X13853" s="42">
        <v>176923.08</v>
      </c>
    </row>
    <row r="13854" spans="1:24">
      <c r="A13854" s="27" t="s">
        <v>24769</v>
      </c>
      <c r="B13854" s="28" t="s">
        <v>24288</v>
      </c>
      <c r="C13854" s="27" t="s">
        <v>24770</v>
      </c>
      <c r="D13854" s="27" t="s">
        <v>17558</v>
      </c>
      <c r="E13854" s="29">
        <v>41086</v>
      </c>
      <c r="F13854" s="27">
        <v>7</v>
      </c>
      <c r="G13854" s="18">
        <v>3145.3</v>
      </c>
      <c r="H13854" s="27">
        <f t="shared" si="432"/>
        <v>3145.3</v>
      </c>
      <c r="I13854" s="18">
        <v>3145.3</v>
      </c>
      <c r="J13854" s="27">
        <v>3145.3</v>
      </c>
      <c r="K13854" s="18">
        <f t="shared" si="433"/>
        <v>3145.3</v>
      </c>
      <c r="L13854" s="27">
        <v>3145.3</v>
      </c>
      <c r="M13854" s="36">
        <v>0</v>
      </c>
      <c r="T13854" s="41">
        <v>0</v>
      </c>
      <c r="U13854" s="41">
        <v>0</v>
      </c>
      <c r="V13854" s="42" t="s">
        <v>113</v>
      </c>
      <c r="W13854" s="42">
        <v>3145.3</v>
      </c>
      <c r="X13854" s="42">
        <v>3145.3</v>
      </c>
    </row>
    <row r="13855" spans="1:24">
      <c r="A13855" s="27" t="s">
        <v>24771</v>
      </c>
      <c r="B13855" s="28" t="s">
        <v>24288</v>
      </c>
      <c r="C13855" s="27" t="s">
        <v>24772</v>
      </c>
      <c r="D13855" s="27" t="s">
        <v>17558</v>
      </c>
      <c r="E13855" s="29">
        <v>41086</v>
      </c>
      <c r="F13855" s="27">
        <v>7</v>
      </c>
      <c r="G13855" s="18">
        <v>3145.3</v>
      </c>
      <c r="H13855" s="27">
        <f t="shared" si="432"/>
        <v>3145.3</v>
      </c>
      <c r="I13855" s="18">
        <v>3145.3</v>
      </c>
      <c r="J13855" s="27">
        <v>3145.3</v>
      </c>
      <c r="K13855" s="18">
        <f t="shared" si="433"/>
        <v>3145.3</v>
      </c>
      <c r="L13855" s="27">
        <v>3145.3</v>
      </c>
      <c r="M13855" s="36">
        <v>0</v>
      </c>
      <c r="T13855" s="41">
        <v>0</v>
      </c>
      <c r="U13855" s="41">
        <v>0</v>
      </c>
      <c r="V13855" s="42" t="s">
        <v>113</v>
      </c>
      <c r="W13855" s="42">
        <v>3145.3</v>
      </c>
      <c r="X13855" s="42">
        <v>3145.3</v>
      </c>
    </row>
    <row r="13856" spans="1:24">
      <c r="A13856" s="27" t="s">
        <v>24773</v>
      </c>
      <c r="B13856" s="28" t="s">
        <v>24288</v>
      </c>
      <c r="C13856" s="27" t="s">
        <v>24774</v>
      </c>
      <c r="D13856" s="27" t="s">
        <v>17558</v>
      </c>
      <c r="E13856" s="29">
        <v>41086</v>
      </c>
      <c r="F13856" s="27">
        <v>7</v>
      </c>
      <c r="G13856" s="18">
        <v>3145.3</v>
      </c>
      <c r="H13856" s="27">
        <f t="shared" si="432"/>
        <v>3145.3</v>
      </c>
      <c r="I13856" s="18">
        <v>3145.3</v>
      </c>
      <c r="J13856" s="27">
        <v>3145.3</v>
      </c>
      <c r="K13856" s="18">
        <f t="shared" si="433"/>
        <v>3145.3</v>
      </c>
      <c r="L13856" s="27">
        <v>3145.3</v>
      </c>
      <c r="M13856" s="36">
        <v>0</v>
      </c>
      <c r="T13856" s="41">
        <v>0</v>
      </c>
      <c r="U13856" s="41">
        <v>0</v>
      </c>
      <c r="V13856" s="42" t="s">
        <v>113</v>
      </c>
      <c r="W13856" s="42">
        <v>3145.3</v>
      </c>
      <c r="X13856" s="42">
        <v>3145.3</v>
      </c>
    </row>
    <row r="13857" spans="1:24">
      <c r="A13857" s="27" t="s">
        <v>24775</v>
      </c>
      <c r="B13857" s="28" t="s">
        <v>24288</v>
      </c>
      <c r="C13857" s="27" t="s">
        <v>24776</v>
      </c>
      <c r="D13857" s="27" t="s">
        <v>17558</v>
      </c>
      <c r="E13857" s="29">
        <v>41086</v>
      </c>
      <c r="F13857" s="27">
        <v>7</v>
      </c>
      <c r="G13857" s="18">
        <v>3145.3</v>
      </c>
      <c r="H13857" s="27">
        <f t="shared" si="432"/>
        <v>3145.3</v>
      </c>
      <c r="I13857" s="18">
        <v>3145.3</v>
      </c>
      <c r="J13857" s="27">
        <v>3145.3</v>
      </c>
      <c r="K13857" s="18">
        <f t="shared" si="433"/>
        <v>3145.3</v>
      </c>
      <c r="L13857" s="27">
        <v>3145.3</v>
      </c>
      <c r="M13857" s="36">
        <v>0</v>
      </c>
      <c r="T13857" s="41">
        <v>0</v>
      </c>
      <c r="U13857" s="41">
        <v>0</v>
      </c>
      <c r="V13857" s="42" t="s">
        <v>113</v>
      </c>
      <c r="W13857" s="42">
        <v>3145.3</v>
      </c>
      <c r="X13857" s="42">
        <v>3145.3</v>
      </c>
    </row>
    <row r="13858" spans="1:24">
      <c r="A13858" s="27" t="s">
        <v>24777</v>
      </c>
      <c r="B13858" s="28" t="s">
        <v>24288</v>
      </c>
      <c r="C13858" s="27" t="s">
        <v>24778</v>
      </c>
      <c r="D13858" s="27" t="s">
        <v>17558</v>
      </c>
      <c r="E13858" s="29">
        <v>41086</v>
      </c>
      <c r="F13858" s="27">
        <v>7</v>
      </c>
      <c r="G13858" s="18">
        <v>3145.3</v>
      </c>
      <c r="H13858" s="27">
        <f t="shared" si="432"/>
        <v>3145.3</v>
      </c>
      <c r="I13858" s="18">
        <v>3145.3</v>
      </c>
      <c r="J13858" s="27">
        <v>3145.3</v>
      </c>
      <c r="K13858" s="18">
        <f t="shared" si="433"/>
        <v>3145.3</v>
      </c>
      <c r="L13858" s="27">
        <v>3145.3</v>
      </c>
      <c r="M13858" s="36">
        <v>0</v>
      </c>
      <c r="T13858" s="41">
        <v>0</v>
      </c>
      <c r="U13858" s="41">
        <v>0</v>
      </c>
      <c r="V13858" s="42" t="s">
        <v>113</v>
      </c>
      <c r="W13858" s="42">
        <v>3145.3</v>
      </c>
      <c r="X13858" s="42">
        <v>3145.3</v>
      </c>
    </row>
    <row r="13859" spans="1:24">
      <c r="A13859" s="27" t="s">
        <v>24779</v>
      </c>
      <c r="B13859" s="28" t="s">
        <v>24288</v>
      </c>
      <c r="C13859" s="27" t="s">
        <v>24780</v>
      </c>
      <c r="D13859" s="27" t="s">
        <v>17558</v>
      </c>
      <c r="E13859" s="29">
        <v>41086</v>
      </c>
      <c r="F13859" s="27">
        <v>7</v>
      </c>
      <c r="G13859" s="18">
        <v>3145.29</v>
      </c>
      <c r="H13859" s="27">
        <f t="shared" si="432"/>
        <v>3145.29</v>
      </c>
      <c r="I13859" s="18">
        <v>3145.29</v>
      </c>
      <c r="J13859" s="27">
        <v>3145.29</v>
      </c>
      <c r="K13859" s="18">
        <f t="shared" si="433"/>
        <v>3145.29</v>
      </c>
      <c r="L13859" s="27">
        <v>3145.29</v>
      </c>
      <c r="M13859" s="36">
        <v>0</v>
      </c>
      <c r="T13859" s="41">
        <v>0</v>
      </c>
      <c r="U13859" s="41">
        <v>0</v>
      </c>
      <c r="V13859" s="42" t="s">
        <v>113</v>
      </c>
      <c r="W13859" s="42">
        <v>3145.29</v>
      </c>
      <c r="X13859" s="42">
        <v>3145.29</v>
      </c>
    </row>
    <row r="13860" spans="1:24">
      <c r="A13860" s="27" t="s">
        <v>24781</v>
      </c>
      <c r="B13860" s="28" t="s">
        <v>24288</v>
      </c>
      <c r="C13860" s="27" t="s">
        <v>24782</v>
      </c>
      <c r="D13860" s="27" t="s">
        <v>17578</v>
      </c>
      <c r="E13860" s="29">
        <v>41182</v>
      </c>
      <c r="F13860" s="27">
        <v>7</v>
      </c>
      <c r="G13860" s="18">
        <v>11282.05</v>
      </c>
      <c r="H13860" s="27">
        <f t="shared" si="432"/>
        <v>0</v>
      </c>
      <c r="I13860" s="18">
        <v>9569.6</v>
      </c>
      <c r="J13860" s="27">
        <v>11282.05</v>
      </c>
      <c r="K13860" s="18">
        <f t="shared" si="433"/>
        <v>11282.05</v>
      </c>
      <c r="L13860" s="27">
        <v>10717.95</v>
      </c>
      <c r="M13860" s="36">
        <v>1148.3499999999999</v>
      </c>
      <c r="T13860" s="41">
        <v>0</v>
      </c>
      <c r="U13860" s="41">
        <v>0</v>
      </c>
      <c r="V13860" s="42" t="s">
        <v>113</v>
      </c>
      <c r="W13860" s="42">
        <v>11282.05</v>
      </c>
      <c r="X13860" s="42">
        <v>11282.05</v>
      </c>
    </row>
    <row r="13861" spans="1:24">
      <c r="A13861" s="27" t="s">
        <v>24783</v>
      </c>
      <c r="B13861" s="28" t="s">
        <v>24288</v>
      </c>
      <c r="C13861" s="27" t="s">
        <v>24784</v>
      </c>
      <c r="D13861" s="27" t="s">
        <v>17578</v>
      </c>
      <c r="E13861" s="29">
        <v>41182</v>
      </c>
      <c r="F13861" s="27">
        <v>7</v>
      </c>
      <c r="G13861" s="18">
        <v>1911.11</v>
      </c>
      <c r="H13861" s="27">
        <f t="shared" si="432"/>
        <v>1911.11</v>
      </c>
      <c r="I13861" s="18">
        <v>1911.11</v>
      </c>
      <c r="J13861" s="27">
        <v>1911.11</v>
      </c>
      <c r="K13861" s="18">
        <f t="shared" si="433"/>
        <v>1911.11</v>
      </c>
      <c r="L13861" s="27">
        <v>1911.11</v>
      </c>
      <c r="M13861" s="36">
        <v>0</v>
      </c>
      <c r="T13861" s="41">
        <v>0</v>
      </c>
      <c r="U13861" s="41">
        <v>0</v>
      </c>
      <c r="V13861" s="42" t="s">
        <v>113</v>
      </c>
      <c r="W13861" s="42">
        <v>1911.11</v>
      </c>
      <c r="X13861" s="42">
        <v>1911.11</v>
      </c>
    </row>
    <row r="13862" spans="1:24">
      <c r="A13862" s="27" t="s">
        <v>24785</v>
      </c>
      <c r="B13862" s="28" t="s">
        <v>24288</v>
      </c>
      <c r="C13862" s="27" t="s">
        <v>24786</v>
      </c>
      <c r="D13862" s="27" t="s">
        <v>17578</v>
      </c>
      <c r="E13862" s="29">
        <v>41182</v>
      </c>
      <c r="F13862" s="27">
        <v>7</v>
      </c>
      <c r="G13862" s="18">
        <v>12478.63</v>
      </c>
      <c r="H13862" s="27">
        <f t="shared" si="432"/>
        <v>0</v>
      </c>
      <c r="I13862" s="18">
        <v>10584.56</v>
      </c>
      <c r="J13862" s="27">
        <v>12478.63</v>
      </c>
      <c r="K13862" s="18">
        <f t="shared" si="433"/>
        <v>12478.63</v>
      </c>
      <c r="L13862" s="27">
        <v>11854.7</v>
      </c>
      <c r="M13862" s="36">
        <v>1270.1400000000001</v>
      </c>
      <c r="T13862" s="41">
        <v>0</v>
      </c>
      <c r="U13862" s="41">
        <v>0</v>
      </c>
      <c r="V13862" s="42" t="s">
        <v>113</v>
      </c>
      <c r="W13862" s="42">
        <v>12478.63</v>
      </c>
      <c r="X13862" s="42">
        <v>12478.63</v>
      </c>
    </row>
    <row r="13863" spans="1:24">
      <c r="A13863" s="27" t="s">
        <v>24787</v>
      </c>
      <c r="B13863" s="28" t="s">
        <v>24288</v>
      </c>
      <c r="C13863" s="27" t="s">
        <v>24788</v>
      </c>
      <c r="D13863" s="27" t="s">
        <v>17578</v>
      </c>
      <c r="E13863" s="29">
        <v>41182</v>
      </c>
      <c r="F13863" s="27">
        <v>7</v>
      </c>
      <c r="G13863" s="18">
        <v>7222.22</v>
      </c>
      <c r="H13863" s="27">
        <f t="shared" si="432"/>
        <v>0</v>
      </c>
      <c r="I13863" s="18">
        <v>6125.99</v>
      </c>
      <c r="J13863" s="27">
        <v>7222.22</v>
      </c>
      <c r="K13863" s="18">
        <f t="shared" si="433"/>
        <v>7222.22</v>
      </c>
      <c r="L13863" s="27">
        <v>6861.11</v>
      </c>
      <c r="M13863" s="36">
        <v>735.12</v>
      </c>
      <c r="T13863" s="41">
        <v>0</v>
      </c>
      <c r="U13863" s="41">
        <v>0</v>
      </c>
      <c r="V13863" s="42" t="s">
        <v>113</v>
      </c>
      <c r="W13863" s="42">
        <v>7222.22</v>
      </c>
      <c r="X13863" s="42">
        <v>7222.22</v>
      </c>
    </row>
    <row r="13864" spans="1:24">
      <c r="A13864" s="27" t="s">
        <v>24789</v>
      </c>
      <c r="B13864" s="28" t="s">
        <v>24288</v>
      </c>
      <c r="C13864" s="27" t="s">
        <v>24790</v>
      </c>
      <c r="D13864" s="27" t="s">
        <v>17578</v>
      </c>
      <c r="E13864" s="29">
        <v>41182</v>
      </c>
      <c r="F13864" s="27">
        <v>7</v>
      </c>
      <c r="G13864" s="18">
        <v>13504.27</v>
      </c>
      <c r="H13864" s="27">
        <f t="shared" si="432"/>
        <v>0</v>
      </c>
      <c r="I13864" s="18">
        <v>11454.52</v>
      </c>
      <c r="J13864" s="27">
        <v>13504.27</v>
      </c>
      <c r="K13864" s="18">
        <f t="shared" si="433"/>
        <v>13504.27</v>
      </c>
      <c r="L13864" s="27">
        <v>12829.06</v>
      </c>
      <c r="M13864" s="36">
        <v>1374.54</v>
      </c>
      <c r="T13864" s="41">
        <v>0</v>
      </c>
      <c r="U13864" s="41">
        <v>0</v>
      </c>
      <c r="V13864" s="42" t="s">
        <v>113</v>
      </c>
      <c r="W13864" s="42">
        <v>13504.27</v>
      </c>
      <c r="X13864" s="42">
        <v>13504.27</v>
      </c>
    </row>
    <row r="13865" spans="1:24">
      <c r="A13865" s="27" t="s">
        <v>24791</v>
      </c>
      <c r="B13865" s="28" t="s">
        <v>24288</v>
      </c>
      <c r="C13865" s="27" t="s">
        <v>24792</v>
      </c>
      <c r="D13865" s="27" t="s">
        <v>17578</v>
      </c>
      <c r="E13865" s="29">
        <v>41182</v>
      </c>
      <c r="F13865" s="27">
        <v>7</v>
      </c>
      <c r="G13865" s="18">
        <v>22478.63</v>
      </c>
      <c r="H13865" s="27">
        <f t="shared" si="432"/>
        <v>0</v>
      </c>
      <c r="I13865" s="18">
        <v>19066.689999999999</v>
      </c>
      <c r="J13865" s="27">
        <v>22478.63</v>
      </c>
      <c r="K13865" s="18">
        <f t="shared" si="433"/>
        <v>22478.63</v>
      </c>
      <c r="L13865" s="27">
        <v>21354.7</v>
      </c>
      <c r="M13865" s="36">
        <v>2288.0100000000002</v>
      </c>
      <c r="T13865" s="41">
        <v>0</v>
      </c>
      <c r="U13865" s="41">
        <v>0</v>
      </c>
      <c r="V13865" s="42" t="s">
        <v>113</v>
      </c>
      <c r="W13865" s="42">
        <v>22478.63</v>
      </c>
      <c r="X13865" s="42">
        <v>22478.63</v>
      </c>
    </row>
    <row r="13866" spans="1:24">
      <c r="A13866" s="27" t="s">
        <v>24793</v>
      </c>
      <c r="B13866" s="28" t="s">
        <v>24288</v>
      </c>
      <c r="C13866" s="27" t="s">
        <v>24794</v>
      </c>
      <c r="D13866" s="27" t="s">
        <v>17558</v>
      </c>
      <c r="E13866" s="29">
        <v>41182</v>
      </c>
      <c r="F13866" s="27">
        <v>7</v>
      </c>
      <c r="G13866" s="18">
        <v>68376.06</v>
      </c>
      <c r="H13866" s="27">
        <f t="shared" si="432"/>
        <v>0</v>
      </c>
      <c r="I13866" s="18">
        <v>57997.56</v>
      </c>
      <c r="J13866" s="27">
        <v>68376.06</v>
      </c>
      <c r="K13866" s="18">
        <f t="shared" si="433"/>
        <v>68376.06</v>
      </c>
      <c r="L13866" s="27">
        <v>64957.26</v>
      </c>
      <c r="M13866" s="36">
        <v>6959.7</v>
      </c>
      <c r="T13866" s="41">
        <v>0</v>
      </c>
      <c r="U13866" s="41">
        <v>0</v>
      </c>
      <c r="V13866" s="42" t="s">
        <v>113</v>
      </c>
      <c r="W13866" s="42">
        <v>68376.06</v>
      </c>
      <c r="X13866" s="42">
        <v>68376.06</v>
      </c>
    </row>
    <row r="13867" spans="1:24">
      <c r="A13867" s="27" t="s">
        <v>24795</v>
      </c>
      <c r="B13867" s="28" t="s">
        <v>24288</v>
      </c>
      <c r="C13867" s="27" t="s">
        <v>24796</v>
      </c>
      <c r="D13867" s="27" t="s">
        <v>17558</v>
      </c>
      <c r="E13867" s="29">
        <v>41270</v>
      </c>
      <c r="F13867" s="27">
        <v>7</v>
      </c>
      <c r="G13867" s="18">
        <v>43120</v>
      </c>
      <c r="H13867" s="27">
        <f t="shared" si="432"/>
        <v>0</v>
      </c>
      <c r="I13867" s="18">
        <v>35112</v>
      </c>
      <c r="J13867" s="27">
        <v>43120</v>
      </c>
      <c r="K13867" s="18">
        <f t="shared" si="433"/>
        <v>43120</v>
      </c>
      <c r="L13867" s="27">
        <v>40964</v>
      </c>
      <c r="M13867" s="36">
        <v>5852</v>
      </c>
      <c r="T13867" s="41">
        <v>0</v>
      </c>
      <c r="U13867" s="41">
        <v>0</v>
      </c>
      <c r="V13867" s="42" t="s">
        <v>113</v>
      </c>
      <c r="W13867" s="42">
        <v>43120</v>
      </c>
      <c r="X13867" s="42">
        <v>43120</v>
      </c>
    </row>
    <row r="13868" spans="1:24">
      <c r="A13868" s="27" t="s">
        <v>24797</v>
      </c>
      <c r="B13868" s="28" t="s">
        <v>24288</v>
      </c>
      <c r="C13868" s="27" t="s">
        <v>24362</v>
      </c>
      <c r="D13868" s="27" t="s">
        <v>17578</v>
      </c>
      <c r="E13868" s="29">
        <v>39324</v>
      </c>
      <c r="F13868" s="27">
        <v>7</v>
      </c>
      <c r="G13868" s="18">
        <v>2158</v>
      </c>
      <c r="H13868" s="27">
        <f t="shared" si="432"/>
        <v>2158</v>
      </c>
      <c r="I13868" s="18">
        <v>2158</v>
      </c>
      <c r="J13868" s="27">
        <v>2158</v>
      </c>
      <c r="K13868" s="18">
        <f t="shared" si="433"/>
        <v>2158</v>
      </c>
      <c r="L13868" s="27">
        <v>2158</v>
      </c>
      <c r="M13868" s="36">
        <v>0</v>
      </c>
      <c r="T13868" s="41">
        <v>0</v>
      </c>
      <c r="U13868" s="41">
        <v>0</v>
      </c>
      <c r="V13868" s="42" t="s">
        <v>113</v>
      </c>
      <c r="W13868" s="42">
        <v>2158</v>
      </c>
      <c r="X13868" s="42">
        <v>2158</v>
      </c>
    </row>
    <row r="13869" spans="1:24">
      <c r="A13869" s="27" t="s">
        <v>24798</v>
      </c>
      <c r="B13869" s="28" t="s">
        <v>24288</v>
      </c>
      <c r="C13869" s="27" t="s">
        <v>24362</v>
      </c>
      <c r="D13869" s="27" t="s">
        <v>17578</v>
      </c>
      <c r="E13869" s="29">
        <v>39324</v>
      </c>
      <c r="F13869" s="27">
        <v>7</v>
      </c>
      <c r="G13869" s="18">
        <v>2158</v>
      </c>
      <c r="H13869" s="27">
        <f t="shared" si="432"/>
        <v>2158</v>
      </c>
      <c r="I13869" s="18">
        <v>2158</v>
      </c>
      <c r="J13869" s="27">
        <v>2158</v>
      </c>
      <c r="K13869" s="18">
        <f t="shared" si="433"/>
        <v>2158</v>
      </c>
      <c r="L13869" s="27">
        <v>2158</v>
      </c>
      <c r="M13869" s="36">
        <v>0</v>
      </c>
      <c r="T13869" s="41">
        <v>0</v>
      </c>
      <c r="U13869" s="41">
        <v>0</v>
      </c>
      <c r="V13869" s="42" t="s">
        <v>113</v>
      </c>
      <c r="W13869" s="42">
        <v>2158</v>
      </c>
      <c r="X13869" s="42">
        <v>2158</v>
      </c>
    </row>
    <row r="13870" spans="1:24">
      <c r="A13870" s="27" t="s">
        <v>24799</v>
      </c>
      <c r="B13870" s="28" t="s">
        <v>24288</v>
      </c>
      <c r="C13870" s="27" t="s">
        <v>19692</v>
      </c>
      <c r="D13870" s="27" t="s">
        <v>17578</v>
      </c>
      <c r="E13870" s="29">
        <v>39629</v>
      </c>
      <c r="F13870" s="27">
        <v>7</v>
      </c>
      <c r="G13870" s="18">
        <v>3654</v>
      </c>
      <c r="H13870" s="27">
        <f t="shared" si="432"/>
        <v>3654</v>
      </c>
      <c r="I13870" s="18">
        <v>3654</v>
      </c>
      <c r="J13870" s="27">
        <v>3654</v>
      </c>
      <c r="K13870" s="18">
        <f t="shared" si="433"/>
        <v>3654</v>
      </c>
      <c r="L13870" s="27">
        <v>3654</v>
      </c>
      <c r="M13870" s="36">
        <v>0</v>
      </c>
      <c r="T13870" s="41">
        <v>0</v>
      </c>
      <c r="U13870" s="41">
        <v>0</v>
      </c>
      <c r="V13870" s="42" t="s">
        <v>113</v>
      </c>
      <c r="W13870" s="42">
        <v>3654</v>
      </c>
      <c r="X13870" s="42">
        <v>3654</v>
      </c>
    </row>
    <row r="13871" spans="1:24">
      <c r="A13871" s="27" t="s">
        <v>24800</v>
      </c>
      <c r="B13871" s="28" t="s">
        <v>24288</v>
      </c>
      <c r="C13871" s="27" t="s">
        <v>19692</v>
      </c>
      <c r="D13871" s="27" t="s">
        <v>17578</v>
      </c>
      <c r="E13871" s="29">
        <v>39629</v>
      </c>
      <c r="F13871" s="27">
        <v>7</v>
      </c>
      <c r="G13871" s="18">
        <v>3654</v>
      </c>
      <c r="H13871" s="27">
        <f t="shared" si="432"/>
        <v>3654</v>
      </c>
      <c r="I13871" s="18">
        <v>3654</v>
      </c>
      <c r="J13871" s="27">
        <v>3654</v>
      </c>
      <c r="K13871" s="18">
        <f t="shared" si="433"/>
        <v>3654</v>
      </c>
      <c r="L13871" s="27">
        <v>3654</v>
      </c>
      <c r="M13871" s="36">
        <v>0</v>
      </c>
      <c r="T13871" s="41">
        <v>0</v>
      </c>
      <c r="U13871" s="41">
        <v>0</v>
      </c>
      <c r="V13871" s="42" t="s">
        <v>113</v>
      </c>
      <c r="W13871" s="42">
        <v>3654</v>
      </c>
      <c r="X13871" s="42">
        <v>3654</v>
      </c>
    </row>
    <row r="13872" spans="1:24">
      <c r="A13872" s="27" t="s">
        <v>24801</v>
      </c>
      <c r="B13872" s="28" t="s">
        <v>24288</v>
      </c>
      <c r="C13872" s="27" t="s">
        <v>19692</v>
      </c>
      <c r="D13872" s="27" t="s">
        <v>17578</v>
      </c>
      <c r="E13872" s="29">
        <v>39629</v>
      </c>
      <c r="F13872" s="27">
        <v>7</v>
      </c>
      <c r="G13872" s="18">
        <v>3654</v>
      </c>
      <c r="H13872" s="27">
        <f t="shared" si="432"/>
        <v>3654</v>
      </c>
      <c r="I13872" s="18">
        <v>3654</v>
      </c>
      <c r="J13872" s="27">
        <v>3654</v>
      </c>
      <c r="K13872" s="18">
        <f t="shared" si="433"/>
        <v>3654</v>
      </c>
      <c r="L13872" s="27">
        <v>3654</v>
      </c>
      <c r="M13872" s="36">
        <v>0</v>
      </c>
      <c r="T13872" s="41">
        <v>0</v>
      </c>
      <c r="U13872" s="41">
        <v>0</v>
      </c>
      <c r="V13872" s="42" t="s">
        <v>113</v>
      </c>
      <c r="W13872" s="42">
        <v>3654</v>
      </c>
      <c r="X13872" s="42">
        <v>3654</v>
      </c>
    </row>
    <row r="13873" spans="1:24">
      <c r="A13873" s="27" t="s">
        <v>24802</v>
      </c>
      <c r="B13873" s="28" t="s">
        <v>24288</v>
      </c>
      <c r="C13873" s="27" t="s">
        <v>19692</v>
      </c>
      <c r="D13873" s="27" t="s">
        <v>17578</v>
      </c>
      <c r="E13873" s="29">
        <v>39629</v>
      </c>
      <c r="F13873" s="27">
        <v>7</v>
      </c>
      <c r="G13873" s="18">
        <v>3654</v>
      </c>
      <c r="H13873" s="27">
        <f t="shared" si="432"/>
        <v>3654</v>
      </c>
      <c r="I13873" s="18">
        <v>3654</v>
      </c>
      <c r="J13873" s="27">
        <v>3654</v>
      </c>
      <c r="K13873" s="18">
        <f t="shared" si="433"/>
        <v>3654</v>
      </c>
      <c r="L13873" s="27">
        <v>3654</v>
      </c>
      <c r="M13873" s="36">
        <v>0</v>
      </c>
      <c r="T13873" s="41">
        <v>0</v>
      </c>
      <c r="U13873" s="41">
        <v>0</v>
      </c>
      <c r="V13873" s="42" t="s">
        <v>113</v>
      </c>
      <c r="W13873" s="42">
        <v>3654</v>
      </c>
      <c r="X13873" s="42">
        <v>3654</v>
      </c>
    </row>
    <row r="13874" spans="1:24">
      <c r="A13874" s="27" t="s">
        <v>24803</v>
      </c>
      <c r="B13874" s="28" t="s">
        <v>24288</v>
      </c>
      <c r="C13874" s="27" t="s">
        <v>19692</v>
      </c>
      <c r="D13874" s="27" t="s">
        <v>17578</v>
      </c>
      <c r="E13874" s="29">
        <v>39629</v>
      </c>
      <c r="F13874" s="27">
        <v>7</v>
      </c>
      <c r="G13874" s="18">
        <v>3654</v>
      </c>
      <c r="H13874" s="27">
        <f t="shared" si="432"/>
        <v>3654</v>
      </c>
      <c r="I13874" s="18">
        <v>3654</v>
      </c>
      <c r="J13874" s="27">
        <v>3654</v>
      </c>
      <c r="K13874" s="18">
        <f t="shared" si="433"/>
        <v>3654</v>
      </c>
      <c r="L13874" s="27">
        <v>3654</v>
      </c>
      <c r="M13874" s="36">
        <v>0</v>
      </c>
      <c r="T13874" s="41">
        <v>0</v>
      </c>
      <c r="U13874" s="41">
        <v>0</v>
      </c>
      <c r="V13874" s="42" t="s">
        <v>113</v>
      </c>
      <c r="W13874" s="42">
        <v>3654</v>
      </c>
      <c r="X13874" s="42">
        <v>3654</v>
      </c>
    </row>
    <row r="13875" spans="1:24">
      <c r="A13875" s="27" t="s">
        <v>24804</v>
      </c>
      <c r="B13875" s="28" t="s">
        <v>24288</v>
      </c>
      <c r="C13875" s="27" t="s">
        <v>19692</v>
      </c>
      <c r="D13875" s="27" t="s">
        <v>17578</v>
      </c>
      <c r="E13875" s="29">
        <v>39629</v>
      </c>
      <c r="F13875" s="27">
        <v>7</v>
      </c>
      <c r="G13875" s="18">
        <v>3654</v>
      </c>
      <c r="H13875" s="27">
        <f t="shared" si="432"/>
        <v>3654</v>
      </c>
      <c r="I13875" s="18">
        <v>3654</v>
      </c>
      <c r="J13875" s="27">
        <v>3654</v>
      </c>
      <c r="K13875" s="18">
        <f t="shared" si="433"/>
        <v>3654</v>
      </c>
      <c r="L13875" s="27">
        <v>3654</v>
      </c>
      <c r="M13875" s="36">
        <v>0</v>
      </c>
      <c r="T13875" s="41">
        <v>0</v>
      </c>
      <c r="U13875" s="41">
        <v>0</v>
      </c>
      <c r="V13875" s="42" t="s">
        <v>113</v>
      </c>
      <c r="W13875" s="42">
        <v>3654</v>
      </c>
      <c r="X13875" s="42">
        <v>3654</v>
      </c>
    </row>
    <row r="13876" spans="1:24">
      <c r="A13876" s="27" t="s">
        <v>24805</v>
      </c>
      <c r="B13876" s="28" t="s">
        <v>24288</v>
      </c>
      <c r="C13876" s="27" t="s">
        <v>19692</v>
      </c>
      <c r="D13876" s="27" t="s">
        <v>17578</v>
      </c>
      <c r="E13876" s="29">
        <v>39629</v>
      </c>
      <c r="F13876" s="27">
        <v>7</v>
      </c>
      <c r="G13876" s="18">
        <v>3654</v>
      </c>
      <c r="H13876" s="27">
        <f t="shared" si="432"/>
        <v>3654</v>
      </c>
      <c r="I13876" s="18">
        <v>3654</v>
      </c>
      <c r="J13876" s="27">
        <v>3654</v>
      </c>
      <c r="K13876" s="18">
        <f t="shared" si="433"/>
        <v>3654</v>
      </c>
      <c r="L13876" s="27">
        <v>3654</v>
      </c>
      <c r="M13876" s="36">
        <v>0</v>
      </c>
      <c r="T13876" s="41">
        <v>0</v>
      </c>
      <c r="U13876" s="41">
        <v>0</v>
      </c>
      <c r="V13876" s="42" t="s">
        <v>113</v>
      </c>
      <c r="W13876" s="42">
        <v>3654</v>
      </c>
      <c r="X13876" s="42">
        <v>3654</v>
      </c>
    </row>
    <row r="13877" spans="1:24">
      <c r="A13877" s="27" t="s">
        <v>24806</v>
      </c>
      <c r="B13877" s="28" t="s">
        <v>24288</v>
      </c>
      <c r="C13877" s="27" t="s">
        <v>19692</v>
      </c>
      <c r="D13877" s="27" t="s">
        <v>17578</v>
      </c>
      <c r="E13877" s="29">
        <v>39629</v>
      </c>
      <c r="F13877" s="27">
        <v>7</v>
      </c>
      <c r="G13877" s="18">
        <v>3654</v>
      </c>
      <c r="H13877" s="27">
        <f t="shared" si="432"/>
        <v>3654</v>
      </c>
      <c r="I13877" s="18">
        <v>3654</v>
      </c>
      <c r="J13877" s="27">
        <v>3654</v>
      </c>
      <c r="K13877" s="18">
        <f t="shared" si="433"/>
        <v>3654</v>
      </c>
      <c r="L13877" s="27">
        <v>3654</v>
      </c>
      <c r="M13877" s="36">
        <v>0</v>
      </c>
      <c r="T13877" s="41">
        <v>0</v>
      </c>
      <c r="U13877" s="41">
        <v>0</v>
      </c>
      <c r="V13877" s="42" t="s">
        <v>113</v>
      </c>
      <c r="W13877" s="42">
        <v>3654</v>
      </c>
      <c r="X13877" s="42">
        <v>3654</v>
      </c>
    </row>
    <row r="13878" spans="1:24">
      <c r="A13878" s="27" t="s">
        <v>24807</v>
      </c>
      <c r="B13878" s="28" t="s">
        <v>24288</v>
      </c>
      <c r="C13878" s="27" t="s">
        <v>22457</v>
      </c>
      <c r="D13878" s="27" t="s">
        <v>17578</v>
      </c>
      <c r="E13878" s="29">
        <v>39077</v>
      </c>
      <c r="F13878" s="27">
        <v>7</v>
      </c>
      <c r="G13878" s="18">
        <v>475</v>
      </c>
      <c r="H13878" s="27">
        <f t="shared" si="432"/>
        <v>475</v>
      </c>
      <c r="I13878" s="18">
        <v>475</v>
      </c>
      <c r="J13878" s="27">
        <v>475</v>
      </c>
      <c r="K13878" s="18">
        <f t="shared" si="433"/>
        <v>475</v>
      </c>
      <c r="L13878" s="27">
        <v>475</v>
      </c>
      <c r="M13878" s="36">
        <v>0</v>
      </c>
      <c r="T13878" s="41">
        <v>0</v>
      </c>
      <c r="U13878" s="41">
        <v>0</v>
      </c>
      <c r="V13878" s="42" t="s">
        <v>113</v>
      </c>
      <c r="W13878" s="42">
        <v>475</v>
      </c>
      <c r="X13878" s="42">
        <v>475</v>
      </c>
    </row>
    <row r="13879" spans="1:24">
      <c r="A13879" s="27" t="s">
        <v>24808</v>
      </c>
      <c r="B13879" s="28" t="s">
        <v>24288</v>
      </c>
      <c r="C13879" s="27" t="s">
        <v>22457</v>
      </c>
      <c r="D13879" s="27" t="s">
        <v>17578</v>
      </c>
      <c r="E13879" s="29">
        <v>39077</v>
      </c>
      <c r="F13879" s="27">
        <v>7</v>
      </c>
      <c r="G13879" s="18">
        <v>475</v>
      </c>
      <c r="H13879" s="27">
        <f t="shared" si="432"/>
        <v>475</v>
      </c>
      <c r="I13879" s="18">
        <v>475</v>
      </c>
      <c r="J13879" s="27">
        <v>475</v>
      </c>
      <c r="K13879" s="18">
        <f t="shared" si="433"/>
        <v>475</v>
      </c>
      <c r="L13879" s="27">
        <v>475</v>
      </c>
      <c r="M13879" s="36">
        <v>0</v>
      </c>
      <c r="T13879" s="41">
        <v>0</v>
      </c>
      <c r="U13879" s="41">
        <v>0</v>
      </c>
      <c r="V13879" s="42" t="s">
        <v>113</v>
      </c>
      <c r="W13879" s="42">
        <v>475</v>
      </c>
      <c r="X13879" s="42">
        <v>475</v>
      </c>
    </row>
    <row r="13880" spans="1:24">
      <c r="A13880" s="27" t="s">
        <v>24809</v>
      </c>
      <c r="B13880" s="28" t="s">
        <v>24288</v>
      </c>
      <c r="C13880" s="27" t="s">
        <v>22457</v>
      </c>
      <c r="D13880" s="27" t="s">
        <v>17578</v>
      </c>
      <c r="E13880" s="29">
        <v>39077</v>
      </c>
      <c r="F13880" s="27">
        <v>7</v>
      </c>
      <c r="G13880" s="18">
        <v>475</v>
      </c>
      <c r="H13880" s="27">
        <f t="shared" si="432"/>
        <v>475</v>
      </c>
      <c r="I13880" s="18">
        <v>475</v>
      </c>
      <c r="J13880" s="27">
        <v>475</v>
      </c>
      <c r="K13880" s="18">
        <f t="shared" si="433"/>
        <v>475</v>
      </c>
      <c r="L13880" s="27">
        <v>475</v>
      </c>
      <c r="M13880" s="36">
        <v>0</v>
      </c>
      <c r="T13880" s="41">
        <v>0</v>
      </c>
      <c r="U13880" s="41">
        <v>0</v>
      </c>
      <c r="V13880" s="42" t="s">
        <v>113</v>
      </c>
      <c r="W13880" s="42">
        <v>475</v>
      </c>
      <c r="X13880" s="42">
        <v>475</v>
      </c>
    </row>
    <row r="13881" spans="1:24">
      <c r="A13881" s="27" t="s">
        <v>24810</v>
      </c>
      <c r="B13881" s="28" t="s">
        <v>24288</v>
      </c>
      <c r="C13881" s="27" t="s">
        <v>22457</v>
      </c>
      <c r="D13881" s="27" t="s">
        <v>17578</v>
      </c>
      <c r="E13881" s="29">
        <v>39077</v>
      </c>
      <c r="F13881" s="27">
        <v>7</v>
      </c>
      <c r="G13881" s="18">
        <v>475</v>
      </c>
      <c r="H13881" s="27">
        <f t="shared" si="432"/>
        <v>475</v>
      </c>
      <c r="I13881" s="18">
        <v>475</v>
      </c>
      <c r="J13881" s="27">
        <v>475</v>
      </c>
      <c r="K13881" s="18">
        <f t="shared" si="433"/>
        <v>475</v>
      </c>
      <c r="L13881" s="27">
        <v>475</v>
      </c>
      <c r="M13881" s="36">
        <v>0</v>
      </c>
      <c r="T13881" s="41">
        <v>0</v>
      </c>
      <c r="U13881" s="41">
        <v>0</v>
      </c>
      <c r="V13881" s="42" t="s">
        <v>113</v>
      </c>
      <c r="W13881" s="42">
        <v>475</v>
      </c>
      <c r="X13881" s="42">
        <v>475</v>
      </c>
    </row>
    <row r="13882" spans="1:24">
      <c r="A13882" s="27" t="s">
        <v>24811</v>
      </c>
      <c r="B13882" s="28" t="s">
        <v>24288</v>
      </c>
      <c r="C13882" s="27" t="s">
        <v>22457</v>
      </c>
      <c r="D13882" s="27" t="s">
        <v>17578</v>
      </c>
      <c r="E13882" s="29">
        <v>39077</v>
      </c>
      <c r="F13882" s="27">
        <v>7</v>
      </c>
      <c r="G13882" s="18">
        <v>475</v>
      </c>
      <c r="H13882" s="27">
        <f t="shared" si="432"/>
        <v>475</v>
      </c>
      <c r="I13882" s="18">
        <v>475</v>
      </c>
      <c r="J13882" s="27">
        <v>475</v>
      </c>
      <c r="K13882" s="18">
        <f t="shared" si="433"/>
        <v>475</v>
      </c>
      <c r="L13882" s="27">
        <v>475</v>
      </c>
      <c r="M13882" s="36">
        <v>0</v>
      </c>
      <c r="T13882" s="41">
        <v>0</v>
      </c>
      <c r="U13882" s="41">
        <v>0</v>
      </c>
      <c r="V13882" s="42" t="s">
        <v>113</v>
      </c>
      <c r="W13882" s="42">
        <v>475</v>
      </c>
      <c r="X13882" s="42">
        <v>475</v>
      </c>
    </row>
    <row r="13883" spans="1:24">
      <c r="A13883" s="27" t="s">
        <v>24812</v>
      </c>
      <c r="B13883" s="28" t="s">
        <v>24288</v>
      </c>
      <c r="C13883" s="27" t="s">
        <v>22457</v>
      </c>
      <c r="D13883" s="27" t="s">
        <v>17578</v>
      </c>
      <c r="E13883" s="29">
        <v>39077</v>
      </c>
      <c r="F13883" s="27">
        <v>7</v>
      </c>
      <c r="G13883" s="18">
        <v>475</v>
      </c>
      <c r="H13883" s="27">
        <f t="shared" si="432"/>
        <v>475</v>
      </c>
      <c r="I13883" s="18">
        <v>475</v>
      </c>
      <c r="J13883" s="27">
        <v>475</v>
      </c>
      <c r="K13883" s="18">
        <f t="shared" si="433"/>
        <v>475</v>
      </c>
      <c r="L13883" s="27">
        <v>475</v>
      </c>
      <c r="M13883" s="36">
        <v>0</v>
      </c>
      <c r="T13883" s="41">
        <v>0</v>
      </c>
      <c r="U13883" s="41">
        <v>0</v>
      </c>
      <c r="V13883" s="42" t="s">
        <v>113</v>
      </c>
      <c r="W13883" s="42">
        <v>475</v>
      </c>
      <c r="X13883" s="42">
        <v>475</v>
      </c>
    </row>
    <row r="13884" spans="1:24">
      <c r="A13884" s="27" t="s">
        <v>24813</v>
      </c>
      <c r="B13884" s="28" t="s">
        <v>24288</v>
      </c>
      <c r="C13884" s="27" t="s">
        <v>22457</v>
      </c>
      <c r="D13884" s="27" t="s">
        <v>17578</v>
      </c>
      <c r="E13884" s="29">
        <v>39077</v>
      </c>
      <c r="F13884" s="27">
        <v>7</v>
      </c>
      <c r="G13884" s="18">
        <v>475</v>
      </c>
      <c r="H13884" s="27">
        <f t="shared" si="432"/>
        <v>475</v>
      </c>
      <c r="I13884" s="18">
        <v>475</v>
      </c>
      <c r="J13884" s="27">
        <v>475</v>
      </c>
      <c r="K13884" s="18">
        <f t="shared" si="433"/>
        <v>475</v>
      </c>
      <c r="L13884" s="27">
        <v>475</v>
      </c>
      <c r="M13884" s="36">
        <v>0</v>
      </c>
      <c r="T13884" s="41">
        <v>0</v>
      </c>
      <c r="U13884" s="41">
        <v>0</v>
      </c>
      <c r="V13884" s="42" t="s">
        <v>113</v>
      </c>
      <c r="W13884" s="42">
        <v>475</v>
      </c>
      <c r="X13884" s="42">
        <v>475</v>
      </c>
    </row>
    <row r="13885" spans="1:24">
      <c r="A13885" s="27" t="s">
        <v>24814</v>
      </c>
      <c r="B13885" s="28" t="s">
        <v>24288</v>
      </c>
      <c r="C13885" s="27" t="s">
        <v>24815</v>
      </c>
      <c r="D13885" s="27" t="s">
        <v>17558</v>
      </c>
      <c r="E13885" s="29">
        <v>39902</v>
      </c>
      <c r="F13885" s="27">
        <v>7</v>
      </c>
      <c r="G13885" s="18">
        <v>2450</v>
      </c>
      <c r="H13885" s="27">
        <f t="shared" si="432"/>
        <v>2450</v>
      </c>
      <c r="I13885" s="18">
        <v>2450</v>
      </c>
      <c r="J13885" s="27">
        <v>2450</v>
      </c>
      <c r="K13885" s="18">
        <f t="shared" si="433"/>
        <v>2450</v>
      </c>
      <c r="L13885" s="27">
        <v>2450</v>
      </c>
      <c r="M13885" s="36">
        <v>0</v>
      </c>
      <c r="T13885" s="41">
        <v>0</v>
      </c>
      <c r="U13885" s="41">
        <v>0</v>
      </c>
      <c r="V13885" s="42" t="s">
        <v>113</v>
      </c>
      <c r="W13885" s="42">
        <v>2450</v>
      </c>
      <c r="X13885" s="42">
        <v>2450</v>
      </c>
    </row>
    <row r="13886" spans="1:24">
      <c r="A13886" s="27" t="s">
        <v>24816</v>
      </c>
      <c r="B13886" s="28" t="s">
        <v>24288</v>
      </c>
      <c r="C13886" s="27" t="s">
        <v>24817</v>
      </c>
      <c r="D13886" s="27" t="s">
        <v>17558</v>
      </c>
      <c r="E13886" s="29">
        <v>39902</v>
      </c>
      <c r="F13886" s="27">
        <v>7</v>
      </c>
      <c r="G13886" s="18">
        <v>2450</v>
      </c>
      <c r="H13886" s="27">
        <f t="shared" si="432"/>
        <v>2450</v>
      </c>
      <c r="I13886" s="18">
        <v>2450</v>
      </c>
      <c r="J13886" s="27">
        <v>2450</v>
      </c>
      <c r="K13886" s="18">
        <f t="shared" si="433"/>
        <v>2450</v>
      </c>
      <c r="L13886" s="27">
        <v>2450</v>
      </c>
      <c r="M13886" s="36">
        <v>0</v>
      </c>
      <c r="T13886" s="41">
        <v>0</v>
      </c>
      <c r="U13886" s="41">
        <v>0</v>
      </c>
      <c r="V13886" s="42" t="s">
        <v>113</v>
      </c>
      <c r="W13886" s="42">
        <v>2450</v>
      </c>
      <c r="X13886" s="42">
        <v>2450</v>
      </c>
    </row>
    <row r="13887" spans="1:24">
      <c r="A13887" s="27" t="s">
        <v>24818</v>
      </c>
      <c r="B13887" s="28" t="s">
        <v>24288</v>
      </c>
      <c r="C13887" s="27" t="s">
        <v>24819</v>
      </c>
      <c r="D13887" s="27" t="s">
        <v>17558</v>
      </c>
      <c r="E13887" s="29">
        <v>39902</v>
      </c>
      <c r="F13887" s="27">
        <v>7</v>
      </c>
      <c r="G13887" s="18">
        <v>2450</v>
      </c>
      <c r="H13887" s="27">
        <f t="shared" si="432"/>
        <v>2450</v>
      </c>
      <c r="I13887" s="18">
        <v>2450</v>
      </c>
      <c r="J13887" s="27">
        <v>2450</v>
      </c>
      <c r="K13887" s="18">
        <f t="shared" si="433"/>
        <v>2450</v>
      </c>
      <c r="L13887" s="27">
        <v>2450</v>
      </c>
      <c r="M13887" s="36">
        <v>0</v>
      </c>
      <c r="T13887" s="41">
        <v>0</v>
      </c>
      <c r="U13887" s="41">
        <v>0</v>
      </c>
      <c r="V13887" s="42" t="s">
        <v>113</v>
      </c>
      <c r="W13887" s="42">
        <v>2450</v>
      </c>
      <c r="X13887" s="42">
        <v>2450</v>
      </c>
    </row>
    <row r="13888" spans="1:24">
      <c r="A13888" s="27" t="s">
        <v>24820</v>
      </c>
      <c r="B13888" s="28" t="s">
        <v>24288</v>
      </c>
      <c r="C13888" s="27" t="s">
        <v>24821</v>
      </c>
      <c r="D13888" s="27" t="s">
        <v>17558</v>
      </c>
      <c r="E13888" s="29">
        <v>39902</v>
      </c>
      <c r="F13888" s="27">
        <v>7</v>
      </c>
      <c r="G13888" s="18">
        <v>2450</v>
      </c>
      <c r="H13888" s="27">
        <f t="shared" si="432"/>
        <v>2450</v>
      </c>
      <c r="I13888" s="18">
        <v>2450</v>
      </c>
      <c r="J13888" s="27">
        <v>2450</v>
      </c>
      <c r="K13888" s="18">
        <f t="shared" si="433"/>
        <v>2450</v>
      </c>
      <c r="L13888" s="27">
        <v>2450</v>
      </c>
      <c r="M13888" s="36">
        <v>0</v>
      </c>
      <c r="T13888" s="41">
        <v>0</v>
      </c>
      <c r="U13888" s="41">
        <v>0</v>
      </c>
      <c r="V13888" s="42" t="s">
        <v>113</v>
      </c>
      <c r="W13888" s="42">
        <v>2450</v>
      </c>
      <c r="X13888" s="42">
        <v>2450</v>
      </c>
    </row>
    <row r="13889" spans="1:24">
      <c r="A13889" s="27" t="s">
        <v>24822</v>
      </c>
      <c r="B13889" s="28" t="s">
        <v>24288</v>
      </c>
      <c r="C13889" s="27" t="s">
        <v>24823</v>
      </c>
      <c r="D13889" s="27" t="s">
        <v>17558</v>
      </c>
      <c r="E13889" s="29">
        <v>39902</v>
      </c>
      <c r="F13889" s="27">
        <v>7</v>
      </c>
      <c r="G13889" s="18">
        <v>2450</v>
      </c>
      <c r="H13889" s="27">
        <f t="shared" si="432"/>
        <v>2450</v>
      </c>
      <c r="I13889" s="18">
        <v>2450</v>
      </c>
      <c r="J13889" s="27">
        <v>2450</v>
      </c>
      <c r="K13889" s="18">
        <f t="shared" si="433"/>
        <v>2450</v>
      </c>
      <c r="L13889" s="27">
        <v>2450</v>
      </c>
      <c r="M13889" s="36">
        <v>0</v>
      </c>
      <c r="T13889" s="41">
        <v>0</v>
      </c>
      <c r="U13889" s="41">
        <v>0</v>
      </c>
      <c r="V13889" s="42" t="s">
        <v>113</v>
      </c>
      <c r="W13889" s="42">
        <v>2450</v>
      </c>
      <c r="X13889" s="42">
        <v>2450</v>
      </c>
    </row>
    <row r="13890" spans="1:24">
      <c r="A13890" s="27" t="s">
        <v>24824</v>
      </c>
      <c r="B13890" s="28" t="s">
        <v>24288</v>
      </c>
      <c r="C13890" s="27" t="s">
        <v>24825</v>
      </c>
      <c r="D13890" s="27" t="s">
        <v>17558</v>
      </c>
      <c r="E13890" s="29">
        <v>39902</v>
      </c>
      <c r="F13890" s="27">
        <v>7</v>
      </c>
      <c r="G13890" s="18">
        <v>2450</v>
      </c>
      <c r="H13890" s="27">
        <f t="shared" si="432"/>
        <v>2450</v>
      </c>
      <c r="I13890" s="18">
        <v>2450</v>
      </c>
      <c r="J13890" s="27">
        <v>2450</v>
      </c>
      <c r="K13890" s="18">
        <f t="shared" si="433"/>
        <v>2450</v>
      </c>
      <c r="L13890" s="27">
        <v>2450</v>
      </c>
      <c r="M13890" s="36">
        <v>0</v>
      </c>
      <c r="T13890" s="41">
        <v>0</v>
      </c>
      <c r="U13890" s="41">
        <v>0</v>
      </c>
      <c r="V13890" s="42" t="s">
        <v>113</v>
      </c>
      <c r="W13890" s="42">
        <v>2450</v>
      </c>
      <c r="X13890" s="42">
        <v>2450</v>
      </c>
    </row>
    <row r="13891" spans="1:24">
      <c r="A13891" s="27" t="s">
        <v>24826</v>
      </c>
      <c r="B13891" s="28" t="s">
        <v>24288</v>
      </c>
      <c r="C13891" s="27" t="s">
        <v>24827</v>
      </c>
      <c r="D13891" s="27" t="s">
        <v>17558</v>
      </c>
      <c r="E13891" s="29">
        <v>40024</v>
      </c>
      <c r="F13891" s="27">
        <v>7</v>
      </c>
      <c r="G13891" s="18">
        <v>1140</v>
      </c>
      <c r="H13891" s="27">
        <f t="shared" si="432"/>
        <v>1140</v>
      </c>
      <c r="I13891" s="18">
        <v>1140</v>
      </c>
      <c r="J13891" s="27">
        <v>1140</v>
      </c>
      <c r="K13891" s="18">
        <f t="shared" si="433"/>
        <v>1140</v>
      </c>
      <c r="L13891" s="27">
        <v>1140</v>
      </c>
      <c r="M13891" s="36">
        <v>0</v>
      </c>
      <c r="T13891" s="41">
        <v>0</v>
      </c>
      <c r="U13891" s="41">
        <v>0</v>
      </c>
      <c r="V13891" s="42" t="s">
        <v>113</v>
      </c>
      <c r="W13891" s="42">
        <v>1140</v>
      </c>
      <c r="X13891" s="42">
        <v>1140</v>
      </c>
    </row>
    <row r="13892" spans="1:24">
      <c r="A13892" s="27" t="s">
        <v>24828</v>
      </c>
      <c r="B13892" s="28" t="s">
        <v>24288</v>
      </c>
      <c r="C13892" s="27" t="s">
        <v>24829</v>
      </c>
      <c r="D13892" s="27" t="s">
        <v>17558</v>
      </c>
      <c r="E13892" s="29">
        <v>40024</v>
      </c>
      <c r="F13892" s="27">
        <v>7</v>
      </c>
      <c r="G13892" s="18">
        <v>1140</v>
      </c>
      <c r="H13892" s="27">
        <f t="shared" si="432"/>
        <v>1140</v>
      </c>
      <c r="I13892" s="18">
        <v>1140</v>
      </c>
      <c r="J13892" s="27">
        <v>1140</v>
      </c>
      <c r="K13892" s="18">
        <f t="shared" si="433"/>
        <v>1140</v>
      </c>
      <c r="L13892" s="27">
        <v>1140</v>
      </c>
      <c r="M13892" s="36">
        <v>0</v>
      </c>
      <c r="T13892" s="41">
        <v>0</v>
      </c>
      <c r="U13892" s="41">
        <v>0</v>
      </c>
      <c r="V13892" s="42" t="s">
        <v>113</v>
      </c>
      <c r="W13892" s="42">
        <v>1140</v>
      </c>
      <c r="X13892" s="42">
        <v>1140</v>
      </c>
    </row>
    <row r="13893" spans="1:24">
      <c r="A13893" s="27" t="s">
        <v>24830</v>
      </c>
      <c r="B13893" s="28" t="s">
        <v>24288</v>
      </c>
      <c r="C13893" s="27" t="s">
        <v>24831</v>
      </c>
      <c r="D13893" s="27" t="s">
        <v>17558</v>
      </c>
      <c r="E13893" s="29">
        <v>40024</v>
      </c>
      <c r="F13893" s="27">
        <v>7</v>
      </c>
      <c r="G13893" s="18">
        <v>1140</v>
      </c>
      <c r="H13893" s="27">
        <f t="shared" si="432"/>
        <v>1140</v>
      </c>
      <c r="I13893" s="18">
        <v>1140</v>
      </c>
      <c r="J13893" s="27">
        <v>1140</v>
      </c>
      <c r="K13893" s="18">
        <f t="shared" si="433"/>
        <v>1140</v>
      </c>
      <c r="L13893" s="27">
        <v>1140</v>
      </c>
      <c r="M13893" s="36">
        <v>0</v>
      </c>
      <c r="T13893" s="41">
        <v>0</v>
      </c>
      <c r="U13893" s="41">
        <v>0</v>
      </c>
      <c r="V13893" s="42" t="s">
        <v>113</v>
      </c>
      <c r="W13893" s="42">
        <v>1140</v>
      </c>
      <c r="X13893" s="42">
        <v>1140</v>
      </c>
    </row>
    <row r="13894" spans="1:24">
      <c r="A13894" s="27" t="s">
        <v>24832</v>
      </c>
      <c r="B13894" s="28" t="s">
        <v>24288</v>
      </c>
      <c r="C13894" s="27" t="s">
        <v>24833</v>
      </c>
      <c r="D13894" s="27" t="s">
        <v>17558</v>
      </c>
      <c r="E13894" s="29">
        <v>39751</v>
      </c>
      <c r="F13894" s="27">
        <v>7</v>
      </c>
      <c r="G13894" s="18">
        <v>2450</v>
      </c>
      <c r="H13894" s="27">
        <f t="shared" ref="H13894:H13957" si="434">IFERROR(IF(ROUND((G13894-I13894)/G13894,2)&lt;=0.05,G13894,0),0)</f>
        <v>2450</v>
      </c>
      <c r="I13894" s="18">
        <v>2450</v>
      </c>
      <c r="J13894" s="27">
        <v>2450</v>
      </c>
      <c r="K13894" s="18">
        <f t="shared" ref="K13894:K13957" si="435">IFERROR(IF(ROUND((J13894-L13894)/J13894,2)&lt;=0.05,J13894,0),0)</f>
        <v>2450</v>
      </c>
      <c r="L13894" s="27">
        <v>2450</v>
      </c>
      <c r="M13894" s="36">
        <v>0</v>
      </c>
      <c r="T13894" s="41">
        <v>0</v>
      </c>
      <c r="U13894" s="41">
        <v>0</v>
      </c>
      <c r="V13894" s="42" t="s">
        <v>113</v>
      </c>
      <c r="W13894" s="42">
        <v>2450</v>
      </c>
      <c r="X13894" s="42">
        <v>2450</v>
      </c>
    </row>
    <row r="13895" spans="1:24">
      <c r="A13895" s="27" t="s">
        <v>24834</v>
      </c>
      <c r="B13895" s="28" t="s">
        <v>24288</v>
      </c>
      <c r="C13895" s="27" t="s">
        <v>24833</v>
      </c>
      <c r="D13895" s="27" t="s">
        <v>17558</v>
      </c>
      <c r="E13895" s="29">
        <v>39751</v>
      </c>
      <c r="F13895" s="27">
        <v>7</v>
      </c>
      <c r="G13895" s="18">
        <v>5733</v>
      </c>
      <c r="H13895" s="27">
        <f t="shared" si="434"/>
        <v>5733</v>
      </c>
      <c r="I13895" s="18">
        <v>5446.35</v>
      </c>
      <c r="J13895" s="27">
        <v>5733</v>
      </c>
      <c r="K13895" s="18">
        <f t="shared" si="435"/>
        <v>5733</v>
      </c>
      <c r="L13895" s="27">
        <v>5446.35</v>
      </c>
      <c r="M13895" s="36">
        <v>0</v>
      </c>
      <c r="T13895" s="41">
        <v>0</v>
      </c>
      <c r="U13895" s="41">
        <v>0</v>
      </c>
      <c r="V13895" s="42" t="s">
        <v>113</v>
      </c>
      <c r="W13895" s="42">
        <v>5733</v>
      </c>
      <c r="X13895" s="42">
        <v>5733</v>
      </c>
    </row>
    <row r="13896" spans="1:24">
      <c r="A13896" s="27" t="s">
        <v>24835</v>
      </c>
      <c r="B13896" s="28" t="s">
        <v>24288</v>
      </c>
      <c r="C13896" s="27" t="s">
        <v>24836</v>
      </c>
      <c r="D13896" s="27" t="s">
        <v>17558</v>
      </c>
      <c r="E13896" s="29">
        <v>39385</v>
      </c>
      <c r="F13896" s="27">
        <v>7</v>
      </c>
      <c r="G13896" s="18">
        <v>2252.5</v>
      </c>
      <c r="H13896" s="27">
        <f t="shared" si="434"/>
        <v>2252.5</v>
      </c>
      <c r="I13896" s="18">
        <v>2252.5</v>
      </c>
      <c r="J13896" s="27">
        <v>2252.5</v>
      </c>
      <c r="K13896" s="18">
        <f t="shared" si="435"/>
        <v>2252.5</v>
      </c>
      <c r="L13896" s="27">
        <v>2252.5</v>
      </c>
      <c r="M13896" s="36">
        <v>0</v>
      </c>
      <c r="T13896" s="41">
        <v>0</v>
      </c>
      <c r="U13896" s="41">
        <v>0</v>
      </c>
      <c r="V13896" s="42" t="s">
        <v>113</v>
      </c>
      <c r="W13896" s="42">
        <v>2252.5</v>
      </c>
      <c r="X13896" s="42">
        <v>2252.5</v>
      </c>
    </row>
    <row r="13897" spans="1:24">
      <c r="A13897" s="27" t="s">
        <v>24837</v>
      </c>
      <c r="B13897" s="28" t="s">
        <v>24288</v>
      </c>
      <c r="C13897" s="27" t="s">
        <v>24838</v>
      </c>
      <c r="D13897" s="27" t="s">
        <v>17558</v>
      </c>
      <c r="E13897" s="29">
        <v>39751</v>
      </c>
      <c r="F13897" s="27">
        <v>7</v>
      </c>
      <c r="G13897" s="18">
        <v>11466</v>
      </c>
      <c r="H13897" s="27">
        <f t="shared" si="434"/>
        <v>11466</v>
      </c>
      <c r="I13897" s="18">
        <v>10892.7</v>
      </c>
      <c r="J13897" s="27">
        <v>11466</v>
      </c>
      <c r="K13897" s="18">
        <f t="shared" si="435"/>
        <v>11466</v>
      </c>
      <c r="L13897" s="27">
        <v>10892.7</v>
      </c>
      <c r="M13897" s="36">
        <v>0</v>
      </c>
      <c r="T13897" s="41">
        <v>0</v>
      </c>
      <c r="U13897" s="41">
        <v>0</v>
      </c>
      <c r="V13897" s="42" t="s">
        <v>113</v>
      </c>
      <c r="W13897" s="42">
        <v>11466</v>
      </c>
      <c r="X13897" s="42">
        <v>11466</v>
      </c>
    </row>
    <row r="13898" spans="1:24">
      <c r="A13898" s="27" t="s">
        <v>24839</v>
      </c>
      <c r="B13898" s="28" t="s">
        <v>24288</v>
      </c>
      <c r="C13898" s="27" t="s">
        <v>24840</v>
      </c>
      <c r="D13898" s="27" t="s">
        <v>17558</v>
      </c>
      <c r="E13898" s="29">
        <v>39751</v>
      </c>
      <c r="F13898" s="27">
        <v>7</v>
      </c>
      <c r="G13898" s="18">
        <v>2450</v>
      </c>
      <c r="H13898" s="27">
        <f t="shared" si="434"/>
        <v>2450</v>
      </c>
      <c r="I13898" s="18">
        <v>2450</v>
      </c>
      <c r="J13898" s="27">
        <v>2450</v>
      </c>
      <c r="K13898" s="18">
        <f t="shared" si="435"/>
        <v>2450</v>
      </c>
      <c r="L13898" s="27">
        <v>2450</v>
      </c>
      <c r="M13898" s="36">
        <v>0</v>
      </c>
      <c r="T13898" s="41">
        <v>0</v>
      </c>
      <c r="U13898" s="41">
        <v>0</v>
      </c>
      <c r="V13898" s="42" t="s">
        <v>113</v>
      </c>
      <c r="W13898" s="42">
        <v>2450</v>
      </c>
      <c r="X13898" s="42">
        <v>2450</v>
      </c>
    </row>
    <row r="13899" spans="1:24">
      <c r="A13899" s="27" t="s">
        <v>24841</v>
      </c>
      <c r="B13899" s="28" t="s">
        <v>24288</v>
      </c>
      <c r="C13899" s="27" t="s">
        <v>24842</v>
      </c>
      <c r="D13899" s="27" t="s">
        <v>17558</v>
      </c>
      <c r="E13899" s="29">
        <v>39813</v>
      </c>
      <c r="F13899" s="27">
        <v>7</v>
      </c>
      <c r="G13899" s="18">
        <v>11700</v>
      </c>
      <c r="H13899" s="27">
        <f t="shared" si="434"/>
        <v>11700</v>
      </c>
      <c r="I13899" s="18">
        <v>11115</v>
      </c>
      <c r="J13899" s="27">
        <v>11700</v>
      </c>
      <c r="K13899" s="18">
        <f t="shared" si="435"/>
        <v>11700</v>
      </c>
      <c r="L13899" s="27">
        <v>11115</v>
      </c>
      <c r="M13899" s="36">
        <v>0</v>
      </c>
      <c r="T13899" s="41">
        <v>0</v>
      </c>
      <c r="U13899" s="41">
        <v>0</v>
      </c>
      <c r="V13899" s="42" t="s">
        <v>113</v>
      </c>
      <c r="W13899" s="42">
        <v>11700</v>
      </c>
      <c r="X13899" s="42">
        <v>11700</v>
      </c>
    </row>
    <row r="13900" spans="1:24">
      <c r="A13900" s="27" t="s">
        <v>24843</v>
      </c>
      <c r="B13900" s="28" t="s">
        <v>24288</v>
      </c>
      <c r="C13900" s="27" t="s">
        <v>24844</v>
      </c>
      <c r="D13900" s="27" t="s">
        <v>17558</v>
      </c>
      <c r="E13900" s="29">
        <v>41570</v>
      </c>
      <c r="F13900" s="27">
        <v>7</v>
      </c>
      <c r="G13900" s="18">
        <v>25179.49</v>
      </c>
      <c r="H13900" s="27">
        <f t="shared" si="434"/>
        <v>0</v>
      </c>
      <c r="I13900" s="18">
        <v>17655.63</v>
      </c>
      <c r="J13900" s="27">
        <v>25179.49</v>
      </c>
      <c r="K13900" s="18">
        <f t="shared" si="435"/>
        <v>0</v>
      </c>
      <c r="L13900" s="27">
        <v>21072.84</v>
      </c>
      <c r="M13900" s="36">
        <v>3417.21</v>
      </c>
      <c r="T13900" s="41">
        <v>0</v>
      </c>
      <c r="U13900" s="41">
        <v>0</v>
      </c>
      <c r="V13900" s="42" t="s">
        <v>113</v>
      </c>
      <c r="W13900" s="42">
        <v>25179.49</v>
      </c>
      <c r="X13900" s="42">
        <v>25179.49</v>
      </c>
    </row>
    <row r="13901" spans="1:24">
      <c r="A13901" s="27" t="s">
        <v>24845</v>
      </c>
      <c r="B13901" s="28" t="s">
        <v>24288</v>
      </c>
      <c r="C13901" s="27" t="s">
        <v>24846</v>
      </c>
      <c r="D13901" s="27" t="s">
        <v>17558</v>
      </c>
      <c r="E13901" s="29">
        <v>41570</v>
      </c>
      <c r="F13901" s="27">
        <v>7</v>
      </c>
      <c r="G13901" s="18">
        <v>8290.6</v>
      </c>
      <c r="H13901" s="27">
        <f t="shared" si="434"/>
        <v>0</v>
      </c>
      <c r="I13901" s="18">
        <v>5813.29</v>
      </c>
      <c r="J13901" s="27">
        <v>8290.6</v>
      </c>
      <c r="K13901" s="18">
        <f t="shared" si="435"/>
        <v>0</v>
      </c>
      <c r="L13901" s="27">
        <v>6938.44</v>
      </c>
      <c r="M13901" s="36">
        <v>1125.1500000000001</v>
      </c>
      <c r="T13901" s="41">
        <v>0</v>
      </c>
      <c r="U13901" s="41">
        <v>0</v>
      </c>
      <c r="V13901" s="42" t="s">
        <v>113</v>
      </c>
      <c r="W13901" s="42">
        <v>8290.6</v>
      </c>
      <c r="X13901" s="42">
        <v>8290.6</v>
      </c>
    </row>
    <row r="13902" spans="1:24">
      <c r="A13902" s="27" t="s">
        <v>24847</v>
      </c>
      <c r="B13902" s="28" t="s">
        <v>24288</v>
      </c>
      <c r="C13902" s="27" t="s">
        <v>24848</v>
      </c>
      <c r="D13902" s="27" t="s">
        <v>17578</v>
      </c>
      <c r="E13902" s="29">
        <v>41570</v>
      </c>
      <c r="F13902" s="27">
        <v>7</v>
      </c>
      <c r="G13902" s="18">
        <v>6153.85</v>
      </c>
      <c r="H13902" s="27">
        <f t="shared" si="434"/>
        <v>0</v>
      </c>
      <c r="I13902" s="18">
        <v>4315.0200000000004</v>
      </c>
      <c r="J13902" s="27">
        <v>6153.85</v>
      </c>
      <c r="K13902" s="18">
        <f t="shared" si="435"/>
        <v>0</v>
      </c>
      <c r="L13902" s="27">
        <v>5150.1899999999996</v>
      </c>
      <c r="M13902" s="36">
        <v>835.17</v>
      </c>
      <c r="T13902" s="41">
        <v>0</v>
      </c>
      <c r="U13902" s="41">
        <v>0</v>
      </c>
      <c r="V13902" s="42" t="s">
        <v>113</v>
      </c>
      <c r="W13902" s="42">
        <v>6153.85</v>
      </c>
      <c r="X13902" s="42">
        <v>6153.85</v>
      </c>
    </row>
    <row r="13903" spans="1:24">
      <c r="A13903" s="27" t="s">
        <v>24849</v>
      </c>
      <c r="B13903" s="28" t="s">
        <v>24288</v>
      </c>
      <c r="C13903" s="27" t="s">
        <v>24850</v>
      </c>
      <c r="D13903" s="27" t="s">
        <v>17578</v>
      </c>
      <c r="E13903" s="29">
        <v>41570</v>
      </c>
      <c r="F13903" s="27">
        <v>7</v>
      </c>
      <c r="G13903" s="18">
        <v>39042.730000000003</v>
      </c>
      <c r="H13903" s="27">
        <f t="shared" si="434"/>
        <v>0</v>
      </c>
      <c r="I13903" s="18">
        <v>27376.39</v>
      </c>
      <c r="J13903" s="27">
        <v>39042.730000000003</v>
      </c>
      <c r="K13903" s="18">
        <f t="shared" si="435"/>
        <v>0</v>
      </c>
      <c r="L13903" s="27">
        <v>32675.040000000001</v>
      </c>
      <c r="M13903" s="36">
        <v>5298.65</v>
      </c>
      <c r="T13903" s="41">
        <v>0</v>
      </c>
      <c r="U13903" s="41">
        <v>0</v>
      </c>
      <c r="V13903" s="42" t="s">
        <v>113</v>
      </c>
      <c r="W13903" s="42">
        <v>39042.730000000003</v>
      </c>
      <c r="X13903" s="42">
        <v>39042.730000000003</v>
      </c>
    </row>
    <row r="13904" spans="1:24">
      <c r="A13904" s="27" t="s">
        <v>24851</v>
      </c>
      <c r="B13904" s="28" t="s">
        <v>24288</v>
      </c>
      <c r="C13904" s="27" t="s">
        <v>24852</v>
      </c>
      <c r="D13904" s="27" t="s">
        <v>17578</v>
      </c>
      <c r="E13904" s="29">
        <v>41843</v>
      </c>
      <c r="F13904" s="27">
        <v>7</v>
      </c>
      <c r="G13904" s="18">
        <v>100000</v>
      </c>
      <c r="H13904" s="27">
        <f t="shared" si="434"/>
        <v>0</v>
      </c>
      <c r="I13904" s="18">
        <v>59940.480000000003</v>
      </c>
      <c r="J13904" s="27">
        <v>100000</v>
      </c>
      <c r="K13904" s="18">
        <f t="shared" si="435"/>
        <v>0</v>
      </c>
      <c r="L13904" s="27">
        <v>73511.91</v>
      </c>
      <c r="M13904" s="36">
        <v>13571.43</v>
      </c>
      <c r="T13904" s="41">
        <v>0</v>
      </c>
      <c r="U13904" s="41">
        <v>0</v>
      </c>
      <c r="V13904" s="42" t="s">
        <v>113</v>
      </c>
      <c r="W13904" s="42">
        <v>0</v>
      </c>
      <c r="X13904" s="42">
        <v>100000</v>
      </c>
    </row>
    <row r="13905" spans="1:24">
      <c r="A13905" s="27" t="s">
        <v>24853</v>
      </c>
      <c r="B13905" s="28" t="s">
        <v>24288</v>
      </c>
      <c r="C13905" s="27" t="s">
        <v>24854</v>
      </c>
      <c r="D13905" s="27" t="s">
        <v>17558</v>
      </c>
      <c r="E13905" s="29">
        <v>41843</v>
      </c>
      <c r="F13905" s="27">
        <v>7</v>
      </c>
      <c r="G13905" s="18">
        <v>65811.960000000006</v>
      </c>
      <c r="H13905" s="27">
        <f t="shared" si="434"/>
        <v>0</v>
      </c>
      <c r="I13905" s="18">
        <v>39448</v>
      </c>
      <c r="J13905" s="27">
        <v>65811.960000000006</v>
      </c>
      <c r="K13905" s="18">
        <f t="shared" si="435"/>
        <v>0</v>
      </c>
      <c r="L13905" s="27">
        <v>48379.62</v>
      </c>
      <c r="M13905" s="36">
        <v>8931.6200000000008</v>
      </c>
      <c r="T13905" s="41">
        <v>0</v>
      </c>
      <c r="U13905" s="41">
        <v>0</v>
      </c>
      <c r="V13905" s="42" t="s">
        <v>113</v>
      </c>
      <c r="W13905" s="42">
        <v>0</v>
      </c>
      <c r="X13905" s="42">
        <v>65811.960000000006</v>
      </c>
    </row>
    <row r="13906" spans="1:24">
      <c r="A13906" s="27" t="s">
        <v>24855</v>
      </c>
      <c r="B13906" s="28" t="s">
        <v>24288</v>
      </c>
      <c r="C13906" s="27" t="s">
        <v>24852</v>
      </c>
      <c r="D13906" s="27" t="s">
        <v>17578</v>
      </c>
      <c r="E13906" s="29">
        <v>41843</v>
      </c>
      <c r="F13906" s="27">
        <v>7</v>
      </c>
      <c r="G13906" s="18">
        <v>33333.279999999999</v>
      </c>
      <c r="H13906" s="27">
        <f t="shared" si="434"/>
        <v>0</v>
      </c>
      <c r="I13906" s="18">
        <v>19980.12</v>
      </c>
      <c r="J13906" s="27">
        <v>33333.279999999999</v>
      </c>
      <c r="K13906" s="18">
        <f t="shared" si="435"/>
        <v>0</v>
      </c>
      <c r="L13906" s="27">
        <v>24503.93</v>
      </c>
      <c r="M13906" s="36">
        <v>4523.8100000000004</v>
      </c>
      <c r="T13906" s="41">
        <v>0</v>
      </c>
      <c r="U13906" s="41">
        <v>0</v>
      </c>
      <c r="V13906" s="42" t="s">
        <v>113</v>
      </c>
      <c r="W13906" s="42">
        <v>0</v>
      </c>
      <c r="X13906" s="42">
        <v>33333.279999999999</v>
      </c>
    </row>
    <row r="13907" spans="1:24">
      <c r="A13907" s="27" t="s">
        <v>24856</v>
      </c>
      <c r="B13907" s="28" t="s">
        <v>24288</v>
      </c>
      <c r="C13907" s="27" t="s">
        <v>24854</v>
      </c>
      <c r="D13907" s="27" t="s">
        <v>17558</v>
      </c>
      <c r="E13907" s="29">
        <v>41843</v>
      </c>
      <c r="F13907" s="27">
        <v>7</v>
      </c>
      <c r="G13907" s="18">
        <v>65811.97</v>
      </c>
      <c r="H13907" s="27">
        <f t="shared" si="434"/>
        <v>0</v>
      </c>
      <c r="I13907" s="18">
        <v>39448.01</v>
      </c>
      <c r="J13907" s="27">
        <v>65811.97</v>
      </c>
      <c r="K13907" s="18">
        <f t="shared" si="435"/>
        <v>0</v>
      </c>
      <c r="L13907" s="27">
        <v>48379.63</v>
      </c>
      <c r="M13907" s="36">
        <v>8931.6200000000008</v>
      </c>
      <c r="T13907" s="41">
        <v>0</v>
      </c>
      <c r="U13907" s="41">
        <v>0</v>
      </c>
      <c r="V13907" s="42" t="s">
        <v>113</v>
      </c>
      <c r="W13907" s="42">
        <v>0</v>
      </c>
      <c r="X13907" s="42">
        <v>65811.97</v>
      </c>
    </row>
    <row r="13908" spans="1:24">
      <c r="A13908" s="27" t="s">
        <v>24857</v>
      </c>
      <c r="B13908" s="28" t="s">
        <v>24288</v>
      </c>
      <c r="C13908" s="27" t="s">
        <v>24858</v>
      </c>
      <c r="D13908" s="27" t="s">
        <v>17578</v>
      </c>
      <c r="E13908" s="29">
        <v>41891</v>
      </c>
      <c r="F13908" s="27">
        <v>7</v>
      </c>
      <c r="G13908" s="18">
        <v>4487.18</v>
      </c>
      <c r="H13908" s="27">
        <f t="shared" si="434"/>
        <v>4487.18</v>
      </c>
      <c r="I13908" s="18">
        <v>4487.18</v>
      </c>
      <c r="J13908" s="27">
        <v>4487.18</v>
      </c>
      <c r="K13908" s="18">
        <f t="shared" si="435"/>
        <v>4487.18</v>
      </c>
      <c r="L13908" s="27">
        <v>4487.18</v>
      </c>
      <c r="M13908" s="36">
        <v>0</v>
      </c>
      <c r="T13908" s="41">
        <v>0</v>
      </c>
      <c r="U13908" s="41">
        <v>0</v>
      </c>
      <c r="V13908" s="42" t="s">
        <v>113</v>
      </c>
      <c r="W13908" s="42">
        <v>4487.18</v>
      </c>
      <c r="X13908" s="42">
        <v>4487.18</v>
      </c>
    </row>
    <row r="13909" spans="1:24">
      <c r="A13909" s="27" t="s">
        <v>24859</v>
      </c>
      <c r="B13909" s="28" t="s">
        <v>24288</v>
      </c>
      <c r="C13909" s="27" t="s">
        <v>24860</v>
      </c>
      <c r="D13909" s="27" t="s">
        <v>17578</v>
      </c>
      <c r="E13909" s="29">
        <v>41891</v>
      </c>
      <c r="F13909" s="27">
        <v>7</v>
      </c>
      <c r="G13909" s="18">
        <v>4487.18</v>
      </c>
      <c r="H13909" s="27">
        <f t="shared" si="434"/>
        <v>4487.18</v>
      </c>
      <c r="I13909" s="18">
        <v>4487.18</v>
      </c>
      <c r="J13909" s="27">
        <v>4487.18</v>
      </c>
      <c r="K13909" s="18">
        <f t="shared" si="435"/>
        <v>4487.18</v>
      </c>
      <c r="L13909" s="27">
        <v>4487.18</v>
      </c>
      <c r="M13909" s="36">
        <v>0</v>
      </c>
      <c r="T13909" s="41">
        <v>0</v>
      </c>
      <c r="U13909" s="41">
        <v>0</v>
      </c>
      <c r="V13909" s="42" t="s">
        <v>113</v>
      </c>
      <c r="W13909" s="42">
        <v>4487.18</v>
      </c>
      <c r="X13909" s="42">
        <v>4487.18</v>
      </c>
    </row>
    <row r="13910" spans="1:24">
      <c r="A13910" s="27" t="s">
        <v>24861</v>
      </c>
      <c r="B13910" s="28" t="s">
        <v>24288</v>
      </c>
      <c r="C13910" s="27" t="s">
        <v>24862</v>
      </c>
      <c r="D13910" s="27" t="s">
        <v>17578</v>
      </c>
      <c r="E13910" s="29">
        <v>41891</v>
      </c>
      <c r="F13910" s="27">
        <v>7</v>
      </c>
      <c r="G13910" s="18">
        <v>4487.18</v>
      </c>
      <c r="H13910" s="27">
        <f t="shared" si="434"/>
        <v>4487.18</v>
      </c>
      <c r="I13910" s="18">
        <v>4487.18</v>
      </c>
      <c r="J13910" s="27">
        <v>4487.18</v>
      </c>
      <c r="K13910" s="18">
        <f t="shared" si="435"/>
        <v>4487.18</v>
      </c>
      <c r="L13910" s="27">
        <v>4487.18</v>
      </c>
      <c r="M13910" s="36">
        <v>0</v>
      </c>
      <c r="T13910" s="41">
        <v>0</v>
      </c>
      <c r="U13910" s="41">
        <v>0</v>
      </c>
      <c r="V13910" s="42" t="s">
        <v>113</v>
      </c>
      <c r="W13910" s="42">
        <v>4487.18</v>
      </c>
      <c r="X13910" s="42">
        <v>4487.18</v>
      </c>
    </row>
    <row r="13911" spans="1:24">
      <c r="A13911" s="27" t="s">
        <v>24863</v>
      </c>
      <c r="B13911" s="28" t="s">
        <v>24288</v>
      </c>
      <c r="C13911" s="27" t="s">
        <v>24864</v>
      </c>
      <c r="D13911" s="27" t="s">
        <v>17578</v>
      </c>
      <c r="E13911" s="29">
        <v>41891</v>
      </c>
      <c r="F13911" s="27">
        <v>7</v>
      </c>
      <c r="G13911" s="18">
        <v>4487.18</v>
      </c>
      <c r="H13911" s="27">
        <f t="shared" si="434"/>
        <v>4487.18</v>
      </c>
      <c r="I13911" s="18">
        <v>4487.18</v>
      </c>
      <c r="J13911" s="27">
        <v>4487.18</v>
      </c>
      <c r="K13911" s="18">
        <f t="shared" si="435"/>
        <v>4487.18</v>
      </c>
      <c r="L13911" s="27">
        <v>4487.18</v>
      </c>
      <c r="M13911" s="36">
        <v>0</v>
      </c>
      <c r="T13911" s="41">
        <v>0</v>
      </c>
      <c r="U13911" s="41">
        <v>0</v>
      </c>
      <c r="V13911" s="42" t="s">
        <v>113</v>
      </c>
      <c r="W13911" s="42">
        <v>4487.18</v>
      </c>
      <c r="X13911" s="42">
        <v>4487.18</v>
      </c>
    </row>
    <row r="13912" spans="1:24">
      <c r="A13912" s="27" t="s">
        <v>24865</v>
      </c>
      <c r="B13912" s="28" t="s">
        <v>24288</v>
      </c>
      <c r="C13912" s="27" t="s">
        <v>24866</v>
      </c>
      <c r="D13912" s="27" t="s">
        <v>17558</v>
      </c>
      <c r="E13912" s="29">
        <v>41872</v>
      </c>
      <c r="F13912" s="27">
        <v>7</v>
      </c>
      <c r="G13912" s="18">
        <v>3846.15</v>
      </c>
      <c r="H13912" s="27">
        <f t="shared" si="434"/>
        <v>3846.15</v>
      </c>
      <c r="I13912" s="18">
        <v>3846.15</v>
      </c>
      <c r="J13912" s="27">
        <v>3846.15</v>
      </c>
      <c r="K13912" s="18">
        <f t="shared" si="435"/>
        <v>3846.15</v>
      </c>
      <c r="L13912" s="27">
        <v>3846.15</v>
      </c>
      <c r="M13912" s="36">
        <v>0</v>
      </c>
      <c r="T13912" s="41">
        <v>0</v>
      </c>
      <c r="U13912" s="41">
        <v>0</v>
      </c>
      <c r="V13912" s="42" t="s">
        <v>113</v>
      </c>
      <c r="W13912" s="42">
        <v>3846.15</v>
      </c>
      <c r="X13912" s="42">
        <v>3846.15</v>
      </c>
    </row>
    <row r="13913" spans="1:24">
      <c r="A13913" s="27" t="s">
        <v>24867</v>
      </c>
      <c r="B13913" s="28" t="s">
        <v>24288</v>
      </c>
      <c r="C13913" s="27" t="s">
        <v>24868</v>
      </c>
      <c r="D13913" s="27" t="s">
        <v>17558</v>
      </c>
      <c r="E13913" s="29">
        <v>41872</v>
      </c>
      <c r="F13913" s="27">
        <v>7</v>
      </c>
      <c r="G13913" s="18">
        <v>3846.15</v>
      </c>
      <c r="H13913" s="27">
        <f t="shared" si="434"/>
        <v>3846.15</v>
      </c>
      <c r="I13913" s="18">
        <v>3846.15</v>
      </c>
      <c r="J13913" s="27">
        <v>3846.15</v>
      </c>
      <c r="K13913" s="18">
        <f t="shared" si="435"/>
        <v>3846.15</v>
      </c>
      <c r="L13913" s="27">
        <v>3846.15</v>
      </c>
      <c r="M13913" s="36">
        <v>0</v>
      </c>
      <c r="T13913" s="41">
        <v>0</v>
      </c>
      <c r="U13913" s="41">
        <v>0</v>
      </c>
      <c r="V13913" s="42" t="s">
        <v>113</v>
      </c>
      <c r="W13913" s="42">
        <v>3846.15</v>
      </c>
      <c r="X13913" s="42">
        <v>3846.15</v>
      </c>
    </row>
    <row r="13914" spans="1:24">
      <c r="A13914" s="27" t="s">
        <v>24869</v>
      </c>
      <c r="B13914" s="28" t="s">
        <v>24288</v>
      </c>
      <c r="C13914" s="27" t="s">
        <v>24870</v>
      </c>
      <c r="D13914" s="27" t="s">
        <v>17558</v>
      </c>
      <c r="E13914" s="29">
        <v>41872</v>
      </c>
      <c r="F13914" s="27">
        <v>7</v>
      </c>
      <c r="G13914" s="18">
        <v>3846.15</v>
      </c>
      <c r="H13914" s="27">
        <f t="shared" si="434"/>
        <v>3846.15</v>
      </c>
      <c r="I13914" s="18">
        <v>3846.15</v>
      </c>
      <c r="J13914" s="27">
        <v>3846.15</v>
      </c>
      <c r="K13914" s="18">
        <f t="shared" si="435"/>
        <v>3846.15</v>
      </c>
      <c r="L13914" s="27">
        <v>3846.15</v>
      </c>
      <c r="M13914" s="36">
        <v>0</v>
      </c>
      <c r="T13914" s="41">
        <v>0</v>
      </c>
      <c r="U13914" s="41">
        <v>0</v>
      </c>
      <c r="V13914" s="42" t="s">
        <v>113</v>
      </c>
      <c r="W13914" s="42">
        <v>3846.15</v>
      </c>
      <c r="X13914" s="42">
        <v>3846.15</v>
      </c>
    </row>
    <row r="13915" spans="1:24">
      <c r="A13915" s="27" t="s">
        <v>24871</v>
      </c>
      <c r="B13915" s="28" t="s">
        <v>24288</v>
      </c>
      <c r="C13915" s="27" t="s">
        <v>24872</v>
      </c>
      <c r="D13915" s="27" t="s">
        <v>17558</v>
      </c>
      <c r="E13915" s="29">
        <v>41872</v>
      </c>
      <c r="F13915" s="27">
        <v>7</v>
      </c>
      <c r="G13915" s="18">
        <v>3846.15</v>
      </c>
      <c r="H13915" s="27">
        <f t="shared" si="434"/>
        <v>3846.15</v>
      </c>
      <c r="I13915" s="18">
        <v>3846.15</v>
      </c>
      <c r="J13915" s="27">
        <v>3846.15</v>
      </c>
      <c r="K13915" s="18">
        <f t="shared" si="435"/>
        <v>3846.15</v>
      </c>
      <c r="L13915" s="27">
        <v>3846.15</v>
      </c>
      <c r="M13915" s="36">
        <v>0</v>
      </c>
      <c r="T13915" s="41">
        <v>0</v>
      </c>
      <c r="U13915" s="41">
        <v>0</v>
      </c>
      <c r="V13915" s="42" t="s">
        <v>113</v>
      </c>
      <c r="W13915" s="42">
        <v>3846.15</v>
      </c>
      <c r="X13915" s="42">
        <v>3846.15</v>
      </c>
    </row>
    <row r="13916" spans="1:24">
      <c r="A13916" s="27" t="s">
        <v>24873</v>
      </c>
      <c r="B13916" s="28" t="s">
        <v>24288</v>
      </c>
      <c r="C13916" s="27" t="s">
        <v>24874</v>
      </c>
      <c r="D13916" s="27" t="s">
        <v>17558</v>
      </c>
      <c r="E13916" s="29">
        <v>41872</v>
      </c>
      <c r="F13916" s="27">
        <v>7</v>
      </c>
      <c r="G13916" s="18">
        <v>3846.15</v>
      </c>
      <c r="H13916" s="27">
        <f t="shared" si="434"/>
        <v>3846.15</v>
      </c>
      <c r="I13916" s="18">
        <v>3846.15</v>
      </c>
      <c r="J13916" s="27">
        <v>3846.15</v>
      </c>
      <c r="K13916" s="18">
        <f t="shared" si="435"/>
        <v>3846.15</v>
      </c>
      <c r="L13916" s="27">
        <v>3846.15</v>
      </c>
      <c r="M13916" s="36">
        <v>0</v>
      </c>
      <c r="T13916" s="41">
        <v>0</v>
      </c>
      <c r="U13916" s="41">
        <v>0</v>
      </c>
      <c r="V13916" s="42" t="s">
        <v>113</v>
      </c>
      <c r="W13916" s="42">
        <v>3846.15</v>
      </c>
      <c r="X13916" s="42">
        <v>3846.15</v>
      </c>
    </row>
    <row r="13917" spans="1:24">
      <c r="A13917" s="27" t="s">
        <v>24875</v>
      </c>
      <c r="B13917" s="28" t="s">
        <v>24288</v>
      </c>
      <c r="C13917" s="27" t="s">
        <v>24491</v>
      </c>
      <c r="D13917" s="27" t="s">
        <v>17558</v>
      </c>
      <c r="E13917" s="29">
        <v>41872</v>
      </c>
      <c r="F13917" s="27">
        <v>7</v>
      </c>
      <c r="G13917" s="18">
        <v>4606.84</v>
      </c>
      <c r="H13917" s="27">
        <f t="shared" si="434"/>
        <v>4606.84</v>
      </c>
      <c r="I13917" s="18">
        <v>4606.84</v>
      </c>
      <c r="J13917" s="27">
        <v>4606.84</v>
      </c>
      <c r="K13917" s="18">
        <f t="shared" si="435"/>
        <v>4606.84</v>
      </c>
      <c r="L13917" s="27">
        <v>4606.84</v>
      </c>
      <c r="M13917" s="36">
        <v>0</v>
      </c>
      <c r="T13917" s="41">
        <v>0</v>
      </c>
      <c r="U13917" s="41">
        <v>0</v>
      </c>
      <c r="V13917" s="42" t="s">
        <v>113</v>
      </c>
      <c r="W13917" s="42">
        <v>4606.84</v>
      </c>
      <c r="X13917" s="42">
        <v>4606.84</v>
      </c>
    </row>
    <row r="13918" spans="1:24">
      <c r="A13918" s="27" t="s">
        <v>24876</v>
      </c>
      <c r="B13918" s="28" t="s">
        <v>24288</v>
      </c>
      <c r="C13918" s="27" t="s">
        <v>24877</v>
      </c>
      <c r="D13918" s="27" t="s">
        <v>17578</v>
      </c>
      <c r="E13918" s="29">
        <v>41907</v>
      </c>
      <c r="F13918" s="27">
        <v>7</v>
      </c>
      <c r="G13918" s="18">
        <v>258547.02</v>
      </c>
      <c r="H13918" s="27">
        <f t="shared" si="434"/>
        <v>0</v>
      </c>
      <c r="I13918" s="18">
        <v>149126.23000000001</v>
      </c>
      <c r="J13918" s="27">
        <v>258547.02</v>
      </c>
      <c r="K13918" s="18">
        <f t="shared" si="435"/>
        <v>0</v>
      </c>
      <c r="L13918" s="27">
        <v>184214.75</v>
      </c>
      <c r="M13918" s="36">
        <v>35088.519999999997</v>
      </c>
      <c r="T13918" s="41">
        <v>0</v>
      </c>
      <c r="U13918" s="41">
        <v>0</v>
      </c>
      <c r="V13918" s="42" t="s">
        <v>113</v>
      </c>
      <c r="W13918" s="42">
        <v>0</v>
      </c>
      <c r="X13918" s="42">
        <v>258547.02</v>
      </c>
    </row>
    <row r="13919" spans="1:24">
      <c r="A13919" s="27" t="s">
        <v>24878</v>
      </c>
      <c r="B13919" s="28" t="s">
        <v>24288</v>
      </c>
      <c r="C13919" s="27" t="s">
        <v>24879</v>
      </c>
      <c r="D13919" s="27" t="s">
        <v>17578</v>
      </c>
      <c r="E13919" s="29">
        <v>42318</v>
      </c>
      <c r="F13919" s="27">
        <v>7</v>
      </c>
      <c r="G13919" s="18">
        <v>26114.73</v>
      </c>
      <c r="H13919" s="27">
        <f t="shared" si="434"/>
        <v>0</v>
      </c>
      <c r="I13919" s="18">
        <v>10927.77</v>
      </c>
      <c r="J13919" s="27">
        <v>26114.73</v>
      </c>
      <c r="K13919" s="18">
        <f t="shared" si="435"/>
        <v>0</v>
      </c>
      <c r="L13919" s="27">
        <v>14471.91</v>
      </c>
      <c r="M13919" s="36">
        <v>3544.14</v>
      </c>
      <c r="T13919" s="41">
        <v>0</v>
      </c>
      <c r="U13919" s="41">
        <v>0</v>
      </c>
      <c r="V13919" s="42" t="s">
        <v>113</v>
      </c>
      <c r="W13919" s="42">
        <v>0</v>
      </c>
      <c r="X13919" s="42">
        <v>0</v>
      </c>
    </row>
    <row r="13920" spans="1:24">
      <c r="A13920" s="27" t="s">
        <v>24880</v>
      </c>
      <c r="B13920" s="28" t="s">
        <v>24288</v>
      </c>
      <c r="C13920" s="27" t="s">
        <v>24881</v>
      </c>
      <c r="D13920" s="27" t="s">
        <v>17578</v>
      </c>
      <c r="E13920" s="29">
        <v>36037</v>
      </c>
      <c r="F13920" s="27">
        <v>7</v>
      </c>
      <c r="G13920" s="18">
        <v>13980</v>
      </c>
      <c r="H13920" s="27">
        <f t="shared" si="434"/>
        <v>13980</v>
      </c>
      <c r="I13920" s="18">
        <v>13281</v>
      </c>
      <c r="J13920" s="27">
        <v>13980</v>
      </c>
      <c r="K13920" s="18">
        <f t="shared" si="435"/>
        <v>13980</v>
      </c>
      <c r="L13920" s="27">
        <v>13281</v>
      </c>
      <c r="M13920" s="36">
        <v>0</v>
      </c>
      <c r="T13920" s="41">
        <v>0</v>
      </c>
      <c r="U13920" s="41">
        <v>0</v>
      </c>
      <c r="V13920" s="42" t="s">
        <v>113</v>
      </c>
      <c r="W13920" s="42">
        <v>13980</v>
      </c>
      <c r="X13920" s="42">
        <v>13980</v>
      </c>
    </row>
    <row r="13921" spans="1:24">
      <c r="A13921" s="27" t="s">
        <v>24882</v>
      </c>
      <c r="B13921" s="28" t="s">
        <v>24288</v>
      </c>
      <c r="C13921" s="27" t="s">
        <v>24881</v>
      </c>
      <c r="D13921" s="27" t="s">
        <v>17578</v>
      </c>
      <c r="E13921" s="29">
        <v>36037</v>
      </c>
      <c r="F13921" s="27">
        <v>7</v>
      </c>
      <c r="G13921" s="18">
        <v>13560</v>
      </c>
      <c r="H13921" s="27">
        <f t="shared" si="434"/>
        <v>13560</v>
      </c>
      <c r="I13921" s="18">
        <v>12882</v>
      </c>
      <c r="J13921" s="27">
        <v>13560</v>
      </c>
      <c r="K13921" s="18">
        <f t="shared" si="435"/>
        <v>13560</v>
      </c>
      <c r="L13921" s="27">
        <v>12882</v>
      </c>
      <c r="M13921" s="36">
        <v>0</v>
      </c>
      <c r="T13921" s="41">
        <v>0</v>
      </c>
      <c r="U13921" s="41">
        <v>0</v>
      </c>
      <c r="V13921" s="42" t="s">
        <v>113</v>
      </c>
      <c r="W13921" s="42">
        <v>13560</v>
      </c>
      <c r="X13921" s="42">
        <v>13560</v>
      </c>
    </row>
    <row r="13922" spans="1:24">
      <c r="A13922" s="27" t="s">
        <v>24883</v>
      </c>
      <c r="B13922" s="28" t="s">
        <v>24288</v>
      </c>
      <c r="C13922" s="27" t="s">
        <v>24884</v>
      </c>
      <c r="D13922" s="27" t="s">
        <v>17578</v>
      </c>
      <c r="E13922" s="29">
        <v>42346</v>
      </c>
      <c r="F13922" s="27">
        <v>7</v>
      </c>
      <c r="G13922" s="18">
        <v>56000</v>
      </c>
      <c r="H13922" s="27">
        <f t="shared" si="434"/>
        <v>0</v>
      </c>
      <c r="I13922" s="18">
        <v>22800</v>
      </c>
      <c r="J13922" s="27">
        <v>56000</v>
      </c>
      <c r="K13922" s="18">
        <f t="shared" si="435"/>
        <v>0</v>
      </c>
      <c r="L13922" s="27">
        <v>30400</v>
      </c>
      <c r="M13922" s="36">
        <v>7600</v>
      </c>
      <c r="T13922" s="41">
        <v>0</v>
      </c>
      <c r="U13922" s="41">
        <v>0</v>
      </c>
      <c r="V13922" s="42" t="s">
        <v>113</v>
      </c>
      <c r="W13922" s="42">
        <v>0</v>
      </c>
      <c r="X13922" s="42">
        <v>0</v>
      </c>
    </row>
    <row r="13923" spans="1:24">
      <c r="A13923" s="27" t="s">
        <v>24885</v>
      </c>
      <c r="B13923" s="28" t="s">
        <v>24288</v>
      </c>
      <c r="C13923" s="27" t="s">
        <v>19212</v>
      </c>
      <c r="D13923" s="27" t="s">
        <v>17578</v>
      </c>
      <c r="E13923" s="29">
        <v>42346</v>
      </c>
      <c r="F13923" s="27">
        <v>7</v>
      </c>
      <c r="G13923" s="18">
        <v>11816.24</v>
      </c>
      <c r="H13923" s="27">
        <f t="shared" si="434"/>
        <v>0</v>
      </c>
      <c r="I13923" s="18">
        <v>4810.8900000000003</v>
      </c>
      <c r="J13923" s="27">
        <v>11816.24</v>
      </c>
      <c r="K13923" s="18">
        <f t="shared" si="435"/>
        <v>0</v>
      </c>
      <c r="L13923" s="27">
        <v>6414.53</v>
      </c>
      <c r="M13923" s="36">
        <v>1603.64</v>
      </c>
      <c r="T13923" s="41">
        <v>0</v>
      </c>
      <c r="U13923" s="41">
        <v>0</v>
      </c>
      <c r="V13923" s="42" t="s">
        <v>113</v>
      </c>
      <c r="W13923" s="42">
        <v>0</v>
      </c>
      <c r="X13923" s="42">
        <v>0</v>
      </c>
    </row>
    <row r="13924" spans="1:24">
      <c r="A13924" s="27" t="s">
        <v>24886</v>
      </c>
      <c r="B13924" s="28" t="s">
        <v>24288</v>
      </c>
      <c r="C13924" s="27" t="s">
        <v>19528</v>
      </c>
      <c r="D13924" s="27" t="s">
        <v>17578</v>
      </c>
      <c r="E13924" s="29">
        <v>42613</v>
      </c>
      <c r="F13924" s="27">
        <v>7</v>
      </c>
      <c r="G13924" s="18">
        <v>33440.17</v>
      </c>
      <c r="H13924" s="27">
        <f t="shared" si="434"/>
        <v>0</v>
      </c>
      <c r="I13924" s="18">
        <v>11345.77</v>
      </c>
      <c r="J13924" s="27">
        <v>33440.17</v>
      </c>
      <c r="K13924" s="18">
        <f t="shared" si="435"/>
        <v>0</v>
      </c>
      <c r="L13924" s="27">
        <v>15884.08</v>
      </c>
      <c r="M13924" s="36">
        <v>4538.3100000000004</v>
      </c>
      <c r="T13924" s="41">
        <v>0</v>
      </c>
      <c r="U13924" s="41">
        <v>0</v>
      </c>
      <c r="V13924" s="42" t="s">
        <v>113</v>
      </c>
      <c r="W13924" s="42">
        <v>0</v>
      </c>
      <c r="X13924" s="42">
        <v>0</v>
      </c>
    </row>
    <row r="13925" spans="1:24">
      <c r="A13925" s="27" t="s">
        <v>24887</v>
      </c>
      <c r="B13925" s="28" t="s">
        <v>24288</v>
      </c>
      <c r="C13925" s="27" t="s">
        <v>24888</v>
      </c>
      <c r="D13925" s="27" t="s">
        <v>17578</v>
      </c>
      <c r="E13925" s="29">
        <v>42613</v>
      </c>
      <c r="F13925" s="27">
        <v>7</v>
      </c>
      <c r="G13925" s="18">
        <v>10000</v>
      </c>
      <c r="H13925" s="27">
        <f t="shared" si="434"/>
        <v>0</v>
      </c>
      <c r="I13925" s="18">
        <v>3619.04</v>
      </c>
      <c r="J13925" s="27">
        <v>10000</v>
      </c>
      <c r="K13925" s="18">
        <f t="shared" si="435"/>
        <v>0</v>
      </c>
      <c r="L13925" s="27">
        <v>4976.18</v>
      </c>
      <c r="M13925" s="36">
        <v>1357.14</v>
      </c>
      <c r="T13925" s="41">
        <v>0</v>
      </c>
      <c r="U13925" s="41">
        <v>0</v>
      </c>
      <c r="V13925" s="42" t="s">
        <v>113</v>
      </c>
      <c r="W13925" s="42">
        <v>0</v>
      </c>
      <c r="X13925" s="42">
        <v>0</v>
      </c>
    </row>
    <row r="13926" spans="1:24">
      <c r="A13926" s="27" t="s">
        <v>24889</v>
      </c>
      <c r="B13926" s="28" t="s">
        <v>24288</v>
      </c>
      <c r="C13926" s="27" t="s">
        <v>24890</v>
      </c>
      <c r="D13926" s="27" t="s">
        <v>17578</v>
      </c>
      <c r="E13926" s="29">
        <v>42613</v>
      </c>
      <c r="F13926" s="27">
        <v>7</v>
      </c>
      <c r="G13926" s="18">
        <v>10000</v>
      </c>
      <c r="H13926" s="27">
        <f t="shared" si="434"/>
        <v>0</v>
      </c>
      <c r="I13926" s="18">
        <v>3619.04</v>
      </c>
      <c r="J13926" s="27">
        <v>10000</v>
      </c>
      <c r="K13926" s="18">
        <f t="shared" si="435"/>
        <v>0</v>
      </c>
      <c r="L13926" s="27">
        <v>4976.18</v>
      </c>
      <c r="M13926" s="36">
        <v>1357.14</v>
      </c>
      <c r="T13926" s="41">
        <v>0</v>
      </c>
      <c r="U13926" s="41">
        <v>0</v>
      </c>
      <c r="V13926" s="42" t="s">
        <v>113</v>
      </c>
      <c r="W13926" s="42">
        <v>0</v>
      </c>
      <c r="X13926" s="42">
        <v>0</v>
      </c>
    </row>
    <row r="13927" spans="1:24">
      <c r="A13927" s="27" t="s">
        <v>24891</v>
      </c>
      <c r="B13927" s="28" t="s">
        <v>24288</v>
      </c>
      <c r="C13927" s="27" t="s">
        <v>24892</v>
      </c>
      <c r="D13927" s="27" t="s">
        <v>17578</v>
      </c>
      <c r="E13927" s="29">
        <v>42613</v>
      </c>
      <c r="F13927" s="27">
        <v>7</v>
      </c>
      <c r="G13927" s="18">
        <v>10000</v>
      </c>
      <c r="H13927" s="27">
        <f t="shared" si="434"/>
        <v>0</v>
      </c>
      <c r="I13927" s="18">
        <v>3619.04</v>
      </c>
      <c r="J13927" s="27">
        <v>10000</v>
      </c>
      <c r="K13927" s="18">
        <f t="shared" si="435"/>
        <v>0</v>
      </c>
      <c r="L13927" s="27">
        <v>4976.18</v>
      </c>
      <c r="M13927" s="36">
        <v>1357.14</v>
      </c>
      <c r="T13927" s="41">
        <v>0</v>
      </c>
      <c r="U13927" s="41">
        <v>0</v>
      </c>
      <c r="V13927" s="42" t="s">
        <v>113</v>
      </c>
      <c r="W13927" s="42">
        <v>0</v>
      </c>
      <c r="X13927" s="42">
        <v>0</v>
      </c>
    </row>
    <row r="13928" spans="1:24">
      <c r="A13928" s="27" t="s">
        <v>24893</v>
      </c>
      <c r="B13928" s="28" t="s">
        <v>24288</v>
      </c>
      <c r="C13928" s="27" t="s">
        <v>24894</v>
      </c>
      <c r="D13928" s="27" t="s">
        <v>17578</v>
      </c>
      <c r="E13928" s="29">
        <v>42613</v>
      </c>
      <c r="F13928" s="27">
        <v>7</v>
      </c>
      <c r="G13928" s="18">
        <v>10000</v>
      </c>
      <c r="H13928" s="27">
        <f t="shared" si="434"/>
        <v>0</v>
      </c>
      <c r="I13928" s="18">
        <v>3619.04</v>
      </c>
      <c r="J13928" s="27">
        <v>10000</v>
      </c>
      <c r="K13928" s="18">
        <f t="shared" si="435"/>
        <v>0</v>
      </c>
      <c r="L13928" s="27">
        <v>4976.18</v>
      </c>
      <c r="M13928" s="36">
        <v>1357.14</v>
      </c>
      <c r="T13928" s="41">
        <v>0</v>
      </c>
      <c r="U13928" s="41">
        <v>0</v>
      </c>
      <c r="V13928" s="42" t="s">
        <v>113</v>
      </c>
      <c r="W13928" s="42">
        <v>0</v>
      </c>
      <c r="X13928" s="42">
        <v>0</v>
      </c>
    </row>
    <row r="13929" spans="1:24">
      <c r="A13929" s="27" t="s">
        <v>24895</v>
      </c>
      <c r="B13929" s="28" t="s">
        <v>24288</v>
      </c>
      <c r="C13929" s="27" t="s">
        <v>24896</v>
      </c>
      <c r="D13929" s="27" t="s">
        <v>17578</v>
      </c>
      <c r="E13929" s="29">
        <v>42370</v>
      </c>
      <c r="F13929" s="27">
        <v>7</v>
      </c>
      <c r="G13929" s="18">
        <v>1914.53</v>
      </c>
      <c r="H13929" s="27">
        <f t="shared" si="434"/>
        <v>0</v>
      </c>
      <c r="I13929" s="18">
        <v>757.84</v>
      </c>
      <c r="J13929" s="27">
        <v>1914.53</v>
      </c>
      <c r="K13929" s="18">
        <f t="shared" si="435"/>
        <v>0</v>
      </c>
      <c r="L13929" s="27">
        <v>1017.67</v>
      </c>
      <c r="M13929" s="36">
        <v>259.83</v>
      </c>
      <c r="T13929" s="41">
        <v>0</v>
      </c>
      <c r="U13929" s="41">
        <v>0</v>
      </c>
      <c r="V13929" s="42" t="s">
        <v>113</v>
      </c>
      <c r="W13929" s="42">
        <v>0</v>
      </c>
      <c r="X13929" s="42">
        <v>0</v>
      </c>
    </row>
    <row r="13930" spans="1:24">
      <c r="A13930" s="27" t="s">
        <v>24897</v>
      </c>
      <c r="B13930" s="28" t="s">
        <v>24288</v>
      </c>
      <c r="C13930" s="27" t="s">
        <v>24898</v>
      </c>
      <c r="D13930" s="27" t="s">
        <v>17578</v>
      </c>
      <c r="E13930" s="29">
        <v>42370</v>
      </c>
      <c r="F13930" s="27">
        <v>7</v>
      </c>
      <c r="G13930" s="18">
        <v>7000</v>
      </c>
      <c r="H13930" s="27">
        <f t="shared" si="434"/>
        <v>0</v>
      </c>
      <c r="I13930" s="18">
        <v>2770.83</v>
      </c>
      <c r="J13930" s="27">
        <v>7000</v>
      </c>
      <c r="K13930" s="18">
        <f t="shared" si="435"/>
        <v>0</v>
      </c>
      <c r="L13930" s="27">
        <v>3720.83</v>
      </c>
      <c r="M13930" s="36">
        <v>950</v>
      </c>
      <c r="T13930" s="41">
        <v>0</v>
      </c>
      <c r="U13930" s="41">
        <v>0</v>
      </c>
      <c r="V13930" s="42" t="s">
        <v>113</v>
      </c>
      <c r="W13930" s="42">
        <v>0</v>
      </c>
      <c r="X13930" s="42">
        <v>0</v>
      </c>
    </row>
    <row r="13931" spans="1:24">
      <c r="A13931" s="27" t="s">
        <v>24899</v>
      </c>
      <c r="B13931" s="28" t="s">
        <v>24288</v>
      </c>
      <c r="C13931" s="27" t="s">
        <v>24900</v>
      </c>
      <c r="D13931" s="27" t="s">
        <v>17578</v>
      </c>
      <c r="E13931" s="29">
        <v>42370</v>
      </c>
      <c r="F13931" s="27">
        <v>7</v>
      </c>
      <c r="G13931" s="18">
        <v>2700</v>
      </c>
      <c r="H13931" s="27">
        <f t="shared" si="434"/>
        <v>0</v>
      </c>
      <c r="I13931" s="18">
        <v>1068.75</v>
      </c>
      <c r="J13931" s="27">
        <v>2700</v>
      </c>
      <c r="K13931" s="18">
        <f t="shared" si="435"/>
        <v>0</v>
      </c>
      <c r="L13931" s="27">
        <v>1435.18</v>
      </c>
      <c r="M13931" s="36">
        <v>366.43</v>
      </c>
      <c r="T13931" s="41">
        <v>0</v>
      </c>
      <c r="U13931" s="41">
        <v>0</v>
      </c>
      <c r="V13931" s="42" t="s">
        <v>113</v>
      </c>
      <c r="W13931" s="42">
        <v>0</v>
      </c>
      <c r="X13931" s="42">
        <v>0</v>
      </c>
    </row>
    <row r="13932" spans="1:24">
      <c r="A13932" s="27" t="s">
        <v>24901</v>
      </c>
      <c r="B13932" s="28" t="s">
        <v>24288</v>
      </c>
      <c r="C13932" s="27" t="s">
        <v>24902</v>
      </c>
      <c r="D13932" s="27" t="s">
        <v>17578</v>
      </c>
      <c r="E13932" s="29">
        <v>42370</v>
      </c>
      <c r="F13932" s="27">
        <v>7</v>
      </c>
      <c r="G13932" s="18">
        <v>6000</v>
      </c>
      <c r="H13932" s="27">
        <f t="shared" si="434"/>
        <v>0</v>
      </c>
      <c r="I13932" s="18">
        <v>2375</v>
      </c>
      <c r="J13932" s="27">
        <v>6000</v>
      </c>
      <c r="K13932" s="18">
        <f t="shared" si="435"/>
        <v>0</v>
      </c>
      <c r="L13932" s="27">
        <v>3189.29</v>
      </c>
      <c r="M13932" s="36">
        <v>814.29</v>
      </c>
      <c r="T13932" s="41">
        <v>0</v>
      </c>
      <c r="U13932" s="41">
        <v>0</v>
      </c>
      <c r="V13932" s="42" t="s">
        <v>113</v>
      </c>
      <c r="W13932" s="42">
        <v>0</v>
      </c>
      <c r="X13932" s="42">
        <v>0</v>
      </c>
    </row>
    <row r="13933" spans="1:24">
      <c r="A13933" s="27" t="s">
        <v>24903</v>
      </c>
      <c r="B13933" s="28" t="s">
        <v>24288</v>
      </c>
      <c r="C13933" s="27" t="s">
        <v>24904</v>
      </c>
      <c r="D13933" s="27" t="s">
        <v>17578</v>
      </c>
      <c r="E13933" s="29">
        <v>43052</v>
      </c>
      <c r="F13933" s="27">
        <v>7</v>
      </c>
      <c r="G13933" s="18">
        <v>6794.87</v>
      </c>
      <c r="H13933" s="27">
        <f t="shared" si="434"/>
        <v>0</v>
      </c>
      <c r="I13933" s="18">
        <v>999.01</v>
      </c>
      <c r="J13933" s="27">
        <v>6794.87</v>
      </c>
      <c r="K13933" s="18">
        <f t="shared" si="435"/>
        <v>0</v>
      </c>
      <c r="L13933" s="27">
        <v>1921.17</v>
      </c>
      <c r="M13933" s="36">
        <v>922.16</v>
      </c>
      <c r="T13933" s="41">
        <v>0</v>
      </c>
      <c r="U13933" s="41">
        <v>0</v>
      </c>
      <c r="V13933" s="42" t="s">
        <v>113</v>
      </c>
      <c r="W13933" s="42">
        <v>0</v>
      </c>
      <c r="X13933" s="42">
        <v>0</v>
      </c>
    </row>
    <row r="13934" spans="1:24">
      <c r="A13934" s="27" t="s">
        <v>24905</v>
      </c>
      <c r="B13934" s="28" t="s">
        <v>24288</v>
      </c>
      <c r="C13934" s="27" t="s">
        <v>24906</v>
      </c>
      <c r="D13934" s="27" t="s">
        <v>17578</v>
      </c>
      <c r="E13934" s="29">
        <v>42879</v>
      </c>
      <c r="F13934" s="27">
        <v>7</v>
      </c>
      <c r="G13934" s="18">
        <v>3717.95</v>
      </c>
      <c r="H13934" s="27">
        <f t="shared" si="434"/>
        <v>0</v>
      </c>
      <c r="I13934" s="18">
        <v>798.92</v>
      </c>
      <c r="J13934" s="27">
        <v>3717.95</v>
      </c>
      <c r="K13934" s="18">
        <f t="shared" si="435"/>
        <v>0</v>
      </c>
      <c r="L13934" s="27">
        <v>1303.5</v>
      </c>
      <c r="M13934" s="36">
        <v>504.58</v>
      </c>
      <c r="T13934" s="41">
        <v>0</v>
      </c>
      <c r="U13934" s="41">
        <v>0</v>
      </c>
      <c r="V13934" s="42" t="s">
        <v>113</v>
      </c>
      <c r="W13934" s="42">
        <v>0</v>
      </c>
      <c r="X13934" s="42">
        <v>0</v>
      </c>
    </row>
    <row r="13935" spans="1:24">
      <c r="A13935" s="27" t="s">
        <v>24907</v>
      </c>
      <c r="B13935" s="28" t="s">
        <v>24288</v>
      </c>
      <c r="C13935" s="27" t="s">
        <v>24852</v>
      </c>
      <c r="D13935" s="27" t="s">
        <v>230</v>
      </c>
      <c r="E13935" s="29">
        <v>42993</v>
      </c>
      <c r="F13935" s="27">
        <v>7</v>
      </c>
      <c r="G13935" s="18">
        <v>8376.07</v>
      </c>
      <c r="H13935" s="27">
        <f t="shared" si="434"/>
        <v>0</v>
      </c>
      <c r="I13935" s="18">
        <v>1420.94</v>
      </c>
      <c r="J13935" s="27">
        <v>8376.07</v>
      </c>
      <c r="K13935" s="18">
        <f t="shared" si="435"/>
        <v>0</v>
      </c>
      <c r="L13935" s="27">
        <v>2557.69</v>
      </c>
      <c r="M13935" s="36">
        <v>1136.75</v>
      </c>
      <c r="T13935" s="41">
        <v>0</v>
      </c>
      <c r="U13935" s="41">
        <v>0</v>
      </c>
      <c r="V13935" s="42" t="s">
        <v>113</v>
      </c>
      <c r="W13935" s="42">
        <v>0</v>
      </c>
      <c r="X13935" s="42">
        <v>0</v>
      </c>
    </row>
    <row r="13936" spans="1:24">
      <c r="A13936" s="27" t="s">
        <v>24908</v>
      </c>
      <c r="B13936" s="28" t="s">
        <v>24288</v>
      </c>
      <c r="C13936" s="27" t="s">
        <v>24909</v>
      </c>
      <c r="D13936" s="27" t="s">
        <v>17578</v>
      </c>
      <c r="E13936" s="29">
        <v>43052</v>
      </c>
      <c r="F13936" s="27">
        <v>7</v>
      </c>
      <c r="G13936" s="18">
        <v>6794.87</v>
      </c>
      <c r="H13936" s="27">
        <f t="shared" si="434"/>
        <v>0</v>
      </c>
      <c r="I13936" s="18">
        <v>999.01</v>
      </c>
      <c r="J13936" s="27">
        <v>6794.87</v>
      </c>
      <c r="K13936" s="18">
        <f t="shared" si="435"/>
        <v>0</v>
      </c>
      <c r="L13936" s="27">
        <v>1921.17</v>
      </c>
      <c r="M13936" s="36">
        <v>922.16</v>
      </c>
      <c r="T13936" s="41">
        <v>0</v>
      </c>
      <c r="U13936" s="41">
        <v>0</v>
      </c>
      <c r="V13936" s="42" t="s">
        <v>113</v>
      </c>
      <c r="W13936" s="42">
        <v>0</v>
      </c>
      <c r="X13936" s="42">
        <v>0</v>
      </c>
    </row>
    <row r="13937" spans="1:24">
      <c r="A13937" s="27" t="s">
        <v>24910</v>
      </c>
      <c r="B13937" s="28" t="s">
        <v>24288</v>
      </c>
      <c r="C13937" s="27" t="s">
        <v>24911</v>
      </c>
      <c r="D13937" s="27" t="s">
        <v>17578</v>
      </c>
      <c r="E13937" s="29">
        <v>43209</v>
      </c>
      <c r="F13937" s="27">
        <v>7</v>
      </c>
      <c r="G13937" s="18">
        <v>1100.8499999999999</v>
      </c>
      <c r="H13937" s="27">
        <f t="shared" si="434"/>
        <v>0</v>
      </c>
      <c r="I13937" s="18">
        <v>99.6</v>
      </c>
      <c r="J13937" s="27">
        <v>1100.8499999999999</v>
      </c>
      <c r="K13937" s="18">
        <f t="shared" si="435"/>
        <v>0</v>
      </c>
      <c r="L13937" s="27">
        <v>249</v>
      </c>
      <c r="M13937" s="36">
        <v>149.4</v>
      </c>
      <c r="T13937" s="41">
        <v>0</v>
      </c>
      <c r="U13937" s="41">
        <v>0</v>
      </c>
      <c r="V13937" s="42" t="s">
        <v>113</v>
      </c>
      <c r="W13937" s="42">
        <v>0</v>
      </c>
      <c r="X13937" s="42">
        <v>0</v>
      </c>
    </row>
    <row r="13938" spans="1:24">
      <c r="A13938" s="27" t="s">
        <v>24912</v>
      </c>
      <c r="B13938" s="28" t="s">
        <v>24288</v>
      </c>
      <c r="C13938" s="27" t="s">
        <v>24911</v>
      </c>
      <c r="D13938" s="27" t="s">
        <v>17578</v>
      </c>
      <c r="E13938" s="29">
        <v>43209</v>
      </c>
      <c r="F13938" s="27">
        <v>7</v>
      </c>
      <c r="G13938" s="18">
        <v>1100.8499999999999</v>
      </c>
      <c r="H13938" s="27">
        <f t="shared" si="434"/>
        <v>0</v>
      </c>
      <c r="I13938" s="18">
        <v>99.6</v>
      </c>
      <c r="J13938" s="27">
        <v>1100.8499999999999</v>
      </c>
      <c r="K13938" s="18">
        <f t="shared" si="435"/>
        <v>0</v>
      </c>
      <c r="L13938" s="27">
        <v>249</v>
      </c>
      <c r="M13938" s="36">
        <v>149.4</v>
      </c>
      <c r="T13938" s="41">
        <v>0</v>
      </c>
      <c r="U13938" s="41">
        <v>0</v>
      </c>
      <c r="V13938" s="42" t="s">
        <v>113</v>
      </c>
      <c r="W13938" s="42">
        <v>0</v>
      </c>
      <c r="X13938" s="42">
        <v>0</v>
      </c>
    </row>
    <row r="13939" spans="1:24">
      <c r="A13939" s="27" t="s">
        <v>24913</v>
      </c>
      <c r="B13939" s="28" t="s">
        <v>24288</v>
      </c>
      <c r="C13939" s="27" t="s">
        <v>24911</v>
      </c>
      <c r="D13939" s="27" t="s">
        <v>17578</v>
      </c>
      <c r="E13939" s="29">
        <v>43209</v>
      </c>
      <c r="F13939" s="27">
        <v>7</v>
      </c>
      <c r="G13939" s="18">
        <v>1100.8499999999999</v>
      </c>
      <c r="H13939" s="27">
        <f t="shared" si="434"/>
        <v>0</v>
      </c>
      <c r="I13939" s="18">
        <v>99.6</v>
      </c>
      <c r="J13939" s="27">
        <v>1100.8499999999999</v>
      </c>
      <c r="K13939" s="18">
        <f t="shared" si="435"/>
        <v>0</v>
      </c>
      <c r="L13939" s="27">
        <v>249</v>
      </c>
      <c r="M13939" s="36">
        <v>149.4</v>
      </c>
      <c r="T13939" s="41">
        <v>0</v>
      </c>
      <c r="U13939" s="41">
        <v>0</v>
      </c>
      <c r="V13939" s="42" t="s">
        <v>113</v>
      </c>
      <c r="W13939" s="42">
        <v>0</v>
      </c>
      <c r="X13939" s="42">
        <v>0</v>
      </c>
    </row>
    <row r="13940" spans="1:24">
      <c r="A13940" s="27" t="s">
        <v>24914</v>
      </c>
      <c r="B13940" s="28" t="s">
        <v>24288</v>
      </c>
      <c r="C13940" s="27" t="s">
        <v>24911</v>
      </c>
      <c r="D13940" s="27" t="s">
        <v>17578</v>
      </c>
      <c r="E13940" s="29">
        <v>43209</v>
      </c>
      <c r="F13940" s="27">
        <v>7</v>
      </c>
      <c r="G13940" s="18">
        <v>1100.8499999999999</v>
      </c>
      <c r="H13940" s="27">
        <f t="shared" si="434"/>
        <v>0</v>
      </c>
      <c r="I13940" s="18">
        <v>99.6</v>
      </c>
      <c r="J13940" s="27">
        <v>1100.8499999999999</v>
      </c>
      <c r="K13940" s="18">
        <f t="shared" si="435"/>
        <v>0</v>
      </c>
      <c r="L13940" s="27">
        <v>249</v>
      </c>
      <c r="M13940" s="36">
        <v>149.4</v>
      </c>
      <c r="T13940" s="41">
        <v>0</v>
      </c>
      <c r="U13940" s="41">
        <v>0</v>
      </c>
      <c r="V13940" s="42" t="s">
        <v>113</v>
      </c>
      <c r="W13940" s="42">
        <v>0</v>
      </c>
      <c r="X13940" s="42">
        <v>0</v>
      </c>
    </row>
    <row r="13941" spans="1:24">
      <c r="A13941" s="27" t="s">
        <v>24915</v>
      </c>
      <c r="B13941" s="28" t="s">
        <v>24288</v>
      </c>
      <c r="C13941" s="27" t="s">
        <v>24852</v>
      </c>
      <c r="D13941" s="27" t="s">
        <v>17578</v>
      </c>
      <c r="E13941" s="29">
        <v>43650</v>
      </c>
      <c r="F13941" s="27">
        <v>7</v>
      </c>
      <c r="G13941" s="18">
        <v>0</v>
      </c>
      <c r="H13941" s="27">
        <f t="shared" si="434"/>
        <v>0</v>
      </c>
      <c r="I13941" s="18">
        <v>0</v>
      </c>
      <c r="J13941" s="27">
        <v>10147.41</v>
      </c>
      <c r="K13941" s="18">
        <f t="shared" si="435"/>
        <v>0</v>
      </c>
      <c r="L13941" s="27">
        <v>573.80999999999995</v>
      </c>
      <c r="M13941" s="36">
        <v>573.80999999999995</v>
      </c>
      <c r="N13941" s="18" t="s">
        <v>14637</v>
      </c>
      <c r="O13941" s="19">
        <v>10147.41</v>
      </c>
      <c r="T13941" s="41">
        <v>0</v>
      </c>
      <c r="U13941" s="41">
        <v>0</v>
      </c>
      <c r="V13941" s="42" t="s">
        <v>113</v>
      </c>
      <c r="W13941" s="42">
        <v>0</v>
      </c>
      <c r="X13941" s="42">
        <v>0</v>
      </c>
    </row>
    <row r="13942" spans="1:24">
      <c r="A13942" s="27" t="s">
        <v>24916</v>
      </c>
      <c r="B13942" s="28" t="s">
        <v>24288</v>
      </c>
      <c r="C13942" s="27" t="s">
        <v>24917</v>
      </c>
      <c r="D13942" s="27" t="s">
        <v>17578</v>
      </c>
      <c r="E13942" s="29">
        <v>43613</v>
      </c>
      <c r="F13942" s="27">
        <v>7</v>
      </c>
      <c r="G13942" s="18">
        <v>0</v>
      </c>
      <c r="H13942" s="27">
        <f t="shared" si="434"/>
        <v>0</v>
      </c>
      <c r="I13942" s="18">
        <v>0</v>
      </c>
      <c r="J13942" s="27">
        <v>13349.26</v>
      </c>
      <c r="K13942" s="18">
        <f t="shared" si="435"/>
        <v>0</v>
      </c>
      <c r="L13942" s="27">
        <v>1056.82</v>
      </c>
      <c r="M13942" s="36">
        <v>1056.82</v>
      </c>
      <c r="N13942" s="18" t="s">
        <v>123</v>
      </c>
      <c r="O13942" s="19">
        <v>13349.26</v>
      </c>
      <c r="T13942" s="41">
        <v>0</v>
      </c>
      <c r="U13942" s="41">
        <v>0</v>
      </c>
      <c r="V13942" s="42" t="s">
        <v>113</v>
      </c>
      <c r="W13942" s="42">
        <v>0</v>
      </c>
      <c r="X13942" s="42">
        <v>0</v>
      </c>
    </row>
    <row r="13943" spans="1:24">
      <c r="A13943" s="27" t="s">
        <v>24918</v>
      </c>
      <c r="B13943" s="28" t="s">
        <v>24288</v>
      </c>
      <c r="C13943" s="27" t="s">
        <v>24919</v>
      </c>
      <c r="D13943" s="27" t="s">
        <v>17578</v>
      </c>
      <c r="E13943" s="29">
        <v>43613</v>
      </c>
      <c r="F13943" s="27">
        <v>7</v>
      </c>
      <c r="G13943" s="18">
        <v>0</v>
      </c>
      <c r="H13943" s="27">
        <f t="shared" si="434"/>
        <v>0</v>
      </c>
      <c r="I13943" s="18">
        <v>0</v>
      </c>
      <c r="J13943" s="27">
        <v>13349.26</v>
      </c>
      <c r="K13943" s="18">
        <f t="shared" si="435"/>
        <v>0</v>
      </c>
      <c r="L13943" s="27">
        <v>1056.82</v>
      </c>
      <c r="M13943" s="36">
        <v>1056.82</v>
      </c>
      <c r="N13943" s="18" t="s">
        <v>123</v>
      </c>
      <c r="O13943" s="19">
        <v>13349.26</v>
      </c>
      <c r="T13943" s="41">
        <v>0</v>
      </c>
      <c r="U13943" s="41">
        <v>0</v>
      </c>
      <c r="V13943" s="42" t="s">
        <v>113</v>
      </c>
      <c r="W13943" s="42">
        <v>0</v>
      </c>
      <c r="X13943" s="42">
        <v>0</v>
      </c>
    </row>
    <row r="13944" spans="1:24">
      <c r="A13944" s="27" t="s">
        <v>24920</v>
      </c>
      <c r="B13944" s="28" t="s">
        <v>24288</v>
      </c>
      <c r="C13944" s="27" t="s">
        <v>24921</v>
      </c>
      <c r="D13944" s="27" t="s">
        <v>17578</v>
      </c>
      <c r="E13944" s="29">
        <v>43613</v>
      </c>
      <c r="F13944" s="27">
        <v>7</v>
      </c>
      <c r="G13944" s="18">
        <v>0</v>
      </c>
      <c r="H13944" s="27">
        <f t="shared" si="434"/>
        <v>0</v>
      </c>
      <c r="I13944" s="18">
        <v>0</v>
      </c>
      <c r="J13944" s="27">
        <v>13349.26</v>
      </c>
      <c r="K13944" s="18">
        <f t="shared" si="435"/>
        <v>0</v>
      </c>
      <c r="L13944" s="27">
        <v>1056.82</v>
      </c>
      <c r="M13944" s="36">
        <v>1056.82</v>
      </c>
      <c r="N13944" s="18" t="s">
        <v>123</v>
      </c>
      <c r="O13944" s="19">
        <v>13349.26</v>
      </c>
      <c r="T13944" s="41">
        <v>0</v>
      </c>
      <c r="U13944" s="41">
        <v>0</v>
      </c>
      <c r="V13944" s="42" t="s">
        <v>113</v>
      </c>
      <c r="W13944" s="42">
        <v>0</v>
      </c>
      <c r="X13944" s="42">
        <v>0</v>
      </c>
    </row>
    <row r="13945" spans="1:24">
      <c r="A13945" s="27" t="s">
        <v>24922</v>
      </c>
      <c r="B13945" s="28" t="s">
        <v>24288</v>
      </c>
      <c r="C13945" s="27" t="s">
        <v>24923</v>
      </c>
      <c r="D13945" s="27" t="s">
        <v>17578</v>
      </c>
      <c r="E13945" s="29">
        <v>43613</v>
      </c>
      <c r="F13945" s="27">
        <v>7</v>
      </c>
      <c r="G13945" s="18">
        <v>0</v>
      </c>
      <c r="H13945" s="27">
        <f t="shared" si="434"/>
        <v>0</v>
      </c>
      <c r="I13945" s="18">
        <v>0</v>
      </c>
      <c r="J13945" s="27">
        <v>13349.26</v>
      </c>
      <c r="K13945" s="18">
        <f t="shared" si="435"/>
        <v>0</v>
      </c>
      <c r="L13945" s="27">
        <v>1056.82</v>
      </c>
      <c r="M13945" s="36">
        <v>1056.82</v>
      </c>
      <c r="N13945" s="18" t="s">
        <v>123</v>
      </c>
      <c r="O13945" s="19">
        <v>13349.26</v>
      </c>
      <c r="T13945" s="41">
        <v>0</v>
      </c>
      <c r="U13945" s="41">
        <v>0</v>
      </c>
      <c r="V13945" s="42" t="s">
        <v>113</v>
      </c>
      <c r="W13945" s="42">
        <v>0</v>
      </c>
      <c r="X13945" s="42">
        <v>0</v>
      </c>
    </row>
    <row r="13946" spans="1:24">
      <c r="A13946" s="27" t="s">
        <v>24924</v>
      </c>
      <c r="B13946" s="28" t="s">
        <v>24288</v>
      </c>
      <c r="C13946" s="27" t="s">
        <v>24925</v>
      </c>
      <c r="D13946" s="27" t="s">
        <v>17578</v>
      </c>
      <c r="E13946" s="29">
        <v>43613</v>
      </c>
      <c r="F13946" s="27">
        <v>7</v>
      </c>
      <c r="G13946" s="18">
        <v>0</v>
      </c>
      <c r="H13946" s="27">
        <f t="shared" si="434"/>
        <v>0</v>
      </c>
      <c r="I13946" s="18">
        <v>0</v>
      </c>
      <c r="J13946" s="27">
        <v>13349.27</v>
      </c>
      <c r="K13946" s="18">
        <f t="shared" si="435"/>
        <v>0</v>
      </c>
      <c r="L13946" s="27">
        <v>1056.82</v>
      </c>
      <c r="M13946" s="36">
        <v>1056.82</v>
      </c>
      <c r="N13946" s="18" t="s">
        <v>123</v>
      </c>
      <c r="O13946" s="19">
        <v>13349.27</v>
      </c>
      <c r="T13946" s="41">
        <v>0</v>
      </c>
      <c r="U13946" s="41">
        <v>0</v>
      </c>
      <c r="V13946" s="42" t="s">
        <v>113</v>
      </c>
      <c r="W13946" s="42">
        <v>0</v>
      </c>
      <c r="X13946" s="42">
        <v>0</v>
      </c>
    </row>
    <row r="13947" spans="1:24">
      <c r="A13947" s="27" t="s">
        <v>24926</v>
      </c>
      <c r="B13947" s="28" t="s">
        <v>24288</v>
      </c>
      <c r="C13947" s="27" t="s">
        <v>24927</v>
      </c>
      <c r="D13947" s="27" t="s">
        <v>17578</v>
      </c>
      <c r="E13947" s="29">
        <v>43613</v>
      </c>
      <c r="F13947" s="27">
        <v>7</v>
      </c>
      <c r="G13947" s="18">
        <v>0</v>
      </c>
      <c r="H13947" s="27">
        <f t="shared" si="434"/>
        <v>0</v>
      </c>
      <c r="I13947" s="18">
        <v>0</v>
      </c>
      <c r="J13947" s="27">
        <v>13349.27</v>
      </c>
      <c r="K13947" s="18">
        <f t="shared" si="435"/>
        <v>0</v>
      </c>
      <c r="L13947" s="27">
        <v>1056.82</v>
      </c>
      <c r="M13947" s="36">
        <v>1056.82</v>
      </c>
      <c r="N13947" s="18" t="s">
        <v>123</v>
      </c>
      <c r="O13947" s="19">
        <v>13349.27</v>
      </c>
      <c r="T13947" s="41">
        <v>0</v>
      </c>
      <c r="U13947" s="41">
        <v>0</v>
      </c>
      <c r="V13947" s="42" t="s">
        <v>113</v>
      </c>
      <c r="W13947" s="42">
        <v>0</v>
      </c>
      <c r="X13947" s="42">
        <v>0</v>
      </c>
    </row>
    <row r="13948" spans="1:24">
      <c r="A13948" s="27" t="s">
        <v>24928</v>
      </c>
      <c r="B13948" s="28" t="s">
        <v>24288</v>
      </c>
      <c r="C13948" s="27" t="s">
        <v>24929</v>
      </c>
      <c r="D13948" s="27" t="s">
        <v>17578</v>
      </c>
      <c r="E13948" s="29">
        <v>43613</v>
      </c>
      <c r="F13948" s="27">
        <v>7</v>
      </c>
      <c r="G13948" s="18">
        <v>0</v>
      </c>
      <c r="H13948" s="27">
        <f t="shared" si="434"/>
        <v>0</v>
      </c>
      <c r="I13948" s="18">
        <v>0</v>
      </c>
      <c r="J13948" s="27">
        <v>13349.27</v>
      </c>
      <c r="K13948" s="18">
        <f t="shared" si="435"/>
        <v>0</v>
      </c>
      <c r="L13948" s="27">
        <v>1056.82</v>
      </c>
      <c r="M13948" s="36">
        <v>1056.82</v>
      </c>
      <c r="N13948" s="18" t="s">
        <v>123</v>
      </c>
      <c r="O13948" s="19">
        <v>13349.27</v>
      </c>
      <c r="T13948" s="41">
        <v>0</v>
      </c>
      <c r="U13948" s="41">
        <v>0</v>
      </c>
      <c r="V13948" s="42" t="s">
        <v>113</v>
      </c>
      <c r="W13948" s="42">
        <v>0</v>
      </c>
      <c r="X13948" s="42">
        <v>0</v>
      </c>
    </row>
    <row r="13949" spans="1:24">
      <c r="A13949" s="27" t="s">
        <v>24930</v>
      </c>
      <c r="B13949" s="28" t="s">
        <v>24288</v>
      </c>
      <c r="C13949" s="27" t="s">
        <v>24931</v>
      </c>
      <c r="D13949" s="27" t="s">
        <v>17578</v>
      </c>
      <c r="E13949" s="29">
        <v>43613</v>
      </c>
      <c r="F13949" s="27">
        <v>7</v>
      </c>
      <c r="G13949" s="18">
        <v>0</v>
      </c>
      <c r="H13949" s="27">
        <f t="shared" si="434"/>
        <v>0</v>
      </c>
      <c r="I13949" s="18">
        <v>0</v>
      </c>
      <c r="J13949" s="27">
        <v>13349.27</v>
      </c>
      <c r="K13949" s="18">
        <f t="shared" si="435"/>
        <v>0</v>
      </c>
      <c r="L13949" s="27">
        <v>1056.82</v>
      </c>
      <c r="M13949" s="36">
        <v>1056.82</v>
      </c>
      <c r="N13949" s="18" t="s">
        <v>123</v>
      </c>
      <c r="O13949" s="19">
        <v>13349.27</v>
      </c>
      <c r="T13949" s="41">
        <v>0</v>
      </c>
      <c r="U13949" s="41">
        <v>0</v>
      </c>
      <c r="V13949" s="42" t="s">
        <v>113</v>
      </c>
      <c r="W13949" s="42">
        <v>0</v>
      </c>
      <c r="X13949" s="42">
        <v>0</v>
      </c>
    </row>
    <row r="13950" spans="1:24">
      <c r="A13950" s="27" t="s">
        <v>24932</v>
      </c>
      <c r="B13950" s="28" t="s">
        <v>24288</v>
      </c>
      <c r="C13950" s="27" t="s">
        <v>24933</v>
      </c>
      <c r="D13950" s="27" t="s">
        <v>17578</v>
      </c>
      <c r="E13950" s="29">
        <v>43613</v>
      </c>
      <c r="F13950" s="27">
        <v>7</v>
      </c>
      <c r="G13950" s="18">
        <v>0</v>
      </c>
      <c r="H13950" s="27">
        <f t="shared" si="434"/>
        <v>0</v>
      </c>
      <c r="I13950" s="18">
        <v>0</v>
      </c>
      <c r="J13950" s="27">
        <v>13349.26</v>
      </c>
      <c r="K13950" s="18">
        <f t="shared" si="435"/>
        <v>0</v>
      </c>
      <c r="L13950" s="27">
        <v>1056.82</v>
      </c>
      <c r="M13950" s="36">
        <v>1056.82</v>
      </c>
      <c r="N13950" s="18" t="s">
        <v>123</v>
      </c>
      <c r="O13950" s="19">
        <v>13349.26</v>
      </c>
      <c r="T13950" s="41">
        <v>0</v>
      </c>
      <c r="U13950" s="41">
        <v>0</v>
      </c>
      <c r="V13950" s="42" t="s">
        <v>113</v>
      </c>
      <c r="W13950" s="42">
        <v>0</v>
      </c>
      <c r="X13950" s="42">
        <v>0</v>
      </c>
    </row>
    <row r="13951" spans="1:24">
      <c r="A13951" s="27" t="s">
        <v>24934</v>
      </c>
      <c r="B13951" s="28" t="s">
        <v>24288</v>
      </c>
      <c r="C13951" s="27" t="s">
        <v>24935</v>
      </c>
      <c r="D13951" s="27" t="s">
        <v>17578</v>
      </c>
      <c r="E13951" s="29">
        <v>43613</v>
      </c>
      <c r="F13951" s="27">
        <v>7</v>
      </c>
      <c r="G13951" s="18">
        <v>0</v>
      </c>
      <c r="H13951" s="27">
        <f t="shared" si="434"/>
        <v>0</v>
      </c>
      <c r="I13951" s="18">
        <v>0</v>
      </c>
      <c r="J13951" s="27">
        <v>13349.26</v>
      </c>
      <c r="K13951" s="18">
        <f t="shared" si="435"/>
        <v>0</v>
      </c>
      <c r="L13951" s="27">
        <v>1056.82</v>
      </c>
      <c r="M13951" s="36">
        <v>1056.82</v>
      </c>
      <c r="N13951" s="18" t="s">
        <v>123</v>
      </c>
      <c r="O13951" s="19">
        <v>13349.26</v>
      </c>
      <c r="T13951" s="41">
        <v>0</v>
      </c>
      <c r="U13951" s="41">
        <v>0</v>
      </c>
      <c r="V13951" s="42" t="s">
        <v>113</v>
      </c>
      <c r="W13951" s="42">
        <v>0</v>
      </c>
      <c r="X13951" s="42">
        <v>0</v>
      </c>
    </row>
    <row r="13952" spans="1:24">
      <c r="A13952" s="27" t="s">
        <v>24936</v>
      </c>
      <c r="B13952" s="28" t="s">
        <v>24288</v>
      </c>
      <c r="C13952" s="27" t="s">
        <v>24937</v>
      </c>
      <c r="D13952" s="27" t="s">
        <v>17578</v>
      </c>
      <c r="E13952" s="29">
        <v>43613</v>
      </c>
      <c r="F13952" s="27">
        <v>7</v>
      </c>
      <c r="G13952" s="18">
        <v>0</v>
      </c>
      <c r="H13952" s="27">
        <f t="shared" si="434"/>
        <v>0</v>
      </c>
      <c r="I13952" s="18">
        <v>0</v>
      </c>
      <c r="J13952" s="27">
        <v>13349.26</v>
      </c>
      <c r="K13952" s="18">
        <f t="shared" si="435"/>
        <v>0</v>
      </c>
      <c r="L13952" s="27">
        <v>1056.82</v>
      </c>
      <c r="M13952" s="36">
        <v>1056.82</v>
      </c>
      <c r="N13952" s="18" t="s">
        <v>123</v>
      </c>
      <c r="O13952" s="19">
        <v>13349.26</v>
      </c>
      <c r="T13952" s="41">
        <v>0</v>
      </c>
      <c r="U13952" s="41">
        <v>0</v>
      </c>
      <c r="V13952" s="42" t="s">
        <v>113</v>
      </c>
      <c r="W13952" s="42">
        <v>0</v>
      </c>
      <c r="X13952" s="42">
        <v>0</v>
      </c>
    </row>
    <row r="13953" spans="1:24">
      <c r="A13953" s="27" t="s">
        <v>24938</v>
      </c>
      <c r="B13953" s="28" t="s">
        <v>24288</v>
      </c>
      <c r="C13953" s="27" t="s">
        <v>24939</v>
      </c>
      <c r="D13953" s="27" t="s">
        <v>17578</v>
      </c>
      <c r="E13953" s="29">
        <v>43613</v>
      </c>
      <c r="F13953" s="27">
        <v>7</v>
      </c>
      <c r="G13953" s="18">
        <v>0</v>
      </c>
      <c r="H13953" s="27">
        <f t="shared" si="434"/>
        <v>0</v>
      </c>
      <c r="I13953" s="18">
        <v>0</v>
      </c>
      <c r="J13953" s="27">
        <v>13349.26</v>
      </c>
      <c r="K13953" s="18">
        <f t="shared" si="435"/>
        <v>0</v>
      </c>
      <c r="L13953" s="27">
        <v>1056.82</v>
      </c>
      <c r="M13953" s="36">
        <v>1056.82</v>
      </c>
      <c r="N13953" s="18" t="s">
        <v>123</v>
      </c>
      <c r="O13953" s="19">
        <v>13349.26</v>
      </c>
      <c r="T13953" s="41">
        <v>0</v>
      </c>
      <c r="U13953" s="41">
        <v>0</v>
      </c>
      <c r="V13953" s="42" t="s">
        <v>113</v>
      </c>
      <c r="W13953" s="42">
        <v>0</v>
      </c>
      <c r="X13953" s="42">
        <v>0</v>
      </c>
    </row>
    <row r="13954" spans="1:24">
      <c r="A13954" s="27" t="s">
        <v>24940</v>
      </c>
      <c r="B13954" s="28" t="s">
        <v>24288</v>
      </c>
      <c r="C13954" s="27" t="s">
        <v>24941</v>
      </c>
      <c r="D13954" s="27" t="s">
        <v>17578</v>
      </c>
      <c r="E13954" s="29">
        <v>43613</v>
      </c>
      <c r="F13954" s="27">
        <v>7</v>
      </c>
      <c r="G13954" s="18">
        <v>0</v>
      </c>
      <c r="H13954" s="27">
        <f t="shared" si="434"/>
        <v>0</v>
      </c>
      <c r="I13954" s="18">
        <v>0</v>
      </c>
      <c r="J13954" s="27">
        <v>13349.26</v>
      </c>
      <c r="K13954" s="18">
        <f t="shared" si="435"/>
        <v>0</v>
      </c>
      <c r="L13954" s="27">
        <v>1056.82</v>
      </c>
      <c r="M13954" s="36">
        <v>1056.82</v>
      </c>
      <c r="N13954" s="18" t="s">
        <v>123</v>
      </c>
      <c r="O13954" s="19">
        <v>13349.26</v>
      </c>
      <c r="T13954" s="41">
        <v>0</v>
      </c>
      <c r="U13954" s="41">
        <v>0</v>
      </c>
      <c r="V13954" s="42" t="s">
        <v>113</v>
      </c>
      <c r="W13954" s="42">
        <v>0</v>
      </c>
      <c r="X13954" s="42">
        <v>0</v>
      </c>
    </row>
    <row r="13955" spans="1:24">
      <c r="A13955" s="27" t="s">
        <v>24942</v>
      </c>
      <c r="B13955" s="28" t="s">
        <v>24288</v>
      </c>
      <c r="C13955" s="27" t="s">
        <v>24943</v>
      </c>
      <c r="D13955" s="27" t="s">
        <v>17578</v>
      </c>
      <c r="E13955" s="29">
        <v>43613</v>
      </c>
      <c r="F13955" s="27">
        <v>7</v>
      </c>
      <c r="G13955" s="18">
        <v>0</v>
      </c>
      <c r="H13955" s="27">
        <f t="shared" si="434"/>
        <v>0</v>
      </c>
      <c r="I13955" s="18">
        <v>0</v>
      </c>
      <c r="J13955" s="27">
        <v>13349.26</v>
      </c>
      <c r="K13955" s="18">
        <f t="shared" si="435"/>
        <v>0</v>
      </c>
      <c r="L13955" s="27">
        <v>1056.82</v>
      </c>
      <c r="M13955" s="36">
        <v>1056.82</v>
      </c>
      <c r="N13955" s="18" t="s">
        <v>123</v>
      </c>
      <c r="O13955" s="19">
        <v>13349.26</v>
      </c>
      <c r="T13955" s="41">
        <v>0</v>
      </c>
      <c r="U13955" s="41">
        <v>0</v>
      </c>
      <c r="V13955" s="42" t="s">
        <v>113</v>
      </c>
      <c r="W13955" s="42">
        <v>0</v>
      </c>
      <c r="X13955" s="42">
        <v>0</v>
      </c>
    </row>
    <row r="13956" spans="1:24">
      <c r="A13956" s="27" t="s">
        <v>24944</v>
      </c>
      <c r="B13956" s="28" t="s">
        <v>24288</v>
      </c>
      <c r="C13956" s="27" t="s">
        <v>24945</v>
      </c>
      <c r="D13956" s="27" t="s">
        <v>17578</v>
      </c>
      <c r="E13956" s="29">
        <v>43613</v>
      </c>
      <c r="F13956" s="27">
        <v>7</v>
      </c>
      <c r="G13956" s="18">
        <v>0</v>
      </c>
      <c r="H13956" s="27">
        <f t="shared" si="434"/>
        <v>0</v>
      </c>
      <c r="I13956" s="18">
        <v>0</v>
      </c>
      <c r="J13956" s="27">
        <v>13349.26</v>
      </c>
      <c r="K13956" s="18">
        <f t="shared" si="435"/>
        <v>0</v>
      </c>
      <c r="L13956" s="27">
        <v>1056.82</v>
      </c>
      <c r="M13956" s="36">
        <v>1056.82</v>
      </c>
      <c r="N13956" s="18" t="s">
        <v>123</v>
      </c>
      <c r="O13956" s="19">
        <v>13349.26</v>
      </c>
      <c r="T13956" s="41">
        <v>0</v>
      </c>
      <c r="U13956" s="41">
        <v>0</v>
      </c>
      <c r="V13956" s="42" t="s">
        <v>113</v>
      </c>
      <c r="W13956" s="42">
        <v>0</v>
      </c>
      <c r="X13956" s="42">
        <v>0</v>
      </c>
    </row>
    <row r="13957" spans="1:24">
      <c r="A13957" s="27" t="s">
        <v>24946</v>
      </c>
      <c r="B13957" s="28" t="s">
        <v>24288</v>
      </c>
      <c r="C13957" s="27" t="s">
        <v>24947</v>
      </c>
      <c r="D13957" s="27" t="s">
        <v>17578</v>
      </c>
      <c r="E13957" s="29">
        <v>43613</v>
      </c>
      <c r="F13957" s="27">
        <v>7</v>
      </c>
      <c r="G13957" s="18">
        <v>0</v>
      </c>
      <c r="H13957" s="27">
        <f t="shared" si="434"/>
        <v>0</v>
      </c>
      <c r="I13957" s="18">
        <v>0</v>
      </c>
      <c r="J13957" s="27">
        <v>13349.27</v>
      </c>
      <c r="K13957" s="18">
        <f t="shared" si="435"/>
        <v>0</v>
      </c>
      <c r="L13957" s="27">
        <v>1056.82</v>
      </c>
      <c r="M13957" s="36">
        <v>1056.82</v>
      </c>
      <c r="N13957" s="18" t="s">
        <v>123</v>
      </c>
      <c r="O13957" s="19">
        <v>13349.27</v>
      </c>
      <c r="T13957" s="41">
        <v>0</v>
      </c>
      <c r="U13957" s="41">
        <v>0</v>
      </c>
      <c r="V13957" s="42" t="s">
        <v>113</v>
      </c>
      <c r="W13957" s="42">
        <v>0</v>
      </c>
      <c r="X13957" s="42">
        <v>0</v>
      </c>
    </row>
    <row r="13958" spans="1:24">
      <c r="A13958" s="27" t="s">
        <v>24948</v>
      </c>
      <c r="B13958" s="28" t="s">
        <v>24288</v>
      </c>
      <c r="C13958" s="27" t="s">
        <v>24949</v>
      </c>
      <c r="D13958" s="27" t="s">
        <v>17578</v>
      </c>
      <c r="E13958" s="29">
        <v>43613</v>
      </c>
      <c r="F13958" s="27">
        <v>7</v>
      </c>
      <c r="G13958" s="18">
        <v>0</v>
      </c>
      <c r="H13958" s="27">
        <f t="shared" ref="H13958:H14021" si="436">IFERROR(IF(ROUND((G13958-I13958)/G13958,2)&lt;=0.05,G13958,0),0)</f>
        <v>0</v>
      </c>
      <c r="I13958" s="18">
        <v>0</v>
      </c>
      <c r="J13958" s="27">
        <v>13349.27</v>
      </c>
      <c r="K13958" s="18">
        <f t="shared" ref="K13958:K14021" si="437">IFERROR(IF(ROUND((J13958-L13958)/J13958,2)&lt;=0.05,J13958,0),0)</f>
        <v>0</v>
      </c>
      <c r="L13958" s="27">
        <v>1056.82</v>
      </c>
      <c r="M13958" s="36">
        <v>1056.82</v>
      </c>
      <c r="N13958" s="18" t="s">
        <v>123</v>
      </c>
      <c r="O13958" s="19">
        <v>13349.27</v>
      </c>
      <c r="T13958" s="41">
        <v>0</v>
      </c>
      <c r="U13958" s="41">
        <v>0</v>
      </c>
      <c r="V13958" s="42" t="s">
        <v>113</v>
      </c>
      <c r="W13958" s="42">
        <v>0</v>
      </c>
      <c r="X13958" s="42">
        <v>0</v>
      </c>
    </row>
    <row r="13959" spans="1:24">
      <c r="A13959" s="27" t="s">
        <v>24950</v>
      </c>
      <c r="B13959" s="28" t="s">
        <v>24288</v>
      </c>
      <c r="C13959" s="27" t="s">
        <v>24951</v>
      </c>
      <c r="D13959" s="27" t="s">
        <v>17578</v>
      </c>
      <c r="E13959" s="29">
        <v>43613</v>
      </c>
      <c r="F13959" s="27">
        <v>7</v>
      </c>
      <c r="G13959" s="18">
        <v>0</v>
      </c>
      <c r="H13959" s="27">
        <f t="shared" si="436"/>
        <v>0</v>
      </c>
      <c r="I13959" s="18">
        <v>0</v>
      </c>
      <c r="J13959" s="27">
        <v>13349.27</v>
      </c>
      <c r="K13959" s="18">
        <f t="shared" si="437"/>
        <v>0</v>
      </c>
      <c r="L13959" s="27">
        <v>1056.82</v>
      </c>
      <c r="M13959" s="36">
        <v>1056.82</v>
      </c>
      <c r="N13959" s="18" t="s">
        <v>123</v>
      </c>
      <c r="O13959" s="19">
        <v>13349.27</v>
      </c>
      <c r="T13959" s="41">
        <v>0</v>
      </c>
      <c r="U13959" s="41">
        <v>0</v>
      </c>
      <c r="V13959" s="42" t="s">
        <v>113</v>
      </c>
      <c r="W13959" s="42">
        <v>0</v>
      </c>
      <c r="X13959" s="42">
        <v>0</v>
      </c>
    </row>
    <row r="13960" spans="1:24">
      <c r="A13960" s="27" t="s">
        <v>24952</v>
      </c>
      <c r="B13960" s="28" t="s">
        <v>24288</v>
      </c>
      <c r="C13960" s="27" t="s">
        <v>24953</v>
      </c>
      <c r="D13960" s="27" t="s">
        <v>17578</v>
      </c>
      <c r="E13960" s="29">
        <v>43613</v>
      </c>
      <c r="F13960" s="27">
        <v>7</v>
      </c>
      <c r="G13960" s="18">
        <v>0</v>
      </c>
      <c r="H13960" s="27">
        <f t="shared" si="436"/>
        <v>0</v>
      </c>
      <c r="I13960" s="18">
        <v>0</v>
      </c>
      <c r="J13960" s="27">
        <v>13349.27</v>
      </c>
      <c r="K13960" s="18">
        <f t="shared" si="437"/>
        <v>0</v>
      </c>
      <c r="L13960" s="27">
        <v>1056.82</v>
      </c>
      <c r="M13960" s="36">
        <v>1056.82</v>
      </c>
      <c r="N13960" s="18" t="s">
        <v>123</v>
      </c>
      <c r="O13960" s="19">
        <v>13349.27</v>
      </c>
      <c r="T13960" s="41">
        <v>0</v>
      </c>
      <c r="U13960" s="41">
        <v>0</v>
      </c>
      <c r="V13960" s="42" t="s">
        <v>113</v>
      </c>
      <c r="W13960" s="42">
        <v>0</v>
      </c>
      <c r="X13960" s="42">
        <v>0</v>
      </c>
    </row>
    <row r="13961" spans="1:24">
      <c r="A13961" s="27" t="s">
        <v>24954</v>
      </c>
      <c r="B13961" s="28" t="s">
        <v>24288</v>
      </c>
      <c r="C13961" s="27" t="s">
        <v>24955</v>
      </c>
      <c r="D13961" s="27" t="s">
        <v>17578</v>
      </c>
      <c r="E13961" s="29">
        <v>43613</v>
      </c>
      <c r="F13961" s="27">
        <v>7</v>
      </c>
      <c r="G13961" s="18">
        <v>0</v>
      </c>
      <c r="H13961" s="27">
        <f t="shared" si="436"/>
        <v>0</v>
      </c>
      <c r="I13961" s="18">
        <v>0</v>
      </c>
      <c r="J13961" s="27">
        <v>13349.27</v>
      </c>
      <c r="K13961" s="18">
        <f t="shared" si="437"/>
        <v>0</v>
      </c>
      <c r="L13961" s="27">
        <v>1056.82</v>
      </c>
      <c r="M13961" s="36">
        <v>1056.82</v>
      </c>
      <c r="N13961" s="18" t="s">
        <v>123</v>
      </c>
      <c r="O13961" s="19">
        <v>13349.27</v>
      </c>
      <c r="T13961" s="41">
        <v>0</v>
      </c>
      <c r="U13961" s="41">
        <v>0</v>
      </c>
      <c r="V13961" s="42" t="s">
        <v>113</v>
      </c>
      <c r="W13961" s="42">
        <v>0</v>
      </c>
      <c r="X13961" s="42">
        <v>0</v>
      </c>
    </row>
    <row r="13962" spans="1:24">
      <c r="A13962" s="27" t="s">
        <v>24956</v>
      </c>
      <c r="B13962" s="28" t="s">
        <v>24288</v>
      </c>
      <c r="C13962" s="27" t="s">
        <v>24957</v>
      </c>
      <c r="D13962" s="27" t="s">
        <v>17578</v>
      </c>
      <c r="E13962" s="29">
        <v>43613</v>
      </c>
      <c r="F13962" s="27">
        <v>7</v>
      </c>
      <c r="G13962" s="18">
        <v>0</v>
      </c>
      <c r="H13962" s="27">
        <f t="shared" si="436"/>
        <v>0</v>
      </c>
      <c r="I13962" s="18">
        <v>0</v>
      </c>
      <c r="J13962" s="27">
        <v>13349.27</v>
      </c>
      <c r="K13962" s="18">
        <f t="shared" si="437"/>
        <v>0</v>
      </c>
      <c r="L13962" s="27">
        <v>1056.82</v>
      </c>
      <c r="M13962" s="36">
        <v>1056.82</v>
      </c>
      <c r="N13962" s="18" t="s">
        <v>123</v>
      </c>
      <c r="O13962" s="19">
        <v>13349.27</v>
      </c>
      <c r="T13962" s="41">
        <v>0</v>
      </c>
      <c r="U13962" s="41">
        <v>0</v>
      </c>
      <c r="V13962" s="42" t="s">
        <v>113</v>
      </c>
      <c r="W13962" s="42">
        <v>0</v>
      </c>
      <c r="X13962" s="42">
        <v>0</v>
      </c>
    </row>
    <row r="13963" spans="1:24">
      <c r="A13963" s="27" t="s">
        <v>24958</v>
      </c>
      <c r="B13963" s="28" t="s">
        <v>24288</v>
      </c>
      <c r="C13963" s="27" t="s">
        <v>24959</v>
      </c>
      <c r="D13963" s="27" t="s">
        <v>17578</v>
      </c>
      <c r="E13963" s="29">
        <v>43613</v>
      </c>
      <c r="F13963" s="27">
        <v>7</v>
      </c>
      <c r="G13963" s="18">
        <v>0</v>
      </c>
      <c r="H13963" s="27">
        <f t="shared" si="436"/>
        <v>0</v>
      </c>
      <c r="I13963" s="18">
        <v>0</v>
      </c>
      <c r="J13963" s="27">
        <v>13349.27</v>
      </c>
      <c r="K13963" s="18">
        <f t="shared" si="437"/>
        <v>0</v>
      </c>
      <c r="L13963" s="27">
        <v>1056.82</v>
      </c>
      <c r="M13963" s="36">
        <v>1056.82</v>
      </c>
      <c r="N13963" s="18" t="s">
        <v>123</v>
      </c>
      <c r="O13963" s="19">
        <v>13349.27</v>
      </c>
      <c r="T13963" s="41">
        <v>0</v>
      </c>
      <c r="U13963" s="41">
        <v>0</v>
      </c>
      <c r="V13963" s="42" t="s">
        <v>113</v>
      </c>
      <c r="W13963" s="42">
        <v>0</v>
      </c>
      <c r="X13963" s="42">
        <v>0</v>
      </c>
    </row>
    <row r="13964" spans="1:24">
      <c r="A13964" s="27" t="s">
        <v>24960</v>
      </c>
      <c r="B13964" s="28" t="s">
        <v>24288</v>
      </c>
      <c r="C13964" s="27" t="s">
        <v>24961</v>
      </c>
      <c r="D13964" s="27" t="s">
        <v>17578</v>
      </c>
      <c r="E13964" s="29">
        <v>43613</v>
      </c>
      <c r="F13964" s="27">
        <v>7</v>
      </c>
      <c r="G13964" s="18">
        <v>0</v>
      </c>
      <c r="H13964" s="27">
        <f t="shared" si="436"/>
        <v>0</v>
      </c>
      <c r="I13964" s="18">
        <v>0</v>
      </c>
      <c r="J13964" s="27">
        <v>13349.27</v>
      </c>
      <c r="K13964" s="18">
        <f t="shared" si="437"/>
        <v>0</v>
      </c>
      <c r="L13964" s="27">
        <v>1056.82</v>
      </c>
      <c r="M13964" s="36">
        <v>1056.82</v>
      </c>
      <c r="N13964" s="18" t="s">
        <v>123</v>
      </c>
      <c r="O13964" s="19">
        <v>13349.27</v>
      </c>
      <c r="T13964" s="41">
        <v>0</v>
      </c>
      <c r="U13964" s="41">
        <v>0</v>
      </c>
      <c r="V13964" s="42" t="s">
        <v>113</v>
      </c>
      <c r="W13964" s="42">
        <v>0</v>
      </c>
      <c r="X13964" s="42">
        <v>0</v>
      </c>
    </row>
    <row r="13965" spans="1:24">
      <c r="A13965" s="27" t="s">
        <v>24962</v>
      </c>
      <c r="B13965" s="28" t="s">
        <v>24288</v>
      </c>
      <c r="C13965" s="27" t="s">
        <v>24963</v>
      </c>
      <c r="D13965" s="27" t="s">
        <v>17578</v>
      </c>
      <c r="E13965" s="29">
        <v>43613</v>
      </c>
      <c r="F13965" s="27">
        <v>7</v>
      </c>
      <c r="G13965" s="18">
        <v>0</v>
      </c>
      <c r="H13965" s="27">
        <f t="shared" si="436"/>
        <v>0</v>
      </c>
      <c r="I13965" s="18">
        <v>0</v>
      </c>
      <c r="J13965" s="27">
        <v>13349.27</v>
      </c>
      <c r="K13965" s="18">
        <f t="shared" si="437"/>
        <v>0</v>
      </c>
      <c r="L13965" s="27">
        <v>1056.82</v>
      </c>
      <c r="M13965" s="36">
        <v>1056.82</v>
      </c>
      <c r="N13965" s="18" t="s">
        <v>123</v>
      </c>
      <c r="O13965" s="19">
        <v>13349.27</v>
      </c>
      <c r="T13965" s="41">
        <v>0</v>
      </c>
      <c r="U13965" s="41">
        <v>0</v>
      </c>
      <c r="V13965" s="42" t="s">
        <v>113</v>
      </c>
      <c r="W13965" s="42">
        <v>0</v>
      </c>
      <c r="X13965" s="42">
        <v>0</v>
      </c>
    </row>
    <row r="13966" spans="1:24">
      <c r="A13966" s="27" t="s">
        <v>24964</v>
      </c>
      <c r="B13966" s="28" t="s">
        <v>24288</v>
      </c>
      <c r="C13966" s="27" t="s">
        <v>24965</v>
      </c>
      <c r="D13966" s="27" t="s">
        <v>17578</v>
      </c>
      <c r="E13966" s="29">
        <v>43613</v>
      </c>
      <c r="F13966" s="27">
        <v>7</v>
      </c>
      <c r="G13966" s="18">
        <v>0</v>
      </c>
      <c r="H13966" s="27">
        <f t="shared" si="436"/>
        <v>0</v>
      </c>
      <c r="I13966" s="18">
        <v>0</v>
      </c>
      <c r="J13966" s="27">
        <v>13349.27</v>
      </c>
      <c r="K13966" s="18">
        <f t="shared" si="437"/>
        <v>0</v>
      </c>
      <c r="L13966" s="27">
        <v>1056.82</v>
      </c>
      <c r="M13966" s="36">
        <v>1056.82</v>
      </c>
      <c r="N13966" s="18" t="s">
        <v>123</v>
      </c>
      <c r="O13966" s="19">
        <v>13349.27</v>
      </c>
      <c r="T13966" s="41">
        <v>0</v>
      </c>
      <c r="U13966" s="41">
        <v>0</v>
      </c>
      <c r="V13966" s="42" t="s">
        <v>113</v>
      </c>
      <c r="W13966" s="42">
        <v>0</v>
      </c>
      <c r="X13966" s="42">
        <v>0</v>
      </c>
    </row>
    <row r="13967" spans="1:24">
      <c r="A13967" s="27" t="s">
        <v>24966</v>
      </c>
      <c r="B13967" s="28" t="s">
        <v>24288</v>
      </c>
      <c r="C13967" s="27" t="s">
        <v>24967</v>
      </c>
      <c r="D13967" s="27" t="s">
        <v>17578</v>
      </c>
      <c r="E13967" s="29">
        <v>43613</v>
      </c>
      <c r="F13967" s="27">
        <v>7</v>
      </c>
      <c r="G13967" s="18">
        <v>0</v>
      </c>
      <c r="H13967" s="27">
        <f t="shared" si="436"/>
        <v>0</v>
      </c>
      <c r="I13967" s="18">
        <v>0</v>
      </c>
      <c r="J13967" s="27">
        <v>13349.27</v>
      </c>
      <c r="K13967" s="18">
        <f t="shared" si="437"/>
        <v>0</v>
      </c>
      <c r="L13967" s="27">
        <v>1056.82</v>
      </c>
      <c r="M13967" s="36">
        <v>1056.82</v>
      </c>
      <c r="N13967" s="18" t="s">
        <v>123</v>
      </c>
      <c r="O13967" s="19">
        <v>13349.27</v>
      </c>
      <c r="T13967" s="41">
        <v>0</v>
      </c>
      <c r="U13967" s="41">
        <v>0</v>
      </c>
      <c r="V13967" s="42" t="s">
        <v>113</v>
      </c>
      <c r="W13967" s="42">
        <v>0</v>
      </c>
      <c r="X13967" s="42">
        <v>0</v>
      </c>
    </row>
    <row r="13968" spans="1:24">
      <c r="A13968" s="27" t="s">
        <v>24968</v>
      </c>
      <c r="B13968" s="28" t="s">
        <v>24288</v>
      </c>
      <c r="C13968" s="27" t="s">
        <v>24969</v>
      </c>
      <c r="D13968" s="27" t="s">
        <v>17578</v>
      </c>
      <c r="E13968" s="29">
        <v>43613</v>
      </c>
      <c r="F13968" s="27">
        <v>7</v>
      </c>
      <c r="G13968" s="18">
        <v>0</v>
      </c>
      <c r="H13968" s="27">
        <f t="shared" si="436"/>
        <v>0</v>
      </c>
      <c r="I13968" s="18">
        <v>0</v>
      </c>
      <c r="J13968" s="27">
        <v>13349.27</v>
      </c>
      <c r="K13968" s="18">
        <f t="shared" si="437"/>
        <v>0</v>
      </c>
      <c r="L13968" s="27">
        <v>1056.82</v>
      </c>
      <c r="M13968" s="36">
        <v>1056.82</v>
      </c>
      <c r="N13968" s="18" t="s">
        <v>123</v>
      </c>
      <c r="O13968" s="19">
        <v>13349.27</v>
      </c>
      <c r="T13968" s="41">
        <v>0</v>
      </c>
      <c r="U13968" s="41">
        <v>0</v>
      </c>
      <c r="V13968" s="42" t="s">
        <v>113</v>
      </c>
      <c r="W13968" s="42">
        <v>0</v>
      </c>
      <c r="X13968" s="42">
        <v>0</v>
      </c>
    </row>
    <row r="13969" spans="1:24">
      <c r="A13969" s="27" t="s">
        <v>24970</v>
      </c>
      <c r="B13969" s="28" t="s">
        <v>24288</v>
      </c>
      <c r="C13969" s="27" t="s">
        <v>24971</v>
      </c>
      <c r="D13969" s="27" t="s">
        <v>17578</v>
      </c>
      <c r="E13969" s="29">
        <v>43613</v>
      </c>
      <c r="F13969" s="27">
        <v>7</v>
      </c>
      <c r="G13969" s="18">
        <v>0</v>
      </c>
      <c r="H13969" s="27">
        <f t="shared" si="436"/>
        <v>0</v>
      </c>
      <c r="I13969" s="18">
        <v>0</v>
      </c>
      <c r="J13969" s="27">
        <v>13349.27</v>
      </c>
      <c r="K13969" s="18">
        <f t="shared" si="437"/>
        <v>0</v>
      </c>
      <c r="L13969" s="27">
        <v>1056.82</v>
      </c>
      <c r="M13969" s="36">
        <v>1056.82</v>
      </c>
      <c r="N13969" s="18" t="s">
        <v>123</v>
      </c>
      <c r="O13969" s="19">
        <v>13349.27</v>
      </c>
      <c r="T13969" s="41">
        <v>0</v>
      </c>
      <c r="U13969" s="41">
        <v>0</v>
      </c>
      <c r="V13969" s="42" t="s">
        <v>113</v>
      </c>
      <c r="W13969" s="42">
        <v>0</v>
      </c>
      <c r="X13969" s="42">
        <v>0</v>
      </c>
    </row>
    <row r="13970" spans="1:24">
      <c r="A13970" s="27" t="s">
        <v>24972</v>
      </c>
      <c r="B13970" s="28" t="s">
        <v>24288</v>
      </c>
      <c r="C13970" s="27" t="s">
        <v>24973</v>
      </c>
      <c r="D13970" s="27" t="s">
        <v>17578</v>
      </c>
      <c r="E13970" s="29">
        <v>43613</v>
      </c>
      <c r="F13970" s="27">
        <v>7</v>
      </c>
      <c r="G13970" s="18">
        <v>0</v>
      </c>
      <c r="H13970" s="27">
        <f t="shared" si="436"/>
        <v>0</v>
      </c>
      <c r="I13970" s="18">
        <v>0</v>
      </c>
      <c r="J13970" s="27">
        <v>13349.27</v>
      </c>
      <c r="K13970" s="18">
        <f t="shared" si="437"/>
        <v>0</v>
      </c>
      <c r="L13970" s="27">
        <v>1056.82</v>
      </c>
      <c r="M13970" s="36">
        <v>1056.82</v>
      </c>
      <c r="N13970" s="18" t="s">
        <v>123</v>
      </c>
      <c r="O13970" s="19">
        <v>13349.27</v>
      </c>
      <c r="T13970" s="41">
        <v>0</v>
      </c>
      <c r="U13970" s="41">
        <v>0</v>
      </c>
      <c r="V13970" s="42" t="s">
        <v>113</v>
      </c>
      <c r="W13970" s="42">
        <v>0</v>
      </c>
      <c r="X13970" s="42">
        <v>0</v>
      </c>
    </row>
    <row r="13971" spans="1:24">
      <c r="A13971" s="27" t="s">
        <v>24974</v>
      </c>
      <c r="B13971" s="28" t="s">
        <v>24288</v>
      </c>
      <c r="C13971" s="27" t="s">
        <v>24975</v>
      </c>
      <c r="D13971" s="27" t="s">
        <v>17578</v>
      </c>
      <c r="E13971" s="29">
        <v>43613</v>
      </c>
      <c r="F13971" s="27">
        <v>7</v>
      </c>
      <c r="G13971" s="18">
        <v>0</v>
      </c>
      <c r="H13971" s="27">
        <f t="shared" si="436"/>
        <v>0</v>
      </c>
      <c r="I13971" s="18">
        <v>0</v>
      </c>
      <c r="J13971" s="27">
        <v>13349.27</v>
      </c>
      <c r="K13971" s="18">
        <f t="shared" si="437"/>
        <v>0</v>
      </c>
      <c r="L13971" s="27">
        <v>1056.82</v>
      </c>
      <c r="M13971" s="36">
        <v>1056.82</v>
      </c>
      <c r="N13971" s="18" t="s">
        <v>123</v>
      </c>
      <c r="O13971" s="19">
        <v>13349.27</v>
      </c>
      <c r="T13971" s="41">
        <v>0</v>
      </c>
      <c r="U13971" s="41">
        <v>0</v>
      </c>
      <c r="V13971" s="42" t="s">
        <v>113</v>
      </c>
      <c r="W13971" s="42">
        <v>0</v>
      </c>
      <c r="X13971" s="42">
        <v>0</v>
      </c>
    </row>
    <row r="13972" spans="1:24">
      <c r="A13972" s="27" t="s">
        <v>24976</v>
      </c>
      <c r="B13972" s="28" t="s">
        <v>24288</v>
      </c>
      <c r="C13972" s="27" t="s">
        <v>24977</v>
      </c>
      <c r="D13972" s="27" t="s">
        <v>17578</v>
      </c>
      <c r="E13972" s="29">
        <v>43613</v>
      </c>
      <c r="F13972" s="27">
        <v>7</v>
      </c>
      <c r="G13972" s="18">
        <v>0</v>
      </c>
      <c r="H13972" s="27">
        <f t="shared" si="436"/>
        <v>0</v>
      </c>
      <c r="I13972" s="18">
        <v>0</v>
      </c>
      <c r="J13972" s="27">
        <v>13349.27</v>
      </c>
      <c r="K13972" s="18">
        <f t="shared" si="437"/>
        <v>0</v>
      </c>
      <c r="L13972" s="27">
        <v>1056.82</v>
      </c>
      <c r="M13972" s="36">
        <v>1056.82</v>
      </c>
      <c r="N13972" s="18" t="s">
        <v>123</v>
      </c>
      <c r="O13972" s="19">
        <v>13349.27</v>
      </c>
      <c r="T13972" s="41">
        <v>0</v>
      </c>
      <c r="U13972" s="41">
        <v>0</v>
      </c>
      <c r="V13972" s="42" t="s">
        <v>113</v>
      </c>
      <c r="W13972" s="42">
        <v>0</v>
      </c>
      <c r="X13972" s="42">
        <v>0</v>
      </c>
    </row>
    <row r="13973" spans="1:24">
      <c r="A13973" s="27" t="s">
        <v>24978</v>
      </c>
      <c r="B13973" s="28" t="s">
        <v>24288</v>
      </c>
      <c r="C13973" s="27" t="s">
        <v>24979</v>
      </c>
      <c r="D13973" s="27" t="s">
        <v>17578</v>
      </c>
      <c r="E13973" s="29">
        <v>43613</v>
      </c>
      <c r="F13973" s="27">
        <v>7</v>
      </c>
      <c r="G13973" s="18">
        <v>0</v>
      </c>
      <c r="H13973" s="27">
        <f t="shared" si="436"/>
        <v>0</v>
      </c>
      <c r="I13973" s="18">
        <v>0</v>
      </c>
      <c r="J13973" s="27">
        <v>13349.27</v>
      </c>
      <c r="K13973" s="18">
        <f t="shared" si="437"/>
        <v>0</v>
      </c>
      <c r="L13973" s="27">
        <v>1056.82</v>
      </c>
      <c r="M13973" s="36">
        <v>1056.82</v>
      </c>
      <c r="N13973" s="18" t="s">
        <v>123</v>
      </c>
      <c r="O13973" s="19">
        <v>13349.27</v>
      </c>
      <c r="T13973" s="41">
        <v>0</v>
      </c>
      <c r="U13973" s="41">
        <v>0</v>
      </c>
      <c r="V13973" s="42" t="s">
        <v>113</v>
      </c>
      <c r="W13973" s="42">
        <v>0</v>
      </c>
      <c r="X13973" s="42">
        <v>0</v>
      </c>
    </row>
    <row r="13974" spans="1:24">
      <c r="A13974" s="27" t="s">
        <v>24980</v>
      </c>
      <c r="B13974" s="28" t="s">
        <v>24288</v>
      </c>
      <c r="C13974" s="27" t="s">
        <v>24981</v>
      </c>
      <c r="D13974" s="27" t="s">
        <v>17578</v>
      </c>
      <c r="E13974" s="29">
        <v>43613</v>
      </c>
      <c r="F13974" s="27">
        <v>7</v>
      </c>
      <c r="G13974" s="18">
        <v>0</v>
      </c>
      <c r="H13974" s="27">
        <f t="shared" si="436"/>
        <v>0</v>
      </c>
      <c r="I13974" s="18">
        <v>0</v>
      </c>
      <c r="J13974" s="27">
        <v>13349.27</v>
      </c>
      <c r="K13974" s="18">
        <f t="shared" si="437"/>
        <v>0</v>
      </c>
      <c r="L13974" s="27">
        <v>1056.82</v>
      </c>
      <c r="M13974" s="36">
        <v>1056.82</v>
      </c>
      <c r="N13974" s="18" t="s">
        <v>123</v>
      </c>
      <c r="O13974" s="19">
        <v>13349.27</v>
      </c>
      <c r="T13974" s="41">
        <v>0</v>
      </c>
      <c r="U13974" s="41">
        <v>0</v>
      </c>
      <c r="V13974" s="42" t="s">
        <v>113</v>
      </c>
      <c r="W13974" s="42">
        <v>0</v>
      </c>
      <c r="X13974" s="42">
        <v>0</v>
      </c>
    </row>
    <row r="13975" spans="1:24">
      <c r="A13975" s="27" t="s">
        <v>24982</v>
      </c>
      <c r="B13975" s="28" t="s">
        <v>24288</v>
      </c>
      <c r="C13975" s="27" t="s">
        <v>24983</v>
      </c>
      <c r="D13975" s="27" t="s">
        <v>17578</v>
      </c>
      <c r="E13975" s="29">
        <v>43613</v>
      </c>
      <c r="F13975" s="27">
        <v>7</v>
      </c>
      <c r="G13975" s="18">
        <v>0</v>
      </c>
      <c r="H13975" s="27">
        <f t="shared" si="436"/>
        <v>0</v>
      </c>
      <c r="I13975" s="18">
        <v>0</v>
      </c>
      <c r="J13975" s="27">
        <v>13349.27</v>
      </c>
      <c r="K13975" s="18">
        <f t="shared" si="437"/>
        <v>0</v>
      </c>
      <c r="L13975" s="27">
        <v>1056.82</v>
      </c>
      <c r="M13975" s="36">
        <v>1056.82</v>
      </c>
      <c r="N13975" s="18" t="s">
        <v>123</v>
      </c>
      <c r="O13975" s="19">
        <v>13349.27</v>
      </c>
      <c r="T13975" s="41">
        <v>0</v>
      </c>
      <c r="U13975" s="41">
        <v>0</v>
      </c>
      <c r="V13975" s="42" t="s">
        <v>113</v>
      </c>
      <c r="W13975" s="42">
        <v>0</v>
      </c>
      <c r="X13975" s="42">
        <v>0</v>
      </c>
    </row>
    <row r="13976" spans="1:24">
      <c r="A13976" s="27" t="s">
        <v>24984</v>
      </c>
      <c r="B13976" s="28" t="s">
        <v>24288</v>
      </c>
      <c r="C13976" s="27" t="s">
        <v>24985</v>
      </c>
      <c r="D13976" s="27" t="s">
        <v>17578</v>
      </c>
      <c r="E13976" s="29">
        <v>43613</v>
      </c>
      <c r="F13976" s="27">
        <v>7</v>
      </c>
      <c r="G13976" s="18">
        <v>0</v>
      </c>
      <c r="H13976" s="27">
        <f t="shared" si="436"/>
        <v>0</v>
      </c>
      <c r="I13976" s="18">
        <v>0</v>
      </c>
      <c r="J13976" s="27">
        <v>13349.27</v>
      </c>
      <c r="K13976" s="18">
        <f t="shared" si="437"/>
        <v>0</v>
      </c>
      <c r="L13976" s="27">
        <v>1056.82</v>
      </c>
      <c r="M13976" s="36">
        <v>1056.82</v>
      </c>
      <c r="N13976" s="18" t="s">
        <v>123</v>
      </c>
      <c r="O13976" s="19">
        <v>13349.27</v>
      </c>
      <c r="T13976" s="41">
        <v>0</v>
      </c>
      <c r="U13976" s="41">
        <v>0</v>
      </c>
      <c r="V13976" s="42" t="s">
        <v>113</v>
      </c>
      <c r="W13976" s="42">
        <v>0</v>
      </c>
      <c r="X13976" s="42">
        <v>0</v>
      </c>
    </row>
    <row r="13977" spans="1:24">
      <c r="A13977" s="27" t="s">
        <v>24986</v>
      </c>
      <c r="B13977" s="28" t="s">
        <v>24288</v>
      </c>
      <c r="C13977" s="27" t="s">
        <v>24987</v>
      </c>
      <c r="D13977" s="27" t="s">
        <v>17578</v>
      </c>
      <c r="E13977" s="29">
        <v>43613</v>
      </c>
      <c r="F13977" s="27">
        <v>7</v>
      </c>
      <c r="G13977" s="18">
        <v>0</v>
      </c>
      <c r="H13977" s="27">
        <f t="shared" si="436"/>
        <v>0</v>
      </c>
      <c r="I13977" s="18">
        <v>0</v>
      </c>
      <c r="J13977" s="27">
        <v>13349.27</v>
      </c>
      <c r="K13977" s="18">
        <f t="shared" si="437"/>
        <v>0</v>
      </c>
      <c r="L13977" s="27">
        <v>1056.82</v>
      </c>
      <c r="M13977" s="36">
        <v>1056.82</v>
      </c>
      <c r="N13977" s="18" t="s">
        <v>123</v>
      </c>
      <c r="O13977" s="19">
        <v>13349.27</v>
      </c>
      <c r="T13977" s="41">
        <v>0</v>
      </c>
      <c r="U13977" s="41">
        <v>0</v>
      </c>
      <c r="V13977" s="42" t="s">
        <v>113</v>
      </c>
      <c r="W13977" s="42">
        <v>0</v>
      </c>
      <c r="X13977" s="42">
        <v>0</v>
      </c>
    </row>
    <row r="13978" spans="1:24">
      <c r="A13978" s="27" t="s">
        <v>24988</v>
      </c>
      <c r="B13978" s="28" t="s">
        <v>24288</v>
      </c>
      <c r="C13978" s="27" t="s">
        <v>24989</v>
      </c>
      <c r="D13978" s="27" t="s">
        <v>17578</v>
      </c>
      <c r="E13978" s="29">
        <v>43613</v>
      </c>
      <c r="F13978" s="27">
        <v>7</v>
      </c>
      <c r="G13978" s="18">
        <v>0</v>
      </c>
      <c r="H13978" s="27">
        <f t="shared" si="436"/>
        <v>0</v>
      </c>
      <c r="I13978" s="18">
        <v>0</v>
      </c>
      <c r="J13978" s="27">
        <v>13349.27</v>
      </c>
      <c r="K13978" s="18">
        <f t="shared" si="437"/>
        <v>0</v>
      </c>
      <c r="L13978" s="27">
        <v>1056.82</v>
      </c>
      <c r="M13978" s="36">
        <v>1056.82</v>
      </c>
      <c r="N13978" s="18" t="s">
        <v>123</v>
      </c>
      <c r="O13978" s="19">
        <v>13349.27</v>
      </c>
      <c r="T13978" s="41">
        <v>0</v>
      </c>
      <c r="U13978" s="41">
        <v>0</v>
      </c>
      <c r="V13978" s="42" t="s">
        <v>113</v>
      </c>
      <c r="W13978" s="42">
        <v>0</v>
      </c>
      <c r="X13978" s="42">
        <v>0</v>
      </c>
    </row>
    <row r="13979" spans="1:24">
      <c r="A13979" s="27" t="s">
        <v>24990</v>
      </c>
      <c r="B13979" s="28" t="s">
        <v>24288</v>
      </c>
      <c r="C13979" s="27" t="s">
        <v>24991</v>
      </c>
      <c r="D13979" s="27" t="s">
        <v>17578</v>
      </c>
      <c r="E13979" s="29">
        <v>43714</v>
      </c>
      <c r="F13979" s="27">
        <v>7</v>
      </c>
      <c r="G13979" s="18">
        <v>0</v>
      </c>
      <c r="H13979" s="27">
        <f t="shared" si="436"/>
        <v>0</v>
      </c>
      <c r="I13979" s="18">
        <v>0</v>
      </c>
      <c r="J13979" s="27">
        <v>8159.29</v>
      </c>
      <c r="K13979" s="18">
        <f t="shared" si="437"/>
        <v>0</v>
      </c>
      <c r="L13979" s="27">
        <v>276.83</v>
      </c>
      <c r="M13979" s="36">
        <v>276.83</v>
      </c>
      <c r="N13979" s="18" t="s">
        <v>14637</v>
      </c>
      <c r="O13979" s="19">
        <v>8159.29</v>
      </c>
      <c r="T13979" s="41">
        <v>0</v>
      </c>
      <c r="U13979" s="41">
        <v>0</v>
      </c>
      <c r="V13979" s="42" t="s">
        <v>113</v>
      </c>
      <c r="W13979" s="42">
        <v>0</v>
      </c>
      <c r="X13979" s="42">
        <v>0</v>
      </c>
    </row>
    <row r="13980" spans="1:24">
      <c r="A13980" s="27" t="s">
        <v>24992</v>
      </c>
      <c r="B13980" s="28" t="s">
        <v>24288</v>
      </c>
      <c r="C13980" s="27" t="s">
        <v>24993</v>
      </c>
      <c r="D13980" s="27" t="s">
        <v>17578</v>
      </c>
      <c r="E13980" s="29">
        <v>43714</v>
      </c>
      <c r="F13980" s="27">
        <v>7</v>
      </c>
      <c r="G13980" s="18">
        <v>0</v>
      </c>
      <c r="H13980" s="27">
        <f t="shared" si="436"/>
        <v>0</v>
      </c>
      <c r="I13980" s="18">
        <v>0</v>
      </c>
      <c r="J13980" s="27">
        <v>7254.87</v>
      </c>
      <c r="K13980" s="18">
        <f t="shared" si="437"/>
        <v>0</v>
      </c>
      <c r="L13980" s="27">
        <v>246.15</v>
      </c>
      <c r="M13980" s="36">
        <v>246.15</v>
      </c>
      <c r="N13980" s="18" t="s">
        <v>14637</v>
      </c>
      <c r="O13980" s="19">
        <v>7254.87</v>
      </c>
      <c r="T13980" s="41">
        <v>0</v>
      </c>
      <c r="U13980" s="41">
        <v>0</v>
      </c>
      <c r="V13980" s="42" t="s">
        <v>113</v>
      </c>
      <c r="W13980" s="42">
        <v>0</v>
      </c>
      <c r="X13980" s="42">
        <v>0</v>
      </c>
    </row>
    <row r="13981" spans="1:24">
      <c r="A13981" s="27" t="s">
        <v>24994</v>
      </c>
      <c r="B13981" s="28" t="s">
        <v>24288</v>
      </c>
      <c r="C13981" s="27" t="s">
        <v>24995</v>
      </c>
      <c r="D13981" s="27" t="s">
        <v>17578</v>
      </c>
      <c r="E13981" s="29">
        <v>43714</v>
      </c>
      <c r="F13981" s="27">
        <v>7</v>
      </c>
      <c r="G13981" s="18">
        <v>0</v>
      </c>
      <c r="H13981" s="27">
        <f t="shared" si="436"/>
        <v>0</v>
      </c>
      <c r="I13981" s="18">
        <v>0</v>
      </c>
      <c r="J13981" s="27">
        <v>4129.2</v>
      </c>
      <c r="K13981" s="18">
        <f t="shared" si="437"/>
        <v>0</v>
      </c>
      <c r="L13981" s="27">
        <v>140.1</v>
      </c>
      <c r="M13981" s="36">
        <v>140.1</v>
      </c>
      <c r="N13981" s="18" t="s">
        <v>14637</v>
      </c>
      <c r="O13981" s="19">
        <v>4129.2</v>
      </c>
      <c r="T13981" s="41">
        <v>0</v>
      </c>
      <c r="U13981" s="41">
        <v>0</v>
      </c>
      <c r="V13981" s="42" t="s">
        <v>113</v>
      </c>
      <c r="W13981" s="42">
        <v>0</v>
      </c>
      <c r="X13981" s="42">
        <v>0</v>
      </c>
    </row>
    <row r="13982" spans="1:24">
      <c r="A13982" s="27" t="s">
        <v>24996</v>
      </c>
      <c r="B13982" s="28" t="s">
        <v>24288</v>
      </c>
      <c r="C13982" s="27" t="s">
        <v>24997</v>
      </c>
      <c r="D13982" s="27" t="s">
        <v>23622</v>
      </c>
      <c r="E13982" s="29">
        <v>43802</v>
      </c>
      <c r="F13982" s="27">
        <v>7</v>
      </c>
      <c r="G13982" s="18">
        <v>0</v>
      </c>
      <c r="H13982" s="27">
        <f t="shared" si="436"/>
        <v>0</v>
      </c>
      <c r="I13982" s="18">
        <v>0</v>
      </c>
      <c r="J13982" s="27">
        <v>5852.14</v>
      </c>
      <c r="K13982" s="18">
        <f t="shared" si="437"/>
        <v>0</v>
      </c>
      <c r="L13982" s="27">
        <v>0</v>
      </c>
      <c r="M13982" s="36">
        <v>0</v>
      </c>
      <c r="N13982" s="18" t="s">
        <v>14637</v>
      </c>
      <c r="O13982" s="19">
        <v>5852.14</v>
      </c>
      <c r="T13982" s="41">
        <v>0</v>
      </c>
      <c r="U13982" s="41">
        <v>0</v>
      </c>
      <c r="V13982" s="42" t="s">
        <v>113</v>
      </c>
      <c r="W13982" s="42">
        <v>0</v>
      </c>
      <c r="X13982" s="42">
        <v>0</v>
      </c>
    </row>
    <row r="13983" spans="1:24">
      <c r="A13983" s="27" t="s">
        <v>24998</v>
      </c>
      <c r="B13983" s="28" t="s">
        <v>24288</v>
      </c>
      <c r="C13983" s="27" t="s">
        <v>24999</v>
      </c>
      <c r="D13983" s="27" t="s">
        <v>23622</v>
      </c>
      <c r="E13983" s="29">
        <v>43802</v>
      </c>
      <c r="F13983" s="27">
        <v>7</v>
      </c>
      <c r="G13983" s="18">
        <v>0</v>
      </c>
      <c r="H13983" s="27">
        <f t="shared" si="436"/>
        <v>0</v>
      </c>
      <c r="I13983" s="18">
        <v>0</v>
      </c>
      <c r="J13983" s="27">
        <v>5852.14</v>
      </c>
      <c r="K13983" s="18">
        <f t="shared" si="437"/>
        <v>0</v>
      </c>
      <c r="L13983" s="27">
        <v>0</v>
      </c>
      <c r="M13983" s="36">
        <v>0</v>
      </c>
      <c r="N13983" s="18" t="s">
        <v>14637</v>
      </c>
      <c r="O13983" s="19">
        <v>5852.14</v>
      </c>
      <c r="T13983" s="41">
        <v>0</v>
      </c>
      <c r="U13983" s="41">
        <v>0</v>
      </c>
      <c r="V13983" s="42" t="s">
        <v>113</v>
      </c>
      <c r="W13983" s="42">
        <v>0</v>
      </c>
      <c r="X13983" s="42">
        <v>0</v>
      </c>
    </row>
    <row r="13984" spans="1:24">
      <c r="A13984" s="27" t="s">
        <v>25000</v>
      </c>
      <c r="B13984" s="28" t="s">
        <v>24288</v>
      </c>
      <c r="C13984" s="27" t="s">
        <v>25001</v>
      </c>
      <c r="D13984" s="27" t="s">
        <v>23622</v>
      </c>
      <c r="E13984" s="29">
        <v>43802</v>
      </c>
      <c r="F13984" s="27">
        <v>7</v>
      </c>
      <c r="G13984" s="18">
        <v>0</v>
      </c>
      <c r="H13984" s="27">
        <f t="shared" si="436"/>
        <v>0</v>
      </c>
      <c r="I13984" s="18">
        <v>0</v>
      </c>
      <c r="J13984" s="27">
        <v>5852.14</v>
      </c>
      <c r="K13984" s="18">
        <f t="shared" si="437"/>
        <v>0</v>
      </c>
      <c r="L13984" s="27">
        <v>0</v>
      </c>
      <c r="M13984" s="36">
        <v>0</v>
      </c>
      <c r="N13984" s="18" t="s">
        <v>14637</v>
      </c>
      <c r="O13984" s="19">
        <v>5852.14</v>
      </c>
      <c r="T13984" s="41">
        <v>0</v>
      </c>
      <c r="U13984" s="41">
        <v>0</v>
      </c>
      <c r="V13984" s="42" t="s">
        <v>113</v>
      </c>
      <c r="W13984" s="42">
        <v>0</v>
      </c>
      <c r="X13984" s="42">
        <v>0</v>
      </c>
    </row>
    <row r="13985" spans="1:24">
      <c r="A13985" s="27" t="s">
        <v>25002</v>
      </c>
      <c r="B13985" s="28" t="s">
        <v>24288</v>
      </c>
      <c r="C13985" s="27" t="s">
        <v>25001</v>
      </c>
      <c r="D13985" s="27" t="s">
        <v>23622</v>
      </c>
      <c r="E13985" s="29">
        <v>43802</v>
      </c>
      <c r="F13985" s="27">
        <v>7</v>
      </c>
      <c r="G13985" s="18">
        <v>0</v>
      </c>
      <c r="H13985" s="27">
        <f t="shared" si="436"/>
        <v>0</v>
      </c>
      <c r="I13985" s="18">
        <v>0</v>
      </c>
      <c r="J13985" s="27">
        <v>5852.14</v>
      </c>
      <c r="K13985" s="18">
        <f t="shared" si="437"/>
        <v>0</v>
      </c>
      <c r="L13985" s="27">
        <v>0</v>
      </c>
      <c r="M13985" s="36">
        <v>0</v>
      </c>
      <c r="N13985" s="18" t="s">
        <v>14637</v>
      </c>
      <c r="O13985" s="19">
        <v>5852.14</v>
      </c>
      <c r="T13985" s="41">
        <v>0</v>
      </c>
      <c r="U13985" s="41">
        <v>0</v>
      </c>
      <c r="V13985" s="42" t="s">
        <v>113</v>
      </c>
      <c r="W13985" s="42">
        <v>0</v>
      </c>
      <c r="X13985" s="42">
        <v>0</v>
      </c>
    </row>
    <row r="13986" spans="1:24">
      <c r="A13986" s="27" t="s">
        <v>25003</v>
      </c>
      <c r="B13986" s="28" t="s">
        <v>24288</v>
      </c>
      <c r="C13986" s="27" t="s">
        <v>25004</v>
      </c>
      <c r="D13986" s="27" t="s">
        <v>23622</v>
      </c>
      <c r="E13986" s="29">
        <v>43802</v>
      </c>
      <c r="F13986" s="27">
        <v>7</v>
      </c>
      <c r="G13986" s="18">
        <v>0</v>
      </c>
      <c r="H13986" s="27">
        <f t="shared" si="436"/>
        <v>0</v>
      </c>
      <c r="I13986" s="18">
        <v>0</v>
      </c>
      <c r="J13986" s="27">
        <v>5852.14</v>
      </c>
      <c r="K13986" s="18">
        <f t="shared" si="437"/>
        <v>0</v>
      </c>
      <c r="L13986" s="27">
        <v>0</v>
      </c>
      <c r="M13986" s="36">
        <v>0</v>
      </c>
      <c r="N13986" s="18" t="s">
        <v>14637</v>
      </c>
      <c r="O13986" s="19">
        <v>5852.14</v>
      </c>
      <c r="T13986" s="41">
        <v>0</v>
      </c>
      <c r="U13986" s="41">
        <v>0</v>
      </c>
      <c r="V13986" s="42" t="s">
        <v>113</v>
      </c>
      <c r="W13986" s="42">
        <v>0</v>
      </c>
      <c r="X13986" s="42">
        <v>0</v>
      </c>
    </row>
    <row r="13987" spans="1:24">
      <c r="A13987" s="27" t="s">
        <v>25005</v>
      </c>
      <c r="B13987" s="28" t="s">
        <v>25006</v>
      </c>
      <c r="C13987" s="27" t="s">
        <v>25007</v>
      </c>
      <c r="D13987" s="27" t="s">
        <v>17558</v>
      </c>
      <c r="E13987" s="29">
        <v>39783</v>
      </c>
      <c r="F13987" s="27">
        <v>6</v>
      </c>
      <c r="G13987" s="18">
        <v>143689</v>
      </c>
      <c r="H13987" s="27">
        <f t="shared" si="436"/>
        <v>143689</v>
      </c>
      <c r="I13987" s="18">
        <v>136504.54999999999</v>
      </c>
      <c r="J13987" s="27">
        <v>143689</v>
      </c>
      <c r="K13987" s="18">
        <f t="shared" si="437"/>
        <v>143689</v>
      </c>
      <c r="L13987" s="27">
        <v>136504.54999999999</v>
      </c>
      <c r="M13987" s="36">
        <v>0</v>
      </c>
      <c r="T13987" s="41">
        <v>0</v>
      </c>
      <c r="U13987" s="41">
        <v>0</v>
      </c>
      <c r="V13987" s="42" t="s">
        <v>113</v>
      </c>
      <c r="W13987" s="42">
        <v>143689</v>
      </c>
      <c r="X13987" s="42">
        <v>143689</v>
      </c>
    </row>
    <row r="13988" spans="1:24">
      <c r="A13988" s="27" t="s">
        <v>25008</v>
      </c>
      <c r="B13988" s="28" t="s">
        <v>25006</v>
      </c>
      <c r="C13988" s="27" t="s">
        <v>25009</v>
      </c>
      <c r="D13988" s="27" t="s">
        <v>17558</v>
      </c>
      <c r="E13988" s="29">
        <v>39783</v>
      </c>
      <c r="F13988" s="27">
        <v>6</v>
      </c>
      <c r="G13988" s="18">
        <v>143689</v>
      </c>
      <c r="H13988" s="27">
        <f t="shared" si="436"/>
        <v>143689</v>
      </c>
      <c r="I13988" s="18">
        <v>136504.54999999999</v>
      </c>
      <c r="J13988" s="27">
        <v>143689</v>
      </c>
      <c r="K13988" s="18">
        <f t="shared" si="437"/>
        <v>143689</v>
      </c>
      <c r="L13988" s="27">
        <v>136504.54999999999</v>
      </c>
      <c r="M13988" s="36">
        <v>0</v>
      </c>
      <c r="T13988" s="41">
        <v>0</v>
      </c>
      <c r="U13988" s="41">
        <v>0</v>
      </c>
      <c r="V13988" s="42" t="s">
        <v>113</v>
      </c>
      <c r="W13988" s="42">
        <v>143689</v>
      </c>
      <c r="X13988" s="42">
        <v>143689</v>
      </c>
    </row>
    <row r="13989" spans="1:24">
      <c r="A13989" s="27" t="s">
        <v>25010</v>
      </c>
      <c r="B13989" s="28" t="s">
        <v>25006</v>
      </c>
      <c r="C13989" s="27" t="s">
        <v>25011</v>
      </c>
      <c r="D13989" s="27" t="s">
        <v>17558</v>
      </c>
      <c r="E13989" s="29">
        <v>39783</v>
      </c>
      <c r="F13989" s="27">
        <v>6</v>
      </c>
      <c r="G13989" s="18">
        <v>181681</v>
      </c>
      <c r="H13989" s="27">
        <f t="shared" si="436"/>
        <v>181681</v>
      </c>
      <c r="I13989" s="18">
        <v>172596.95</v>
      </c>
      <c r="J13989" s="27">
        <v>181681</v>
      </c>
      <c r="K13989" s="18">
        <f t="shared" si="437"/>
        <v>181681</v>
      </c>
      <c r="L13989" s="27">
        <v>172596.95</v>
      </c>
      <c r="M13989" s="36">
        <v>0</v>
      </c>
      <c r="T13989" s="41">
        <v>0</v>
      </c>
      <c r="U13989" s="41">
        <v>0</v>
      </c>
      <c r="V13989" s="42" t="s">
        <v>113</v>
      </c>
      <c r="W13989" s="42">
        <v>181681</v>
      </c>
      <c r="X13989" s="42">
        <v>181681</v>
      </c>
    </row>
    <row r="13990" spans="1:24">
      <c r="A13990" s="27" t="s">
        <v>25012</v>
      </c>
      <c r="B13990" s="28" t="s">
        <v>25006</v>
      </c>
      <c r="C13990" s="27" t="s">
        <v>25013</v>
      </c>
      <c r="D13990" s="27" t="s">
        <v>17558</v>
      </c>
      <c r="E13990" s="29">
        <v>39783</v>
      </c>
      <c r="F13990" s="27">
        <v>6</v>
      </c>
      <c r="G13990" s="18">
        <v>181681</v>
      </c>
      <c r="H13990" s="27">
        <f t="shared" si="436"/>
        <v>181681</v>
      </c>
      <c r="I13990" s="18">
        <v>172596.95</v>
      </c>
      <c r="J13990" s="27">
        <v>181681</v>
      </c>
      <c r="K13990" s="18">
        <f t="shared" si="437"/>
        <v>181681</v>
      </c>
      <c r="L13990" s="27">
        <v>172596.95</v>
      </c>
      <c r="M13990" s="36">
        <v>0</v>
      </c>
      <c r="T13990" s="41">
        <v>0</v>
      </c>
      <c r="U13990" s="41">
        <v>0</v>
      </c>
      <c r="V13990" s="42" t="s">
        <v>113</v>
      </c>
      <c r="W13990" s="42">
        <v>181681</v>
      </c>
      <c r="X13990" s="42">
        <v>181681</v>
      </c>
    </row>
    <row r="13991" spans="1:24">
      <c r="A13991" s="27" t="s">
        <v>25014</v>
      </c>
      <c r="B13991" s="28" t="s">
        <v>25006</v>
      </c>
      <c r="C13991" s="27" t="s">
        <v>25015</v>
      </c>
      <c r="D13991" s="27" t="s">
        <v>17558</v>
      </c>
      <c r="E13991" s="29">
        <v>39783</v>
      </c>
      <c r="F13991" s="27">
        <v>6</v>
      </c>
      <c r="G13991" s="18">
        <v>135483</v>
      </c>
      <c r="H13991" s="27">
        <f t="shared" si="436"/>
        <v>135483</v>
      </c>
      <c r="I13991" s="18">
        <v>128708.85</v>
      </c>
      <c r="J13991" s="27">
        <v>0</v>
      </c>
      <c r="K13991" s="18">
        <f t="shared" si="437"/>
        <v>0</v>
      </c>
      <c r="L13991" s="27">
        <v>0</v>
      </c>
      <c r="M13991" s="36">
        <v>0</v>
      </c>
      <c r="Q13991" s="16" t="s">
        <v>19522</v>
      </c>
      <c r="R13991" s="16">
        <v>135483</v>
      </c>
      <c r="S13991" s="16">
        <v>128708.85</v>
      </c>
      <c r="T13991" s="41">
        <v>0</v>
      </c>
      <c r="U13991" s="41">
        <v>0</v>
      </c>
      <c r="V13991" s="42" t="s">
        <v>113</v>
      </c>
      <c r="W13991" s="42">
        <v>0</v>
      </c>
      <c r="X13991" s="42">
        <v>0</v>
      </c>
    </row>
    <row r="13992" spans="1:24">
      <c r="A13992" s="27" t="s">
        <v>25016</v>
      </c>
      <c r="B13992" s="28" t="s">
        <v>25006</v>
      </c>
      <c r="C13992" s="27" t="s">
        <v>25017</v>
      </c>
      <c r="D13992" s="27" t="s">
        <v>17558</v>
      </c>
      <c r="E13992" s="29">
        <v>39783</v>
      </c>
      <c r="F13992" s="27">
        <v>6</v>
      </c>
      <c r="G13992" s="18">
        <v>135483</v>
      </c>
      <c r="H13992" s="27">
        <f t="shared" si="436"/>
        <v>135483</v>
      </c>
      <c r="I13992" s="18">
        <v>128708.85</v>
      </c>
      <c r="J13992" s="27">
        <v>0</v>
      </c>
      <c r="K13992" s="18">
        <f t="shared" si="437"/>
        <v>0</v>
      </c>
      <c r="L13992" s="27">
        <v>0</v>
      </c>
      <c r="M13992" s="36">
        <v>0</v>
      </c>
      <c r="Q13992" s="16" t="s">
        <v>19522</v>
      </c>
      <c r="R13992" s="16">
        <v>135483</v>
      </c>
      <c r="S13992" s="16">
        <v>128708.85</v>
      </c>
      <c r="T13992" s="41">
        <v>0</v>
      </c>
      <c r="U13992" s="41">
        <v>0</v>
      </c>
      <c r="V13992" s="42" t="s">
        <v>113</v>
      </c>
      <c r="W13992" s="42">
        <v>0</v>
      </c>
      <c r="X13992" s="42">
        <v>0</v>
      </c>
    </row>
    <row r="13993" spans="1:24">
      <c r="A13993" s="27" t="s">
        <v>25018</v>
      </c>
      <c r="B13993" s="28" t="s">
        <v>25006</v>
      </c>
      <c r="C13993" s="27" t="s">
        <v>25019</v>
      </c>
      <c r="D13993" s="27" t="s">
        <v>17558</v>
      </c>
      <c r="E13993" s="29">
        <v>39783</v>
      </c>
      <c r="F13993" s="27">
        <v>6</v>
      </c>
      <c r="G13993" s="18">
        <v>181681</v>
      </c>
      <c r="H13993" s="27">
        <f t="shared" si="436"/>
        <v>181681</v>
      </c>
      <c r="I13993" s="18">
        <v>172596.95</v>
      </c>
      <c r="J13993" s="27">
        <v>181681</v>
      </c>
      <c r="K13993" s="18">
        <f t="shared" si="437"/>
        <v>181681</v>
      </c>
      <c r="L13993" s="27">
        <v>172596.95</v>
      </c>
      <c r="M13993" s="36">
        <v>0</v>
      </c>
      <c r="T13993" s="41">
        <v>0</v>
      </c>
      <c r="U13993" s="41">
        <v>0</v>
      </c>
      <c r="V13993" s="42" t="s">
        <v>113</v>
      </c>
      <c r="W13993" s="42">
        <v>181681</v>
      </c>
      <c r="X13993" s="42">
        <v>181681</v>
      </c>
    </row>
    <row r="13994" spans="1:24">
      <c r="A13994" s="27" t="s">
        <v>25020</v>
      </c>
      <c r="B13994" s="28" t="s">
        <v>25006</v>
      </c>
      <c r="C13994" s="27" t="s">
        <v>25021</v>
      </c>
      <c r="D13994" s="27" t="s">
        <v>17558</v>
      </c>
      <c r="E13994" s="29">
        <v>39783</v>
      </c>
      <c r="F13994" s="27">
        <v>6</v>
      </c>
      <c r="G13994" s="18">
        <v>143689</v>
      </c>
      <c r="H13994" s="27">
        <f t="shared" si="436"/>
        <v>143689</v>
      </c>
      <c r="I13994" s="18">
        <v>136504.54999999999</v>
      </c>
      <c r="J13994" s="27">
        <v>143689</v>
      </c>
      <c r="K13994" s="18">
        <f t="shared" si="437"/>
        <v>143689</v>
      </c>
      <c r="L13994" s="27">
        <v>136504.54999999999</v>
      </c>
      <c r="M13994" s="36">
        <v>0</v>
      </c>
      <c r="T13994" s="41">
        <v>0</v>
      </c>
      <c r="U13994" s="41">
        <v>0</v>
      </c>
      <c r="V13994" s="42" t="s">
        <v>113</v>
      </c>
      <c r="W13994" s="42">
        <v>143689</v>
      </c>
      <c r="X13994" s="42">
        <v>143689</v>
      </c>
    </row>
    <row r="13995" spans="1:24">
      <c r="A13995" s="27" t="s">
        <v>25022</v>
      </c>
      <c r="B13995" s="28" t="s">
        <v>25006</v>
      </c>
      <c r="C13995" s="27" t="s">
        <v>25023</v>
      </c>
      <c r="D13995" s="27" t="s">
        <v>17558</v>
      </c>
      <c r="E13995" s="29">
        <v>37377</v>
      </c>
      <c r="F13995" s="27">
        <v>6</v>
      </c>
      <c r="G13995" s="18">
        <v>3719.87</v>
      </c>
      <c r="H13995" s="27">
        <f t="shared" si="436"/>
        <v>3719.87</v>
      </c>
      <c r="I13995" s="18">
        <v>3719.87</v>
      </c>
      <c r="J13995" s="27">
        <v>3719.87</v>
      </c>
      <c r="K13995" s="18">
        <f t="shared" si="437"/>
        <v>3719.87</v>
      </c>
      <c r="L13995" s="27">
        <v>3719.87</v>
      </c>
      <c r="M13995" s="36">
        <v>0</v>
      </c>
      <c r="T13995" s="41">
        <v>0</v>
      </c>
      <c r="U13995" s="41">
        <v>0</v>
      </c>
      <c r="V13995" s="42" t="s">
        <v>113</v>
      </c>
      <c r="W13995" s="42">
        <v>3719.87</v>
      </c>
      <c r="X13995" s="42">
        <v>3719.87</v>
      </c>
    </row>
    <row r="13996" spans="1:24">
      <c r="A13996" s="27" t="s">
        <v>25024</v>
      </c>
      <c r="B13996" s="28" t="s">
        <v>25006</v>
      </c>
      <c r="C13996" s="27" t="s">
        <v>25025</v>
      </c>
      <c r="D13996" s="27" t="s">
        <v>17558</v>
      </c>
      <c r="E13996" s="29">
        <v>39783</v>
      </c>
      <c r="F13996" s="27">
        <v>6</v>
      </c>
      <c r="G13996" s="18">
        <v>181681</v>
      </c>
      <c r="H13996" s="27">
        <f t="shared" si="436"/>
        <v>181681</v>
      </c>
      <c r="I13996" s="18">
        <v>172596.95</v>
      </c>
      <c r="J13996" s="27">
        <v>181681</v>
      </c>
      <c r="K13996" s="18">
        <f t="shared" si="437"/>
        <v>181681</v>
      </c>
      <c r="L13996" s="27">
        <v>172596.95</v>
      </c>
      <c r="M13996" s="36">
        <v>0</v>
      </c>
      <c r="T13996" s="41">
        <v>0</v>
      </c>
      <c r="U13996" s="41">
        <v>0</v>
      </c>
      <c r="V13996" s="42" t="s">
        <v>113</v>
      </c>
      <c r="W13996" s="42">
        <v>181681</v>
      </c>
      <c r="X13996" s="42">
        <v>181681</v>
      </c>
    </row>
    <row r="13997" spans="1:24">
      <c r="A13997" s="27" t="s">
        <v>25026</v>
      </c>
      <c r="B13997" s="28" t="s">
        <v>25006</v>
      </c>
      <c r="C13997" s="27" t="s">
        <v>25027</v>
      </c>
      <c r="D13997" s="27" t="s">
        <v>17558</v>
      </c>
      <c r="E13997" s="29">
        <v>39783</v>
      </c>
      <c r="F13997" s="27">
        <v>6</v>
      </c>
      <c r="G13997" s="18">
        <v>181681</v>
      </c>
      <c r="H13997" s="27">
        <f t="shared" si="436"/>
        <v>181681</v>
      </c>
      <c r="I13997" s="18">
        <v>172596.95</v>
      </c>
      <c r="J13997" s="27">
        <v>181681</v>
      </c>
      <c r="K13997" s="18">
        <f t="shared" si="437"/>
        <v>181681</v>
      </c>
      <c r="L13997" s="27">
        <v>172596.95</v>
      </c>
      <c r="M13997" s="36">
        <v>0</v>
      </c>
      <c r="T13997" s="41">
        <v>0</v>
      </c>
      <c r="U13997" s="41">
        <v>0</v>
      </c>
      <c r="V13997" s="42" t="s">
        <v>113</v>
      </c>
      <c r="W13997" s="42">
        <v>181681</v>
      </c>
      <c r="X13997" s="42">
        <v>181681</v>
      </c>
    </row>
    <row r="13998" spans="1:24">
      <c r="A13998" s="27" t="s">
        <v>25028</v>
      </c>
      <c r="B13998" s="28" t="s">
        <v>25006</v>
      </c>
      <c r="C13998" s="27" t="s">
        <v>25029</v>
      </c>
      <c r="D13998" s="27" t="s">
        <v>17558</v>
      </c>
      <c r="E13998" s="29">
        <v>36281</v>
      </c>
      <c r="F13998" s="27">
        <v>6</v>
      </c>
      <c r="G13998" s="18">
        <v>10881.16</v>
      </c>
      <c r="H13998" s="27">
        <f t="shared" si="436"/>
        <v>10881.16</v>
      </c>
      <c r="I13998" s="18">
        <v>10337.1</v>
      </c>
      <c r="J13998" s="27">
        <v>10881.16</v>
      </c>
      <c r="K13998" s="18">
        <f t="shared" si="437"/>
        <v>10881.16</v>
      </c>
      <c r="L13998" s="27">
        <v>10337.1</v>
      </c>
      <c r="M13998" s="36">
        <v>0</v>
      </c>
      <c r="T13998" s="41">
        <v>0</v>
      </c>
      <c r="U13998" s="41">
        <v>0</v>
      </c>
      <c r="V13998" s="42" t="s">
        <v>113</v>
      </c>
      <c r="W13998" s="42">
        <v>10881.16</v>
      </c>
      <c r="X13998" s="42">
        <v>10881.16</v>
      </c>
    </row>
    <row r="13999" spans="1:24">
      <c r="A13999" s="27" t="s">
        <v>25030</v>
      </c>
      <c r="B13999" s="28" t="s">
        <v>25006</v>
      </c>
      <c r="C13999" s="27" t="s">
        <v>25031</v>
      </c>
      <c r="D13999" s="27" t="s">
        <v>17558</v>
      </c>
      <c r="E13999" s="29">
        <v>39783</v>
      </c>
      <c r="F13999" s="27">
        <v>6</v>
      </c>
      <c r="G13999" s="18">
        <v>143689</v>
      </c>
      <c r="H13999" s="27">
        <f t="shared" si="436"/>
        <v>143689</v>
      </c>
      <c r="I13999" s="18">
        <v>136504.54999999999</v>
      </c>
      <c r="J13999" s="27">
        <v>143689</v>
      </c>
      <c r="K13999" s="18">
        <f t="shared" si="437"/>
        <v>143689</v>
      </c>
      <c r="L13999" s="27">
        <v>136504.54999999999</v>
      </c>
      <c r="M13999" s="36">
        <v>0</v>
      </c>
      <c r="T13999" s="41">
        <v>0</v>
      </c>
      <c r="U13999" s="41">
        <v>0</v>
      </c>
      <c r="V13999" s="42" t="s">
        <v>113</v>
      </c>
      <c r="W13999" s="42">
        <v>143689</v>
      </c>
      <c r="X13999" s="42">
        <v>143689</v>
      </c>
    </row>
    <row r="14000" spans="1:24">
      <c r="A14000" s="27" t="s">
        <v>25032</v>
      </c>
      <c r="B14000" s="28" t="s">
        <v>25006</v>
      </c>
      <c r="C14000" s="27" t="s">
        <v>25033</v>
      </c>
      <c r="D14000" s="27" t="s">
        <v>17558</v>
      </c>
      <c r="E14000" s="29">
        <v>41129</v>
      </c>
      <c r="F14000" s="27">
        <v>6</v>
      </c>
      <c r="G14000" s="18">
        <v>273058</v>
      </c>
      <c r="H14000" s="27">
        <f t="shared" si="436"/>
        <v>273058</v>
      </c>
      <c r="I14000" s="18">
        <v>259405.1</v>
      </c>
      <c r="J14000" s="27">
        <v>273058</v>
      </c>
      <c r="K14000" s="18">
        <f t="shared" si="437"/>
        <v>273058</v>
      </c>
      <c r="L14000" s="27">
        <v>259405.1</v>
      </c>
      <c r="M14000" s="36">
        <v>0</v>
      </c>
      <c r="T14000" s="41">
        <v>0</v>
      </c>
      <c r="U14000" s="41">
        <v>0</v>
      </c>
      <c r="V14000" s="42" t="s">
        <v>113</v>
      </c>
      <c r="W14000" s="42">
        <v>273058</v>
      </c>
      <c r="X14000" s="42">
        <v>273058</v>
      </c>
    </row>
    <row r="14001" spans="1:24">
      <c r="A14001" s="27" t="s">
        <v>25034</v>
      </c>
      <c r="B14001" s="28" t="s">
        <v>25006</v>
      </c>
      <c r="C14001" s="27" t="s">
        <v>25035</v>
      </c>
      <c r="D14001" s="27" t="s">
        <v>17558</v>
      </c>
      <c r="E14001" s="29">
        <v>41136</v>
      </c>
      <c r="F14001" s="27">
        <v>6</v>
      </c>
      <c r="G14001" s="18">
        <v>290269.14</v>
      </c>
      <c r="H14001" s="27">
        <f t="shared" si="436"/>
        <v>290269.14</v>
      </c>
      <c r="I14001" s="18">
        <v>275755.68</v>
      </c>
      <c r="J14001" s="27">
        <v>290269.14</v>
      </c>
      <c r="K14001" s="18">
        <f t="shared" si="437"/>
        <v>290269.14</v>
      </c>
      <c r="L14001" s="27">
        <v>275755.68</v>
      </c>
      <c r="M14001" s="36">
        <v>0</v>
      </c>
      <c r="T14001" s="41">
        <v>0</v>
      </c>
      <c r="U14001" s="41">
        <v>0</v>
      </c>
      <c r="V14001" s="42" t="s">
        <v>113</v>
      </c>
      <c r="W14001" s="42">
        <v>290269.14</v>
      </c>
      <c r="X14001" s="42">
        <v>290269.14</v>
      </c>
    </row>
    <row r="14002" spans="1:24">
      <c r="A14002" s="27" t="s">
        <v>25036</v>
      </c>
      <c r="B14002" s="28" t="s">
        <v>25006</v>
      </c>
      <c r="C14002" s="27" t="s">
        <v>25037</v>
      </c>
      <c r="D14002" s="27" t="s">
        <v>17558</v>
      </c>
      <c r="E14002" s="29">
        <v>41724</v>
      </c>
      <c r="F14002" s="27">
        <v>6</v>
      </c>
      <c r="G14002" s="18">
        <v>123526</v>
      </c>
      <c r="H14002" s="27">
        <f t="shared" si="436"/>
        <v>0</v>
      </c>
      <c r="I14002" s="18">
        <v>90086.48</v>
      </c>
      <c r="J14002" s="27">
        <v>123526</v>
      </c>
      <c r="K14002" s="18">
        <f t="shared" si="437"/>
        <v>0</v>
      </c>
      <c r="L14002" s="27">
        <v>111897.06</v>
      </c>
      <c r="M14002" s="36">
        <v>21810.58</v>
      </c>
      <c r="T14002" s="41">
        <v>0</v>
      </c>
      <c r="U14002" s="41">
        <v>0</v>
      </c>
      <c r="V14002" s="42" t="s">
        <v>113</v>
      </c>
      <c r="W14002" s="42">
        <v>123526</v>
      </c>
      <c r="X14002" s="42">
        <v>123526</v>
      </c>
    </row>
    <row r="14003" spans="1:24">
      <c r="A14003" s="27" t="s">
        <v>25038</v>
      </c>
      <c r="B14003" s="28" t="s">
        <v>25006</v>
      </c>
      <c r="C14003" s="27" t="s">
        <v>25039</v>
      </c>
      <c r="D14003" s="27" t="s">
        <v>17558</v>
      </c>
      <c r="E14003" s="29">
        <v>39782</v>
      </c>
      <c r="F14003" s="27">
        <v>6</v>
      </c>
      <c r="G14003" s="18">
        <v>105400</v>
      </c>
      <c r="H14003" s="27">
        <f t="shared" si="436"/>
        <v>105400</v>
      </c>
      <c r="I14003" s="18">
        <v>100130</v>
      </c>
      <c r="J14003" s="27">
        <v>132400</v>
      </c>
      <c r="K14003" s="18">
        <f t="shared" si="437"/>
        <v>132400</v>
      </c>
      <c r="L14003" s="27">
        <v>125780</v>
      </c>
      <c r="M14003" s="36">
        <v>0</v>
      </c>
      <c r="N14003" s="18" t="s">
        <v>21306</v>
      </c>
      <c r="O14003" s="19">
        <v>27000</v>
      </c>
      <c r="P14003" s="47">
        <v>25650</v>
      </c>
      <c r="T14003" s="41">
        <v>0</v>
      </c>
      <c r="U14003" s="41">
        <v>0</v>
      </c>
      <c r="V14003" s="42" t="s">
        <v>113</v>
      </c>
      <c r="W14003" s="42">
        <v>132400</v>
      </c>
      <c r="X14003" s="42">
        <v>132400</v>
      </c>
    </row>
    <row r="14004" spans="1:24">
      <c r="A14004" s="27" t="s">
        <v>25040</v>
      </c>
      <c r="B14004" s="28" t="s">
        <v>25006</v>
      </c>
      <c r="C14004" s="27" t="s">
        <v>25041</v>
      </c>
      <c r="D14004" s="27" t="s">
        <v>17558</v>
      </c>
      <c r="E14004" s="29">
        <v>39782</v>
      </c>
      <c r="F14004" s="27">
        <v>6</v>
      </c>
      <c r="G14004" s="18">
        <v>105400</v>
      </c>
      <c r="H14004" s="27">
        <f t="shared" si="436"/>
        <v>105400</v>
      </c>
      <c r="I14004" s="18">
        <v>100130</v>
      </c>
      <c r="J14004" s="27">
        <v>132400</v>
      </c>
      <c r="K14004" s="18">
        <f t="shared" si="437"/>
        <v>132400</v>
      </c>
      <c r="L14004" s="27">
        <v>125780</v>
      </c>
      <c r="M14004" s="36">
        <v>0</v>
      </c>
      <c r="N14004" s="18" t="s">
        <v>21306</v>
      </c>
      <c r="O14004" s="19">
        <v>27000</v>
      </c>
      <c r="P14004" s="47">
        <v>25650</v>
      </c>
      <c r="T14004" s="41">
        <v>0</v>
      </c>
      <c r="U14004" s="41">
        <v>0</v>
      </c>
      <c r="V14004" s="42" t="s">
        <v>113</v>
      </c>
      <c r="W14004" s="42">
        <v>132400</v>
      </c>
      <c r="X14004" s="42">
        <v>132400</v>
      </c>
    </row>
    <row r="14005" spans="1:24">
      <c r="A14005" s="27" t="s">
        <v>25042</v>
      </c>
      <c r="B14005" s="28" t="s">
        <v>25006</v>
      </c>
      <c r="C14005" s="27" t="s">
        <v>25043</v>
      </c>
      <c r="D14005" s="27" t="s">
        <v>17558</v>
      </c>
      <c r="E14005" s="29">
        <v>39813</v>
      </c>
      <c r="F14005" s="27">
        <v>6</v>
      </c>
      <c r="G14005" s="18">
        <v>173800</v>
      </c>
      <c r="H14005" s="27">
        <f t="shared" si="436"/>
        <v>173800</v>
      </c>
      <c r="I14005" s="18">
        <v>165110</v>
      </c>
      <c r="J14005" s="27">
        <v>173800</v>
      </c>
      <c r="K14005" s="18">
        <f t="shared" si="437"/>
        <v>173800</v>
      </c>
      <c r="L14005" s="27">
        <v>165110</v>
      </c>
      <c r="M14005" s="36">
        <v>0</v>
      </c>
      <c r="T14005" s="41">
        <v>0</v>
      </c>
      <c r="U14005" s="41">
        <v>0</v>
      </c>
      <c r="V14005" s="42" t="s">
        <v>113</v>
      </c>
      <c r="W14005" s="42">
        <v>173800</v>
      </c>
      <c r="X14005" s="42">
        <v>173800</v>
      </c>
    </row>
    <row r="14006" spans="1:24">
      <c r="A14006" s="27" t="s">
        <v>25044</v>
      </c>
      <c r="B14006" s="28" t="s">
        <v>25006</v>
      </c>
      <c r="C14006" s="27" t="s">
        <v>25045</v>
      </c>
      <c r="D14006" s="27" t="s">
        <v>17558</v>
      </c>
      <c r="E14006" s="29">
        <v>39813</v>
      </c>
      <c r="F14006" s="27">
        <v>6</v>
      </c>
      <c r="G14006" s="18">
        <v>173800</v>
      </c>
      <c r="H14006" s="27">
        <f t="shared" si="436"/>
        <v>173800</v>
      </c>
      <c r="I14006" s="18">
        <v>165110</v>
      </c>
      <c r="J14006" s="27">
        <v>173800</v>
      </c>
      <c r="K14006" s="18">
        <f t="shared" si="437"/>
        <v>173800</v>
      </c>
      <c r="L14006" s="27">
        <v>165110</v>
      </c>
      <c r="M14006" s="36">
        <v>0</v>
      </c>
      <c r="T14006" s="41">
        <v>0</v>
      </c>
      <c r="U14006" s="41">
        <v>0</v>
      </c>
      <c r="V14006" s="42" t="s">
        <v>113</v>
      </c>
      <c r="W14006" s="42">
        <v>173800</v>
      </c>
      <c r="X14006" s="42">
        <v>173800</v>
      </c>
    </row>
    <row r="14007" spans="1:24">
      <c r="A14007" s="27" t="s">
        <v>25046</v>
      </c>
      <c r="B14007" s="28" t="s">
        <v>25006</v>
      </c>
      <c r="C14007" s="27" t="s">
        <v>25047</v>
      </c>
      <c r="D14007" s="27" t="s">
        <v>17558</v>
      </c>
      <c r="E14007" s="29">
        <v>39782</v>
      </c>
      <c r="F14007" s="27">
        <v>6</v>
      </c>
      <c r="G14007" s="18">
        <v>105400</v>
      </c>
      <c r="H14007" s="27">
        <f t="shared" si="436"/>
        <v>105400</v>
      </c>
      <c r="I14007" s="18">
        <v>100130</v>
      </c>
      <c r="J14007" s="27">
        <v>132400</v>
      </c>
      <c r="K14007" s="18">
        <f t="shared" si="437"/>
        <v>132400</v>
      </c>
      <c r="L14007" s="27">
        <v>125780</v>
      </c>
      <c r="M14007" s="36">
        <v>0</v>
      </c>
      <c r="N14007" s="18" t="s">
        <v>21306</v>
      </c>
      <c r="O14007" s="19">
        <v>27000</v>
      </c>
      <c r="P14007" s="47">
        <v>25650</v>
      </c>
      <c r="T14007" s="41">
        <v>0</v>
      </c>
      <c r="U14007" s="41">
        <v>0</v>
      </c>
      <c r="V14007" s="42" t="s">
        <v>113</v>
      </c>
      <c r="W14007" s="42">
        <v>132400</v>
      </c>
      <c r="X14007" s="42">
        <v>132400</v>
      </c>
    </row>
    <row r="14008" spans="1:24">
      <c r="A14008" s="27" t="s">
        <v>25048</v>
      </c>
      <c r="B14008" s="28" t="s">
        <v>25006</v>
      </c>
      <c r="C14008" s="27" t="s">
        <v>25049</v>
      </c>
      <c r="D14008" s="27" t="s">
        <v>17558</v>
      </c>
      <c r="E14008" s="29">
        <v>39782</v>
      </c>
      <c r="F14008" s="27">
        <v>6</v>
      </c>
      <c r="G14008" s="18">
        <v>105400</v>
      </c>
      <c r="H14008" s="27">
        <f t="shared" si="436"/>
        <v>105400</v>
      </c>
      <c r="I14008" s="18">
        <v>100130</v>
      </c>
      <c r="J14008" s="27">
        <v>132400</v>
      </c>
      <c r="K14008" s="18">
        <f t="shared" si="437"/>
        <v>132400</v>
      </c>
      <c r="L14008" s="27">
        <v>125780</v>
      </c>
      <c r="M14008" s="36">
        <v>0</v>
      </c>
      <c r="N14008" s="18" t="s">
        <v>21306</v>
      </c>
      <c r="O14008" s="19">
        <v>27000</v>
      </c>
      <c r="P14008" s="47">
        <v>25650</v>
      </c>
      <c r="T14008" s="41">
        <v>0</v>
      </c>
      <c r="U14008" s="41">
        <v>0</v>
      </c>
      <c r="V14008" s="42" t="s">
        <v>113</v>
      </c>
      <c r="W14008" s="42">
        <v>132400</v>
      </c>
      <c r="X14008" s="42">
        <v>132400</v>
      </c>
    </row>
    <row r="14009" spans="1:24">
      <c r="A14009" s="27" t="s">
        <v>25050</v>
      </c>
      <c r="B14009" s="28" t="s">
        <v>25006</v>
      </c>
      <c r="C14009" s="27" t="s">
        <v>25051</v>
      </c>
      <c r="D14009" s="27" t="s">
        <v>17558</v>
      </c>
      <c r="E14009" s="29">
        <v>39813</v>
      </c>
      <c r="F14009" s="27">
        <v>6</v>
      </c>
      <c r="G14009" s="18">
        <v>173800</v>
      </c>
      <c r="H14009" s="27">
        <f t="shared" si="436"/>
        <v>173800</v>
      </c>
      <c r="I14009" s="18">
        <v>165110</v>
      </c>
      <c r="J14009" s="27">
        <v>173800</v>
      </c>
      <c r="K14009" s="18">
        <f t="shared" si="437"/>
        <v>173800</v>
      </c>
      <c r="L14009" s="27">
        <v>165110</v>
      </c>
      <c r="M14009" s="36">
        <v>0</v>
      </c>
      <c r="T14009" s="41">
        <v>0</v>
      </c>
      <c r="U14009" s="41">
        <v>0</v>
      </c>
      <c r="V14009" s="42" t="s">
        <v>113</v>
      </c>
      <c r="W14009" s="42">
        <v>173800</v>
      </c>
      <c r="X14009" s="42">
        <v>173800</v>
      </c>
    </row>
    <row r="14010" spans="1:24">
      <c r="A14010" s="27" t="s">
        <v>25052</v>
      </c>
      <c r="B14010" s="28" t="s">
        <v>25006</v>
      </c>
      <c r="C14010" s="27" t="s">
        <v>25053</v>
      </c>
      <c r="D14010" s="27" t="s">
        <v>17558</v>
      </c>
      <c r="E14010" s="29">
        <v>37590</v>
      </c>
      <c r="F14010" s="27">
        <v>6</v>
      </c>
      <c r="G14010" s="18">
        <v>105400</v>
      </c>
      <c r="H14010" s="27">
        <f t="shared" si="436"/>
        <v>105400</v>
      </c>
      <c r="I14010" s="18">
        <v>100130</v>
      </c>
      <c r="J14010" s="27">
        <v>132400</v>
      </c>
      <c r="K14010" s="18">
        <f t="shared" si="437"/>
        <v>132400</v>
      </c>
      <c r="L14010" s="27">
        <v>125780</v>
      </c>
      <c r="M14010" s="36">
        <v>0</v>
      </c>
      <c r="N14010" s="18" t="s">
        <v>21306</v>
      </c>
      <c r="O14010" s="19">
        <v>27000</v>
      </c>
      <c r="P14010" s="47">
        <v>25650</v>
      </c>
      <c r="T14010" s="41">
        <v>0</v>
      </c>
      <c r="U14010" s="41">
        <v>0</v>
      </c>
      <c r="V14010" s="42" t="s">
        <v>113</v>
      </c>
      <c r="W14010" s="42">
        <v>132400</v>
      </c>
      <c r="X14010" s="42">
        <v>132400</v>
      </c>
    </row>
    <row r="14011" spans="1:24">
      <c r="A14011" s="27" t="s">
        <v>25054</v>
      </c>
      <c r="B14011" s="28" t="s">
        <v>25006</v>
      </c>
      <c r="C14011" s="27" t="s">
        <v>25055</v>
      </c>
      <c r="D14011" s="27" t="s">
        <v>17558</v>
      </c>
      <c r="E14011" s="29">
        <v>39782</v>
      </c>
      <c r="F14011" s="27">
        <v>6</v>
      </c>
      <c r="G14011" s="18">
        <v>125300</v>
      </c>
      <c r="H14011" s="27">
        <f t="shared" si="436"/>
        <v>125300</v>
      </c>
      <c r="I14011" s="18">
        <v>119035</v>
      </c>
      <c r="J14011" s="27">
        <v>126400</v>
      </c>
      <c r="K14011" s="18">
        <f t="shared" si="437"/>
        <v>126400</v>
      </c>
      <c r="L14011" s="27">
        <v>120080</v>
      </c>
      <c r="M14011" s="36">
        <v>0</v>
      </c>
      <c r="N14011" s="18" t="s">
        <v>21306</v>
      </c>
      <c r="O14011" s="19">
        <v>1100</v>
      </c>
      <c r="P14011" s="47">
        <v>1045</v>
      </c>
      <c r="T14011" s="41">
        <v>0</v>
      </c>
      <c r="U14011" s="41">
        <v>0</v>
      </c>
      <c r="V14011" s="42" t="s">
        <v>113</v>
      </c>
      <c r="W14011" s="42">
        <v>126400</v>
      </c>
      <c r="X14011" s="42">
        <v>126400</v>
      </c>
    </row>
    <row r="14012" spans="1:24">
      <c r="A14012" s="27" t="s">
        <v>25056</v>
      </c>
      <c r="B14012" s="28" t="s">
        <v>25006</v>
      </c>
      <c r="C14012" s="27" t="s">
        <v>25057</v>
      </c>
      <c r="D14012" s="27" t="s">
        <v>17558</v>
      </c>
      <c r="E14012" s="29">
        <v>39782</v>
      </c>
      <c r="F14012" s="27">
        <v>6</v>
      </c>
      <c r="G14012" s="18">
        <v>105400</v>
      </c>
      <c r="H14012" s="27">
        <f t="shared" si="436"/>
        <v>105400</v>
      </c>
      <c r="I14012" s="18">
        <v>100130</v>
      </c>
      <c r="J14012" s="27">
        <v>132400</v>
      </c>
      <c r="K14012" s="18">
        <f t="shared" si="437"/>
        <v>132400</v>
      </c>
      <c r="L14012" s="27">
        <v>125780</v>
      </c>
      <c r="M14012" s="36">
        <v>0</v>
      </c>
      <c r="N14012" s="18" t="s">
        <v>21306</v>
      </c>
      <c r="O14012" s="19">
        <v>27000</v>
      </c>
      <c r="P14012" s="47">
        <v>25650</v>
      </c>
      <c r="T14012" s="41">
        <v>0</v>
      </c>
      <c r="U14012" s="41">
        <v>0</v>
      </c>
      <c r="V14012" s="42" t="s">
        <v>113</v>
      </c>
      <c r="W14012" s="42">
        <v>132400</v>
      </c>
      <c r="X14012" s="42">
        <v>132400</v>
      </c>
    </row>
    <row r="14013" spans="1:24">
      <c r="A14013" s="27" t="s">
        <v>25058</v>
      </c>
      <c r="B14013" s="28" t="s">
        <v>25006</v>
      </c>
      <c r="C14013" s="27" t="s">
        <v>25059</v>
      </c>
      <c r="D14013" s="27" t="s">
        <v>17558</v>
      </c>
      <c r="E14013" s="29">
        <v>39782</v>
      </c>
      <c r="F14013" s="27">
        <v>6</v>
      </c>
      <c r="G14013" s="18">
        <v>105400</v>
      </c>
      <c r="H14013" s="27">
        <f t="shared" si="436"/>
        <v>105400</v>
      </c>
      <c r="I14013" s="18">
        <v>100130</v>
      </c>
      <c r="J14013" s="27">
        <v>132400</v>
      </c>
      <c r="K14013" s="18">
        <f t="shared" si="437"/>
        <v>132400</v>
      </c>
      <c r="L14013" s="27">
        <v>125780</v>
      </c>
      <c r="M14013" s="36">
        <v>0</v>
      </c>
      <c r="N14013" s="18" t="s">
        <v>21306</v>
      </c>
      <c r="O14013" s="19">
        <v>27000</v>
      </c>
      <c r="P14013" s="47">
        <v>25650</v>
      </c>
      <c r="T14013" s="41">
        <v>0</v>
      </c>
      <c r="U14013" s="41">
        <v>0</v>
      </c>
      <c r="V14013" s="42" t="s">
        <v>113</v>
      </c>
      <c r="W14013" s="42">
        <v>132400</v>
      </c>
      <c r="X14013" s="42">
        <v>132400</v>
      </c>
    </row>
    <row r="14014" spans="1:24">
      <c r="A14014" s="27" t="s">
        <v>25060</v>
      </c>
      <c r="B14014" s="28" t="s">
        <v>25006</v>
      </c>
      <c r="C14014" s="27" t="s">
        <v>25061</v>
      </c>
      <c r="D14014" s="27" t="s">
        <v>17558</v>
      </c>
      <c r="E14014" s="29">
        <v>39782</v>
      </c>
      <c r="F14014" s="27">
        <v>6</v>
      </c>
      <c r="G14014" s="18">
        <v>105400</v>
      </c>
      <c r="H14014" s="27">
        <f t="shared" si="436"/>
        <v>105400</v>
      </c>
      <c r="I14014" s="18">
        <v>100130</v>
      </c>
      <c r="J14014" s="27">
        <v>132400</v>
      </c>
      <c r="K14014" s="18">
        <f t="shared" si="437"/>
        <v>132400</v>
      </c>
      <c r="L14014" s="27">
        <v>125780</v>
      </c>
      <c r="M14014" s="36">
        <v>0</v>
      </c>
      <c r="N14014" s="18" t="s">
        <v>21306</v>
      </c>
      <c r="O14014" s="19">
        <v>27000</v>
      </c>
      <c r="P14014" s="47">
        <v>25650</v>
      </c>
      <c r="T14014" s="41">
        <v>0</v>
      </c>
      <c r="U14014" s="41">
        <v>0</v>
      </c>
      <c r="V14014" s="42" t="s">
        <v>113</v>
      </c>
      <c r="W14014" s="42">
        <v>132400</v>
      </c>
      <c r="X14014" s="42">
        <v>132400</v>
      </c>
    </row>
    <row r="14015" spans="1:24">
      <c r="A14015" s="27" t="s">
        <v>25062</v>
      </c>
      <c r="B14015" s="28" t="s">
        <v>25006</v>
      </c>
      <c r="C14015" s="27" t="s">
        <v>25063</v>
      </c>
      <c r="D14015" s="27" t="s">
        <v>17558</v>
      </c>
      <c r="E14015" s="29">
        <v>39782</v>
      </c>
      <c r="F14015" s="27">
        <v>6</v>
      </c>
      <c r="G14015" s="18">
        <v>105400</v>
      </c>
      <c r="H14015" s="27">
        <f t="shared" si="436"/>
        <v>105400</v>
      </c>
      <c r="I14015" s="18">
        <v>100130</v>
      </c>
      <c r="J14015" s="27">
        <v>132400</v>
      </c>
      <c r="K14015" s="18">
        <f t="shared" si="437"/>
        <v>132400</v>
      </c>
      <c r="L14015" s="27">
        <v>125780</v>
      </c>
      <c r="M14015" s="36">
        <v>0</v>
      </c>
      <c r="N14015" s="18" t="s">
        <v>21306</v>
      </c>
      <c r="O14015" s="19">
        <v>27000</v>
      </c>
      <c r="P14015" s="47">
        <v>25650</v>
      </c>
      <c r="T14015" s="41">
        <v>0</v>
      </c>
      <c r="U14015" s="41">
        <v>0</v>
      </c>
      <c r="V14015" s="42" t="s">
        <v>113</v>
      </c>
      <c r="W14015" s="42">
        <v>132400</v>
      </c>
      <c r="X14015" s="42">
        <v>132400</v>
      </c>
    </row>
    <row r="14016" spans="1:24">
      <c r="A14016" s="27" t="s">
        <v>25064</v>
      </c>
      <c r="B14016" s="28" t="s">
        <v>25006</v>
      </c>
      <c r="C14016" s="27" t="s">
        <v>25065</v>
      </c>
      <c r="D14016" s="27" t="s">
        <v>17558</v>
      </c>
      <c r="E14016" s="29">
        <v>39782</v>
      </c>
      <c r="F14016" s="27">
        <v>6</v>
      </c>
      <c r="G14016" s="18">
        <v>105400</v>
      </c>
      <c r="H14016" s="27">
        <f t="shared" si="436"/>
        <v>105400</v>
      </c>
      <c r="I14016" s="18">
        <v>100130</v>
      </c>
      <c r="J14016" s="27">
        <v>132400</v>
      </c>
      <c r="K14016" s="18">
        <f t="shared" si="437"/>
        <v>132400</v>
      </c>
      <c r="L14016" s="27">
        <v>125780</v>
      </c>
      <c r="M14016" s="36">
        <v>0</v>
      </c>
      <c r="N14016" s="18" t="s">
        <v>21306</v>
      </c>
      <c r="O14016" s="19">
        <v>27000</v>
      </c>
      <c r="P14016" s="47">
        <v>25650</v>
      </c>
      <c r="T14016" s="41">
        <v>0</v>
      </c>
      <c r="U14016" s="41">
        <v>0</v>
      </c>
      <c r="V14016" s="42" t="s">
        <v>113</v>
      </c>
      <c r="W14016" s="42">
        <v>132400</v>
      </c>
      <c r="X14016" s="42">
        <v>132400</v>
      </c>
    </row>
    <row r="14017" spans="1:24">
      <c r="A14017" s="27" t="s">
        <v>25066</v>
      </c>
      <c r="B14017" s="28" t="s">
        <v>25006</v>
      </c>
      <c r="C14017" s="27" t="s">
        <v>25067</v>
      </c>
      <c r="D14017" s="27" t="s">
        <v>17558</v>
      </c>
      <c r="E14017" s="29">
        <v>38827</v>
      </c>
      <c r="F14017" s="27">
        <v>6</v>
      </c>
      <c r="G14017" s="18">
        <v>195800</v>
      </c>
      <c r="H14017" s="27">
        <f t="shared" si="436"/>
        <v>195800</v>
      </c>
      <c r="I14017" s="18">
        <v>186010</v>
      </c>
      <c r="J14017" s="27">
        <v>195800</v>
      </c>
      <c r="K14017" s="18">
        <f t="shared" si="437"/>
        <v>195800</v>
      </c>
      <c r="L14017" s="27">
        <v>186010</v>
      </c>
      <c r="M14017" s="36">
        <v>0</v>
      </c>
      <c r="T14017" s="41">
        <v>0</v>
      </c>
      <c r="U14017" s="41">
        <v>0</v>
      </c>
      <c r="V14017" s="42" t="s">
        <v>113</v>
      </c>
      <c r="W14017" s="42">
        <v>195800</v>
      </c>
      <c r="X14017" s="42">
        <v>195800</v>
      </c>
    </row>
    <row r="14018" spans="1:24">
      <c r="A14018" s="27" t="s">
        <v>25068</v>
      </c>
      <c r="B14018" s="28" t="s">
        <v>25006</v>
      </c>
      <c r="C14018" s="27" t="s">
        <v>25069</v>
      </c>
      <c r="D14018" s="27" t="s">
        <v>17558</v>
      </c>
      <c r="E14018" s="29">
        <v>39782</v>
      </c>
      <c r="F14018" s="27">
        <v>6</v>
      </c>
      <c r="G14018" s="18">
        <v>125300</v>
      </c>
      <c r="H14018" s="27">
        <f t="shared" si="436"/>
        <v>125300</v>
      </c>
      <c r="I14018" s="18">
        <v>119035</v>
      </c>
      <c r="J14018" s="27">
        <v>125300</v>
      </c>
      <c r="K14018" s="18">
        <f t="shared" si="437"/>
        <v>125300</v>
      </c>
      <c r="L14018" s="27">
        <v>119035</v>
      </c>
      <c r="M14018" s="36">
        <v>0</v>
      </c>
      <c r="T14018" s="41">
        <v>0</v>
      </c>
      <c r="U14018" s="41">
        <v>0</v>
      </c>
      <c r="V14018" s="42" t="s">
        <v>113</v>
      </c>
      <c r="W14018" s="42">
        <v>125300</v>
      </c>
      <c r="X14018" s="42">
        <v>125300</v>
      </c>
    </row>
    <row r="14019" spans="1:24">
      <c r="A14019" s="27" t="s">
        <v>25070</v>
      </c>
      <c r="B14019" s="28" t="s">
        <v>25006</v>
      </c>
      <c r="C14019" s="27" t="s">
        <v>25071</v>
      </c>
      <c r="D14019" s="27" t="s">
        <v>17558</v>
      </c>
      <c r="E14019" s="29">
        <v>39782</v>
      </c>
      <c r="F14019" s="27">
        <v>6</v>
      </c>
      <c r="G14019" s="18">
        <v>105400</v>
      </c>
      <c r="H14019" s="27">
        <f t="shared" si="436"/>
        <v>105400</v>
      </c>
      <c r="I14019" s="18">
        <v>100130</v>
      </c>
      <c r="J14019" s="27">
        <v>132400</v>
      </c>
      <c r="K14019" s="18">
        <f t="shared" si="437"/>
        <v>132400</v>
      </c>
      <c r="L14019" s="27">
        <v>125780</v>
      </c>
      <c r="M14019" s="36">
        <v>0</v>
      </c>
      <c r="N14019" s="18" t="s">
        <v>21306</v>
      </c>
      <c r="O14019" s="19">
        <v>27000</v>
      </c>
      <c r="P14019" s="47">
        <v>25650</v>
      </c>
      <c r="T14019" s="41">
        <v>0</v>
      </c>
      <c r="U14019" s="41">
        <v>0</v>
      </c>
      <c r="V14019" s="42" t="s">
        <v>113</v>
      </c>
      <c r="W14019" s="42">
        <v>132400</v>
      </c>
      <c r="X14019" s="42">
        <v>132400</v>
      </c>
    </row>
    <row r="14020" spans="1:24">
      <c r="A14020" s="27" t="s">
        <v>25072</v>
      </c>
      <c r="B14020" s="28" t="s">
        <v>25006</v>
      </c>
      <c r="C14020" s="27" t="s">
        <v>25073</v>
      </c>
      <c r="D14020" s="27" t="s">
        <v>17558</v>
      </c>
      <c r="E14020" s="29">
        <v>39782</v>
      </c>
      <c r="F14020" s="27">
        <v>6</v>
      </c>
      <c r="G14020" s="18">
        <v>105400</v>
      </c>
      <c r="H14020" s="27">
        <f t="shared" si="436"/>
        <v>105400</v>
      </c>
      <c r="I14020" s="18">
        <v>100130</v>
      </c>
      <c r="J14020" s="27">
        <v>132400</v>
      </c>
      <c r="K14020" s="18">
        <f t="shared" si="437"/>
        <v>132400</v>
      </c>
      <c r="L14020" s="27">
        <v>125780</v>
      </c>
      <c r="M14020" s="36">
        <v>0</v>
      </c>
      <c r="N14020" s="18" t="s">
        <v>21306</v>
      </c>
      <c r="O14020" s="19">
        <v>27000</v>
      </c>
      <c r="P14020" s="47">
        <v>25650</v>
      </c>
      <c r="T14020" s="41">
        <v>0</v>
      </c>
      <c r="U14020" s="41">
        <v>0</v>
      </c>
      <c r="V14020" s="42" t="s">
        <v>113</v>
      </c>
      <c r="W14020" s="42">
        <v>132400</v>
      </c>
      <c r="X14020" s="42">
        <v>132400</v>
      </c>
    </row>
    <row r="14021" spans="1:24">
      <c r="A14021" s="27" t="s">
        <v>25074</v>
      </c>
      <c r="B14021" s="28" t="s">
        <v>25006</v>
      </c>
      <c r="C14021" s="27" t="s">
        <v>25075</v>
      </c>
      <c r="D14021" s="27" t="s">
        <v>17558</v>
      </c>
      <c r="E14021" s="29">
        <v>39061</v>
      </c>
      <c r="F14021" s="27">
        <v>6</v>
      </c>
      <c r="G14021" s="18">
        <v>127100</v>
      </c>
      <c r="H14021" s="27">
        <f t="shared" si="436"/>
        <v>127100</v>
      </c>
      <c r="I14021" s="18">
        <v>120745</v>
      </c>
      <c r="J14021" s="27">
        <v>127100</v>
      </c>
      <c r="K14021" s="18">
        <f t="shared" si="437"/>
        <v>127100</v>
      </c>
      <c r="L14021" s="27">
        <v>120745</v>
      </c>
      <c r="M14021" s="36">
        <v>0</v>
      </c>
      <c r="T14021" s="41">
        <v>0</v>
      </c>
      <c r="U14021" s="41">
        <v>0</v>
      </c>
      <c r="V14021" s="42" t="s">
        <v>113</v>
      </c>
      <c r="W14021" s="42">
        <v>127100</v>
      </c>
      <c r="X14021" s="42">
        <v>127100</v>
      </c>
    </row>
    <row r="14022" spans="1:24">
      <c r="A14022" s="27" t="s">
        <v>25076</v>
      </c>
      <c r="B14022" s="28" t="s">
        <v>25006</v>
      </c>
      <c r="C14022" s="27" t="s">
        <v>25077</v>
      </c>
      <c r="D14022" s="27" t="s">
        <v>17558</v>
      </c>
      <c r="E14022" s="29">
        <v>39782</v>
      </c>
      <c r="F14022" s="27">
        <v>6</v>
      </c>
      <c r="G14022" s="18">
        <v>105400</v>
      </c>
      <c r="H14022" s="27">
        <f t="shared" ref="H14022:H14085" si="438">IFERROR(IF(ROUND((G14022-I14022)/G14022,2)&lt;=0.05,G14022,0),0)</f>
        <v>105400</v>
      </c>
      <c r="I14022" s="18">
        <v>100130</v>
      </c>
      <c r="J14022" s="27">
        <v>132400</v>
      </c>
      <c r="K14022" s="18">
        <f t="shared" ref="K14022:K14085" si="439">IFERROR(IF(ROUND((J14022-L14022)/J14022,2)&lt;=0.05,J14022,0),0)</f>
        <v>132400</v>
      </c>
      <c r="L14022" s="27">
        <v>125780</v>
      </c>
      <c r="M14022" s="36">
        <v>0</v>
      </c>
      <c r="N14022" s="18" t="s">
        <v>21306</v>
      </c>
      <c r="O14022" s="19">
        <v>27000</v>
      </c>
      <c r="P14022" s="47">
        <v>25650</v>
      </c>
      <c r="T14022" s="41">
        <v>0</v>
      </c>
      <c r="U14022" s="41">
        <v>0</v>
      </c>
      <c r="V14022" s="42" t="s">
        <v>113</v>
      </c>
      <c r="W14022" s="42">
        <v>132400</v>
      </c>
      <c r="X14022" s="42">
        <v>132400</v>
      </c>
    </row>
    <row r="14023" spans="1:24">
      <c r="A14023" s="27" t="s">
        <v>25078</v>
      </c>
      <c r="B14023" s="28" t="s">
        <v>25006</v>
      </c>
      <c r="C14023" s="27" t="s">
        <v>25079</v>
      </c>
      <c r="D14023" s="27" t="s">
        <v>17558</v>
      </c>
      <c r="E14023" s="29">
        <v>39061</v>
      </c>
      <c r="F14023" s="27">
        <v>6</v>
      </c>
      <c r="G14023" s="18">
        <v>182800</v>
      </c>
      <c r="H14023" s="27">
        <f t="shared" si="438"/>
        <v>182800</v>
      </c>
      <c r="I14023" s="18">
        <v>173660</v>
      </c>
      <c r="J14023" s="27">
        <v>182800</v>
      </c>
      <c r="K14023" s="18">
        <f t="shared" si="439"/>
        <v>182800</v>
      </c>
      <c r="L14023" s="27">
        <v>173660</v>
      </c>
      <c r="M14023" s="36">
        <v>0</v>
      </c>
      <c r="T14023" s="41">
        <v>0</v>
      </c>
      <c r="U14023" s="41">
        <v>0</v>
      </c>
      <c r="V14023" s="42" t="s">
        <v>113</v>
      </c>
      <c r="W14023" s="42">
        <v>182800</v>
      </c>
      <c r="X14023" s="42">
        <v>182800</v>
      </c>
    </row>
    <row r="14024" spans="1:24">
      <c r="A14024" s="27" t="s">
        <v>25080</v>
      </c>
      <c r="B14024" s="28" t="s">
        <v>25006</v>
      </c>
      <c r="C14024" s="27" t="s">
        <v>25081</v>
      </c>
      <c r="D14024" s="27" t="s">
        <v>17558</v>
      </c>
      <c r="E14024" s="29">
        <v>39751</v>
      </c>
      <c r="F14024" s="27">
        <v>6</v>
      </c>
      <c r="G14024" s="18">
        <v>590800</v>
      </c>
      <c r="H14024" s="27">
        <f t="shared" si="438"/>
        <v>590800</v>
      </c>
      <c r="I14024" s="18">
        <v>561259.65</v>
      </c>
      <c r="J14024" s="27">
        <v>590800</v>
      </c>
      <c r="K14024" s="18">
        <f t="shared" si="439"/>
        <v>590800</v>
      </c>
      <c r="L14024" s="27">
        <v>561259.65</v>
      </c>
      <c r="M14024" s="36">
        <v>0</v>
      </c>
      <c r="T14024" s="41">
        <v>0</v>
      </c>
      <c r="U14024" s="41">
        <v>0</v>
      </c>
      <c r="V14024" s="42" t="s">
        <v>113</v>
      </c>
      <c r="W14024" s="42">
        <v>590800</v>
      </c>
      <c r="X14024" s="42">
        <v>590800</v>
      </c>
    </row>
    <row r="14025" spans="1:24">
      <c r="A14025" s="27" t="s">
        <v>25082</v>
      </c>
      <c r="B14025" s="28" t="s">
        <v>25006</v>
      </c>
      <c r="C14025" s="27" t="s">
        <v>25083</v>
      </c>
      <c r="D14025" s="27" t="s">
        <v>17558</v>
      </c>
      <c r="E14025" s="29">
        <v>39782</v>
      </c>
      <c r="F14025" s="27">
        <v>6</v>
      </c>
      <c r="G14025" s="18">
        <v>105400</v>
      </c>
      <c r="H14025" s="27">
        <f t="shared" si="438"/>
        <v>105400</v>
      </c>
      <c r="I14025" s="18">
        <v>100130</v>
      </c>
      <c r="J14025" s="27">
        <v>132400</v>
      </c>
      <c r="K14025" s="18">
        <f t="shared" si="439"/>
        <v>132400</v>
      </c>
      <c r="L14025" s="27">
        <v>125780</v>
      </c>
      <c r="M14025" s="36">
        <v>0</v>
      </c>
      <c r="N14025" s="18" t="s">
        <v>21306</v>
      </c>
      <c r="O14025" s="19">
        <v>27000</v>
      </c>
      <c r="P14025" s="47">
        <v>25650</v>
      </c>
      <c r="T14025" s="41">
        <v>0</v>
      </c>
      <c r="U14025" s="41">
        <v>0</v>
      </c>
      <c r="V14025" s="42" t="s">
        <v>113</v>
      </c>
      <c r="W14025" s="42">
        <v>132400</v>
      </c>
      <c r="X14025" s="42">
        <v>132400</v>
      </c>
    </row>
    <row r="14026" spans="1:24">
      <c r="A14026" s="27" t="s">
        <v>25084</v>
      </c>
      <c r="B14026" s="28" t="s">
        <v>25006</v>
      </c>
      <c r="C14026" s="27" t="s">
        <v>25085</v>
      </c>
      <c r="D14026" s="27" t="s">
        <v>17558</v>
      </c>
      <c r="E14026" s="29">
        <v>39782</v>
      </c>
      <c r="F14026" s="27">
        <v>6</v>
      </c>
      <c r="G14026" s="18">
        <v>105400</v>
      </c>
      <c r="H14026" s="27">
        <f t="shared" si="438"/>
        <v>105400</v>
      </c>
      <c r="I14026" s="18">
        <v>100130</v>
      </c>
      <c r="J14026" s="27">
        <v>132400</v>
      </c>
      <c r="K14026" s="18">
        <f t="shared" si="439"/>
        <v>132400</v>
      </c>
      <c r="L14026" s="27">
        <v>125780</v>
      </c>
      <c r="M14026" s="36">
        <v>0</v>
      </c>
      <c r="N14026" s="18" t="s">
        <v>21306</v>
      </c>
      <c r="O14026" s="19">
        <v>27000</v>
      </c>
      <c r="P14026" s="47">
        <v>25650</v>
      </c>
      <c r="T14026" s="41">
        <v>0</v>
      </c>
      <c r="U14026" s="41">
        <v>0</v>
      </c>
      <c r="V14026" s="42" t="s">
        <v>113</v>
      </c>
      <c r="W14026" s="42">
        <v>132400</v>
      </c>
      <c r="X14026" s="42">
        <v>132400</v>
      </c>
    </row>
    <row r="14027" spans="1:24">
      <c r="A14027" s="27" t="s">
        <v>25086</v>
      </c>
      <c r="B14027" s="28" t="s">
        <v>25006</v>
      </c>
      <c r="C14027" s="27" t="s">
        <v>25087</v>
      </c>
      <c r="D14027" s="27" t="s">
        <v>17558</v>
      </c>
      <c r="E14027" s="29">
        <v>39782</v>
      </c>
      <c r="F14027" s="27">
        <v>6</v>
      </c>
      <c r="G14027" s="18">
        <v>105400</v>
      </c>
      <c r="H14027" s="27">
        <f t="shared" si="438"/>
        <v>105400</v>
      </c>
      <c r="I14027" s="18">
        <v>100130</v>
      </c>
      <c r="J14027" s="27">
        <v>132400</v>
      </c>
      <c r="K14027" s="18">
        <f t="shared" si="439"/>
        <v>132400</v>
      </c>
      <c r="L14027" s="27">
        <v>125780</v>
      </c>
      <c r="M14027" s="36">
        <v>0</v>
      </c>
      <c r="N14027" s="18" t="s">
        <v>21306</v>
      </c>
      <c r="O14027" s="19">
        <v>27000</v>
      </c>
      <c r="P14027" s="47">
        <v>25650</v>
      </c>
      <c r="T14027" s="41">
        <v>0</v>
      </c>
      <c r="U14027" s="41">
        <v>0</v>
      </c>
      <c r="V14027" s="42" t="s">
        <v>113</v>
      </c>
      <c r="W14027" s="42">
        <v>132400</v>
      </c>
      <c r="X14027" s="42">
        <v>132400</v>
      </c>
    </row>
    <row r="14028" spans="1:24">
      <c r="A14028" s="27" t="s">
        <v>25088</v>
      </c>
      <c r="B14028" s="28" t="s">
        <v>25006</v>
      </c>
      <c r="C14028" s="27" t="s">
        <v>25089</v>
      </c>
      <c r="D14028" s="27" t="s">
        <v>17558</v>
      </c>
      <c r="E14028" s="29">
        <v>39813</v>
      </c>
      <c r="F14028" s="27">
        <v>6</v>
      </c>
      <c r="G14028" s="18">
        <v>173800</v>
      </c>
      <c r="H14028" s="27">
        <f t="shared" si="438"/>
        <v>173800</v>
      </c>
      <c r="I14028" s="18">
        <v>165110</v>
      </c>
      <c r="J14028" s="27">
        <v>173800</v>
      </c>
      <c r="K14028" s="18">
        <f t="shared" si="439"/>
        <v>173800</v>
      </c>
      <c r="L14028" s="27">
        <v>165110</v>
      </c>
      <c r="M14028" s="36">
        <v>0</v>
      </c>
      <c r="T14028" s="41">
        <v>0</v>
      </c>
      <c r="U14028" s="41">
        <v>0</v>
      </c>
      <c r="V14028" s="42" t="s">
        <v>113</v>
      </c>
      <c r="W14028" s="42">
        <v>173800</v>
      </c>
      <c r="X14028" s="42">
        <v>173800</v>
      </c>
    </row>
    <row r="14029" spans="1:24">
      <c r="A14029" s="27" t="s">
        <v>25090</v>
      </c>
      <c r="B14029" s="28" t="s">
        <v>25006</v>
      </c>
      <c r="C14029" s="27" t="s">
        <v>25091</v>
      </c>
      <c r="D14029" s="27" t="s">
        <v>17558</v>
      </c>
      <c r="E14029" s="29">
        <v>39052</v>
      </c>
      <c r="F14029" s="27">
        <v>6</v>
      </c>
      <c r="G14029" s="18">
        <v>268837.26</v>
      </c>
      <c r="H14029" s="27">
        <f t="shared" si="438"/>
        <v>268837.26</v>
      </c>
      <c r="I14029" s="18">
        <v>255395.4</v>
      </c>
      <c r="J14029" s="27">
        <v>268837.26</v>
      </c>
      <c r="K14029" s="18">
        <f t="shared" si="439"/>
        <v>268837.26</v>
      </c>
      <c r="L14029" s="27">
        <v>255395.4</v>
      </c>
      <c r="M14029" s="36">
        <v>0</v>
      </c>
      <c r="T14029" s="41">
        <v>0</v>
      </c>
      <c r="U14029" s="41">
        <v>0</v>
      </c>
      <c r="V14029" s="42" t="s">
        <v>113</v>
      </c>
      <c r="W14029" s="42">
        <v>268837.26</v>
      </c>
      <c r="X14029" s="42">
        <v>268837.26</v>
      </c>
    </row>
    <row r="14030" spans="1:24">
      <c r="A14030" s="27" t="s">
        <v>25092</v>
      </c>
      <c r="B14030" s="28" t="s">
        <v>25006</v>
      </c>
      <c r="C14030" s="27" t="s">
        <v>25093</v>
      </c>
      <c r="D14030" s="27" t="s">
        <v>17558</v>
      </c>
      <c r="E14030" s="29">
        <v>39052</v>
      </c>
      <c r="F14030" s="27">
        <v>6</v>
      </c>
      <c r="G14030" s="18">
        <v>133903.18</v>
      </c>
      <c r="H14030" s="27">
        <f t="shared" si="438"/>
        <v>133903.18</v>
      </c>
      <c r="I14030" s="18">
        <v>127208.02</v>
      </c>
      <c r="J14030" s="27">
        <v>133903.18</v>
      </c>
      <c r="K14030" s="18">
        <f t="shared" si="439"/>
        <v>133903.18</v>
      </c>
      <c r="L14030" s="27">
        <v>127208.02</v>
      </c>
      <c r="M14030" s="36">
        <v>0</v>
      </c>
      <c r="T14030" s="41">
        <v>0</v>
      </c>
      <c r="U14030" s="41">
        <v>0</v>
      </c>
      <c r="V14030" s="42" t="s">
        <v>113</v>
      </c>
      <c r="W14030" s="42">
        <v>133903.18</v>
      </c>
      <c r="X14030" s="42">
        <v>133903.18</v>
      </c>
    </row>
    <row r="14031" spans="1:24">
      <c r="A14031" s="27" t="s">
        <v>25094</v>
      </c>
      <c r="B14031" s="28" t="s">
        <v>25006</v>
      </c>
      <c r="C14031" s="27" t="s">
        <v>25095</v>
      </c>
      <c r="D14031" s="27" t="s">
        <v>17558</v>
      </c>
      <c r="E14031" s="29">
        <v>39417</v>
      </c>
      <c r="F14031" s="27">
        <v>6</v>
      </c>
      <c r="G14031" s="18">
        <v>106300</v>
      </c>
      <c r="H14031" s="27">
        <f t="shared" si="438"/>
        <v>106300</v>
      </c>
      <c r="I14031" s="18">
        <v>100985</v>
      </c>
      <c r="J14031" s="27">
        <v>0</v>
      </c>
      <c r="K14031" s="18">
        <f t="shared" si="439"/>
        <v>0</v>
      </c>
      <c r="L14031" s="27">
        <v>0</v>
      </c>
      <c r="M14031" s="36">
        <v>0</v>
      </c>
      <c r="N14031" s="18" t="s">
        <v>21306</v>
      </c>
      <c r="O14031" s="19">
        <v>-106300</v>
      </c>
      <c r="P14031" s="47">
        <v>-100985</v>
      </c>
      <c r="T14031" s="41">
        <v>0</v>
      </c>
      <c r="U14031" s="41">
        <v>0</v>
      </c>
      <c r="V14031" s="42" t="s">
        <v>113</v>
      </c>
      <c r="W14031" s="42">
        <v>0</v>
      </c>
      <c r="X14031" s="42">
        <v>0</v>
      </c>
    </row>
    <row r="14032" spans="1:24">
      <c r="A14032" s="27" t="s">
        <v>25096</v>
      </c>
      <c r="B14032" s="28" t="s">
        <v>25006</v>
      </c>
      <c r="C14032" s="27" t="s">
        <v>25097</v>
      </c>
      <c r="D14032" s="27" t="s">
        <v>17558</v>
      </c>
      <c r="E14032" s="29">
        <v>39417</v>
      </c>
      <c r="F14032" s="27">
        <v>6</v>
      </c>
      <c r="G14032" s="18">
        <v>88100</v>
      </c>
      <c r="H14032" s="27">
        <f t="shared" si="438"/>
        <v>88100</v>
      </c>
      <c r="I14032" s="18">
        <v>83695</v>
      </c>
      <c r="J14032" s="27">
        <v>0</v>
      </c>
      <c r="K14032" s="18">
        <f t="shared" si="439"/>
        <v>0</v>
      </c>
      <c r="L14032" s="27">
        <v>0</v>
      </c>
      <c r="M14032" s="36">
        <v>-83695</v>
      </c>
      <c r="N14032" s="18" t="s">
        <v>14637</v>
      </c>
      <c r="O14032" s="19">
        <v>-88100</v>
      </c>
      <c r="T14032" s="41">
        <v>0</v>
      </c>
      <c r="U14032" s="41">
        <v>0</v>
      </c>
      <c r="V14032" s="42" t="s">
        <v>113</v>
      </c>
      <c r="W14032" s="42">
        <v>0</v>
      </c>
      <c r="X14032" s="42">
        <v>0</v>
      </c>
    </row>
    <row r="14033" spans="1:24">
      <c r="A14033" s="27" t="s">
        <v>25098</v>
      </c>
      <c r="B14033" s="28" t="s">
        <v>25006</v>
      </c>
      <c r="C14033" s="27" t="s">
        <v>25099</v>
      </c>
      <c r="D14033" s="27" t="s">
        <v>17558</v>
      </c>
      <c r="E14033" s="29">
        <v>35886</v>
      </c>
      <c r="F14033" s="27">
        <v>6</v>
      </c>
      <c r="G14033" s="18">
        <v>84683.41</v>
      </c>
      <c r="H14033" s="27">
        <f t="shared" si="438"/>
        <v>84683.41</v>
      </c>
      <c r="I14033" s="18">
        <v>80449.240000000005</v>
      </c>
      <c r="J14033" s="27">
        <v>84683.41</v>
      </c>
      <c r="K14033" s="18">
        <f t="shared" si="439"/>
        <v>84683.41</v>
      </c>
      <c r="L14033" s="27">
        <v>80449.240000000005</v>
      </c>
      <c r="M14033" s="36">
        <v>0</v>
      </c>
      <c r="T14033" s="41">
        <v>0</v>
      </c>
      <c r="U14033" s="41">
        <v>0</v>
      </c>
      <c r="V14033" s="42" t="s">
        <v>113</v>
      </c>
      <c r="W14033" s="42">
        <v>84683.41</v>
      </c>
      <c r="X14033" s="42">
        <v>84683.41</v>
      </c>
    </row>
    <row r="14034" spans="1:24">
      <c r="A14034" s="27" t="s">
        <v>25100</v>
      </c>
      <c r="B14034" s="28" t="s">
        <v>25006</v>
      </c>
      <c r="C14034" s="27" t="s">
        <v>25101</v>
      </c>
      <c r="D14034" s="27" t="s">
        <v>17558</v>
      </c>
      <c r="E14034" s="29">
        <v>38657</v>
      </c>
      <c r="F14034" s="27">
        <v>6</v>
      </c>
      <c r="G14034" s="18">
        <v>115762.1</v>
      </c>
      <c r="H14034" s="27">
        <f t="shared" si="438"/>
        <v>115762.1</v>
      </c>
      <c r="I14034" s="18">
        <v>109973.99</v>
      </c>
      <c r="J14034" s="27">
        <v>115762.1</v>
      </c>
      <c r="K14034" s="18">
        <f t="shared" si="439"/>
        <v>115762.1</v>
      </c>
      <c r="L14034" s="27">
        <v>109973.99</v>
      </c>
      <c r="M14034" s="36">
        <v>0</v>
      </c>
      <c r="T14034" s="41">
        <v>0</v>
      </c>
      <c r="U14034" s="41">
        <v>0</v>
      </c>
      <c r="V14034" s="42" t="s">
        <v>113</v>
      </c>
      <c r="W14034" s="42">
        <v>115762.1</v>
      </c>
      <c r="X14034" s="42">
        <v>115762.1</v>
      </c>
    </row>
    <row r="14035" spans="1:24">
      <c r="A14035" s="27" t="s">
        <v>25102</v>
      </c>
      <c r="B14035" s="28" t="s">
        <v>25006</v>
      </c>
      <c r="C14035" s="27" t="s">
        <v>25103</v>
      </c>
      <c r="D14035" s="27" t="s">
        <v>17558</v>
      </c>
      <c r="E14035" s="29">
        <v>39417</v>
      </c>
      <c r="F14035" s="27">
        <v>6</v>
      </c>
      <c r="G14035" s="18">
        <v>106300</v>
      </c>
      <c r="H14035" s="27">
        <f t="shared" si="438"/>
        <v>106300</v>
      </c>
      <c r="I14035" s="18">
        <v>100985</v>
      </c>
      <c r="J14035" s="27">
        <v>0</v>
      </c>
      <c r="K14035" s="18">
        <f t="shared" si="439"/>
        <v>0</v>
      </c>
      <c r="L14035" s="27">
        <v>0</v>
      </c>
      <c r="M14035" s="36">
        <v>0</v>
      </c>
      <c r="N14035" s="18" t="s">
        <v>21306</v>
      </c>
      <c r="O14035" s="19">
        <v>-106300</v>
      </c>
      <c r="P14035" s="47">
        <v>-100985</v>
      </c>
      <c r="T14035" s="41">
        <v>0</v>
      </c>
      <c r="U14035" s="41">
        <v>0</v>
      </c>
      <c r="V14035" s="42" t="s">
        <v>113</v>
      </c>
      <c r="W14035" s="42">
        <v>0</v>
      </c>
      <c r="X14035" s="42">
        <v>0</v>
      </c>
    </row>
    <row r="14036" spans="1:24">
      <c r="A14036" s="27" t="s">
        <v>25104</v>
      </c>
      <c r="B14036" s="28" t="s">
        <v>25006</v>
      </c>
      <c r="C14036" s="27" t="s">
        <v>25105</v>
      </c>
      <c r="D14036" s="27" t="s">
        <v>17558</v>
      </c>
      <c r="E14036" s="29">
        <v>39417</v>
      </c>
      <c r="F14036" s="27">
        <v>6</v>
      </c>
      <c r="G14036" s="18">
        <v>114200</v>
      </c>
      <c r="H14036" s="27">
        <f t="shared" si="438"/>
        <v>114200</v>
      </c>
      <c r="I14036" s="18">
        <v>108490</v>
      </c>
      <c r="J14036" s="27">
        <v>0</v>
      </c>
      <c r="K14036" s="18">
        <f t="shared" si="439"/>
        <v>0</v>
      </c>
      <c r="L14036" s="27">
        <v>0</v>
      </c>
      <c r="M14036" s="36">
        <v>0</v>
      </c>
      <c r="N14036" s="18" t="s">
        <v>21306</v>
      </c>
      <c r="O14036" s="19">
        <v>-114200</v>
      </c>
      <c r="P14036" s="47">
        <v>-108490</v>
      </c>
      <c r="T14036" s="41">
        <v>0</v>
      </c>
      <c r="U14036" s="41">
        <v>0</v>
      </c>
      <c r="V14036" s="42" t="s">
        <v>113</v>
      </c>
      <c r="W14036" s="42">
        <v>0</v>
      </c>
      <c r="X14036" s="42">
        <v>0</v>
      </c>
    </row>
    <row r="14037" spans="1:24">
      <c r="A14037" s="27" t="s">
        <v>25106</v>
      </c>
      <c r="B14037" s="28" t="s">
        <v>25006</v>
      </c>
      <c r="C14037" s="27" t="s">
        <v>25107</v>
      </c>
      <c r="D14037" s="27" t="s">
        <v>17558</v>
      </c>
      <c r="E14037" s="29">
        <v>39417</v>
      </c>
      <c r="F14037" s="27">
        <v>6</v>
      </c>
      <c r="G14037" s="18">
        <v>95700</v>
      </c>
      <c r="H14037" s="27">
        <f t="shared" si="438"/>
        <v>95700</v>
      </c>
      <c r="I14037" s="18">
        <v>90915</v>
      </c>
      <c r="J14037" s="27">
        <v>95700</v>
      </c>
      <c r="K14037" s="18">
        <f t="shared" si="439"/>
        <v>95700</v>
      </c>
      <c r="L14037" s="27">
        <v>90915</v>
      </c>
      <c r="M14037" s="36">
        <v>0</v>
      </c>
      <c r="T14037" s="41">
        <v>0</v>
      </c>
      <c r="U14037" s="41">
        <v>0</v>
      </c>
      <c r="V14037" s="42" t="s">
        <v>113</v>
      </c>
      <c r="W14037" s="42">
        <v>95700</v>
      </c>
      <c r="X14037" s="42">
        <v>95700</v>
      </c>
    </row>
    <row r="14038" spans="1:24">
      <c r="A14038" s="27" t="s">
        <v>25108</v>
      </c>
      <c r="B14038" s="28" t="s">
        <v>25006</v>
      </c>
      <c r="C14038" s="27" t="s">
        <v>25109</v>
      </c>
      <c r="D14038" s="27" t="s">
        <v>17558</v>
      </c>
      <c r="E14038" s="29">
        <v>39417</v>
      </c>
      <c r="F14038" s="27">
        <v>6</v>
      </c>
      <c r="G14038" s="18">
        <v>84600</v>
      </c>
      <c r="H14038" s="27">
        <f t="shared" si="438"/>
        <v>84600</v>
      </c>
      <c r="I14038" s="18">
        <v>80370</v>
      </c>
      <c r="J14038" s="27">
        <v>84600</v>
      </c>
      <c r="K14038" s="18">
        <f t="shared" si="439"/>
        <v>84600</v>
      </c>
      <c r="L14038" s="27">
        <v>80370</v>
      </c>
      <c r="M14038" s="36">
        <v>0</v>
      </c>
      <c r="T14038" s="41">
        <v>0</v>
      </c>
      <c r="U14038" s="41">
        <v>0</v>
      </c>
      <c r="V14038" s="42" t="s">
        <v>113</v>
      </c>
      <c r="W14038" s="42">
        <v>84600</v>
      </c>
      <c r="X14038" s="42">
        <v>84600</v>
      </c>
    </row>
    <row r="14039" spans="1:24">
      <c r="A14039" s="27" t="s">
        <v>25110</v>
      </c>
      <c r="B14039" s="28" t="s">
        <v>25006</v>
      </c>
      <c r="C14039" s="27" t="s">
        <v>25111</v>
      </c>
      <c r="D14039" s="27" t="s">
        <v>17558</v>
      </c>
      <c r="E14039" s="29">
        <v>39417</v>
      </c>
      <c r="F14039" s="27">
        <v>6</v>
      </c>
      <c r="G14039" s="18">
        <v>108700</v>
      </c>
      <c r="H14039" s="27">
        <f t="shared" si="438"/>
        <v>108700</v>
      </c>
      <c r="I14039" s="18">
        <v>103265</v>
      </c>
      <c r="J14039" s="27">
        <v>108700</v>
      </c>
      <c r="K14039" s="18">
        <f t="shared" si="439"/>
        <v>108700</v>
      </c>
      <c r="L14039" s="27">
        <v>103265</v>
      </c>
      <c r="M14039" s="36">
        <v>0</v>
      </c>
      <c r="T14039" s="41">
        <v>0</v>
      </c>
      <c r="U14039" s="41">
        <v>0</v>
      </c>
      <c r="V14039" s="42" t="s">
        <v>113</v>
      </c>
      <c r="W14039" s="42">
        <v>108700</v>
      </c>
      <c r="X14039" s="42">
        <v>108700</v>
      </c>
    </row>
    <row r="14040" spans="1:24">
      <c r="A14040" s="27" t="s">
        <v>25112</v>
      </c>
      <c r="B14040" s="28" t="s">
        <v>25006</v>
      </c>
      <c r="C14040" s="27" t="s">
        <v>25113</v>
      </c>
      <c r="D14040" s="27" t="s">
        <v>17558</v>
      </c>
      <c r="E14040" s="29">
        <v>36220</v>
      </c>
      <c r="F14040" s="27">
        <v>6</v>
      </c>
      <c r="G14040" s="18">
        <v>17394.37</v>
      </c>
      <c r="H14040" s="27">
        <f t="shared" si="438"/>
        <v>17394.37</v>
      </c>
      <c r="I14040" s="18">
        <v>16524.650000000001</v>
      </c>
      <c r="J14040" s="27">
        <v>17394.37</v>
      </c>
      <c r="K14040" s="18">
        <f t="shared" si="439"/>
        <v>17394.37</v>
      </c>
      <c r="L14040" s="27">
        <v>16524.650000000001</v>
      </c>
      <c r="M14040" s="36">
        <v>0</v>
      </c>
      <c r="T14040" s="41">
        <v>0</v>
      </c>
      <c r="U14040" s="41">
        <v>0</v>
      </c>
      <c r="V14040" s="42" t="s">
        <v>113</v>
      </c>
      <c r="W14040" s="42">
        <v>17394.37</v>
      </c>
      <c r="X14040" s="42">
        <v>17394.37</v>
      </c>
    </row>
    <row r="14041" spans="1:24">
      <c r="A14041" s="27" t="s">
        <v>25114</v>
      </c>
      <c r="B14041" s="28" t="s">
        <v>25006</v>
      </c>
      <c r="C14041" s="27" t="s">
        <v>25115</v>
      </c>
      <c r="D14041" s="27" t="s">
        <v>17558</v>
      </c>
      <c r="E14041" s="29">
        <v>39417</v>
      </c>
      <c r="F14041" s="27">
        <v>6</v>
      </c>
      <c r="G14041" s="18">
        <v>28400</v>
      </c>
      <c r="H14041" s="27">
        <f t="shared" si="438"/>
        <v>28400</v>
      </c>
      <c r="I14041" s="18">
        <v>26980</v>
      </c>
      <c r="J14041" s="27">
        <v>28400</v>
      </c>
      <c r="K14041" s="18">
        <f t="shared" si="439"/>
        <v>28400</v>
      </c>
      <c r="L14041" s="27">
        <v>26980</v>
      </c>
      <c r="M14041" s="36">
        <v>0</v>
      </c>
      <c r="T14041" s="41">
        <v>0</v>
      </c>
      <c r="U14041" s="41">
        <v>0</v>
      </c>
      <c r="V14041" s="42" t="s">
        <v>113</v>
      </c>
      <c r="W14041" s="42">
        <v>28400</v>
      </c>
      <c r="X14041" s="42">
        <v>28400</v>
      </c>
    </row>
    <row r="14042" spans="1:24">
      <c r="A14042" s="27" t="s">
        <v>25116</v>
      </c>
      <c r="B14042" s="28" t="s">
        <v>25006</v>
      </c>
      <c r="C14042" s="27" t="s">
        <v>25117</v>
      </c>
      <c r="D14042" s="27" t="s">
        <v>17558</v>
      </c>
      <c r="E14042" s="29">
        <v>39417</v>
      </c>
      <c r="F14042" s="27">
        <v>6</v>
      </c>
      <c r="G14042" s="18">
        <v>76200</v>
      </c>
      <c r="H14042" s="27">
        <f t="shared" si="438"/>
        <v>76200</v>
      </c>
      <c r="I14042" s="18">
        <v>72390</v>
      </c>
      <c r="J14042" s="27">
        <v>76200</v>
      </c>
      <c r="K14042" s="18">
        <f t="shared" si="439"/>
        <v>76200</v>
      </c>
      <c r="L14042" s="27">
        <v>72390</v>
      </c>
      <c r="M14042" s="36">
        <v>0</v>
      </c>
      <c r="T14042" s="41">
        <v>0</v>
      </c>
      <c r="U14042" s="41">
        <v>0</v>
      </c>
      <c r="V14042" s="42" t="s">
        <v>113</v>
      </c>
      <c r="W14042" s="42">
        <v>76200</v>
      </c>
      <c r="X14042" s="42">
        <v>76200</v>
      </c>
    </row>
    <row r="14043" spans="1:24">
      <c r="A14043" s="27" t="s">
        <v>25118</v>
      </c>
      <c r="B14043" s="28" t="s">
        <v>25006</v>
      </c>
      <c r="C14043" s="27" t="s">
        <v>25119</v>
      </c>
      <c r="D14043" s="27" t="s">
        <v>17558</v>
      </c>
      <c r="E14043" s="29">
        <v>39417</v>
      </c>
      <c r="F14043" s="27">
        <v>6</v>
      </c>
      <c r="G14043" s="18">
        <v>106300</v>
      </c>
      <c r="H14043" s="27">
        <f t="shared" si="438"/>
        <v>106300</v>
      </c>
      <c r="I14043" s="18">
        <v>100985</v>
      </c>
      <c r="J14043" s="27">
        <v>0</v>
      </c>
      <c r="K14043" s="18">
        <f t="shared" si="439"/>
        <v>0</v>
      </c>
      <c r="L14043" s="27">
        <v>0</v>
      </c>
      <c r="M14043" s="36">
        <v>0</v>
      </c>
      <c r="N14043" s="18" t="s">
        <v>21306</v>
      </c>
      <c r="O14043" s="19">
        <v>-106300</v>
      </c>
      <c r="P14043" s="47">
        <v>-100985</v>
      </c>
      <c r="T14043" s="41">
        <v>0</v>
      </c>
      <c r="U14043" s="41">
        <v>0</v>
      </c>
      <c r="V14043" s="42" t="s">
        <v>113</v>
      </c>
      <c r="W14043" s="42">
        <v>0</v>
      </c>
      <c r="X14043" s="42">
        <v>0</v>
      </c>
    </row>
    <row r="14044" spans="1:24">
      <c r="A14044" s="27" t="s">
        <v>25120</v>
      </c>
      <c r="B14044" s="28" t="s">
        <v>25006</v>
      </c>
      <c r="C14044" s="27" t="s">
        <v>25121</v>
      </c>
      <c r="D14044" s="27" t="s">
        <v>17558</v>
      </c>
      <c r="E14044" s="29">
        <v>38717</v>
      </c>
      <c r="F14044" s="27">
        <v>6</v>
      </c>
      <c r="G14044" s="18">
        <v>92800</v>
      </c>
      <c r="H14044" s="27">
        <f t="shared" si="438"/>
        <v>92800</v>
      </c>
      <c r="I14044" s="18">
        <v>88160</v>
      </c>
      <c r="J14044" s="27">
        <v>0</v>
      </c>
      <c r="K14044" s="18">
        <f t="shared" si="439"/>
        <v>0</v>
      </c>
      <c r="L14044" s="27">
        <v>0</v>
      </c>
      <c r="M14044" s="36">
        <v>0</v>
      </c>
      <c r="Q14044" s="16" t="s">
        <v>19522</v>
      </c>
      <c r="R14044" s="16">
        <v>92800</v>
      </c>
      <c r="S14044" s="16">
        <v>88160</v>
      </c>
      <c r="T14044" s="41">
        <v>0</v>
      </c>
      <c r="U14044" s="41">
        <v>0</v>
      </c>
      <c r="V14044" s="42" t="s">
        <v>113</v>
      </c>
      <c r="W14044" s="42">
        <v>0</v>
      </c>
      <c r="X14044" s="42">
        <v>0</v>
      </c>
    </row>
    <row r="14045" spans="1:24">
      <c r="A14045" s="27" t="s">
        <v>25122</v>
      </c>
      <c r="B14045" s="28" t="s">
        <v>25006</v>
      </c>
      <c r="C14045" s="27" t="s">
        <v>25123</v>
      </c>
      <c r="D14045" s="27" t="s">
        <v>17558</v>
      </c>
      <c r="E14045" s="29">
        <v>39447</v>
      </c>
      <c r="F14045" s="27">
        <v>6</v>
      </c>
      <c r="G14045" s="18">
        <v>92800</v>
      </c>
      <c r="H14045" s="27">
        <f t="shared" si="438"/>
        <v>92800</v>
      </c>
      <c r="I14045" s="18">
        <v>88160</v>
      </c>
      <c r="J14045" s="27">
        <v>92800</v>
      </c>
      <c r="K14045" s="18">
        <f t="shared" si="439"/>
        <v>92800</v>
      </c>
      <c r="L14045" s="27">
        <v>88160</v>
      </c>
      <c r="M14045" s="36">
        <v>0</v>
      </c>
      <c r="T14045" s="41">
        <v>0</v>
      </c>
      <c r="U14045" s="41">
        <v>0</v>
      </c>
      <c r="V14045" s="42" t="s">
        <v>113</v>
      </c>
      <c r="W14045" s="42">
        <v>92800</v>
      </c>
      <c r="X14045" s="42">
        <v>92800</v>
      </c>
    </row>
    <row r="14046" spans="1:24">
      <c r="A14046" s="27" t="s">
        <v>25124</v>
      </c>
      <c r="B14046" s="28" t="s">
        <v>25006</v>
      </c>
      <c r="C14046" s="27" t="s">
        <v>25125</v>
      </c>
      <c r="D14046" s="27" t="s">
        <v>17558</v>
      </c>
      <c r="E14046" s="29">
        <v>38625</v>
      </c>
      <c r="F14046" s="27">
        <v>6</v>
      </c>
      <c r="G14046" s="18">
        <v>169643.58</v>
      </c>
      <c r="H14046" s="27">
        <f t="shared" si="438"/>
        <v>169643.58</v>
      </c>
      <c r="I14046" s="18">
        <v>161161.4</v>
      </c>
      <c r="J14046" s="27">
        <v>169643.58</v>
      </c>
      <c r="K14046" s="18">
        <f t="shared" si="439"/>
        <v>169643.58</v>
      </c>
      <c r="L14046" s="27">
        <v>161161.4</v>
      </c>
      <c r="M14046" s="36">
        <v>0</v>
      </c>
      <c r="T14046" s="41">
        <v>0</v>
      </c>
      <c r="U14046" s="41">
        <v>0</v>
      </c>
      <c r="V14046" s="42" t="s">
        <v>113</v>
      </c>
      <c r="W14046" s="42">
        <v>169643.58</v>
      </c>
      <c r="X14046" s="42">
        <v>169643.58</v>
      </c>
    </row>
    <row r="14047" spans="1:24">
      <c r="A14047" s="27" t="s">
        <v>25126</v>
      </c>
      <c r="B14047" s="28" t="s">
        <v>25006</v>
      </c>
      <c r="C14047" s="27" t="s">
        <v>25127</v>
      </c>
      <c r="D14047" s="27" t="s">
        <v>17558</v>
      </c>
      <c r="E14047" s="29">
        <v>38990</v>
      </c>
      <c r="F14047" s="27">
        <v>6</v>
      </c>
      <c r="G14047" s="18">
        <v>92800</v>
      </c>
      <c r="H14047" s="27">
        <f t="shared" si="438"/>
        <v>92800</v>
      </c>
      <c r="I14047" s="18">
        <v>88160</v>
      </c>
      <c r="J14047" s="27">
        <v>92800</v>
      </c>
      <c r="K14047" s="18">
        <f t="shared" si="439"/>
        <v>92800</v>
      </c>
      <c r="L14047" s="27">
        <v>88160</v>
      </c>
      <c r="M14047" s="36">
        <v>0</v>
      </c>
      <c r="T14047" s="41">
        <v>0</v>
      </c>
      <c r="U14047" s="41">
        <v>0</v>
      </c>
      <c r="V14047" s="42" t="s">
        <v>113</v>
      </c>
      <c r="W14047" s="42">
        <v>92800</v>
      </c>
      <c r="X14047" s="42">
        <v>92800</v>
      </c>
    </row>
    <row r="14048" spans="1:24">
      <c r="A14048" s="27" t="s">
        <v>25128</v>
      </c>
      <c r="B14048" s="28" t="s">
        <v>25006</v>
      </c>
      <c r="C14048" s="27" t="s">
        <v>25129</v>
      </c>
      <c r="D14048" s="27" t="s">
        <v>17558</v>
      </c>
      <c r="E14048" s="29">
        <v>39447</v>
      </c>
      <c r="F14048" s="27">
        <v>6</v>
      </c>
      <c r="G14048" s="18">
        <v>76100</v>
      </c>
      <c r="H14048" s="27">
        <f t="shared" si="438"/>
        <v>76100</v>
      </c>
      <c r="I14048" s="18">
        <v>72295</v>
      </c>
      <c r="J14048" s="27">
        <v>0</v>
      </c>
      <c r="K14048" s="18">
        <f t="shared" si="439"/>
        <v>0</v>
      </c>
      <c r="L14048" s="27">
        <v>0</v>
      </c>
      <c r="M14048" s="36">
        <v>0</v>
      </c>
      <c r="Q14048" s="16" t="s">
        <v>19522</v>
      </c>
      <c r="R14048" s="16">
        <v>76100</v>
      </c>
      <c r="S14048" s="16">
        <v>72295</v>
      </c>
      <c r="T14048" s="41">
        <v>0</v>
      </c>
      <c r="U14048" s="41">
        <v>0</v>
      </c>
      <c r="V14048" s="42" t="s">
        <v>113</v>
      </c>
      <c r="W14048" s="42">
        <v>0</v>
      </c>
      <c r="X14048" s="42">
        <v>0</v>
      </c>
    </row>
    <row r="14049" spans="1:24">
      <c r="A14049" s="27" t="s">
        <v>25130</v>
      </c>
      <c r="B14049" s="28" t="s">
        <v>25006</v>
      </c>
      <c r="C14049" s="27" t="s">
        <v>25131</v>
      </c>
      <c r="D14049" s="27" t="s">
        <v>17558</v>
      </c>
      <c r="E14049" s="29">
        <v>38717</v>
      </c>
      <c r="F14049" s="27">
        <v>6</v>
      </c>
      <c r="G14049" s="18">
        <v>155000</v>
      </c>
      <c r="H14049" s="27">
        <f t="shared" si="438"/>
        <v>155000</v>
      </c>
      <c r="I14049" s="18">
        <v>147250</v>
      </c>
      <c r="J14049" s="27">
        <v>155000</v>
      </c>
      <c r="K14049" s="18">
        <f t="shared" si="439"/>
        <v>155000</v>
      </c>
      <c r="L14049" s="27">
        <v>147250</v>
      </c>
      <c r="M14049" s="36">
        <v>0</v>
      </c>
      <c r="T14049" s="41">
        <v>0</v>
      </c>
      <c r="U14049" s="41">
        <v>0</v>
      </c>
      <c r="V14049" s="42" t="s">
        <v>113</v>
      </c>
      <c r="W14049" s="42">
        <v>155000</v>
      </c>
      <c r="X14049" s="42">
        <v>155000</v>
      </c>
    </row>
    <row r="14050" spans="1:24">
      <c r="A14050" s="27" t="s">
        <v>25132</v>
      </c>
      <c r="B14050" s="28" t="s">
        <v>25006</v>
      </c>
      <c r="C14050" s="27" t="s">
        <v>25133</v>
      </c>
      <c r="D14050" s="27" t="s">
        <v>17558</v>
      </c>
      <c r="E14050" s="29">
        <v>38990</v>
      </c>
      <c r="F14050" s="27">
        <v>6</v>
      </c>
      <c r="G14050" s="18">
        <v>92800</v>
      </c>
      <c r="H14050" s="27">
        <f t="shared" si="438"/>
        <v>92800</v>
      </c>
      <c r="I14050" s="18">
        <v>88160</v>
      </c>
      <c r="J14050" s="27">
        <v>0</v>
      </c>
      <c r="K14050" s="18">
        <f t="shared" si="439"/>
        <v>0</v>
      </c>
      <c r="L14050" s="27">
        <v>0</v>
      </c>
      <c r="M14050" s="36">
        <v>0</v>
      </c>
      <c r="Q14050" s="16" t="s">
        <v>19522</v>
      </c>
      <c r="R14050" s="16">
        <v>92800</v>
      </c>
      <c r="S14050" s="16">
        <v>88160</v>
      </c>
      <c r="T14050" s="41">
        <v>0</v>
      </c>
      <c r="U14050" s="41">
        <v>0</v>
      </c>
      <c r="V14050" s="42" t="s">
        <v>113</v>
      </c>
      <c r="W14050" s="42">
        <v>0</v>
      </c>
      <c r="X14050" s="42">
        <v>0</v>
      </c>
    </row>
    <row r="14051" spans="1:24">
      <c r="A14051" s="27" t="s">
        <v>25134</v>
      </c>
      <c r="B14051" s="28" t="s">
        <v>25006</v>
      </c>
      <c r="C14051" s="27" t="s">
        <v>25135</v>
      </c>
      <c r="D14051" s="27" t="s">
        <v>17558</v>
      </c>
      <c r="E14051" s="29">
        <v>39447</v>
      </c>
      <c r="F14051" s="27">
        <v>6</v>
      </c>
      <c r="G14051" s="18">
        <v>76100</v>
      </c>
      <c r="H14051" s="27">
        <f t="shared" si="438"/>
        <v>76100</v>
      </c>
      <c r="I14051" s="18">
        <v>72295</v>
      </c>
      <c r="J14051" s="27">
        <v>0</v>
      </c>
      <c r="K14051" s="18">
        <f t="shared" si="439"/>
        <v>0</v>
      </c>
      <c r="L14051" s="27">
        <v>0</v>
      </c>
      <c r="M14051" s="36">
        <v>0</v>
      </c>
      <c r="Q14051" s="16" t="s">
        <v>19522</v>
      </c>
      <c r="R14051" s="16">
        <v>76100</v>
      </c>
      <c r="S14051" s="16">
        <v>72295</v>
      </c>
      <c r="T14051" s="41">
        <v>0</v>
      </c>
      <c r="U14051" s="41">
        <v>0</v>
      </c>
      <c r="V14051" s="42" t="s">
        <v>113</v>
      </c>
      <c r="W14051" s="42">
        <v>0</v>
      </c>
      <c r="X14051" s="42">
        <v>0</v>
      </c>
    </row>
    <row r="14052" spans="1:24">
      <c r="A14052" s="27" t="s">
        <v>25136</v>
      </c>
      <c r="B14052" s="28" t="s">
        <v>25006</v>
      </c>
      <c r="C14052" s="27" t="s">
        <v>25137</v>
      </c>
      <c r="D14052" s="27" t="s">
        <v>17558</v>
      </c>
      <c r="E14052" s="29">
        <v>39355</v>
      </c>
      <c r="F14052" s="27">
        <v>6</v>
      </c>
      <c r="G14052" s="18">
        <v>90000</v>
      </c>
      <c r="H14052" s="27">
        <f t="shared" si="438"/>
        <v>90000</v>
      </c>
      <c r="I14052" s="18">
        <v>85500</v>
      </c>
      <c r="J14052" s="27">
        <v>0</v>
      </c>
      <c r="K14052" s="18">
        <f t="shared" si="439"/>
        <v>0</v>
      </c>
      <c r="L14052" s="27">
        <v>0</v>
      </c>
      <c r="M14052" s="36">
        <v>0</v>
      </c>
      <c r="Q14052" s="16" t="s">
        <v>19522</v>
      </c>
      <c r="R14052" s="16">
        <v>90000</v>
      </c>
      <c r="S14052" s="16">
        <v>85500</v>
      </c>
      <c r="T14052" s="41">
        <v>0</v>
      </c>
      <c r="U14052" s="41">
        <v>0</v>
      </c>
      <c r="V14052" s="42" t="s">
        <v>113</v>
      </c>
      <c r="W14052" s="42">
        <v>0</v>
      </c>
      <c r="X14052" s="42">
        <v>0</v>
      </c>
    </row>
    <row r="14053" spans="1:24">
      <c r="A14053" s="27" t="s">
        <v>25138</v>
      </c>
      <c r="B14053" s="28" t="s">
        <v>25006</v>
      </c>
      <c r="C14053" s="27" t="s">
        <v>25139</v>
      </c>
      <c r="D14053" s="27" t="s">
        <v>17558</v>
      </c>
      <c r="E14053" s="29">
        <v>39355</v>
      </c>
      <c r="F14053" s="27">
        <v>6</v>
      </c>
      <c r="G14053" s="18">
        <v>90000</v>
      </c>
      <c r="H14053" s="27">
        <f t="shared" si="438"/>
        <v>90000</v>
      </c>
      <c r="I14053" s="18">
        <v>85500</v>
      </c>
      <c r="J14053" s="27">
        <v>0</v>
      </c>
      <c r="K14053" s="18">
        <f t="shared" si="439"/>
        <v>0</v>
      </c>
      <c r="L14053" s="27">
        <v>0</v>
      </c>
      <c r="M14053" s="36">
        <v>0</v>
      </c>
      <c r="Q14053" s="16" t="s">
        <v>19522</v>
      </c>
      <c r="R14053" s="16">
        <v>90000</v>
      </c>
      <c r="S14053" s="16">
        <v>85500</v>
      </c>
      <c r="T14053" s="41">
        <v>0</v>
      </c>
      <c r="U14053" s="41">
        <v>0</v>
      </c>
      <c r="V14053" s="42" t="s">
        <v>113</v>
      </c>
      <c r="W14053" s="42">
        <v>0</v>
      </c>
      <c r="X14053" s="42">
        <v>0</v>
      </c>
    </row>
    <row r="14054" spans="1:24">
      <c r="A14054" s="27" t="s">
        <v>25140</v>
      </c>
      <c r="B14054" s="28" t="s">
        <v>25006</v>
      </c>
      <c r="C14054" s="27" t="s">
        <v>25141</v>
      </c>
      <c r="D14054" s="27" t="s">
        <v>17558</v>
      </c>
      <c r="E14054" s="29">
        <v>39232</v>
      </c>
      <c r="F14054" s="27">
        <v>6</v>
      </c>
      <c r="G14054" s="18">
        <v>39900</v>
      </c>
      <c r="H14054" s="27">
        <f t="shared" si="438"/>
        <v>39900</v>
      </c>
      <c r="I14054" s="18">
        <v>37905</v>
      </c>
      <c r="J14054" s="27">
        <v>0</v>
      </c>
      <c r="K14054" s="18">
        <f t="shared" si="439"/>
        <v>0</v>
      </c>
      <c r="L14054" s="27">
        <v>0</v>
      </c>
      <c r="M14054" s="36">
        <v>0</v>
      </c>
      <c r="Q14054" s="16" t="s">
        <v>19522</v>
      </c>
      <c r="R14054" s="16">
        <v>39900</v>
      </c>
      <c r="S14054" s="16">
        <v>37905</v>
      </c>
      <c r="T14054" s="41">
        <v>0</v>
      </c>
      <c r="U14054" s="41">
        <v>0</v>
      </c>
      <c r="V14054" s="42" t="s">
        <v>113</v>
      </c>
      <c r="W14054" s="42">
        <v>0</v>
      </c>
      <c r="X14054" s="42">
        <v>0</v>
      </c>
    </row>
    <row r="14055" spans="1:24">
      <c r="A14055" s="27" t="s">
        <v>25142</v>
      </c>
      <c r="B14055" s="28" t="s">
        <v>25006</v>
      </c>
      <c r="C14055" s="27" t="s">
        <v>25143</v>
      </c>
      <c r="D14055" s="27" t="s">
        <v>17558</v>
      </c>
      <c r="E14055" s="29">
        <v>39355</v>
      </c>
      <c r="F14055" s="27">
        <v>6</v>
      </c>
      <c r="G14055" s="18">
        <v>90000</v>
      </c>
      <c r="H14055" s="27">
        <f t="shared" si="438"/>
        <v>90000</v>
      </c>
      <c r="I14055" s="18">
        <v>85500</v>
      </c>
      <c r="J14055" s="27">
        <v>90000</v>
      </c>
      <c r="K14055" s="18">
        <f t="shared" si="439"/>
        <v>90000</v>
      </c>
      <c r="L14055" s="27">
        <v>85500</v>
      </c>
      <c r="M14055" s="36">
        <v>0</v>
      </c>
      <c r="T14055" s="41">
        <v>0</v>
      </c>
      <c r="U14055" s="41">
        <v>0</v>
      </c>
      <c r="V14055" s="42" t="s">
        <v>113</v>
      </c>
      <c r="W14055" s="42">
        <v>90000</v>
      </c>
      <c r="X14055" s="42">
        <v>90000</v>
      </c>
    </row>
    <row r="14056" spans="1:24">
      <c r="A14056" s="27" t="s">
        <v>25144</v>
      </c>
      <c r="B14056" s="28" t="s">
        <v>25006</v>
      </c>
      <c r="C14056" s="27" t="s">
        <v>25145</v>
      </c>
      <c r="D14056" s="27" t="s">
        <v>17558</v>
      </c>
      <c r="E14056" s="29">
        <v>39751</v>
      </c>
      <c r="F14056" s="27">
        <v>6</v>
      </c>
      <c r="G14056" s="18">
        <v>315100</v>
      </c>
      <c r="H14056" s="27">
        <f t="shared" si="438"/>
        <v>315100</v>
      </c>
      <c r="I14056" s="18">
        <v>299345</v>
      </c>
      <c r="J14056" s="27">
        <v>315100</v>
      </c>
      <c r="K14056" s="18">
        <f t="shared" si="439"/>
        <v>315100</v>
      </c>
      <c r="L14056" s="27">
        <v>299345</v>
      </c>
      <c r="M14056" s="36">
        <v>0</v>
      </c>
      <c r="T14056" s="41">
        <v>0</v>
      </c>
      <c r="U14056" s="41">
        <v>0</v>
      </c>
      <c r="V14056" s="42" t="s">
        <v>113</v>
      </c>
      <c r="W14056" s="42">
        <v>315100</v>
      </c>
      <c r="X14056" s="42">
        <v>315100</v>
      </c>
    </row>
    <row r="14057" spans="1:24">
      <c r="A14057" s="27" t="s">
        <v>25146</v>
      </c>
      <c r="B14057" s="28" t="s">
        <v>25006</v>
      </c>
      <c r="C14057" s="27" t="s">
        <v>25147</v>
      </c>
      <c r="D14057" s="27" t="s">
        <v>17558</v>
      </c>
      <c r="E14057" s="29">
        <v>38441</v>
      </c>
      <c r="F14057" s="27">
        <v>6</v>
      </c>
      <c r="G14057" s="18">
        <v>484304.37</v>
      </c>
      <c r="H14057" s="27">
        <f t="shared" si="438"/>
        <v>484304.37</v>
      </c>
      <c r="I14057" s="18">
        <v>460089.15</v>
      </c>
      <c r="J14057" s="27">
        <v>484304.37</v>
      </c>
      <c r="K14057" s="18">
        <f t="shared" si="439"/>
        <v>484304.37</v>
      </c>
      <c r="L14057" s="27">
        <v>460089.15</v>
      </c>
      <c r="M14057" s="36">
        <v>0</v>
      </c>
      <c r="T14057" s="41">
        <v>0</v>
      </c>
      <c r="U14057" s="41">
        <v>0</v>
      </c>
      <c r="V14057" s="42" t="s">
        <v>113</v>
      </c>
      <c r="W14057" s="42">
        <v>484304.37</v>
      </c>
      <c r="X14057" s="42">
        <v>484304.37</v>
      </c>
    </row>
    <row r="14058" spans="1:24">
      <c r="A14058" s="27" t="s">
        <v>25148</v>
      </c>
      <c r="B14058" s="28" t="s">
        <v>25006</v>
      </c>
      <c r="C14058" s="27" t="s">
        <v>25149</v>
      </c>
      <c r="D14058" s="27" t="s">
        <v>17558</v>
      </c>
      <c r="E14058" s="29">
        <v>38990</v>
      </c>
      <c r="F14058" s="27">
        <v>6</v>
      </c>
      <c r="G14058" s="18">
        <v>92800</v>
      </c>
      <c r="H14058" s="27">
        <f t="shared" si="438"/>
        <v>92800</v>
      </c>
      <c r="I14058" s="18">
        <v>88160</v>
      </c>
      <c r="J14058" s="27">
        <v>0</v>
      </c>
      <c r="K14058" s="18">
        <f t="shared" si="439"/>
        <v>0</v>
      </c>
      <c r="L14058" s="27">
        <v>0</v>
      </c>
      <c r="M14058" s="36">
        <v>0</v>
      </c>
      <c r="Q14058" s="16" t="s">
        <v>19522</v>
      </c>
      <c r="R14058" s="16">
        <v>92800</v>
      </c>
      <c r="S14058" s="16">
        <v>88160</v>
      </c>
      <c r="T14058" s="41">
        <v>0</v>
      </c>
      <c r="U14058" s="41">
        <v>0</v>
      </c>
      <c r="V14058" s="42" t="s">
        <v>113</v>
      </c>
      <c r="W14058" s="42">
        <v>0</v>
      </c>
      <c r="X14058" s="42">
        <v>0</v>
      </c>
    </row>
    <row r="14059" spans="1:24">
      <c r="A14059" s="27" t="s">
        <v>25150</v>
      </c>
      <c r="B14059" s="28" t="s">
        <v>25006</v>
      </c>
      <c r="C14059" s="27" t="s">
        <v>25151</v>
      </c>
      <c r="D14059" s="27" t="s">
        <v>17558</v>
      </c>
      <c r="E14059" s="29">
        <v>39902</v>
      </c>
      <c r="F14059" s="27">
        <v>6</v>
      </c>
      <c r="G14059" s="18">
        <v>125800</v>
      </c>
      <c r="H14059" s="27">
        <f t="shared" si="438"/>
        <v>125800</v>
      </c>
      <c r="I14059" s="18">
        <v>119510</v>
      </c>
      <c r="J14059" s="27">
        <v>125800</v>
      </c>
      <c r="K14059" s="18">
        <f t="shared" si="439"/>
        <v>125800</v>
      </c>
      <c r="L14059" s="27">
        <v>119510</v>
      </c>
      <c r="M14059" s="36">
        <v>0</v>
      </c>
      <c r="T14059" s="41">
        <v>0</v>
      </c>
      <c r="U14059" s="41">
        <v>0</v>
      </c>
      <c r="V14059" s="42" t="s">
        <v>113</v>
      </c>
      <c r="W14059" s="42">
        <v>125800</v>
      </c>
      <c r="X14059" s="42">
        <v>125800</v>
      </c>
    </row>
    <row r="14060" spans="1:24">
      <c r="A14060" s="27" t="s">
        <v>25152</v>
      </c>
      <c r="B14060" s="28" t="s">
        <v>25006</v>
      </c>
      <c r="C14060" s="27" t="s">
        <v>25153</v>
      </c>
      <c r="D14060" s="27" t="s">
        <v>17558</v>
      </c>
      <c r="E14060" s="29">
        <v>39447</v>
      </c>
      <c r="F14060" s="27">
        <v>6</v>
      </c>
      <c r="G14060" s="18">
        <v>92800</v>
      </c>
      <c r="H14060" s="27">
        <f t="shared" si="438"/>
        <v>92800</v>
      </c>
      <c r="I14060" s="18">
        <v>88160</v>
      </c>
      <c r="J14060" s="27">
        <v>0</v>
      </c>
      <c r="K14060" s="18">
        <f t="shared" si="439"/>
        <v>0</v>
      </c>
      <c r="L14060" s="27">
        <v>0</v>
      </c>
      <c r="M14060" s="36">
        <v>0</v>
      </c>
      <c r="Q14060" s="16" t="s">
        <v>19522</v>
      </c>
      <c r="R14060" s="16">
        <v>92800</v>
      </c>
      <c r="S14060" s="16">
        <v>88160</v>
      </c>
      <c r="T14060" s="41">
        <v>0</v>
      </c>
      <c r="U14060" s="41">
        <v>0</v>
      </c>
      <c r="V14060" s="42" t="s">
        <v>113</v>
      </c>
      <c r="W14060" s="42">
        <v>0</v>
      </c>
      <c r="X14060" s="42">
        <v>0</v>
      </c>
    </row>
    <row r="14061" spans="1:24">
      <c r="A14061" s="27" t="s">
        <v>25154</v>
      </c>
      <c r="B14061" s="28" t="s">
        <v>25006</v>
      </c>
      <c r="C14061" s="27" t="s">
        <v>25155</v>
      </c>
      <c r="D14061" s="27" t="s">
        <v>17558</v>
      </c>
      <c r="E14061" s="29">
        <v>38867</v>
      </c>
      <c r="F14061" s="27">
        <v>6</v>
      </c>
      <c r="G14061" s="18">
        <v>66800</v>
      </c>
      <c r="H14061" s="27">
        <f t="shared" si="438"/>
        <v>66800</v>
      </c>
      <c r="I14061" s="18">
        <v>63460</v>
      </c>
      <c r="J14061" s="27">
        <v>0</v>
      </c>
      <c r="K14061" s="18">
        <f t="shared" si="439"/>
        <v>0</v>
      </c>
      <c r="L14061" s="27">
        <v>0</v>
      </c>
      <c r="M14061" s="36">
        <v>0</v>
      </c>
      <c r="Q14061" s="16" t="s">
        <v>19522</v>
      </c>
      <c r="R14061" s="16">
        <v>66800</v>
      </c>
      <c r="S14061" s="16">
        <v>63460</v>
      </c>
      <c r="T14061" s="41">
        <v>0</v>
      </c>
      <c r="U14061" s="41">
        <v>0</v>
      </c>
      <c r="V14061" s="42" t="s">
        <v>113</v>
      </c>
      <c r="W14061" s="42">
        <v>0</v>
      </c>
      <c r="X14061" s="42">
        <v>0</v>
      </c>
    </row>
    <row r="14062" spans="1:24">
      <c r="A14062" s="27" t="s">
        <v>25156</v>
      </c>
      <c r="B14062" s="28" t="s">
        <v>25006</v>
      </c>
      <c r="C14062" s="27" t="s">
        <v>25157</v>
      </c>
      <c r="D14062" s="27" t="s">
        <v>17558</v>
      </c>
      <c r="E14062" s="29">
        <v>39751</v>
      </c>
      <c r="F14062" s="27">
        <v>6</v>
      </c>
      <c r="G14062" s="18">
        <v>315100</v>
      </c>
      <c r="H14062" s="27">
        <f t="shared" si="438"/>
        <v>315100</v>
      </c>
      <c r="I14062" s="18">
        <v>299345</v>
      </c>
      <c r="J14062" s="27">
        <v>315100</v>
      </c>
      <c r="K14062" s="18">
        <f t="shared" si="439"/>
        <v>315100</v>
      </c>
      <c r="L14062" s="27">
        <v>299345</v>
      </c>
      <c r="M14062" s="36">
        <v>0</v>
      </c>
      <c r="T14062" s="41">
        <v>0</v>
      </c>
      <c r="U14062" s="41">
        <v>0</v>
      </c>
      <c r="V14062" s="42" t="s">
        <v>113</v>
      </c>
      <c r="W14062" s="42">
        <v>315100</v>
      </c>
      <c r="X14062" s="42">
        <v>315100</v>
      </c>
    </row>
    <row r="14063" spans="1:24">
      <c r="A14063" s="27" t="s">
        <v>25158</v>
      </c>
      <c r="B14063" s="28" t="s">
        <v>25006</v>
      </c>
      <c r="C14063" s="27" t="s">
        <v>25159</v>
      </c>
      <c r="D14063" s="27" t="s">
        <v>17558</v>
      </c>
      <c r="E14063" s="29">
        <v>39447</v>
      </c>
      <c r="F14063" s="27">
        <v>6</v>
      </c>
      <c r="G14063" s="18">
        <v>167500</v>
      </c>
      <c r="H14063" s="27">
        <f t="shared" si="438"/>
        <v>167500</v>
      </c>
      <c r="I14063" s="18">
        <v>159125</v>
      </c>
      <c r="J14063" s="27">
        <v>167500</v>
      </c>
      <c r="K14063" s="18">
        <f t="shared" si="439"/>
        <v>167500</v>
      </c>
      <c r="L14063" s="27">
        <v>159125</v>
      </c>
      <c r="M14063" s="36">
        <v>0</v>
      </c>
      <c r="T14063" s="41">
        <v>0</v>
      </c>
      <c r="U14063" s="41">
        <v>0</v>
      </c>
      <c r="V14063" s="42" t="s">
        <v>113</v>
      </c>
      <c r="W14063" s="42">
        <v>167500</v>
      </c>
      <c r="X14063" s="42">
        <v>167500</v>
      </c>
    </row>
    <row r="14064" spans="1:24">
      <c r="A14064" s="27" t="s">
        <v>25160</v>
      </c>
      <c r="B14064" s="28" t="s">
        <v>25006</v>
      </c>
      <c r="C14064" s="27" t="s">
        <v>25161</v>
      </c>
      <c r="D14064" s="27" t="s">
        <v>17558</v>
      </c>
      <c r="E14064" s="29">
        <v>39447</v>
      </c>
      <c r="F14064" s="27">
        <v>6</v>
      </c>
      <c r="G14064" s="18">
        <v>76100</v>
      </c>
      <c r="H14064" s="27">
        <f t="shared" si="438"/>
        <v>76100</v>
      </c>
      <c r="I14064" s="18">
        <v>72295</v>
      </c>
      <c r="J14064" s="27">
        <v>0</v>
      </c>
      <c r="K14064" s="18">
        <f t="shared" si="439"/>
        <v>0</v>
      </c>
      <c r="L14064" s="27">
        <v>0</v>
      </c>
      <c r="M14064" s="36">
        <v>0</v>
      </c>
      <c r="Q14064" s="16" t="s">
        <v>19522</v>
      </c>
      <c r="R14064" s="16">
        <v>76100</v>
      </c>
      <c r="S14064" s="16">
        <v>72295</v>
      </c>
      <c r="T14064" s="41">
        <v>0</v>
      </c>
      <c r="U14064" s="41">
        <v>0</v>
      </c>
      <c r="V14064" s="42" t="s">
        <v>113</v>
      </c>
      <c r="W14064" s="42">
        <v>0</v>
      </c>
      <c r="X14064" s="42">
        <v>0</v>
      </c>
    </row>
    <row r="14065" spans="1:24">
      <c r="A14065" s="27" t="s">
        <v>25162</v>
      </c>
      <c r="B14065" s="28" t="s">
        <v>25006</v>
      </c>
      <c r="C14065" s="27" t="s">
        <v>25163</v>
      </c>
      <c r="D14065" s="27" t="s">
        <v>17558</v>
      </c>
      <c r="E14065" s="29">
        <v>39751</v>
      </c>
      <c r="F14065" s="27">
        <v>6</v>
      </c>
      <c r="G14065" s="18">
        <v>41500</v>
      </c>
      <c r="H14065" s="27">
        <f t="shared" si="438"/>
        <v>41500</v>
      </c>
      <c r="I14065" s="18">
        <v>39425</v>
      </c>
      <c r="J14065" s="27">
        <v>0</v>
      </c>
      <c r="K14065" s="18">
        <f t="shared" si="439"/>
        <v>0</v>
      </c>
      <c r="L14065" s="27">
        <v>0</v>
      </c>
      <c r="M14065" s="36">
        <v>0</v>
      </c>
      <c r="Q14065" s="16" t="s">
        <v>19522</v>
      </c>
      <c r="R14065" s="16">
        <v>41500</v>
      </c>
      <c r="S14065" s="16">
        <v>39425</v>
      </c>
      <c r="T14065" s="41">
        <v>0</v>
      </c>
      <c r="U14065" s="41">
        <v>0</v>
      </c>
      <c r="V14065" s="42" t="s">
        <v>113</v>
      </c>
      <c r="W14065" s="42">
        <v>0</v>
      </c>
      <c r="X14065" s="42">
        <v>0</v>
      </c>
    </row>
    <row r="14066" spans="1:24">
      <c r="A14066" s="27" t="s">
        <v>25164</v>
      </c>
      <c r="B14066" s="28" t="s">
        <v>25006</v>
      </c>
      <c r="C14066" s="27" t="s">
        <v>25165</v>
      </c>
      <c r="D14066" s="27" t="s">
        <v>17558</v>
      </c>
      <c r="E14066" s="29">
        <v>38990</v>
      </c>
      <c r="F14066" s="27">
        <v>6</v>
      </c>
      <c r="G14066" s="18">
        <v>92800</v>
      </c>
      <c r="H14066" s="27">
        <f t="shared" si="438"/>
        <v>92800</v>
      </c>
      <c r="I14066" s="18">
        <v>88160</v>
      </c>
      <c r="J14066" s="27">
        <v>0</v>
      </c>
      <c r="K14066" s="18">
        <f t="shared" si="439"/>
        <v>0</v>
      </c>
      <c r="L14066" s="27">
        <v>0</v>
      </c>
      <c r="M14066" s="36">
        <v>0</v>
      </c>
      <c r="Q14066" s="16" t="s">
        <v>19522</v>
      </c>
      <c r="R14066" s="16">
        <v>92800</v>
      </c>
      <c r="S14066" s="16">
        <v>88160</v>
      </c>
      <c r="T14066" s="41">
        <v>0</v>
      </c>
      <c r="U14066" s="41">
        <v>0</v>
      </c>
      <c r="V14066" s="42" t="s">
        <v>113</v>
      </c>
      <c r="W14066" s="42">
        <v>0</v>
      </c>
      <c r="X14066" s="42">
        <v>0</v>
      </c>
    </row>
    <row r="14067" spans="1:24">
      <c r="A14067" s="27" t="s">
        <v>25166</v>
      </c>
      <c r="B14067" s="28" t="s">
        <v>25006</v>
      </c>
      <c r="C14067" s="27" t="s">
        <v>25167</v>
      </c>
      <c r="D14067" s="27" t="s">
        <v>17558</v>
      </c>
      <c r="E14067" s="29">
        <v>39751</v>
      </c>
      <c r="F14067" s="27">
        <v>6</v>
      </c>
      <c r="G14067" s="18">
        <v>41500</v>
      </c>
      <c r="H14067" s="27">
        <f t="shared" si="438"/>
        <v>41500</v>
      </c>
      <c r="I14067" s="18">
        <v>39425</v>
      </c>
      <c r="J14067" s="27">
        <v>0</v>
      </c>
      <c r="K14067" s="18">
        <f t="shared" si="439"/>
        <v>0</v>
      </c>
      <c r="L14067" s="27">
        <v>0</v>
      </c>
      <c r="M14067" s="36">
        <v>0</v>
      </c>
      <c r="Q14067" s="16" t="s">
        <v>19522</v>
      </c>
      <c r="R14067" s="16">
        <v>41500</v>
      </c>
      <c r="S14067" s="16">
        <v>39425</v>
      </c>
      <c r="T14067" s="41">
        <v>0</v>
      </c>
      <c r="U14067" s="41">
        <v>0</v>
      </c>
      <c r="V14067" s="42" t="s">
        <v>113</v>
      </c>
      <c r="W14067" s="42">
        <v>0</v>
      </c>
      <c r="X14067" s="42">
        <v>0</v>
      </c>
    </row>
    <row r="14068" spans="1:24">
      <c r="A14068" s="27" t="s">
        <v>25168</v>
      </c>
      <c r="B14068" s="28" t="s">
        <v>25006</v>
      </c>
      <c r="C14068" s="27" t="s">
        <v>25169</v>
      </c>
      <c r="D14068" s="27" t="s">
        <v>17558</v>
      </c>
      <c r="E14068" s="29">
        <v>39355</v>
      </c>
      <c r="F14068" s="27">
        <v>6</v>
      </c>
      <c r="G14068" s="18">
        <v>34853</v>
      </c>
      <c r="H14068" s="27">
        <f t="shared" si="438"/>
        <v>34853</v>
      </c>
      <c r="I14068" s="18">
        <v>33110.35</v>
      </c>
      <c r="J14068" s="27">
        <v>0</v>
      </c>
      <c r="K14068" s="18">
        <f t="shared" si="439"/>
        <v>0</v>
      </c>
      <c r="L14068" s="27">
        <v>0</v>
      </c>
      <c r="M14068" s="36">
        <v>0</v>
      </c>
      <c r="Q14068" s="16" t="s">
        <v>19522</v>
      </c>
      <c r="R14068" s="16">
        <v>34853</v>
      </c>
      <c r="S14068" s="16">
        <v>33110.35</v>
      </c>
      <c r="T14068" s="41">
        <v>0</v>
      </c>
      <c r="U14068" s="41">
        <v>0</v>
      </c>
      <c r="V14068" s="42" t="s">
        <v>113</v>
      </c>
      <c r="W14068" s="42">
        <v>0</v>
      </c>
      <c r="X14068" s="42">
        <v>0</v>
      </c>
    </row>
    <row r="14069" spans="1:24">
      <c r="A14069" s="27" t="s">
        <v>25170</v>
      </c>
      <c r="B14069" s="28" t="s">
        <v>25006</v>
      </c>
      <c r="C14069" s="27" t="s">
        <v>25171</v>
      </c>
      <c r="D14069" s="27" t="s">
        <v>17558</v>
      </c>
      <c r="E14069" s="29">
        <v>39447</v>
      </c>
      <c r="F14069" s="27">
        <v>6</v>
      </c>
      <c r="G14069" s="18">
        <v>76100</v>
      </c>
      <c r="H14069" s="27">
        <f t="shared" si="438"/>
        <v>76100</v>
      </c>
      <c r="I14069" s="18">
        <v>72295</v>
      </c>
      <c r="J14069" s="27">
        <v>76100</v>
      </c>
      <c r="K14069" s="18">
        <f t="shared" si="439"/>
        <v>76100</v>
      </c>
      <c r="L14069" s="27">
        <v>72295</v>
      </c>
      <c r="M14069" s="36">
        <v>0</v>
      </c>
      <c r="T14069" s="41">
        <v>0</v>
      </c>
      <c r="U14069" s="41">
        <v>0</v>
      </c>
      <c r="V14069" s="42" t="s">
        <v>113</v>
      </c>
      <c r="W14069" s="42">
        <v>76100</v>
      </c>
      <c r="X14069" s="42">
        <v>76100</v>
      </c>
    </row>
    <row r="14070" spans="1:24">
      <c r="A14070" s="27" t="s">
        <v>25172</v>
      </c>
      <c r="B14070" s="28" t="s">
        <v>25006</v>
      </c>
      <c r="C14070" s="27" t="s">
        <v>25173</v>
      </c>
      <c r="D14070" s="27" t="s">
        <v>17558</v>
      </c>
      <c r="E14070" s="29">
        <v>41264</v>
      </c>
      <c r="F14070" s="27">
        <v>6</v>
      </c>
      <c r="G14070" s="18">
        <v>629572</v>
      </c>
      <c r="H14070" s="27">
        <f t="shared" si="438"/>
        <v>629572</v>
      </c>
      <c r="I14070" s="18">
        <v>598093.4</v>
      </c>
      <c r="J14070" s="27">
        <v>629572</v>
      </c>
      <c r="K14070" s="18">
        <f t="shared" si="439"/>
        <v>629572</v>
      </c>
      <c r="L14070" s="27">
        <v>598093.4</v>
      </c>
      <c r="M14070" s="36">
        <v>0</v>
      </c>
      <c r="T14070" s="41">
        <v>0</v>
      </c>
      <c r="U14070" s="41">
        <v>0</v>
      </c>
      <c r="V14070" s="42" t="s">
        <v>113</v>
      </c>
      <c r="W14070" s="42">
        <v>629572</v>
      </c>
      <c r="X14070" s="42">
        <v>629572</v>
      </c>
    </row>
    <row r="14071" spans="1:24">
      <c r="A14071" s="27" t="s">
        <v>25174</v>
      </c>
      <c r="B14071" s="28" t="s">
        <v>25006</v>
      </c>
      <c r="C14071" s="27" t="s">
        <v>25175</v>
      </c>
      <c r="D14071" s="27" t="s">
        <v>17558</v>
      </c>
      <c r="E14071" s="29">
        <v>41264</v>
      </c>
      <c r="F14071" s="27">
        <v>6</v>
      </c>
      <c r="G14071" s="18">
        <v>716410</v>
      </c>
      <c r="H14071" s="27">
        <f t="shared" si="438"/>
        <v>716410</v>
      </c>
      <c r="I14071" s="18">
        <v>680589.5</v>
      </c>
      <c r="J14071" s="27">
        <v>716410</v>
      </c>
      <c r="K14071" s="18">
        <f t="shared" si="439"/>
        <v>716410</v>
      </c>
      <c r="L14071" s="27">
        <v>680589.5</v>
      </c>
      <c r="M14071" s="36">
        <v>0</v>
      </c>
      <c r="T14071" s="41">
        <v>0</v>
      </c>
      <c r="U14071" s="41">
        <v>0</v>
      </c>
      <c r="V14071" s="42" t="s">
        <v>113</v>
      </c>
      <c r="W14071" s="42">
        <v>716410</v>
      </c>
      <c r="X14071" s="42">
        <v>716410</v>
      </c>
    </row>
    <row r="14072" spans="1:24">
      <c r="A14072" s="27" t="s">
        <v>25176</v>
      </c>
      <c r="B14072" s="28" t="s">
        <v>25006</v>
      </c>
      <c r="C14072" s="27" t="s">
        <v>25177</v>
      </c>
      <c r="D14072" s="27" t="s">
        <v>17558</v>
      </c>
      <c r="E14072" s="29">
        <v>40026</v>
      </c>
      <c r="F14072" s="27">
        <v>6</v>
      </c>
      <c r="G14072" s="18">
        <v>91626</v>
      </c>
      <c r="H14072" s="27">
        <f t="shared" si="438"/>
        <v>91626</v>
      </c>
      <c r="I14072" s="18">
        <v>87044.7</v>
      </c>
      <c r="J14072" s="27">
        <v>91626</v>
      </c>
      <c r="K14072" s="18">
        <f t="shared" si="439"/>
        <v>91626</v>
      </c>
      <c r="L14072" s="27">
        <v>87044.7</v>
      </c>
      <c r="M14072" s="36">
        <v>0</v>
      </c>
      <c r="T14072" s="41">
        <v>0</v>
      </c>
      <c r="U14072" s="41">
        <v>0</v>
      </c>
      <c r="V14072" s="42" t="s">
        <v>113</v>
      </c>
      <c r="W14072" s="42">
        <v>91626</v>
      </c>
      <c r="X14072" s="42">
        <v>91626</v>
      </c>
    </row>
    <row r="14073" spans="1:24">
      <c r="A14073" s="27" t="s">
        <v>25178</v>
      </c>
      <c r="B14073" s="28" t="s">
        <v>25006</v>
      </c>
      <c r="C14073" s="27" t="s">
        <v>25179</v>
      </c>
      <c r="D14073" s="27" t="s">
        <v>17558</v>
      </c>
      <c r="E14073" s="29">
        <v>39385</v>
      </c>
      <c r="F14073" s="27">
        <v>6</v>
      </c>
      <c r="G14073" s="18">
        <v>41500</v>
      </c>
      <c r="H14073" s="27">
        <f t="shared" si="438"/>
        <v>41500</v>
      </c>
      <c r="I14073" s="18">
        <v>39425</v>
      </c>
      <c r="J14073" s="27">
        <v>0</v>
      </c>
      <c r="K14073" s="18">
        <f t="shared" si="439"/>
        <v>0</v>
      </c>
      <c r="L14073" s="27">
        <v>0</v>
      </c>
      <c r="M14073" s="36">
        <v>0</v>
      </c>
      <c r="Q14073" s="16" t="s">
        <v>19522</v>
      </c>
      <c r="R14073" s="16">
        <v>41500</v>
      </c>
      <c r="S14073" s="16">
        <v>39425</v>
      </c>
      <c r="T14073" s="41">
        <v>0</v>
      </c>
      <c r="U14073" s="41">
        <v>0</v>
      </c>
      <c r="V14073" s="42" t="s">
        <v>113</v>
      </c>
      <c r="W14073" s="42">
        <v>0</v>
      </c>
      <c r="X14073" s="42">
        <v>0</v>
      </c>
    </row>
    <row r="14074" spans="1:24">
      <c r="A14074" s="27" t="s">
        <v>25180</v>
      </c>
      <c r="B14074" s="28" t="s">
        <v>25006</v>
      </c>
      <c r="C14074" s="27" t="s">
        <v>25181</v>
      </c>
      <c r="D14074" s="27" t="s">
        <v>17558</v>
      </c>
      <c r="E14074" s="29">
        <v>43760</v>
      </c>
      <c r="F14074" s="27">
        <v>6</v>
      </c>
      <c r="G14074" s="18">
        <v>0</v>
      </c>
      <c r="H14074" s="27">
        <f t="shared" si="438"/>
        <v>0</v>
      </c>
      <c r="I14074" s="18">
        <v>0</v>
      </c>
      <c r="J14074" s="27">
        <v>174737.36</v>
      </c>
      <c r="K14074" s="18">
        <f t="shared" si="439"/>
        <v>0</v>
      </c>
      <c r="L14074" s="27">
        <v>4611.12</v>
      </c>
      <c r="M14074" s="36">
        <v>4611.12</v>
      </c>
      <c r="N14074" s="18" t="s">
        <v>14637</v>
      </c>
      <c r="O14074" s="19">
        <v>174737.36</v>
      </c>
      <c r="T14074" s="41">
        <v>0</v>
      </c>
      <c r="U14074" s="41">
        <v>0</v>
      </c>
      <c r="V14074" s="42" t="s">
        <v>113</v>
      </c>
      <c r="W14074" s="42">
        <v>0</v>
      </c>
      <c r="X14074" s="42">
        <v>0</v>
      </c>
    </row>
    <row r="14075" spans="1:24">
      <c r="A14075" s="27" t="s">
        <v>25182</v>
      </c>
      <c r="B14075" s="28" t="s">
        <v>25006</v>
      </c>
      <c r="C14075" s="27" t="s">
        <v>25183</v>
      </c>
      <c r="D14075" s="27" t="s">
        <v>17558</v>
      </c>
      <c r="E14075" s="29">
        <v>40158</v>
      </c>
      <c r="F14075" s="27">
        <v>6</v>
      </c>
      <c r="G14075" s="18">
        <v>1341194.94</v>
      </c>
      <c r="H14075" s="27">
        <f t="shared" si="438"/>
        <v>1341194.94</v>
      </c>
      <c r="I14075" s="18">
        <v>1274135.19</v>
      </c>
      <c r="J14075" s="27">
        <v>1341194.94</v>
      </c>
      <c r="K14075" s="18">
        <f t="shared" si="439"/>
        <v>1341194.94</v>
      </c>
      <c r="L14075" s="27">
        <v>1274135.19</v>
      </c>
      <c r="M14075" s="36">
        <v>0</v>
      </c>
      <c r="T14075" s="41">
        <v>0</v>
      </c>
      <c r="U14075" s="41">
        <v>0</v>
      </c>
      <c r="V14075" s="42" t="s">
        <v>113</v>
      </c>
      <c r="W14075" s="42">
        <v>1341194.94</v>
      </c>
      <c r="X14075" s="42">
        <v>1341194.94</v>
      </c>
    </row>
    <row r="14076" spans="1:24">
      <c r="A14076" s="27" t="s">
        <v>25184</v>
      </c>
      <c r="B14076" s="28" t="s">
        <v>25006</v>
      </c>
      <c r="C14076" s="27" t="s">
        <v>25185</v>
      </c>
      <c r="D14076" s="27" t="s">
        <v>17558</v>
      </c>
      <c r="E14076" s="29">
        <v>40178</v>
      </c>
      <c r="F14076" s="27">
        <v>6</v>
      </c>
      <c r="G14076" s="18">
        <v>1206111.1100000001</v>
      </c>
      <c r="H14076" s="27">
        <f t="shared" si="438"/>
        <v>1206111.1100000001</v>
      </c>
      <c r="I14076" s="18">
        <v>1145805.55</v>
      </c>
      <c r="J14076" s="27">
        <v>1206111.1100000001</v>
      </c>
      <c r="K14076" s="18">
        <f t="shared" si="439"/>
        <v>1206111.1100000001</v>
      </c>
      <c r="L14076" s="27">
        <v>1145805.55</v>
      </c>
      <c r="M14076" s="36">
        <v>0</v>
      </c>
      <c r="T14076" s="41">
        <v>0</v>
      </c>
      <c r="U14076" s="41">
        <v>0</v>
      </c>
      <c r="V14076" s="42" t="s">
        <v>113</v>
      </c>
      <c r="W14076" s="42">
        <v>1206111.1100000001</v>
      </c>
      <c r="X14076" s="42">
        <v>1206111.1100000001</v>
      </c>
    </row>
    <row r="14077" spans="1:24">
      <c r="A14077" s="27" t="s">
        <v>25186</v>
      </c>
      <c r="B14077" s="28" t="s">
        <v>25006</v>
      </c>
      <c r="C14077" s="27" t="s">
        <v>25187</v>
      </c>
      <c r="D14077" s="27" t="s">
        <v>17558</v>
      </c>
      <c r="E14077" s="29">
        <v>40178</v>
      </c>
      <c r="F14077" s="27">
        <v>6</v>
      </c>
      <c r="G14077" s="18">
        <v>423000</v>
      </c>
      <c r="H14077" s="27">
        <f t="shared" si="438"/>
        <v>423000</v>
      </c>
      <c r="I14077" s="18">
        <v>401850</v>
      </c>
      <c r="J14077" s="27">
        <v>423000</v>
      </c>
      <c r="K14077" s="18">
        <f t="shared" si="439"/>
        <v>423000</v>
      </c>
      <c r="L14077" s="27">
        <v>401850</v>
      </c>
      <c r="M14077" s="36">
        <v>0</v>
      </c>
      <c r="T14077" s="41">
        <v>0</v>
      </c>
      <c r="U14077" s="41">
        <v>0</v>
      </c>
      <c r="V14077" s="42" t="s">
        <v>113</v>
      </c>
      <c r="W14077" s="42">
        <v>423000</v>
      </c>
      <c r="X14077" s="42">
        <v>423000</v>
      </c>
    </row>
    <row r="14078" spans="1:24">
      <c r="A14078" s="27" t="s">
        <v>25188</v>
      </c>
      <c r="B14078" s="28" t="s">
        <v>25006</v>
      </c>
      <c r="C14078" s="27" t="s">
        <v>25189</v>
      </c>
      <c r="D14078" s="27" t="s">
        <v>17558</v>
      </c>
      <c r="E14078" s="29">
        <v>35886</v>
      </c>
      <c r="F14078" s="27">
        <v>6</v>
      </c>
      <c r="G14078" s="18">
        <v>2032.12</v>
      </c>
      <c r="H14078" s="27">
        <f t="shared" si="438"/>
        <v>2032.12</v>
      </c>
      <c r="I14078" s="18">
        <v>2032.12</v>
      </c>
      <c r="J14078" s="27">
        <v>2032.12</v>
      </c>
      <c r="K14078" s="18">
        <f t="shared" si="439"/>
        <v>2032.12</v>
      </c>
      <c r="L14078" s="27">
        <v>2032.12</v>
      </c>
      <c r="M14078" s="36">
        <v>0</v>
      </c>
      <c r="T14078" s="41">
        <v>0</v>
      </c>
      <c r="U14078" s="41">
        <v>0</v>
      </c>
      <c r="V14078" s="42" t="s">
        <v>113</v>
      </c>
      <c r="W14078" s="42">
        <v>2032.12</v>
      </c>
      <c r="X14078" s="42">
        <v>2032.12</v>
      </c>
    </row>
    <row r="14079" spans="1:24">
      <c r="A14079" s="27" t="s">
        <v>25190</v>
      </c>
      <c r="B14079" s="28" t="s">
        <v>25006</v>
      </c>
      <c r="C14079" s="27" t="s">
        <v>25191</v>
      </c>
      <c r="D14079" s="27" t="s">
        <v>17558</v>
      </c>
      <c r="E14079" s="29">
        <v>35643</v>
      </c>
      <c r="F14079" s="27">
        <v>6</v>
      </c>
      <c r="G14079" s="18">
        <v>1645.54</v>
      </c>
      <c r="H14079" s="27">
        <f t="shared" si="438"/>
        <v>1645.54</v>
      </c>
      <c r="I14079" s="18">
        <v>1645.54</v>
      </c>
      <c r="J14079" s="27">
        <v>1645.54</v>
      </c>
      <c r="K14079" s="18">
        <f t="shared" si="439"/>
        <v>1645.54</v>
      </c>
      <c r="L14079" s="27">
        <v>1645.54</v>
      </c>
      <c r="M14079" s="36">
        <v>0</v>
      </c>
      <c r="T14079" s="41">
        <v>0</v>
      </c>
      <c r="U14079" s="41">
        <v>0</v>
      </c>
      <c r="V14079" s="42" t="s">
        <v>113</v>
      </c>
      <c r="W14079" s="42">
        <v>1645.54</v>
      </c>
      <c r="X14079" s="42">
        <v>1645.54</v>
      </c>
    </row>
    <row r="14080" spans="1:24">
      <c r="A14080" s="27" t="s">
        <v>25192</v>
      </c>
      <c r="B14080" s="28" t="s">
        <v>25006</v>
      </c>
      <c r="C14080" s="27" t="s">
        <v>25191</v>
      </c>
      <c r="D14080" s="27" t="s">
        <v>17558</v>
      </c>
      <c r="E14080" s="29">
        <v>35643</v>
      </c>
      <c r="F14080" s="27">
        <v>6</v>
      </c>
      <c r="G14080" s="18">
        <v>1645.54</v>
      </c>
      <c r="H14080" s="27">
        <f t="shared" si="438"/>
        <v>1645.54</v>
      </c>
      <c r="I14080" s="18">
        <v>1645.54</v>
      </c>
      <c r="J14080" s="27">
        <v>1645.54</v>
      </c>
      <c r="K14080" s="18">
        <f t="shared" si="439"/>
        <v>1645.54</v>
      </c>
      <c r="L14080" s="27">
        <v>1645.54</v>
      </c>
      <c r="M14080" s="36">
        <v>0</v>
      </c>
      <c r="T14080" s="41">
        <v>0</v>
      </c>
      <c r="U14080" s="41">
        <v>0</v>
      </c>
      <c r="V14080" s="42" t="s">
        <v>113</v>
      </c>
      <c r="W14080" s="42">
        <v>1645.54</v>
      </c>
      <c r="X14080" s="42">
        <v>1645.54</v>
      </c>
    </row>
    <row r="14081" spans="1:24">
      <c r="A14081" s="27" t="s">
        <v>25193</v>
      </c>
      <c r="B14081" s="28" t="s">
        <v>25006</v>
      </c>
      <c r="C14081" s="27" t="s">
        <v>25194</v>
      </c>
      <c r="D14081" s="27" t="s">
        <v>17558</v>
      </c>
      <c r="E14081" s="29">
        <v>37226</v>
      </c>
      <c r="F14081" s="27">
        <v>6</v>
      </c>
      <c r="G14081" s="18">
        <v>4392.92</v>
      </c>
      <c r="H14081" s="27">
        <f t="shared" si="438"/>
        <v>4392.92</v>
      </c>
      <c r="I14081" s="18">
        <v>4392.92</v>
      </c>
      <c r="J14081" s="27">
        <v>4392.92</v>
      </c>
      <c r="K14081" s="18">
        <f t="shared" si="439"/>
        <v>4392.92</v>
      </c>
      <c r="L14081" s="27">
        <v>4392.92</v>
      </c>
      <c r="M14081" s="36">
        <v>0</v>
      </c>
      <c r="T14081" s="41">
        <v>0</v>
      </c>
      <c r="U14081" s="41">
        <v>0</v>
      </c>
      <c r="V14081" s="42" t="s">
        <v>113</v>
      </c>
      <c r="W14081" s="42">
        <v>4392.92</v>
      </c>
      <c r="X14081" s="42">
        <v>4392.92</v>
      </c>
    </row>
    <row r="14082" spans="1:24">
      <c r="A14082" s="27" t="s">
        <v>25195</v>
      </c>
      <c r="B14082" s="28" t="s">
        <v>25006</v>
      </c>
      <c r="C14082" s="27" t="s">
        <v>25196</v>
      </c>
      <c r="D14082" s="27" t="s">
        <v>17558</v>
      </c>
      <c r="E14082" s="29">
        <v>37377</v>
      </c>
      <c r="F14082" s="27">
        <v>6</v>
      </c>
      <c r="G14082" s="18">
        <v>4443.68</v>
      </c>
      <c r="H14082" s="27">
        <f t="shared" si="438"/>
        <v>4443.68</v>
      </c>
      <c r="I14082" s="18">
        <v>4443.68</v>
      </c>
      <c r="J14082" s="27">
        <v>4443.68</v>
      </c>
      <c r="K14082" s="18">
        <f t="shared" si="439"/>
        <v>4443.68</v>
      </c>
      <c r="L14082" s="27">
        <v>4443.68</v>
      </c>
      <c r="M14082" s="36">
        <v>0</v>
      </c>
      <c r="T14082" s="41">
        <v>0</v>
      </c>
      <c r="U14082" s="41">
        <v>0</v>
      </c>
      <c r="V14082" s="42" t="s">
        <v>113</v>
      </c>
      <c r="W14082" s="42">
        <v>4443.68</v>
      </c>
      <c r="X14082" s="42">
        <v>4443.68</v>
      </c>
    </row>
    <row r="14083" spans="1:24">
      <c r="A14083" s="27" t="s">
        <v>25197</v>
      </c>
      <c r="B14083" s="28" t="s">
        <v>25006</v>
      </c>
      <c r="C14083" s="27" t="s">
        <v>25198</v>
      </c>
      <c r="D14083" s="27" t="s">
        <v>17558</v>
      </c>
      <c r="E14083" s="29">
        <v>35886</v>
      </c>
      <c r="F14083" s="27">
        <v>6</v>
      </c>
      <c r="G14083" s="18">
        <v>1750.75</v>
      </c>
      <c r="H14083" s="27">
        <f t="shared" si="438"/>
        <v>1750.75</v>
      </c>
      <c r="I14083" s="18">
        <v>1750.75</v>
      </c>
      <c r="J14083" s="27">
        <v>1750.75</v>
      </c>
      <c r="K14083" s="18">
        <f t="shared" si="439"/>
        <v>1750.75</v>
      </c>
      <c r="L14083" s="27">
        <v>1750.75</v>
      </c>
      <c r="M14083" s="36">
        <v>0</v>
      </c>
      <c r="T14083" s="41">
        <v>0</v>
      </c>
      <c r="U14083" s="41">
        <v>0</v>
      </c>
      <c r="V14083" s="42" t="s">
        <v>113</v>
      </c>
      <c r="W14083" s="42">
        <v>1750.75</v>
      </c>
      <c r="X14083" s="42">
        <v>1750.75</v>
      </c>
    </row>
    <row r="14084" spans="1:24">
      <c r="A14084" s="27" t="s">
        <v>25199</v>
      </c>
      <c r="B14084" s="28" t="s">
        <v>25006</v>
      </c>
      <c r="C14084" s="27" t="s">
        <v>25200</v>
      </c>
      <c r="D14084" s="27" t="s">
        <v>17558</v>
      </c>
      <c r="E14084" s="29">
        <v>36161</v>
      </c>
      <c r="F14084" s="27">
        <v>6</v>
      </c>
      <c r="G14084" s="18">
        <v>24656.23</v>
      </c>
      <c r="H14084" s="27">
        <f t="shared" si="438"/>
        <v>24656.23</v>
      </c>
      <c r="I14084" s="18">
        <v>23423.42</v>
      </c>
      <c r="J14084" s="27">
        <v>24656.23</v>
      </c>
      <c r="K14084" s="18">
        <f t="shared" si="439"/>
        <v>24656.23</v>
      </c>
      <c r="L14084" s="27">
        <v>23423.42</v>
      </c>
      <c r="M14084" s="36">
        <v>0</v>
      </c>
      <c r="T14084" s="41">
        <v>0</v>
      </c>
      <c r="U14084" s="41">
        <v>0</v>
      </c>
      <c r="V14084" s="42" t="s">
        <v>113</v>
      </c>
      <c r="W14084" s="42">
        <v>24656.23</v>
      </c>
      <c r="X14084" s="42">
        <v>24656.23</v>
      </c>
    </row>
    <row r="14085" spans="1:24">
      <c r="A14085" s="27" t="s">
        <v>25201</v>
      </c>
      <c r="B14085" s="28" t="s">
        <v>25006</v>
      </c>
      <c r="C14085" s="27" t="s">
        <v>25202</v>
      </c>
      <c r="D14085" s="27" t="s">
        <v>17558</v>
      </c>
      <c r="E14085" s="29">
        <v>36800</v>
      </c>
      <c r="F14085" s="27">
        <v>6</v>
      </c>
      <c r="G14085" s="18">
        <v>2771.47</v>
      </c>
      <c r="H14085" s="27">
        <f t="shared" si="438"/>
        <v>2771.47</v>
      </c>
      <c r="I14085" s="18">
        <v>2771.47</v>
      </c>
      <c r="J14085" s="27">
        <v>2771.47</v>
      </c>
      <c r="K14085" s="18">
        <f t="shared" si="439"/>
        <v>2771.47</v>
      </c>
      <c r="L14085" s="27">
        <v>2771.47</v>
      </c>
      <c r="M14085" s="36">
        <v>0</v>
      </c>
      <c r="T14085" s="41">
        <v>0</v>
      </c>
      <c r="U14085" s="41">
        <v>0</v>
      </c>
      <c r="V14085" s="42" t="s">
        <v>113</v>
      </c>
      <c r="W14085" s="42">
        <v>2771.47</v>
      </c>
      <c r="X14085" s="42">
        <v>2771.47</v>
      </c>
    </row>
    <row r="14086" spans="1:24">
      <c r="A14086" s="27" t="s">
        <v>25203</v>
      </c>
      <c r="B14086" s="28" t="s">
        <v>25006</v>
      </c>
      <c r="C14086" s="27" t="s">
        <v>25204</v>
      </c>
      <c r="D14086" s="27" t="s">
        <v>17558</v>
      </c>
      <c r="E14086" s="29">
        <v>36739</v>
      </c>
      <c r="F14086" s="27">
        <v>6</v>
      </c>
      <c r="G14086" s="18">
        <v>1816.78</v>
      </c>
      <c r="H14086" s="27">
        <f t="shared" ref="H14086:H14149" si="440">IFERROR(IF(ROUND((G14086-I14086)/G14086,2)&lt;=0.05,G14086,0),0)</f>
        <v>1816.78</v>
      </c>
      <c r="I14086" s="18">
        <v>1816.78</v>
      </c>
      <c r="J14086" s="27">
        <v>1816.78</v>
      </c>
      <c r="K14086" s="18">
        <f t="shared" ref="K14086:K14149" si="441">IFERROR(IF(ROUND((J14086-L14086)/J14086,2)&lt;=0.05,J14086,0),0)</f>
        <v>1816.78</v>
      </c>
      <c r="L14086" s="27">
        <v>1816.78</v>
      </c>
      <c r="M14086" s="36">
        <v>0</v>
      </c>
      <c r="T14086" s="41">
        <v>0</v>
      </c>
      <c r="U14086" s="41">
        <v>0</v>
      </c>
      <c r="V14086" s="42" t="s">
        <v>113</v>
      </c>
      <c r="W14086" s="42">
        <v>1816.78</v>
      </c>
      <c r="X14086" s="42">
        <v>1816.78</v>
      </c>
    </row>
    <row r="14087" spans="1:24">
      <c r="A14087" s="27" t="s">
        <v>25205</v>
      </c>
      <c r="B14087" s="28" t="s">
        <v>25006</v>
      </c>
      <c r="C14087" s="27" t="s">
        <v>25206</v>
      </c>
      <c r="D14087" s="27" t="s">
        <v>17558</v>
      </c>
      <c r="E14087" s="29">
        <v>36800</v>
      </c>
      <c r="F14087" s="27">
        <v>6</v>
      </c>
      <c r="G14087" s="18">
        <v>1958.51</v>
      </c>
      <c r="H14087" s="27">
        <f t="shared" si="440"/>
        <v>1958.51</v>
      </c>
      <c r="I14087" s="18">
        <v>1958.51</v>
      </c>
      <c r="J14087" s="27">
        <v>1958.51</v>
      </c>
      <c r="K14087" s="18">
        <f t="shared" si="441"/>
        <v>1958.51</v>
      </c>
      <c r="L14087" s="27">
        <v>1958.51</v>
      </c>
      <c r="M14087" s="36">
        <v>0</v>
      </c>
      <c r="T14087" s="41">
        <v>0</v>
      </c>
      <c r="U14087" s="41">
        <v>0</v>
      </c>
      <c r="V14087" s="42" t="s">
        <v>113</v>
      </c>
      <c r="W14087" s="42">
        <v>1958.51</v>
      </c>
      <c r="X14087" s="42">
        <v>1958.51</v>
      </c>
    </row>
    <row r="14088" spans="1:24">
      <c r="A14088" s="27" t="s">
        <v>25207</v>
      </c>
      <c r="B14088" s="28" t="s">
        <v>25006</v>
      </c>
      <c r="C14088" s="27" t="s">
        <v>25206</v>
      </c>
      <c r="D14088" s="27" t="s">
        <v>17558</v>
      </c>
      <c r="E14088" s="29">
        <v>36586</v>
      </c>
      <c r="F14088" s="27">
        <v>6</v>
      </c>
      <c r="G14088" s="18">
        <v>1526.35</v>
      </c>
      <c r="H14088" s="27">
        <f t="shared" si="440"/>
        <v>1526.35</v>
      </c>
      <c r="I14088" s="18">
        <v>1526.35</v>
      </c>
      <c r="J14088" s="27">
        <v>1526.35</v>
      </c>
      <c r="K14088" s="18">
        <f t="shared" si="441"/>
        <v>1526.35</v>
      </c>
      <c r="L14088" s="27">
        <v>1526.35</v>
      </c>
      <c r="M14088" s="36">
        <v>0</v>
      </c>
      <c r="T14088" s="41">
        <v>0</v>
      </c>
      <c r="U14088" s="41">
        <v>0</v>
      </c>
      <c r="V14088" s="42" t="s">
        <v>113</v>
      </c>
      <c r="W14088" s="42">
        <v>1526.35</v>
      </c>
      <c r="X14088" s="42">
        <v>1526.35</v>
      </c>
    </row>
    <row r="14089" spans="1:24">
      <c r="A14089" s="27" t="s">
        <v>25208</v>
      </c>
      <c r="B14089" s="28" t="s">
        <v>25006</v>
      </c>
      <c r="C14089" s="27" t="s">
        <v>25209</v>
      </c>
      <c r="D14089" s="27" t="s">
        <v>17558</v>
      </c>
      <c r="E14089" s="29">
        <v>37438</v>
      </c>
      <c r="F14089" s="27">
        <v>6</v>
      </c>
      <c r="G14089" s="18">
        <v>1946.17</v>
      </c>
      <c r="H14089" s="27">
        <f t="shared" si="440"/>
        <v>1946.17</v>
      </c>
      <c r="I14089" s="18">
        <v>1946.17</v>
      </c>
      <c r="J14089" s="27">
        <v>1946.17</v>
      </c>
      <c r="K14089" s="18">
        <f t="shared" si="441"/>
        <v>1946.17</v>
      </c>
      <c r="L14089" s="27">
        <v>1946.17</v>
      </c>
      <c r="M14089" s="36">
        <v>0</v>
      </c>
      <c r="T14089" s="41">
        <v>0</v>
      </c>
      <c r="U14089" s="41">
        <v>0</v>
      </c>
      <c r="V14089" s="42" t="s">
        <v>113</v>
      </c>
      <c r="W14089" s="42">
        <v>1946.17</v>
      </c>
      <c r="X14089" s="42">
        <v>1946.17</v>
      </c>
    </row>
    <row r="14090" spans="1:24">
      <c r="A14090" s="27" t="s">
        <v>25210</v>
      </c>
      <c r="B14090" s="28" t="s">
        <v>25006</v>
      </c>
      <c r="C14090" s="27" t="s">
        <v>25202</v>
      </c>
      <c r="D14090" s="27" t="s">
        <v>17558</v>
      </c>
      <c r="E14090" s="29">
        <v>36647</v>
      </c>
      <c r="F14090" s="27">
        <v>6</v>
      </c>
      <c r="G14090" s="18">
        <v>3324.21</v>
      </c>
      <c r="H14090" s="27">
        <f t="shared" si="440"/>
        <v>3324.21</v>
      </c>
      <c r="I14090" s="18">
        <v>3324.21</v>
      </c>
      <c r="J14090" s="27">
        <v>3324.21</v>
      </c>
      <c r="K14090" s="18">
        <f t="shared" si="441"/>
        <v>3324.21</v>
      </c>
      <c r="L14090" s="27">
        <v>3324.21</v>
      </c>
      <c r="M14090" s="36">
        <v>0</v>
      </c>
      <c r="T14090" s="41">
        <v>0</v>
      </c>
      <c r="U14090" s="41">
        <v>0</v>
      </c>
      <c r="V14090" s="42" t="s">
        <v>113</v>
      </c>
      <c r="W14090" s="42">
        <v>3324.21</v>
      </c>
      <c r="X14090" s="42">
        <v>3324.21</v>
      </c>
    </row>
    <row r="14091" spans="1:24">
      <c r="A14091" s="27" t="s">
        <v>25211</v>
      </c>
      <c r="B14091" s="28" t="s">
        <v>25006</v>
      </c>
      <c r="C14091" s="27" t="s">
        <v>25212</v>
      </c>
      <c r="D14091" s="27" t="s">
        <v>17558</v>
      </c>
      <c r="E14091" s="29">
        <v>37469</v>
      </c>
      <c r="F14091" s="27">
        <v>6</v>
      </c>
      <c r="G14091" s="18">
        <v>14250.53</v>
      </c>
      <c r="H14091" s="27">
        <f t="shared" si="440"/>
        <v>14250.53</v>
      </c>
      <c r="I14091" s="18">
        <v>13538</v>
      </c>
      <c r="J14091" s="27">
        <v>14250.53</v>
      </c>
      <c r="K14091" s="18">
        <f t="shared" si="441"/>
        <v>14250.53</v>
      </c>
      <c r="L14091" s="27">
        <v>13538</v>
      </c>
      <c r="M14091" s="36">
        <v>0</v>
      </c>
      <c r="T14091" s="41">
        <v>0</v>
      </c>
      <c r="U14091" s="41">
        <v>0</v>
      </c>
      <c r="V14091" s="42" t="s">
        <v>113</v>
      </c>
      <c r="W14091" s="42">
        <v>14250.53</v>
      </c>
      <c r="X14091" s="42">
        <v>14250.53</v>
      </c>
    </row>
    <row r="14092" spans="1:24">
      <c r="A14092" s="27" t="s">
        <v>25213</v>
      </c>
      <c r="B14092" s="28" t="s">
        <v>25214</v>
      </c>
      <c r="C14092" s="27" t="s">
        <v>25215</v>
      </c>
      <c r="D14092" s="27" t="s">
        <v>17578</v>
      </c>
      <c r="E14092" s="29">
        <v>42072</v>
      </c>
      <c r="F14092" s="27">
        <v>7</v>
      </c>
      <c r="G14092" s="18">
        <v>5160.5200000000004</v>
      </c>
      <c r="H14092" s="27">
        <f t="shared" si="440"/>
        <v>0</v>
      </c>
      <c r="I14092" s="18">
        <v>2626.34</v>
      </c>
      <c r="J14092" s="27">
        <v>5160.5200000000004</v>
      </c>
      <c r="K14092" s="18">
        <f t="shared" si="441"/>
        <v>0</v>
      </c>
      <c r="L14092" s="27">
        <v>3326.69</v>
      </c>
      <c r="M14092" s="36">
        <v>700.35</v>
      </c>
      <c r="T14092" s="41">
        <v>0</v>
      </c>
      <c r="U14092" s="41">
        <v>0</v>
      </c>
      <c r="V14092" s="42" t="s">
        <v>113</v>
      </c>
      <c r="W14092" s="42">
        <v>0</v>
      </c>
      <c r="X14092" s="42">
        <v>0</v>
      </c>
    </row>
    <row r="14093" spans="1:24">
      <c r="A14093" s="27" t="s">
        <v>25216</v>
      </c>
      <c r="B14093" s="28" t="s">
        <v>25214</v>
      </c>
      <c r="C14093" s="27" t="s">
        <v>25217</v>
      </c>
      <c r="D14093" s="27" t="s">
        <v>17578</v>
      </c>
      <c r="E14093" s="29">
        <v>42072</v>
      </c>
      <c r="F14093" s="27">
        <v>7</v>
      </c>
      <c r="G14093" s="18">
        <v>5160.5200000000004</v>
      </c>
      <c r="H14093" s="27">
        <f t="shared" si="440"/>
        <v>0</v>
      </c>
      <c r="I14093" s="18">
        <v>2626.34</v>
      </c>
      <c r="J14093" s="27">
        <v>5160.5200000000004</v>
      </c>
      <c r="K14093" s="18">
        <f t="shared" si="441"/>
        <v>0</v>
      </c>
      <c r="L14093" s="27">
        <v>3326.69</v>
      </c>
      <c r="M14093" s="36">
        <v>700.35</v>
      </c>
      <c r="T14093" s="41">
        <v>0</v>
      </c>
      <c r="U14093" s="41">
        <v>0</v>
      </c>
      <c r="V14093" s="42" t="s">
        <v>113</v>
      </c>
      <c r="W14093" s="42">
        <v>0</v>
      </c>
      <c r="X14093" s="42">
        <v>0</v>
      </c>
    </row>
    <row r="14094" spans="1:24">
      <c r="A14094" s="27" t="s">
        <v>25218</v>
      </c>
      <c r="B14094" s="28" t="s">
        <v>25214</v>
      </c>
      <c r="C14094" s="27" t="s">
        <v>25219</v>
      </c>
      <c r="D14094" s="27" t="s">
        <v>17578</v>
      </c>
      <c r="E14094" s="29">
        <v>41269</v>
      </c>
      <c r="F14094" s="27">
        <v>7</v>
      </c>
      <c r="G14094" s="18">
        <v>4730</v>
      </c>
      <c r="H14094" s="27">
        <f t="shared" si="440"/>
        <v>0</v>
      </c>
      <c r="I14094" s="18">
        <v>3584.33</v>
      </c>
      <c r="J14094" s="27">
        <v>4730</v>
      </c>
      <c r="K14094" s="18">
        <f t="shared" si="441"/>
        <v>4730</v>
      </c>
      <c r="L14094" s="27">
        <v>4493.5</v>
      </c>
      <c r="M14094" s="36">
        <v>909.17</v>
      </c>
      <c r="T14094" s="41">
        <v>0</v>
      </c>
      <c r="U14094" s="41">
        <v>0</v>
      </c>
      <c r="V14094" s="42" t="s">
        <v>113</v>
      </c>
      <c r="W14094" s="42">
        <v>4730</v>
      </c>
      <c r="X14094" s="42">
        <v>4730</v>
      </c>
    </row>
    <row r="14095" spans="1:24">
      <c r="A14095" s="27" t="s">
        <v>25220</v>
      </c>
      <c r="B14095" s="28" t="s">
        <v>25214</v>
      </c>
      <c r="C14095" s="27" t="s">
        <v>25221</v>
      </c>
      <c r="D14095" s="27" t="s">
        <v>17578</v>
      </c>
      <c r="E14095" s="29">
        <v>41269</v>
      </c>
      <c r="F14095" s="27">
        <v>7</v>
      </c>
      <c r="G14095" s="18">
        <v>4730</v>
      </c>
      <c r="H14095" s="27">
        <f t="shared" si="440"/>
        <v>0</v>
      </c>
      <c r="I14095" s="18">
        <v>3584.33</v>
      </c>
      <c r="J14095" s="27">
        <v>4730</v>
      </c>
      <c r="K14095" s="18">
        <f t="shared" si="441"/>
        <v>4730</v>
      </c>
      <c r="L14095" s="27">
        <v>4493.5</v>
      </c>
      <c r="M14095" s="36">
        <v>909.17</v>
      </c>
      <c r="T14095" s="41">
        <v>0</v>
      </c>
      <c r="U14095" s="41">
        <v>0</v>
      </c>
      <c r="V14095" s="42" t="s">
        <v>113</v>
      </c>
      <c r="W14095" s="42">
        <v>4730</v>
      </c>
      <c r="X14095" s="42">
        <v>4730</v>
      </c>
    </row>
    <row r="14096" spans="1:24">
      <c r="A14096" s="27" t="s">
        <v>25222</v>
      </c>
      <c r="B14096" s="28" t="s">
        <v>25214</v>
      </c>
      <c r="C14096" s="27" t="s">
        <v>25223</v>
      </c>
      <c r="D14096" s="27" t="s">
        <v>17578</v>
      </c>
      <c r="E14096" s="29">
        <v>41269</v>
      </c>
      <c r="F14096" s="27">
        <v>7</v>
      </c>
      <c r="G14096" s="18">
        <v>4780</v>
      </c>
      <c r="H14096" s="27">
        <f t="shared" si="440"/>
        <v>0</v>
      </c>
      <c r="I14096" s="18">
        <v>3622.22</v>
      </c>
      <c r="J14096" s="27">
        <v>4780</v>
      </c>
      <c r="K14096" s="18">
        <f t="shared" si="441"/>
        <v>4780</v>
      </c>
      <c r="L14096" s="27">
        <v>4541</v>
      </c>
      <c r="M14096" s="36">
        <v>918.78</v>
      </c>
      <c r="T14096" s="41">
        <v>0</v>
      </c>
      <c r="U14096" s="41">
        <v>0</v>
      </c>
      <c r="V14096" s="42" t="s">
        <v>113</v>
      </c>
      <c r="W14096" s="42">
        <v>4780</v>
      </c>
      <c r="X14096" s="42">
        <v>4780</v>
      </c>
    </row>
    <row r="14097" spans="1:24">
      <c r="A14097" s="27" t="s">
        <v>25224</v>
      </c>
      <c r="B14097" s="28" t="s">
        <v>25214</v>
      </c>
      <c r="C14097" s="27" t="s">
        <v>25225</v>
      </c>
      <c r="D14097" s="27" t="s">
        <v>17578</v>
      </c>
      <c r="E14097" s="29">
        <v>41269</v>
      </c>
      <c r="F14097" s="27">
        <v>7</v>
      </c>
      <c r="G14097" s="18">
        <v>4780</v>
      </c>
      <c r="H14097" s="27">
        <f t="shared" si="440"/>
        <v>0</v>
      </c>
      <c r="I14097" s="18">
        <v>3622.22</v>
      </c>
      <c r="J14097" s="27">
        <v>4780</v>
      </c>
      <c r="K14097" s="18">
        <f t="shared" si="441"/>
        <v>4780</v>
      </c>
      <c r="L14097" s="27">
        <v>4541</v>
      </c>
      <c r="M14097" s="36">
        <v>918.78</v>
      </c>
      <c r="T14097" s="41">
        <v>0</v>
      </c>
      <c r="U14097" s="41">
        <v>0</v>
      </c>
      <c r="V14097" s="42" t="s">
        <v>113</v>
      </c>
      <c r="W14097" s="42">
        <v>4780</v>
      </c>
      <c r="X14097" s="42">
        <v>4780</v>
      </c>
    </row>
    <row r="14098" spans="1:24">
      <c r="A14098" s="27" t="s">
        <v>25226</v>
      </c>
      <c r="B14098" s="28" t="s">
        <v>25214</v>
      </c>
      <c r="C14098" s="27" t="s">
        <v>25227</v>
      </c>
      <c r="D14098" s="27" t="s">
        <v>17578</v>
      </c>
      <c r="E14098" s="29">
        <v>41269</v>
      </c>
      <c r="F14098" s="27">
        <v>7</v>
      </c>
      <c r="G14098" s="18">
        <v>4780</v>
      </c>
      <c r="H14098" s="27">
        <f t="shared" si="440"/>
        <v>0</v>
      </c>
      <c r="I14098" s="18">
        <v>3622.22</v>
      </c>
      <c r="J14098" s="27">
        <v>4780</v>
      </c>
      <c r="K14098" s="18">
        <f t="shared" si="441"/>
        <v>4780</v>
      </c>
      <c r="L14098" s="27">
        <v>4541</v>
      </c>
      <c r="M14098" s="36">
        <v>918.78</v>
      </c>
      <c r="T14098" s="41">
        <v>0</v>
      </c>
      <c r="U14098" s="41">
        <v>0</v>
      </c>
      <c r="V14098" s="42" t="s">
        <v>113</v>
      </c>
      <c r="W14098" s="42">
        <v>4780</v>
      </c>
      <c r="X14098" s="42">
        <v>4780</v>
      </c>
    </row>
    <row r="14099" spans="1:24">
      <c r="A14099" s="27" t="s">
        <v>25228</v>
      </c>
      <c r="B14099" s="28" t="s">
        <v>25214</v>
      </c>
      <c r="C14099" s="27" t="s">
        <v>25229</v>
      </c>
      <c r="D14099" s="27" t="s">
        <v>17578</v>
      </c>
      <c r="E14099" s="29">
        <v>41269</v>
      </c>
      <c r="F14099" s="27">
        <v>7</v>
      </c>
      <c r="G14099" s="18">
        <v>4780</v>
      </c>
      <c r="H14099" s="27">
        <f t="shared" si="440"/>
        <v>0</v>
      </c>
      <c r="I14099" s="18">
        <v>3622.22</v>
      </c>
      <c r="J14099" s="27">
        <v>4780</v>
      </c>
      <c r="K14099" s="18">
        <f t="shared" si="441"/>
        <v>4780</v>
      </c>
      <c r="L14099" s="27">
        <v>4541</v>
      </c>
      <c r="M14099" s="36">
        <v>918.78</v>
      </c>
      <c r="T14099" s="41">
        <v>0</v>
      </c>
      <c r="U14099" s="41">
        <v>0</v>
      </c>
      <c r="V14099" s="42" t="s">
        <v>113</v>
      </c>
      <c r="W14099" s="42">
        <v>4780</v>
      </c>
      <c r="X14099" s="42">
        <v>4780</v>
      </c>
    </row>
    <row r="14100" spans="1:24">
      <c r="A14100" s="27" t="s">
        <v>25230</v>
      </c>
      <c r="B14100" s="28" t="s">
        <v>25214</v>
      </c>
      <c r="C14100" s="27" t="s">
        <v>25231</v>
      </c>
      <c r="D14100" s="27" t="s">
        <v>17578</v>
      </c>
      <c r="E14100" s="29">
        <v>41269</v>
      </c>
      <c r="F14100" s="27">
        <v>7</v>
      </c>
      <c r="G14100" s="18">
        <v>4780</v>
      </c>
      <c r="H14100" s="27">
        <f t="shared" si="440"/>
        <v>0</v>
      </c>
      <c r="I14100" s="18">
        <v>3622.22</v>
      </c>
      <c r="J14100" s="27">
        <v>4780</v>
      </c>
      <c r="K14100" s="18">
        <f t="shared" si="441"/>
        <v>4780</v>
      </c>
      <c r="L14100" s="27">
        <v>4541</v>
      </c>
      <c r="M14100" s="36">
        <v>918.78</v>
      </c>
      <c r="T14100" s="41">
        <v>0</v>
      </c>
      <c r="U14100" s="41">
        <v>0</v>
      </c>
      <c r="V14100" s="42" t="s">
        <v>113</v>
      </c>
      <c r="W14100" s="42">
        <v>4780</v>
      </c>
      <c r="X14100" s="42">
        <v>4780</v>
      </c>
    </row>
    <row r="14101" spans="1:24">
      <c r="A14101" s="27" t="s">
        <v>25232</v>
      </c>
      <c r="B14101" s="28" t="s">
        <v>25214</v>
      </c>
      <c r="C14101" s="27" t="s">
        <v>25233</v>
      </c>
      <c r="D14101" s="27" t="s">
        <v>17578</v>
      </c>
      <c r="E14101" s="29">
        <v>41269</v>
      </c>
      <c r="F14101" s="27">
        <v>7</v>
      </c>
      <c r="G14101" s="18">
        <v>4780</v>
      </c>
      <c r="H14101" s="27">
        <f t="shared" si="440"/>
        <v>0</v>
      </c>
      <c r="I14101" s="18">
        <v>3622.22</v>
      </c>
      <c r="J14101" s="27">
        <v>4780</v>
      </c>
      <c r="K14101" s="18">
        <f t="shared" si="441"/>
        <v>4780</v>
      </c>
      <c r="L14101" s="27">
        <v>4541</v>
      </c>
      <c r="M14101" s="36">
        <v>918.78</v>
      </c>
      <c r="T14101" s="41">
        <v>0</v>
      </c>
      <c r="U14101" s="41">
        <v>0</v>
      </c>
      <c r="V14101" s="42" t="s">
        <v>113</v>
      </c>
      <c r="W14101" s="42">
        <v>4780</v>
      </c>
      <c r="X14101" s="42">
        <v>4780</v>
      </c>
    </row>
    <row r="14102" spans="1:24">
      <c r="A14102" s="27" t="s">
        <v>25234</v>
      </c>
      <c r="B14102" s="28" t="s">
        <v>25214</v>
      </c>
      <c r="C14102" s="27" t="s">
        <v>25235</v>
      </c>
      <c r="D14102" s="27" t="s">
        <v>17578</v>
      </c>
      <c r="E14102" s="29">
        <v>41269</v>
      </c>
      <c r="F14102" s="27">
        <v>7</v>
      </c>
      <c r="G14102" s="18">
        <v>4780</v>
      </c>
      <c r="H14102" s="27">
        <f t="shared" si="440"/>
        <v>0</v>
      </c>
      <c r="I14102" s="18">
        <v>3622.22</v>
      </c>
      <c r="J14102" s="27">
        <v>4780</v>
      </c>
      <c r="K14102" s="18">
        <f t="shared" si="441"/>
        <v>4780</v>
      </c>
      <c r="L14102" s="27">
        <v>4541</v>
      </c>
      <c r="M14102" s="36">
        <v>918.78</v>
      </c>
      <c r="T14102" s="41">
        <v>0</v>
      </c>
      <c r="U14102" s="41">
        <v>0</v>
      </c>
      <c r="V14102" s="42" t="s">
        <v>113</v>
      </c>
      <c r="W14102" s="42">
        <v>4780</v>
      </c>
      <c r="X14102" s="42">
        <v>4780</v>
      </c>
    </row>
    <row r="14103" spans="1:24">
      <c r="A14103" s="27" t="s">
        <v>25236</v>
      </c>
      <c r="B14103" s="28" t="s">
        <v>25214</v>
      </c>
      <c r="C14103" s="27" t="s">
        <v>25237</v>
      </c>
      <c r="D14103" s="27" t="s">
        <v>17578</v>
      </c>
      <c r="E14103" s="29">
        <v>41269</v>
      </c>
      <c r="F14103" s="27">
        <v>7</v>
      </c>
      <c r="G14103" s="18">
        <v>12230</v>
      </c>
      <c r="H14103" s="27">
        <f t="shared" si="440"/>
        <v>0</v>
      </c>
      <c r="I14103" s="18">
        <v>9267.7199999999993</v>
      </c>
      <c r="J14103" s="27">
        <v>12230</v>
      </c>
      <c r="K14103" s="18">
        <f t="shared" si="441"/>
        <v>12230</v>
      </c>
      <c r="L14103" s="27">
        <v>11618.5</v>
      </c>
      <c r="M14103" s="36">
        <v>2350.7800000000002</v>
      </c>
      <c r="T14103" s="41">
        <v>0</v>
      </c>
      <c r="U14103" s="41">
        <v>0</v>
      </c>
      <c r="V14103" s="42" t="s">
        <v>113</v>
      </c>
      <c r="W14103" s="42">
        <v>12230</v>
      </c>
      <c r="X14103" s="42">
        <v>12230</v>
      </c>
    </row>
    <row r="14104" spans="1:24">
      <c r="A14104" s="27" t="s">
        <v>25238</v>
      </c>
      <c r="B14104" s="28" t="s">
        <v>25214</v>
      </c>
      <c r="C14104" s="27" t="s">
        <v>25239</v>
      </c>
      <c r="D14104" s="27" t="s">
        <v>17578</v>
      </c>
      <c r="E14104" s="29">
        <v>41269</v>
      </c>
      <c r="F14104" s="27">
        <v>7</v>
      </c>
      <c r="G14104" s="18">
        <v>12230</v>
      </c>
      <c r="H14104" s="27">
        <f t="shared" si="440"/>
        <v>0</v>
      </c>
      <c r="I14104" s="18">
        <v>9267.7199999999993</v>
      </c>
      <c r="J14104" s="27">
        <v>12230</v>
      </c>
      <c r="K14104" s="18">
        <f t="shared" si="441"/>
        <v>12230</v>
      </c>
      <c r="L14104" s="27">
        <v>11618.5</v>
      </c>
      <c r="M14104" s="36">
        <v>2350.7800000000002</v>
      </c>
      <c r="T14104" s="41">
        <v>0</v>
      </c>
      <c r="U14104" s="41">
        <v>0</v>
      </c>
      <c r="V14104" s="42" t="s">
        <v>113</v>
      </c>
      <c r="W14104" s="42">
        <v>12230</v>
      </c>
      <c r="X14104" s="42">
        <v>12230</v>
      </c>
    </row>
    <row r="14105" spans="1:24">
      <c r="A14105" s="27" t="s">
        <v>25240</v>
      </c>
      <c r="B14105" s="28" t="s">
        <v>25214</v>
      </c>
      <c r="C14105" s="27" t="s">
        <v>25241</v>
      </c>
      <c r="D14105" s="27" t="s">
        <v>17578</v>
      </c>
      <c r="E14105" s="29">
        <v>41269</v>
      </c>
      <c r="F14105" s="27">
        <v>7</v>
      </c>
      <c r="G14105" s="18">
        <v>12230</v>
      </c>
      <c r="H14105" s="27">
        <f t="shared" si="440"/>
        <v>0</v>
      </c>
      <c r="I14105" s="18">
        <v>9267.7199999999993</v>
      </c>
      <c r="J14105" s="27">
        <v>12230</v>
      </c>
      <c r="K14105" s="18">
        <f t="shared" si="441"/>
        <v>12230</v>
      </c>
      <c r="L14105" s="27">
        <v>11618.5</v>
      </c>
      <c r="M14105" s="36">
        <v>2350.7800000000002</v>
      </c>
      <c r="T14105" s="41">
        <v>0</v>
      </c>
      <c r="U14105" s="41">
        <v>0</v>
      </c>
      <c r="V14105" s="42" t="s">
        <v>113</v>
      </c>
      <c r="W14105" s="42">
        <v>12230</v>
      </c>
      <c r="X14105" s="42">
        <v>12230</v>
      </c>
    </row>
    <row r="14106" spans="1:24">
      <c r="A14106" s="27" t="s">
        <v>25242</v>
      </c>
      <c r="B14106" s="28" t="s">
        <v>25214</v>
      </c>
      <c r="C14106" s="27" t="s">
        <v>25243</v>
      </c>
      <c r="D14106" s="27" t="s">
        <v>17578</v>
      </c>
      <c r="E14106" s="29">
        <v>41269</v>
      </c>
      <c r="F14106" s="27">
        <v>7</v>
      </c>
      <c r="G14106" s="18">
        <v>311183</v>
      </c>
      <c r="H14106" s="27">
        <f t="shared" si="440"/>
        <v>0</v>
      </c>
      <c r="I14106" s="18">
        <v>229172.74</v>
      </c>
      <c r="J14106" s="27">
        <v>311183</v>
      </c>
      <c r="K14106" s="18">
        <f t="shared" si="441"/>
        <v>311183</v>
      </c>
      <c r="L14106" s="27">
        <v>295623.84999999998</v>
      </c>
      <c r="M14106" s="36">
        <v>66451.11</v>
      </c>
      <c r="T14106" s="41">
        <v>0</v>
      </c>
      <c r="U14106" s="41">
        <v>0</v>
      </c>
      <c r="V14106" s="42" t="s">
        <v>113</v>
      </c>
      <c r="W14106" s="42">
        <v>311183</v>
      </c>
      <c r="X14106" s="42">
        <v>311183</v>
      </c>
    </row>
    <row r="14107" spans="1:24">
      <c r="A14107" s="27" t="s">
        <v>25244</v>
      </c>
      <c r="B14107" s="28" t="s">
        <v>25214</v>
      </c>
      <c r="C14107" s="27" t="s">
        <v>25245</v>
      </c>
      <c r="D14107" s="27" t="s">
        <v>17558</v>
      </c>
      <c r="E14107" s="29">
        <v>39813</v>
      </c>
      <c r="F14107" s="27">
        <v>7</v>
      </c>
      <c r="G14107" s="18">
        <v>23400</v>
      </c>
      <c r="H14107" s="27">
        <f t="shared" si="440"/>
        <v>23400</v>
      </c>
      <c r="I14107" s="18">
        <v>22230</v>
      </c>
      <c r="J14107" s="27">
        <v>23400</v>
      </c>
      <c r="K14107" s="18">
        <f t="shared" si="441"/>
        <v>23400</v>
      </c>
      <c r="L14107" s="27">
        <v>22230</v>
      </c>
      <c r="M14107" s="36">
        <v>0</v>
      </c>
      <c r="T14107" s="41">
        <v>0</v>
      </c>
      <c r="U14107" s="41">
        <v>0</v>
      </c>
      <c r="V14107" s="42" t="s">
        <v>113</v>
      </c>
      <c r="W14107" s="42">
        <v>23400</v>
      </c>
      <c r="X14107" s="42">
        <v>23400</v>
      </c>
    </row>
    <row r="14108" spans="1:24">
      <c r="A14108" s="27" t="s">
        <v>25246</v>
      </c>
      <c r="B14108" s="28" t="s">
        <v>25214</v>
      </c>
      <c r="C14108" s="27" t="s">
        <v>25247</v>
      </c>
      <c r="D14108" s="27" t="s">
        <v>17558</v>
      </c>
      <c r="E14108" s="29">
        <v>40178</v>
      </c>
      <c r="F14108" s="27">
        <v>7</v>
      </c>
      <c r="G14108" s="18">
        <v>44000</v>
      </c>
      <c r="H14108" s="27">
        <f t="shared" si="440"/>
        <v>44000</v>
      </c>
      <c r="I14108" s="18">
        <v>41800</v>
      </c>
      <c r="J14108" s="27">
        <v>44000</v>
      </c>
      <c r="K14108" s="18">
        <f t="shared" si="441"/>
        <v>44000</v>
      </c>
      <c r="L14108" s="27">
        <v>41800</v>
      </c>
      <c r="M14108" s="36">
        <v>0</v>
      </c>
      <c r="T14108" s="41">
        <v>0</v>
      </c>
      <c r="U14108" s="41">
        <v>0</v>
      </c>
      <c r="V14108" s="42" t="s">
        <v>113</v>
      </c>
      <c r="W14108" s="42">
        <v>44000</v>
      </c>
      <c r="X14108" s="42">
        <v>44000</v>
      </c>
    </row>
    <row r="14109" spans="1:24">
      <c r="A14109" s="27" t="s">
        <v>25248</v>
      </c>
      <c r="B14109" s="28" t="s">
        <v>25214</v>
      </c>
      <c r="C14109" s="27" t="s">
        <v>25249</v>
      </c>
      <c r="D14109" s="27" t="s">
        <v>17558</v>
      </c>
      <c r="E14109" s="29">
        <v>40178</v>
      </c>
      <c r="F14109" s="27">
        <v>7</v>
      </c>
      <c r="G14109" s="18">
        <v>6700</v>
      </c>
      <c r="H14109" s="27">
        <f t="shared" si="440"/>
        <v>6700</v>
      </c>
      <c r="I14109" s="18">
        <v>6365</v>
      </c>
      <c r="J14109" s="27">
        <v>6700</v>
      </c>
      <c r="K14109" s="18">
        <f t="shared" si="441"/>
        <v>6700</v>
      </c>
      <c r="L14109" s="27">
        <v>6365</v>
      </c>
      <c r="M14109" s="36">
        <v>0</v>
      </c>
      <c r="T14109" s="41">
        <v>0</v>
      </c>
      <c r="U14109" s="41">
        <v>0</v>
      </c>
      <c r="V14109" s="42" t="s">
        <v>113</v>
      </c>
      <c r="W14109" s="42">
        <v>6700</v>
      </c>
      <c r="X14109" s="42">
        <v>6700</v>
      </c>
    </row>
    <row r="14110" spans="1:24">
      <c r="A14110" s="27" t="s">
        <v>25250</v>
      </c>
      <c r="B14110" s="28" t="s">
        <v>25214</v>
      </c>
      <c r="C14110" s="27" t="s">
        <v>25251</v>
      </c>
      <c r="D14110" s="27" t="s">
        <v>17558</v>
      </c>
      <c r="E14110" s="29">
        <v>40178</v>
      </c>
      <c r="F14110" s="27">
        <v>7</v>
      </c>
      <c r="G14110" s="18">
        <v>58512</v>
      </c>
      <c r="H14110" s="27">
        <f t="shared" si="440"/>
        <v>58512</v>
      </c>
      <c r="I14110" s="18">
        <v>55586.400000000001</v>
      </c>
      <c r="J14110" s="27">
        <v>58512</v>
      </c>
      <c r="K14110" s="18">
        <f t="shared" si="441"/>
        <v>58512</v>
      </c>
      <c r="L14110" s="27">
        <v>55586.400000000001</v>
      </c>
      <c r="M14110" s="36">
        <v>0</v>
      </c>
      <c r="T14110" s="41">
        <v>0</v>
      </c>
      <c r="U14110" s="41">
        <v>0</v>
      </c>
      <c r="V14110" s="42" t="s">
        <v>113</v>
      </c>
      <c r="W14110" s="42">
        <v>58512</v>
      </c>
      <c r="X14110" s="42">
        <v>58512</v>
      </c>
    </row>
    <row r="14111" spans="1:24">
      <c r="A14111" s="27" t="s">
        <v>25252</v>
      </c>
      <c r="B14111" s="28" t="s">
        <v>25214</v>
      </c>
      <c r="C14111" s="27" t="s">
        <v>25245</v>
      </c>
      <c r="D14111" s="27" t="s">
        <v>17578</v>
      </c>
      <c r="E14111" s="29">
        <v>39813</v>
      </c>
      <c r="F14111" s="27">
        <v>7</v>
      </c>
      <c r="G14111" s="18">
        <v>15000</v>
      </c>
      <c r="H14111" s="27">
        <f t="shared" si="440"/>
        <v>15000</v>
      </c>
      <c r="I14111" s="18">
        <v>14250</v>
      </c>
      <c r="J14111" s="27">
        <v>15000</v>
      </c>
      <c r="K14111" s="18">
        <f t="shared" si="441"/>
        <v>15000</v>
      </c>
      <c r="L14111" s="27">
        <v>14250</v>
      </c>
      <c r="M14111" s="36">
        <v>0</v>
      </c>
      <c r="T14111" s="41">
        <v>0</v>
      </c>
      <c r="U14111" s="41">
        <v>0</v>
      </c>
      <c r="V14111" s="42" t="s">
        <v>113</v>
      </c>
      <c r="W14111" s="42">
        <v>15000</v>
      </c>
      <c r="X14111" s="42">
        <v>15000</v>
      </c>
    </row>
    <row r="14112" spans="1:24">
      <c r="A14112" s="27" t="s">
        <v>25253</v>
      </c>
      <c r="B14112" s="28" t="s">
        <v>25214</v>
      </c>
      <c r="C14112" s="27" t="s">
        <v>25254</v>
      </c>
      <c r="D14112" s="27" t="s">
        <v>17558</v>
      </c>
      <c r="E14112" s="29">
        <v>40178</v>
      </c>
      <c r="F14112" s="27">
        <v>7</v>
      </c>
      <c r="G14112" s="18">
        <v>29500</v>
      </c>
      <c r="H14112" s="27">
        <f t="shared" si="440"/>
        <v>29500</v>
      </c>
      <c r="I14112" s="18">
        <v>28025</v>
      </c>
      <c r="J14112" s="27">
        <v>29500</v>
      </c>
      <c r="K14112" s="18">
        <f t="shared" si="441"/>
        <v>29500</v>
      </c>
      <c r="L14112" s="27">
        <v>28025</v>
      </c>
      <c r="M14112" s="36">
        <v>0</v>
      </c>
      <c r="T14112" s="41">
        <v>0</v>
      </c>
      <c r="U14112" s="41">
        <v>0</v>
      </c>
      <c r="V14112" s="42" t="s">
        <v>113</v>
      </c>
      <c r="W14112" s="42">
        <v>29500</v>
      </c>
      <c r="X14112" s="42">
        <v>29500</v>
      </c>
    </row>
    <row r="14113" spans="1:24">
      <c r="A14113" s="27" t="s">
        <v>25255</v>
      </c>
      <c r="B14113" s="28" t="s">
        <v>25214</v>
      </c>
      <c r="C14113" s="27" t="s">
        <v>24357</v>
      </c>
      <c r="D14113" s="27" t="s">
        <v>17578</v>
      </c>
      <c r="E14113" s="29">
        <v>39751</v>
      </c>
      <c r="F14113" s="27">
        <v>7</v>
      </c>
      <c r="G14113" s="18">
        <v>22932</v>
      </c>
      <c r="H14113" s="27">
        <f t="shared" si="440"/>
        <v>22932</v>
      </c>
      <c r="I14113" s="18">
        <v>21785.4</v>
      </c>
      <c r="J14113" s="27">
        <v>22932</v>
      </c>
      <c r="K14113" s="18">
        <f t="shared" si="441"/>
        <v>22932</v>
      </c>
      <c r="L14113" s="27">
        <v>21785.4</v>
      </c>
      <c r="M14113" s="36">
        <v>0</v>
      </c>
      <c r="T14113" s="41">
        <v>0</v>
      </c>
      <c r="U14113" s="41">
        <v>0</v>
      </c>
      <c r="V14113" s="42" t="s">
        <v>113</v>
      </c>
      <c r="W14113" s="42">
        <v>22932</v>
      </c>
      <c r="X14113" s="42">
        <v>22932</v>
      </c>
    </row>
    <row r="14114" spans="1:24">
      <c r="A14114" s="27" t="s">
        <v>25256</v>
      </c>
      <c r="B14114" s="28" t="s">
        <v>25214</v>
      </c>
      <c r="C14114" s="27" t="s">
        <v>24836</v>
      </c>
      <c r="D14114" s="27" t="s">
        <v>17558</v>
      </c>
      <c r="E14114" s="29">
        <v>39568</v>
      </c>
      <c r="F14114" s="27">
        <v>7</v>
      </c>
      <c r="G14114" s="18">
        <v>5244</v>
      </c>
      <c r="H14114" s="27">
        <f t="shared" si="440"/>
        <v>5244</v>
      </c>
      <c r="I14114" s="18">
        <v>4981.8</v>
      </c>
      <c r="J14114" s="27">
        <v>5244</v>
      </c>
      <c r="K14114" s="18">
        <f t="shared" si="441"/>
        <v>5244</v>
      </c>
      <c r="L14114" s="27">
        <v>4981.8</v>
      </c>
      <c r="M14114" s="36">
        <v>0</v>
      </c>
      <c r="T14114" s="41">
        <v>0</v>
      </c>
      <c r="U14114" s="41">
        <v>0</v>
      </c>
      <c r="V14114" s="42" t="s">
        <v>113</v>
      </c>
      <c r="W14114" s="42">
        <v>5244</v>
      </c>
      <c r="X14114" s="42">
        <v>5244</v>
      </c>
    </row>
    <row r="14115" spans="1:24">
      <c r="A14115" s="27" t="s">
        <v>25257</v>
      </c>
      <c r="B14115" s="28" t="s">
        <v>25214</v>
      </c>
      <c r="C14115" s="27" t="s">
        <v>25258</v>
      </c>
      <c r="D14115" s="27" t="s">
        <v>17558</v>
      </c>
      <c r="E14115" s="29">
        <v>40178</v>
      </c>
      <c r="F14115" s="27">
        <v>7</v>
      </c>
      <c r="G14115" s="18">
        <v>7350</v>
      </c>
      <c r="H14115" s="27">
        <f t="shared" si="440"/>
        <v>7350</v>
      </c>
      <c r="I14115" s="18">
        <v>6982.5</v>
      </c>
      <c r="J14115" s="27">
        <v>7350</v>
      </c>
      <c r="K14115" s="18">
        <f t="shared" si="441"/>
        <v>7350</v>
      </c>
      <c r="L14115" s="27">
        <v>6982.5</v>
      </c>
      <c r="M14115" s="36">
        <v>0</v>
      </c>
      <c r="T14115" s="41">
        <v>0</v>
      </c>
      <c r="U14115" s="41">
        <v>0</v>
      </c>
      <c r="V14115" s="42" t="s">
        <v>113</v>
      </c>
      <c r="W14115" s="42">
        <v>7350</v>
      </c>
      <c r="X14115" s="42">
        <v>7350</v>
      </c>
    </row>
    <row r="14116" spans="1:24">
      <c r="A14116" s="27" t="s">
        <v>25259</v>
      </c>
      <c r="B14116" s="28" t="s">
        <v>25214</v>
      </c>
      <c r="C14116" s="27" t="s">
        <v>24362</v>
      </c>
      <c r="D14116" s="27" t="s">
        <v>17558</v>
      </c>
      <c r="E14116" s="29">
        <v>38928</v>
      </c>
      <c r="F14116" s="27">
        <v>7</v>
      </c>
      <c r="G14116" s="18">
        <v>3243</v>
      </c>
      <c r="H14116" s="27">
        <f t="shared" si="440"/>
        <v>3243</v>
      </c>
      <c r="I14116" s="18">
        <v>3243</v>
      </c>
      <c r="J14116" s="27">
        <v>3243</v>
      </c>
      <c r="K14116" s="18">
        <f t="shared" si="441"/>
        <v>3243</v>
      </c>
      <c r="L14116" s="27">
        <v>3243</v>
      </c>
      <c r="M14116" s="36">
        <v>0</v>
      </c>
      <c r="T14116" s="41">
        <v>0</v>
      </c>
      <c r="U14116" s="41">
        <v>0</v>
      </c>
      <c r="V14116" s="42" t="s">
        <v>113</v>
      </c>
      <c r="W14116" s="42">
        <v>3243</v>
      </c>
      <c r="X14116" s="42">
        <v>3243</v>
      </c>
    </row>
    <row r="14117" spans="1:24">
      <c r="A14117" s="27" t="s">
        <v>25260</v>
      </c>
      <c r="B14117" s="28" t="s">
        <v>25214</v>
      </c>
      <c r="C14117" s="27" t="s">
        <v>25261</v>
      </c>
      <c r="D14117" s="27" t="s">
        <v>17558</v>
      </c>
      <c r="E14117" s="29">
        <v>39751</v>
      </c>
      <c r="F14117" s="27">
        <v>7</v>
      </c>
      <c r="G14117" s="18">
        <v>4900</v>
      </c>
      <c r="H14117" s="27">
        <f t="shared" si="440"/>
        <v>4900</v>
      </c>
      <c r="I14117" s="18">
        <v>4900</v>
      </c>
      <c r="J14117" s="27">
        <v>4900</v>
      </c>
      <c r="K14117" s="18">
        <f t="shared" si="441"/>
        <v>4900</v>
      </c>
      <c r="L14117" s="27">
        <v>4900</v>
      </c>
      <c r="M14117" s="36">
        <v>0</v>
      </c>
      <c r="T14117" s="41">
        <v>0</v>
      </c>
      <c r="U14117" s="41">
        <v>0</v>
      </c>
      <c r="V14117" s="42" t="s">
        <v>113</v>
      </c>
      <c r="W14117" s="42">
        <v>4900</v>
      </c>
      <c r="X14117" s="42">
        <v>4900</v>
      </c>
    </row>
    <row r="14118" spans="1:24">
      <c r="A14118" s="27" t="s">
        <v>25262</v>
      </c>
      <c r="B14118" s="28" t="s">
        <v>25214</v>
      </c>
      <c r="C14118" s="27" t="s">
        <v>25263</v>
      </c>
      <c r="D14118" s="27" t="s">
        <v>17558</v>
      </c>
      <c r="E14118" s="29">
        <v>39813</v>
      </c>
      <c r="F14118" s="27">
        <v>7</v>
      </c>
      <c r="G14118" s="18">
        <v>11700</v>
      </c>
      <c r="H14118" s="27">
        <f t="shared" si="440"/>
        <v>11700</v>
      </c>
      <c r="I14118" s="18">
        <v>11115</v>
      </c>
      <c r="J14118" s="27">
        <v>11700</v>
      </c>
      <c r="K14118" s="18">
        <f t="shared" si="441"/>
        <v>11700</v>
      </c>
      <c r="L14118" s="27">
        <v>11115</v>
      </c>
      <c r="M14118" s="36">
        <v>0</v>
      </c>
      <c r="T14118" s="41">
        <v>0</v>
      </c>
      <c r="U14118" s="41">
        <v>0</v>
      </c>
      <c r="V14118" s="42" t="s">
        <v>113</v>
      </c>
      <c r="W14118" s="42">
        <v>11700</v>
      </c>
      <c r="X14118" s="42">
        <v>11700</v>
      </c>
    </row>
    <row r="14119" spans="1:24">
      <c r="A14119" s="27" t="s">
        <v>25264</v>
      </c>
      <c r="B14119" s="28" t="s">
        <v>25214</v>
      </c>
      <c r="C14119" s="27" t="s">
        <v>25265</v>
      </c>
      <c r="D14119" s="27" t="s">
        <v>17558</v>
      </c>
      <c r="E14119" s="29">
        <v>39751</v>
      </c>
      <c r="F14119" s="27">
        <v>7</v>
      </c>
      <c r="G14119" s="18">
        <v>22932</v>
      </c>
      <c r="H14119" s="27">
        <f t="shared" si="440"/>
        <v>22932</v>
      </c>
      <c r="I14119" s="18">
        <v>21785.4</v>
      </c>
      <c r="J14119" s="27">
        <v>22932</v>
      </c>
      <c r="K14119" s="18">
        <f t="shared" si="441"/>
        <v>22932</v>
      </c>
      <c r="L14119" s="27">
        <v>21785.4</v>
      </c>
      <c r="M14119" s="36">
        <v>0</v>
      </c>
      <c r="T14119" s="41">
        <v>0</v>
      </c>
      <c r="U14119" s="41">
        <v>0</v>
      </c>
      <c r="V14119" s="42" t="s">
        <v>113</v>
      </c>
      <c r="W14119" s="42">
        <v>22932</v>
      </c>
      <c r="X14119" s="42">
        <v>22932</v>
      </c>
    </row>
    <row r="14120" spans="1:24">
      <c r="A14120" s="27" t="s">
        <v>25266</v>
      </c>
      <c r="B14120" s="28" t="s">
        <v>25214</v>
      </c>
      <c r="C14120" s="27" t="s">
        <v>25267</v>
      </c>
      <c r="D14120" s="27" t="s">
        <v>17558</v>
      </c>
      <c r="E14120" s="29">
        <v>40178</v>
      </c>
      <c r="F14120" s="27">
        <v>7</v>
      </c>
      <c r="G14120" s="18">
        <v>22400</v>
      </c>
      <c r="H14120" s="27">
        <f t="shared" si="440"/>
        <v>22400</v>
      </c>
      <c r="I14120" s="18">
        <v>21280</v>
      </c>
      <c r="J14120" s="27">
        <v>22400</v>
      </c>
      <c r="K14120" s="18">
        <f t="shared" si="441"/>
        <v>22400</v>
      </c>
      <c r="L14120" s="27">
        <v>21280</v>
      </c>
      <c r="M14120" s="36">
        <v>0</v>
      </c>
      <c r="T14120" s="41">
        <v>0</v>
      </c>
      <c r="U14120" s="41">
        <v>0</v>
      </c>
      <c r="V14120" s="42" t="s">
        <v>113</v>
      </c>
      <c r="W14120" s="42">
        <v>22400</v>
      </c>
      <c r="X14120" s="42">
        <v>22400</v>
      </c>
    </row>
    <row r="14121" spans="1:24">
      <c r="A14121" s="27" t="s">
        <v>25268</v>
      </c>
      <c r="B14121" s="28" t="s">
        <v>25214</v>
      </c>
      <c r="C14121" s="27" t="s">
        <v>24357</v>
      </c>
      <c r="D14121" s="27" t="s">
        <v>17578</v>
      </c>
      <c r="E14121" s="29">
        <v>39751</v>
      </c>
      <c r="F14121" s="27">
        <v>7</v>
      </c>
      <c r="G14121" s="18">
        <v>22932</v>
      </c>
      <c r="H14121" s="27">
        <f t="shared" si="440"/>
        <v>22932</v>
      </c>
      <c r="I14121" s="18">
        <v>21785.4</v>
      </c>
      <c r="J14121" s="27">
        <v>22932</v>
      </c>
      <c r="K14121" s="18">
        <f t="shared" si="441"/>
        <v>22932</v>
      </c>
      <c r="L14121" s="27">
        <v>21785.4</v>
      </c>
      <c r="M14121" s="36">
        <v>0</v>
      </c>
      <c r="T14121" s="41">
        <v>0</v>
      </c>
      <c r="U14121" s="41">
        <v>0</v>
      </c>
      <c r="V14121" s="42" t="s">
        <v>113</v>
      </c>
      <c r="W14121" s="42">
        <v>22932</v>
      </c>
      <c r="X14121" s="42">
        <v>22932</v>
      </c>
    </row>
    <row r="14122" spans="1:24">
      <c r="A14122" s="27" t="s">
        <v>25269</v>
      </c>
      <c r="B14122" s="28" t="s">
        <v>25214</v>
      </c>
      <c r="C14122" s="27" t="s">
        <v>24833</v>
      </c>
      <c r="D14122" s="27" t="s">
        <v>17558</v>
      </c>
      <c r="E14122" s="29">
        <v>39477</v>
      </c>
      <c r="F14122" s="27">
        <v>7</v>
      </c>
      <c r="G14122" s="18">
        <v>95000</v>
      </c>
      <c r="H14122" s="27">
        <f t="shared" si="440"/>
        <v>95000</v>
      </c>
      <c r="I14122" s="18">
        <v>90250</v>
      </c>
      <c r="J14122" s="27">
        <v>95000</v>
      </c>
      <c r="K14122" s="18">
        <f t="shared" si="441"/>
        <v>95000</v>
      </c>
      <c r="L14122" s="27">
        <v>90250</v>
      </c>
      <c r="M14122" s="36">
        <v>0</v>
      </c>
      <c r="T14122" s="41">
        <v>0</v>
      </c>
      <c r="U14122" s="41">
        <v>0</v>
      </c>
      <c r="V14122" s="42" t="s">
        <v>113</v>
      </c>
      <c r="W14122" s="42">
        <v>95000</v>
      </c>
      <c r="X14122" s="42">
        <v>95000</v>
      </c>
    </row>
    <row r="14123" spans="1:24">
      <c r="A14123" s="27" t="s">
        <v>25270</v>
      </c>
      <c r="B14123" s="28" t="s">
        <v>25214</v>
      </c>
      <c r="C14123" s="27" t="s">
        <v>25271</v>
      </c>
      <c r="D14123" s="27" t="s">
        <v>17558</v>
      </c>
      <c r="E14123" s="29">
        <v>40178</v>
      </c>
      <c r="F14123" s="27">
        <v>7</v>
      </c>
      <c r="G14123" s="18">
        <v>27300</v>
      </c>
      <c r="H14123" s="27">
        <f t="shared" si="440"/>
        <v>27300</v>
      </c>
      <c r="I14123" s="18">
        <v>25935</v>
      </c>
      <c r="J14123" s="27">
        <v>27300</v>
      </c>
      <c r="K14123" s="18">
        <f t="shared" si="441"/>
        <v>27300</v>
      </c>
      <c r="L14123" s="27">
        <v>25935</v>
      </c>
      <c r="M14123" s="36">
        <v>0</v>
      </c>
      <c r="T14123" s="41">
        <v>0</v>
      </c>
      <c r="U14123" s="41">
        <v>0</v>
      </c>
      <c r="V14123" s="42" t="s">
        <v>113</v>
      </c>
      <c r="W14123" s="42">
        <v>27300</v>
      </c>
      <c r="X14123" s="42">
        <v>27300</v>
      </c>
    </row>
    <row r="14124" spans="1:24">
      <c r="A14124" s="27" t="s">
        <v>25272</v>
      </c>
      <c r="B14124" s="28" t="s">
        <v>25214</v>
      </c>
      <c r="C14124" s="27" t="s">
        <v>25273</v>
      </c>
      <c r="D14124" s="27" t="s">
        <v>17578</v>
      </c>
      <c r="E14124" s="29">
        <v>39447</v>
      </c>
      <c r="F14124" s="27">
        <v>7</v>
      </c>
      <c r="G14124" s="18">
        <v>5100</v>
      </c>
      <c r="H14124" s="27">
        <f t="shared" si="440"/>
        <v>5100</v>
      </c>
      <c r="I14124" s="18">
        <v>4845</v>
      </c>
      <c r="J14124" s="27">
        <v>5100</v>
      </c>
      <c r="K14124" s="18">
        <f t="shared" si="441"/>
        <v>5100</v>
      </c>
      <c r="L14124" s="27">
        <v>4845</v>
      </c>
      <c r="M14124" s="36">
        <v>0</v>
      </c>
      <c r="T14124" s="41">
        <v>0</v>
      </c>
      <c r="U14124" s="41">
        <v>0</v>
      </c>
      <c r="V14124" s="42" t="s">
        <v>113</v>
      </c>
      <c r="W14124" s="42">
        <v>5100</v>
      </c>
      <c r="X14124" s="42">
        <v>5100</v>
      </c>
    </row>
    <row r="14125" spans="1:24">
      <c r="A14125" s="27" t="s">
        <v>25274</v>
      </c>
      <c r="B14125" s="28" t="s">
        <v>25214</v>
      </c>
      <c r="C14125" s="27" t="s">
        <v>25275</v>
      </c>
      <c r="D14125" s="27" t="s">
        <v>17558</v>
      </c>
      <c r="E14125" s="29">
        <v>39782</v>
      </c>
      <c r="F14125" s="27">
        <v>7</v>
      </c>
      <c r="G14125" s="18">
        <v>14400</v>
      </c>
      <c r="H14125" s="27">
        <f t="shared" si="440"/>
        <v>14400</v>
      </c>
      <c r="I14125" s="18">
        <v>13680</v>
      </c>
      <c r="J14125" s="27">
        <v>14400</v>
      </c>
      <c r="K14125" s="18">
        <f t="shared" si="441"/>
        <v>14400</v>
      </c>
      <c r="L14125" s="27">
        <v>13680</v>
      </c>
      <c r="M14125" s="36">
        <v>0</v>
      </c>
      <c r="T14125" s="41">
        <v>0</v>
      </c>
      <c r="U14125" s="41">
        <v>0</v>
      </c>
      <c r="V14125" s="42" t="s">
        <v>113</v>
      </c>
      <c r="W14125" s="42">
        <v>14400</v>
      </c>
      <c r="X14125" s="42">
        <v>14400</v>
      </c>
    </row>
    <row r="14126" spans="1:24">
      <c r="A14126" s="27" t="s">
        <v>25276</v>
      </c>
      <c r="B14126" s="28" t="s">
        <v>25214</v>
      </c>
      <c r="C14126" s="27" t="s">
        <v>25277</v>
      </c>
      <c r="D14126" s="27" t="s">
        <v>17558</v>
      </c>
      <c r="E14126" s="29">
        <v>40178</v>
      </c>
      <c r="F14126" s="27">
        <v>7</v>
      </c>
      <c r="G14126" s="18">
        <v>4500</v>
      </c>
      <c r="H14126" s="27">
        <f t="shared" si="440"/>
        <v>4500</v>
      </c>
      <c r="I14126" s="18">
        <v>4500</v>
      </c>
      <c r="J14126" s="27">
        <v>4500</v>
      </c>
      <c r="K14126" s="18">
        <f t="shared" si="441"/>
        <v>4500</v>
      </c>
      <c r="L14126" s="27">
        <v>4500</v>
      </c>
      <c r="M14126" s="36">
        <v>0</v>
      </c>
      <c r="T14126" s="41">
        <v>0</v>
      </c>
      <c r="U14126" s="41">
        <v>0</v>
      </c>
      <c r="V14126" s="42" t="s">
        <v>113</v>
      </c>
      <c r="W14126" s="42">
        <v>4500</v>
      </c>
      <c r="X14126" s="42">
        <v>4500</v>
      </c>
    </row>
    <row r="14127" spans="1:24">
      <c r="A14127" s="27" t="s">
        <v>25278</v>
      </c>
      <c r="B14127" s="28" t="s">
        <v>25214</v>
      </c>
      <c r="C14127" s="27" t="s">
        <v>24362</v>
      </c>
      <c r="D14127" s="27" t="s">
        <v>17558</v>
      </c>
      <c r="E14127" s="29">
        <v>39324</v>
      </c>
      <c r="F14127" s="27">
        <v>7</v>
      </c>
      <c r="G14127" s="18">
        <v>2158</v>
      </c>
      <c r="H14127" s="27">
        <f t="shared" si="440"/>
        <v>2158</v>
      </c>
      <c r="I14127" s="18">
        <v>2158</v>
      </c>
      <c r="J14127" s="27">
        <v>2158</v>
      </c>
      <c r="K14127" s="18">
        <f t="shared" si="441"/>
        <v>2158</v>
      </c>
      <c r="L14127" s="27">
        <v>2158</v>
      </c>
      <c r="M14127" s="36">
        <v>0</v>
      </c>
      <c r="T14127" s="41">
        <v>0</v>
      </c>
      <c r="U14127" s="41">
        <v>0</v>
      </c>
      <c r="V14127" s="42" t="s">
        <v>113</v>
      </c>
      <c r="W14127" s="42">
        <v>2158</v>
      </c>
      <c r="X14127" s="42">
        <v>2158</v>
      </c>
    </row>
    <row r="14128" spans="1:24">
      <c r="A14128" s="27" t="s">
        <v>25279</v>
      </c>
      <c r="B14128" s="28" t="s">
        <v>25214</v>
      </c>
      <c r="C14128" s="27" t="s">
        <v>25280</v>
      </c>
      <c r="D14128" s="27" t="s">
        <v>17558</v>
      </c>
      <c r="E14128" s="29">
        <v>40178</v>
      </c>
      <c r="F14128" s="27">
        <v>7</v>
      </c>
      <c r="G14128" s="18">
        <v>14100</v>
      </c>
      <c r="H14128" s="27">
        <f t="shared" si="440"/>
        <v>14100</v>
      </c>
      <c r="I14128" s="18">
        <v>13395</v>
      </c>
      <c r="J14128" s="27">
        <v>14100</v>
      </c>
      <c r="K14128" s="18">
        <f t="shared" si="441"/>
        <v>14100</v>
      </c>
      <c r="L14128" s="27">
        <v>13395</v>
      </c>
      <c r="M14128" s="36">
        <v>0</v>
      </c>
      <c r="T14128" s="41">
        <v>0</v>
      </c>
      <c r="U14128" s="41">
        <v>0</v>
      </c>
      <c r="V14128" s="42" t="s">
        <v>113</v>
      </c>
      <c r="W14128" s="42">
        <v>14100</v>
      </c>
      <c r="X14128" s="42">
        <v>14100</v>
      </c>
    </row>
    <row r="14129" spans="1:24">
      <c r="A14129" s="27" t="s">
        <v>25281</v>
      </c>
      <c r="B14129" s="28" t="s">
        <v>25214</v>
      </c>
      <c r="C14129" s="27" t="s">
        <v>25282</v>
      </c>
      <c r="D14129" s="27" t="s">
        <v>17558</v>
      </c>
      <c r="E14129" s="29">
        <v>39751</v>
      </c>
      <c r="F14129" s="27">
        <v>7</v>
      </c>
      <c r="G14129" s="18">
        <v>2450</v>
      </c>
      <c r="H14129" s="27">
        <f t="shared" si="440"/>
        <v>2450</v>
      </c>
      <c r="I14129" s="18">
        <v>2450</v>
      </c>
      <c r="J14129" s="27">
        <v>2450</v>
      </c>
      <c r="K14129" s="18">
        <f t="shared" si="441"/>
        <v>2450</v>
      </c>
      <c r="L14129" s="27">
        <v>2450</v>
      </c>
      <c r="M14129" s="36">
        <v>0</v>
      </c>
      <c r="T14129" s="41">
        <v>0</v>
      </c>
      <c r="U14129" s="41">
        <v>0</v>
      </c>
      <c r="V14129" s="42" t="s">
        <v>113</v>
      </c>
      <c r="W14129" s="42">
        <v>2450</v>
      </c>
      <c r="X14129" s="42">
        <v>2450</v>
      </c>
    </row>
    <row r="14130" spans="1:24">
      <c r="A14130" s="27" t="s">
        <v>25283</v>
      </c>
      <c r="B14130" s="28" t="s">
        <v>25214</v>
      </c>
      <c r="C14130" s="27" t="s">
        <v>25282</v>
      </c>
      <c r="D14130" s="27" t="s">
        <v>17558</v>
      </c>
      <c r="E14130" s="29">
        <v>39751</v>
      </c>
      <c r="F14130" s="27">
        <v>7</v>
      </c>
      <c r="G14130" s="18">
        <v>11466</v>
      </c>
      <c r="H14130" s="27">
        <f t="shared" si="440"/>
        <v>11466</v>
      </c>
      <c r="I14130" s="18">
        <v>10892.7</v>
      </c>
      <c r="J14130" s="27">
        <v>11466</v>
      </c>
      <c r="K14130" s="18">
        <f t="shared" si="441"/>
        <v>11466</v>
      </c>
      <c r="L14130" s="27">
        <v>10892.7</v>
      </c>
      <c r="M14130" s="36">
        <v>0</v>
      </c>
      <c r="T14130" s="41">
        <v>0</v>
      </c>
      <c r="U14130" s="41">
        <v>0</v>
      </c>
      <c r="V14130" s="42" t="s">
        <v>113</v>
      </c>
      <c r="W14130" s="42">
        <v>11466</v>
      </c>
      <c r="X14130" s="42">
        <v>11466</v>
      </c>
    </row>
    <row r="14131" spans="1:24">
      <c r="A14131" s="27" t="s">
        <v>25284</v>
      </c>
      <c r="B14131" s="28" t="s">
        <v>25214</v>
      </c>
      <c r="C14131" s="27" t="s">
        <v>25285</v>
      </c>
      <c r="D14131" s="27" t="s">
        <v>17558</v>
      </c>
      <c r="E14131" s="29">
        <v>39447</v>
      </c>
      <c r="F14131" s="27">
        <v>7</v>
      </c>
      <c r="G14131" s="18">
        <v>2160</v>
      </c>
      <c r="H14131" s="27">
        <f t="shared" si="440"/>
        <v>2160</v>
      </c>
      <c r="I14131" s="18">
        <v>2160</v>
      </c>
      <c r="J14131" s="27">
        <v>2160</v>
      </c>
      <c r="K14131" s="18">
        <f t="shared" si="441"/>
        <v>2160</v>
      </c>
      <c r="L14131" s="27">
        <v>2160</v>
      </c>
      <c r="M14131" s="36">
        <v>0</v>
      </c>
      <c r="T14131" s="41">
        <v>0</v>
      </c>
      <c r="U14131" s="41">
        <v>0</v>
      </c>
      <c r="V14131" s="42" t="s">
        <v>113</v>
      </c>
      <c r="W14131" s="42">
        <v>2160</v>
      </c>
      <c r="X14131" s="42">
        <v>2160</v>
      </c>
    </row>
    <row r="14132" spans="1:24">
      <c r="A14132" s="27" t="s">
        <v>25286</v>
      </c>
      <c r="B14132" s="28" t="s">
        <v>25214</v>
      </c>
      <c r="C14132" s="27" t="s">
        <v>25287</v>
      </c>
      <c r="D14132" s="27" t="s">
        <v>17558</v>
      </c>
      <c r="E14132" s="29">
        <v>40178</v>
      </c>
      <c r="F14132" s="27">
        <v>7</v>
      </c>
      <c r="G14132" s="18">
        <v>40000</v>
      </c>
      <c r="H14132" s="27">
        <f t="shared" si="440"/>
        <v>40000</v>
      </c>
      <c r="I14132" s="18">
        <v>38000</v>
      </c>
      <c r="J14132" s="27">
        <v>40000</v>
      </c>
      <c r="K14132" s="18">
        <f t="shared" si="441"/>
        <v>40000</v>
      </c>
      <c r="L14132" s="27">
        <v>38000</v>
      </c>
      <c r="M14132" s="36">
        <v>0</v>
      </c>
      <c r="T14132" s="41">
        <v>0</v>
      </c>
      <c r="U14132" s="41">
        <v>0</v>
      </c>
      <c r="V14132" s="42" t="s">
        <v>113</v>
      </c>
      <c r="W14132" s="42">
        <v>40000</v>
      </c>
      <c r="X14132" s="42">
        <v>40000</v>
      </c>
    </row>
    <row r="14133" spans="1:24">
      <c r="A14133" s="27" t="s">
        <v>25288</v>
      </c>
      <c r="B14133" s="28" t="s">
        <v>25214</v>
      </c>
      <c r="C14133" s="27" t="s">
        <v>25289</v>
      </c>
      <c r="D14133" s="27" t="s">
        <v>17558</v>
      </c>
      <c r="E14133" s="29">
        <v>39385</v>
      </c>
      <c r="F14133" s="27">
        <v>7</v>
      </c>
      <c r="G14133" s="18">
        <v>2252.5</v>
      </c>
      <c r="H14133" s="27">
        <f t="shared" si="440"/>
        <v>2252.5</v>
      </c>
      <c r="I14133" s="18">
        <v>2252.5</v>
      </c>
      <c r="J14133" s="27">
        <v>2252.5</v>
      </c>
      <c r="K14133" s="18">
        <f t="shared" si="441"/>
        <v>2252.5</v>
      </c>
      <c r="L14133" s="27">
        <v>2252.5</v>
      </c>
      <c r="M14133" s="36">
        <v>0</v>
      </c>
      <c r="T14133" s="41">
        <v>0</v>
      </c>
      <c r="U14133" s="41">
        <v>0</v>
      </c>
      <c r="V14133" s="42" t="s">
        <v>113</v>
      </c>
      <c r="W14133" s="42">
        <v>2252.5</v>
      </c>
      <c r="X14133" s="42">
        <v>2252.5</v>
      </c>
    </row>
    <row r="14134" spans="1:24">
      <c r="A14134" s="27" t="s">
        <v>25290</v>
      </c>
      <c r="B14134" s="28" t="s">
        <v>25214</v>
      </c>
      <c r="C14134" s="27" t="s">
        <v>25291</v>
      </c>
      <c r="D14134" s="27" t="s">
        <v>17558</v>
      </c>
      <c r="E14134" s="29">
        <v>40178</v>
      </c>
      <c r="F14134" s="27">
        <v>7</v>
      </c>
      <c r="G14134" s="18">
        <v>8550</v>
      </c>
      <c r="H14134" s="27">
        <f t="shared" si="440"/>
        <v>8550</v>
      </c>
      <c r="I14134" s="18">
        <v>8122.5</v>
      </c>
      <c r="J14134" s="27">
        <v>8550</v>
      </c>
      <c r="K14134" s="18">
        <f t="shared" si="441"/>
        <v>8550</v>
      </c>
      <c r="L14134" s="27">
        <v>8122.5</v>
      </c>
      <c r="M14134" s="36">
        <v>0</v>
      </c>
      <c r="T14134" s="41">
        <v>0</v>
      </c>
      <c r="U14134" s="41">
        <v>0</v>
      </c>
      <c r="V14134" s="42" t="s">
        <v>113</v>
      </c>
      <c r="W14134" s="42">
        <v>8550</v>
      </c>
      <c r="X14134" s="42">
        <v>8550</v>
      </c>
    </row>
    <row r="14135" spans="1:24">
      <c r="A14135" s="27" t="s">
        <v>25292</v>
      </c>
      <c r="B14135" s="28" t="s">
        <v>25214</v>
      </c>
      <c r="C14135" s="27" t="s">
        <v>25289</v>
      </c>
      <c r="D14135" s="27" t="s">
        <v>17558</v>
      </c>
      <c r="E14135" s="29">
        <v>39477</v>
      </c>
      <c r="F14135" s="27">
        <v>7</v>
      </c>
      <c r="G14135" s="18">
        <v>122265</v>
      </c>
      <c r="H14135" s="27">
        <f t="shared" si="440"/>
        <v>122265</v>
      </c>
      <c r="I14135" s="18">
        <v>116151.75</v>
      </c>
      <c r="J14135" s="27">
        <v>122265</v>
      </c>
      <c r="K14135" s="18">
        <f t="shared" si="441"/>
        <v>122265</v>
      </c>
      <c r="L14135" s="27">
        <v>116151.75</v>
      </c>
      <c r="M14135" s="36">
        <v>0</v>
      </c>
      <c r="T14135" s="41">
        <v>0</v>
      </c>
      <c r="U14135" s="41">
        <v>0</v>
      </c>
      <c r="V14135" s="42" t="s">
        <v>113</v>
      </c>
      <c r="W14135" s="42">
        <v>122265</v>
      </c>
      <c r="X14135" s="42">
        <v>122265</v>
      </c>
    </row>
    <row r="14136" spans="1:24">
      <c r="A14136" s="27" t="s">
        <v>25293</v>
      </c>
      <c r="B14136" s="28" t="s">
        <v>25214</v>
      </c>
      <c r="C14136" s="27" t="s">
        <v>25294</v>
      </c>
      <c r="D14136" s="27" t="s">
        <v>17558</v>
      </c>
      <c r="E14136" s="29">
        <v>39813</v>
      </c>
      <c r="F14136" s="27">
        <v>7</v>
      </c>
      <c r="G14136" s="18">
        <v>15000</v>
      </c>
      <c r="H14136" s="27">
        <f t="shared" si="440"/>
        <v>15000</v>
      </c>
      <c r="I14136" s="18">
        <v>14250</v>
      </c>
      <c r="J14136" s="27">
        <v>15000</v>
      </c>
      <c r="K14136" s="18">
        <f t="shared" si="441"/>
        <v>15000</v>
      </c>
      <c r="L14136" s="27">
        <v>14250</v>
      </c>
      <c r="M14136" s="36">
        <v>0</v>
      </c>
      <c r="T14136" s="41">
        <v>0</v>
      </c>
      <c r="U14136" s="41">
        <v>0</v>
      </c>
      <c r="V14136" s="42" t="s">
        <v>113</v>
      </c>
      <c r="W14136" s="42">
        <v>15000</v>
      </c>
      <c r="X14136" s="42">
        <v>15000</v>
      </c>
    </row>
    <row r="14137" spans="1:24">
      <c r="A14137" s="27" t="s">
        <v>25295</v>
      </c>
      <c r="B14137" s="28" t="s">
        <v>25214</v>
      </c>
      <c r="C14137" s="27" t="s">
        <v>25296</v>
      </c>
      <c r="D14137" s="27" t="s">
        <v>17558</v>
      </c>
      <c r="E14137" s="29">
        <v>40178</v>
      </c>
      <c r="F14137" s="27">
        <v>7</v>
      </c>
      <c r="G14137" s="18">
        <v>4800</v>
      </c>
      <c r="H14137" s="27">
        <f t="shared" si="440"/>
        <v>4800</v>
      </c>
      <c r="I14137" s="18">
        <v>4800</v>
      </c>
      <c r="J14137" s="27">
        <v>4800</v>
      </c>
      <c r="K14137" s="18">
        <f t="shared" si="441"/>
        <v>4800</v>
      </c>
      <c r="L14137" s="27">
        <v>4800</v>
      </c>
      <c r="M14137" s="36">
        <v>0</v>
      </c>
      <c r="T14137" s="41">
        <v>0</v>
      </c>
      <c r="U14137" s="41">
        <v>0</v>
      </c>
      <c r="V14137" s="42" t="s">
        <v>113</v>
      </c>
      <c r="W14137" s="42">
        <v>4800</v>
      </c>
      <c r="X14137" s="42">
        <v>4800</v>
      </c>
    </row>
    <row r="14138" spans="1:24">
      <c r="A14138" s="27" t="s">
        <v>25297</v>
      </c>
      <c r="B14138" s="28" t="s">
        <v>25214</v>
      </c>
      <c r="C14138" s="27" t="s">
        <v>25298</v>
      </c>
      <c r="D14138" s="27" t="s">
        <v>17558</v>
      </c>
      <c r="E14138" s="29">
        <v>40178</v>
      </c>
      <c r="F14138" s="27">
        <v>7</v>
      </c>
      <c r="G14138" s="18">
        <v>78000</v>
      </c>
      <c r="H14138" s="27">
        <f t="shared" si="440"/>
        <v>78000</v>
      </c>
      <c r="I14138" s="18">
        <v>74100</v>
      </c>
      <c r="J14138" s="27">
        <v>78000</v>
      </c>
      <c r="K14138" s="18">
        <f t="shared" si="441"/>
        <v>78000</v>
      </c>
      <c r="L14138" s="27">
        <v>74100</v>
      </c>
      <c r="M14138" s="36">
        <v>0</v>
      </c>
      <c r="T14138" s="41">
        <v>0</v>
      </c>
      <c r="U14138" s="41">
        <v>0</v>
      </c>
      <c r="V14138" s="42" t="s">
        <v>113</v>
      </c>
      <c r="W14138" s="42">
        <v>78000</v>
      </c>
      <c r="X14138" s="42">
        <v>78000</v>
      </c>
    </row>
    <row r="14139" spans="1:24">
      <c r="A14139" s="27" t="s">
        <v>25299</v>
      </c>
      <c r="B14139" s="28" t="s">
        <v>25214</v>
      </c>
      <c r="C14139" s="27" t="s">
        <v>25300</v>
      </c>
      <c r="D14139" s="27" t="s">
        <v>17558</v>
      </c>
      <c r="E14139" s="29">
        <v>40178</v>
      </c>
      <c r="F14139" s="27">
        <v>7</v>
      </c>
      <c r="G14139" s="18">
        <v>17000</v>
      </c>
      <c r="H14139" s="27">
        <f t="shared" si="440"/>
        <v>17000</v>
      </c>
      <c r="I14139" s="18">
        <v>16150</v>
      </c>
      <c r="J14139" s="27">
        <v>17000</v>
      </c>
      <c r="K14139" s="18">
        <f t="shared" si="441"/>
        <v>17000</v>
      </c>
      <c r="L14139" s="27">
        <v>16150</v>
      </c>
      <c r="M14139" s="36">
        <v>0</v>
      </c>
      <c r="T14139" s="41">
        <v>0</v>
      </c>
      <c r="U14139" s="41">
        <v>0</v>
      </c>
      <c r="V14139" s="42" t="s">
        <v>113</v>
      </c>
      <c r="W14139" s="42">
        <v>17000</v>
      </c>
      <c r="X14139" s="42">
        <v>17000</v>
      </c>
    </row>
    <row r="14140" spans="1:24">
      <c r="A14140" s="27" t="s">
        <v>25301</v>
      </c>
      <c r="B14140" s="28" t="s">
        <v>25214</v>
      </c>
      <c r="C14140" s="27" t="s">
        <v>25294</v>
      </c>
      <c r="D14140" s="27" t="s">
        <v>17558</v>
      </c>
      <c r="E14140" s="29">
        <v>39751</v>
      </c>
      <c r="F14140" s="27">
        <v>7</v>
      </c>
      <c r="G14140" s="18">
        <v>4900</v>
      </c>
      <c r="H14140" s="27">
        <f t="shared" si="440"/>
        <v>4900</v>
      </c>
      <c r="I14140" s="18">
        <v>4900</v>
      </c>
      <c r="J14140" s="27">
        <v>4900</v>
      </c>
      <c r="K14140" s="18">
        <f t="shared" si="441"/>
        <v>4900</v>
      </c>
      <c r="L14140" s="27">
        <v>4900</v>
      </c>
      <c r="M14140" s="36">
        <v>0</v>
      </c>
      <c r="T14140" s="41">
        <v>0</v>
      </c>
      <c r="U14140" s="41">
        <v>0</v>
      </c>
      <c r="V14140" s="42" t="s">
        <v>113</v>
      </c>
      <c r="W14140" s="42">
        <v>4900</v>
      </c>
      <c r="X14140" s="42">
        <v>4900</v>
      </c>
    </row>
    <row r="14141" spans="1:24">
      <c r="A14141" s="27" t="s">
        <v>25302</v>
      </c>
      <c r="B14141" s="28" t="s">
        <v>25214</v>
      </c>
      <c r="C14141" s="27" t="s">
        <v>25303</v>
      </c>
      <c r="D14141" s="27" t="s">
        <v>17558</v>
      </c>
      <c r="E14141" s="29">
        <v>39751</v>
      </c>
      <c r="F14141" s="27">
        <v>7</v>
      </c>
      <c r="G14141" s="18">
        <v>4900</v>
      </c>
      <c r="H14141" s="27">
        <f t="shared" si="440"/>
        <v>4900</v>
      </c>
      <c r="I14141" s="18">
        <v>4900</v>
      </c>
      <c r="J14141" s="27">
        <v>4900</v>
      </c>
      <c r="K14141" s="18">
        <f t="shared" si="441"/>
        <v>4900</v>
      </c>
      <c r="L14141" s="27">
        <v>4900</v>
      </c>
      <c r="M14141" s="36">
        <v>0</v>
      </c>
      <c r="T14141" s="41">
        <v>0</v>
      </c>
      <c r="U14141" s="41">
        <v>0</v>
      </c>
      <c r="V14141" s="42" t="s">
        <v>113</v>
      </c>
      <c r="W14141" s="42">
        <v>4900</v>
      </c>
      <c r="X14141" s="42">
        <v>4900</v>
      </c>
    </row>
    <row r="14142" spans="1:24">
      <c r="A14142" s="27" t="s">
        <v>25304</v>
      </c>
      <c r="B14142" s="28" t="s">
        <v>25214</v>
      </c>
      <c r="C14142" s="27" t="s">
        <v>25305</v>
      </c>
      <c r="D14142" s="27" t="s">
        <v>17558</v>
      </c>
      <c r="E14142" s="29">
        <v>40178</v>
      </c>
      <c r="F14142" s="27">
        <v>7</v>
      </c>
      <c r="G14142" s="18">
        <v>18040</v>
      </c>
      <c r="H14142" s="27">
        <f t="shared" si="440"/>
        <v>18040</v>
      </c>
      <c r="I14142" s="18">
        <v>17138</v>
      </c>
      <c r="J14142" s="27">
        <v>18040</v>
      </c>
      <c r="K14142" s="18">
        <f t="shared" si="441"/>
        <v>18040</v>
      </c>
      <c r="L14142" s="27">
        <v>17138</v>
      </c>
      <c r="M14142" s="36">
        <v>0</v>
      </c>
      <c r="T14142" s="41">
        <v>0</v>
      </c>
      <c r="U14142" s="41">
        <v>0</v>
      </c>
      <c r="V14142" s="42" t="s">
        <v>113</v>
      </c>
      <c r="W14142" s="42">
        <v>18040</v>
      </c>
      <c r="X14142" s="42">
        <v>18040</v>
      </c>
    </row>
    <row r="14143" spans="1:24">
      <c r="A14143" s="27" t="s">
        <v>25306</v>
      </c>
      <c r="B14143" s="28" t="s">
        <v>25214</v>
      </c>
      <c r="C14143" s="27" t="s">
        <v>19692</v>
      </c>
      <c r="D14143" s="27" t="s">
        <v>17558</v>
      </c>
      <c r="E14143" s="29">
        <v>39629</v>
      </c>
      <c r="F14143" s="27">
        <v>7</v>
      </c>
      <c r="G14143" s="18">
        <v>3654</v>
      </c>
      <c r="H14143" s="27">
        <f t="shared" si="440"/>
        <v>3654</v>
      </c>
      <c r="I14143" s="18">
        <v>3654</v>
      </c>
      <c r="J14143" s="27">
        <v>3654</v>
      </c>
      <c r="K14143" s="18">
        <f t="shared" si="441"/>
        <v>3654</v>
      </c>
      <c r="L14143" s="27">
        <v>3654</v>
      </c>
      <c r="M14143" s="36">
        <v>0</v>
      </c>
      <c r="T14143" s="41">
        <v>0</v>
      </c>
      <c r="U14143" s="41">
        <v>0</v>
      </c>
      <c r="V14143" s="42" t="s">
        <v>113</v>
      </c>
      <c r="W14143" s="42">
        <v>3654</v>
      </c>
      <c r="X14143" s="42">
        <v>3654</v>
      </c>
    </row>
    <row r="14144" spans="1:24">
      <c r="A14144" s="27" t="s">
        <v>25307</v>
      </c>
      <c r="B14144" s="28" t="s">
        <v>25214</v>
      </c>
      <c r="C14144" s="27" t="s">
        <v>25308</v>
      </c>
      <c r="D14144" s="27" t="s">
        <v>17558</v>
      </c>
      <c r="E14144" s="29">
        <v>40178</v>
      </c>
      <c r="F14144" s="27">
        <v>7</v>
      </c>
      <c r="G14144" s="18">
        <v>95040</v>
      </c>
      <c r="H14144" s="27">
        <f t="shared" si="440"/>
        <v>95040</v>
      </c>
      <c r="I14144" s="18">
        <v>90288</v>
      </c>
      <c r="J14144" s="27">
        <v>95040</v>
      </c>
      <c r="K14144" s="18">
        <f t="shared" si="441"/>
        <v>95040</v>
      </c>
      <c r="L14144" s="27">
        <v>90288</v>
      </c>
      <c r="M14144" s="36">
        <v>0</v>
      </c>
      <c r="T14144" s="41">
        <v>0</v>
      </c>
      <c r="U14144" s="41">
        <v>0</v>
      </c>
      <c r="V14144" s="42" t="s">
        <v>113</v>
      </c>
      <c r="W14144" s="42">
        <v>95040</v>
      </c>
      <c r="X14144" s="42">
        <v>95040</v>
      </c>
    </row>
    <row r="14145" spans="1:24">
      <c r="A14145" s="27" t="s">
        <v>25309</v>
      </c>
      <c r="B14145" s="28" t="s">
        <v>25214</v>
      </c>
      <c r="C14145" s="27" t="s">
        <v>25310</v>
      </c>
      <c r="D14145" s="27" t="s">
        <v>17558</v>
      </c>
      <c r="E14145" s="29">
        <v>40178</v>
      </c>
      <c r="F14145" s="27">
        <v>7</v>
      </c>
      <c r="G14145" s="18">
        <v>60000</v>
      </c>
      <c r="H14145" s="27">
        <f t="shared" si="440"/>
        <v>60000</v>
      </c>
      <c r="I14145" s="18">
        <v>57000</v>
      </c>
      <c r="J14145" s="27">
        <v>60000</v>
      </c>
      <c r="K14145" s="18">
        <f t="shared" si="441"/>
        <v>60000</v>
      </c>
      <c r="L14145" s="27">
        <v>57000</v>
      </c>
      <c r="M14145" s="36">
        <v>0</v>
      </c>
      <c r="T14145" s="41">
        <v>0</v>
      </c>
      <c r="U14145" s="41">
        <v>0</v>
      </c>
      <c r="V14145" s="42" t="s">
        <v>113</v>
      </c>
      <c r="W14145" s="42">
        <v>60000</v>
      </c>
      <c r="X14145" s="42">
        <v>60000</v>
      </c>
    </row>
    <row r="14146" spans="1:24">
      <c r="A14146" s="27" t="s">
        <v>25311</v>
      </c>
      <c r="B14146" s="28" t="s">
        <v>25214</v>
      </c>
      <c r="C14146" s="27" t="s">
        <v>25303</v>
      </c>
      <c r="D14146" s="27" t="s">
        <v>17558</v>
      </c>
      <c r="E14146" s="29">
        <v>39751</v>
      </c>
      <c r="F14146" s="27">
        <v>7</v>
      </c>
      <c r="G14146" s="18">
        <v>5733</v>
      </c>
      <c r="H14146" s="27">
        <f t="shared" si="440"/>
        <v>5733</v>
      </c>
      <c r="I14146" s="18">
        <v>5446.35</v>
      </c>
      <c r="J14146" s="27">
        <v>5733</v>
      </c>
      <c r="K14146" s="18">
        <f t="shared" si="441"/>
        <v>5733</v>
      </c>
      <c r="L14146" s="27">
        <v>5446.35</v>
      </c>
      <c r="M14146" s="36">
        <v>0</v>
      </c>
      <c r="T14146" s="41">
        <v>0</v>
      </c>
      <c r="U14146" s="41">
        <v>0</v>
      </c>
      <c r="V14146" s="42" t="s">
        <v>113</v>
      </c>
      <c r="W14146" s="42">
        <v>5733</v>
      </c>
      <c r="X14146" s="42">
        <v>5733</v>
      </c>
    </row>
    <row r="14147" spans="1:24">
      <c r="A14147" s="27" t="s">
        <v>25312</v>
      </c>
      <c r="B14147" s="28" t="s">
        <v>25214</v>
      </c>
      <c r="C14147" s="27" t="s">
        <v>24840</v>
      </c>
      <c r="D14147" s="27" t="s">
        <v>17558</v>
      </c>
      <c r="E14147" s="29">
        <v>39751</v>
      </c>
      <c r="F14147" s="27">
        <v>7</v>
      </c>
      <c r="G14147" s="18">
        <v>2450</v>
      </c>
      <c r="H14147" s="27">
        <f t="shared" si="440"/>
        <v>2450</v>
      </c>
      <c r="I14147" s="18">
        <v>2450</v>
      </c>
      <c r="J14147" s="27">
        <v>2450</v>
      </c>
      <c r="K14147" s="18">
        <f t="shared" si="441"/>
        <v>2450</v>
      </c>
      <c r="L14147" s="27">
        <v>2450</v>
      </c>
      <c r="M14147" s="36">
        <v>0</v>
      </c>
      <c r="T14147" s="41">
        <v>0</v>
      </c>
      <c r="U14147" s="41">
        <v>0</v>
      </c>
      <c r="V14147" s="42" t="s">
        <v>113</v>
      </c>
      <c r="W14147" s="42">
        <v>2450</v>
      </c>
      <c r="X14147" s="42">
        <v>2450</v>
      </c>
    </row>
    <row r="14148" spans="1:24">
      <c r="A14148" s="27" t="s">
        <v>25313</v>
      </c>
      <c r="B14148" s="28" t="s">
        <v>25214</v>
      </c>
      <c r="C14148" s="27" t="s">
        <v>25314</v>
      </c>
      <c r="D14148" s="27" t="s">
        <v>17558</v>
      </c>
      <c r="E14148" s="29">
        <v>41298</v>
      </c>
      <c r="F14148" s="27">
        <v>7</v>
      </c>
      <c r="G14148" s="18">
        <v>26068.38</v>
      </c>
      <c r="H14148" s="27">
        <f t="shared" si="440"/>
        <v>0</v>
      </c>
      <c r="I14148" s="18">
        <v>20932.28</v>
      </c>
      <c r="J14148" s="27">
        <v>26068.38</v>
      </c>
      <c r="K14148" s="18">
        <f t="shared" si="441"/>
        <v>0</v>
      </c>
      <c r="L14148" s="27">
        <v>24470.14</v>
      </c>
      <c r="M14148" s="36">
        <v>3537.86</v>
      </c>
      <c r="T14148" s="41">
        <v>0</v>
      </c>
      <c r="U14148" s="41">
        <v>0</v>
      </c>
      <c r="V14148" s="42" t="s">
        <v>113</v>
      </c>
      <c r="W14148" s="42">
        <v>26068.38</v>
      </c>
      <c r="X14148" s="42">
        <v>26068.38</v>
      </c>
    </row>
    <row r="14149" spans="1:24">
      <c r="A14149" s="27" t="s">
        <v>25315</v>
      </c>
      <c r="B14149" s="28" t="s">
        <v>25316</v>
      </c>
      <c r="C14149" s="27" t="s">
        <v>25317</v>
      </c>
      <c r="D14149" s="27" t="s">
        <v>118</v>
      </c>
      <c r="E14149" s="29">
        <v>37742</v>
      </c>
      <c r="F14149" s="27">
        <v>20</v>
      </c>
      <c r="G14149" s="18">
        <v>366913.79</v>
      </c>
      <c r="H14149" s="27">
        <f t="shared" si="440"/>
        <v>0</v>
      </c>
      <c r="I14149" s="18">
        <v>267227.57</v>
      </c>
      <c r="J14149" s="27">
        <v>366913.79</v>
      </c>
      <c r="K14149" s="18">
        <f t="shared" si="441"/>
        <v>0</v>
      </c>
      <c r="L14149" s="27">
        <v>285644.28999999998</v>
      </c>
      <c r="M14149" s="36">
        <v>18416.72</v>
      </c>
      <c r="T14149" s="41">
        <v>0</v>
      </c>
      <c r="U14149" s="41">
        <v>0</v>
      </c>
      <c r="V14149" s="42" t="s">
        <v>113</v>
      </c>
      <c r="W14149" s="42">
        <v>0</v>
      </c>
      <c r="X14149" s="42">
        <v>0</v>
      </c>
    </row>
    <row r="14150" spans="1:24">
      <c r="A14150" s="27" t="s">
        <v>25318</v>
      </c>
      <c r="B14150" s="28" t="s">
        <v>25316</v>
      </c>
      <c r="C14150" s="27" t="s">
        <v>25319</v>
      </c>
      <c r="D14150" s="27" t="s">
        <v>118</v>
      </c>
      <c r="E14150" s="29">
        <v>37742</v>
      </c>
      <c r="F14150" s="27">
        <v>20</v>
      </c>
      <c r="G14150" s="18">
        <v>2000044.53</v>
      </c>
      <c r="H14150" s="27">
        <f t="shared" ref="H14150:H14213" si="442">IFERROR(IF(ROUND((G14150-I14150)/G14150,2)&lt;=0.05,G14150,0),0)</f>
        <v>0</v>
      </c>
      <c r="I14150" s="18">
        <v>1508360.21</v>
      </c>
      <c r="J14150" s="27">
        <v>2000044.53</v>
      </c>
      <c r="K14150" s="18">
        <f t="shared" ref="K14150:K14213" si="443">IFERROR(IF(ROUND((J14150-L14150)/J14150,2)&lt;=0.05,J14150,0),0)</f>
        <v>0</v>
      </c>
      <c r="L14150" s="27">
        <v>1597042.95</v>
      </c>
      <c r="M14150" s="36">
        <v>88682.74</v>
      </c>
      <c r="T14150" s="41">
        <v>0</v>
      </c>
      <c r="U14150" s="41">
        <v>0</v>
      </c>
      <c r="V14150" s="42" t="s">
        <v>113</v>
      </c>
      <c r="W14150" s="42">
        <v>0</v>
      </c>
      <c r="X14150" s="42">
        <v>0</v>
      </c>
    </row>
    <row r="14151" spans="1:24">
      <c r="A14151" s="27" t="s">
        <v>25320</v>
      </c>
      <c r="B14151" s="28" t="s">
        <v>25316</v>
      </c>
      <c r="C14151" s="27" t="s">
        <v>25321</v>
      </c>
      <c r="D14151" s="27" t="s">
        <v>118</v>
      </c>
      <c r="E14151" s="29">
        <v>37742</v>
      </c>
      <c r="F14151" s="27">
        <v>20</v>
      </c>
      <c r="G14151" s="18">
        <v>47584.94</v>
      </c>
      <c r="H14151" s="27">
        <f t="shared" si="442"/>
        <v>0</v>
      </c>
      <c r="I14151" s="18">
        <v>35201.64</v>
      </c>
      <c r="J14151" s="27">
        <v>47584.94</v>
      </c>
      <c r="K14151" s="18">
        <f t="shared" si="443"/>
        <v>0</v>
      </c>
      <c r="L14151" s="27">
        <v>37466.71</v>
      </c>
      <c r="M14151" s="36">
        <v>2265.0700000000002</v>
      </c>
      <c r="T14151" s="41">
        <v>0</v>
      </c>
      <c r="U14151" s="41">
        <v>0</v>
      </c>
      <c r="V14151" s="42" t="s">
        <v>113</v>
      </c>
      <c r="W14151" s="42">
        <v>0</v>
      </c>
      <c r="X14151" s="42">
        <v>0</v>
      </c>
    </row>
    <row r="14152" spans="1:24">
      <c r="A14152" s="27" t="s">
        <v>25322</v>
      </c>
      <c r="B14152" s="28" t="s">
        <v>25316</v>
      </c>
      <c r="C14152" s="27" t="s">
        <v>25317</v>
      </c>
      <c r="D14152" s="27" t="s">
        <v>118</v>
      </c>
      <c r="E14152" s="29">
        <v>39692</v>
      </c>
      <c r="F14152" s="27">
        <v>20</v>
      </c>
      <c r="G14152" s="18">
        <v>1100893.29</v>
      </c>
      <c r="H14152" s="27">
        <f t="shared" si="442"/>
        <v>0</v>
      </c>
      <c r="I14152" s="18">
        <v>550141.98</v>
      </c>
      <c r="J14152" s="27">
        <v>1100893.29</v>
      </c>
      <c r="K14152" s="18">
        <f t="shared" si="443"/>
        <v>0</v>
      </c>
      <c r="L14152" s="27">
        <v>600983.68999999994</v>
      </c>
      <c r="M14152" s="36">
        <v>50841.71</v>
      </c>
      <c r="T14152" s="41">
        <v>0</v>
      </c>
      <c r="U14152" s="41">
        <v>0</v>
      </c>
      <c r="V14152" s="42" t="s">
        <v>113</v>
      </c>
      <c r="W14152" s="42">
        <v>0</v>
      </c>
      <c r="X14152" s="42">
        <v>0</v>
      </c>
    </row>
    <row r="14153" spans="1:24">
      <c r="A14153" s="27" t="s">
        <v>25323</v>
      </c>
      <c r="B14153" s="28" t="s">
        <v>25316</v>
      </c>
      <c r="C14153" s="27" t="s">
        <v>25324</v>
      </c>
      <c r="D14153" s="27" t="s">
        <v>118</v>
      </c>
      <c r="E14153" s="29">
        <v>39692</v>
      </c>
      <c r="F14153" s="27">
        <v>20</v>
      </c>
      <c r="G14153" s="18">
        <v>442915.09</v>
      </c>
      <c r="H14153" s="27">
        <f t="shared" si="442"/>
        <v>0</v>
      </c>
      <c r="I14153" s="18">
        <v>215292.82</v>
      </c>
      <c r="J14153" s="27">
        <v>442915.09</v>
      </c>
      <c r="K14153" s="18">
        <f t="shared" si="443"/>
        <v>0</v>
      </c>
      <c r="L14153" s="27">
        <v>236367.33</v>
      </c>
      <c r="M14153" s="36">
        <v>21074.51</v>
      </c>
      <c r="T14153" s="41">
        <v>0</v>
      </c>
      <c r="U14153" s="41">
        <v>0</v>
      </c>
      <c r="V14153" s="42" t="s">
        <v>113</v>
      </c>
      <c r="W14153" s="42">
        <v>0</v>
      </c>
      <c r="X14153" s="42">
        <v>0</v>
      </c>
    </row>
    <row r="14154" spans="1:24">
      <c r="A14154" s="27" t="s">
        <v>25325</v>
      </c>
      <c r="B14154" s="28" t="s">
        <v>25316</v>
      </c>
      <c r="C14154" s="27" t="s">
        <v>25321</v>
      </c>
      <c r="D14154" s="27" t="s">
        <v>118</v>
      </c>
      <c r="E14154" s="29">
        <v>39692</v>
      </c>
      <c r="F14154" s="27">
        <v>20</v>
      </c>
      <c r="G14154" s="18">
        <v>87444.69</v>
      </c>
      <c r="H14154" s="27">
        <f t="shared" si="442"/>
        <v>0</v>
      </c>
      <c r="I14154" s="18">
        <v>42505.23</v>
      </c>
      <c r="J14154" s="27">
        <v>87444.69</v>
      </c>
      <c r="K14154" s="18">
        <f t="shared" si="443"/>
        <v>0</v>
      </c>
      <c r="L14154" s="27">
        <v>46665.97</v>
      </c>
      <c r="M14154" s="36">
        <v>4160.74</v>
      </c>
      <c r="T14154" s="41">
        <v>0</v>
      </c>
      <c r="U14154" s="41">
        <v>0</v>
      </c>
      <c r="V14154" s="42" t="s">
        <v>113</v>
      </c>
      <c r="W14154" s="42">
        <v>0</v>
      </c>
      <c r="X14154" s="42">
        <v>0</v>
      </c>
    </row>
    <row r="14155" spans="1:24">
      <c r="A14155" s="27" t="s">
        <v>25326</v>
      </c>
      <c r="B14155" s="28" t="s">
        <v>25316</v>
      </c>
      <c r="C14155" s="27" t="s">
        <v>25327</v>
      </c>
      <c r="D14155" s="27" t="s">
        <v>220</v>
      </c>
      <c r="E14155" s="29">
        <v>38534</v>
      </c>
      <c r="F14155" s="27">
        <v>20</v>
      </c>
      <c r="G14155" s="18">
        <v>3104700.26</v>
      </c>
      <c r="H14155" s="27">
        <f t="shared" si="442"/>
        <v>0</v>
      </c>
      <c r="I14155" s="18">
        <v>2143100.14</v>
      </c>
      <c r="J14155" s="27">
        <v>3104700.26</v>
      </c>
      <c r="K14155" s="18">
        <f t="shared" si="443"/>
        <v>0</v>
      </c>
      <c r="L14155" s="27">
        <v>2265585.98</v>
      </c>
      <c r="M14155" s="36">
        <v>122485.84</v>
      </c>
      <c r="T14155" s="41">
        <v>0</v>
      </c>
      <c r="U14155" s="41">
        <v>0</v>
      </c>
      <c r="V14155" s="42" t="s">
        <v>113</v>
      </c>
      <c r="W14155" s="42">
        <v>0</v>
      </c>
      <c r="X14155" s="42">
        <v>0</v>
      </c>
    </row>
    <row r="14156" spans="1:24">
      <c r="A14156" s="27" t="s">
        <v>25328</v>
      </c>
      <c r="B14156" s="28" t="s">
        <v>25316</v>
      </c>
      <c r="C14156" s="27" t="s">
        <v>25329</v>
      </c>
      <c r="D14156" s="27" t="s">
        <v>220</v>
      </c>
      <c r="E14156" s="29">
        <v>38534</v>
      </c>
      <c r="F14156" s="27">
        <v>20</v>
      </c>
      <c r="G14156" s="18">
        <v>37829.72</v>
      </c>
      <c r="H14156" s="27">
        <f t="shared" si="442"/>
        <v>0</v>
      </c>
      <c r="I14156" s="18">
        <v>24079.23</v>
      </c>
      <c r="J14156" s="27">
        <v>37829.72</v>
      </c>
      <c r="K14156" s="18">
        <f t="shared" si="443"/>
        <v>0</v>
      </c>
      <c r="L14156" s="27">
        <v>25880.6</v>
      </c>
      <c r="M14156" s="36">
        <v>1801.37</v>
      </c>
      <c r="T14156" s="41">
        <v>0</v>
      </c>
      <c r="U14156" s="41">
        <v>0</v>
      </c>
      <c r="V14156" s="42" t="s">
        <v>113</v>
      </c>
      <c r="W14156" s="42">
        <v>0</v>
      </c>
      <c r="X14156" s="42">
        <v>0</v>
      </c>
    </row>
    <row r="14157" spans="1:24">
      <c r="A14157" s="27" t="s">
        <v>25330</v>
      </c>
      <c r="B14157" s="28" t="s">
        <v>25316</v>
      </c>
      <c r="C14157" s="27" t="s">
        <v>25331</v>
      </c>
      <c r="D14157" s="27" t="s">
        <v>112</v>
      </c>
      <c r="E14157" s="29">
        <v>35765</v>
      </c>
      <c r="F14157" s="27">
        <v>20</v>
      </c>
      <c r="G14157" s="18">
        <v>209254</v>
      </c>
      <c r="H14157" s="27">
        <f t="shared" si="442"/>
        <v>209254</v>
      </c>
      <c r="I14157" s="18">
        <v>203761.08</v>
      </c>
      <c r="J14157" s="27">
        <v>209254</v>
      </c>
      <c r="K14157" s="18">
        <f t="shared" si="443"/>
        <v>209254</v>
      </c>
      <c r="L14157" s="27">
        <v>198791.3</v>
      </c>
      <c r="M14157" s="36">
        <v>-4969.78</v>
      </c>
      <c r="T14157" s="41">
        <v>0</v>
      </c>
      <c r="U14157" s="41">
        <v>0</v>
      </c>
      <c r="V14157" s="42" t="s">
        <v>113</v>
      </c>
      <c r="W14157" s="42">
        <v>209254</v>
      </c>
      <c r="X14157" s="42">
        <v>209254</v>
      </c>
    </row>
    <row r="14158" spans="1:24">
      <c r="A14158" s="27" t="s">
        <v>25332</v>
      </c>
      <c r="B14158" s="28" t="s">
        <v>25316</v>
      </c>
      <c r="C14158" s="27" t="s">
        <v>25333</v>
      </c>
      <c r="D14158" s="27" t="s">
        <v>112</v>
      </c>
      <c r="E14158" s="29">
        <v>35765</v>
      </c>
      <c r="F14158" s="27">
        <v>20</v>
      </c>
      <c r="G14158" s="18">
        <v>146942</v>
      </c>
      <c r="H14158" s="27">
        <f t="shared" si="442"/>
        <v>146942</v>
      </c>
      <c r="I14158" s="18">
        <v>143084.76999999999</v>
      </c>
      <c r="J14158" s="27">
        <v>146942</v>
      </c>
      <c r="K14158" s="18">
        <f t="shared" si="443"/>
        <v>146942</v>
      </c>
      <c r="L14158" s="27">
        <v>139594.9</v>
      </c>
      <c r="M14158" s="36">
        <v>-3489.87</v>
      </c>
      <c r="T14158" s="41">
        <v>0</v>
      </c>
      <c r="U14158" s="41">
        <v>0</v>
      </c>
      <c r="V14158" s="42" t="s">
        <v>113</v>
      </c>
      <c r="W14158" s="42">
        <v>146942</v>
      </c>
      <c r="X14158" s="42">
        <v>146942</v>
      </c>
    </row>
    <row r="14159" spans="1:24">
      <c r="A14159" s="27" t="s">
        <v>25334</v>
      </c>
      <c r="B14159" s="28" t="s">
        <v>25316</v>
      </c>
      <c r="C14159" s="27" t="s">
        <v>25335</v>
      </c>
      <c r="D14159" s="27" t="s">
        <v>112</v>
      </c>
      <c r="E14159" s="29">
        <v>30286</v>
      </c>
      <c r="F14159" s="27">
        <v>20</v>
      </c>
      <c r="G14159" s="18">
        <v>405175.97</v>
      </c>
      <c r="H14159" s="27">
        <f t="shared" si="442"/>
        <v>405175.97</v>
      </c>
      <c r="I14159" s="18">
        <v>387268.84</v>
      </c>
      <c r="J14159" s="27">
        <v>405175.97</v>
      </c>
      <c r="K14159" s="18">
        <f t="shared" si="443"/>
        <v>405175.97</v>
      </c>
      <c r="L14159" s="27">
        <v>384917.17</v>
      </c>
      <c r="M14159" s="36">
        <v>-2351.67</v>
      </c>
      <c r="T14159" s="41">
        <v>0</v>
      </c>
      <c r="U14159" s="41">
        <v>0</v>
      </c>
      <c r="V14159" s="42" t="s">
        <v>113</v>
      </c>
      <c r="W14159" s="42">
        <v>405175.97</v>
      </c>
      <c r="X14159" s="42">
        <v>405175.97</v>
      </c>
    </row>
    <row r="14160" spans="1:24">
      <c r="A14160" s="27" t="s">
        <v>25336</v>
      </c>
      <c r="B14160" s="28" t="s">
        <v>25316</v>
      </c>
      <c r="C14160" s="27" t="s">
        <v>25337</v>
      </c>
      <c r="D14160" s="27" t="s">
        <v>112</v>
      </c>
      <c r="E14160" s="29">
        <v>37712</v>
      </c>
      <c r="F14160" s="27">
        <v>20</v>
      </c>
      <c r="G14160" s="18">
        <v>123528.66</v>
      </c>
      <c r="H14160" s="27">
        <f t="shared" si="442"/>
        <v>0</v>
      </c>
      <c r="I14160" s="18">
        <v>92152.79</v>
      </c>
      <c r="J14160" s="27">
        <v>123528.66</v>
      </c>
      <c r="K14160" s="18">
        <f t="shared" si="443"/>
        <v>0</v>
      </c>
      <c r="L14160" s="27">
        <v>97968.05</v>
      </c>
      <c r="M14160" s="36">
        <v>5815.26</v>
      </c>
      <c r="T14160" s="41">
        <v>0</v>
      </c>
      <c r="U14160" s="41">
        <v>0</v>
      </c>
      <c r="V14160" s="42" t="s">
        <v>113</v>
      </c>
      <c r="W14160" s="42">
        <v>0</v>
      </c>
      <c r="X14160" s="42">
        <v>0</v>
      </c>
    </row>
    <row r="14161" spans="1:24">
      <c r="A14161" s="27" t="s">
        <v>25338</v>
      </c>
      <c r="B14161" s="28" t="s">
        <v>25316</v>
      </c>
      <c r="C14161" s="27" t="s">
        <v>25339</v>
      </c>
      <c r="D14161" s="27" t="s">
        <v>112</v>
      </c>
      <c r="E14161" s="29">
        <v>34121</v>
      </c>
      <c r="F14161" s="27">
        <v>20</v>
      </c>
      <c r="G14161" s="18">
        <v>50000</v>
      </c>
      <c r="H14161" s="27">
        <f t="shared" si="442"/>
        <v>50000</v>
      </c>
      <c r="I14161" s="18">
        <v>47500</v>
      </c>
      <c r="J14161" s="27">
        <v>50000</v>
      </c>
      <c r="K14161" s="18">
        <f t="shared" si="443"/>
        <v>50000</v>
      </c>
      <c r="L14161" s="27">
        <v>47500</v>
      </c>
      <c r="M14161" s="36">
        <v>0</v>
      </c>
      <c r="T14161" s="41">
        <v>0</v>
      </c>
      <c r="U14161" s="41">
        <v>0</v>
      </c>
      <c r="V14161" s="42" t="s">
        <v>113</v>
      </c>
      <c r="W14161" s="42">
        <v>50000</v>
      </c>
      <c r="X14161" s="42">
        <v>50000</v>
      </c>
    </row>
    <row r="14162" spans="1:24">
      <c r="A14162" s="27" t="s">
        <v>25340</v>
      </c>
      <c r="B14162" s="28" t="s">
        <v>25316</v>
      </c>
      <c r="C14162" s="27" t="s">
        <v>25341</v>
      </c>
      <c r="D14162" s="27" t="s">
        <v>118</v>
      </c>
      <c r="E14162" s="29">
        <v>39417</v>
      </c>
      <c r="F14162" s="27">
        <v>20</v>
      </c>
      <c r="G14162" s="18">
        <v>18666</v>
      </c>
      <c r="H14162" s="27">
        <f t="shared" si="442"/>
        <v>0</v>
      </c>
      <c r="I14162" s="18">
        <v>12196.29</v>
      </c>
      <c r="J14162" s="27">
        <v>18666</v>
      </c>
      <c r="K14162" s="18">
        <f t="shared" si="443"/>
        <v>0</v>
      </c>
      <c r="L14162" s="27">
        <v>12811.45</v>
      </c>
      <c r="M14162" s="36">
        <v>615.16</v>
      </c>
      <c r="T14162" s="41">
        <v>0</v>
      </c>
      <c r="U14162" s="41">
        <v>0</v>
      </c>
      <c r="V14162" s="42" t="s">
        <v>113</v>
      </c>
      <c r="W14162" s="42">
        <v>0</v>
      </c>
      <c r="X14162" s="42">
        <v>0</v>
      </c>
    </row>
    <row r="14163" spans="1:24">
      <c r="A14163" s="27" t="s">
        <v>25342</v>
      </c>
      <c r="B14163" s="28" t="s">
        <v>25316</v>
      </c>
      <c r="C14163" s="27" t="s">
        <v>25343</v>
      </c>
      <c r="D14163" s="27" t="s">
        <v>17578</v>
      </c>
      <c r="E14163" s="29">
        <v>39417</v>
      </c>
      <c r="F14163" s="27">
        <v>20</v>
      </c>
      <c r="G14163" s="18">
        <v>354316</v>
      </c>
      <c r="H14163" s="27">
        <f t="shared" si="442"/>
        <v>0</v>
      </c>
      <c r="I14163" s="18">
        <v>223952.03</v>
      </c>
      <c r="J14163" s="27">
        <v>354316</v>
      </c>
      <c r="K14163" s="18">
        <f t="shared" si="443"/>
        <v>0</v>
      </c>
      <c r="L14163" s="27">
        <v>236468.49</v>
      </c>
      <c r="M14163" s="36">
        <v>12516.46</v>
      </c>
      <c r="T14163" s="41">
        <v>0</v>
      </c>
      <c r="U14163" s="41">
        <v>0</v>
      </c>
      <c r="V14163" s="42" t="s">
        <v>113</v>
      </c>
      <c r="W14163" s="42">
        <v>0</v>
      </c>
      <c r="X14163" s="42">
        <v>0</v>
      </c>
    </row>
    <row r="14164" spans="1:24">
      <c r="A14164" s="27" t="s">
        <v>25344</v>
      </c>
      <c r="B14164" s="28" t="s">
        <v>25316</v>
      </c>
      <c r="C14164" s="27" t="s">
        <v>25345</v>
      </c>
      <c r="D14164" s="27" t="s">
        <v>17578</v>
      </c>
      <c r="E14164" s="29">
        <v>39417</v>
      </c>
      <c r="F14164" s="27">
        <v>20</v>
      </c>
      <c r="G14164" s="18">
        <v>106600</v>
      </c>
      <c r="H14164" s="27">
        <f t="shared" si="442"/>
        <v>0</v>
      </c>
      <c r="I14164" s="18">
        <v>69146.47</v>
      </c>
      <c r="J14164" s="27">
        <v>106600</v>
      </c>
      <c r="K14164" s="18">
        <f t="shared" si="443"/>
        <v>0</v>
      </c>
      <c r="L14164" s="27">
        <v>72715.75</v>
      </c>
      <c r="M14164" s="36">
        <v>3569.28</v>
      </c>
      <c r="T14164" s="41">
        <v>0</v>
      </c>
      <c r="U14164" s="41">
        <v>0</v>
      </c>
      <c r="V14164" s="42" t="s">
        <v>113</v>
      </c>
      <c r="W14164" s="42">
        <v>0</v>
      </c>
      <c r="X14164" s="42">
        <v>0</v>
      </c>
    </row>
    <row r="14165" spans="1:24">
      <c r="A14165" s="27" t="s">
        <v>25346</v>
      </c>
      <c r="B14165" s="28" t="s">
        <v>25316</v>
      </c>
      <c r="C14165" s="27" t="s">
        <v>25347</v>
      </c>
      <c r="D14165" s="27" t="s">
        <v>17578</v>
      </c>
      <c r="E14165" s="29">
        <v>39417</v>
      </c>
      <c r="F14165" s="27">
        <v>20</v>
      </c>
      <c r="G14165" s="18">
        <v>476377.34</v>
      </c>
      <c r="H14165" s="27">
        <f t="shared" si="442"/>
        <v>0</v>
      </c>
      <c r="I14165" s="18">
        <v>334159.32</v>
      </c>
      <c r="J14165" s="27">
        <v>476377.34</v>
      </c>
      <c r="K14165" s="18">
        <f t="shared" si="443"/>
        <v>0</v>
      </c>
      <c r="L14165" s="27">
        <v>347314.78</v>
      </c>
      <c r="M14165" s="36">
        <v>13155.46</v>
      </c>
      <c r="T14165" s="41">
        <v>0</v>
      </c>
      <c r="U14165" s="41">
        <v>0</v>
      </c>
      <c r="V14165" s="42" t="s">
        <v>113</v>
      </c>
      <c r="W14165" s="42">
        <v>0</v>
      </c>
      <c r="X14165" s="42">
        <v>0</v>
      </c>
    </row>
    <row r="14166" spans="1:24">
      <c r="A14166" s="27" t="s">
        <v>25348</v>
      </c>
      <c r="B14166" s="28" t="s">
        <v>25316</v>
      </c>
      <c r="C14166" s="27" t="s">
        <v>25349</v>
      </c>
      <c r="D14166" s="27" t="s">
        <v>17578</v>
      </c>
      <c r="E14166" s="29">
        <v>39417</v>
      </c>
      <c r="F14166" s="27">
        <v>20</v>
      </c>
      <c r="G14166" s="18">
        <v>36457</v>
      </c>
      <c r="H14166" s="27">
        <f t="shared" si="442"/>
        <v>0</v>
      </c>
      <c r="I14166" s="18">
        <v>23648.18</v>
      </c>
      <c r="J14166" s="27">
        <v>36457</v>
      </c>
      <c r="K14166" s="18">
        <f t="shared" si="443"/>
        <v>0</v>
      </c>
      <c r="L14166" s="27">
        <v>24868.84</v>
      </c>
      <c r="M14166" s="36">
        <v>1220.6600000000001</v>
      </c>
      <c r="T14166" s="41">
        <v>0</v>
      </c>
      <c r="U14166" s="41">
        <v>0</v>
      </c>
      <c r="V14166" s="42" t="s">
        <v>113</v>
      </c>
      <c r="W14166" s="42">
        <v>0</v>
      </c>
      <c r="X14166" s="42">
        <v>0</v>
      </c>
    </row>
    <row r="14167" spans="1:24">
      <c r="A14167" s="27" t="s">
        <v>25350</v>
      </c>
      <c r="B14167" s="28" t="s">
        <v>25316</v>
      </c>
      <c r="C14167" s="27" t="s">
        <v>25351</v>
      </c>
      <c r="D14167" s="27" t="s">
        <v>17578</v>
      </c>
      <c r="E14167" s="29">
        <v>39417</v>
      </c>
      <c r="F14167" s="27">
        <v>20</v>
      </c>
      <c r="G14167" s="18">
        <v>93398</v>
      </c>
      <c r="H14167" s="27">
        <f t="shared" si="442"/>
        <v>0</v>
      </c>
      <c r="I14167" s="18">
        <v>60583.17</v>
      </c>
      <c r="J14167" s="27">
        <v>93398</v>
      </c>
      <c r="K14167" s="18">
        <f t="shared" si="443"/>
        <v>0</v>
      </c>
      <c r="L14167" s="27">
        <v>63710.38</v>
      </c>
      <c r="M14167" s="36">
        <v>3127.21</v>
      </c>
      <c r="T14167" s="41">
        <v>0</v>
      </c>
      <c r="U14167" s="41">
        <v>0</v>
      </c>
      <c r="V14167" s="42" t="s">
        <v>113</v>
      </c>
      <c r="W14167" s="42">
        <v>0</v>
      </c>
      <c r="X14167" s="42">
        <v>0</v>
      </c>
    </row>
    <row r="14168" spans="1:24">
      <c r="A14168" s="27" t="s">
        <v>25352</v>
      </c>
      <c r="B14168" s="28" t="s">
        <v>25316</v>
      </c>
      <c r="C14168" s="27" t="s">
        <v>25353</v>
      </c>
      <c r="D14168" s="27" t="s">
        <v>17578</v>
      </c>
      <c r="E14168" s="29">
        <v>39417</v>
      </c>
      <c r="F14168" s="27">
        <v>20</v>
      </c>
      <c r="G14168" s="18">
        <v>77220</v>
      </c>
      <c r="H14168" s="27">
        <f t="shared" si="442"/>
        <v>0</v>
      </c>
      <c r="I14168" s="18">
        <v>50088.83</v>
      </c>
      <c r="J14168" s="27">
        <v>77220</v>
      </c>
      <c r="K14168" s="18">
        <f t="shared" si="443"/>
        <v>0</v>
      </c>
      <c r="L14168" s="27">
        <v>52674.400000000001</v>
      </c>
      <c r="M14168" s="36">
        <v>2585.5700000000002</v>
      </c>
      <c r="T14168" s="41">
        <v>0</v>
      </c>
      <c r="U14168" s="41">
        <v>0</v>
      </c>
      <c r="V14168" s="42" t="s">
        <v>113</v>
      </c>
      <c r="W14168" s="42">
        <v>0</v>
      </c>
      <c r="X14168" s="42">
        <v>0</v>
      </c>
    </row>
    <row r="14169" spans="1:24">
      <c r="A14169" s="27" t="s">
        <v>25354</v>
      </c>
      <c r="B14169" s="28" t="s">
        <v>25316</v>
      </c>
      <c r="C14169" s="27" t="s">
        <v>25355</v>
      </c>
      <c r="D14169" s="27" t="s">
        <v>17578</v>
      </c>
      <c r="E14169" s="29">
        <v>39417</v>
      </c>
      <c r="F14169" s="27">
        <v>20</v>
      </c>
      <c r="G14169" s="18">
        <v>33144</v>
      </c>
      <c r="H14169" s="27">
        <f t="shared" si="442"/>
        <v>0</v>
      </c>
      <c r="I14169" s="18">
        <v>21499.16</v>
      </c>
      <c r="J14169" s="27">
        <v>33144</v>
      </c>
      <c r="K14169" s="18">
        <f t="shared" si="443"/>
        <v>0</v>
      </c>
      <c r="L14169" s="27">
        <v>22608.9</v>
      </c>
      <c r="M14169" s="36">
        <v>1109.74</v>
      </c>
      <c r="T14169" s="41">
        <v>0</v>
      </c>
      <c r="U14169" s="41">
        <v>0</v>
      </c>
      <c r="V14169" s="42" t="s">
        <v>113</v>
      </c>
      <c r="W14169" s="42">
        <v>0</v>
      </c>
      <c r="X14169" s="42">
        <v>0</v>
      </c>
    </row>
    <row r="14170" spans="1:24">
      <c r="A14170" s="27" t="s">
        <v>25356</v>
      </c>
      <c r="B14170" s="28" t="s">
        <v>25316</v>
      </c>
      <c r="C14170" s="27" t="s">
        <v>25357</v>
      </c>
      <c r="D14170" s="27" t="s">
        <v>17558</v>
      </c>
      <c r="E14170" s="29">
        <v>31017</v>
      </c>
      <c r="F14170" s="27">
        <v>20</v>
      </c>
      <c r="G14170" s="18">
        <v>1105453.6299999999</v>
      </c>
      <c r="H14170" s="27">
        <f t="shared" si="442"/>
        <v>0</v>
      </c>
      <c r="I14170" s="18">
        <v>756621.69</v>
      </c>
      <c r="J14170" s="27">
        <v>1105453.6299999999</v>
      </c>
      <c r="K14170" s="18">
        <f t="shared" si="443"/>
        <v>0</v>
      </c>
      <c r="L14170" s="27">
        <v>805548.23</v>
      </c>
      <c r="M14170" s="36">
        <v>48926.54</v>
      </c>
      <c r="T14170" s="41">
        <v>0</v>
      </c>
      <c r="U14170" s="41">
        <v>0</v>
      </c>
      <c r="V14170" s="42" t="s">
        <v>124</v>
      </c>
      <c r="W14170" s="42">
        <v>1105453.6299999999</v>
      </c>
      <c r="X14170" s="42">
        <v>1105453.6299999999</v>
      </c>
    </row>
    <row r="14171" spans="1:24">
      <c r="A14171" s="27" t="s">
        <v>25358</v>
      </c>
      <c r="B14171" s="28" t="s">
        <v>25316</v>
      </c>
      <c r="C14171" s="27" t="s">
        <v>25359</v>
      </c>
      <c r="D14171" s="27" t="s">
        <v>17558</v>
      </c>
      <c r="E14171" s="29">
        <v>33208</v>
      </c>
      <c r="F14171" s="27">
        <v>20</v>
      </c>
      <c r="G14171" s="18">
        <v>490122.39</v>
      </c>
      <c r="H14171" s="27">
        <f t="shared" si="442"/>
        <v>490122.39</v>
      </c>
      <c r="I14171" s="18">
        <v>477870.47</v>
      </c>
      <c r="J14171" s="27">
        <v>490122.39</v>
      </c>
      <c r="K14171" s="18">
        <f t="shared" si="443"/>
        <v>490122.39</v>
      </c>
      <c r="L14171" s="27">
        <v>465616.27</v>
      </c>
      <c r="M14171" s="36">
        <v>-12254.2</v>
      </c>
      <c r="T14171" s="41">
        <v>0</v>
      </c>
      <c r="U14171" s="41">
        <v>0</v>
      </c>
      <c r="V14171" s="42" t="s">
        <v>113</v>
      </c>
      <c r="W14171" s="42">
        <v>490122.39</v>
      </c>
      <c r="X14171" s="42">
        <v>490122.39</v>
      </c>
    </row>
    <row r="14172" spans="1:24">
      <c r="A14172" s="27" t="s">
        <v>25360</v>
      </c>
      <c r="B14172" s="28" t="s">
        <v>25316</v>
      </c>
      <c r="C14172" s="27" t="s">
        <v>25361</v>
      </c>
      <c r="D14172" s="27" t="s">
        <v>17558</v>
      </c>
      <c r="E14172" s="29">
        <v>31017</v>
      </c>
      <c r="F14172" s="27">
        <v>20</v>
      </c>
      <c r="G14172" s="18">
        <v>26370.75</v>
      </c>
      <c r="H14172" s="27">
        <f t="shared" si="442"/>
        <v>26370.75</v>
      </c>
      <c r="I14172" s="18">
        <v>25052.21</v>
      </c>
      <c r="J14172" s="27">
        <v>26370.75</v>
      </c>
      <c r="K14172" s="18">
        <f t="shared" si="443"/>
        <v>26370.75</v>
      </c>
      <c r="L14172" s="27">
        <v>25052.21</v>
      </c>
      <c r="M14172" s="36">
        <v>0</v>
      </c>
      <c r="T14172" s="41">
        <v>0</v>
      </c>
      <c r="U14172" s="41">
        <v>0</v>
      </c>
      <c r="V14172" s="42" t="s">
        <v>113</v>
      </c>
      <c r="W14172" s="42">
        <v>26370.75</v>
      </c>
      <c r="X14172" s="42">
        <v>26370.75</v>
      </c>
    </row>
    <row r="14173" spans="1:24">
      <c r="A14173" s="27" t="s">
        <v>25362</v>
      </c>
      <c r="B14173" s="28" t="s">
        <v>25316</v>
      </c>
      <c r="C14173" s="27" t="s">
        <v>25363</v>
      </c>
      <c r="D14173" s="27" t="s">
        <v>17558</v>
      </c>
      <c r="E14173" s="29">
        <v>29921</v>
      </c>
      <c r="F14173" s="27">
        <v>20</v>
      </c>
      <c r="G14173" s="18">
        <v>16625.38</v>
      </c>
      <c r="H14173" s="27">
        <f t="shared" si="442"/>
        <v>16625.38</v>
      </c>
      <c r="I14173" s="18">
        <v>15794.11</v>
      </c>
      <c r="J14173" s="27">
        <v>16625.38</v>
      </c>
      <c r="K14173" s="18">
        <f t="shared" si="443"/>
        <v>16625.38</v>
      </c>
      <c r="L14173" s="27">
        <v>15794.11</v>
      </c>
      <c r="M14173" s="36">
        <v>0</v>
      </c>
      <c r="T14173" s="41">
        <v>0</v>
      </c>
      <c r="U14173" s="41">
        <v>0</v>
      </c>
      <c r="V14173" s="42" t="s">
        <v>113</v>
      </c>
      <c r="W14173" s="42">
        <v>16625.38</v>
      </c>
      <c r="X14173" s="42">
        <v>16625.38</v>
      </c>
    </row>
    <row r="14174" spans="1:24">
      <c r="A14174" s="27" t="s">
        <v>25364</v>
      </c>
      <c r="B14174" s="28" t="s">
        <v>25316</v>
      </c>
      <c r="C14174" s="27" t="s">
        <v>25365</v>
      </c>
      <c r="D14174" s="27" t="s">
        <v>17558</v>
      </c>
      <c r="E14174" s="29">
        <v>38292</v>
      </c>
      <c r="F14174" s="27">
        <v>20</v>
      </c>
      <c r="G14174" s="18">
        <v>507939.76</v>
      </c>
      <c r="H14174" s="27">
        <f t="shared" si="442"/>
        <v>0</v>
      </c>
      <c r="I14174" s="18">
        <v>400156.82</v>
      </c>
      <c r="J14174" s="27">
        <v>507939.76</v>
      </c>
      <c r="K14174" s="18">
        <f t="shared" si="443"/>
        <v>0</v>
      </c>
      <c r="L14174" s="27">
        <v>414081.21</v>
      </c>
      <c r="M14174" s="36">
        <v>13924.39</v>
      </c>
      <c r="T14174" s="41">
        <v>0</v>
      </c>
      <c r="U14174" s="41">
        <v>0</v>
      </c>
      <c r="V14174" s="42" t="s">
        <v>113</v>
      </c>
      <c r="W14174" s="42">
        <v>0</v>
      </c>
      <c r="X14174" s="42">
        <v>0</v>
      </c>
    </row>
    <row r="14175" spans="1:24">
      <c r="A14175" s="27" t="s">
        <v>25366</v>
      </c>
      <c r="B14175" s="28" t="s">
        <v>25316</v>
      </c>
      <c r="C14175" s="27" t="s">
        <v>25367</v>
      </c>
      <c r="D14175" s="27" t="s">
        <v>17578</v>
      </c>
      <c r="E14175" s="29">
        <v>39417</v>
      </c>
      <c r="F14175" s="27">
        <v>20</v>
      </c>
      <c r="G14175" s="18">
        <v>12808</v>
      </c>
      <c r="H14175" s="27">
        <f t="shared" si="442"/>
        <v>0</v>
      </c>
      <c r="I14175" s="18">
        <v>7882.39</v>
      </c>
      <c r="J14175" s="27">
        <v>12808</v>
      </c>
      <c r="K14175" s="18">
        <f t="shared" si="443"/>
        <v>0</v>
      </c>
      <c r="L14175" s="27">
        <v>8358.52</v>
      </c>
      <c r="M14175" s="36">
        <v>476.13</v>
      </c>
      <c r="T14175" s="41">
        <v>0</v>
      </c>
      <c r="U14175" s="41">
        <v>0</v>
      </c>
      <c r="V14175" s="42" t="s">
        <v>113</v>
      </c>
      <c r="W14175" s="42">
        <v>0</v>
      </c>
      <c r="X14175" s="42">
        <v>0</v>
      </c>
    </row>
    <row r="14176" spans="1:24">
      <c r="A14176" s="27" t="s">
        <v>25368</v>
      </c>
      <c r="B14176" s="28" t="s">
        <v>25316</v>
      </c>
      <c r="C14176" s="27" t="s">
        <v>25349</v>
      </c>
      <c r="D14176" s="27" t="s">
        <v>17578</v>
      </c>
      <c r="E14176" s="29">
        <v>39417</v>
      </c>
      <c r="F14176" s="27">
        <v>20</v>
      </c>
      <c r="G14176" s="18">
        <v>51234</v>
      </c>
      <c r="H14176" s="27">
        <f t="shared" si="442"/>
        <v>0</v>
      </c>
      <c r="I14176" s="18">
        <v>31531.119999999999</v>
      </c>
      <c r="J14176" s="27">
        <v>51234</v>
      </c>
      <c r="K14176" s="18">
        <f t="shared" si="443"/>
        <v>0</v>
      </c>
      <c r="L14176" s="27">
        <v>33435.699999999997</v>
      </c>
      <c r="M14176" s="36">
        <v>1904.58</v>
      </c>
      <c r="T14176" s="41">
        <v>0</v>
      </c>
      <c r="U14176" s="41">
        <v>0</v>
      </c>
      <c r="V14176" s="42" t="s">
        <v>113</v>
      </c>
      <c r="W14176" s="42">
        <v>0</v>
      </c>
      <c r="X14176" s="42">
        <v>0</v>
      </c>
    </row>
    <row r="14177" spans="1:24">
      <c r="A14177" s="27" t="s">
        <v>25369</v>
      </c>
      <c r="B14177" s="28" t="s">
        <v>25316</v>
      </c>
      <c r="C14177" s="27" t="s">
        <v>25343</v>
      </c>
      <c r="D14177" s="27" t="s">
        <v>17578</v>
      </c>
      <c r="E14177" s="29">
        <v>39417</v>
      </c>
      <c r="F14177" s="27">
        <v>20</v>
      </c>
      <c r="G14177" s="18">
        <v>924408</v>
      </c>
      <c r="H14177" s="27">
        <f t="shared" si="442"/>
        <v>0</v>
      </c>
      <c r="I14177" s="18">
        <v>542075.34</v>
      </c>
      <c r="J14177" s="27">
        <v>924408</v>
      </c>
      <c r="K14177" s="18">
        <f t="shared" si="443"/>
        <v>0</v>
      </c>
      <c r="L14177" s="27">
        <v>579421.15</v>
      </c>
      <c r="M14177" s="36">
        <v>37345.81</v>
      </c>
      <c r="T14177" s="41">
        <v>0</v>
      </c>
      <c r="U14177" s="41">
        <v>0</v>
      </c>
      <c r="V14177" s="42" t="s">
        <v>113</v>
      </c>
      <c r="W14177" s="42">
        <v>0</v>
      </c>
      <c r="X14177" s="42">
        <v>0</v>
      </c>
    </row>
    <row r="14178" spans="1:24">
      <c r="A14178" s="27" t="s">
        <v>25370</v>
      </c>
      <c r="B14178" s="28" t="s">
        <v>25316</v>
      </c>
      <c r="C14178" s="27" t="s">
        <v>25371</v>
      </c>
      <c r="D14178" s="27" t="s">
        <v>17578</v>
      </c>
      <c r="E14178" s="29">
        <v>39417</v>
      </c>
      <c r="F14178" s="27">
        <v>20</v>
      </c>
      <c r="G14178" s="18">
        <v>61500</v>
      </c>
      <c r="H14178" s="27">
        <f t="shared" si="442"/>
        <v>0</v>
      </c>
      <c r="I14178" s="18">
        <v>37849.230000000003</v>
      </c>
      <c r="J14178" s="27">
        <v>61500</v>
      </c>
      <c r="K14178" s="18">
        <f t="shared" si="443"/>
        <v>0</v>
      </c>
      <c r="L14178" s="27">
        <v>40135.43</v>
      </c>
      <c r="M14178" s="36">
        <v>2286.1999999999998</v>
      </c>
      <c r="T14178" s="41">
        <v>0</v>
      </c>
      <c r="U14178" s="41">
        <v>0</v>
      </c>
      <c r="V14178" s="42" t="s">
        <v>113</v>
      </c>
      <c r="W14178" s="42">
        <v>0</v>
      </c>
      <c r="X14178" s="42">
        <v>0</v>
      </c>
    </row>
    <row r="14179" spans="1:24">
      <c r="A14179" s="27" t="s">
        <v>25372</v>
      </c>
      <c r="B14179" s="28" t="s">
        <v>25316</v>
      </c>
      <c r="C14179" s="27" t="s">
        <v>25351</v>
      </c>
      <c r="D14179" s="27" t="s">
        <v>17578</v>
      </c>
      <c r="E14179" s="29">
        <v>39417</v>
      </c>
      <c r="F14179" s="27">
        <v>20</v>
      </c>
      <c r="G14179" s="18">
        <v>42640</v>
      </c>
      <c r="H14179" s="27">
        <f t="shared" si="442"/>
        <v>0</v>
      </c>
      <c r="I14179" s="18">
        <v>24420.73</v>
      </c>
      <c r="J14179" s="27">
        <v>42640</v>
      </c>
      <c r="K14179" s="18">
        <f t="shared" si="443"/>
        <v>0</v>
      </c>
      <c r="L14179" s="27">
        <v>26208.2</v>
      </c>
      <c r="M14179" s="36">
        <v>1787.47</v>
      </c>
      <c r="T14179" s="41">
        <v>0</v>
      </c>
      <c r="U14179" s="41">
        <v>0</v>
      </c>
      <c r="V14179" s="42" t="s">
        <v>113</v>
      </c>
      <c r="W14179" s="42">
        <v>0</v>
      </c>
      <c r="X14179" s="42">
        <v>0</v>
      </c>
    </row>
    <row r="14180" spans="1:24">
      <c r="A14180" s="27" t="s">
        <v>25373</v>
      </c>
      <c r="B14180" s="28" t="s">
        <v>25316</v>
      </c>
      <c r="C14180" s="27" t="s">
        <v>25347</v>
      </c>
      <c r="D14180" s="27" t="s">
        <v>17578</v>
      </c>
      <c r="E14180" s="29">
        <v>39417</v>
      </c>
      <c r="F14180" s="27">
        <v>20</v>
      </c>
      <c r="G14180" s="18">
        <v>35927</v>
      </c>
      <c r="H14180" s="27">
        <f t="shared" si="442"/>
        <v>35927</v>
      </c>
      <c r="I14180" s="18">
        <v>34045.42</v>
      </c>
      <c r="J14180" s="27">
        <v>35927</v>
      </c>
      <c r="K14180" s="18">
        <f t="shared" si="443"/>
        <v>35927</v>
      </c>
      <c r="L14180" s="27">
        <v>34054.89</v>
      </c>
      <c r="M14180" s="36">
        <v>9.4700000000000006</v>
      </c>
      <c r="T14180" s="41">
        <v>0</v>
      </c>
      <c r="U14180" s="41">
        <v>0</v>
      </c>
      <c r="V14180" s="42" t="s">
        <v>113</v>
      </c>
      <c r="W14180" s="42">
        <v>35927</v>
      </c>
      <c r="X14180" s="42">
        <v>35927</v>
      </c>
    </row>
    <row r="14181" spans="1:24">
      <c r="A14181" s="27" t="s">
        <v>25374</v>
      </c>
      <c r="B14181" s="28" t="s">
        <v>25316</v>
      </c>
      <c r="C14181" s="27" t="s">
        <v>25347</v>
      </c>
      <c r="D14181" s="27" t="s">
        <v>17578</v>
      </c>
      <c r="E14181" s="29">
        <v>39417</v>
      </c>
      <c r="F14181" s="27">
        <v>20</v>
      </c>
      <c r="G14181" s="18">
        <v>179304.42</v>
      </c>
      <c r="H14181" s="27">
        <f t="shared" si="442"/>
        <v>0</v>
      </c>
      <c r="I14181" s="18">
        <v>165308.19</v>
      </c>
      <c r="J14181" s="27">
        <v>179304.42</v>
      </c>
      <c r="K14181" s="18">
        <f t="shared" si="443"/>
        <v>0</v>
      </c>
      <c r="L14181" s="27">
        <v>165867.19</v>
      </c>
      <c r="M14181" s="36">
        <v>559</v>
      </c>
      <c r="T14181" s="41">
        <v>0</v>
      </c>
      <c r="U14181" s="41">
        <v>0</v>
      </c>
      <c r="V14181" s="42" t="s">
        <v>113</v>
      </c>
      <c r="W14181" s="42">
        <v>0</v>
      </c>
      <c r="X14181" s="42">
        <v>0</v>
      </c>
    </row>
    <row r="14182" spans="1:24">
      <c r="A14182" s="27" t="s">
        <v>25375</v>
      </c>
      <c r="B14182" s="28" t="s">
        <v>25316</v>
      </c>
      <c r="C14182" s="27" t="s">
        <v>25351</v>
      </c>
      <c r="D14182" s="27" t="s">
        <v>17578</v>
      </c>
      <c r="E14182" s="29">
        <v>39417</v>
      </c>
      <c r="F14182" s="27">
        <v>20</v>
      </c>
      <c r="G14182" s="18">
        <v>132300</v>
      </c>
      <c r="H14182" s="27">
        <f t="shared" si="442"/>
        <v>0</v>
      </c>
      <c r="I14182" s="18">
        <v>94606.7</v>
      </c>
      <c r="J14182" s="27">
        <v>132300</v>
      </c>
      <c r="K14182" s="18">
        <f t="shared" si="443"/>
        <v>0</v>
      </c>
      <c r="L14182" s="27">
        <v>98059.839999999997</v>
      </c>
      <c r="M14182" s="36">
        <v>3453.14</v>
      </c>
      <c r="T14182" s="41">
        <v>0</v>
      </c>
      <c r="U14182" s="41">
        <v>0</v>
      </c>
      <c r="V14182" s="42" t="s">
        <v>113</v>
      </c>
      <c r="W14182" s="42">
        <v>0</v>
      </c>
      <c r="X14182" s="42">
        <v>0</v>
      </c>
    </row>
    <row r="14183" spans="1:24">
      <c r="A14183" s="27" t="s">
        <v>25376</v>
      </c>
      <c r="B14183" s="28" t="s">
        <v>25316</v>
      </c>
      <c r="C14183" s="27" t="s">
        <v>25377</v>
      </c>
      <c r="D14183" s="27" t="s">
        <v>17578</v>
      </c>
      <c r="E14183" s="29">
        <v>39417</v>
      </c>
      <c r="F14183" s="27">
        <v>20</v>
      </c>
      <c r="G14183" s="18">
        <v>34300</v>
      </c>
      <c r="H14183" s="27">
        <f t="shared" si="442"/>
        <v>0</v>
      </c>
      <c r="I14183" s="18">
        <v>25341.51</v>
      </c>
      <c r="J14183" s="27">
        <v>34300</v>
      </c>
      <c r="K14183" s="18">
        <f t="shared" si="443"/>
        <v>0</v>
      </c>
      <c r="L14183" s="27">
        <v>26146.34</v>
      </c>
      <c r="M14183" s="36">
        <v>804.83</v>
      </c>
      <c r="T14183" s="41">
        <v>0</v>
      </c>
      <c r="U14183" s="41">
        <v>0</v>
      </c>
      <c r="V14183" s="42" t="s">
        <v>113</v>
      </c>
      <c r="W14183" s="42">
        <v>0</v>
      </c>
      <c r="X14183" s="42">
        <v>0</v>
      </c>
    </row>
    <row r="14184" spans="1:24">
      <c r="A14184" s="27" t="s">
        <v>25378</v>
      </c>
      <c r="B14184" s="28" t="s">
        <v>25316</v>
      </c>
      <c r="C14184" s="27" t="s">
        <v>25379</v>
      </c>
      <c r="D14184" s="27" t="s">
        <v>17578</v>
      </c>
      <c r="E14184" s="29">
        <v>39417</v>
      </c>
      <c r="F14184" s="27">
        <v>20</v>
      </c>
      <c r="G14184" s="18">
        <v>10780</v>
      </c>
      <c r="H14184" s="27">
        <f t="shared" si="442"/>
        <v>0</v>
      </c>
      <c r="I14184" s="18">
        <v>7810.81</v>
      </c>
      <c r="J14184" s="27">
        <v>10780</v>
      </c>
      <c r="K14184" s="18">
        <f t="shared" si="443"/>
        <v>0</v>
      </c>
      <c r="L14184" s="27">
        <v>8080.83</v>
      </c>
      <c r="M14184" s="36">
        <v>270.02</v>
      </c>
      <c r="T14184" s="41">
        <v>0</v>
      </c>
      <c r="U14184" s="41">
        <v>0</v>
      </c>
      <c r="V14184" s="42" t="s">
        <v>113</v>
      </c>
      <c r="W14184" s="42">
        <v>0</v>
      </c>
      <c r="X14184" s="42">
        <v>0</v>
      </c>
    </row>
    <row r="14185" spans="1:24">
      <c r="A14185" s="27" t="s">
        <v>25380</v>
      </c>
      <c r="B14185" s="28" t="s">
        <v>25316</v>
      </c>
      <c r="C14185" s="27" t="s">
        <v>25379</v>
      </c>
      <c r="D14185" s="27" t="s">
        <v>17578</v>
      </c>
      <c r="E14185" s="29">
        <v>39417</v>
      </c>
      <c r="F14185" s="27">
        <v>20</v>
      </c>
      <c r="G14185" s="18">
        <v>67150</v>
      </c>
      <c r="H14185" s="27">
        <f t="shared" si="442"/>
        <v>0</v>
      </c>
      <c r="I14185" s="18">
        <v>44831.73</v>
      </c>
      <c r="J14185" s="27">
        <v>67150</v>
      </c>
      <c r="K14185" s="18">
        <f t="shared" si="443"/>
        <v>0</v>
      </c>
      <c r="L14185" s="27">
        <v>46938.48</v>
      </c>
      <c r="M14185" s="36">
        <v>2106.75</v>
      </c>
      <c r="T14185" s="41">
        <v>0</v>
      </c>
      <c r="U14185" s="41">
        <v>0</v>
      </c>
      <c r="V14185" s="42" t="s">
        <v>113</v>
      </c>
      <c r="W14185" s="42">
        <v>0</v>
      </c>
      <c r="X14185" s="42">
        <v>0</v>
      </c>
    </row>
    <row r="14186" spans="1:24">
      <c r="A14186" s="27" t="s">
        <v>25381</v>
      </c>
      <c r="B14186" s="28" t="s">
        <v>25316</v>
      </c>
      <c r="C14186" s="27" t="s">
        <v>25379</v>
      </c>
      <c r="D14186" s="27" t="s">
        <v>17578</v>
      </c>
      <c r="E14186" s="29">
        <v>39417</v>
      </c>
      <c r="F14186" s="27">
        <v>20</v>
      </c>
      <c r="G14186" s="18">
        <v>31600</v>
      </c>
      <c r="H14186" s="27">
        <f t="shared" si="442"/>
        <v>0</v>
      </c>
      <c r="I14186" s="18">
        <v>22896.82</v>
      </c>
      <c r="J14186" s="27">
        <v>31600</v>
      </c>
      <c r="K14186" s="18">
        <f t="shared" si="443"/>
        <v>0</v>
      </c>
      <c r="L14186" s="27">
        <v>23688.28</v>
      </c>
      <c r="M14186" s="36">
        <v>791.46</v>
      </c>
      <c r="T14186" s="41">
        <v>0</v>
      </c>
      <c r="U14186" s="41">
        <v>0</v>
      </c>
      <c r="V14186" s="42" t="s">
        <v>113</v>
      </c>
      <c r="W14186" s="42">
        <v>0</v>
      </c>
      <c r="X14186" s="42">
        <v>0</v>
      </c>
    </row>
    <row r="14187" spans="1:24">
      <c r="A14187" s="27" t="s">
        <v>25382</v>
      </c>
      <c r="B14187" s="28" t="s">
        <v>25316</v>
      </c>
      <c r="C14187" s="27" t="s">
        <v>25379</v>
      </c>
      <c r="D14187" s="27" t="s">
        <v>17578</v>
      </c>
      <c r="E14187" s="29">
        <v>39417</v>
      </c>
      <c r="F14187" s="27">
        <v>20</v>
      </c>
      <c r="G14187" s="18">
        <v>26070</v>
      </c>
      <c r="H14187" s="27">
        <f t="shared" si="442"/>
        <v>0</v>
      </c>
      <c r="I14187" s="18">
        <v>18890.060000000001</v>
      </c>
      <c r="J14187" s="27">
        <v>26070</v>
      </c>
      <c r="K14187" s="18">
        <f t="shared" si="443"/>
        <v>0</v>
      </c>
      <c r="L14187" s="27">
        <v>19543</v>
      </c>
      <c r="M14187" s="36">
        <v>652.94000000000005</v>
      </c>
      <c r="T14187" s="41">
        <v>0</v>
      </c>
      <c r="U14187" s="41">
        <v>0</v>
      </c>
      <c r="V14187" s="42" t="s">
        <v>113</v>
      </c>
      <c r="W14187" s="42">
        <v>0</v>
      </c>
      <c r="X14187" s="42">
        <v>0</v>
      </c>
    </row>
    <row r="14188" spans="1:24">
      <c r="A14188" s="27" t="s">
        <v>25383</v>
      </c>
      <c r="B14188" s="28" t="s">
        <v>25316</v>
      </c>
      <c r="C14188" s="27" t="s">
        <v>25384</v>
      </c>
      <c r="D14188" s="27" t="s">
        <v>17558</v>
      </c>
      <c r="E14188" s="29">
        <v>38078</v>
      </c>
      <c r="F14188" s="27">
        <v>20</v>
      </c>
      <c r="G14188" s="18">
        <v>51927.14</v>
      </c>
      <c r="H14188" s="27">
        <f t="shared" si="442"/>
        <v>0</v>
      </c>
      <c r="I14188" s="18">
        <v>36354.65</v>
      </c>
      <c r="J14188" s="27">
        <v>51927.14</v>
      </c>
      <c r="K14188" s="18">
        <f t="shared" si="443"/>
        <v>0</v>
      </c>
      <c r="L14188" s="27">
        <v>38787.67</v>
      </c>
      <c r="M14188" s="36">
        <v>2433.02</v>
      </c>
      <c r="T14188" s="41">
        <v>0</v>
      </c>
      <c r="U14188" s="41">
        <v>0</v>
      </c>
      <c r="V14188" s="42" t="s">
        <v>113</v>
      </c>
      <c r="W14188" s="42">
        <v>0</v>
      </c>
      <c r="X14188" s="42">
        <v>0</v>
      </c>
    </row>
    <row r="14189" spans="1:24">
      <c r="A14189" s="27" t="s">
        <v>25385</v>
      </c>
      <c r="B14189" s="28" t="s">
        <v>25316</v>
      </c>
      <c r="C14189" s="27" t="s">
        <v>25386</v>
      </c>
      <c r="D14189" s="27" t="s">
        <v>112</v>
      </c>
      <c r="E14189" s="29">
        <v>28795</v>
      </c>
      <c r="F14189" s="27">
        <v>20</v>
      </c>
      <c r="G14189" s="18">
        <v>29572.91</v>
      </c>
      <c r="H14189" s="27">
        <f t="shared" si="442"/>
        <v>29572.91</v>
      </c>
      <c r="I14189" s="18">
        <v>28094.26</v>
      </c>
      <c r="J14189" s="27">
        <v>29572.91</v>
      </c>
      <c r="K14189" s="18">
        <f t="shared" si="443"/>
        <v>29572.91</v>
      </c>
      <c r="L14189" s="27">
        <v>28094.26</v>
      </c>
      <c r="M14189" s="36">
        <v>0</v>
      </c>
      <c r="T14189" s="41">
        <v>0</v>
      </c>
      <c r="U14189" s="41">
        <v>0</v>
      </c>
      <c r="V14189" s="42" t="s">
        <v>113</v>
      </c>
      <c r="W14189" s="42">
        <v>29572.91</v>
      </c>
      <c r="X14189" s="42">
        <v>29572.91</v>
      </c>
    </row>
    <row r="14190" spans="1:24">
      <c r="A14190" s="27" t="s">
        <v>25387</v>
      </c>
      <c r="B14190" s="28" t="s">
        <v>25316</v>
      </c>
      <c r="C14190" s="27" t="s">
        <v>25388</v>
      </c>
      <c r="D14190" s="27" t="s">
        <v>112</v>
      </c>
      <c r="E14190" s="29">
        <v>37712</v>
      </c>
      <c r="F14190" s="27">
        <v>20</v>
      </c>
      <c r="G14190" s="18">
        <v>226471.34</v>
      </c>
      <c r="H14190" s="27">
        <f t="shared" si="442"/>
        <v>0</v>
      </c>
      <c r="I14190" s="18">
        <v>168948.39</v>
      </c>
      <c r="J14190" s="27">
        <v>226471.34</v>
      </c>
      <c r="K14190" s="18">
        <f t="shared" si="443"/>
        <v>0</v>
      </c>
      <c r="L14190" s="27">
        <v>179609.79</v>
      </c>
      <c r="M14190" s="36">
        <v>10661.4</v>
      </c>
      <c r="T14190" s="41">
        <v>0</v>
      </c>
      <c r="U14190" s="41">
        <v>0</v>
      </c>
      <c r="V14190" s="42" t="s">
        <v>113</v>
      </c>
      <c r="W14190" s="42">
        <v>0</v>
      </c>
      <c r="X14190" s="42">
        <v>0</v>
      </c>
    </row>
    <row r="14191" spans="1:24">
      <c r="A14191" s="27" t="s">
        <v>25389</v>
      </c>
      <c r="B14191" s="28" t="s">
        <v>25316</v>
      </c>
      <c r="C14191" s="27" t="s">
        <v>25347</v>
      </c>
      <c r="D14191" s="27" t="s">
        <v>17578</v>
      </c>
      <c r="E14191" s="29">
        <v>39417</v>
      </c>
      <c r="F14191" s="27">
        <v>20</v>
      </c>
      <c r="G14191" s="18">
        <v>258000</v>
      </c>
      <c r="H14191" s="27">
        <f t="shared" si="442"/>
        <v>0</v>
      </c>
      <c r="I14191" s="18">
        <v>164903.85</v>
      </c>
      <c r="J14191" s="27">
        <v>258000</v>
      </c>
      <c r="K14191" s="18">
        <f t="shared" si="443"/>
        <v>0</v>
      </c>
      <c r="L14191" s="27">
        <v>173814.53</v>
      </c>
      <c r="M14191" s="36">
        <v>8910.68</v>
      </c>
      <c r="T14191" s="41">
        <v>0</v>
      </c>
      <c r="U14191" s="41">
        <v>0</v>
      </c>
      <c r="V14191" s="42" t="s">
        <v>113</v>
      </c>
      <c r="W14191" s="42">
        <v>0</v>
      </c>
      <c r="X14191" s="42">
        <v>0</v>
      </c>
    </row>
    <row r="14192" spans="1:24">
      <c r="A14192" s="27" t="s">
        <v>25390</v>
      </c>
      <c r="B14192" s="28" t="s">
        <v>25316</v>
      </c>
      <c r="C14192" s="27" t="s">
        <v>25351</v>
      </c>
      <c r="D14192" s="27" t="s">
        <v>17558</v>
      </c>
      <c r="E14192" s="29">
        <v>39417</v>
      </c>
      <c r="F14192" s="27">
        <v>20</v>
      </c>
      <c r="G14192" s="18">
        <v>134497</v>
      </c>
      <c r="H14192" s="27">
        <f t="shared" si="442"/>
        <v>0</v>
      </c>
      <c r="I14192" s="18">
        <v>73838.259999999995</v>
      </c>
      <c r="J14192" s="27">
        <v>134497</v>
      </c>
      <c r="K14192" s="18">
        <f t="shared" si="443"/>
        <v>0</v>
      </c>
      <c r="L14192" s="27">
        <v>79830.91</v>
      </c>
      <c r="M14192" s="36">
        <v>5992.65</v>
      </c>
      <c r="T14192" s="41">
        <v>0</v>
      </c>
      <c r="U14192" s="41">
        <v>0</v>
      </c>
      <c r="V14192" s="42" t="s">
        <v>113</v>
      </c>
      <c r="W14192" s="42">
        <v>0</v>
      </c>
      <c r="X14192" s="42">
        <v>0</v>
      </c>
    </row>
    <row r="14193" spans="1:24">
      <c r="A14193" s="27" t="s">
        <v>25391</v>
      </c>
      <c r="B14193" s="28" t="s">
        <v>25316</v>
      </c>
      <c r="C14193" s="27" t="s">
        <v>25392</v>
      </c>
      <c r="D14193" s="27" t="s">
        <v>17558</v>
      </c>
      <c r="E14193" s="29">
        <v>39417</v>
      </c>
      <c r="F14193" s="27">
        <v>20</v>
      </c>
      <c r="G14193" s="18">
        <v>44452</v>
      </c>
      <c r="H14193" s="27">
        <f t="shared" si="442"/>
        <v>0</v>
      </c>
      <c r="I14193" s="18">
        <v>24614.92</v>
      </c>
      <c r="J14193" s="27">
        <v>44452</v>
      </c>
      <c r="K14193" s="18">
        <f t="shared" si="443"/>
        <v>0</v>
      </c>
      <c r="L14193" s="27">
        <v>26572.080000000002</v>
      </c>
      <c r="M14193" s="36">
        <v>1957.16</v>
      </c>
      <c r="T14193" s="41">
        <v>0</v>
      </c>
      <c r="U14193" s="41">
        <v>0</v>
      </c>
      <c r="V14193" s="42" t="s">
        <v>113</v>
      </c>
      <c r="W14193" s="42">
        <v>0</v>
      </c>
      <c r="X14193" s="42">
        <v>0</v>
      </c>
    </row>
    <row r="14194" spans="1:24">
      <c r="A14194" s="27" t="s">
        <v>25393</v>
      </c>
      <c r="B14194" s="28" t="s">
        <v>25316</v>
      </c>
      <c r="C14194" s="27" t="s">
        <v>25351</v>
      </c>
      <c r="D14194" s="27" t="s">
        <v>17558</v>
      </c>
      <c r="E14194" s="29">
        <v>39417</v>
      </c>
      <c r="F14194" s="27">
        <v>20</v>
      </c>
      <c r="G14194" s="18">
        <v>134497</v>
      </c>
      <c r="H14194" s="27">
        <f t="shared" si="442"/>
        <v>0</v>
      </c>
      <c r="I14194" s="18">
        <v>73838.259999999995</v>
      </c>
      <c r="J14194" s="27">
        <v>134497</v>
      </c>
      <c r="K14194" s="18">
        <f t="shared" si="443"/>
        <v>0</v>
      </c>
      <c r="L14194" s="27">
        <v>79830.91</v>
      </c>
      <c r="M14194" s="36">
        <v>5992.65</v>
      </c>
      <c r="T14194" s="41">
        <v>0</v>
      </c>
      <c r="U14194" s="41">
        <v>0</v>
      </c>
      <c r="V14194" s="42" t="s">
        <v>113</v>
      </c>
      <c r="W14194" s="42">
        <v>0</v>
      </c>
      <c r="X14194" s="42">
        <v>0</v>
      </c>
    </row>
    <row r="14195" spans="1:24">
      <c r="A14195" s="27" t="s">
        <v>25394</v>
      </c>
      <c r="B14195" s="28" t="s">
        <v>25316</v>
      </c>
      <c r="C14195" s="27" t="s">
        <v>25395</v>
      </c>
      <c r="D14195" s="27" t="s">
        <v>17558</v>
      </c>
      <c r="E14195" s="29">
        <v>39417</v>
      </c>
      <c r="F14195" s="27">
        <v>20</v>
      </c>
      <c r="G14195" s="18">
        <v>44452</v>
      </c>
      <c r="H14195" s="27">
        <f t="shared" si="442"/>
        <v>0</v>
      </c>
      <c r="I14195" s="18">
        <v>24614.92</v>
      </c>
      <c r="J14195" s="27">
        <v>44452</v>
      </c>
      <c r="K14195" s="18">
        <f t="shared" si="443"/>
        <v>0</v>
      </c>
      <c r="L14195" s="27">
        <v>26572.080000000002</v>
      </c>
      <c r="M14195" s="36">
        <v>1957.16</v>
      </c>
      <c r="T14195" s="41">
        <v>0</v>
      </c>
      <c r="U14195" s="41">
        <v>0</v>
      </c>
      <c r="V14195" s="42" t="s">
        <v>113</v>
      </c>
      <c r="W14195" s="42">
        <v>0</v>
      </c>
      <c r="X14195" s="42">
        <v>0</v>
      </c>
    </row>
    <row r="14196" spans="1:24">
      <c r="A14196" s="27" t="s">
        <v>25396</v>
      </c>
      <c r="B14196" s="28" t="s">
        <v>25316</v>
      </c>
      <c r="C14196" s="27" t="s">
        <v>25361</v>
      </c>
      <c r="D14196" s="27" t="s">
        <v>17558</v>
      </c>
      <c r="E14196" s="29">
        <v>39417</v>
      </c>
      <c r="F14196" s="27">
        <v>20</v>
      </c>
      <c r="G14196" s="18">
        <v>26100</v>
      </c>
      <c r="H14196" s="27">
        <f t="shared" si="442"/>
        <v>0</v>
      </c>
      <c r="I14196" s="18">
        <v>15071.93</v>
      </c>
      <c r="J14196" s="27">
        <v>26100</v>
      </c>
      <c r="K14196" s="18">
        <f t="shared" si="443"/>
        <v>0</v>
      </c>
      <c r="L14196" s="27">
        <v>16152.27</v>
      </c>
      <c r="M14196" s="36">
        <v>1080.3399999999999</v>
      </c>
      <c r="T14196" s="41">
        <v>0</v>
      </c>
      <c r="U14196" s="41">
        <v>0</v>
      </c>
      <c r="V14196" s="42" t="s">
        <v>113</v>
      </c>
      <c r="W14196" s="42">
        <v>0</v>
      </c>
      <c r="X14196" s="42">
        <v>0</v>
      </c>
    </row>
    <row r="14197" spans="1:24">
      <c r="A14197" s="27" t="s">
        <v>25397</v>
      </c>
      <c r="B14197" s="28" t="s">
        <v>25316</v>
      </c>
      <c r="C14197" s="27" t="s">
        <v>25398</v>
      </c>
      <c r="D14197" s="27" t="s">
        <v>17558</v>
      </c>
      <c r="E14197" s="29">
        <v>38078</v>
      </c>
      <c r="F14197" s="27">
        <v>20</v>
      </c>
      <c r="G14197" s="18">
        <v>33253.410000000003</v>
      </c>
      <c r="H14197" s="27">
        <f t="shared" si="442"/>
        <v>0</v>
      </c>
      <c r="I14197" s="18">
        <v>23281.02</v>
      </c>
      <c r="J14197" s="27">
        <v>33253.410000000003</v>
      </c>
      <c r="K14197" s="18">
        <f t="shared" si="443"/>
        <v>0</v>
      </c>
      <c r="L14197" s="27">
        <v>24839.09</v>
      </c>
      <c r="M14197" s="36">
        <v>1558.07</v>
      </c>
      <c r="T14197" s="41">
        <v>0</v>
      </c>
      <c r="U14197" s="41">
        <v>0</v>
      </c>
      <c r="V14197" s="42" t="s">
        <v>113</v>
      </c>
      <c r="W14197" s="42">
        <v>0</v>
      </c>
      <c r="X14197" s="42">
        <v>0</v>
      </c>
    </row>
    <row r="14198" spans="1:24">
      <c r="A14198" s="27" t="s">
        <v>25399</v>
      </c>
      <c r="B14198" s="28" t="s">
        <v>25316</v>
      </c>
      <c r="C14198" s="27" t="s">
        <v>25343</v>
      </c>
      <c r="D14198" s="27" t="s">
        <v>17578</v>
      </c>
      <c r="E14198" s="29">
        <v>39417</v>
      </c>
      <c r="F14198" s="27">
        <v>20</v>
      </c>
      <c r="G14198" s="18">
        <v>1536905.26</v>
      </c>
      <c r="H14198" s="27">
        <f t="shared" si="442"/>
        <v>0</v>
      </c>
      <c r="I14198" s="18">
        <v>1106901.1599999999</v>
      </c>
      <c r="J14198" s="27">
        <v>1536905.26</v>
      </c>
      <c r="K14198" s="18">
        <f t="shared" si="443"/>
        <v>0</v>
      </c>
      <c r="L14198" s="27">
        <v>1146141.03</v>
      </c>
      <c r="M14198" s="36">
        <v>39239.870000000003</v>
      </c>
      <c r="T14198" s="41">
        <v>0</v>
      </c>
      <c r="U14198" s="41">
        <v>0</v>
      </c>
      <c r="V14198" s="42" t="s">
        <v>113</v>
      </c>
      <c r="W14198" s="42">
        <v>0</v>
      </c>
      <c r="X14198" s="42">
        <v>0</v>
      </c>
    </row>
    <row r="14199" spans="1:24">
      <c r="A14199" s="27" t="s">
        <v>25400</v>
      </c>
      <c r="B14199" s="28" t="s">
        <v>25316</v>
      </c>
      <c r="C14199" s="27" t="s">
        <v>25401</v>
      </c>
      <c r="D14199" s="27" t="s">
        <v>17578</v>
      </c>
      <c r="E14199" s="29">
        <v>39417</v>
      </c>
      <c r="F14199" s="27">
        <v>20</v>
      </c>
      <c r="G14199" s="18">
        <v>84000</v>
      </c>
      <c r="H14199" s="27">
        <f t="shared" si="442"/>
        <v>0</v>
      </c>
      <c r="I14199" s="18">
        <v>53291</v>
      </c>
      <c r="J14199" s="27">
        <v>84000</v>
      </c>
      <c r="K14199" s="18">
        <f t="shared" si="443"/>
        <v>0</v>
      </c>
      <c r="L14199" s="27">
        <v>56236.44</v>
      </c>
      <c r="M14199" s="36">
        <v>2945.44</v>
      </c>
      <c r="T14199" s="41">
        <v>0</v>
      </c>
      <c r="U14199" s="41">
        <v>0</v>
      </c>
      <c r="V14199" s="42" t="s">
        <v>113</v>
      </c>
      <c r="W14199" s="42">
        <v>0</v>
      </c>
      <c r="X14199" s="42">
        <v>0</v>
      </c>
    </row>
    <row r="14200" spans="1:24">
      <c r="A14200" s="27" t="s">
        <v>25402</v>
      </c>
      <c r="B14200" s="28" t="s">
        <v>25316</v>
      </c>
      <c r="C14200" s="27" t="s">
        <v>25353</v>
      </c>
      <c r="D14200" s="27" t="s">
        <v>17578</v>
      </c>
      <c r="E14200" s="29">
        <v>39417</v>
      </c>
      <c r="F14200" s="27">
        <v>20</v>
      </c>
      <c r="G14200" s="18">
        <v>180000</v>
      </c>
      <c r="H14200" s="27">
        <f t="shared" si="442"/>
        <v>0</v>
      </c>
      <c r="I14200" s="18">
        <v>132987.65</v>
      </c>
      <c r="J14200" s="27">
        <v>180000</v>
      </c>
      <c r="K14200" s="18">
        <f t="shared" si="443"/>
        <v>0</v>
      </c>
      <c r="L14200" s="27">
        <v>137211.24</v>
      </c>
      <c r="M14200" s="36">
        <v>4223.59</v>
      </c>
      <c r="T14200" s="41">
        <v>0</v>
      </c>
      <c r="U14200" s="41">
        <v>0</v>
      </c>
      <c r="V14200" s="42" t="s">
        <v>113</v>
      </c>
      <c r="W14200" s="42">
        <v>0</v>
      </c>
      <c r="X14200" s="42">
        <v>0</v>
      </c>
    </row>
    <row r="14201" spans="1:24">
      <c r="A14201" s="27" t="s">
        <v>25403</v>
      </c>
      <c r="B14201" s="28" t="s">
        <v>25316</v>
      </c>
      <c r="C14201" s="27" t="s">
        <v>25404</v>
      </c>
      <c r="D14201" s="27" t="s">
        <v>17558</v>
      </c>
      <c r="E14201" s="29">
        <v>38078</v>
      </c>
      <c r="F14201" s="27">
        <v>20</v>
      </c>
      <c r="G14201" s="18">
        <v>47941.26</v>
      </c>
      <c r="H14201" s="27">
        <f t="shared" si="442"/>
        <v>0</v>
      </c>
      <c r="I14201" s="18">
        <v>33564.14</v>
      </c>
      <c r="J14201" s="27">
        <v>47941.26</v>
      </c>
      <c r="K14201" s="18">
        <f t="shared" si="443"/>
        <v>0</v>
      </c>
      <c r="L14201" s="27">
        <v>35810.400000000001</v>
      </c>
      <c r="M14201" s="36">
        <v>2246.2600000000002</v>
      </c>
      <c r="T14201" s="41">
        <v>0</v>
      </c>
      <c r="U14201" s="41">
        <v>0</v>
      </c>
      <c r="V14201" s="42" t="s">
        <v>113</v>
      </c>
      <c r="W14201" s="42">
        <v>0</v>
      </c>
      <c r="X14201" s="42">
        <v>0</v>
      </c>
    </row>
    <row r="14202" spans="1:24">
      <c r="A14202" s="27" t="s">
        <v>25405</v>
      </c>
      <c r="B14202" s="28" t="s">
        <v>25316</v>
      </c>
      <c r="C14202" s="27" t="s">
        <v>25406</v>
      </c>
      <c r="D14202" s="27" t="s">
        <v>17578</v>
      </c>
      <c r="E14202" s="29">
        <v>39417</v>
      </c>
      <c r="F14202" s="27">
        <v>20</v>
      </c>
      <c r="G14202" s="18">
        <v>34000</v>
      </c>
      <c r="H14202" s="27">
        <f t="shared" si="442"/>
        <v>0</v>
      </c>
      <c r="I14202" s="18">
        <v>19149.88</v>
      </c>
      <c r="J14202" s="27">
        <v>34000</v>
      </c>
      <c r="K14202" s="18">
        <f t="shared" si="443"/>
        <v>0</v>
      </c>
      <c r="L14202" s="27">
        <v>20611</v>
      </c>
      <c r="M14202" s="36">
        <v>1461.12</v>
      </c>
      <c r="T14202" s="41">
        <v>0</v>
      </c>
      <c r="U14202" s="41">
        <v>0</v>
      </c>
      <c r="V14202" s="42" t="s">
        <v>113</v>
      </c>
      <c r="W14202" s="42">
        <v>0</v>
      </c>
      <c r="X14202" s="42">
        <v>0</v>
      </c>
    </row>
    <row r="14203" spans="1:24">
      <c r="A14203" s="27" t="s">
        <v>25407</v>
      </c>
      <c r="B14203" s="28" t="s">
        <v>25316</v>
      </c>
      <c r="C14203" s="27" t="s">
        <v>25351</v>
      </c>
      <c r="D14203" s="27" t="s">
        <v>17578</v>
      </c>
      <c r="E14203" s="29">
        <v>39417</v>
      </c>
      <c r="F14203" s="27">
        <v>20</v>
      </c>
      <c r="G14203" s="18">
        <v>84622</v>
      </c>
      <c r="H14203" s="27">
        <f t="shared" si="442"/>
        <v>0</v>
      </c>
      <c r="I14203" s="18">
        <v>54890.44</v>
      </c>
      <c r="J14203" s="27">
        <v>84622</v>
      </c>
      <c r="K14203" s="18">
        <f t="shared" si="443"/>
        <v>0</v>
      </c>
      <c r="L14203" s="27">
        <v>57723.82</v>
      </c>
      <c r="M14203" s="36">
        <v>2833.38</v>
      </c>
      <c r="T14203" s="41">
        <v>0</v>
      </c>
      <c r="U14203" s="41">
        <v>0</v>
      </c>
      <c r="V14203" s="42" t="s">
        <v>113</v>
      </c>
      <c r="W14203" s="42">
        <v>0</v>
      </c>
      <c r="X14203" s="42">
        <v>0</v>
      </c>
    </row>
    <row r="14204" spans="1:24">
      <c r="A14204" s="27" t="s">
        <v>25408</v>
      </c>
      <c r="B14204" s="28" t="s">
        <v>25316</v>
      </c>
      <c r="C14204" s="27" t="s">
        <v>25392</v>
      </c>
      <c r="D14204" s="27" t="s">
        <v>17578</v>
      </c>
      <c r="E14204" s="29">
        <v>39417</v>
      </c>
      <c r="F14204" s="27">
        <v>20</v>
      </c>
      <c r="G14204" s="18">
        <v>173259</v>
      </c>
      <c r="H14204" s="27">
        <f t="shared" si="442"/>
        <v>0</v>
      </c>
      <c r="I14204" s="18">
        <v>118962.96</v>
      </c>
      <c r="J14204" s="27">
        <v>173259</v>
      </c>
      <c r="K14204" s="18">
        <f t="shared" si="443"/>
        <v>0</v>
      </c>
      <c r="L14204" s="27">
        <v>124033.3</v>
      </c>
      <c r="M14204" s="36">
        <v>5070.34</v>
      </c>
      <c r="T14204" s="41">
        <v>0</v>
      </c>
      <c r="U14204" s="41">
        <v>0</v>
      </c>
      <c r="V14204" s="42" t="s">
        <v>113</v>
      </c>
      <c r="W14204" s="42">
        <v>0</v>
      </c>
      <c r="X14204" s="42">
        <v>0</v>
      </c>
    </row>
    <row r="14205" spans="1:24">
      <c r="A14205" s="27" t="s">
        <v>25409</v>
      </c>
      <c r="B14205" s="28" t="s">
        <v>25316</v>
      </c>
      <c r="C14205" s="27" t="s">
        <v>25410</v>
      </c>
      <c r="D14205" s="27" t="s">
        <v>17578</v>
      </c>
      <c r="E14205" s="29">
        <v>39417</v>
      </c>
      <c r="F14205" s="27">
        <v>20</v>
      </c>
      <c r="G14205" s="18">
        <v>400502</v>
      </c>
      <c r="H14205" s="27">
        <f t="shared" si="442"/>
        <v>0</v>
      </c>
      <c r="I14205" s="18">
        <v>290197.19</v>
      </c>
      <c r="J14205" s="27">
        <v>400502</v>
      </c>
      <c r="K14205" s="18">
        <f t="shared" si="443"/>
        <v>0</v>
      </c>
      <c r="L14205" s="27">
        <v>300228.27</v>
      </c>
      <c r="M14205" s="36">
        <v>10031.08</v>
      </c>
      <c r="T14205" s="41">
        <v>0</v>
      </c>
      <c r="U14205" s="41">
        <v>0</v>
      </c>
      <c r="V14205" s="42" t="s">
        <v>113</v>
      </c>
      <c r="W14205" s="42">
        <v>0</v>
      </c>
      <c r="X14205" s="42">
        <v>0</v>
      </c>
    </row>
    <row r="14206" spans="1:24">
      <c r="A14206" s="27" t="s">
        <v>25411</v>
      </c>
      <c r="B14206" s="28" t="s">
        <v>25316</v>
      </c>
      <c r="C14206" s="27" t="s">
        <v>25412</v>
      </c>
      <c r="D14206" s="27" t="s">
        <v>118</v>
      </c>
      <c r="E14206" s="29">
        <v>37226</v>
      </c>
      <c r="F14206" s="27">
        <v>20</v>
      </c>
      <c r="G14206" s="18">
        <v>518310.09</v>
      </c>
      <c r="H14206" s="27">
        <f t="shared" si="442"/>
        <v>0</v>
      </c>
      <c r="I14206" s="18">
        <v>438068.38</v>
      </c>
      <c r="J14206" s="27">
        <v>518310.09</v>
      </c>
      <c r="K14206" s="18">
        <f t="shared" si="443"/>
        <v>0</v>
      </c>
      <c r="L14206" s="27">
        <v>456177.12</v>
      </c>
      <c r="M14206" s="36">
        <v>18108.740000000002</v>
      </c>
      <c r="T14206" s="41">
        <v>0</v>
      </c>
      <c r="U14206" s="41">
        <v>0</v>
      </c>
      <c r="V14206" s="42" t="s">
        <v>113</v>
      </c>
      <c r="W14206" s="42">
        <v>0</v>
      </c>
      <c r="X14206" s="42">
        <v>518310.09</v>
      </c>
    </row>
    <row r="14207" spans="1:24">
      <c r="A14207" s="27" t="s">
        <v>25413</v>
      </c>
      <c r="B14207" s="28" t="s">
        <v>25316</v>
      </c>
      <c r="C14207" s="27" t="s">
        <v>25414</v>
      </c>
      <c r="D14207" s="27" t="s">
        <v>118</v>
      </c>
      <c r="E14207" s="29">
        <v>37226</v>
      </c>
      <c r="F14207" s="27">
        <v>20</v>
      </c>
      <c r="G14207" s="18">
        <v>508613.78</v>
      </c>
      <c r="H14207" s="27">
        <f t="shared" si="442"/>
        <v>0</v>
      </c>
      <c r="I14207" s="18">
        <v>429522.4</v>
      </c>
      <c r="J14207" s="27">
        <v>508613.78</v>
      </c>
      <c r="K14207" s="18">
        <f t="shared" si="443"/>
        <v>0</v>
      </c>
      <c r="L14207" s="27">
        <v>447409.3</v>
      </c>
      <c r="M14207" s="36">
        <v>17886.900000000001</v>
      </c>
      <c r="T14207" s="41">
        <v>0</v>
      </c>
      <c r="U14207" s="41">
        <v>0</v>
      </c>
      <c r="V14207" s="42" t="s">
        <v>113</v>
      </c>
      <c r="W14207" s="42">
        <v>0</v>
      </c>
      <c r="X14207" s="42">
        <v>508613.78</v>
      </c>
    </row>
    <row r="14208" spans="1:24">
      <c r="A14208" s="27" t="s">
        <v>25415</v>
      </c>
      <c r="B14208" s="28" t="s">
        <v>25316</v>
      </c>
      <c r="C14208" s="27" t="s">
        <v>25321</v>
      </c>
      <c r="D14208" s="27" t="s">
        <v>118</v>
      </c>
      <c r="E14208" s="29">
        <v>37226</v>
      </c>
      <c r="F14208" s="27">
        <v>20</v>
      </c>
      <c r="G14208" s="18">
        <v>70252.53</v>
      </c>
      <c r="H14208" s="27">
        <f t="shared" si="442"/>
        <v>0</v>
      </c>
      <c r="I14208" s="18">
        <v>56589.58</v>
      </c>
      <c r="J14208" s="27">
        <v>70252.53</v>
      </c>
      <c r="K14208" s="18">
        <f t="shared" si="443"/>
        <v>0</v>
      </c>
      <c r="L14208" s="27">
        <v>59973.02</v>
      </c>
      <c r="M14208" s="36">
        <v>3383.44</v>
      </c>
      <c r="T14208" s="41">
        <v>0</v>
      </c>
      <c r="U14208" s="41">
        <v>0</v>
      </c>
      <c r="V14208" s="42" t="s">
        <v>113</v>
      </c>
      <c r="W14208" s="42">
        <v>0</v>
      </c>
      <c r="X14208" s="42">
        <v>70252.53</v>
      </c>
    </row>
    <row r="14209" spans="1:24">
      <c r="A14209" s="27" t="s">
        <v>25416</v>
      </c>
      <c r="B14209" s="28" t="s">
        <v>25316</v>
      </c>
      <c r="C14209" s="27" t="s">
        <v>25417</v>
      </c>
      <c r="D14209" s="27" t="s">
        <v>17558</v>
      </c>
      <c r="E14209" s="29">
        <v>38322</v>
      </c>
      <c r="F14209" s="27">
        <v>20</v>
      </c>
      <c r="G14209" s="18">
        <v>152865.85999999999</v>
      </c>
      <c r="H14209" s="27">
        <f t="shared" si="442"/>
        <v>0</v>
      </c>
      <c r="I14209" s="18">
        <v>101502.86</v>
      </c>
      <c r="J14209" s="27">
        <v>152865.85999999999</v>
      </c>
      <c r="K14209" s="18">
        <f t="shared" si="443"/>
        <v>0</v>
      </c>
      <c r="L14209" s="27">
        <v>108789.48</v>
      </c>
      <c r="M14209" s="36">
        <v>7286.62</v>
      </c>
      <c r="T14209" s="41">
        <v>0</v>
      </c>
      <c r="U14209" s="41">
        <v>0</v>
      </c>
      <c r="V14209" s="42" t="s">
        <v>113</v>
      </c>
      <c r="W14209" s="42">
        <v>0</v>
      </c>
      <c r="X14209" s="42">
        <v>0</v>
      </c>
    </row>
    <row r="14210" spans="1:24">
      <c r="A14210" s="27" t="s">
        <v>25418</v>
      </c>
      <c r="B14210" s="28" t="s">
        <v>25316</v>
      </c>
      <c r="C14210" s="27" t="s">
        <v>25419</v>
      </c>
      <c r="D14210" s="27" t="s">
        <v>118</v>
      </c>
      <c r="E14210" s="29">
        <v>40170</v>
      </c>
      <c r="F14210" s="27">
        <v>20</v>
      </c>
      <c r="G14210" s="18">
        <v>601946.76</v>
      </c>
      <c r="H14210" s="27">
        <f t="shared" si="442"/>
        <v>0</v>
      </c>
      <c r="I14210" s="18">
        <v>451163.71</v>
      </c>
      <c r="J14210" s="27">
        <v>601946.76</v>
      </c>
      <c r="K14210" s="18">
        <f t="shared" si="443"/>
        <v>0</v>
      </c>
      <c r="L14210" s="27">
        <v>491392.28</v>
      </c>
      <c r="M14210" s="36">
        <v>40228.57</v>
      </c>
      <c r="T14210" s="41">
        <v>0</v>
      </c>
      <c r="U14210" s="41">
        <v>0</v>
      </c>
      <c r="V14210" s="42" t="s">
        <v>113</v>
      </c>
      <c r="W14210" s="42">
        <v>0</v>
      </c>
      <c r="X14210" s="42">
        <v>0</v>
      </c>
    </row>
    <row r="14211" spans="1:24">
      <c r="A14211" s="27" t="s">
        <v>25420</v>
      </c>
      <c r="B14211" s="28" t="s">
        <v>25316</v>
      </c>
      <c r="C14211" s="27" t="s">
        <v>25421</v>
      </c>
      <c r="D14211" s="27" t="s">
        <v>112</v>
      </c>
      <c r="E14211" s="29">
        <v>40268</v>
      </c>
      <c r="F14211" s="27">
        <v>20</v>
      </c>
      <c r="G14211" s="18">
        <v>1749731.85</v>
      </c>
      <c r="H14211" s="27">
        <f t="shared" si="442"/>
        <v>0</v>
      </c>
      <c r="I14211" s="18">
        <v>727232.28</v>
      </c>
      <c r="J14211" s="27">
        <v>1749731.85</v>
      </c>
      <c r="K14211" s="18">
        <f t="shared" si="443"/>
        <v>0</v>
      </c>
      <c r="L14211" s="27">
        <v>810344.54</v>
      </c>
      <c r="M14211" s="36">
        <v>83112.259999999995</v>
      </c>
      <c r="T14211" s="41">
        <v>0</v>
      </c>
      <c r="U14211" s="41">
        <v>0</v>
      </c>
      <c r="V14211" s="42" t="s">
        <v>113</v>
      </c>
      <c r="W14211" s="42">
        <v>0</v>
      </c>
      <c r="X14211" s="42">
        <v>0</v>
      </c>
    </row>
    <row r="14212" spans="1:24">
      <c r="A14212" s="27" t="s">
        <v>25422</v>
      </c>
      <c r="B14212" s="28" t="s">
        <v>25316</v>
      </c>
      <c r="C14212" s="27" t="s">
        <v>25423</v>
      </c>
      <c r="D14212" s="27" t="s">
        <v>112</v>
      </c>
      <c r="E14212" s="29">
        <v>40268</v>
      </c>
      <c r="F14212" s="27">
        <v>20</v>
      </c>
      <c r="G14212" s="18">
        <v>784110.06</v>
      </c>
      <c r="H14212" s="27">
        <f t="shared" si="442"/>
        <v>0</v>
      </c>
      <c r="I14212" s="18">
        <v>339862.7</v>
      </c>
      <c r="J14212" s="27">
        <v>784110.06</v>
      </c>
      <c r="K14212" s="18">
        <f t="shared" si="443"/>
        <v>0</v>
      </c>
      <c r="L14212" s="27">
        <v>375866.42</v>
      </c>
      <c r="M14212" s="36">
        <v>36003.72</v>
      </c>
      <c r="T14212" s="41">
        <v>0</v>
      </c>
      <c r="U14212" s="41">
        <v>0</v>
      </c>
      <c r="V14212" s="42" t="s">
        <v>113</v>
      </c>
      <c r="W14212" s="42">
        <v>0</v>
      </c>
      <c r="X14212" s="42">
        <v>0</v>
      </c>
    </row>
    <row r="14213" spans="1:24">
      <c r="A14213" s="27" t="s">
        <v>25424</v>
      </c>
      <c r="B14213" s="28" t="s">
        <v>25316</v>
      </c>
      <c r="C14213" s="27" t="s">
        <v>25423</v>
      </c>
      <c r="D14213" s="27" t="s">
        <v>112</v>
      </c>
      <c r="E14213" s="29">
        <v>40268</v>
      </c>
      <c r="F14213" s="27">
        <v>20</v>
      </c>
      <c r="G14213" s="18">
        <v>1452689.85</v>
      </c>
      <c r="H14213" s="27">
        <f t="shared" si="442"/>
        <v>0</v>
      </c>
      <c r="I14213" s="18">
        <v>603774.24</v>
      </c>
      <c r="J14213" s="27">
        <v>1452689.85</v>
      </c>
      <c r="K14213" s="18">
        <f t="shared" si="443"/>
        <v>0</v>
      </c>
      <c r="L14213" s="27">
        <v>672777.01</v>
      </c>
      <c r="M14213" s="36">
        <v>69002.77</v>
      </c>
      <c r="T14213" s="41">
        <v>0</v>
      </c>
      <c r="U14213" s="41">
        <v>0</v>
      </c>
      <c r="V14213" s="42" t="s">
        <v>113</v>
      </c>
      <c r="W14213" s="42">
        <v>0</v>
      </c>
      <c r="X14213" s="42">
        <v>0</v>
      </c>
    </row>
    <row r="14214" spans="1:24">
      <c r="A14214" s="27" t="s">
        <v>25425</v>
      </c>
      <c r="B14214" s="28" t="s">
        <v>25316</v>
      </c>
      <c r="C14214" s="27" t="s">
        <v>25426</v>
      </c>
      <c r="D14214" s="27" t="s">
        <v>118</v>
      </c>
      <c r="E14214" s="29">
        <v>37742</v>
      </c>
      <c r="F14214" s="27">
        <v>20</v>
      </c>
      <c r="G14214" s="18">
        <v>66913</v>
      </c>
      <c r="H14214" s="27">
        <f t="shared" ref="H14214:H14277" si="444">IFERROR(IF(ROUND((G14214-I14214)/G14214,2)&lt;=0.05,G14214,0),0)</f>
        <v>0</v>
      </c>
      <c r="I14214" s="18">
        <v>49161.57</v>
      </c>
      <c r="J14214" s="27">
        <v>66913</v>
      </c>
      <c r="K14214" s="18">
        <f t="shared" ref="K14214:K14277" si="445">IFERROR(IF(ROUND((J14214-L14214)/J14214,2)&lt;=0.05,J14214,0),0)</f>
        <v>0</v>
      </c>
      <c r="L14214" s="27">
        <v>52423.26</v>
      </c>
      <c r="M14214" s="36">
        <v>3261.69</v>
      </c>
      <c r="T14214" s="41">
        <v>0</v>
      </c>
      <c r="U14214" s="41">
        <v>0</v>
      </c>
      <c r="V14214" s="42" t="s">
        <v>113</v>
      </c>
      <c r="W14214" s="42">
        <v>0</v>
      </c>
      <c r="X14214" s="42">
        <v>0</v>
      </c>
    </row>
    <row r="14215" spans="1:24">
      <c r="A14215" s="27" t="s">
        <v>25427</v>
      </c>
      <c r="B14215" s="28" t="s">
        <v>25316</v>
      </c>
      <c r="C14215" s="27" t="s">
        <v>25428</v>
      </c>
      <c r="D14215" s="27" t="s">
        <v>112</v>
      </c>
      <c r="E14215" s="29">
        <v>28795</v>
      </c>
      <c r="F14215" s="27">
        <v>20</v>
      </c>
      <c r="G14215" s="18">
        <v>43315.61</v>
      </c>
      <c r="H14215" s="27">
        <f t="shared" si="444"/>
        <v>43315.61</v>
      </c>
      <c r="I14215" s="18">
        <v>41836.959999999999</v>
      </c>
      <c r="J14215" s="27">
        <v>43315.61</v>
      </c>
      <c r="K14215" s="18">
        <f t="shared" si="445"/>
        <v>43315.61</v>
      </c>
      <c r="L14215" s="27">
        <v>41149.83</v>
      </c>
      <c r="M14215" s="36">
        <v>-687.13</v>
      </c>
      <c r="T14215" s="41">
        <v>0</v>
      </c>
      <c r="U14215" s="41">
        <v>0</v>
      </c>
      <c r="V14215" s="42" t="s">
        <v>113</v>
      </c>
      <c r="W14215" s="42">
        <v>43315.61</v>
      </c>
      <c r="X14215" s="42">
        <v>43315.61</v>
      </c>
    </row>
    <row r="14216" spans="1:24">
      <c r="A14216" s="27" t="s">
        <v>25429</v>
      </c>
      <c r="B14216" s="28" t="s">
        <v>25316</v>
      </c>
      <c r="C14216" s="27" t="s">
        <v>25423</v>
      </c>
      <c r="D14216" s="27" t="s">
        <v>118</v>
      </c>
      <c r="E14216" s="29">
        <v>40543</v>
      </c>
      <c r="F14216" s="27">
        <v>20</v>
      </c>
      <c r="G14216" s="18">
        <v>212073.47</v>
      </c>
      <c r="H14216" s="27">
        <f t="shared" si="444"/>
        <v>0</v>
      </c>
      <c r="I14216" s="18">
        <v>80587.92</v>
      </c>
      <c r="J14216" s="27">
        <v>212073.47</v>
      </c>
      <c r="K14216" s="18">
        <f t="shared" si="445"/>
        <v>0</v>
      </c>
      <c r="L14216" s="27">
        <v>90661.41</v>
      </c>
      <c r="M14216" s="36">
        <v>10073.49</v>
      </c>
      <c r="T14216" s="41">
        <v>0</v>
      </c>
      <c r="U14216" s="41">
        <v>0</v>
      </c>
      <c r="V14216" s="42" t="s">
        <v>113</v>
      </c>
      <c r="W14216" s="42">
        <v>0</v>
      </c>
      <c r="X14216" s="42">
        <v>0</v>
      </c>
    </row>
    <row r="14217" spans="1:24">
      <c r="A14217" s="27" t="s">
        <v>25430</v>
      </c>
      <c r="B14217" s="28" t="s">
        <v>25316</v>
      </c>
      <c r="C14217" s="27" t="s">
        <v>25431</v>
      </c>
      <c r="D14217" s="27" t="s">
        <v>118</v>
      </c>
      <c r="E14217" s="29">
        <v>40543</v>
      </c>
      <c r="F14217" s="27">
        <v>20</v>
      </c>
      <c r="G14217" s="18">
        <v>977894.35</v>
      </c>
      <c r="H14217" s="27">
        <f t="shared" si="444"/>
        <v>0</v>
      </c>
      <c r="I14217" s="18">
        <v>371599.85</v>
      </c>
      <c r="J14217" s="27">
        <v>977894.35</v>
      </c>
      <c r="K14217" s="18">
        <f t="shared" si="445"/>
        <v>0</v>
      </c>
      <c r="L14217" s="27">
        <v>418049.83</v>
      </c>
      <c r="M14217" s="36">
        <v>46449.98</v>
      </c>
      <c r="T14217" s="41">
        <v>0</v>
      </c>
      <c r="U14217" s="41">
        <v>0</v>
      </c>
      <c r="V14217" s="42" t="s">
        <v>113</v>
      </c>
      <c r="W14217" s="42">
        <v>0</v>
      </c>
      <c r="X14217" s="42">
        <v>0</v>
      </c>
    </row>
    <row r="14218" spans="1:24">
      <c r="A14218" s="27" t="s">
        <v>25432</v>
      </c>
      <c r="B14218" s="28" t="s">
        <v>25316</v>
      </c>
      <c r="C14218" s="27" t="s">
        <v>25433</v>
      </c>
      <c r="D14218" s="27" t="s">
        <v>118</v>
      </c>
      <c r="E14218" s="29">
        <v>40543</v>
      </c>
      <c r="F14218" s="27">
        <v>20</v>
      </c>
      <c r="G14218" s="18">
        <v>1713432.18</v>
      </c>
      <c r="H14218" s="27">
        <f t="shared" si="444"/>
        <v>0</v>
      </c>
      <c r="I14218" s="18">
        <v>651104.24</v>
      </c>
      <c r="J14218" s="27">
        <v>1713432.18</v>
      </c>
      <c r="K14218" s="18">
        <f t="shared" si="445"/>
        <v>0</v>
      </c>
      <c r="L14218" s="27">
        <v>732492.27</v>
      </c>
      <c r="M14218" s="36">
        <v>81388.03</v>
      </c>
      <c r="T14218" s="41">
        <v>0</v>
      </c>
      <c r="U14218" s="41">
        <v>0</v>
      </c>
      <c r="V14218" s="42" t="s">
        <v>113</v>
      </c>
      <c r="W14218" s="42">
        <v>0</v>
      </c>
      <c r="X14218" s="42">
        <v>0</v>
      </c>
    </row>
    <row r="14219" spans="1:24">
      <c r="A14219" s="27" t="s">
        <v>25434</v>
      </c>
      <c r="B14219" s="28" t="s">
        <v>25316</v>
      </c>
      <c r="C14219" s="27" t="s">
        <v>25435</v>
      </c>
      <c r="D14219" s="27" t="s">
        <v>17558</v>
      </c>
      <c r="E14219" s="29">
        <v>40771</v>
      </c>
      <c r="F14219" s="27">
        <v>20</v>
      </c>
      <c r="G14219" s="18">
        <v>2240530.7000000002</v>
      </c>
      <c r="H14219" s="27">
        <f t="shared" si="444"/>
        <v>0</v>
      </c>
      <c r="I14219" s="18">
        <v>815062.37</v>
      </c>
      <c r="J14219" s="27">
        <v>2240530.7000000002</v>
      </c>
      <c r="K14219" s="18">
        <f t="shared" si="445"/>
        <v>0</v>
      </c>
      <c r="L14219" s="27">
        <v>918755.14</v>
      </c>
      <c r="M14219" s="36">
        <v>103692.77</v>
      </c>
      <c r="T14219" s="41">
        <v>0</v>
      </c>
      <c r="U14219" s="41">
        <v>0</v>
      </c>
      <c r="V14219" s="42" t="s">
        <v>113</v>
      </c>
      <c r="W14219" s="42">
        <v>0</v>
      </c>
      <c r="X14219" s="42">
        <v>0</v>
      </c>
    </row>
    <row r="14220" spans="1:24">
      <c r="A14220" s="27" t="s">
        <v>25436</v>
      </c>
      <c r="B14220" s="28" t="s">
        <v>25316</v>
      </c>
      <c r="C14220" s="27" t="s">
        <v>25437</v>
      </c>
      <c r="D14220" s="27" t="s">
        <v>17558</v>
      </c>
      <c r="E14220" s="29">
        <v>41272</v>
      </c>
      <c r="F14220" s="27">
        <v>20</v>
      </c>
      <c r="G14220" s="18">
        <v>64484.3</v>
      </c>
      <c r="H14220" s="27">
        <f t="shared" si="444"/>
        <v>64484.3</v>
      </c>
      <c r="I14220" s="18">
        <v>64484.3</v>
      </c>
      <c r="J14220" s="27">
        <v>64484.3</v>
      </c>
      <c r="K14220" s="18">
        <f t="shared" si="445"/>
        <v>64484.3</v>
      </c>
      <c r="L14220" s="27">
        <v>61260.08</v>
      </c>
      <c r="M14220" s="36">
        <v>-3224.22</v>
      </c>
      <c r="T14220" s="41">
        <v>0</v>
      </c>
      <c r="U14220" s="41">
        <v>0</v>
      </c>
      <c r="V14220" s="42" t="s">
        <v>113</v>
      </c>
      <c r="W14220" s="42">
        <v>64484.3</v>
      </c>
      <c r="X14220" s="42">
        <v>64484.3</v>
      </c>
    </row>
    <row r="14221" spans="1:24">
      <c r="A14221" s="27" t="s">
        <v>25438</v>
      </c>
      <c r="B14221" s="28" t="s">
        <v>25316</v>
      </c>
      <c r="C14221" s="27" t="s">
        <v>25439</v>
      </c>
      <c r="D14221" s="27" t="s">
        <v>118</v>
      </c>
      <c r="E14221" s="29">
        <v>40771</v>
      </c>
      <c r="F14221" s="27">
        <v>20</v>
      </c>
      <c r="G14221" s="18">
        <v>1026825.24</v>
      </c>
      <c r="H14221" s="27">
        <f t="shared" si="444"/>
        <v>0</v>
      </c>
      <c r="I14221" s="18">
        <v>373539.45</v>
      </c>
      <c r="J14221" s="27">
        <v>1026825.24</v>
      </c>
      <c r="K14221" s="18">
        <f t="shared" si="445"/>
        <v>0</v>
      </c>
      <c r="L14221" s="27">
        <v>421061.39</v>
      </c>
      <c r="M14221" s="36">
        <v>47521.94</v>
      </c>
      <c r="T14221" s="41">
        <v>0</v>
      </c>
      <c r="U14221" s="41">
        <v>0</v>
      </c>
      <c r="V14221" s="42" t="s">
        <v>113</v>
      </c>
      <c r="W14221" s="42">
        <v>0</v>
      </c>
      <c r="X14221" s="42">
        <v>0</v>
      </c>
    </row>
    <row r="14222" spans="1:24">
      <c r="A14222" s="27" t="s">
        <v>25440</v>
      </c>
      <c r="B14222" s="28" t="s">
        <v>25316</v>
      </c>
      <c r="C14222" s="27" t="s">
        <v>25441</v>
      </c>
      <c r="D14222" s="27" t="s">
        <v>118</v>
      </c>
      <c r="E14222" s="29">
        <v>40771</v>
      </c>
      <c r="F14222" s="27">
        <v>20</v>
      </c>
      <c r="G14222" s="18">
        <v>1804556.58</v>
      </c>
      <c r="H14222" s="27">
        <f t="shared" si="444"/>
        <v>0</v>
      </c>
      <c r="I14222" s="18">
        <v>656463.32999999996</v>
      </c>
      <c r="J14222" s="27">
        <v>1804556.58</v>
      </c>
      <c r="K14222" s="18">
        <f t="shared" si="445"/>
        <v>0</v>
      </c>
      <c r="L14222" s="27">
        <v>739979.02</v>
      </c>
      <c r="M14222" s="36">
        <v>83515.69</v>
      </c>
      <c r="T14222" s="41">
        <v>0</v>
      </c>
      <c r="U14222" s="41">
        <v>0</v>
      </c>
      <c r="V14222" s="42" t="s">
        <v>113</v>
      </c>
      <c r="W14222" s="42">
        <v>0</v>
      </c>
      <c r="X14222" s="42">
        <v>0</v>
      </c>
    </row>
    <row r="14223" spans="1:24">
      <c r="A14223" s="27" t="s">
        <v>25442</v>
      </c>
      <c r="B14223" s="28" t="s">
        <v>25316</v>
      </c>
      <c r="C14223" s="27" t="s">
        <v>25443</v>
      </c>
      <c r="D14223" s="27" t="s">
        <v>118</v>
      </c>
      <c r="E14223" s="29">
        <v>40771</v>
      </c>
      <c r="F14223" s="27">
        <v>20</v>
      </c>
      <c r="G14223" s="18">
        <v>168406.64</v>
      </c>
      <c r="H14223" s="27">
        <f t="shared" si="444"/>
        <v>0</v>
      </c>
      <c r="I14223" s="18">
        <v>61263.13</v>
      </c>
      <c r="J14223" s="27">
        <v>168406.64</v>
      </c>
      <c r="K14223" s="18">
        <f t="shared" si="445"/>
        <v>0</v>
      </c>
      <c r="L14223" s="27">
        <v>69057.070000000007</v>
      </c>
      <c r="M14223" s="36">
        <v>7793.94</v>
      </c>
      <c r="T14223" s="41">
        <v>0</v>
      </c>
      <c r="U14223" s="41">
        <v>0</v>
      </c>
      <c r="V14223" s="42" t="s">
        <v>113</v>
      </c>
      <c r="W14223" s="42">
        <v>0</v>
      </c>
      <c r="X14223" s="42">
        <v>0</v>
      </c>
    </row>
    <row r="14224" spans="1:24">
      <c r="A14224" s="27" t="s">
        <v>25444</v>
      </c>
      <c r="B14224" s="28" t="s">
        <v>25316</v>
      </c>
      <c r="C14224" s="27" t="s">
        <v>25445</v>
      </c>
      <c r="D14224" s="27" t="s">
        <v>112</v>
      </c>
      <c r="E14224" s="29">
        <v>41271</v>
      </c>
      <c r="F14224" s="27">
        <v>20</v>
      </c>
      <c r="G14224" s="18">
        <v>15457.47</v>
      </c>
      <c r="H14224" s="27">
        <f t="shared" si="444"/>
        <v>0</v>
      </c>
      <c r="I14224" s="18">
        <v>6519.53</v>
      </c>
      <c r="J14224" s="27">
        <v>15457.47</v>
      </c>
      <c r="K14224" s="18">
        <f t="shared" si="445"/>
        <v>0</v>
      </c>
      <c r="L14224" s="27">
        <v>7102.75</v>
      </c>
      <c r="M14224" s="36">
        <v>583.22</v>
      </c>
      <c r="T14224" s="41">
        <v>0</v>
      </c>
      <c r="U14224" s="41">
        <v>0</v>
      </c>
      <c r="V14224" s="42" t="s">
        <v>113</v>
      </c>
      <c r="W14224" s="42">
        <v>0</v>
      </c>
      <c r="X14224" s="42">
        <v>0</v>
      </c>
    </row>
    <row r="14225" spans="1:24">
      <c r="A14225" s="27" t="s">
        <v>25446</v>
      </c>
      <c r="B14225" s="28" t="s">
        <v>25316</v>
      </c>
      <c r="C14225" s="27" t="s">
        <v>25447</v>
      </c>
      <c r="D14225" s="27" t="s">
        <v>17558</v>
      </c>
      <c r="E14225" s="29">
        <v>40771</v>
      </c>
      <c r="F14225" s="27">
        <v>20</v>
      </c>
      <c r="G14225" s="18">
        <v>1114633.94</v>
      </c>
      <c r="H14225" s="27">
        <f t="shared" si="444"/>
        <v>0</v>
      </c>
      <c r="I14225" s="18">
        <v>405482.58</v>
      </c>
      <c r="J14225" s="27">
        <v>1114633.94</v>
      </c>
      <c r="K14225" s="18">
        <f t="shared" si="445"/>
        <v>0</v>
      </c>
      <c r="L14225" s="27">
        <v>457068.34</v>
      </c>
      <c r="M14225" s="36">
        <v>51585.760000000002</v>
      </c>
      <c r="T14225" s="41">
        <v>0</v>
      </c>
      <c r="U14225" s="41">
        <v>0</v>
      </c>
      <c r="V14225" s="42" t="s">
        <v>113</v>
      </c>
      <c r="W14225" s="42">
        <v>0</v>
      </c>
      <c r="X14225" s="42">
        <v>0</v>
      </c>
    </row>
    <row r="14226" spans="1:24">
      <c r="A14226" s="27" t="s">
        <v>25448</v>
      </c>
      <c r="B14226" s="28" t="s">
        <v>25316</v>
      </c>
      <c r="C14226" s="27" t="s">
        <v>25449</v>
      </c>
      <c r="D14226" s="27" t="s">
        <v>17558</v>
      </c>
      <c r="E14226" s="29">
        <v>40771</v>
      </c>
      <c r="F14226" s="27">
        <v>20</v>
      </c>
      <c r="G14226" s="18">
        <v>1120196.97</v>
      </c>
      <c r="H14226" s="27">
        <f t="shared" si="444"/>
        <v>0</v>
      </c>
      <c r="I14226" s="18">
        <v>407506.32</v>
      </c>
      <c r="J14226" s="27">
        <v>1120196.97</v>
      </c>
      <c r="K14226" s="18">
        <f t="shared" si="445"/>
        <v>0</v>
      </c>
      <c r="L14226" s="27">
        <v>459349.54</v>
      </c>
      <c r="M14226" s="36">
        <v>51843.22</v>
      </c>
      <c r="T14226" s="41">
        <v>0</v>
      </c>
      <c r="U14226" s="41">
        <v>0</v>
      </c>
      <c r="V14226" s="42" t="s">
        <v>113</v>
      </c>
      <c r="W14226" s="42">
        <v>0</v>
      </c>
      <c r="X14226" s="42">
        <v>0</v>
      </c>
    </row>
    <row r="14227" spans="1:24">
      <c r="A14227" s="27" t="s">
        <v>25450</v>
      </c>
      <c r="B14227" s="28" t="s">
        <v>25316</v>
      </c>
      <c r="C14227" s="27" t="s">
        <v>25451</v>
      </c>
      <c r="D14227" s="27" t="s">
        <v>17558</v>
      </c>
      <c r="E14227" s="29">
        <v>40771</v>
      </c>
      <c r="F14227" s="27">
        <v>20</v>
      </c>
      <c r="G14227" s="18">
        <v>1084808.1200000001</v>
      </c>
      <c r="H14227" s="27">
        <f t="shared" si="444"/>
        <v>0</v>
      </c>
      <c r="I14227" s="18">
        <v>394632.54</v>
      </c>
      <c r="J14227" s="27">
        <v>1084808.1200000001</v>
      </c>
      <c r="K14227" s="18">
        <f t="shared" si="445"/>
        <v>0</v>
      </c>
      <c r="L14227" s="27">
        <v>444837.95</v>
      </c>
      <c r="M14227" s="36">
        <v>50205.41</v>
      </c>
      <c r="T14227" s="41">
        <v>0</v>
      </c>
      <c r="U14227" s="41">
        <v>0</v>
      </c>
      <c r="V14227" s="42" t="s">
        <v>113</v>
      </c>
      <c r="W14227" s="42">
        <v>0</v>
      </c>
      <c r="X14227" s="42">
        <v>0</v>
      </c>
    </row>
    <row r="14228" spans="1:24">
      <c r="A14228" s="27" t="s">
        <v>25452</v>
      </c>
      <c r="B14228" s="28" t="s">
        <v>25316</v>
      </c>
      <c r="C14228" s="27" t="s">
        <v>25453</v>
      </c>
      <c r="D14228" s="27" t="s">
        <v>17558</v>
      </c>
      <c r="E14228" s="29">
        <v>40771</v>
      </c>
      <c r="F14228" s="27">
        <v>20</v>
      </c>
      <c r="G14228" s="18">
        <v>1517828.81</v>
      </c>
      <c r="H14228" s="27">
        <f t="shared" si="444"/>
        <v>0</v>
      </c>
      <c r="I14228" s="18">
        <v>552157.19999999995</v>
      </c>
      <c r="J14228" s="27">
        <v>1517828.81</v>
      </c>
      <c r="K14228" s="18">
        <f t="shared" si="445"/>
        <v>0</v>
      </c>
      <c r="L14228" s="27">
        <v>622403</v>
      </c>
      <c r="M14228" s="36">
        <v>70245.8</v>
      </c>
      <c r="T14228" s="41">
        <v>0</v>
      </c>
      <c r="U14228" s="41">
        <v>0</v>
      </c>
      <c r="V14228" s="42" t="s">
        <v>113</v>
      </c>
      <c r="W14228" s="42">
        <v>0</v>
      </c>
      <c r="X14228" s="42">
        <v>0</v>
      </c>
    </row>
    <row r="14229" spans="1:24">
      <c r="A14229" s="27" t="s">
        <v>25454</v>
      </c>
      <c r="B14229" s="28" t="s">
        <v>25316</v>
      </c>
      <c r="C14229" s="27" t="s">
        <v>25455</v>
      </c>
      <c r="D14229" s="27" t="s">
        <v>17558</v>
      </c>
      <c r="E14229" s="29">
        <v>40771</v>
      </c>
      <c r="F14229" s="27">
        <v>20</v>
      </c>
      <c r="G14229" s="18">
        <v>1282822</v>
      </c>
      <c r="H14229" s="27">
        <f t="shared" si="444"/>
        <v>0</v>
      </c>
      <c r="I14229" s="18">
        <v>466666.21</v>
      </c>
      <c r="J14229" s="27">
        <v>1282822</v>
      </c>
      <c r="K14229" s="18">
        <f t="shared" si="445"/>
        <v>0</v>
      </c>
      <c r="L14229" s="27">
        <v>526035.79</v>
      </c>
      <c r="M14229" s="36">
        <v>59369.58</v>
      </c>
      <c r="T14229" s="41">
        <v>0</v>
      </c>
      <c r="U14229" s="41">
        <v>0</v>
      </c>
      <c r="V14229" s="42" t="s">
        <v>113</v>
      </c>
      <c r="W14229" s="42">
        <v>0</v>
      </c>
      <c r="X14229" s="42">
        <v>0</v>
      </c>
    </row>
    <row r="14230" spans="1:24">
      <c r="A14230" s="27" t="s">
        <v>25456</v>
      </c>
      <c r="B14230" s="28" t="s">
        <v>25316</v>
      </c>
      <c r="C14230" s="27" t="s">
        <v>25457</v>
      </c>
      <c r="D14230" s="27" t="s">
        <v>17558</v>
      </c>
      <c r="E14230" s="29">
        <v>40771</v>
      </c>
      <c r="F14230" s="27">
        <v>20</v>
      </c>
      <c r="G14230" s="18">
        <v>1399247.54</v>
      </c>
      <c r="H14230" s="27">
        <f t="shared" si="444"/>
        <v>0</v>
      </c>
      <c r="I14230" s="18">
        <v>509019.62</v>
      </c>
      <c r="J14230" s="27">
        <v>1399247.54</v>
      </c>
      <c r="K14230" s="18">
        <f t="shared" si="445"/>
        <v>0</v>
      </c>
      <c r="L14230" s="27">
        <v>573777.43000000005</v>
      </c>
      <c r="M14230" s="36">
        <v>64757.81</v>
      </c>
      <c r="T14230" s="41">
        <v>0</v>
      </c>
      <c r="U14230" s="41">
        <v>0</v>
      </c>
      <c r="V14230" s="42" t="s">
        <v>113</v>
      </c>
      <c r="W14230" s="42">
        <v>0</v>
      </c>
      <c r="X14230" s="42">
        <v>0</v>
      </c>
    </row>
    <row r="14231" spans="1:24">
      <c r="A14231" s="27" t="s">
        <v>25458</v>
      </c>
      <c r="B14231" s="28" t="s">
        <v>25316</v>
      </c>
      <c r="C14231" s="27" t="s">
        <v>25459</v>
      </c>
      <c r="D14231" s="27" t="s">
        <v>17558</v>
      </c>
      <c r="E14231" s="29">
        <v>40771</v>
      </c>
      <c r="F14231" s="27">
        <v>20</v>
      </c>
      <c r="G14231" s="18">
        <v>287692.21999999997</v>
      </c>
      <c r="H14231" s="27">
        <f t="shared" si="444"/>
        <v>0</v>
      </c>
      <c r="I14231" s="18">
        <v>104656.96000000001</v>
      </c>
      <c r="J14231" s="27">
        <v>287692.21999999997</v>
      </c>
      <c r="K14231" s="18">
        <f t="shared" si="445"/>
        <v>0</v>
      </c>
      <c r="L14231" s="27">
        <v>117971.49</v>
      </c>
      <c r="M14231" s="36">
        <v>13314.53</v>
      </c>
      <c r="T14231" s="41">
        <v>0</v>
      </c>
      <c r="U14231" s="41">
        <v>0</v>
      </c>
      <c r="V14231" s="42" t="s">
        <v>113</v>
      </c>
      <c r="W14231" s="42">
        <v>0</v>
      </c>
      <c r="X14231" s="42">
        <v>0</v>
      </c>
    </row>
    <row r="14232" spans="1:24">
      <c r="A14232" s="27" t="s">
        <v>25460</v>
      </c>
      <c r="B14232" s="28" t="s">
        <v>25316</v>
      </c>
      <c r="C14232" s="27" t="s">
        <v>25461</v>
      </c>
      <c r="D14232" s="27" t="s">
        <v>17558</v>
      </c>
      <c r="E14232" s="29">
        <v>40771</v>
      </c>
      <c r="F14232" s="27">
        <v>20</v>
      </c>
      <c r="G14232" s="18">
        <v>1046802.94</v>
      </c>
      <c r="H14232" s="27">
        <f t="shared" si="444"/>
        <v>0</v>
      </c>
      <c r="I14232" s="18">
        <v>380806.95</v>
      </c>
      <c r="J14232" s="27">
        <v>1046802.94</v>
      </c>
      <c r="K14232" s="18">
        <f t="shared" si="445"/>
        <v>0</v>
      </c>
      <c r="L14232" s="27">
        <v>429253.46</v>
      </c>
      <c r="M14232" s="36">
        <v>48446.51</v>
      </c>
      <c r="T14232" s="41">
        <v>0</v>
      </c>
      <c r="U14232" s="41">
        <v>0</v>
      </c>
      <c r="V14232" s="42" t="s">
        <v>113</v>
      </c>
      <c r="W14232" s="42">
        <v>0</v>
      </c>
      <c r="X14232" s="42">
        <v>0</v>
      </c>
    </row>
    <row r="14233" spans="1:24">
      <c r="A14233" s="27" t="s">
        <v>25462</v>
      </c>
      <c r="B14233" s="28" t="s">
        <v>25316</v>
      </c>
      <c r="C14233" s="27" t="s">
        <v>25463</v>
      </c>
      <c r="D14233" s="27" t="s">
        <v>17558</v>
      </c>
      <c r="E14233" s="29">
        <v>40771</v>
      </c>
      <c r="F14233" s="27">
        <v>20</v>
      </c>
      <c r="G14233" s="18">
        <v>1119236.75</v>
      </c>
      <c r="H14233" s="27">
        <f t="shared" si="444"/>
        <v>0</v>
      </c>
      <c r="I14233" s="18">
        <v>407157.02</v>
      </c>
      <c r="J14233" s="27">
        <v>1119236.75</v>
      </c>
      <c r="K14233" s="18">
        <f t="shared" si="445"/>
        <v>0</v>
      </c>
      <c r="L14233" s="27">
        <v>458955.8</v>
      </c>
      <c r="M14233" s="36">
        <v>51798.78</v>
      </c>
      <c r="T14233" s="41">
        <v>0</v>
      </c>
      <c r="U14233" s="41">
        <v>0</v>
      </c>
      <c r="V14233" s="42" t="s">
        <v>113</v>
      </c>
      <c r="W14233" s="42">
        <v>0</v>
      </c>
      <c r="X14233" s="42">
        <v>0</v>
      </c>
    </row>
    <row r="14234" spans="1:24">
      <c r="A14234" s="27" t="s">
        <v>25464</v>
      </c>
      <c r="B14234" s="28" t="s">
        <v>25316</v>
      </c>
      <c r="C14234" s="27" t="s">
        <v>25465</v>
      </c>
      <c r="D14234" s="27" t="s">
        <v>17558</v>
      </c>
      <c r="E14234" s="29">
        <v>40771</v>
      </c>
      <c r="F14234" s="27">
        <v>20</v>
      </c>
      <c r="G14234" s="18">
        <v>696891.59</v>
      </c>
      <c r="H14234" s="27">
        <f t="shared" si="444"/>
        <v>0</v>
      </c>
      <c r="I14234" s="18">
        <v>253515.9</v>
      </c>
      <c r="J14234" s="27">
        <v>696891.59</v>
      </c>
      <c r="K14234" s="18">
        <f t="shared" si="445"/>
        <v>0</v>
      </c>
      <c r="L14234" s="27">
        <v>285768.36</v>
      </c>
      <c r="M14234" s="36">
        <v>32252.46</v>
      </c>
      <c r="T14234" s="41">
        <v>0</v>
      </c>
      <c r="U14234" s="41">
        <v>0</v>
      </c>
      <c r="V14234" s="42" t="s">
        <v>113</v>
      </c>
      <c r="W14234" s="42">
        <v>0</v>
      </c>
      <c r="X14234" s="42">
        <v>0</v>
      </c>
    </row>
    <row r="14235" spans="1:24">
      <c r="A14235" s="27" t="s">
        <v>25466</v>
      </c>
      <c r="B14235" s="28" t="s">
        <v>25316</v>
      </c>
      <c r="C14235" s="27" t="s">
        <v>25467</v>
      </c>
      <c r="D14235" s="27" t="s">
        <v>17558</v>
      </c>
      <c r="E14235" s="29">
        <v>40771</v>
      </c>
      <c r="F14235" s="27">
        <v>20</v>
      </c>
      <c r="G14235" s="18">
        <v>17192978.129999999</v>
      </c>
      <c r="H14235" s="27">
        <f t="shared" si="444"/>
        <v>0</v>
      </c>
      <c r="I14235" s="18">
        <v>6580799.9800000004</v>
      </c>
      <c r="J14235" s="27">
        <v>17192978.129999999</v>
      </c>
      <c r="K14235" s="18">
        <f t="shared" si="445"/>
        <v>0</v>
      </c>
      <c r="L14235" s="27">
        <v>7350736.5</v>
      </c>
      <c r="M14235" s="36">
        <v>769936.52</v>
      </c>
      <c r="T14235" s="41">
        <v>0</v>
      </c>
      <c r="U14235" s="41">
        <v>0</v>
      </c>
      <c r="V14235" s="42" t="s">
        <v>113</v>
      </c>
      <c r="W14235" s="42">
        <v>0</v>
      </c>
      <c r="X14235" s="42">
        <v>0</v>
      </c>
    </row>
    <row r="14236" spans="1:24">
      <c r="A14236" s="27" t="s">
        <v>25468</v>
      </c>
      <c r="B14236" s="28" t="s">
        <v>25316</v>
      </c>
      <c r="C14236" s="27" t="s">
        <v>25469</v>
      </c>
      <c r="D14236" s="27" t="s">
        <v>220</v>
      </c>
      <c r="E14236" s="29">
        <v>41269</v>
      </c>
      <c r="F14236" s="27">
        <v>20</v>
      </c>
      <c r="G14236" s="18">
        <v>1722419.66</v>
      </c>
      <c r="H14236" s="27">
        <f t="shared" si="444"/>
        <v>0</v>
      </c>
      <c r="I14236" s="18">
        <v>671647.34</v>
      </c>
      <c r="J14236" s="27">
        <v>1722419.66</v>
      </c>
      <c r="K14236" s="18">
        <f t="shared" si="445"/>
        <v>0</v>
      </c>
      <c r="L14236" s="27">
        <v>740551.01</v>
      </c>
      <c r="M14236" s="36">
        <v>68903.67</v>
      </c>
      <c r="T14236" s="41">
        <v>0</v>
      </c>
      <c r="U14236" s="41">
        <v>0</v>
      </c>
      <c r="V14236" s="42" t="s">
        <v>113</v>
      </c>
      <c r="W14236" s="42">
        <v>0</v>
      </c>
      <c r="X14236" s="42">
        <v>0</v>
      </c>
    </row>
    <row r="14237" spans="1:24">
      <c r="A14237" s="27" t="s">
        <v>25470</v>
      </c>
      <c r="B14237" s="28" t="s">
        <v>25316</v>
      </c>
      <c r="C14237" s="27" t="s">
        <v>25471</v>
      </c>
      <c r="D14237" s="27" t="s">
        <v>220</v>
      </c>
      <c r="E14237" s="29">
        <v>41269</v>
      </c>
      <c r="F14237" s="27">
        <v>20</v>
      </c>
      <c r="G14237" s="18">
        <v>3491242.65</v>
      </c>
      <c r="H14237" s="27">
        <f t="shared" si="444"/>
        <v>0</v>
      </c>
      <c r="I14237" s="18">
        <v>1363280.84</v>
      </c>
      <c r="J14237" s="27">
        <v>3491242.65</v>
      </c>
      <c r="K14237" s="18">
        <f t="shared" si="445"/>
        <v>0</v>
      </c>
      <c r="L14237" s="27">
        <v>1502809.39</v>
      </c>
      <c r="M14237" s="36">
        <v>139528.54999999999</v>
      </c>
      <c r="T14237" s="41">
        <v>0</v>
      </c>
      <c r="U14237" s="41">
        <v>0</v>
      </c>
      <c r="V14237" s="42" t="s">
        <v>113</v>
      </c>
      <c r="W14237" s="42">
        <v>0</v>
      </c>
      <c r="X14237" s="42">
        <v>0</v>
      </c>
    </row>
    <row r="14238" spans="1:24">
      <c r="A14238" s="27" t="s">
        <v>25472</v>
      </c>
      <c r="B14238" s="28" t="s">
        <v>25316</v>
      </c>
      <c r="C14238" s="27" t="s">
        <v>25473</v>
      </c>
      <c r="D14238" s="27" t="s">
        <v>112</v>
      </c>
      <c r="E14238" s="29">
        <v>40544</v>
      </c>
      <c r="F14238" s="27">
        <v>20</v>
      </c>
      <c r="G14238" s="18">
        <v>182612.89</v>
      </c>
      <c r="H14238" s="27">
        <f t="shared" si="444"/>
        <v>182612.89</v>
      </c>
      <c r="I14238" s="18">
        <v>173482.25</v>
      </c>
      <c r="J14238" s="27">
        <v>182612.89</v>
      </c>
      <c r="K14238" s="18">
        <f t="shared" si="445"/>
        <v>182612.89</v>
      </c>
      <c r="L14238" s="27">
        <v>173482.25</v>
      </c>
      <c r="M14238" s="36">
        <v>0</v>
      </c>
      <c r="T14238" s="41">
        <v>0</v>
      </c>
      <c r="U14238" s="41">
        <v>0</v>
      </c>
      <c r="V14238" s="42" t="s">
        <v>113</v>
      </c>
      <c r="W14238" s="42">
        <v>182612.89</v>
      </c>
      <c r="X14238" s="42">
        <v>182612.89</v>
      </c>
    </row>
    <row r="14239" spans="1:24">
      <c r="A14239" s="27" t="s">
        <v>25474</v>
      </c>
      <c r="B14239" s="28" t="s">
        <v>25316</v>
      </c>
      <c r="C14239" s="27" t="s">
        <v>25475</v>
      </c>
      <c r="D14239" s="27" t="s">
        <v>118</v>
      </c>
      <c r="E14239" s="29">
        <v>41270</v>
      </c>
      <c r="F14239" s="27">
        <v>20</v>
      </c>
      <c r="G14239" s="18">
        <v>2043662.74</v>
      </c>
      <c r="H14239" s="27">
        <f t="shared" si="444"/>
        <v>0</v>
      </c>
      <c r="I14239" s="18">
        <v>679275.66</v>
      </c>
      <c r="J14239" s="27">
        <v>2043662.74</v>
      </c>
      <c r="K14239" s="18">
        <f t="shared" si="445"/>
        <v>0</v>
      </c>
      <c r="L14239" s="27">
        <v>769433.08</v>
      </c>
      <c r="M14239" s="36">
        <v>90157.42</v>
      </c>
      <c r="T14239" s="41">
        <v>0</v>
      </c>
      <c r="U14239" s="41">
        <v>0</v>
      </c>
      <c r="V14239" s="42" t="s">
        <v>113</v>
      </c>
      <c r="W14239" s="42">
        <v>0</v>
      </c>
      <c r="X14239" s="42">
        <v>0</v>
      </c>
    </row>
    <row r="14240" spans="1:24">
      <c r="A14240" s="27" t="s">
        <v>25476</v>
      </c>
      <c r="B14240" s="28" t="s">
        <v>25316</v>
      </c>
      <c r="C14240" s="27" t="s">
        <v>25477</v>
      </c>
      <c r="D14240" s="27" t="s">
        <v>118</v>
      </c>
      <c r="E14240" s="29">
        <v>41270</v>
      </c>
      <c r="F14240" s="27">
        <v>20</v>
      </c>
      <c r="G14240" s="18">
        <v>307566.38</v>
      </c>
      <c r="H14240" s="27">
        <f t="shared" si="444"/>
        <v>0</v>
      </c>
      <c r="I14240" s="18">
        <v>102334.9</v>
      </c>
      <c r="J14240" s="27">
        <v>307566.38</v>
      </c>
      <c r="K14240" s="18">
        <f t="shared" si="445"/>
        <v>0</v>
      </c>
      <c r="L14240" s="27">
        <v>115895.84</v>
      </c>
      <c r="M14240" s="36">
        <v>13560.94</v>
      </c>
      <c r="T14240" s="41">
        <v>0</v>
      </c>
      <c r="U14240" s="41">
        <v>0</v>
      </c>
      <c r="V14240" s="42" t="s">
        <v>113</v>
      </c>
      <c r="W14240" s="42">
        <v>0</v>
      </c>
      <c r="X14240" s="42">
        <v>0</v>
      </c>
    </row>
    <row r="14241" spans="1:24">
      <c r="A14241" s="27" t="s">
        <v>25478</v>
      </c>
      <c r="B14241" s="28" t="s">
        <v>25316</v>
      </c>
      <c r="C14241" s="27" t="s">
        <v>25479</v>
      </c>
      <c r="D14241" s="27" t="s">
        <v>17558</v>
      </c>
      <c r="E14241" s="29">
        <v>35765</v>
      </c>
      <c r="F14241" s="27">
        <v>20</v>
      </c>
      <c r="G14241" s="18">
        <v>246528</v>
      </c>
      <c r="H14241" s="27">
        <f t="shared" si="444"/>
        <v>246528</v>
      </c>
      <c r="I14241" s="18">
        <v>234201.60000000001</v>
      </c>
      <c r="J14241" s="27">
        <v>246528</v>
      </c>
      <c r="K14241" s="18">
        <f t="shared" si="445"/>
        <v>246528</v>
      </c>
      <c r="L14241" s="27">
        <v>234201.60000000001</v>
      </c>
      <c r="M14241" s="36">
        <v>0</v>
      </c>
      <c r="T14241" s="41">
        <v>0</v>
      </c>
      <c r="U14241" s="41">
        <v>0</v>
      </c>
      <c r="V14241" s="42" t="s">
        <v>113</v>
      </c>
      <c r="W14241" s="42">
        <v>246528</v>
      </c>
      <c r="X14241" s="42">
        <v>246528</v>
      </c>
    </row>
    <row r="14242" spans="1:24">
      <c r="A14242" s="27" t="s">
        <v>25480</v>
      </c>
      <c r="B14242" s="28" t="s">
        <v>25316</v>
      </c>
      <c r="C14242" s="27" t="s">
        <v>25481</v>
      </c>
      <c r="D14242" s="27" t="s">
        <v>17558</v>
      </c>
      <c r="E14242" s="29">
        <v>35431</v>
      </c>
      <c r="F14242" s="27">
        <v>20</v>
      </c>
      <c r="G14242" s="18">
        <v>276441.59999999998</v>
      </c>
      <c r="H14242" s="27">
        <f t="shared" si="444"/>
        <v>276441.59999999998</v>
      </c>
      <c r="I14242" s="18">
        <v>262619.52000000002</v>
      </c>
      <c r="J14242" s="27">
        <v>276441.59999999998</v>
      </c>
      <c r="K14242" s="18">
        <f t="shared" si="445"/>
        <v>276441.59999999998</v>
      </c>
      <c r="L14242" s="27">
        <v>262619.52000000002</v>
      </c>
      <c r="M14242" s="36">
        <v>0</v>
      </c>
      <c r="T14242" s="41">
        <v>0</v>
      </c>
      <c r="U14242" s="41">
        <v>0</v>
      </c>
      <c r="V14242" s="42" t="s">
        <v>113</v>
      </c>
      <c r="W14242" s="42">
        <v>276441.59999999998</v>
      </c>
      <c r="X14242" s="42">
        <v>276441.59999999998</v>
      </c>
    </row>
    <row r="14243" spans="1:24">
      <c r="A14243" s="27" t="s">
        <v>25482</v>
      </c>
      <c r="B14243" s="28" t="s">
        <v>25316</v>
      </c>
      <c r="C14243" s="27" t="s">
        <v>25483</v>
      </c>
      <c r="D14243" s="27" t="s">
        <v>17558</v>
      </c>
      <c r="E14243" s="29">
        <v>40178</v>
      </c>
      <c r="F14243" s="27">
        <v>20</v>
      </c>
      <c r="G14243" s="18">
        <v>121144.57</v>
      </c>
      <c r="H14243" s="27">
        <f t="shared" si="444"/>
        <v>0</v>
      </c>
      <c r="I14243" s="18">
        <v>50401.2</v>
      </c>
      <c r="J14243" s="27">
        <v>121144.57</v>
      </c>
      <c r="K14243" s="18">
        <f t="shared" si="445"/>
        <v>0</v>
      </c>
      <c r="L14243" s="27">
        <v>56281.760000000002</v>
      </c>
      <c r="M14243" s="36">
        <v>5880.56</v>
      </c>
      <c r="T14243" s="41">
        <v>0</v>
      </c>
      <c r="U14243" s="41">
        <v>0</v>
      </c>
      <c r="V14243" s="42" t="s">
        <v>113</v>
      </c>
      <c r="W14243" s="42">
        <v>0</v>
      </c>
      <c r="X14243" s="42">
        <v>0</v>
      </c>
    </row>
    <row r="14244" spans="1:24">
      <c r="A14244" s="27" t="s">
        <v>25484</v>
      </c>
      <c r="B14244" s="28" t="s">
        <v>25316</v>
      </c>
      <c r="C14244" s="27" t="s">
        <v>25485</v>
      </c>
      <c r="D14244" s="27" t="s">
        <v>17578</v>
      </c>
      <c r="E14244" s="29">
        <v>36434</v>
      </c>
      <c r="F14244" s="27">
        <v>20</v>
      </c>
      <c r="G14244" s="18">
        <v>522338</v>
      </c>
      <c r="H14244" s="27">
        <f t="shared" si="444"/>
        <v>0</v>
      </c>
      <c r="I14244" s="18">
        <v>483281.93</v>
      </c>
      <c r="J14244" s="27">
        <v>522338</v>
      </c>
      <c r="K14244" s="18">
        <f t="shared" si="445"/>
        <v>522338</v>
      </c>
      <c r="L14244" s="27">
        <v>496221.1</v>
      </c>
      <c r="M14244" s="36">
        <v>12939.17</v>
      </c>
      <c r="T14244" s="41">
        <v>0</v>
      </c>
      <c r="U14244" s="41">
        <v>0</v>
      </c>
      <c r="V14244" s="42" t="s">
        <v>113</v>
      </c>
      <c r="W14244" s="42">
        <v>522338</v>
      </c>
      <c r="X14244" s="42">
        <v>522338</v>
      </c>
    </row>
    <row r="14245" spans="1:24">
      <c r="A14245" s="27" t="s">
        <v>25486</v>
      </c>
      <c r="B14245" s="28" t="s">
        <v>25316</v>
      </c>
      <c r="C14245" s="27" t="s">
        <v>25487</v>
      </c>
      <c r="D14245" s="27" t="s">
        <v>17558</v>
      </c>
      <c r="E14245" s="29">
        <v>31106</v>
      </c>
      <c r="F14245" s="27">
        <v>20</v>
      </c>
      <c r="G14245" s="18">
        <v>130080</v>
      </c>
      <c r="H14245" s="27">
        <f t="shared" si="444"/>
        <v>130080</v>
      </c>
      <c r="I14245" s="18">
        <v>123576</v>
      </c>
      <c r="J14245" s="27">
        <v>130080</v>
      </c>
      <c r="K14245" s="18">
        <f t="shared" si="445"/>
        <v>130080</v>
      </c>
      <c r="L14245" s="27">
        <v>123576</v>
      </c>
      <c r="M14245" s="36">
        <v>0</v>
      </c>
      <c r="T14245" s="41">
        <v>0</v>
      </c>
      <c r="U14245" s="41">
        <v>0</v>
      </c>
      <c r="V14245" s="42" t="s">
        <v>113</v>
      </c>
      <c r="W14245" s="42">
        <v>130080</v>
      </c>
      <c r="X14245" s="42">
        <v>130080</v>
      </c>
    </row>
    <row r="14246" spans="1:24">
      <c r="A14246" s="27" t="s">
        <v>25488</v>
      </c>
      <c r="B14246" s="28" t="s">
        <v>25316</v>
      </c>
      <c r="C14246" s="27" t="s">
        <v>25489</v>
      </c>
      <c r="D14246" s="27" t="s">
        <v>17558</v>
      </c>
      <c r="E14246" s="29">
        <v>39000</v>
      </c>
      <c r="F14246" s="27">
        <v>20</v>
      </c>
      <c r="G14246" s="18">
        <v>198819.5</v>
      </c>
      <c r="H14246" s="27">
        <f t="shared" si="444"/>
        <v>0</v>
      </c>
      <c r="I14246" s="18">
        <v>65937.27</v>
      </c>
      <c r="J14246" s="27">
        <v>198819.5</v>
      </c>
      <c r="K14246" s="18">
        <f t="shared" si="445"/>
        <v>0</v>
      </c>
      <c r="L14246" s="27">
        <v>81631.899999999994</v>
      </c>
      <c r="M14246" s="36">
        <v>15694.63</v>
      </c>
      <c r="T14246" s="41">
        <v>0</v>
      </c>
      <c r="U14246" s="41">
        <v>0</v>
      </c>
      <c r="V14246" s="42" t="s">
        <v>113</v>
      </c>
      <c r="W14246" s="42">
        <v>0</v>
      </c>
      <c r="X14246" s="42">
        <v>0</v>
      </c>
    </row>
    <row r="14247" spans="1:24">
      <c r="A14247" s="27" t="s">
        <v>25490</v>
      </c>
      <c r="B14247" s="28" t="s">
        <v>25316</v>
      </c>
      <c r="C14247" s="27" t="s">
        <v>25491</v>
      </c>
      <c r="D14247" s="27" t="s">
        <v>112</v>
      </c>
      <c r="E14247" s="29">
        <v>39447</v>
      </c>
      <c r="F14247" s="27">
        <v>20</v>
      </c>
      <c r="G14247" s="18">
        <v>10980000</v>
      </c>
      <c r="H14247" s="27">
        <f t="shared" si="444"/>
        <v>0</v>
      </c>
      <c r="I14247" s="18">
        <v>3694312.5</v>
      </c>
      <c r="J14247" s="27">
        <v>10980000</v>
      </c>
      <c r="K14247" s="18">
        <f t="shared" si="445"/>
        <v>0</v>
      </c>
      <c r="L14247" s="27">
        <v>4442833.33</v>
      </c>
      <c r="M14247" s="36">
        <v>748520.83</v>
      </c>
      <c r="T14247" s="41">
        <v>0</v>
      </c>
      <c r="U14247" s="41">
        <v>0</v>
      </c>
      <c r="V14247" s="42" t="s">
        <v>113</v>
      </c>
      <c r="W14247" s="42">
        <v>0</v>
      </c>
      <c r="X14247" s="42">
        <v>0</v>
      </c>
    </row>
    <row r="14248" spans="1:24">
      <c r="A14248" s="27" t="s">
        <v>25492</v>
      </c>
      <c r="B14248" s="28" t="s">
        <v>25316</v>
      </c>
      <c r="C14248" s="27" t="s">
        <v>25493</v>
      </c>
      <c r="D14248" s="27" t="s">
        <v>17558</v>
      </c>
      <c r="E14248" s="29">
        <v>31654</v>
      </c>
      <c r="F14248" s="27">
        <v>20</v>
      </c>
      <c r="G14248" s="18">
        <v>14400</v>
      </c>
      <c r="H14248" s="27">
        <f t="shared" si="444"/>
        <v>14400</v>
      </c>
      <c r="I14248" s="18">
        <v>13680</v>
      </c>
      <c r="J14248" s="27">
        <v>14400</v>
      </c>
      <c r="K14248" s="18">
        <f t="shared" si="445"/>
        <v>14400</v>
      </c>
      <c r="L14248" s="27">
        <v>13680</v>
      </c>
      <c r="M14248" s="36">
        <v>0</v>
      </c>
      <c r="T14248" s="41">
        <v>0</v>
      </c>
      <c r="U14248" s="41">
        <v>0</v>
      </c>
      <c r="V14248" s="42" t="s">
        <v>113</v>
      </c>
      <c r="W14248" s="42">
        <v>14400</v>
      </c>
      <c r="X14248" s="42">
        <v>14400</v>
      </c>
    </row>
    <row r="14249" spans="1:24">
      <c r="A14249" s="27" t="s">
        <v>25494</v>
      </c>
      <c r="B14249" s="28" t="s">
        <v>25316</v>
      </c>
      <c r="C14249" s="27" t="s">
        <v>25495</v>
      </c>
      <c r="D14249" s="27" t="s">
        <v>17558</v>
      </c>
      <c r="E14249" s="29">
        <v>33760</v>
      </c>
      <c r="F14249" s="27">
        <v>20</v>
      </c>
      <c r="G14249" s="18">
        <v>95520</v>
      </c>
      <c r="H14249" s="27">
        <f t="shared" si="444"/>
        <v>95520</v>
      </c>
      <c r="I14249" s="18">
        <v>90744</v>
      </c>
      <c r="J14249" s="27">
        <v>95520</v>
      </c>
      <c r="K14249" s="18">
        <f t="shared" si="445"/>
        <v>95520</v>
      </c>
      <c r="L14249" s="27">
        <v>90744</v>
      </c>
      <c r="M14249" s="36">
        <v>0</v>
      </c>
      <c r="T14249" s="41">
        <v>0</v>
      </c>
      <c r="U14249" s="41">
        <v>0</v>
      </c>
      <c r="V14249" s="42" t="s">
        <v>113</v>
      </c>
      <c r="W14249" s="42">
        <v>95520</v>
      </c>
      <c r="X14249" s="42">
        <v>95520</v>
      </c>
    </row>
    <row r="14250" spans="1:24">
      <c r="A14250" s="27" t="s">
        <v>25496</v>
      </c>
      <c r="B14250" s="28" t="s">
        <v>25316</v>
      </c>
      <c r="C14250" s="27" t="s">
        <v>25497</v>
      </c>
      <c r="D14250" s="27" t="s">
        <v>17558</v>
      </c>
      <c r="E14250" s="29">
        <v>38625</v>
      </c>
      <c r="F14250" s="27">
        <v>20</v>
      </c>
      <c r="G14250" s="18">
        <v>20814.96</v>
      </c>
      <c r="H14250" s="27">
        <f t="shared" si="444"/>
        <v>0</v>
      </c>
      <c r="I14250" s="18">
        <v>13213.51</v>
      </c>
      <c r="J14250" s="27">
        <v>20814.96</v>
      </c>
      <c r="K14250" s="18">
        <f t="shared" si="445"/>
        <v>0</v>
      </c>
      <c r="L14250" s="27">
        <v>14185.47</v>
      </c>
      <c r="M14250" s="36">
        <v>971.96</v>
      </c>
      <c r="T14250" s="41">
        <v>0</v>
      </c>
      <c r="U14250" s="41">
        <v>0</v>
      </c>
      <c r="V14250" s="42" t="s">
        <v>113</v>
      </c>
      <c r="W14250" s="42">
        <v>0</v>
      </c>
      <c r="X14250" s="42">
        <v>0</v>
      </c>
    </row>
    <row r="14251" spans="1:24">
      <c r="A14251" s="27" t="s">
        <v>25498</v>
      </c>
      <c r="B14251" s="28" t="s">
        <v>25316</v>
      </c>
      <c r="C14251" s="27" t="s">
        <v>25499</v>
      </c>
      <c r="D14251" s="27" t="s">
        <v>17558</v>
      </c>
      <c r="E14251" s="29">
        <v>40147</v>
      </c>
      <c r="F14251" s="27">
        <v>20</v>
      </c>
      <c r="G14251" s="18">
        <v>361911.21</v>
      </c>
      <c r="H14251" s="27">
        <f t="shared" si="444"/>
        <v>0</v>
      </c>
      <c r="I14251" s="18">
        <v>152016</v>
      </c>
      <c r="J14251" s="27">
        <v>361911.21</v>
      </c>
      <c r="K14251" s="18">
        <f t="shared" si="445"/>
        <v>0</v>
      </c>
      <c r="L14251" s="27">
        <v>169585.43</v>
      </c>
      <c r="M14251" s="36">
        <v>17569.43</v>
      </c>
      <c r="T14251" s="41">
        <v>0</v>
      </c>
      <c r="U14251" s="41">
        <v>0</v>
      </c>
      <c r="V14251" s="42" t="s">
        <v>113</v>
      </c>
      <c r="W14251" s="42">
        <v>0</v>
      </c>
      <c r="X14251" s="42">
        <v>0</v>
      </c>
    </row>
    <row r="14252" spans="1:24">
      <c r="A14252" s="27" t="s">
        <v>25500</v>
      </c>
      <c r="B14252" s="28" t="s">
        <v>25316</v>
      </c>
      <c r="C14252" s="27" t="s">
        <v>25501</v>
      </c>
      <c r="D14252" s="27" t="s">
        <v>17558</v>
      </c>
      <c r="E14252" s="29">
        <v>31106</v>
      </c>
      <c r="F14252" s="27">
        <v>20</v>
      </c>
      <c r="G14252" s="18">
        <v>77280</v>
      </c>
      <c r="H14252" s="27">
        <f t="shared" si="444"/>
        <v>77280</v>
      </c>
      <c r="I14252" s="18">
        <v>73416</v>
      </c>
      <c r="J14252" s="27">
        <v>77280</v>
      </c>
      <c r="K14252" s="18">
        <f t="shared" si="445"/>
        <v>77280</v>
      </c>
      <c r="L14252" s="27">
        <v>73416</v>
      </c>
      <c r="M14252" s="36">
        <v>0</v>
      </c>
      <c r="T14252" s="41">
        <v>0</v>
      </c>
      <c r="U14252" s="41">
        <v>0</v>
      </c>
      <c r="V14252" s="42" t="s">
        <v>113</v>
      </c>
      <c r="W14252" s="42">
        <v>77280</v>
      </c>
      <c r="X14252" s="42">
        <v>77280</v>
      </c>
    </row>
    <row r="14253" spans="1:24">
      <c r="A14253" s="27" t="s">
        <v>25502</v>
      </c>
      <c r="B14253" s="28" t="s">
        <v>25316</v>
      </c>
      <c r="C14253" s="27" t="s">
        <v>25503</v>
      </c>
      <c r="D14253" s="27" t="s">
        <v>17558</v>
      </c>
      <c r="E14253" s="29">
        <v>35794</v>
      </c>
      <c r="F14253" s="27">
        <v>20</v>
      </c>
      <c r="G14253" s="18">
        <v>274680</v>
      </c>
      <c r="H14253" s="27">
        <f t="shared" si="444"/>
        <v>274680</v>
      </c>
      <c r="I14253" s="18">
        <v>260946</v>
      </c>
      <c r="J14253" s="27">
        <v>274680</v>
      </c>
      <c r="K14253" s="18">
        <f t="shared" si="445"/>
        <v>274680</v>
      </c>
      <c r="L14253" s="27">
        <v>260946</v>
      </c>
      <c r="M14253" s="36">
        <v>0</v>
      </c>
      <c r="T14253" s="41">
        <v>0</v>
      </c>
      <c r="U14253" s="41">
        <v>0</v>
      </c>
      <c r="V14253" s="42" t="s">
        <v>113</v>
      </c>
      <c r="W14253" s="42">
        <v>274680</v>
      </c>
      <c r="X14253" s="42">
        <v>274680</v>
      </c>
    </row>
    <row r="14254" spans="1:24">
      <c r="A14254" s="27" t="s">
        <v>25504</v>
      </c>
      <c r="B14254" s="28" t="s">
        <v>25316</v>
      </c>
      <c r="C14254" s="27" t="s">
        <v>25505</v>
      </c>
      <c r="D14254" s="27" t="s">
        <v>118</v>
      </c>
      <c r="E14254" s="29">
        <v>35065</v>
      </c>
      <c r="F14254" s="27">
        <v>20</v>
      </c>
      <c r="G14254" s="18">
        <v>75924</v>
      </c>
      <c r="H14254" s="27">
        <f t="shared" si="444"/>
        <v>75924</v>
      </c>
      <c r="I14254" s="18">
        <v>72127.8</v>
      </c>
      <c r="J14254" s="27">
        <v>75924</v>
      </c>
      <c r="K14254" s="18">
        <f t="shared" si="445"/>
        <v>75924</v>
      </c>
      <c r="L14254" s="27">
        <v>72127.8</v>
      </c>
      <c r="M14254" s="36">
        <v>0</v>
      </c>
      <c r="T14254" s="41">
        <v>0</v>
      </c>
      <c r="U14254" s="41">
        <v>0</v>
      </c>
      <c r="V14254" s="42" t="s">
        <v>113</v>
      </c>
      <c r="W14254" s="42">
        <v>75924</v>
      </c>
      <c r="X14254" s="42">
        <v>75924</v>
      </c>
    </row>
    <row r="14255" spans="1:24">
      <c r="A14255" s="27" t="s">
        <v>25506</v>
      </c>
      <c r="B14255" s="28" t="s">
        <v>25316</v>
      </c>
      <c r="C14255" s="27" t="s">
        <v>25507</v>
      </c>
      <c r="D14255" s="27" t="s">
        <v>112</v>
      </c>
      <c r="E14255" s="29">
        <v>34669</v>
      </c>
      <c r="F14255" s="27">
        <v>20</v>
      </c>
      <c r="G14255" s="18">
        <v>83568</v>
      </c>
      <c r="H14255" s="27">
        <f t="shared" si="444"/>
        <v>83568</v>
      </c>
      <c r="I14255" s="18">
        <v>79389.600000000006</v>
      </c>
      <c r="J14255" s="27">
        <v>83568</v>
      </c>
      <c r="K14255" s="18">
        <f t="shared" si="445"/>
        <v>83568</v>
      </c>
      <c r="L14255" s="27">
        <v>79389.600000000006</v>
      </c>
      <c r="M14255" s="36">
        <v>0</v>
      </c>
      <c r="T14255" s="41">
        <v>0</v>
      </c>
      <c r="U14255" s="41">
        <v>0</v>
      </c>
      <c r="V14255" s="42" t="s">
        <v>113</v>
      </c>
      <c r="W14255" s="42">
        <v>83568</v>
      </c>
      <c r="X14255" s="42">
        <v>83568</v>
      </c>
    </row>
    <row r="14256" spans="1:24">
      <c r="A14256" s="27" t="s">
        <v>25508</v>
      </c>
      <c r="B14256" s="28" t="s">
        <v>25316</v>
      </c>
      <c r="C14256" s="27" t="s">
        <v>25509</v>
      </c>
      <c r="D14256" s="27" t="s">
        <v>17558</v>
      </c>
      <c r="E14256" s="29">
        <v>31106</v>
      </c>
      <c r="F14256" s="27">
        <v>20</v>
      </c>
      <c r="G14256" s="18">
        <v>141009.41</v>
      </c>
      <c r="H14256" s="27">
        <f t="shared" si="444"/>
        <v>141009.41</v>
      </c>
      <c r="I14256" s="18">
        <v>133958.94</v>
      </c>
      <c r="J14256" s="27">
        <v>141009.41</v>
      </c>
      <c r="K14256" s="18">
        <f t="shared" si="445"/>
        <v>141009.41</v>
      </c>
      <c r="L14256" s="27">
        <v>133958.94</v>
      </c>
      <c r="M14256" s="36">
        <v>0</v>
      </c>
      <c r="T14256" s="41">
        <v>0</v>
      </c>
      <c r="U14256" s="41">
        <v>0</v>
      </c>
      <c r="V14256" s="42" t="s">
        <v>113</v>
      </c>
      <c r="W14256" s="42">
        <v>141009.41</v>
      </c>
      <c r="X14256" s="42">
        <v>141009.41</v>
      </c>
    </row>
    <row r="14257" spans="1:24">
      <c r="A14257" s="27" t="s">
        <v>25510</v>
      </c>
      <c r="B14257" s="28" t="s">
        <v>25316</v>
      </c>
      <c r="C14257" s="27" t="s">
        <v>25511</v>
      </c>
      <c r="D14257" s="27" t="s">
        <v>17558</v>
      </c>
      <c r="E14257" s="29">
        <v>31106</v>
      </c>
      <c r="F14257" s="27">
        <v>20</v>
      </c>
      <c r="G14257" s="18">
        <v>164160</v>
      </c>
      <c r="H14257" s="27">
        <f t="shared" si="444"/>
        <v>164160</v>
      </c>
      <c r="I14257" s="18">
        <v>155952</v>
      </c>
      <c r="J14257" s="27">
        <v>164160</v>
      </c>
      <c r="K14257" s="18">
        <f t="shared" si="445"/>
        <v>164160</v>
      </c>
      <c r="L14257" s="27">
        <v>155952</v>
      </c>
      <c r="M14257" s="36">
        <v>0</v>
      </c>
      <c r="T14257" s="41">
        <v>0</v>
      </c>
      <c r="U14257" s="41">
        <v>0</v>
      </c>
      <c r="V14257" s="42" t="s">
        <v>113</v>
      </c>
      <c r="W14257" s="42">
        <v>164160</v>
      </c>
      <c r="X14257" s="42">
        <v>164160</v>
      </c>
    </row>
    <row r="14258" spans="1:24">
      <c r="A14258" s="27" t="s">
        <v>25512</v>
      </c>
      <c r="B14258" s="28" t="s">
        <v>25316</v>
      </c>
      <c r="C14258" s="27" t="s">
        <v>25513</v>
      </c>
      <c r="D14258" s="27" t="s">
        <v>17558</v>
      </c>
      <c r="E14258" s="29">
        <v>36434</v>
      </c>
      <c r="F14258" s="27">
        <v>20</v>
      </c>
      <c r="G14258" s="18">
        <v>4276.8</v>
      </c>
      <c r="H14258" s="27">
        <f t="shared" si="444"/>
        <v>4276.8</v>
      </c>
      <c r="I14258" s="18">
        <v>4276.8</v>
      </c>
      <c r="J14258" s="27">
        <v>4276.8</v>
      </c>
      <c r="K14258" s="18">
        <f t="shared" si="445"/>
        <v>4276.8</v>
      </c>
      <c r="L14258" s="27">
        <v>4276.8</v>
      </c>
      <c r="M14258" s="36">
        <v>0</v>
      </c>
      <c r="T14258" s="41">
        <v>0</v>
      </c>
      <c r="U14258" s="41">
        <v>0</v>
      </c>
      <c r="V14258" s="42" t="s">
        <v>113</v>
      </c>
      <c r="W14258" s="42">
        <v>4276.8</v>
      </c>
      <c r="X14258" s="42">
        <v>4276.8</v>
      </c>
    </row>
    <row r="14259" spans="1:24">
      <c r="A14259" s="27" t="s">
        <v>25514</v>
      </c>
      <c r="B14259" s="28" t="s">
        <v>25316</v>
      </c>
      <c r="C14259" s="27" t="s">
        <v>25515</v>
      </c>
      <c r="D14259" s="27" t="s">
        <v>17558</v>
      </c>
      <c r="E14259" s="29">
        <v>35916</v>
      </c>
      <c r="F14259" s="27">
        <v>20</v>
      </c>
      <c r="G14259" s="18">
        <v>3855351.4</v>
      </c>
      <c r="H14259" s="27">
        <f t="shared" si="444"/>
        <v>3855351.4</v>
      </c>
      <c r="I14259" s="18">
        <v>3699992.37</v>
      </c>
      <c r="J14259" s="27">
        <v>3855351.4</v>
      </c>
      <c r="K14259" s="18">
        <f t="shared" si="445"/>
        <v>3855351.4</v>
      </c>
      <c r="L14259" s="27">
        <v>3662583.83</v>
      </c>
      <c r="M14259" s="36">
        <v>-37408.54</v>
      </c>
      <c r="T14259" s="41">
        <v>0</v>
      </c>
      <c r="U14259" s="41">
        <v>0</v>
      </c>
      <c r="V14259" s="42" t="s">
        <v>113</v>
      </c>
      <c r="W14259" s="42">
        <v>3855351.4</v>
      </c>
      <c r="X14259" s="42">
        <v>3855351.4</v>
      </c>
    </row>
    <row r="14260" spans="1:24">
      <c r="A14260" s="27" t="s">
        <v>25516</v>
      </c>
      <c r="B14260" s="28" t="s">
        <v>25316</v>
      </c>
      <c r="C14260" s="27" t="s">
        <v>25517</v>
      </c>
      <c r="D14260" s="27" t="s">
        <v>17558</v>
      </c>
      <c r="E14260" s="29">
        <v>35765</v>
      </c>
      <c r="F14260" s="27">
        <v>20</v>
      </c>
      <c r="G14260" s="18">
        <v>339897.59999999998</v>
      </c>
      <c r="H14260" s="27">
        <f t="shared" si="444"/>
        <v>339897.59999999998</v>
      </c>
      <c r="I14260" s="18">
        <v>322902.71999999997</v>
      </c>
      <c r="J14260" s="27">
        <v>339897.59999999998</v>
      </c>
      <c r="K14260" s="18">
        <f t="shared" si="445"/>
        <v>339897.59999999998</v>
      </c>
      <c r="L14260" s="27">
        <v>322902.71999999997</v>
      </c>
      <c r="M14260" s="36">
        <v>0</v>
      </c>
      <c r="T14260" s="41">
        <v>0</v>
      </c>
      <c r="U14260" s="41">
        <v>0</v>
      </c>
      <c r="V14260" s="42" t="s">
        <v>113</v>
      </c>
      <c r="W14260" s="42">
        <v>339897.59999999998</v>
      </c>
      <c r="X14260" s="42">
        <v>339897.59999999998</v>
      </c>
    </row>
    <row r="14261" spans="1:24">
      <c r="A14261" s="27" t="s">
        <v>25518</v>
      </c>
      <c r="B14261" s="28" t="s">
        <v>25316</v>
      </c>
      <c r="C14261" s="27" t="s">
        <v>25519</v>
      </c>
      <c r="D14261" s="27" t="s">
        <v>17558</v>
      </c>
      <c r="E14261" s="29">
        <v>31106</v>
      </c>
      <c r="F14261" s="27">
        <v>20</v>
      </c>
      <c r="G14261" s="18">
        <v>15081.6</v>
      </c>
      <c r="H14261" s="27">
        <f t="shared" si="444"/>
        <v>15081.6</v>
      </c>
      <c r="I14261" s="18">
        <v>14327.52</v>
      </c>
      <c r="J14261" s="27">
        <v>15081.6</v>
      </c>
      <c r="K14261" s="18">
        <f t="shared" si="445"/>
        <v>15081.6</v>
      </c>
      <c r="L14261" s="27">
        <v>14327.52</v>
      </c>
      <c r="M14261" s="36">
        <v>0</v>
      </c>
      <c r="T14261" s="41">
        <v>0</v>
      </c>
      <c r="U14261" s="41">
        <v>0</v>
      </c>
      <c r="V14261" s="42" t="s">
        <v>113</v>
      </c>
      <c r="W14261" s="42">
        <v>15081.6</v>
      </c>
      <c r="X14261" s="42">
        <v>15081.6</v>
      </c>
    </row>
    <row r="14262" spans="1:24">
      <c r="A14262" s="27" t="s">
        <v>25520</v>
      </c>
      <c r="B14262" s="28" t="s">
        <v>25316</v>
      </c>
      <c r="C14262" s="27" t="s">
        <v>25521</v>
      </c>
      <c r="D14262" s="27" t="s">
        <v>17558</v>
      </c>
      <c r="E14262" s="29">
        <v>35431</v>
      </c>
      <c r="F14262" s="27">
        <v>20</v>
      </c>
      <c r="G14262" s="18">
        <v>14285</v>
      </c>
      <c r="H14262" s="27">
        <f t="shared" si="444"/>
        <v>14285</v>
      </c>
      <c r="I14262" s="18">
        <v>13570.75</v>
      </c>
      <c r="J14262" s="27">
        <v>14285</v>
      </c>
      <c r="K14262" s="18">
        <f t="shared" si="445"/>
        <v>14285</v>
      </c>
      <c r="L14262" s="27">
        <v>13570.75</v>
      </c>
      <c r="M14262" s="36">
        <v>0</v>
      </c>
      <c r="T14262" s="41">
        <v>0</v>
      </c>
      <c r="U14262" s="41">
        <v>0</v>
      </c>
      <c r="V14262" s="42" t="s">
        <v>113</v>
      </c>
      <c r="W14262" s="42">
        <v>14285</v>
      </c>
      <c r="X14262" s="42">
        <v>14285</v>
      </c>
    </row>
    <row r="14263" spans="1:24">
      <c r="A14263" s="27" t="s">
        <v>25522</v>
      </c>
      <c r="B14263" s="28" t="s">
        <v>25316</v>
      </c>
      <c r="C14263" s="27" t="s">
        <v>25523</v>
      </c>
      <c r="D14263" s="27" t="s">
        <v>118</v>
      </c>
      <c r="E14263" s="29">
        <v>37986</v>
      </c>
      <c r="F14263" s="27">
        <v>20</v>
      </c>
      <c r="G14263" s="18">
        <v>1245560.71</v>
      </c>
      <c r="H14263" s="27">
        <f t="shared" si="444"/>
        <v>0</v>
      </c>
      <c r="I14263" s="18">
        <v>954303.1</v>
      </c>
      <c r="J14263" s="27">
        <v>1245560.71</v>
      </c>
      <c r="K14263" s="18">
        <f t="shared" si="445"/>
        <v>0</v>
      </c>
      <c r="L14263" s="27">
        <v>1000099.01</v>
      </c>
      <c r="M14263" s="36">
        <v>45795.91</v>
      </c>
      <c r="T14263" s="41">
        <v>0</v>
      </c>
      <c r="U14263" s="41">
        <v>0</v>
      </c>
      <c r="V14263" s="42" t="s">
        <v>113</v>
      </c>
      <c r="W14263" s="42">
        <v>0</v>
      </c>
      <c r="X14263" s="42">
        <v>0</v>
      </c>
    </row>
    <row r="14264" spans="1:24">
      <c r="A14264" s="27" t="s">
        <v>25524</v>
      </c>
      <c r="B14264" s="28" t="s">
        <v>25316</v>
      </c>
      <c r="C14264" s="27" t="s">
        <v>25525</v>
      </c>
      <c r="D14264" s="27" t="s">
        <v>17558</v>
      </c>
      <c r="E14264" s="29">
        <v>39000</v>
      </c>
      <c r="F14264" s="27">
        <v>20</v>
      </c>
      <c r="G14264" s="18">
        <v>244873</v>
      </c>
      <c r="H14264" s="27">
        <f t="shared" si="444"/>
        <v>0</v>
      </c>
      <c r="I14264" s="18">
        <v>142954.82</v>
      </c>
      <c r="J14264" s="27">
        <v>244873</v>
      </c>
      <c r="K14264" s="18">
        <f t="shared" si="445"/>
        <v>0</v>
      </c>
      <c r="L14264" s="27">
        <v>154402.63</v>
      </c>
      <c r="M14264" s="36">
        <v>11447.81</v>
      </c>
      <c r="T14264" s="41">
        <v>0</v>
      </c>
      <c r="U14264" s="41">
        <v>0</v>
      </c>
      <c r="V14264" s="42" t="s">
        <v>113</v>
      </c>
      <c r="W14264" s="42">
        <v>0</v>
      </c>
      <c r="X14264" s="42">
        <v>0</v>
      </c>
    </row>
    <row r="14265" spans="1:24">
      <c r="A14265" s="27" t="s">
        <v>25526</v>
      </c>
      <c r="B14265" s="28" t="s">
        <v>25316</v>
      </c>
      <c r="C14265" s="27" t="s">
        <v>25527</v>
      </c>
      <c r="D14265" s="27" t="s">
        <v>17558</v>
      </c>
      <c r="E14265" s="29">
        <v>35794</v>
      </c>
      <c r="F14265" s="27">
        <v>20</v>
      </c>
      <c r="G14265" s="18">
        <v>67176.13</v>
      </c>
      <c r="H14265" s="27">
        <f t="shared" si="444"/>
        <v>67176.13</v>
      </c>
      <c r="I14265" s="18">
        <v>63817.32</v>
      </c>
      <c r="J14265" s="27">
        <v>67176.13</v>
      </c>
      <c r="K14265" s="18">
        <f t="shared" si="445"/>
        <v>67176.13</v>
      </c>
      <c r="L14265" s="27">
        <v>63817.32</v>
      </c>
      <c r="M14265" s="36">
        <v>0</v>
      </c>
      <c r="T14265" s="41">
        <v>0</v>
      </c>
      <c r="U14265" s="41">
        <v>0</v>
      </c>
      <c r="V14265" s="42" t="s">
        <v>113</v>
      </c>
      <c r="W14265" s="42">
        <v>67176.13</v>
      </c>
      <c r="X14265" s="42">
        <v>67176.13</v>
      </c>
    </row>
    <row r="14266" spans="1:24">
      <c r="A14266" s="27" t="s">
        <v>25528</v>
      </c>
      <c r="B14266" s="28" t="s">
        <v>25316</v>
      </c>
      <c r="C14266" s="27" t="s">
        <v>25529</v>
      </c>
      <c r="D14266" s="27" t="s">
        <v>17558</v>
      </c>
      <c r="E14266" s="29">
        <v>31106</v>
      </c>
      <c r="F14266" s="27">
        <v>20</v>
      </c>
      <c r="G14266" s="18">
        <v>81880</v>
      </c>
      <c r="H14266" s="27">
        <f t="shared" si="444"/>
        <v>81880</v>
      </c>
      <c r="I14266" s="18">
        <v>77786</v>
      </c>
      <c r="J14266" s="27">
        <v>81880</v>
      </c>
      <c r="K14266" s="18">
        <f t="shared" si="445"/>
        <v>81880</v>
      </c>
      <c r="L14266" s="27">
        <v>77786</v>
      </c>
      <c r="M14266" s="36">
        <v>0</v>
      </c>
      <c r="T14266" s="41">
        <v>0</v>
      </c>
      <c r="U14266" s="41">
        <v>0</v>
      </c>
      <c r="V14266" s="42" t="s">
        <v>113</v>
      </c>
      <c r="W14266" s="42">
        <v>81880</v>
      </c>
      <c r="X14266" s="42">
        <v>81880</v>
      </c>
    </row>
    <row r="14267" spans="1:24">
      <c r="A14267" s="27" t="s">
        <v>25530</v>
      </c>
      <c r="B14267" s="28" t="s">
        <v>25316</v>
      </c>
      <c r="C14267" s="27" t="s">
        <v>25505</v>
      </c>
      <c r="D14267" s="27" t="s">
        <v>17558</v>
      </c>
      <c r="E14267" s="29">
        <v>34669</v>
      </c>
      <c r="F14267" s="27">
        <v>20</v>
      </c>
      <c r="G14267" s="18">
        <v>95904</v>
      </c>
      <c r="H14267" s="27">
        <f t="shared" si="444"/>
        <v>95904</v>
      </c>
      <c r="I14267" s="18">
        <v>91108.800000000003</v>
      </c>
      <c r="J14267" s="27">
        <v>95904</v>
      </c>
      <c r="K14267" s="18">
        <f t="shared" si="445"/>
        <v>95904</v>
      </c>
      <c r="L14267" s="27">
        <v>91108.800000000003</v>
      </c>
      <c r="M14267" s="36">
        <v>0</v>
      </c>
      <c r="T14267" s="41">
        <v>0</v>
      </c>
      <c r="U14267" s="41">
        <v>0</v>
      </c>
      <c r="V14267" s="42" t="s">
        <v>113</v>
      </c>
      <c r="W14267" s="42">
        <v>95904</v>
      </c>
      <c r="X14267" s="42">
        <v>95904</v>
      </c>
    </row>
    <row r="14268" spans="1:24">
      <c r="A14268" s="27" t="s">
        <v>25531</v>
      </c>
      <c r="B14268" s="28" t="s">
        <v>25316</v>
      </c>
      <c r="C14268" s="27" t="s">
        <v>25532</v>
      </c>
      <c r="D14268" s="27" t="s">
        <v>17558</v>
      </c>
      <c r="E14268" s="29">
        <v>35794</v>
      </c>
      <c r="F14268" s="27">
        <v>20</v>
      </c>
      <c r="G14268" s="18">
        <v>92786.92</v>
      </c>
      <c r="H14268" s="27">
        <f t="shared" si="444"/>
        <v>92786.92</v>
      </c>
      <c r="I14268" s="18">
        <v>88147.57</v>
      </c>
      <c r="J14268" s="27">
        <v>92786.92</v>
      </c>
      <c r="K14268" s="18">
        <f t="shared" si="445"/>
        <v>92786.92</v>
      </c>
      <c r="L14268" s="27">
        <v>88147.57</v>
      </c>
      <c r="M14268" s="36">
        <v>0</v>
      </c>
      <c r="T14268" s="41">
        <v>0</v>
      </c>
      <c r="U14268" s="41">
        <v>0</v>
      </c>
      <c r="V14268" s="42" t="s">
        <v>113</v>
      </c>
      <c r="W14268" s="42">
        <v>92786.92</v>
      </c>
      <c r="X14268" s="42">
        <v>92786.92</v>
      </c>
    </row>
    <row r="14269" spans="1:24">
      <c r="A14269" s="27" t="s">
        <v>25533</v>
      </c>
      <c r="B14269" s="28" t="s">
        <v>25316</v>
      </c>
      <c r="C14269" s="27" t="s">
        <v>25534</v>
      </c>
      <c r="D14269" s="27" t="s">
        <v>17558</v>
      </c>
      <c r="E14269" s="29">
        <v>35065</v>
      </c>
      <c r="F14269" s="27">
        <v>20</v>
      </c>
      <c r="G14269" s="18">
        <v>1126070.6100000001</v>
      </c>
      <c r="H14269" s="27">
        <f t="shared" si="444"/>
        <v>1126070.6100000001</v>
      </c>
      <c r="I14269" s="18">
        <v>1081308.45</v>
      </c>
      <c r="J14269" s="27">
        <v>1126070.6100000001</v>
      </c>
      <c r="K14269" s="18">
        <f t="shared" si="445"/>
        <v>1126070.6100000001</v>
      </c>
      <c r="L14269" s="27">
        <v>1069767.08</v>
      </c>
      <c r="M14269" s="36">
        <v>-11541.37</v>
      </c>
      <c r="T14269" s="41">
        <v>0</v>
      </c>
      <c r="U14269" s="41">
        <v>0</v>
      </c>
      <c r="V14269" s="42" t="s">
        <v>113</v>
      </c>
      <c r="W14269" s="42">
        <v>1126070.6100000001</v>
      </c>
      <c r="X14269" s="42">
        <v>1126070.6100000001</v>
      </c>
    </row>
    <row r="14270" spans="1:24">
      <c r="A14270" s="27" t="s">
        <v>25535</v>
      </c>
      <c r="B14270" s="28" t="s">
        <v>25316</v>
      </c>
      <c r="C14270" s="27" t="s">
        <v>25536</v>
      </c>
      <c r="D14270" s="27" t="s">
        <v>17558</v>
      </c>
      <c r="E14270" s="29">
        <v>38625</v>
      </c>
      <c r="F14270" s="27">
        <v>20</v>
      </c>
      <c r="G14270" s="18">
        <v>24995.72</v>
      </c>
      <c r="H14270" s="27">
        <f t="shared" si="444"/>
        <v>0</v>
      </c>
      <c r="I14270" s="18">
        <v>15867.5</v>
      </c>
      <c r="J14270" s="27">
        <v>24995.72</v>
      </c>
      <c r="K14270" s="18">
        <f t="shared" si="445"/>
        <v>0</v>
      </c>
      <c r="L14270" s="27">
        <v>17034.669999999998</v>
      </c>
      <c r="M14270" s="36">
        <v>1167.17</v>
      </c>
      <c r="T14270" s="41">
        <v>0</v>
      </c>
      <c r="U14270" s="41">
        <v>0</v>
      </c>
      <c r="V14270" s="42" t="s">
        <v>113</v>
      </c>
      <c r="W14270" s="42">
        <v>0</v>
      </c>
      <c r="X14270" s="42">
        <v>0</v>
      </c>
    </row>
    <row r="14271" spans="1:24">
      <c r="A14271" s="27" t="s">
        <v>25537</v>
      </c>
      <c r="B14271" s="28" t="s">
        <v>25316</v>
      </c>
      <c r="C14271" s="27" t="s">
        <v>25538</v>
      </c>
      <c r="D14271" s="27" t="s">
        <v>17578</v>
      </c>
      <c r="E14271" s="29">
        <v>41267</v>
      </c>
      <c r="F14271" s="27">
        <v>20</v>
      </c>
      <c r="G14271" s="18">
        <v>2768604.91</v>
      </c>
      <c r="H14271" s="27">
        <f t="shared" si="444"/>
        <v>0</v>
      </c>
      <c r="I14271" s="18">
        <v>788946.93</v>
      </c>
      <c r="J14271" s="27">
        <v>2768604.91</v>
      </c>
      <c r="K14271" s="18">
        <f t="shared" si="445"/>
        <v>0</v>
      </c>
      <c r="L14271" s="27">
        <v>920463.2</v>
      </c>
      <c r="M14271" s="36">
        <v>131516.26999999999</v>
      </c>
      <c r="T14271" s="41">
        <v>0</v>
      </c>
      <c r="U14271" s="41">
        <v>0</v>
      </c>
      <c r="V14271" s="42" t="s">
        <v>113</v>
      </c>
      <c r="W14271" s="42">
        <v>0</v>
      </c>
      <c r="X14271" s="42">
        <v>0</v>
      </c>
    </row>
    <row r="14272" spans="1:24">
      <c r="A14272" s="27" t="s">
        <v>25539</v>
      </c>
      <c r="B14272" s="28" t="s">
        <v>25316</v>
      </c>
      <c r="C14272" s="27" t="s">
        <v>25540</v>
      </c>
      <c r="D14272" s="27" t="s">
        <v>17578</v>
      </c>
      <c r="E14272" s="29">
        <v>41268</v>
      </c>
      <c r="F14272" s="27">
        <v>20</v>
      </c>
      <c r="G14272" s="18">
        <v>2284260.2599999998</v>
      </c>
      <c r="H14272" s="27">
        <f t="shared" si="444"/>
        <v>0</v>
      </c>
      <c r="I14272" s="18">
        <v>650910.97</v>
      </c>
      <c r="J14272" s="27">
        <v>2284260.2599999998</v>
      </c>
      <c r="K14272" s="18">
        <f t="shared" si="445"/>
        <v>0</v>
      </c>
      <c r="L14272" s="27">
        <v>759420.7</v>
      </c>
      <c r="M14272" s="36">
        <v>108509.73</v>
      </c>
      <c r="T14272" s="41">
        <v>0</v>
      </c>
      <c r="U14272" s="41">
        <v>0</v>
      </c>
      <c r="V14272" s="42" t="s">
        <v>113</v>
      </c>
      <c r="W14272" s="42">
        <v>0</v>
      </c>
      <c r="X14272" s="42">
        <v>0</v>
      </c>
    </row>
    <row r="14273" spans="1:24">
      <c r="A14273" s="27" t="s">
        <v>25541</v>
      </c>
      <c r="B14273" s="28" t="s">
        <v>25316</v>
      </c>
      <c r="C14273" s="27" t="s">
        <v>25542</v>
      </c>
      <c r="D14273" s="27" t="s">
        <v>17578</v>
      </c>
      <c r="E14273" s="29">
        <v>41267</v>
      </c>
      <c r="F14273" s="27">
        <v>20</v>
      </c>
      <c r="G14273" s="18">
        <v>2759299.68</v>
      </c>
      <c r="H14273" s="27">
        <f t="shared" si="444"/>
        <v>0</v>
      </c>
      <c r="I14273" s="18">
        <v>786294.93</v>
      </c>
      <c r="J14273" s="27">
        <v>2759299.68</v>
      </c>
      <c r="K14273" s="18">
        <f t="shared" si="445"/>
        <v>0</v>
      </c>
      <c r="L14273" s="27">
        <v>917369.2</v>
      </c>
      <c r="M14273" s="36">
        <v>131074.26999999999</v>
      </c>
      <c r="T14273" s="41">
        <v>0</v>
      </c>
      <c r="U14273" s="41">
        <v>0</v>
      </c>
      <c r="V14273" s="42" t="s">
        <v>113</v>
      </c>
      <c r="W14273" s="42">
        <v>0</v>
      </c>
      <c r="X14273" s="42">
        <v>0</v>
      </c>
    </row>
    <row r="14274" spans="1:24">
      <c r="A14274" s="27" t="s">
        <v>25543</v>
      </c>
      <c r="B14274" s="28" t="s">
        <v>25316</v>
      </c>
      <c r="C14274" s="27" t="s">
        <v>25544</v>
      </c>
      <c r="D14274" s="27" t="s">
        <v>17578</v>
      </c>
      <c r="E14274" s="29">
        <v>41267</v>
      </c>
      <c r="F14274" s="27">
        <v>20</v>
      </c>
      <c r="G14274" s="18">
        <v>2763809.62</v>
      </c>
      <c r="H14274" s="27">
        <f t="shared" si="444"/>
        <v>0</v>
      </c>
      <c r="I14274" s="18">
        <v>787580.25</v>
      </c>
      <c r="J14274" s="27">
        <v>2763809.62</v>
      </c>
      <c r="K14274" s="18">
        <f t="shared" si="445"/>
        <v>0</v>
      </c>
      <c r="L14274" s="27">
        <v>918868.74</v>
      </c>
      <c r="M14274" s="36">
        <v>131288.49</v>
      </c>
      <c r="T14274" s="41">
        <v>0</v>
      </c>
      <c r="U14274" s="41">
        <v>0</v>
      </c>
      <c r="V14274" s="42" t="s">
        <v>113</v>
      </c>
      <c r="W14274" s="42">
        <v>0</v>
      </c>
      <c r="X14274" s="42">
        <v>0</v>
      </c>
    </row>
    <row r="14275" spans="1:24">
      <c r="A14275" s="27" t="s">
        <v>25545</v>
      </c>
      <c r="B14275" s="28" t="s">
        <v>25316</v>
      </c>
      <c r="C14275" s="27" t="s">
        <v>25546</v>
      </c>
      <c r="D14275" s="27" t="s">
        <v>17558</v>
      </c>
      <c r="E14275" s="29">
        <v>41267</v>
      </c>
      <c r="F14275" s="27">
        <v>20</v>
      </c>
      <c r="G14275" s="18">
        <v>934569.43</v>
      </c>
      <c r="H14275" s="27">
        <f t="shared" si="444"/>
        <v>0</v>
      </c>
      <c r="I14275" s="18">
        <v>266352.3</v>
      </c>
      <c r="J14275" s="27">
        <v>934569.43</v>
      </c>
      <c r="K14275" s="18">
        <f t="shared" si="445"/>
        <v>0</v>
      </c>
      <c r="L14275" s="27">
        <v>310744.34999999998</v>
      </c>
      <c r="M14275" s="36">
        <v>44392.05</v>
      </c>
      <c r="T14275" s="41">
        <v>0</v>
      </c>
      <c r="U14275" s="41">
        <v>0</v>
      </c>
      <c r="V14275" s="42" t="s">
        <v>113</v>
      </c>
      <c r="W14275" s="42">
        <v>0</v>
      </c>
      <c r="X14275" s="42">
        <v>0</v>
      </c>
    </row>
    <row r="14276" spans="1:24">
      <c r="A14276" s="27" t="s">
        <v>25547</v>
      </c>
      <c r="B14276" s="28" t="s">
        <v>25316</v>
      </c>
      <c r="C14276" s="27" t="s">
        <v>25548</v>
      </c>
      <c r="D14276" s="27" t="s">
        <v>17558</v>
      </c>
      <c r="E14276" s="29">
        <v>41267</v>
      </c>
      <c r="F14276" s="27">
        <v>20</v>
      </c>
      <c r="G14276" s="18">
        <v>2304105.23</v>
      </c>
      <c r="H14276" s="27">
        <f t="shared" si="444"/>
        <v>0</v>
      </c>
      <c r="I14276" s="18">
        <v>656566.80000000005</v>
      </c>
      <c r="J14276" s="27">
        <v>2304105.23</v>
      </c>
      <c r="K14276" s="18">
        <f t="shared" si="445"/>
        <v>0</v>
      </c>
      <c r="L14276" s="27">
        <v>766019.17</v>
      </c>
      <c r="M14276" s="36">
        <v>109452.37</v>
      </c>
      <c r="T14276" s="41">
        <v>0</v>
      </c>
      <c r="U14276" s="41">
        <v>0</v>
      </c>
      <c r="V14276" s="42" t="s">
        <v>113</v>
      </c>
      <c r="W14276" s="42">
        <v>0</v>
      </c>
      <c r="X14276" s="42">
        <v>0</v>
      </c>
    </row>
    <row r="14277" spans="1:24">
      <c r="A14277" s="27" t="s">
        <v>25549</v>
      </c>
      <c r="B14277" s="28" t="s">
        <v>25316</v>
      </c>
      <c r="C14277" s="27" t="s">
        <v>25351</v>
      </c>
      <c r="D14277" s="27" t="s">
        <v>17558</v>
      </c>
      <c r="E14277" s="29">
        <v>35794</v>
      </c>
      <c r="F14277" s="27">
        <v>20</v>
      </c>
      <c r="G14277" s="18">
        <v>156744.32000000001</v>
      </c>
      <c r="H14277" s="27">
        <f t="shared" si="444"/>
        <v>156744.32000000001</v>
      </c>
      <c r="I14277" s="18">
        <v>148907.1</v>
      </c>
      <c r="J14277" s="27">
        <v>156744.32000000001</v>
      </c>
      <c r="K14277" s="18">
        <f t="shared" si="445"/>
        <v>156744.32000000001</v>
      </c>
      <c r="L14277" s="27">
        <v>148907.1</v>
      </c>
      <c r="M14277" s="36">
        <v>0</v>
      </c>
      <c r="T14277" s="41">
        <v>0</v>
      </c>
      <c r="U14277" s="41">
        <v>0</v>
      </c>
      <c r="V14277" s="42" t="s">
        <v>113</v>
      </c>
      <c r="W14277" s="42">
        <v>156744.32000000001</v>
      </c>
      <c r="X14277" s="42">
        <v>156744.32000000001</v>
      </c>
    </row>
    <row r="14278" spans="1:24">
      <c r="A14278" s="27" t="s">
        <v>25550</v>
      </c>
      <c r="B14278" s="28" t="s">
        <v>25316</v>
      </c>
      <c r="C14278" s="27" t="s">
        <v>25532</v>
      </c>
      <c r="D14278" s="27" t="s">
        <v>17558</v>
      </c>
      <c r="E14278" s="29">
        <v>35794</v>
      </c>
      <c r="F14278" s="27">
        <v>20</v>
      </c>
      <c r="G14278" s="18">
        <v>156744.32000000001</v>
      </c>
      <c r="H14278" s="27">
        <f t="shared" ref="H14278:H14341" si="446">IFERROR(IF(ROUND((G14278-I14278)/G14278,2)&lt;=0.05,G14278,0),0)</f>
        <v>156744.32000000001</v>
      </c>
      <c r="I14278" s="18">
        <v>148907.1</v>
      </c>
      <c r="J14278" s="27">
        <v>156744.32000000001</v>
      </c>
      <c r="K14278" s="18">
        <f t="shared" ref="K14278:K14341" si="447">IFERROR(IF(ROUND((J14278-L14278)/J14278,2)&lt;=0.05,J14278,0),0)</f>
        <v>156744.32000000001</v>
      </c>
      <c r="L14278" s="27">
        <v>148907.1</v>
      </c>
      <c r="M14278" s="36">
        <v>0</v>
      </c>
      <c r="T14278" s="41">
        <v>0</v>
      </c>
      <c r="U14278" s="41">
        <v>0</v>
      </c>
      <c r="V14278" s="42" t="s">
        <v>113</v>
      </c>
      <c r="W14278" s="42">
        <v>156744.32000000001</v>
      </c>
      <c r="X14278" s="42">
        <v>156744.32000000001</v>
      </c>
    </row>
    <row r="14279" spans="1:24">
      <c r="A14279" s="27" t="s">
        <v>25551</v>
      </c>
      <c r="B14279" s="28" t="s">
        <v>25316</v>
      </c>
      <c r="C14279" s="27" t="s">
        <v>25552</v>
      </c>
      <c r="D14279" s="27" t="s">
        <v>17558</v>
      </c>
      <c r="E14279" s="29">
        <v>35794</v>
      </c>
      <c r="F14279" s="27">
        <v>20</v>
      </c>
      <c r="G14279" s="18">
        <v>67176.14</v>
      </c>
      <c r="H14279" s="27">
        <f t="shared" si="446"/>
        <v>67176.14</v>
      </c>
      <c r="I14279" s="18">
        <v>63817.33</v>
      </c>
      <c r="J14279" s="27">
        <v>67176.14</v>
      </c>
      <c r="K14279" s="18">
        <f t="shared" si="447"/>
        <v>67176.14</v>
      </c>
      <c r="L14279" s="27">
        <v>63817.33</v>
      </c>
      <c r="M14279" s="36">
        <v>0</v>
      </c>
      <c r="T14279" s="41">
        <v>0</v>
      </c>
      <c r="U14279" s="41">
        <v>0</v>
      </c>
      <c r="V14279" s="42" t="s">
        <v>113</v>
      </c>
      <c r="W14279" s="42">
        <v>67176.14</v>
      </c>
      <c r="X14279" s="42">
        <v>67176.14</v>
      </c>
    </row>
    <row r="14280" spans="1:24">
      <c r="A14280" s="27" t="s">
        <v>25553</v>
      </c>
      <c r="B14280" s="28" t="s">
        <v>25316</v>
      </c>
      <c r="C14280" s="27" t="s">
        <v>25554</v>
      </c>
      <c r="D14280" s="27" t="s">
        <v>17558</v>
      </c>
      <c r="E14280" s="29">
        <v>35794</v>
      </c>
      <c r="F14280" s="27">
        <v>20</v>
      </c>
      <c r="G14280" s="18">
        <v>67176.14</v>
      </c>
      <c r="H14280" s="27">
        <f t="shared" si="446"/>
        <v>67176.14</v>
      </c>
      <c r="I14280" s="18">
        <v>63817.33</v>
      </c>
      <c r="J14280" s="27">
        <v>67176.14</v>
      </c>
      <c r="K14280" s="18">
        <f t="shared" si="447"/>
        <v>67176.14</v>
      </c>
      <c r="L14280" s="27">
        <v>63817.33</v>
      </c>
      <c r="M14280" s="36">
        <v>0</v>
      </c>
      <c r="T14280" s="41">
        <v>0</v>
      </c>
      <c r="U14280" s="41">
        <v>0</v>
      </c>
      <c r="V14280" s="42" t="s">
        <v>113</v>
      </c>
      <c r="W14280" s="42">
        <v>67176.14</v>
      </c>
      <c r="X14280" s="42">
        <v>67176.14</v>
      </c>
    </row>
    <row r="14281" spans="1:24">
      <c r="A14281" s="27" t="s">
        <v>25555</v>
      </c>
      <c r="B14281" s="28" t="s">
        <v>25316</v>
      </c>
      <c r="C14281" s="27" t="s">
        <v>25556</v>
      </c>
      <c r="D14281" s="27" t="s">
        <v>17558</v>
      </c>
      <c r="E14281" s="29">
        <v>35794</v>
      </c>
      <c r="F14281" s="27">
        <v>20</v>
      </c>
      <c r="G14281" s="18">
        <v>67176.14</v>
      </c>
      <c r="H14281" s="27">
        <f t="shared" si="446"/>
        <v>67176.14</v>
      </c>
      <c r="I14281" s="18">
        <v>63817.33</v>
      </c>
      <c r="J14281" s="27">
        <v>67176.14</v>
      </c>
      <c r="K14281" s="18">
        <f t="shared" si="447"/>
        <v>67176.14</v>
      </c>
      <c r="L14281" s="27">
        <v>63817.33</v>
      </c>
      <c r="M14281" s="36">
        <v>0</v>
      </c>
      <c r="T14281" s="41">
        <v>0</v>
      </c>
      <c r="U14281" s="41">
        <v>0</v>
      </c>
      <c r="V14281" s="42" t="s">
        <v>113</v>
      </c>
      <c r="W14281" s="42">
        <v>67176.14</v>
      </c>
      <c r="X14281" s="42">
        <v>67176.14</v>
      </c>
    </row>
    <row r="14282" spans="1:24">
      <c r="A14282" s="27" t="s">
        <v>25557</v>
      </c>
      <c r="B14282" s="28" t="s">
        <v>25316</v>
      </c>
      <c r="C14282" s="27" t="s">
        <v>25347</v>
      </c>
      <c r="D14282" s="27" t="s">
        <v>17558</v>
      </c>
      <c r="E14282" s="29">
        <v>35794</v>
      </c>
      <c r="F14282" s="27">
        <v>20</v>
      </c>
      <c r="G14282" s="18">
        <v>783721.62</v>
      </c>
      <c r="H14282" s="27">
        <f t="shared" si="446"/>
        <v>783721.62</v>
      </c>
      <c r="I14282" s="18">
        <v>744535.54</v>
      </c>
      <c r="J14282" s="27">
        <v>783721.62</v>
      </c>
      <c r="K14282" s="18">
        <f t="shared" si="447"/>
        <v>783721.62</v>
      </c>
      <c r="L14282" s="27">
        <v>744535.54</v>
      </c>
      <c r="M14282" s="36">
        <v>0</v>
      </c>
      <c r="T14282" s="41">
        <v>0</v>
      </c>
      <c r="U14282" s="41">
        <v>0</v>
      </c>
      <c r="V14282" s="42" t="s">
        <v>113</v>
      </c>
      <c r="W14282" s="42">
        <v>783721.62</v>
      </c>
      <c r="X14282" s="42">
        <v>783721.62</v>
      </c>
    </row>
    <row r="14283" spans="1:24">
      <c r="A14283" s="27" t="s">
        <v>25558</v>
      </c>
      <c r="B14283" s="28" t="s">
        <v>25316</v>
      </c>
      <c r="C14283" s="27" t="s">
        <v>25321</v>
      </c>
      <c r="D14283" s="27" t="s">
        <v>17558</v>
      </c>
      <c r="E14283" s="29">
        <v>35794</v>
      </c>
      <c r="F14283" s="27">
        <v>20</v>
      </c>
      <c r="G14283" s="18">
        <v>67176.14</v>
      </c>
      <c r="H14283" s="27">
        <f t="shared" si="446"/>
        <v>67176.14</v>
      </c>
      <c r="I14283" s="18">
        <v>63817.33</v>
      </c>
      <c r="J14283" s="27">
        <v>67176.14</v>
      </c>
      <c r="K14283" s="18">
        <f t="shared" si="447"/>
        <v>67176.14</v>
      </c>
      <c r="L14283" s="27">
        <v>63817.33</v>
      </c>
      <c r="M14283" s="36">
        <v>0</v>
      </c>
      <c r="T14283" s="41">
        <v>0</v>
      </c>
      <c r="U14283" s="41">
        <v>0</v>
      </c>
      <c r="V14283" s="42" t="s">
        <v>113</v>
      </c>
      <c r="W14283" s="42">
        <v>67176.14</v>
      </c>
      <c r="X14283" s="42">
        <v>67176.14</v>
      </c>
    </row>
    <row r="14284" spans="1:24">
      <c r="A14284" s="27" t="s">
        <v>25559</v>
      </c>
      <c r="B14284" s="28" t="s">
        <v>25316</v>
      </c>
      <c r="C14284" s="27" t="s">
        <v>25361</v>
      </c>
      <c r="D14284" s="27" t="s">
        <v>17558</v>
      </c>
      <c r="E14284" s="29">
        <v>35794</v>
      </c>
      <c r="F14284" s="27">
        <v>20</v>
      </c>
      <c r="G14284" s="18">
        <v>67176.14</v>
      </c>
      <c r="H14284" s="27">
        <f t="shared" si="446"/>
        <v>67176.14</v>
      </c>
      <c r="I14284" s="18">
        <v>63817.33</v>
      </c>
      <c r="J14284" s="27">
        <v>67176.14</v>
      </c>
      <c r="K14284" s="18">
        <f t="shared" si="447"/>
        <v>67176.14</v>
      </c>
      <c r="L14284" s="27">
        <v>63817.33</v>
      </c>
      <c r="M14284" s="36">
        <v>0</v>
      </c>
      <c r="T14284" s="41">
        <v>0</v>
      </c>
      <c r="U14284" s="41">
        <v>0</v>
      </c>
      <c r="V14284" s="42" t="s">
        <v>113</v>
      </c>
      <c r="W14284" s="42">
        <v>67176.14</v>
      </c>
      <c r="X14284" s="42">
        <v>67176.14</v>
      </c>
    </row>
    <row r="14285" spans="1:24">
      <c r="A14285" s="27" t="s">
        <v>25560</v>
      </c>
      <c r="B14285" s="28" t="s">
        <v>25316</v>
      </c>
      <c r="C14285" s="27" t="s">
        <v>25561</v>
      </c>
      <c r="D14285" s="27" t="s">
        <v>17558</v>
      </c>
      <c r="E14285" s="29">
        <v>35794</v>
      </c>
      <c r="F14285" s="27">
        <v>20</v>
      </c>
      <c r="G14285" s="18">
        <v>371147.68</v>
      </c>
      <c r="H14285" s="27">
        <f t="shared" si="446"/>
        <v>371147.68</v>
      </c>
      <c r="I14285" s="18">
        <v>352590.3</v>
      </c>
      <c r="J14285" s="27">
        <v>371147.68</v>
      </c>
      <c r="K14285" s="18">
        <f t="shared" si="447"/>
        <v>371147.68</v>
      </c>
      <c r="L14285" s="27">
        <v>352590.3</v>
      </c>
      <c r="M14285" s="36">
        <v>0</v>
      </c>
      <c r="T14285" s="41">
        <v>0</v>
      </c>
      <c r="U14285" s="41">
        <v>0</v>
      </c>
      <c r="V14285" s="42" t="s">
        <v>113</v>
      </c>
      <c r="W14285" s="42">
        <v>371147.68</v>
      </c>
      <c r="X14285" s="42">
        <v>371147.68</v>
      </c>
    </row>
    <row r="14286" spans="1:24">
      <c r="A14286" s="27" t="s">
        <v>25562</v>
      </c>
      <c r="B14286" s="28" t="s">
        <v>25316</v>
      </c>
      <c r="C14286" s="27" t="s">
        <v>25563</v>
      </c>
      <c r="D14286" s="27" t="s">
        <v>17558</v>
      </c>
      <c r="E14286" s="29">
        <v>35794</v>
      </c>
      <c r="F14286" s="27">
        <v>20</v>
      </c>
      <c r="G14286" s="18">
        <v>92786.92</v>
      </c>
      <c r="H14286" s="27">
        <f t="shared" si="446"/>
        <v>92786.92</v>
      </c>
      <c r="I14286" s="18">
        <v>88147.57</v>
      </c>
      <c r="J14286" s="27">
        <v>92786.92</v>
      </c>
      <c r="K14286" s="18">
        <f t="shared" si="447"/>
        <v>92786.92</v>
      </c>
      <c r="L14286" s="27">
        <v>88147.57</v>
      </c>
      <c r="M14286" s="36">
        <v>0</v>
      </c>
      <c r="T14286" s="41">
        <v>0</v>
      </c>
      <c r="U14286" s="41">
        <v>0</v>
      </c>
      <c r="V14286" s="42" t="s">
        <v>113</v>
      </c>
      <c r="W14286" s="42">
        <v>92786.92</v>
      </c>
      <c r="X14286" s="42">
        <v>92786.92</v>
      </c>
    </row>
    <row r="14287" spans="1:24">
      <c r="A14287" s="27" t="s">
        <v>25564</v>
      </c>
      <c r="B14287" s="28" t="s">
        <v>25316</v>
      </c>
      <c r="C14287" s="27" t="s">
        <v>25554</v>
      </c>
      <c r="D14287" s="27" t="s">
        <v>17558</v>
      </c>
      <c r="E14287" s="29">
        <v>35794</v>
      </c>
      <c r="F14287" s="27">
        <v>20</v>
      </c>
      <c r="G14287" s="18">
        <v>92786.92</v>
      </c>
      <c r="H14287" s="27">
        <f t="shared" si="446"/>
        <v>92786.92</v>
      </c>
      <c r="I14287" s="18">
        <v>88147.57</v>
      </c>
      <c r="J14287" s="27">
        <v>92786.92</v>
      </c>
      <c r="K14287" s="18">
        <f t="shared" si="447"/>
        <v>92786.92</v>
      </c>
      <c r="L14287" s="27">
        <v>88147.57</v>
      </c>
      <c r="M14287" s="36">
        <v>0</v>
      </c>
      <c r="T14287" s="41">
        <v>0</v>
      </c>
      <c r="U14287" s="41">
        <v>0</v>
      </c>
      <c r="V14287" s="42" t="s">
        <v>113</v>
      </c>
      <c r="W14287" s="42">
        <v>92786.92</v>
      </c>
      <c r="X14287" s="42">
        <v>92786.92</v>
      </c>
    </row>
    <row r="14288" spans="1:24">
      <c r="A14288" s="27" t="s">
        <v>25565</v>
      </c>
      <c r="B14288" s="28" t="s">
        <v>25316</v>
      </c>
      <c r="C14288" s="27" t="s">
        <v>25566</v>
      </c>
      <c r="D14288" s="27" t="s">
        <v>17558</v>
      </c>
      <c r="E14288" s="29">
        <v>35794</v>
      </c>
      <c r="F14288" s="27">
        <v>20</v>
      </c>
      <c r="G14288" s="18">
        <v>92786.92</v>
      </c>
      <c r="H14288" s="27">
        <f t="shared" si="446"/>
        <v>92786.92</v>
      </c>
      <c r="I14288" s="18">
        <v>88147.57</v>
      </c>
      <c r="J14288" s="27">
        <v>92786.92</v>
      </c>
      <c r="K14288" s="18">
        <f t="shared" si="447"/>
        <v>92786.92</v>
      </c>
      <c r="L14288" s="27">
        <v>88147.57</v>
      </c>
      <c r="M14288" s="36">
        <v>0</v>
      </c>
      <c r="T14288" s="41">
        <v>0</v>
      </c>
      <c r="U14288" s="41">
        <v>0</v>
      </c>
      <c r="V14288" s="42" t="s">
        <v>113</v>
      </c>
      <c r="W14288" s="42">
        <v>92786.92</v>
      </c>
      <c r="X14288" s="42">
        <v>92786.92</v>
      </c>
    </row>
    <row r="14289" spans="1:24">
      <c r="A14289" s="27" t="s">
        <v>25567</v>
      </c>
      <c r="B14289" s="28" t="s">
        <v>25316</v>
      </c>
      <c r="C14289" s="27" t="s">
        <v>25568</v>
      </c>
      <c r="D14289" s="27" t="s">
        <v>17558</v>
      </c>
      <c r="E14289" s="29">
        <v>35794</v>
      </c>
      <c r="F14289" s="27">
        <v>20</v>
      </c>
      <c r="G14289" s="18">
        <v>927869.2</v>
      </c>
      <c r="H14289" s="27">
        <f t="shared" si="446"/>
        <v>927869.2</v>
      </c>
      <c r="I14289" s="18">
        <v>881475.74</v>
      </c>
      <c r="J14289" s="27">
        <v>927869.2</v>
      </c>
      <c r="K14289" s="18">
        <f t="shared" si="447"/>
        <v>927869.2</v>
      </c>
      <c r="L14289" s="27">
        <v>881475.74</v>
      </c>
      <c r="M14289" s="36">
        <v>0</v>
      </c>
      <c r="T14289" s="41">
        <v>0</v>
      </c>
      <c r="U14289" s="41">
        <v>0</v>
      </c>
      <c r="V14289" s="42" t="s">
        <v>113</v>
      </c>
      <c r="W14289" s="42">
        <v>927869.2</v>
      </c>
      <c r="X14289" s="42">
        <v>927869.2</v>
      </c>
    </row>
    <row r="14290" spans="1:24">
      <c r="A14290" s="27" t="s">
        <v>25569</v>
      </c>
      <c r="B14290" s="28" t="s">
        <v>25316</v>
      </c>
      <c r="C14290" s="27" t="s">
        <v>25329</v>
      </c>
      <c r="D14290" s="27" t="s">
        <v>17558</v>
      </c>
      <c r="E14290" s="29">
        <v>35794</v>
      </c>
      <c r="F14290" s="27">
        <v>20</v>
      </c>
      <c r="G14290" s="18">
        <v>92786.92</v>
      </c>
      <c r="H14290" s="27">
        <f t="shared" si="446"/>
        <v>92786.92</v>
      </c>
      <c r="I14290" s="18">
        <v>88147.57</v>
      </c>
      <c r="J14290" s="27">
        <v>92786.92</v>
      </c>
      <c r="K14290" s="18">
        <f t="shared" si="447"/>
        <v>92786.92</v>
      </c>
      <c r="L14290" s="27">
        <v>88147.57</v>
      </c>
      <c r="M14290" s="36">
        <v>0</v>
      </c>
      <c r="T14290" s="41">
        <v>0</v>
      </c>
      <c r="U14290" s="41">
        <v>0</v>
      </c>
      <c r="V14290" s="42" t="s">
        <v>113</v>
      </c>
      <c r="W14290" s="42">
        <v>92786.92</v>
      </c>
      <c r="X14290" s="42">
        <v>92786.92</v>
      </c>
    </row>
    <row r="14291" spans="1:24">
      <c r="A14291" s="27" t="s">
        <v>25570</v>
      </c>
      <c r="B14291" s="28" t="s">
        <v>25316</v>
      </c>
      <c r="C14291" s="27" t="s">
        <v>25367</v>
      </c>
      <c r="D14291" s="27" t="s">
        <v>17558</v>
      </c>
      <c r="E14291" s="29">
        <v>35794</v>
      </c>
      <c r="F14291" s="27">
        <v>20</v>
      </c>
      <c r="G14291" s="18">
        <v>117720</v>
      </c>
      <c r="H14291" s="27">
        <f t="shared" si="446"/>
        <v>117720</v>
      </c>
      <c r="I14291" s="18">
        <v>111834</v>
      </c>
      <c r="J14291" s="27">
        <v>117720</v>
      </c>
      <c r="K14291" s="18">
        <f t="shared" si="447"/>
        <v>117720</v>
      </c>
      <c r="L14291" s="27">
        <v>111834</v>
      </c>
      <c r="M14291" s="36">
        <v>0</v>
      </c>
      <c r="T14291" s="41">
        <v>0</v>
      </c>
      <c r="U14291" s="41">
        <v>0</v>
      </c>
      <c r="V14291" s="42" t="s">
        <v>113</v>
      </c>
      <c r="W14291" s="42">
        <v>117720</v>
      </c>
      <c r="X14291" s="42">
        <v>117720</v>
      </c>
    </row>
    <row r="14292" spans="1:24">
      <c r="A14292" s="27" t="s">
        <v>25571</v>
      </c>
      <c r="B14292" s="28" t="s">
        <v>25316</v>
      </c>
      <c r="C14292" s="27" t="s">
        <v>25572</v>
      </c>
      <c r="D14292" s="27" t="s">
        <v>17558</v>
      </c>
      <c r="E14292" s="29">
        <v>35794</v>
      </c>
      <c r="F14292" s="27">
        <v>20</v>
      </c>
      <c r="G14292" s="18">
        <v>117720</v>
      </c>
      <c r="H14292" s="27">
        <f t="shared" si="446"/>
        <v>117720</v>
      </c>
      <c r="I14292" s="18">
        <v>111834</v>
      </c>
      <c r="J14292" s="27">
        <v>117720</v>
      </c>
      <c r="K14292" s="18">
        <f t="shared" si="447"/>
        <v>117720</v>
      </c>
      <c r="L14292" s="27">
        <v>111834</v>
      </c>
      <c r="M14292" s="36">
        <v>0</v>
      </c>
      <c r="T14292" s="41">
        <v>0</v>
      </c>
      <c r="U14292" s="41">
        <v>0</v>
      </c>
      <c r="V14292" s="42" t="s">
        <v>113</v>
      </c>
      <c r="W14292" s="42">
        <v>117720</v>
      </c>
      <c r="X14292" s="42">
        <v>117720</v>
      </c>
    </row>
    <row r="14293" spans="1:24">
      <c r="A14293" s="27" t="s">
        <v>25573</v>
      </c>
      <c r="B14293" s="28" t="s">
        <v>25316</v>
      </c>
      <c r="C14293" s="27" t="s">
        <v>25556</v>
      </c>
      <c r="D14293" s="27" t="s">
        <v>17558</v>
      </c>
      <c r="E14293" s="29">
        <v>35794</v>
      </c>
      <c r="F14293" s="27">
        <v>20</v>
      </c>
      <c r="G14293" s="18">
        <v>117720</v>
      </c>
      <c r="H14293" s="27">
        <f t="shared" si="446"/>
        <v>117720</v>
      </c>
      <c r="I14293" s="18">
        <v>111834</v>
      </c>
      <c r="J14293" s="27">
        <v>117720</v>
      </c>
      <c r="K14293" s="18">
        <f t="shared" si="447"/>
        <v>117720</v>
      </c>
      <c r="L14293" s="27">
        <v>111834</v>
      </c>
      <c r="M14293" s="36">
        <v>0</v>
      </c>
      <c r="T14293" s="41">
        <v>0</v>
      </c>
      <c r="U14293" s="41">
        <v>0</v>
      </c>
      <c r="V14293" s="42" t="s">
        <v>113</v>
      </c>
      <c r="W14293" s="42">
        <v>117720</v>
      </c>
      <c r="X14293" s="42">
        <v>117720</v>
      </c>
    </row>
    <row r="14294" spans="1:24">
      <c r="A14294" s="27" t="s">
        <v>25574</v>
      </c>
      <c r="B14294" s="28" t="s">
        <v>25316</v>
      </c>
      <c r="C14294" s="27" t="s">
        <v>25575</v>
      </c>
      <c r="D14294" s="27" t="s">
        <v>17558</v>
      </c>
      <c r="E14294" s="29">
        <v>35794</v>
      </c>
      <c r="F14294" s="27">
        <v>20</v>
      </c>
      <c r="G14294" s="18">
        <v>621324.72</v>
      </c>
      <c r="H14294" s="27">
        <f t="shared" si="446"/>
        <v>621324.72</v>
      </c>
      <c r="I14294" s="18">
        <v>590258.48</v>
      </c>
      <c r="J14294" s="27">
        <v>621324.72</v>
      </c>
      <c r="K14294" s="18">
        <f t="shared" si="447"/>
        <v>621324.72</v>
      </c>
      <c r="L14294" s="27">
        <v>590258.48</v>
      </c>
      <c r="M14294" s="36">
        <v>0</v>
      </c>
      <c r="T14294" s="41">
        <v>0</v>
      </c>
      <c r="U14294" s="41">
        <v>0</v>
      </c>
      <c r="V14294" s="42" t="s">
        <v>113</v>
      </c>
      <c r="W14294" s="42">
        <v>621324.72</v>
      </c>
      <c r="X14294" s="42">
        <v>621324.72</v>
      </c>
    </row>
    <row r="14295" spans="1:24">
      <c r="A14295" s="27" t="s">
        <v>25576</v>
      </c>
      <c r="B14295" s="28" t="s">
        <v>25316</v>
      </c>
      <c r="C14295" s="27" t="s">
        <v>25577</v>
      </c>
      <c r="D14295" s="27" t="s">
        <v>17558</v>
      </c>
      <c r="E14295" s="29">
        <v>31106</v>
      </c>
      <c r="F14295" s="27">
        <v>20</v>
      </c>
      <c r="G14295" s="18">
        <v>81880</v>
      </c>
      <c r="H14295" s="27">
        <f t="shared" si="446"/>
        <v>81880</v>
      </c>
      <c r="I14295" s="18">
        <v>77786</v>
      </c>
      <c r="J14295" s="27">
        <v>81880</v>
      </c>
      <c r="K14295" s="18">
        <f t="shared" si="447"/>
        <v>81880</v>
      </c>
      <c r="L14295" s="27">
        <v>77786</v>
      </c>
      <c r="M14295" s="36">
        <v>0</v>
      </c>
      <c r="T14295" s="41">
        <v>0</v>
      </c>
      <c r="U14295" s="41">
        <v>0</v>
      </c>
      <c r="V14295" s="42" t="s">
        <v>113</v>
      </c>
      <c r="W14295" s="42">
        <v>81880</v>
      </c>
      <c r="X14295" s="42">
        <v>81880</v>
      </c>
    </row>
    <row r="14296" spans="1:24">
      <c r="A14296" s="27" t="s">
        <v>25578</v>
      </c>
      <c r="B14296" s="28" t="s">
        <v>25316</v>
      </c>
      <c r="C14296" s="27" t="s">
        <v>25579</v>
      </c>
      <c r="D14296" s="27" t="s">
        <v>17558</v>
      </c>
      <c r="E14296" s="29">
        <v>31106</v>
      </c>
      <c r="F14296" s="27">
        <v>20</v>
      </c>
      <c r="G14296" s="18">
        <v>81880</v>
      </c>
      <c r="H14296" s="27">
        <f t="shared" si="446"/>
        <v>81880</v>
      </c>
      <c r="I14296" s="18">
        <v>77786</v>
      </c>
      <c r="J14296" s="27">
        <v>81880</v>
      </c>
      <c r="K14296" s="18">
        <f t="shared" si="447"/>
        <v>81880</v>
      </c>
      <c r="L14296" s="27">
        <v>77786</v>
      </c>
      <c r="M14296" s="36">
        <v>0</v>
      </c>
      <c r="T14296" s="41">
        <v>0</v>
      </c>
      <c r="U14296" s="41">
        <v>0</v>
      </c>
      <c r="V14296" s="42" t="s">
        <v>113</v>
      </c>
      <c r="W14296" s="42">
        <v>81880</v>
      </c>
      <c r="X14296" s="42">
        <v>81880</v>
      </c>
    </row>
    <row r="14297" spans="1:24">
      <c r="A14297" s="27" t="s">
        <v>25580</v>
      </c>
      <c r="B14297" s="28" t="s">
        <v>25316</v>
      </c>
      <c r="C14297" s="27" t="s">
        <v>25581</v>
      </c>
      <c r="D14297" s="27" t="s">
        <v>17558</v>
      </c>
      <c r="E14297" s="29">
        <v>36434</v>
      </c>
      <c r="F14297" s="27">
        <v>20</v>
      </c>
      <c r="G14297" s="18">
        <v>4276.8</v>
      </c>
      <c r="H14297" s="27">
        <f t="shared" si="446"/>
        <v>4276.8</v>
      </c>
      <c r="I14297" s="18">
        <v>4276.8</v>
      </c>
      <c r="J14297" s="27">
        <v>4276.8</v>
      </c>
      <c r="K14297" s="18">
        <f t="shared" si="447"/>
        <v>4276.8</v>
      </c>
      <c r="L14297" s="27">
        <v>4276.8</v>
      </c>
      <c r="M14297" s="36">
        <v>0</v>
      </c>
      <c r="T14297" s="41">
        <v>0</v>
      </c>
      <c r="U14297" s="41">
        <v>0</v>
      </c>
      <c r="V14297" s="42" t="s">
        <v>113</v>
      </c>
      <c r="W14297" s="42">
        <v>4276.8</v>
      </c>
      <c r="X14297" s="42">
        <v>4276.8</v>
      </c>
    </row>
    <row r="14298" spans="1:24">
      <c r="A14298" s="27" t="s">
        <v>25582</v>
      </c>
      <c r="B14298" s="28" t="s">
        <v>25316</v>
      </c>
      <c r="C14298" s="27" t="s">
        <v>25583</v>
      </c>
      <c r="D14298" s="27" t="s">
        <v>17558</v>
      </c>
      <c r="E14298" s="29">
        <v>31106</v>
      </c>
      <c r="F14298" s="27">
        <v>20</v>
      </c>
      <c r="G14298" s="18">
        <v>141009.41</v>
      </c>
      <c r="H14298" s="27">
        <f t="shared" si="446"/>
        <v>141009.41</v>
      </c>
      <c r="I14298" s="18">
        <v>133958.94</v>
      </c>
      <c r="J14298" s="27">
        <v>141009.41</v>
      </c>
      <c r="K14298" s="18">
        <f t="shared" si="447"/>
        <v>141009.41</v>
      </c>
      <c r="L14298" s="27">
        <v>133958.94</v>
      </c>
      <c r="M14298" s="36">
        <v>0</v>
      </c>
      <c r="T14298" s="41">
        <v>0</v>
      </c>
      <c r="U14298" s="41">
        <v>0</v>
      </c>
      <c r="V14298" s="42" t="s">
        <v>113</v>
      </c>
      <c r="W14298" s="42">
        <v>141009.41</v>
      </c>
      <c r="X14298" s="42">
        <v>141009.41</v>
      </c>
    </row>
    <row r="14299" spans="1:24">
      <c r="A14299" s="27" t="s">
        <v>25584</v>
      </c>
      <c r="B14299" s="28" t="s">
        <v>25316</v>
      </c>
      <c r="C14299" s="27" t="s">
        <v>25585</v>
      </c>
      <c r="D14299" s="27" t="s">
        <v>17578</v>
      </c>
      <c r="E14299" s="29">
        <v>41508</v>
      </c>
      <c r="F14299" s="27">
        <v>20</v>
      </c>
      <c r="G14299" s="18">
        <v>2761987.41</v>
      </c>
      <c r="H14299" s="27">
        <f t="shared" si="446"/>
        <v>0</v>
      </c>
      <c r="I14299" s="18">
        <v>699703.47</v>
      </c>
      <c r="J14299" s="27">
        <v>2761987.41</v>
      </c>
      <c r="K14299" s="18">
        <f t="shared" si="447"/>
        <v>0</v>
      </c>
      <c r="L14299" s="27">
        <v>830897.87</v>
      </c>
      <c r="M14299" s="36">
        <v>131194.4</v>
      </c>
      <c r="T14299" s="41">
        <v>0</v>
      </c>
      <c r="U14299" s="41">
        <v>0</v>
      </c>
      <c r="V14299" s="42" t="s">
        <v>113</v>
      </c>
      <c r="W14299" s="42">
        <v>0</v>
      </c>
      <c r="X14299" s="42">
        <v>0</v>
      </c>
    </row>
    <row r="14300" spans="1:24">
      <c r="A14300" s="27" t="s">
        <v>25586</v>
      </c>
      <c r="B14300" s="28" t="s">
        <v>25316</v>
      </c>
      <c r="C14300" s="27" t="s">
        <v>25587</v>
      </c>
      <c r="D14300" s="27" t="s">
        <v>17578</v>
      </c>
      <c r="E14300" s="29">
        <v>41508</v>
      </c>
      <c r="F14300" s="27">
        <v>20</v>
      </c>
      <c r="G14300" s="18">
        <v>2742803.24</v>
      </c>
      <c r="H14300" s="27">
        <f t="shared" si="446"/>
        <v>0</v>
      </c>
      <c r="I14300" s="18">
        <v>694843.48</v>
      </c>
      <c r="J14300" s="27">
        <v>2742803.24</v>
      </c>
      <c r="K14300" s="18">
        <f t="shared" si="447"/>
        <v>0</v>
      </c>
      <c r="L14300" s="27">
        <v>825126.63</v>
      </c>
      <c r="M14300" s="36">
        <v>130283.15</v>
      </c>
      <c r="T14300" s="41">
        <v>0</v>
      </c>
      <c r="U14300" s="41">
        <v>0</v>
      </c>
      <c r="V14300" s="42" t="s">
        <v>113</v>
      </c>
      <c r="W14300" s="42">
        <v>0</v>
      </c>
      <c r="X14300" s="42">
        <v>0</v>
      </c>
    </row>
    <row r="14301" spans="1:24">
      <c r="A14301" s="27" t="s">
        <v>25588</v>
      </c>
      <c r="B14301" s="28" t="s">
        <v>25316</v>
      </c>
      <c r="C14301" s="27" t="s">
        <v>25589</v>
      </c>
      <c r="D14301" s="27" t="s">
        <v>230</v>
      </c>
      <c r="E14301" s="29">
        <v>41769</v>
      </c>
      <c r="F14301" s="27">
        <v>20</v>
      </c>
      <c r="G14301" s="18">
        <v>164049.06</v>
      </c>
      <c r="H14301" s="27">
        <f t="shared" si="446"/>
        <v>0</v>
      </c>
      <c r="I14301" s="18">
        <v>35865.71</v>
      </c>
      <c r="J14301" s="27">
        <v>164049.06</v>
      </c>
      <c r="K14301" s="18">
        <f t="shared" si="447"/>
        <v>0</v>
      </c>
      <c r="L14301" s="27">
        <v>43648.25</v>
      </c>
      <c r="M14301" s="36">
        <v>7782.54</v>
      </c>
      <c r="T14301" s="41">
        <v>0</v>
      </c>
      <c r="U14301" s="41">
        <v>0</v>
      </c>
      <c r="V14301" s="42" t="s">
        <v>113</v>
      </c>
      <c r="W14301" s="42">
        <v>0</v>
      </c>
      <c r="X14301" s="42">
        <v>0</v>
      </c>
    </row>
    <row r="14302" spans="1:24">
      <c r="A14302" s="27" t="s">
        <v>25590</v>
      </c>
      <c r="B14302" s="28" t="s">
        <v>25316</v>
      </c>
      <c r="C14302" s="27" t="s">
        <v>25532</v>
      </c>
      <c r="D14302" s="27" t="s">
        <v>17558</v>
      </c>
      <c r="E14302" s="29">
        <v>32752</v>
      </c>
      <c r="F14302" s="27">
        <v>20</v>
      </c>
      <c r="G14302" s="18">
        <v>1395082.8</v>
      </c>
      <c r="H14302" s="27">
        <f t="shared" si="446"/>
        <v>1395082.8</v>
      </c>
      <c r="I14302" s="18">
        <v>1325328.6599999999</v>
      </c>
      <c r="J14302" s="27">
        <v>1395082.8</v>
      </c>
      <c r="K14302" s="18">
        <f t="shared" si="447"/>
        <v>1395082.8</v>
      </c>
      <c r="L14302" s="27">
        <v>1325328.6599999999</v>
      </c>
      <c r="M14302" s="36">
        <v>0</v>
      </c>
      <c r="T14302" s="41">
        <v>0</v>
      </c>
      <c r="U14302" s="41">
        <v>0</v>
      </c>
      <c r="V14302" s="42" t="s">
        <v>113</v>
      </c>
      <c r="W14302" s="42">
        <v>1395082.8</v>
      </c>
      <c r="X14302" s="42">
        <v>1395082.8</v>
      </c>
    </row>
    <row r="14303" spans="1:24">
      <c r="A14303" s="27" t="s">
        <v>25591</v>
      </c>
      <c r="B14303" s="28" t="s">
        <v>25316</v>
      </c>
      <c r="C14303" s="27" t="s">
        <v>25592</v>
      </c>
      <c r="D14303" s="27" t="s">
        <v>17558</v>
      </c>
      <c r="E14303" s="29">
        <v>32752</v>
      </c>
      <c r="F14303" s="27">
        <v>20</v>
      </c>
      <c r="G14303" s="18">
        <v>79011.27</v>
      </c>
      <c r="H14303" s="27">
        <f t="shared" si="446"/>
        <v>79011.27</v>
      </c>
      <c r="I14303" s="18">
        <v>75060.710000000006</v>
      </c>
      <c r="J14303" s="27">
        <v>79011.27</v>
      </c>
      <c r="K14303" s="18">
        <f t="shared" si="447"/>
        <v>79011.27</v>
      </c>
      <c r="L14303" s="27">
        <v>75060.710000000006</v>
      </c>
      <c r="M14303" s="36">
        <v>0</v>
      </c>
      <c r="T14303" s="41">
        <v>0</v>
      </c>
      <c r="U14303" s="41">
        <v>0</v>
      </c>
      <c r="V14303" s="42" t="s">
        <v>113</v>
      </c>
      <c r="W14303" s="42">
        <v>79011.27</v>
      </c>
      <c r="X14303" s="42">
        <v>79011.27</v>
      </c>
    </row>
    <row r="14304" spans="1:24">
      <c r="A14304" s="27" t="s">
        <v>25593</v>
      </c>
      <c r="B14304" s="28" t="s">
        <v>25316</v>
      </c>
      <c r="C14304" s="27" t="s">
        <v>25347</v>
      </c>
      <c r="D14304" s="27" t="s">
        <v>17558</v>
      </c>
      <c r="E14304" s="29">
        <v>40148</v>
      </c>
      <c r="F14304" s="27">
        <v>20</v>
      </c>
      <c r="G14304" s="18">
        <v>681126.78</v>
      </c>
      <c r="H14304" s="27">
        <f t="shared" si="446"/>
        <v>0</v>
      </c>
      <c r="I14304" s="18">
        <v>289674.32</v>
      </c>
      <c r="J14304" s="27">
        <v>681126.78</v>
      </c>
      <c r="K14304" s="18">
        <f t="shared" si="447"/>
        <v>0</v>
      </c>
      <c r="L14304" s="27">
        <v>322164.88</v>
      </c>
      <c r="M14304" s="36">
        <v>32490.560000000001</v>
      </c>
      <c r="T14304" s="41">
        <v>0</v>
      </c>
      <c r="U14304" s="41">
        <v>0</v>
      </c>
      <c r="V14304" s="42" t="s">
        <v>113</v>
      </c>
      <c r="W14304" s="42">
        <v>0</v>
      </c>
      <c r="X14304" s="42">
        <v>0</v>
      </c>
    </row>
    <row r="14305" spans="1:24">
      <c r="A14305" s="27" t="s">
        <v>25594</v>
      </c>
      <c r="B14305" s="28" t="s">
        <v>25316</v>
      </c>
      <c r="C14305" s="27" t="s">
        <v>25595</v>
      </c>
      <c r="D14305" s="27" t="s">
        <v>17558</v>
      </c>
      <c r="E14305" s="29">
        <v>33969</v>
      </c>
      <c r="F14305" s="27">
        <v>20</v>
      </c>
      <c r="G14305" s="18">
        <v>2465050.4700000002</v>
      </c>
      <c r="H14305" s="27">
        <f t="shared" si="446"/>
        <v>2465050.4700000002</v>
      </c>
      <c r="I14305" s="18">
        <v>2416877.2599999998</v>
      </c>
      <c r="J14305" s="27">
        <v>2465050.4700000002</v>
      </c>
      <c r="K14305" s="18">
        <f t="shared" si="447"/>
        <v>2465050.4700000002</v>
      </c>
      <c r="L14305" s="27">
        <v>2341797.9500000002</v>
      </c>
      <c r="M14305" s="36">
        <v>-75079.31</v>
      </c>
      <c r="T14305" s="41">
        <v>0</v>
      </c>
      <c r="U14305" s="41">
        <v>0</v>
      </c>
      <c r="V14305" s="42" t="s">
        <v>113</v>
      </c>
      <c r="W14305" s="42">
        <v>2465050.4700000002</v>
      </c>
      <c r="X14305" s="42">
        <v>2465050.4700000002</v>
      </c>
    </row>
    <row r="14306" spans="1:24">
      <c r="A14306" s="27" t="s">
        <v>25596</v>
      </c>
      <c r="B14306" s="28" t="s">
        <v>25316</v>
      </c>
      <c r="C14306" s="27" t="s">
        <v>25351</v>
      </c>
      <c r="D14306" s="27" t="s">
        <v>17558</v>
      </c>
      <c r="E14306" s="29">
        <v>33969</v>
      </c>
      <c r="F14306" s="27">
        <v>20</v>
      </c>
      <c r="G14306" s="18">
        <v>201326.58</v>
      </c>
      <c r="H14306" s="27">
        <f t="shared" si="446"/>
        <v>201326.58</v>
      </c>
      <c r="I14306" s="18">
        <v>191260.25</v>
      </c>
      <c r="J14306" s="27">
        <v>201326.58</v>
      </c>
      <c r="K14306" s="18">
        <f t="shared" si="447"/>
        <v>201326.58</v>
      </c>
      <c r="L14306" s="27">
        <v>191260.25</v>
      </c>
      <c r="M14306" s="36">
        <v>0</v>
      </c>
      <c r="T14306" s="41">
        <v>0</v>
      </c>
      <c r="U14306" s="41">
        <v>0</v>
      </c>
      <c r="V14306" s="42" t="s">
        <v>113</v>
      </c>
      <c r="W14306" s="42">
        <v>201326.58</v>
      </c>
      <c r="X14306" s="42">
        <v>201326.58</v>
      </c>
    </row>
    <row r="14307" spans="1:24">
      <c r="A14307" s="27" t="s">
        <v>25597</v>
      </c>
      <c r="B14307" s="28" t="s">
        <v>25316</v>
      </c>
      <c r="C14307" s="27" t="s">
        <v>25598</v>
      </c>
      <c r="D14307" s="27" t="s">
        <v>17558</v>
      </c>
      <c r="E14307" s="29">
        <v>33969</v>
      </c>
      <c r="F14307" s="27">
        <v>20</v>
      </c>
      <c r="G14307" s="18">
        <v>12262.05</v>
      </c>
      <c r="H14307" s="27">
        <f t="shared" si="446"/>
        <v>12262.05</v>
      </c>
      <c r="I14307" s="18">
        <v>11648.95</v>
      </c>
      <c r="J14307" s="27">
        <v>12262.05</v>
      </c>
      <c r="K14307" s="18">
        <f t="shared" si="447"/>
        <v>12262.05</v>
      </c>
      <c r="L14307" s="27">
        <v>11648.95</v>
      </c>
      <c r="M14307" s="36">
        <v>0</v>
      </c>
      <c r="T14307" s="41">
        <v>0</v>
      </c>
      <c r="U14307" s="41">
        <v>0</v>
      </c>
      <c r="V14307" s="42" t="s">
        <v>113</v>
      </c>
      <c r="W14307" s="42">
        <v>12262.05</v>
      </c>
      <c r="X14307" s="42">
        <v>12262.05</v>
      </c>
    </row>
    <row r="14308" spans="1:24">
      <c r="A14308" s="27" t="s">
        <v>25599</v>
      </c>
      <c r="B14308" s="28" t="s">
        <v>25316</v>
      </c>
      <c r="C14308" s="27" t="s">
        <v>25600</v>
      </c>
      <c r="D14308" s="27" t="s">
        <v>118</v>
      </c>
      <c r="E14308" s="29">
        <v>40771</v>
      </c>
      <c r="F14308" s="27">
        <v>20</v>
      </c>
      <c r="G14308" s="18">
        <v>175665.41</v>
      </c>
      <c r="H14308" s="27">
        <f t="shared" si="446"/>
        <v>0</v>
      </c>
      <c r="I14308" s="18">
        <v>138359.53</v>
      </c>
      <c r="J14308" s="27">
        <v>175665.41</v>
      </c>
      <c r="K14308" s="18">
        <f t="shared" si="447"/>
        <v>0</v>
      </c>
      <c r="L14308" s="27">
        <v>140611.32</v>
      </c>
      <c r="M14308" s="36">
        <v>2251.79</v>
      </c>
      <c r="T14308" s="41">
        <v>0</v>
      </c>
      <c r="U14308" s="41">
        <v>0</v>
      </c>
      <c r="V14308" s="42" t="s">
        <v>113</v>
      </c>
      <c r="W14308" s="42">
        <v>0</v>
      </c>
      <c r="X14308" s="42">
        <v>0</v>
      </c>
    </row>
    <row r="14309" spans="1:24">
      <c r="A14309" s="27" t="s">
        <v>25601</v>
      </c>
      <c r="B14309" s="28" t="s">
        <v>25316</v>
      </c>
      <c r="C14309" s="27" t="s">
        <v>25602</v>
      </c>
      <c r="D14309" s="27" t="s">
        <v>17558</v>
      </c>
      <c r="E14309" s="29">
        <v>41272</v>
      </c>
      <c r="F14309" s="27">
        <v>20</v>
      </c>
      <c r="G14309" s="18">
        <v>15824531.890000001</v>
      </c>
      <c r="H14309" s="27">
        <f t="shared" si="446"/>
        <v>15824531.890000001</v>
      </c>
      <c r="I14309" s="18">
        <v>15824531.890000001</v>
      </c>
      <c r="J14309" s="27">
        <v>15824531.890000001</v>
      </c>
      <c r="K14309" s="18">
        <f t="shared" si="447"/>
        <v>15824531.890000001</v>
      </c>
      <c r="L14309" s="27">
        <v>15033305.300000001</v>
      </c>
      <c r="M14309" s="36">
        <v>-791226.59</v>
      </c>
      <c r="T14309" s="41">
        <v>0</v>
      </c>
      <c r="U14309" s="41">
        <v>0</v>
      </c>
      <c r="V14309" s="42" t="s">
        <v>113</v>
      </c>
      <c r="W14309" s="42">
        <v>15824531.890000001</v>
      </c>
      <c r="X14309" s="42">
        <v>15824531.890000001</v>
      </c>
    </row>
    <row r="14310" spans="1:24">
      <c r="A14310" s="27" t="s">
        <v>25603</v>
      </c>
      <c r="B14310" s="28" t="s">
        <v>25316</v>
      </c>
      <c r="C14310" s="27" t="s">
        <v>25604</v>
      </c>
      <c r="D14310" s="27" t="s">
        <v>118</v>
      </c>
      <c r="E14310" s="29">
        <v>40771</v>
      </c>
      <c r="F14310" s="27">
        <v>20</v>
      </c>
      <c r="G14310" s="18">
        <v>175665.41</v>
      </c>
      <c r="H14310" s="27">
        <f t="shared" si="446"/>
        <v>0</v>
      </c>
      <c r="I14310" s="18">
        <v>138359.53</v>
      </c>
      <c r="J14310" s="27">
        <v>175665.41</v>
      </c>
      <c r="K14310" s="18">
        <f t="shared" si="447"/>
        <v>0</v>
      </c>
      <c r="L14310" s="27">
        <v>140611.32</v>
      </c>
      <c r="M14310" s="36">
        <v>2251.79</v>
      </c>
      <c r="T14310" s="41">
        <v>0</v>
      </c>
      <c r="U14310" s="41">
        <v>0</v>
      </c>
      <c r="V14310" s="42" t="s">
        <v>113</v>
      </c>
      <c r="W14310" s="42">
        <v>0</v>
      </c>
      <c r="X14310" s="42">
        <v>0</v>
      </c>
    </row>
    <row r="14311" spans="1:24">
      <c r="A14311" s="27" t="s">
        <v>25605</v>
      </c>
      <c r="B14311" s="28" t="s">
        <v>25316</v>
      </c>
      <c r="C14311" s="27" t="s">
        <v>25606</v>
      </c>
      <c r="D14311" s="27" t="s">
        <v>118</v>
      </c>
      <c r="E14311" s="29">
        <v>36372</v>
      </c>
      <c r="F14311" s="27">
        <v>20</v>
      </c>
      <c r="G14311" s="18">
        <v>36000</v>
      </c>
      <c r="H14311" s="27">
        <f t="shared" si="446"/>
        <v>36000</v>
      </c>
      <c r="I14311" s="18">
        <v>34786.870000000003</v>
      </c>
      <c r="J14311" s="27">
        <v>36000</v>
      </c>
      <c r="K14311" s="18">
        <f t="shared" si="447"/>
        <v>36000</v>
      </c>
      <c r="L14311" s="27">
        <v>34200</v>
      </c>
      <c r="M14311" s="36">
        <v>-586.87</v>
      </c>
      <c r="T14311" s="41">
        <v>0</v>
      </c>
      <c r="U14311" s="41">
        <v>0</v>
      </c>
      <c r="V14311" s="42" t="s">
        <v>113</v>
      </c>
      <c r="W14311" s="42">
        <v>36000</v>
      </c>
      <c r="X14311" s="42">
        <v>36000</v>
      </c>
    </row>
    <row r="14312" spans="1:24">
      <c r="A14312" s="27" t="s">
        <v>25607</v>
      </c>
      <c r="B14312" s="28" t="s">
        <v>25316</v>
      </c>
      <c r="C14312" s="27" t="s">
        <v>25406</v>
      </c>
      <c r="D14312" s="27" t="s">
        <v>17558</v>
      </c>
      <c r="E14312" s="29">
        <v>35643</v>
      </c>
      <c r="F14312" s="27">
        <v>20</v>
      </c>
      <c r="G14312" s="18">
        <v>13920</v>
      </c>
      <c r="H14312" s="27">
        <f t="shared" si="446"/>
        <v>13920</v>
      </c>
      <c r="I14312" s="18">
        <v>13224</v>
      </c>
      <c r="J14312" s="27">
        <v>13920</v>
      </c>
      <c r="K14312" s="18">
        <f t="shared" si="447"/>
        <v>13920</v>
      </c>
      <c r="L14312" s="27">
        <v>13224</v>
      </c>
      <c r="M14312" s="36">
        <v>0</v>
      </c>
      <c r="T14312" s="41">
        <v>0</v>
      </c>
      <c r="U14312" s="41">
        <v>0</v>
      </c>
      <c r="V14312" s="42" t="s">
        <v>113</v>
      </c>
      <c r="W14312" s="42">
        <v>13920</v>
      </c>
      <c r="X14312" s="42">
        <v>13920</v>
      </c>
    </row>
    <row r="14313" spans="1:24">
      <c r="A14313" s="27" t="s">
        <v>25608</v>
      </c>
      <c r="B14313" s="28" t="s">
        <v>25316</v>
      </c>
      <c r="C14313" s="27" t="s">
        <v>25609</v>
      </c>
      <c r="D14313" s="27" t="s">
        <v>17558</v>
      </c>
      <c r="E14313" s="29">
        <v>28550</v>
      </c>
      <c r="F14313" s="27">
        <v>20</v>
      </c>
      <c r="G14313" s="18">
        <v>77989.39</v>
      </c>
      <c r="H14313" s="27">
        <f t="shared" si="446"/>
        <v>77989.39</v>
      </c>
      <c r="I14313" s="18">
        <v>74089.919999999998</v>
      </c>
      <c r="J14313" s="27">
        <v>77989.39</v>
      </c>
      <c r="K14313" s="18">
        <f t="shared" si="447"/>
        <v>77989.39</v>
      </c>
      <c r="L14313" s="27">
        <v>74089.919999999998</v>
      </c>
      <c r="M14313" s="36">
        <v>0</v>
      </c>
      <c r="T14313" s="41">
        <v>0</v>
      </c>
      <c r="U14313" s="41">
        <v>0</v>
      </c>
      <c r="V14313" s="42" t="s">
        <v>113</v>
      </c>
      <c r="W14313" s="42">
        <v>77989.39</v>
      </c>
      <c r="X14313" s="42">
        <v>77989.39</v>
      </c>
    </row>
    <row r="14314" spans="1:24">
      <c r="A14314" s="27" t="s">
        <v>25610</v>
      </c>
      <c r="B14314" s="28" t="s">
        <v>25316</v>
      </c>
      <c r="C14314" s="27" t="s">
        <v>25611</v>
      </c>
      <c r="D14314" s="27" t="s">
        <v>17558</v>
      </c>
      <c r="E14314" s="29">
        <v>28550</v>
      </c>
      <c r="F14314" s="27">
        <v>20</v>
      </c>
      <c r="G14314" s="18">
        <v>45507.12</v>
      </c>
      <c r="H14314" s="27">
        <f t="shared" si="446"/>
        <v>45507.12</v>
      </c>
      <c r="I14314" s="18">
        <v>43231.76</v>
      </c>
      <c r="J14314" s="27">
        <v>45507.12</v>
      </c>
      <c r="K14314" s="18">
        <f t="shared" si="447"/>
        <v>45507.12</v>
      </c>
      <c r="L14314" s="27">
        <v>43231.76</v>
      </c>
      <c r="M14314" s="36">
        <v>0</v>
      </c>
      <c r="T14314" s="41">
        <v>0</v>
      </c>
      <c r="U14314" s="41">
        <v>0</v>
      </c>
      <c r="V14314" s="42" t="s">
        <v>113</v>
      </c>
      <c r="W14314" s="42">
        <v>45507.12</v>
      </c>
      <c r="X14314" s="42">
        <v>45507.12</v>
      </c>
    </row>
    <row r="14315" spans="1:24">
      <c r="A14315" s="27" t="s">
        <v>25612</v>
      </c>
      <c r="B14315" s="28" t="s">
        <v>25316</v>
      </c>
      <c r="C14315" s="27" t="s">
        <v>25613</v>
      </c>
      <c r="D14315" s="27" t="s">
        <v>112</v>
      </c>
      <c r="E14315" s="29">
        <v>35765</v>
      </c>
      <c r="F14315" s="27">
        <v>20</v>
      </c>
      <c r="G14315" s="18">
        <v>140855</v>
      </c>
      <c r="H14315" s="27">
        <f t="shared" si="446"/>
        <v>140855</v>
      </c>
      <c r="I14315" s="18">
        <v>137157.56</v>
      </c>
      <c r="J14315" s="27">
        <v>140855</v>
      </c>
      <c r="K14315" s="18">
        <f t="shared" si="447"/>
        <v>140855</v>
      </c>
      <c r="L14315" s="27">
        <v>133812.25</v>
      </c>
      <c r="M14315" s="36">
        <v>-3345.31</v>
      </c>
      <c r="T14315" s="41">
        <v>0</v>
      </c>
      <c r="U14315" s="41">
        <v>0</v>
      </c>
      <c r="V14315" s="42" t="s">
        <v>113</v>
      </c>
      <c r="W14315" s="42">
        <v>140855</v>
      </c>
      <c r="X14315" s="42">
        <v>140855</v>
      </c>
    </row>
    <row r="14316" spans="1:24">
      <c r="A14316" s="27" t="s">
        <v>25614</v>
      </c>
      <c r="B14316" s="28" t="s">
        <v>25316</v>
      </c>
      <c r="C14316" s="27" t="s">
        <v>25615</v>
      </c>
      <c r="D14316" s="27" t="s">
        <v>112</v>
      </c>
      <c r="E14316" s="29">
        <v>28672</v>
      </c>
      <c r="F14316" s="27">
        <v>20</v>
      </c>
      <c r="G14316" s="18">
        <v>959.27</v>
      </c>
      <c r="H14316" s="27">
        <f t="shared" si="446"/>
        <v>959.27</v>
      </c>
      <c r="I14316" s="18">
        <v>959.27</v>
      </c>
      <c r="J14316" s="27">
        <v>959.27</v>
      </c>
      <c r="K14316" s="18">
        <f t="shared" si="447"/>
        <v>959.27</v>
      </c>
      <c r="L14316" s="27">
        <v>959.27</v>
      </c>
      <c r="M14316" s="36">
        <v>0</v>
      </c>
      <c r="T14316" s="41">
        <v>0</v>
      </c>
      <c r="U14316" s="41">
        <v>0</v>
      </c>
      <c r="V14316" s="42" t="s">
        <v>113</v>
      </c>
      <c r="W14316" s="42">
        <v>959.27</v>
      </c>
      <c r="X14316" s="42">
        <v>959.27</v>
      </c>
    </row>
    <row r="14317" spans="1:24">
      <c r="A14317" s="27" t="s">
        <v>25616</v>
      </c>
      <c r="B14317" s="28" t="s">
        <v>25316</v>
      </c>
      <c r="C14317" s="27" t="s">
        <v>25617</v>
      </c>
      <c r="D14317" s="27" t="s">
        <v>112</v>
      </c>
      <c r="E14317" s="29">
        <v>32478</v>
      </c>
      <c r="F14317" s="27">
        <v>20</v>
      </c>
      <c r="G14317" s="18">
        <v>41734.300000000003</v>
      </c>
      <c r="H14317" s="27">
        <f t="shared" si="446"/>
        <v>41734.300000000003</v>
      </c>
      <c r="I14317" s="18">
        <v>39647.58</v>
      </c>
      <c r="J14317" s="27">
        <v>41734.300000000003</v>
      </c>
      <c r="K14317" s="18">
        <f t="shared" si="447"/>
        <v>41734.300000000003</v>
      </c>
      <c r="L14317" s="27">
        <v>39647.58</v>
      </c>
      <c r="M14317" s="36">
        <v>0</v>
      </c>
      <c r="T14317" s="41">
        <v>0</v>
      </c>
      <c r="U14317" s="41">
        <v>0</v>
      </c>
      <c r="V14317" s="42" t="s">
        <v>113</v>
      </c>
      <c r="W14317" s="42">
        <v>41734.300000000003</v>
      </c>
      <c r="X14317" s="42">
        <v>41734.300000000003</v>
      </c>
    </row>
    <row r="14318" spans="1:24">
      <c r="A14318" s="27" t="s">
        <v>25618</v>
      </c>
      <c r="B14318" s="28" t="s">
        <v>25316</v>
      </c>
      <c r="C14318" s="27" t="s">
        <v>25619</v>
      </c>
      <c r="D14318" s="27" t="s">
        <v>17558</v>
      </c>
      <c r="E14318" s="29">
        <v>41624</v>
      </c>
      <c r="F14318" s="27">
        <v>20</v>
      </c>
      <c r="G14318" s="18">
        <v>755797.92</v>
      </c>
      <c r="H14318" s="27">
        <f t="shared" si="446"/>
        <v>0</v>
      </c>
      <c r="I14318" s="18">
        <v>179502</v>
      </c>
      <c r="J14318" s="27">
        <v>755797.92</v>
      </c>
      <c r="K14318" s="18">
        <f t="shared" si="447"/>
        <v>0</v>
      </c>
      <c r="L14318" s="27">
        <v>215402.4</v>
      </c>
      <c r="M14318" s="36">
        <v>35900.400000000001</v>
      </c>
      <c r="T14318" s="41">
        <v>0</v>
      </c>
      <c r="U14318" s="41">
        <v>0</v>
      </c>
      <c r="V14318" s="42" t="s">
        <v>113</v>
      </c>
      <c r="W14318" s="42">
        <v>0</v>
      </c>
      <c r="X14318" s="42">
        <v>0</v>
      </c>
    </row>
    <row r="14319" spans="1:24">
      <c r="A14319" s="27" t="s">
        <v>25620</v>
      </c>
      <c r="B14319" s="28" t="s">
        <v>25316</v>
      </c>
      <c r="C14319" s="27" t="s">
        <v>25349</v>
      </c>
      <c r="D14319" s="27" t="s">
        <v>17558</v>
      </c>
      <c r="E14319" s="29">
        <v>35794</v>
      </c>
      <c r="F14319" s="27">
        <v>20</v>
      </c>
      <c r="G14319" s="18">
        <v>67176.14</v>
      </c>
      <c r="H14319" s="27">
        <f t="shared" si="446"/>
        <v>67176.14</v>
      </c>
      <c r="I14319" s="18">
        <v>63817.33</v>
      </c>
      <c r="J14319" s="27">
        <v>67176.14</v>
      </c>
      <c r="K14319" s="18">
        <f t="shared" si="447"/>
        <v>67176.14</v>
      </c>
      <c r="L14319" s="27">
        <v>63817.33</v>
      </c>
      <c r="M14319" s="36">
        <v>0</v>
      </c>
      <c r="T14319" s="41">
        <v>0</v>
      </c>
      <c r="U14319" s="41">
        <v>0</v>
      </c>
      <c r="V14319" s="42" t="s">
        <v>113</v>
      </c>
      <c r="W14319" s="42">
        <v>67176.14</v>
      </c>
      <c r="X14319" s="42">
        <v>67176.14</v>
      </c>
    </row>
    <row r="14320" spans="1:24">
      <c r="A14320" s="27" t="s">
        <v>25621</v>
      </c>
      <c r="B14320" s="28" t="s">
        <v>25316</v>
      </c>
      <c r="C14320" s="27" t="s">
        <v>25622</v>
      </c>
      <c r="D14320" s="27" t="s">
        <v>17558</v>
      </c>
      <c r="E14320" s="29">
        <v>35794</v>
      </c>
      <c r="F14320" s="27">
        <v>20</v>
      </c>
      <c r="G14320" s="18">
        <v>313920</v>
      </c>
      <c r="H14320" s="27">
        <f t="shared" si="446"/>
        <v>313920</v>
      </c>
      <c r="I14320" s="18">
        <v>298224</v>
      </c>
      <c r="J14320" s="27">
        <v>313920</v>
      </c>
      <c r="K14320" s="18">
        <f t="shared" si="447"/>
        <v>313920</v>
      </c>
      <c r="L14320" s="27">
        <v>298224</v>
      </c>
      <c r="M14320" s="36">
        <v>0</v>
      </c>
      <c r="T14320" s="41">
        <v>0</v>
      </c>
      <c r="U14320" s="41">
        <v>0</v>
      </c>
      <c r="V14320" s="42" t="s">
        <v>113</v>
      </c>
      <c r="W14320" s="42">
        <v>313920</v>
      </c>
      <c r="X14320" s="42">
        <v>313920</v>
      </c>
    </row>
    <row r="14321" spans="1:24">
      <c r="A14321" s="27" t="s">
        <v>25623</v>
      </c>
      <c r="B14321" s="28" t="s">
        <v>25316</v>
      </c>
      <c r="C14321" s="27" t="s">
        <v>25624</v>
      </c>
      <c r="D14321" s="27" t="s">
        <v>17558</v>
      </c>
      <c r="E14321" s="29">
        <v>35794</v>
      </c>
      <c r="F14321" s="27">
        <v>20</v>
      </c>
      <c r="G14321" s="18">
        <v>313920</v>
      </c>
      <c r="H14321" s="27">
        <f t="shared" si="446"/>
        <v>313920</v>
      </c>
      <c r="I14321" s="18">
        <v>298224</v>
      </c>
      <c r="J14321" s="27">
        <v>313920</v>
      </c>
      <c r="K14321" s="18">
        <f t="shared" si="447"/>
        <v>313920</v>
      </c>
      <c r="L14321" s="27">
        <v>298224</v>
      </c>
      <c r="M14321" s="36">
        <v>0</v>
      </c>
      <c r="T14321" s="41">
        <v>0</v>
      </c>
      <c r="U14321" s="41">
        <v>0</v>
      </c>
      <c r="V14321" s="42" t="s">
        <v>113</v>
      </c>
      <c r="W14321" s="42">
        <v>313920</v>
      </c>
      <c r="X14321" s="42">
        <v>313920</v>
      </c>
    </row>
    <row r="14322" spans="1:24">
      <c r="A14322" s="27" t="s">
        <v>25625</v>
      </c>
      <c r="B14322" s="28" t="s">
        <v>25316</v>
      </c>
      <c r="C14322" s="27" t="s">
        <v>25626</v>
      </c>
      <c r="D14322" s="27" t="s">
        <v>17558</v>
      </c>
      <c r="E14322" s="29">
        <v>39000</v>
      </c>
      <c r="F14322" s="27">
        <v>20</v>
      </c>
      <c r="G14322" s="18">
        <v>96589.5</v>
      </c>
      <c r="H14322" s="27">
        <f t="shared" si="446"/>
        <v>0</v>
      </c>
      <c r="I14322" s="18">
        <v>56388.160000000003</v>
      </c>
      <c r="J14322" s="27">
        <v>96589.5</v>
      </c>
      <c r="K14322" s="18">
        <f t="shared" si="447"/>
        <v>0</v>
      </c>
      <c r="L14322" s="27">
        <v>60903.72</v>
      </c>
      <c r="M14322" s="36">
        <v>4515.5600000000004</v>
      </c>
      <c r="T14322" s="41">
        <v>0</v>
      </c>
      <c r="U14322" s="41">
        <v>0</v>
      </c>
      <c r="V14322" s="42" t="s">
        <v>113</v>
      </c>
      <c r="W14322" s="42">
        <v>0</v>
      </c>
      <c r="X14322" s="42">
        <v>0</v>
      </c>
    </row>
    <row r="14323" spans="1:24">
      <c r="A14323" s="27" t="s">
        <v>25627</v>
      </c>
      <c r="B14323" s="28" t="s">
        <v>25316</v>
      </c>
      <c r="C14323" s="27" t="s">
        <v>25628</v>
      </c>
      <c r="D14323" s="27" t="s">
        <v>17558</v>
      </c>
      <c r="E14323" s="29">
        <v>32752</v>
      </c>
      <c r="F14323" s="27">
        <v>20</v>
      </c>
      <c r="G14323" s="18">
        <v>34560.22</v>
      </c>
      <c r="H14323" s="27">
        <f t="shared" si="446"/>
        <v>34560.22</v>
      </c>
      <c r="I14323" s="18">
        <v>32832.21</v>
      </c>
      <c r="J14323" s="27">
        <v>34560.22</v>
      </c>
      <c r="K14323" s="18">
        <f t="shared" si="447"/>
        <v>34560.22</v>
      </c>
      <c r="L14323" s="27">
        <v>32832.21</v>
      </c>
      <c r="M14323" s="36">
        <v>0</v>
      </c>
      <c r="T14323" s="41">
        <v>0</v>
      </c>
      <c r="U14323" s="41">
        <v>0</v>
      </c>
      <c r="V14323" s="42" t="s">
        <v>113</v>
      </c>
      <c r="W14323" s="42">
        <v>34560.22</v>
      </c>
      <c r="X14323" s="42">
        <v>34560.22</v>
      </c>
    </row>
    <row r="14324" spans="1:24">
      <c r="A14324" s="27" t="s">
        <v>25629</v>
      </c>
      <c r="B14324" s="28" t="s">
        <v>25316</v>
      </c>
      <c r="C14324" s="27" t="s">
        <v>25630</v>
      </c>
      <c r="D14324" s="27" t="s">
        <v>17558</v>
      </c>
      <c r="E14324" s="29">
        <v>32752</v>
      </c>
      <c r="F14324" s="27">
        <v>20</v>
      </c>
      <c r="G14324" s="18">
        <v>22742.25</v>
      </c>
      <c r="H14324" s="27">
        <f t="shared" si="446"/>
        <v>22742.25</v>
      </c>
      <c r="I14324" s="18">
        <v>21605.14</v>
      </c>
      <c r="J14324" s="27">
        <v>22742.25</v>
      </c>
      <c r="K14324" s="18">
        <f t="shared" si="447"/>
        <v>22742.25</v>
      </c>
      <c r="L14324" s="27">
        <v>21605.14</v>
      </c>
      <c r="M14324" s="36">
        <v>0</v>
      </c>
      <c r="T14324" s="41">
        <v>0</v>
      </c>
      <c r="U14324" s="41">
        <v>0</v>
      </c>
      <c r="V14324" s="42" t="s">
        <v>113</v>
      </c>
      <c r="W14324" s="42">
        <v>22742.25</v>
      </c>
      <c r="X14324" s="42">
        <v>22742.25</v>
      </c>
    </row>
    <row r="14325" spans="1:24">
      <c r="A14325" s="27" t="s">
        <v>25631</v>
      </c>
      <c r="B14325" s="28" t="s">
        <v>25316</v>
      </c>
      <c r="C14325" s="27" t="s">
        <v>25632</v>
      </c>
      <c r="D14325" s="27" t="s">
        <v>17558</v>
      </c>
      <c r="E14325" s="29">
        <v>32752</v>
      </c>
      <c r="F14325" s="27">
        <v>20</v>
      </c>
      <c r="G14325" s="18">
        <v>25083.88</v>
      </c>
      <c r="H14325" s="27">
        <f t="shared" si="446"/>
        <v>25083.88</v>
      </c>
      <c r="I14325" s="18">
        <v>23829.69</v>
      </c>
      <c r="J14325" s="27">
        <v>25083.88</v>
      </c>
      <c r="K14325" s="18">
        <f t="shared" si="447"/>
        <v>25083.88</v>
      </c>
      <c r="L14325" s="27">
        <v>23829.69</v>
      </c>
      <c r="M14325" s="36">
        <v>0</v>
      </c>
      <c r="T14325" s="41">
        <v>0</v>
      </c>
      <c r="U14325" s="41">
        <v>0</v>
      </c>
      <c r="V14325" s="42" t="s">
        <v>113</v>
      </c>
      <c r="W14325" s="42">
        <v>25083.88</v>
      </c>
      <c r="X14325" s="42">
        <v>25083.88</v>
      </c>
    </row>
    <row r="14326" spans="1:24">
      <c r="A14326" s="27" t="s">
        <v>25633</v>
      </c>
      <c r="B14326" s="28" t="s">
        <v>25316</v>
      </c>
      <c r="C14326" s="27" t="s">
        <v>25634</v>
      </c>
      <c r="D14326" s="27" t="s">
        <v>17558</v>
      </c>
      <c r="E14326" s="29">
        <v>32752</v>
      </c>
      <c r="F14326" s="27">
        <v>20</v>
      </c>
      <c r="G14326" s="18">
        <v>165482.15</v>
      </c>
      <c r="H14326" s="27">
        <f t="shared" si="446"/>
        <v>165482.15</v>
      </c>
      <c r="I14326" s="18">
        <v>157208.04</v>
      </c>
      <c r="J14326" s="27">
        <v>165482.15</v>
      </c>
      <c r="K14326" s="18">
        <f t="shared" si="447"/>
        <v>165482.15</v>
      </c>
      <c r="L14326" s="27">
        <v>157208.04</v>
      </c>
      <c r="M14326" s="36">
        <v>0</v>
      </c>
      <c r="T14326" s="41">
        <v>0</v>
      </c>
      <c r="U14326" s="41">
        <v>0</v>
      </c>
      <c r="V14326" s="42" t="s">
        <v>113</v>
      </c>
      <c r="W14326" s="42">
        <v>165482.15</v>
      </c>
      <c r="X14326" s="42">
        <v>165482.15</v>
      </c>
    </row>
    <row r="14327" spans="1:24">
      <c r="A14327" s="27" t="s">
        <v>25635</v>
      </c>
      <c r="B14327" s="28" t="s">
        <v>25316</v>
      </c>
      <c r="C14327" s="27" t="s">
        <v>25636</v>
      </c>
      <c r="D14327" s="27" t="s">
        <v>17558</v>
      </c>
      <c r="E14327" s="29">
        <v>33969</v>
      </c>
      <c r="F14327" s="27">
        <v>20</v>
      </c>
      <c r="G14327" s="18">
        <v>127786.95</v>
      </c>
      <c r="H14327" s="27">
        <f t="shared" si="446"/>
        <v>127786.95</v>
      </c>
      <c r="I14327" s="18">
        <v>121397.6</v>
      </c>
      <c r="J14327" s="27">
        <v>127786.95</v>
      </c>
      <c r="K14327" s="18">
        <f t="shared" si="447"/>
        <v>127786.95</v>
      </c>
      <c r="L14327" s="27">
        <v>121397.6</v>
      </c>
      <c r="M14327" s="36">
        <v>0</v>
      </c>
      <c r="T14327" s="41">
        <v>0</v>
      </c>
      <c r="U14327" s="41">
        <v>0</v>
      </c>
      <c r="V14327" s="42" t="s">
        <v>113</v>
      </c>
      <c r="W14327" s="42">
        <v>127786.95</v>
      </c>
      <c r="X14327" s="42">
        <v>127786.95</v>
      </c>
    </row>
    <row r="14328" spans="1:24">
      <c r="A14328" s="27" t="s">
        <v>25637</v>
      </c>
      <c r="B14328" s="28" t="s">
        <v>25316</v>
      </c>
      <c r="C14328" s="27" t="s">
        <v>25638</v>
      </c>
      <c r="D14328" s="27" t="s">
        <v>17558</v>
      </c>
      <c r="E14328" s="29">
        <v>33969</v>
      </c>
      <c r="F14328" s="27">
        <v>20</v>
      </c>
      <c r="G14328" s="18">
        <v>26556.78</v>
      </c>
      <c r="H14328" s="27">
        <f t="shared" si="446"/>
        <v>26556.78</v>
      </c>
      <c r="I14328" s="18">
        <v>25228.94</v>
      </c>
      <c r="J14328" s="27">
        <v>26556.78</v>
      </c>
      <c r="K14328" s="18">
        <f t="shared" si="447"/>
        <v>26556.78</v>
      </c>
      <c r="L14328" s="27">
        <v>25228.94</v>
      </c>
      <c r="M14328" s="36">
        <v>0</v>
      </c>
      <c r="T14328" s="41">
        <v>0</v>
      </c>
      <c r="U14328" s="41">
        <v>0</v>
      </c>
      <c r="V14328" s="42" t="s">
        <v>113</v>
      </c>
      <c r="W14328" s="42">
        <v>26556.78</v>
      </c>
      <c r="X14328" s="42">
        <v>26556.78</v>
      </c>
    </row>
    <row r="14329" spans="1:24">
      <c r="A14329" s="27" t="s">
        <v>25639</v>
      </c>
      <c r="B14329" s="28" t="s">
        <v>25316</v>
      </c>
      <c r="C14329" s="27" t="s">
        <v>25638</v>
      </c>
      <c r="D14329" s="27" t="s">
        <v>17558</v>
      </c>
      <c r="E14329" s="29">
        <v>33969</v>
      </c>
      <c r="F14329" s="27">
        <v>20</v>
      </c>
      <c r="G14329" s="18">
        <v>108041.81</v>
      </c>
      <c r="H14329" s="27">
        <f t="shared" si="446"/>
        <v>108041.81</v>
      </c>
      <c r="I14329" s="18">
        <v>102639.72</v>
      </c>
      <c r="J14329" s="27">
        <v>108041.81</v>
      </c>
      <c r="K14329" s="18">
        <f t="shared" si="447"/>
        <v>108041.81</v>
      </c>
      <c r="L14329" s="27">
        <v>102639.72</v>
      </c>
      <c r="M14329" s="36">
        <v>0</v>
      </c>
      <c r="T14329" s="41">
        <v>0</v>
      </c>
      <c r="U14329" s="41">
        <v>0</v>
      </c>
      <c r="V14329" s="42" t="s">
        <v>113</v>
      </c>
      <c r="W14329" s="42">
        <v>108041.81</v>
      </c>
      <c r="X14329" s="42">
        <v>108041.81</v>
      </c>
    </row>
    <row r="14330" spans="1:24">
      <c r="A14330" s="27" t="s">
        <v>25640</v>
      </c>
      <c r="B14330" s="28" t="s">
        <v>25316</v>
      </c>
      <c r="C14330" s="27" t="s">
        <v>25641</v>
      </c>
      <c r="D14330" s="27" t="s">
        <v>17558</v>
      </c>
      <c r="E14330" s="29">
        <v>43235</v>
      </c>
      <c r="F14330" s="27">
        <v>20</v>
      </c>
      <c r="G14330" s="18">
        <v>1919050.7</v>
      </c>
      <c r="H14330" s="27">
        <f t="shared" si="446"/>
        <v>0</v>
      </c>
      <c r="I14330" s="18">
        <v>53173.7</v>
      </c>
      <c r="J14330" s="27">
        <v>1919050.7</v>
      </c>
      <c r="K14330" s="18">
        <f t="shared" si="447"/>
        <v>0</v>
      </c>
      <c r="L14330" s="27">
        <v>144328.60999999999</v>
      </c>
      <c r="M14330" s="36">
        <v>91154.91</v>
      </c>
      <c r="T14330" s="41">
        <v>0</v>
      </c>
      <c r="U14330" s="41">
        <v>0</v>
      </c>
      <c r="V14330" s="42" t="s">
        <v>113</v>
      </c>
      <c r="W14330" s="42">
        <v>0</v>
      </c>
      <c r="X14330" s="42">
        <v>0</v>
      </c>
    </row>
    <row r="14331" spans="1:24">
      <c r="A14331" s="27" t="s">
        <v>25642</v>
      </c>
      <c r="B14331" s="28" t="s">
        <v>25643</v>
      </c>
      <c r="C14331" s="27" t="s">
        <v>25644</v>
      </c>
      <c r="D14331" s="27" t="s">
        <v>17558</v>
      </c>
      <c r="E14331" s="29">
        <v>35795</v>
      </c>
      <c r="F14331" s="27">
        <v>30</v>
      </c>
      <c r="G14331" s="18">
        <v>309795.7</v>
      </c>
      <c r="H14331" s="27">
        <f t="shared" si="446"/>
        <v>0</v>
      </c>
      <c r="I14331" s="18">
        <v>193932.12</v>
      </c>
      <c r="J14331" s="27">
        <v>309795.7</v>
      </c>
      <c r="K14331" s="18">
        <f t="shared" si="447"/>
        <v>0</v>
      </c>
      <c r="L14331" s="27">
        <v>205084.76</v>
      </c>
      <c r="M14331" s="36">
        <v>11152.64</v>
      </c>
      <c r="T14331" s="41">
        <v>0</v>
      </c>
      <c r="U14331" s="41">
        <v>0</v>
      </c>
      <c r="V14331" s="42" t="s">
        <v>113</v>
      </c>
      <c r="W14331" s="42">
        <v>0</v>
      </c>
      <c r="X14331" s="42">
        <v>0</v>
      </c>
    </row>
    <row r="14332" spans="1:24">
      <c r="A14332" s="27" t="s">
        <v>25645</v>
      </c>
      <c r="B14332" s="28" t="s">
        <v>25643</v>
      </c>
      <c r="C14332" s="27" t="s">
        <v>25646</v>
      </c>
      <c r="D14332" s="27" t="s">
        <v>17558</v>
      </c>
      <c r="E14332" s="29">
        <v>35795</v>
      </c>
      <c r="F14332" s="27">
        <v>30</v>
      </c>
      <c r="G14332" s="18">
        <v>628174.26</v>
      </c>
      <c r="H14332" s="27">
        <f t="shared" si="446"/>
        <v>0</v>
      </c>
      <c r="I14332" s="18">
        <v>298564.55</v>
      </c>
      <c r="J14332" s="27">
        <v>628174.26</v>
      </c>
      <c r="K14332" s="18">
        <f t="shared" si="447"/>
        <v>0</v>
      </c>
      <c r="L14332" s="27">
        <v>331697.99</v>
      </c>
      <c r="M14332" s="36">
        <v>33133.440000000002</v>
      </c>
      <c r="T14332" s="41">
        <v>0</v>
      </c>
      <c r="U14332" s="41">
        <v>0</v>
      </c>
      <c r="V14332" s="42" t="s">
        <v>113</v>
      </c>
      <c r="W14332" s="42">
        <v>0</v>
      </c>
      <c r="X14332" s="42">
        <v>0</v>
      </c>
    </row>
    <row r="14333" spans="1:24">
      <c r="A14333" s="27" t="s">
        <v>25647</v>
      </c>
      <c r="B14333" s="28" t="s">
        <v>25643</v>
      </c>
      <c r="C14333" s="27" t="s">
        <v>25648</v>
      </c>
      <c r="D14333" s="27" t="s">
        <v>17558</v>
      </c>
      <c r="E14333" s="29">
        <v>35795</v>
      </c>
      <c r="F14333" s="27">
        <v>30</v>
      </c>
      <c r="G14333" s="18">
        <v>1657540.72</v>
      </c>
      <c r="H14333" s="27">
        <f t="shared" si="446"/>
        <v>0</v>
      </c>
      <c r="I14333" s="18">
        <v>1102544.78</v>
      </c>
      <c r="J14333" s="27">
        <v>1657540.72</v>
      </c>
      <c r="K14333" s="18">
        <f t="shared" si="447"/>
        <v>0</v>
      </c>
      <c r="L14333" s="27">
        <v>1155002.44</v>
      </c>
      <c r="M14333" s="36">
        <v>52457.66</v>
      </c>
      <c r="T14333" s="41">
        <v>0</v>
      </c>
      <c r="U14333" s="41">
        <v>0</v>
      </c>
      <c r="V14333" s="42" t="s">
        <v>113</v>
      </c>
      <c r="W14333" s="42">
        <v>0</v>
      </c>
      <c r="X14333" s="42">
        <v>0</v>
      </c>
    </row>
    <row r="14334" spans="1:24">
      <c r="A14334" s="27" t="s">
        <v>25649</v>
      </c>
      <c r="B14334" s="28" t="s">
        <v>25643</v>
      </c>
      <c r="C14334" s="27" t="s">
        <v>25650</v>
      </c>
      <c r="D14334" s="27" t="s">
        <v>17558</v>
      </c>
      <c r="E14334" s="29">
        <v>35795</v>
      </c>
      <c r="F14334" s="27">
        <v>30</v>
      </c>
      <c r="G14334" s="18">
        <v>325074.59999999998</v>
      </c>
      <c r="H14334" s="27">
        <f t="shared" si="446"/>
        <v>0</v>
      </c>
      <c r="I14334" s="18">
        <v>211023.88</v>
      </c>
      <c r="J14334" s="27">
        <v>325074.59999999998</v>
      </c>
      <c r="K14334" s="18">
        <f t="shared" si="447"/>
        <v>0</v>
      </c>
      <c r="L14334" s="27">
        <v>221890.21</v>
      </c>
      <c r="M14334" s="36">
        <v>10866.33</v>
      </c>
      <c r="T14334" s="41">
        <v>0</v>
      </c>
      <c r="U14334" s="41">
        <v>0</v>
      </c>
      <c r="V14334" s="42" t="s">
        <v>113</v>
      </c>
      <c r="W14334" s="42">
        <v>0</v>
      </c>
      <c r="X14334" s="42">
        <v>0</v>
      </c>
    </row>
    <row r="14335" spans="1:24">
      <c r="A14335" s="27" t="s">
        <v>25651</v>
      </c>
      <c r="B14335" s="28" t="s">
        <v>25643</v>
      </c>
      <c r="C14335" s="27" t="s">
        <v>25652</v>
      </c>
      <c r="D14335" s="27" t="s">
        <v>17558</v>
      </c>
      <c r="E14335" s="29">
        <v>35795</v>
      </c>
      <c r="F14335" s="27">
        <v>30</v>
      </c>
      <c r="G14335" s="18">
        <v>309795.65000000002</v>
      </c>
      <c r="H14335" s="27">
        <f t="shared" si="446"/>
        <v>0</v>
      </c>
      <c r="I14335" s="18">
        <v>207858.52</v>
      </c>
      <c r="J14335" s="27">
        <v>309795.65000000002</v>
      </c>
      <c r="K14335" s="18">
        <f t="shared" si="447"/>
        <v>0</v>
      </c>
      <c r="L14335" s="27">
        <v>217463.78</v>
      </c>
      <c r="M14335" s="36">
        <v>9605.26</v>
      </c>
      <c r="T14335" s="41">
        <v>0</v>
      </c>
      <c r="U14335" s="41">
        <v>0</v>
      </c>
      <c r="V14335" s="42" t="s">
        <v>113</v>
      </c>
      <c r="W14335" s="42">
        <v>0</v>
      </c>
      <c r="X14335" s="42">
        <v>0</v>
      </c>
    </row>
    <row r="14336" spans="1:24">
      <c r="A14336" s="27" t="s">
        <v>25653</v>
      </c>
      <c r="B14336" s="28" t="s">
        <v>25643</v>
      </c>
      <c r="C14336" s="27" t="s">
        <v>25654</v>
      </c>
      <c r="D14336" s="27" t="s">
        <v>17558</v>
      </c>
      <c r="E14336" s="29">
        <v>35795</v>
      </c>
      <c r="F14336" s="27">
        <v>30</v>
      </c>
      <c r="G14336" s="18">
        <v>309795.65000000002</v>
      </c>
      <c r="H14336" s="27">
        <f t="shared" si="446"/>
        <v>0</v>
      </c>
      <c r="I14336" s="18">
        <v>207858.52</v>
      </c>
      <c r="J14336" s="27">
        <v>309795.65000000002</v>
      </c>
      <c r="K14336" s="18">
        <f t="shared" si="447"/>
        <v>0</v>
      </c>
      <c r="L14336" s="27">
        <v>217463.78</v>
      </c>
      <c r="M14336" s="36">
        <v>9605.26</v>
      </c>
      <c r="T14336" s="41">
        <v>0</v>
      </c>
      <c r="U14336" s="41">
        <v>0</v>
      </c>
      <c r="V14336" s="42" t="s">
        <v>113</v>
      </c>
      <c r="W14336" s="42">
        <v>0</v>
      </c>
      <c r="X14336" s="42">
        <v>0</v>
      </c>
    </row>
    <row r="14337" spans="1:24">
      <c r="A14337" s="27" t="s">
        <v>25655</v>
      </c>
      <c r="B14337" s="28" t="s">
        <v>25643</v>
      </c>
      <c r="C14337" s="27" t="s">
        <v>25656</v>
      </c>
      <c r="D14337" s="27" t="s">
        <v>17558</v>
      </c>
      <c r="E14337" s="29">
        <v>35795</v>
      </c>
      <c r="F14337" s="27">
        <v>30</v>
      </c>
      <c r="G14337" s="18">
        <v>309795.65000000002</v>
      </c>
      <c r="H14337" s="27">
        <f t="shared" si="446"/>
        <v>0</v>
      </c>
      <c r="I14337" s="18">
        <v>207858.52</v>
      </c>
      <c r="J14337" s="27">
        <v>309795.65000000002</v>
      </c>
      <c r="K14337" s="18">
        <f t="shared" si="447"/>
        <v>0</v>
      </c>
      <c r="L14337" s="27">
        <v>217463.78</v>
      </c>
      <c r="M14337" s="36">
        <v>9605.26</v>
      </c>
      <c r="T14337" s="41">
        <v>0</v>
      </c>
      <c r="U14337" s="41">
        <v>0</v>
      </c>
      <c r="V14337" s="42" t="s">
        <v>113</v>
      </c>
      <c r="W14337" s="42">
        <v>0</v>
      </c>
      <c r="X14337" s="42">
        <v>0</v>
      </c>
    </row>
    <row r="14338" spans="1:24">
      <c r="A14338" s="27" t="s">
        <v>25657</v>
      </c>
      <c r="B14338" s="28" t="s">
        <v>25643</v>
      </c>
      <c r="C14338" s="27" t="s">
        <v>25658</v>
      </c>
      <c r="D14338" s="27" t="s">
        <v>17558</v>
      </c>
      <c r="E14338" s="29">
        <v>35795</v>
      </c>
      <c r="F14338" s="27">
        <v>30</v>
      </c>
      <c r="G14338" s="18">
        <v>309795.65000000002</v>
      </c>
      <c r="H14338" s="27">
        <f t="shared" si="446"/>
        <v>0</v>
      </c>
      <c r="I14338" s="18">
        <v>207858.52</v>
      </c>
      <c r="J14338" s="27">
        <v>309795.65000000002</v>
      </c>
      <c r="K14338" s="18">
        <f t="shared" si="447"/>
        <v>0</v>
      </c>
      <c r="L14338" s="27">
        <v>217463.78</v>
      </c>
      <c r="M14338" s="36">
        <v>9605.26</v>
      </c>
      <c r="T14338" s="41">
        <v>0</v>
      </c>
      <c r="U14338" s="41">
        <v>0</v>
      </c>
      <c r="V14338" s="42" t="s">
        <v>113</v>
      </c>
      <c r="W14338" s="42">
        <v>0</v>
      </c>
      <c r="X14338" s="42">
        <v>0</v>
      </c>
    </row>
    <row r="14339" spans="1:24">
      <c r="A14339" s="27" t="s">
        <v>25659</v>
      </c>
      <c r="B14339" s="28" t="s">
        <v>25643</v>
      </c>
      <c r="C14339" s="27" t="s">
        <v>25660</v>
      </c>
      <c r="D14339" s="27" t="s">
        <v>17558</v>
      </c>
      <c r="E14339" s="29">
        <v>35795</v>
      </c>
      <c r="F14339" s="27">
        <v>30</v>
      </c>
      <c r="G14339" s="18">
        <v>309795.65000000002</v>
      </c>
      <c r="H14339" s="27">
        <f t="shared" si="446"/>
        <v>0</v>
      </c>
      <c r="I14339" s="18">
        <v>207858.52</v>
      </c>
      <c r="J14339" s="27">
        <v>309795.65000000002</v>
      </c>
      <c r="K14339" s="18">
        <f t="shared" si="447"/>
        <v>0</v>
      </c>
      <c r="L14339" s="27">
        <v>217463.78</v>
      </c>
      <c r="M14339" s="36">
        <v>9605.26</v>
      </c>
      <c r="T14339" s="41">
        <v>0</v>
      </c>
      <c r="U14339" s="41">
        <v>0</v>
      </c>
      <c r="V14339" s="42" t="s">
        <v>113</v>
      </c>
      <c r="W14339" s="42">
        <v>0</v>
      </c>
      <c r="X14339" s="42">
        <v>0</v>
      </c>
    </row>
    <row r="14340" spans="1:24">
      <c r="A14340" s="27" t="s">
        <v>25661</v>
      </c>
      <c r="B14340" s="28" t="s">
        <v>25643</v>
      </c>
      <c r="C14340" s="27" t="s">
        <v>25662</v>
      </c>
      <c r="D14340" s="27" t="s">
        <v>17558</v>
      </c>
      <c r="E14340" s="29">
        <v>35795</v>
      </c>
      <c r="F14340" s="27">
        <v>30</v>
      </c>
      <c r="G14340" s="18">
        <v>309795.65000000002</v>
      </c>
      <c r="H14340" s="27">
        <f t="shared" si="446"/>
        <v>0</v>
      </c>
      <c r="I14340" s="18">
        <v>207858.51</v>
      </c>
      <c r="J14340" s="27">
        <v>309795.65000000002</v>
      </c>
      <c r="K14340" s="18">
        <f t="shared" si="447"/>
        <v>0</v>
      </c>
      <c r="L14340" s="27">
        <v>217463.77</v>
      </c>
      <c r="M14340" s="36">
        <v>9605.26</v>
      </c>
      <c r="T14340" s="41">
        <v>0</v>
      </c>
      <c r="U14340" s="41">
        <v>0</v>
      </c>
      <c r="V14340" s="42" t="s">
        <v>113</v>
      </c>
      <c r="W14340" s="42">
        <v>0</v>
      </c>
      <c r="X14340" s="42">
        <v>0</v>
      </c>
    </row>
    <row r="14341" spans="1:24">
      <c r="A14341" s="27" t="s">
        <v>25663</v>
      </c>
      <c r="B14341" s="28" t="s">
        <v>25643</v>
      </c>
      <c r="C14341" s="27" t="s">
        <v>25664</v>
      </c>
      <c r="D14341" s="27" t="s">
        <v>17558</v>
      </c>
      <c r="E14341" s="29">
        <v>35795</v>
      </c>
      <c r="F14341" s="27">
        <v>30</v>
      </c>
      <c r="G14341" s="18">
        <v>309795.65000000002</v>
      </c>
      <c r="H14341" s="27">
        <f t="shared" si="446"/>
        <v>0</v>
      </c>
      <c r="I14341" s="18">
        <v>207858.52</v>
      </c>
      <c r="J14341" s="27">
        <v>309795.65000000002</v>
      </c>
      <c r="K14341" s="18">
        <f t="shared" si="447"/>
        <v>0</v>
      </c>
      <c r="L14341" s="27">
        <v>217463.78</v>
      </c>
      <c r="M14341" s="36">
        <v>9605.26</v>
      </c>
      <c r="T14341" s="41">
        <v>0</v>
      </c>
      <c r="U14341" s="41">
        <v>0</v>
      </c>
      <c r="V14341" s="42" t="s">
        <v>113</v>
      </c>
      <c r="W14341" s="42">
        <v>0</v>
      </c>
      <c r="X14341" s="42">
        <v>0</v>
      </c>
    </row>
    <row r="14342" spans="1:24">
      <c r="A14342" s="27" t="s">
        <v>25665</v>
      </c>
      <c r="B14342" s="28" t="s">
        <v>25643</v>
      </c>
      <c r="C14342" s="27" t="s">
        <v>25666</v>
      </c>
      <c r="D14342" s="27" t="s">
        <v>17558</v>
      </c>
      <c r="E14342" s="29">
        <v>35795</v>
      </c>
      <c r="F14342" s="27">
        <v>30</v>
      </c>
      <c r="G14342" s="18">
        <v>309795.65000000002</v>
      </c>
      <c r="H14342" s="27">
        <f t="shared" ref="H14342:H14405" si="448">IFERROR(IF(ROUND((G14342-I14342)/G14342,2)&lt;=0.05,G14342,0),0)</f>
        <v>0</v>
      </c>
      <c r="I14342" s="18">
        <v>207858.51</v>
      </c>
      <c r="J14342" s="27">
        <v>309795.65000000002</v>
      </c>
      <c r="K14342" s="18">
        <f t="shared" ref="K14342:K14405" si="449">IFERROR(IF(ROUND((J14342-L14342)/J14342,2)&lt;=0.05,J14342,0),0)</f>
        <v>0</v>
      </c>
      <c r="L14342" s="27">
        <v>217463.77</v>
      </c>
      <c r="M14342" s="36">
        <v>9605.26</v>
      </c>
      <c r="T14342" s="41">
        <v>0</v>
      </c>
      <c r="U14342" s="41">
        <v>0</v>
      </c>
      <c r="V14342" s="42" t="s">
        <v>113</v>
      </c>
      <c r="W14342" s="42">
        <v>0</v>
      </c>
      <c r="X14342" s="42">
        <v>0</v>
      </c>
    </row>
    <row r="14343" spans="1:24">
      <c r="A14343" s="27" t="s">
        <v>25667</v>
      </c>
      <c r="B14343" s="28" t="s">
        <v>25643</v>
      </c>
      <c r="C14343" s="27" t="s">
        <v>25668</v>
      </c>
      <c r="D14343" s="27" t="s">
        <v>17558</v>
      </c>
      <c r="E14343" s="29">
        <v>35795</v>
      </c>
      <c r="F14343" s="27">
        <v>30</v>
      </c>
      <c r="G14343" s="18">
        <v>309795.65000000002</v>
      </c>
      <c r="H14343" s="27">
        <f t="shared" si="448"/>
        <v>0</v>
      </c>
      <c r="I14343" s="18">
        <v>207858.52</v>
      </c>
      <c r="J14343" s="27">
        <v>309795.65000000002</v>
      </c>
      <c r="K14343" s="18">
        <f t="shared" si="449"/>
        <v>0</v>
      </c>
      <c r="L14343" s="27">
        <v>217463.78</v>
      </c>
      <c r="M14343" s="36">
        <v>9605.26</v>
      </c>
      <c r="T14343" s="41">
        <v>0</v>
      </c>
      <c r="U14343" s="41">
        <v>0</v>
      </c>
      <c r="V14343" s="42" t="s">
        <v>113</v>
      </c>
      <c r="W14343" s="42">
        <v>0</v>
      </c>
      <c r="X14343" s="42">
        <v>0</v>
      </c>
    </row>
    <row r="14344" spans="1:24">
      <c r="A14344" s="27" t="s">
        <v>25669</v>
      </c>
      <c r="B14344" s="28" t="s">
        <v>25643</v>
      </c>
      <c r="C14344" s="27" t="s">
        <v>25670</v>
      </c>
      <c r="D14344" s="27" t="s">
        <v>17558</v>
      </c>
      <c r="E14344" s="29">
        <v>35795</v>
      </c>
      <c r="F14344" s="27">
        <v>30</v>
      </c>
      <c r="G14344" s="18">
        <v>309795.65000000002</v>
      </c>
      <c r="H14344" s="27">
        <f t="shared" si="448"/>
        <v>0</v>
      </c>
      <c r="I14344" s="18">
        <v>207858.51</v>
      </c>
      <c r="J14344" s="27">
        <v>309795.65000000002</v>
      </c>
      <c r="K14344" s="18">
        <f t="shared" si="449"/>
        <v>0</v>
      </c>
      <c r="L14344" s="27">
        <v>217463.77</v>
      </c>
      <c r="M14344" s="36">
        <v>9605.26</v>
      </c>
      <c r="T14344" s="41">
        <v>0</v>
      </c>
      <c r="U14344" s="41">
        <v>0</v>
      </c>
      <c r="V14344" s="42" t="s">
        <v>113</v>
      </c>
      <c r="W14344" s="42">
        <v>0</v>
      </c>
      <c r="X14344" s="42">
        <v>0</v>
      </c>
    </row>
    <row r="14345" spans="1:24">
      <c r="A14345" s="27" t="s">
        <v>25671</v>
      </c>
      <c r="B14345" s="28" t="s">
        <v>25643</v>
      </c>
      <c r="C14345" s="27" t="s">
        <v>25672</v>
      </c>
      <c r="D14345" s="27" t="s">
        <v>17558</v>
      </c>
      <c r="E14345" s="29">
        <v>35795</v>
      </c>
      <c r="F14345" s="27">
        <v>30</v>
      </c>
      <c r="G14345" s="18">
        <v>309795.65000000002</v>
      </c>
      <c r="H14345" s="27">
        <f t="shared" si="448"/>
        <v>0</v>
      </c>
      <c r="I14345" s="18">
        <v>207858.53</v>
      </c>
      <c r="J14345" s="27">
        <v>309795.65000000002</v>
      </c>
      <c r="K14345" s="18">
        <f t="shared" si="449"/>
        <v>0</v>
      </c>
      <c r="L14345" s="27">
        <v>217463.79</v>
      </c>
      <c r="M14345" s="36">
        <v>9605.26</v>
      </c>
      <c r="T14345" s="41">
        <v>0</v>
      </c>
      <c r="U14345" s="41">
        <v>0</v>
      </c>
      <c r="V14345" s="42" t="s">
        <v>113</v>
      </c>
      <c r="W14345" s="42">
        <v>0</v>
      </c>
      <c r="X14345" s="42">
        <v>0</v>
      </c>
    </row>
    <row r="14346" spans="1:24">
      <c r="A14346" s="27" t="s">
        <v>25673</v>
      </c>
      <c r="B14346" s="28" t="s">
        <v>25643</v>
      </c>
      <c r="C14346" s="27" t="s">
        <v>25674</v>
      </c>
      <c r="D14346" s="27" t="s">
        <v>17558</v>
      </c>
      <c r="E14346" s="29">
        <v>35795</v>
      </c>
      <c r="F14346" s="27">
        <v>30</v>
      </c>
      <c r="G14346" s="18">
        <v>309795.65000000002</v>
      </c>
      <c r="H14346" s="27">
        <f t="shared" si="448"/>
        <v>0</v>
      </c>
      <c r="I14346" s="18">
        <v>207858.51</v>
      </c>
      <c r="J14346" s="27">
        <v>309795.65000000002</v>
      </c>
      <c r="K14346" s="18">
        <f t="shared" si="449"/>
        <v>0</v>
      </c>
      <c r="L14346" s="27">
        <v>217463.77</v>
      </c>
      <c r="M14346" s="36">
        <v>9605.26</v>
      </c>
      <c r="T14346" s="41">
        <v>0</v>
      </c>
      <c r="U14346" s="41">
        <v>0</v>
      </c>
      <c r="V14346" s="42" t="s">
        <v>113</v>
      </c>
      <c r="W14346" s="42">
        <v>0</v>
      </c>
      <c r="X14346" s="42">
        <v>0</v>
      </c>
    </row>
    <row r="14347" spans="1:24">
      <c r="A14347" s="27" t="s">
        <v>25675</v>
      </c>
      <c r="B14347" s="28" t="s">
        <v>25643</v>
      </c>
      <c r="C14347" s="27" t="s">
        <v>25676</v>
      </c>
      <c r="D14347" s="27" t="s">
        <v>17558</v>
      </c>
      <c r="E14347" s="29">
        <v>35795</v>
      </c>
      <c r="F14347" s="27">
        <v>30</v>
      </c>
      <c r="G14347" s="18">
        <v>309795.65000000002</v>
      </c>
      <c r="H14347" s="27">
        <f t="shared" si="448"/>
        <v>0</v>
      </c>
      <c r="I14347" s="18">
        <v>207858.53</v>
      </c>
      <c r="J14347" s="27">
        <v>309795.65000000002</v>
      </c>
      <c r="K14347" s="18">
        <f t="shared" si="449"/>
        <v>0</v>
      </c>
      <c r="L14347" s="27">
        <v>217463.79</v>
      </c>
      <c r="M14347" s="36">
        <v>9605.26</v>
      </c>
      <c r="T14347" s="41">
        <v>0</v>
      </c>
      <c r="U14347" s="41">
        <v>0</v>
      </c>
      <c r="V14347" s="42" t="s">
        <v>113</v>
      </c>
      <c r="W14347" s="42">
        <v>0</v>
      </c>
      <c r="X14347" s="42">
        <v>0</v>
      </c>
    </row>
    <row r="14348" spans="1:24">
      <c r="A14348" s="27" t="s">
        <v>25677</v>
      </c>
      <c r="B14348" s="28" t="s">
        <v>25643</v>
      </c>
      <c r="C14348" s="27" t="s">
        <v>25678</v>
      </c>
      <c r="D14348" s="27" t="s">
        <v>17558</v>
      </c>
      <c r="E14348" s="29">
        <v>35795</v>
      </c>
      <c r="F14348" s="27">
        <v>30</v>
      </c>
      <c r="G14348" s="18">
        <v>309795.65000000002</v>
      </c>
      <c r="H14348" s="27">
        <f t="shared" si="448"/>
        <v>0</v>
      </c>
      <c r="I14348" s="18">
        <v>207858.51</v>
      </c>
      <c r="J14348" s="27">
        <v>309795.65000000002</v>
      </c>
      <c r="K14348" s="18">
        <f t="shared" si="449"/>
        <v>0</v>
      </c>
      <c r="L14348" s="27">
        <v>217463.77</v>
      </c>
      <c r="M14348" s="36">
        <v>9605.26</v>
      </c>
      <c r="T14348" s="41">
        <v>0</v>
      </c>
      <c r="U14348" s="41">
        <v>0</v>
      </c>
      <c r="V14348" s="42" t="s">
        <v>113</v>
      </c>
      <c r="W14348" s="42">
        <v>0</v>
      </c>
      <c r="X14348" s="42">
        <v>0</v>
      </c>
    </row>
    <row r="14349" spans="1:24">
      <c r="A14349" s="27" t="s">
        <v>25679</v>
      </c>
      <c r="B14349" s="28" t="s">
        <v>25643</v>
      </c>
      <c r="C14349" s="27" t="s">
        <v>25680</v>
      </c>
      <c r="D14349" s="27" t="s">
        <v>17558</v>
      </c>
      <c r="E14349" s="29">
        <v>35795</v>
      </c>
      <c r="F14349" s="27">
        <v>30</v>
      </c>
      <c r="G14349" s="18">
        <v>309795.65000000002</v>
      </c>
      <c r="H14349" s="27">
        <f t="shared" si="448"/>
        <v>0</v>
      </c>
      <c r="I14349" s="18">
        <v>207858.53</v>
      </c>
      <c r="J14349" s="27">
        <v>309795.65000000002</v>
      </c>
      <c r="K14349" s="18">
        <f t="shared" si="449"/>
        <v>0</v>
      </c>
      <c r="L14349" s="27">
        <v>217463.79</v>
      </c>
      <c r="M14349" s="36">
        <v>9605.26</v>
      </c>
      <c r="T14349" s="41">
        <v>0</v>
      </c>
      <c r="U14349" s="41">
        <v>0</v>
      </c>
      <c r="V14349" s="42" t="s">
        <v>113</v>
      </c>
      <c r="W14349" s="42">
        <v>0</v>
      </c>
      <c r="X14349" s="42">
        <v>0</v>
      </c>
    </row>
    <row r="14350" spans="1:24">
      <c r="A14350" s="27" t="s">
        <v>25681</v>
      </c>
      <c r="B14350" s="28" t="s">
        <v>25643</v>
      </c>
      <c r="C14350" s="27" t="s">
        <v>25682</v>
      </c>
      <c r="D14350" s="27" t="s">
        <v>17558</v>
      </c>
      <c r="E14350" s="29">
        <v>35795</v>
      </c>
      <c r="F14350" s="27">
        <v>30</v>
      </c>
      <c r="G14350" s="18">
        <v>309795.65000000002</v>
      </c>
      <c r="H14350" s="27">
        <f t="shared" si="448"/>
        <v>0</v>
      </c>
      <c r="I14350" s="18">
        <v>207858.51</v>
      </c>
      <c r="J14350" s="27">
        <v>309795.65000000002</v>
      </c>
      <c r="K14350" s="18">
        <f t="shared" si="449"/>
        <v>0</v>
      </c>
      <c r="L14350" s="27">
        <v>217463.77</v>
      </c>
      <c r="M14350" s="36">
        <v>9605.26</v>
      </c>
      <c r="T14350" s="41">
        <v>0</v>
      </c>
      <c r="U14350" s="41">
        <v>0</v>
      </c>
      <c r="V14350" s="42" t="s">
        <v>113</v>
      </c>
      <c r="W14350" s="42">
        <v>0</v>
      </c>
      <c r="X14350" s="42">
        <v>0</v>
      </c>
    </row>
    <row r="14351" spans="1:24">
      <c r="A14351" s="27" t="s">
        <v>25683</v>
      </c>
      <c r="B14351" s="28" t="s">
        <v>25643</v>
      </c>
      <c r="C14351" s="27" t="s">
        <v>25684</v>
      </c>
      <c r="D14351" s="27" t="s">
        <v>17558</v>
      </c>
      <c r="E14351" s="29">
        <v>35795</v>
      </c>
      <c r="F14351" s="27">
        <v>30</v>
      </c>
      <c r="G14351" s="18">
        <v>309795.65000000002</v>
      </c>
      <c r="H14351" s="27">
        <f t="shared" si="448"/>
        <v>0</v>
      </c>
      <c r="I14351" s="18">
        <v>207858.54</v>
      </c>
      <c r="J14351" s="27">
        <v>309795.65000000002</v>
      </c>
      <c r="K14351" s="18">
        <f t="shared" si="449"/>
        <v>0</v>
      </c>
      <c r="L14351" s="27">
        <v>217463.8</v>
      </c>
      <c r="M14351" s="36">
        <v>9605.26</v>
      </c>
      <c r="T14351" s="41">
        <v>0</v>
      </c>
      <c r="U14351" s="41">
        <v>0</v>
      </c>
      <c r="V14351" s="42" t="s">
        <v>113</v>
      </c>
      <c r="W14351" s="42">
        <v>0</v>
      </c>
      <c r="X14351" s="42">
        <v>0</v>
      </c>
    </row>
    <row r="14352" spans="1:24">
      <c r="A14352" s="27" t="s">
        <v>25685</v>
      </c>
      <c r="B14352" s="28" t="s">
        <v>25643</v>
      </c>
      <c r="C14352" s="27" t="s">
        <v>25686</v>
      </c>
      <c r="D14352" s="27" t="s">
        <v>17558</v>
      </c>
      <c r="E14352" s="29">
        <v>35795</v>
      </c>
      <c r="F14352" s="27">
        <v>30</v>
      </c>
      <c r="G14352" s="18">
        <v>1226563.3700000001</v>
      </c>
      <c r="H14352" s="27">
        <f t="shared" si="448"/>
        <v>0</v>
      </c>
      <c r="I14352" s="18">
        <v>817868.67</v>
      </c>
      <c r="J14352" s="27">
        <v>1226563.3700000001</v>
      </c>
      <c r="K14352" s="18">
        <f t="shared" si="449"/>
        <v>0</v>
      </c>
      <c r="L14352" s="27">
        <v>856464.95</v>
      </c>
      <c r="M14352" s="36">
        <v>38596.28</v>
      </c>
      <c r="T14352" s="41">
        <v>0</v>
      </c>
      <c r="U14352" s="41">
        <v>0</v>
      </c>
      <c r="V14352" s="42" t="s">
        <v>113</v>
      </c>
      <c r="W14352" s="42">
        <v>0</v>
      </c>
      <c r="X14352" s="42">
        <v>0</v>
      </c>
    </row>
    <row r="14353" spans="1:24">
      <c r="A14353" s="27" t="s">
        <v>25687</v>
      </c>
      <c r="B14353" s="28" t="s">
        <v>25643</v>
      </c>
      <c r="C14353" s="27" t="s">
        <v>25688</v>
      </c>
      <c r="D14353" s="27" t="s">
        <v>17558</v>
      </c>
      <c r="E14353" s="29">
        <v>35795</v>
      </c>
      <c r="F14353" s="27">
        <v>30</v>
      </c>
      <c r="G14353" s="18">
        <v>309795.65000000002</v>
      </c>
      <c r="H14353" s="27">
        <f t="shared" si="448"/>
        <v>0</v>
      </c>
      <c r="I14353" s="18">
        <v>207858.54</v>
      </c>
      <c r="J14353" s="27">
        <v>309795.65000000002</v>
      </c>
      <c r="K14353" s="18">
        <f t="shared" si="449"/>
        <v>0</v>
      </c>
      <c r="L14353" s="27">
        <v>217463.8</v>
      </c>
      <c r="M14353" s="36">
        <v>9605.26</v>
      </c>
      <c r="T14353" s="41">
        <v>0</v>
      </c>
      <c r="U14353" s="41">
        <v>0</v>
      </c>
      <c r="V14353" s="42" t="s">
        <v>113</v>
      </c>
      <c r="W14353" s="42">
        <v>0</v>
      </c>
      <c r="X14353" s="42">
        <v>0</v>
      </c>
    </row>
    <row r="14354" spans="1:24">
      <c r="A14354" s="27" t="s">
        <v>25689</v>
      </c>
      <c r="B14354" s="28" t="s">
        <v>25643</v>
      </c>
      <c r="C14354" s="27" t="s">
        <v>25690</v>
      </c>
      <c r="D14354" s="27" t="s">
        <v>17558</v>
      </c>
      <c r="E14354" s="29">
        <v>35795</v>
      </c>
      <c r="F14354" s="27">
        <v>30</v>
      </c>
      <c r="G14354" s="18">
        <v>309795.65000000002</v>
      </c>
      <c r="H14354" s="27">
        <f t="shared" si="448"/>
        <v>0</v>
      </c>
      <c r="I14354" s="18">
        <v>207858.51</v>
      </c>
      <c r="J14354" s="27">
        <v>309795.65000000002</v>
      </c>
      <c r="K14354" s="18">
        <f t="shared" si="449"/>
        <v>0</v>
      </c>
      <c r="L14354" s="27">
        <v>217463.77</v>
      </c>
      <c r="M14354" s="36">
        <v>9605.26</v>
      </c>
      <c r="T14354" s="41">
        <v>0</v>
      </c>
      <c r="U14354" s="41">
        <v>0</v>
      </c>
      <c r="V14354" s="42" t="s">
        <v>113</v>
      </c>
      <c r="W14354" s="42">
        <v>0</v>
      </c>
      <c r="X14354" s="42">
        <v>0</v>
      </c>
    </row>
    <row r="14355" spans="1:24">
      <c r="A14355" s="27" t="s">
        <v>25691</v>
      </c>
      <c r="B14355" s="28" t="s">
        <v>25643</v>
      </c>
      <c r="C14355" s="27" t="s">
        <v>25686</v>
      </c>
      <c r="D14355" s="27" t="s">
        <v>17558</v>
      </c>
      <c r="E14355" s="29">
        <v>35795</v>
      </c>
      <c r="F14355" s="27">
        <v>30</v>
      </c>
      <c r="G14355" s="18">
        <v>779212.37</v>
      </c>
      <c r="H14355" s="27">
        <f t="shared" si="448"/>
        <v>0</v>
      </c>
      <c r="I14355" s="18">
        <v>386065.17</v>
      </c>
      <c r="J14355" s="27">
        <v>779212.37</v>
      </c>
      <c r="K14355" s="18">
        <f t="shared" si="449"/>
        <v>0</v>
      </c>
      <c r="L14355" s="27">
        <v>425419.23</v>
      </c>
      <c r="M14355" s="36">
        <v>39354.06</v>
      </c>
      <c r="T14355" s="41">
        <v>0</v>
      </c>
      <c r="U14355" s="41">
        <v>0</v>
      </c>
      <c r="V14355" s="42" t="s">
        <v>113</v>
      </c>
      <c r="W14355" s="42">
        <v>0</v>
      </c>
      <c r="X14355" s="42">
        <v>0</v>
      </c>
    </row>
    <row r="14356" spans="1:24">
      <c r="A14356" s="27" t="s">
        <v>25692</v>
      </c>
      <c r="B14356" s="28" t="s">
        <v>25643</v>
      </c>
      <c r="C14356" s="27" t="s">
        <v>25693</v>
      </c>
      <c r="D14356" s="27" t="s">
        <v>17558</v>
      </c>
      <c r="E14356" s="29">
        <v>35795</v>
      </c>
      <c r="F14356" s="27">
        <v>30</v>
      </c>
      <c r="G14356" s="18">
        <v>309795.65000000002</v>
      </c>
      <c r="H14356" s="27">
        <f t="shared" si="448"/>
        <v>0</v>
      </c>
      <c r="I14356" s="18">
        <v>193932.07</v>
      </c>
      <c r="J14356" s="27">
        <v>309795.65000000002</v>
      </c>
      <c r="K14356" s="18">
        <f t="shared" si="449"/>
        <v>0</v>
      </c>
      <c r="L14356" s="27">
        <v>205084.71</v>
      </c>
      <c r="M14356" s="36">
        <v>11152.64</v>
      </c>
      <c r="T14356" s="41">
        <v>0</v>
      </c>
      <c r="U14356" s="41">
        <v>0</v>
      </c>
      <c r="V14356" s="42" t="s">
        <v>113</v>
      </c>
      <c r="W14356" s="42">
        <v>0</v>
      </c>
      <c r="X14356" s="42">
        <v>0</v>
      </c>
    </row>
    <row r="14357" spans="1:24">
      <c r="A14357" s="27" t="s">
        <v>25694</v>
      </c>
      <c r="B14357" s="28" t="s">
        <v>25643</v>
      </c>
      <c r="C14357" s="27" t="s">
        <v>25695</v>
      </c>
      <c r="D14357" s="27" t="s">
        <v>17558</v>
      </c>
      <c r="E14357" s="29">
        <v>35795</v>
      </c>
      <c r="F14357" s="27">
        <v>30</v>
      </c>
      <c r="G14357" s="18">
        <v>325074.59999999998</v>
      </c>
      <c r="H14357" s="27">
        <f t="shared" si="448"/>
        <v>0</v>
      </c>
      <c r="I14357" s="18">
        <v>211021.5</v>
      </c>
      <c r="J14357" s="27">
        <v>325074.59999999998</v>
      </c>
      <c r="K14357" s="18">
        <f t="shared" si="449"/>
        <v>0</v>
      </c>
      <c r="L14357" s="27">
        <v>221888.1</v>
      </c>
      <c r="M14357" s="36">
        <v>10866.6</v>
      </c>
      <c r="T14357" s="41">
        <v>0</v>
      </c>
      <c r="U14357" s="41">
        <v>0</v>
      </c>
      <c r="V14357" s="42" t="s">
        <v>113</v>
      </c>
      <c r="W14357" s="42">
        <v>0</v>
      </c>
      <c r="X14357" s="42">
        <v>0</v>
      </c>
    </row>
    <row r="14358" spans="1:24">
      <c r="A14358" s="27" t="s">
        <v>25696</v>
      </c>
      <c r="B14358" s="28" t="s">
        <v>25643</v>
      </c>
      <c r="C14358" s="27" t="s">
        <v>25682</v>
      </c>
      <c r="D14358" s="27" t="s">
        <v>17558</v>
      </c>
      <c r="E14358" s="29">
        <v>35795</v>
      </c>
      <c r="F14358" s="27">
        <v>30</v>
      </c>
      <c r="G14358" s="18">
        <v>325074.59999999998</v>
      </c>
      <c r="H14358" s="27">
        <f t="shared" si="448"/>
        <v>0</v>
      </c>
      <c r="I14358" s="18">
        <v>211021.49</v>
      </c>
      <c r="J14358" s="27">
        <v>325074.59999999998</v>
      </c>
      <c r="K14358" s="18">
        <f t="shared" si="449"/>
        <v>0</v>
      </c>
      <c r="L14358" s="27">
        <v>221888.09</v>
      </c>
      <c r="M14358" s="36">
        <v>10866.6</v>
      </c>
      <c r="T14358" s="41">
        <v>0</v>
      </c>
      <c r="U14358" s="41">
        <v>0</v>
      </c>
      <c r="V14358" s="42" t="s">
        <v>113</v>
      </c>
      <c r="W14358" s="42">
        <v>0</v>
      </c>
      <c r="X14358" s="42">
        <v>0</v>
      </c>
    </row>
    <row r="14359" spans="1:24">
      <c r="A14359" s="27" t="s">
        <v>25697</v>
      </c>
      <c r="B14359" s="28" t="s">
        <v>25643</v>
      </c>
      <c r="C14359" s="27" t="s">
        <v>25680</v>
      </c>
      <c r="D14359" s="27" t="s">
        <v>17558</v>
      </c>
      <c r="E14359" s="29">
        <v>35795</v>
      </c>
      <c r="F14359" s="27">
        <v>30</v>
      </c>
      <c r="G14359" s="18">
        <v>325074.59999999998</v>
      </c>
      <c r="H14359" s="27">
        <f t="shared" si="448"/>
        <v>0</v>
      </c>
      <c r="I14359" s="18">
        <v>211021.48</v>
      </c>
      <c r="J14359" s="27">
        <v>325074.59999999998</v>
      </c>
      <c r="K14359" s="18">
        <f t="shared" si="449"/>
        <v>0</v>
      </c>
      <c r="L14359" s="27">
        <v>221888.08</v>
      </c>
      <c r="M14359" s="36">
        <v>10866.6</v>
      </c>
      <c r="T14359" s="41">
        <v>0</v>
      </c>
      <c r="U14359" s="41">
        <v>0</v>
      </c>
      <c r="V14359" s="42" t="s">
        <v>113</v>
      </c>
      <c r="W14359" s="42">
        <v>0</v>
      </c>
      <c r="X14359" s="42">
        <v>0</v>
      </c>
    </row>
    <row r="14360" spans="1:24">
      <c r="A14360" s="27" t="s">
        <v>25698</v>
      </c>
      <c r="B14360" s="28" t="s">
        <v>25643</v>
      </c>
      <c r="C14360" s="27" t="s">
        <v>25699</v>
      </c>
      <c r="D14360" s="27" t="s">
        <v>17558</v>
      </c>
      <c r="E14360" s="29">
        <v>35795</v>
      </c>
      <c r="F14360" s="27">
        <v>30</v>
      </c>
      <c r="G14360" s="18">
        <v>325074.59999999998</v>
      </c>
      <c r="H14360" s="27">
        <f t="shared" si="448"/>
        <v>0</v>
      </c>
      <c r="I14360" s="18">
        <v>211021.5</v>
      </c>
      <c r="J14360" s="27">
        <v>325074.59999999998</v>
      </c>
      <c r="K14360" s="18">
        <f t="shared" si="449"/>
        <v>0</v>
      </c>
      <c r="L14360" s="27">
        <v>221888.1</v>
      </c>
      <c r="M14360" s="36">
        <v>10866.6</v>
      </c>
      <c r="T14360" s="41">
        <v>0</v>
      </c>
      <c r="U14360" s="41">
        <v>0</v>
      </c>
      <c r="V14360" s="42" t="s">
        <v>113</v>
      </c>
      <c r="W14360" s="42">
        <v>0</v>
      </c>
      <c r="X14360" s="42">
        <v>0</v>
      </c>
    </row>
    <row r="14361" spans="1:24">
      <c r="A14361" s="27" t="s">
        <v>25700</v>
      </c>
      <c r="B14361" s="28" t="s">
        <v>25643</v>
      </c>
      <c r="C14361" s="27" t="s">
        <v>25701</v>
      </c>
      <c r="D14361" s="27" t="s">
        <v>17558</v>
      </c>
      <c r="E14361" s="29">
        <v>35795</v>
      </c>
      <c r="F14361" s="27">
        <v>30</v>
      </c>
      <c r="G14361" s="18">
        <v>325074.59999999998</v>
      </c>
      <c r="H14361" s="27">
        <f t="shared" si="448"/>
        <v>0</v>
      </c>
      <c r="I14361" s="18">
        <v>211021.5</v>
      </c>
      <c r="J14361" s="27">
        <v>325074.59999999998</v>
      </c>
      <c r="K14361" s="18">
        <f t="shared" si="449"/>
        <v>0</v>
      </c>
      <c r="L14361" s="27">
        <v>221888.1</v>
      </c>
      <c r="M14361" s="36">
        <v>10866.6</v>
      </c>
      <c r="T14361" s="41">
        <v>0</v>
      </c>
      <c r="U14361" s="41">
        <v>0</v>
      </c>
      <c r="V14361" s="42" t="s">
        <v>113</v>
      </c>
      <c r="W14361" s="42">
        <v>0</v>
      </c>
      <c r="X14361" s="42">
        <v>0</v>
      </c>
    </row>
    <row r="14362" spans="1:24">
      <c r="A14362" s="27" t="s">
        <v>25702</v>
      </c>
      <c r="B14362" s="28" t="s">
        <v>25643</v>
      </c>
      <c r="C14362" s="27" t="s">
        <v>25703</v>
      </c>
      <c r="D14362" s="27" t="s">
        <v>17558</v>
      </c>
      <c r="E14362" s="29">
        <v>35795</v>
      </c>
      <c r="F14362" s="27">
        <v>30</v>
      </c>
      <c r="G14362" s="18">
        <v>325074.59999999998</v>
      </c>
      <c r="H14362" s="27">
        <f t="shared" si="448"/>
        <v>0</v>
      </c>
      <c r="I14362" s="18">
        <v>211021.48</v>
      </c>
      <c r="J14362" s="27">
        <v>325074.59999999998</v>
      </c>
      <c r="K14362" s="18">
        <f t="shared" si="449"/>
        <v>0</v>
      </c>
      <c r="L14362" s="27">
        <v>221888.08</v>
      </c>
      <c r="M14362" s="36">
        <v>10866.6</v>
      </c>
      <c r="T14362" s="41">
        <v>0</v>
      </c>
      <c r="U14362" s="41">
        <v>0</v>
      </c>
      <c r="V14362" s="42" t="s">
        <v>113</v>
      </c>
      <c r="W14362" s="42">
        <v>0</v>
      </c>
      <c r="X14362" s="42">
        <v>0</v>
      </c>
    </row>
    <row r="14363" spans="1:24">
      <c r="A14363" s="27" t="s">
        <v>25704</v>
      </c>
      <c r="B14363" s="28" t="s">
        <v>25643</v>
      </c>
      <c r="C14363" s="27" t="s">
        <v>25705</v>
      </c>
      <c r="D14363" s="27" t="s">
        <v>17558</v>
      </c>
      <c r="E14363" s="29">
        <v>35795</v>
      </c>
      <c r="F14363" s="27">
        <v>30</v>
      </c>
      <c r="G14363" s="18">
        <v>325074.59999999998</v>
      </c>
      <c r="H14363" s="27">
        <f t="shared" si="448"/>
        <v>0</v>
      </c>
      <c r="I14363" s="18">
        <v>211021.5</v>
      </c>
      <c r="J14363" s="27">
        <v>325074.59999999998</v>
      </c>
      <c r="K14363" s="18">
        <f t="shared" si="449"/>
        <v>0</v>
      </c>
      <c r="L14363" s="27">
        <v>221888.1</v>
      </c>
      <c r="M14363" s="36">
        <v>10866.6</v>
      </c>
      <c r="T14363" s="41">
        <v>0</v>
      </c>
      <c r="U14363" s="41">
        <v>0</v>
      </c>
      <c r="V14363" s="42" t="s">
        <v>113</v>
      </c>
      <c r="W14363" s="42">
        <v>0</v>
      </c>
      <c r="X14363" s="42">
        <v>0</v>
      </c>
    </row>
    <row r="14364" spans="1:24">
      <c r="A14364" s="27" t="s">
        <v>25706</v>
      </c>
      <c r="B14364" s="28" t="s">
        <v>25643</v>
      </c>
      <c r="C14364" s="27" t="s">
        <v>25707</v>
      </c>
      <c r="D14364" s="27" t="s">
        <v>17558</v>
      </c>
      <c r="E14364" s="29">
        <v>35795</v>
      </c>
      <c r="F14364" s="27">
        <v>30</v>
      </c>
      <c r="G14364" s="18">
        <v>325074.59999999998</v>
      </c>
      <c r="H14364" s="27">
        <f t="shared" si="448"/>
        <v>0</v>
      </c>
      <c r="I14364" s="18">
        <v>211021.48</v>
      </c>
      <c r="J14364" s="27">
        <v>325074.59999999998</v>
      </c>
      <c r="K14364" s="18">
        <f t="shared" si="449"/>
        <v>0</v>
      </c>
      <c r="L14364" s="27">
        <v>221888.08</v>
      </c>
      <c r="M14364" s="36">
        <v>10866.6</v>
      </c>
      <c r="T14364" s="41">
        <v>0</v>
      </c>
      <c r="U14364" s="41">
        <v>0</v>
      </c>
      <c r="V14364" s="42" t="s">
        <v>113</v>
      </c>
      <c r="W14364" s="42">
        <v>0</v>
      </c>
      <c r="X14364" s="42">
        <v>0</v>
      </c>
    </row>
    <row r="14365" spans="1:24">
      <c r="A14365" s="27" t="s">
        <v>25708</v>
      </c>
      <c r="B14365" s="28" t="s">
        <v>25643</v>
      </c>
      <c r="C14365" s="27" t="s">
        <v>25709</v>
      </c>
      <c r="D14365" s="27" t="s">
        <v>17558</v>
      </c>
      <c r="E14365" s="29">
        <v>35795</v>
      </c>
      <c r="F14365" s="27">
        <v>30</v>
      </c>
      <c r="G14365" s="18">
        <v>325074.59999999998</v>
      </c>
      <c r="H14365" s="27">
        <f t="shared" si="448"/>
        <v>0</v>
      </c>
      <c r="I14365" s="18">
        <v>211021.5</v>
      </c>
      <c r="J14365" s="27">
        <v>325074.59999999998</v>
      </c>
      <c r="K14365" s="18">
        <f t="shared" si="449"/>
        <v>0</v>
      </c>
      <c r="L14365" s="27">
        <v>221888.1</v>
      </c>
      <c r="M14365" s="36">
        <v>10866.6</v>
      </c>
      <c r="T14365" s="41">
        <v>0</v>
      </c>
      <c r="U14365" s="41">
        <v>0</v>
      </c>
      <c r="V14365" s="42" t="s">
        <v>113</v>
      </c>
      <c r="W14365" s="42">
        <v>0</v>
      </c>
      <c r="X14365" s="42">
        <v>0</v>
      </c>
    </row>
    <row r="14366" spans="1:24">
      <c r="A14366" s="27" t="s">
        <v>25710</v>
      </c>
      <c r="B14366" s="28" t="s">
        <v>25643</v>
      </c>
      <c r="C14366" s="27" t="s">
        <v>25711</v>
      </c>
      <c r="D14366" s="27" t="s">
        <v>17558</v>
      </c>
      <c r="E14366" s="29">
        <v>35795</v>
      </c>
      <c r="F14366" s="27">
        <v>30</v>
      </c>
      <c r="G14366" s="18">
        <v>325074.59999999998</v>
      </c>
      <c r="H14366" s="27">
        <f t="shared" si="448"/>
        <v>0</v>
      </c>
      <c r="I14366" s="18">
        <v>211021.48</v>
      </c>
      <c r="J14366" s="27">
        <v>325074.59999999998</v>
      </c>
      <c r="K14366" s="18">
        <f t="shared" si="449"/>
        <v>0</v>
      </c>
      <c r="L14366" s="27">
        <v>221888.08</v>
      </c>
      <c r="M14366" s="36">
        <v>10866.6</v>
      </c>
      <c r="T14366" s="41">
        <v>0</v>
      </c>
      <c r="U14366" s="41">
        <v>0</v>
      </c>
      <c r="V14366" s="42" t="s">
        <v>113</v>
      </c>
      <c r="W14366" s="42">
        <v>0</v>
      </c>
      <c r="X14366" s="42">
        <v>0</v>
      </c>
    </row>
    <row r="14367" spans="1:24">
      <c r="A14367" s="27" t="s">
        <v>25712</v>
      </c>
      <c r="B14367" s="28" t="s">
        <v>25643</v>
      </c>
      <c r="C14367" s="27" t="s">
        <v>25713</v>
      </c>
      <c r="D14367" s="27" t="s">
        <v>17558</v>
      </c>
      <c r="E14367" s="29">
        <v>35795</v>
      </c>
      <c r="F14367" s="27">
        <v>30</v>
      </c>
      <c r="G14367" s="18">
        <v>325074.59999999998</v>
      </c>
      <c r="H14367" s="27">
        <f t="shared" si="448"/>
        <v>0</v>
      </c>
      <c r="I14367" s="18">
        <v>211021.48</v>
      </c>
      <c r="J14367" s="27">
        <v>325074.59999999998</v>
      </c>
      <c r="K14367" s="18">
        <f t="shared" si="449"/>
        <v>0</v>
      </c>
      <c r="L14367" s="27">
        <v>221888.08</v>
      </c>
      <c r="M14367" s="36">
        <v>10866.6</v>
      </c>
      <c r="T14367" s="41">
        <v>0</v>
      </c>
      <c r="U14367" s="41">
        <v>0</v>
      </c>
      <c r="V14367" s="42" t="s">
        <v>113</v>
      </c>
      <c r="W14367" s="42">
        <v>0</v>
      </c>
      <c r="X14367" s="42">
        <v>0</v>
      </c>
    </row>
    <row r="14368" spans="1:24">
      <c r="A14368" s="27" t="s">
        <v>25714</v>
      </c>
      <c r="B14368" s="28" t="s">
        <v>25643</v>
      </c>
      <c r="C14368" s="27" t="s">
        <v>25646</v>
      </c>
      <c r="D14368" s="27" t="s">
        <v>17558</v>
      </c>
      <c r="E14368" s="29">
        <v>35795</v>
      </c>
      <c r="F14368" s="27">
        <v>30</v>
      </c>
      <c r="G14368" s="18">
        <v>325074.59999999998</v>
      </c>
      <c r="H14368" s="27">
        <f t="shared" si="448"/>
        <v>0</v>
      </c>
      <c r="I14368" s="18">
        <v>211021.5</v>
      </c>
      <c r="J14368" s="27">
        <v>325074.59999999998</v>
      </c>
      <c r="K14368" s="18">
        <f t="shared" si="449"/>
        <v>0</v>
      </c>
      <c r="L14368" s="27">
        <v>221888.1</v>
      </c>
      <c r="M14368" s="36">
        <v>10866.6</v>
      </c>
      <c r="T14368" s="41">
        <v>0</v>
      </c>
      <c r="U14368" s="41">
        <v>0</v>
      </c>
      <c r="V14368" s="42" t="s">
        <v>113</v>
      </c>
      <c r="W14368" s="42">
        <v>0</v>
      </c>
      <c r="X14368" s="42">
        <v>0</v>
      </c>
    </row>
    <row r="14369" spans="1:24">
      <c r="A14369" s="27" t="s">
        <v>25715</v>
      </c>
      <c r="B14369" s="28" t="s">
        <v>25643</v>
      </c>
      <c r="C14369" s="27" t="s">
        <v>25716</v>
      </c>
      <c r="D14369" s="27" t="s">
        <v>17558</v>
      </c>
      <c r="E14369" s="29">
        <v>35795</v>
      </c>
      <c r="F14369" s="27">
        <v>30</v>
      </c>
      <c r="G14369" s="18">
        <v>325074.59999999998</v>
      </c>
      <c r="H14369" s="27">
        <f t="shared" si="448"/>
        <v>0</v>
      </c>
      <c r="I14369" s="18">
        <v>211021.48</v>
      </c>
      <c r="J14369" s="27">
        <v>325074.59999999998</v>
      </c>
      <c r="K14369" s="18">
        <f t="shared" si="449"/>
        <v>0</v>
      </c>
      <c r="L14369" s="27">
        <v>221888.08</v>
      </c>
      <c r="M14369" s="36">
        <v>10866.6</v>
      </c>
      <c r="T14369" s="41">
        <v>0</v>
      </c>
      <c r="U14369" s="41">
        <v>0</v>
      </c>
      <c r="V14369" s="42" t="s">
        <v>113</v>
      </c>
      <c r="W14369" s="42">
        <v>0</v>
      </c>
      <c r="X14369" s="42">
        <v>0</v>
      </c>
    </row>
    <row r="14370" spans="1:24">
      <c r="A14370" s="27" t="s">
        <v>25717</v>
      </c>
      <c r="B14370" s="28" t="s">
        <v>25643</v>
      </c>
      <c r="C14370" s="27" t="s">
        <v>25718</v>
      </c>
      <c r="D14370" s="27" t="s">
        <v>17558</v>
      </c>
      <c r="E14370" s="29">
        <v>35795</v>
      </c>
      <c r="F14370" s="27">
        <v>30</v>
      </c>
      <c r="G14370" s="18">
        <v>325074.59999999998</v>
      </c>
      <c r="H14370" s="27">
        <f t="shared" si="448"/>
        <v>0</v>
      </c>
      <c r="I14370" s="18">
        <v>211021.5</v>
      </c>
      <c r="J14370" s="27">
        <v>325074.59999999998</v>
      </c>
      <c r="K14370" s="18">
        <f t="shared" si="449"/>
        <v>0</v>
      </c>
      <c r="L14370" s="27">
        <v>221888.1</v>
      </c>
      <c r="M14370" s="36">
        <v>10866.6</v>
      </c>
      <c r="T14370" s="41">
        <v>0</v>
      </c>
      <c r="U14370" s="41">
        <v>0</v>
      </c>
      <c r="V14370" s="42" t="s">
        <v>113</v>
      </c>
      <c r="W14370" s="42">
        <v>0</v>
      </c>
      <c r="X14370" s="42">
        <v>0</v>
      </c>
    </row>
    <row r="14371" spans="1:24">
      <c r="A14371" s="27" t="s">
        <v>25719</v>
      </c>
      <c r="B14371" s="28" t="s">
        <v>25643</v>
      </c>
      <c r="C14371" s="27" t="s">
        <v>25720</v>
      </c>
      <c r="D14371" s="27" t="s">
        <v>17558</v>
      </c>
      <c r="E14371" s="29">
        <v>35795</v>
      </c>
      <c r="F14371" s="27">
        <v>30</v>
      </c>
      <c r="G14371" s="18">
        <v>325074.59999999998</v>
      </c>
      <c r="H14371" s="27">
        <f t="shared" si="448"/>
        <v>0</v>
      </c>
      <c r="I14371" s="18">
        <v>211021.5</v>
      </c>
      <c r="J14371" s="27">
        <v>325074.59999999998</v>
      </c>
      <c r="K14371" s="18">
        <f t="shared" si="449"/>
        <v>0</v>
      </c>
      <c r="L14371" s="27">
        <v>221888.1</v>
      </c>
      <c r="M14371" s="36">
        <v>10866.6</v>
      </c>
      <c r="T14371" s="41">
        <v>0</v>
      </c>
      <c r="U14371" s="41">
        <v>0</v>
      </c>
      <c r="V14371" s="42" t="s">
        <v>113</v>
      </c>
      <c r="W14371" s="42">
        <v>0</v>
      </c>
      <c r="X14371" s="42">
        <v>0</v>
      </c>
    </row>
    <row r="14372" spans="1:24">
      <c r="A14372" s="27" t="s">
        <v>25721</v>
      </c>
      <c r="B14372" s="28" t="s">
        <v>25643</v>
      </c>
      <c r="C14372" s="27" t="s">
        <v>25722</v>
      </c>
      <c r="D14372" s="27" t="s">
        <v>17558</v>
      </c>
      <c r="E14372" s="29">
        <v>35795</v>
      </c>
      <c r="F14372" s="27">
        <v>30</v>
      </c>
      <c r="G14372" s="18">
        <v>325074.59999999998</v>
      </c>
      <c r="H14372" s="27">
        <f t="shared" si="448"/>
        <v>0</v>
      </c>
      <c r="I14372" s="18">
        <v>211021.48</v>
      </c>
      <c r="J14372" s="27">
        <v>325074.59999999998</v>
      </c>
      <c r="K14372" s="18">
        <f t="shared" si="449"/>
        <v>0</v>
      </c>
      <c r="L14372" s="27">
        <v>221888.08</v>
      </c>
      <c r="M14372" s="36">
        <v>10866.6</v>
      </c>
      <c r="T14372" s="41">
        <v>0</v>
      </c>
      <c r="U14372" s="41">
        <v>0</v>
      </c>
      <c r="V14372" s="42" t="s">
        <v>113</v>
      </c>
      <c r="W14372" s="42">
        <v>0</v>
      </c>
      <c r="X14372" s="42">
        <v>0</v>
      </c>
    </row>
    <row r="14373" spans="1:24">
      <c r="A14373" s="27" t="s">
        <v>25723</v>
      </c>
      <c r="B14373" s="28" t="s">
        <v>25643</v>
      </c>
      <c r="C14373" s="27" t="s">
        <v>25724</v>
      </c>
      <c r="D14373" s="27" t="s">
        <v>17558</v>
      </c>
      <c r="E14373" s="29">
        <v>35795</v>
      </c>
      <c r="F14373" s="27">
        <v>30</v>
      </c>
      <c r="G14373" s="18">
        <v>325074.59999999998</v>
      </c>
      <c r="H14373" s="27">
        <f t="shared" si="448"/>
        <v>0</v>
      </c>
      <c r="I14373" s="18">
        <v>211021.5</v>
      </c>
      <c r="J14373" s="27">
        <v>325074.59999999998</v>
      </c>
      <c r="K14373" s="18">
        <f t="shared" si="449"/>
        <v>0</v>
      </c>
      <c r="L14373" s="27">
        <v>221888.1</v>
      </c>
      <c r="M14373" s="36">
        <v>10866.6</v>
      </c>
      <c r="T14373" s="41">
        <v>0</v>
      </c>
      <c r="U14373" s="41">
        <v>0</v>
      </c>
      <c r="V14373" s="42" t="s">
        <v>113</v>
      </c>
      <c r="W14373" s="42">
        <v>0</v>
      </c>
      <c r="X14373" s="42">
        <v>0</v>
      </c>
    </row>
    <row r="14374" spans="1:24">
      <c r="A14374" s="27" t="s">
        <v>25725</v>
      </c>
      <c r="B14374" s="28" t="s">
        <v>25643</v>
      </c>
      <c r="C14374" s="27" t="s">
        <v>25726</v>
      </c>
      <c r="D14374" s="27" t="s">
        <v>17558</v>
      </c>
      <c r="E14374" s="29">
        <v>35795</v>
      </c>
      <c r="F14374" s="27">
        <v>30</v>
      </c>
      <c r="G14374" s="18">
        <v>325074.59999999998</v>
      </c>
      <c r="H14374" s="27">
        <f t="shared" si="448"/>
        <v>0</v>
      </c>
      <c r="I14374" s="18">
        <v>211021.48</v>
      </c>
      <c r="J14374" s="27">
        <v>325074.59999999998</v>
      </c>
      <c r="K14374" s="18">
        <f t="shared" si="449"/>
        <v>0</v>
      </c>
      <c r="L14374" s="27">
        <v>221888.08</v>
      </c>
      <c r="M14374" s="36">
        <v>10866.6</v>
      </c>
      <c r="T14374" s="41">
        <v>0</v>
      </c>
      <c r="U14374" s="41">
        <v>0</v>
      </c>
      <c r="V14374" s="42" t="s">
        <v>113</v>
      </c>
      <c r="W14374" s="42">
        <v>0</v>
      </c>
      <c r="X14374" s="42">
        <v>0</v>
      </c>
    </row>
    <row r="14375" spans="1:24">
      <c r="A14375" s="27" t="s">
        <v>25727</v>
      </c>
      <c r="B14375" s="28" t="s">
        <v>25643</v>
      </c>
      <c r="C14375" s="27" t="s">
        <v>25728</v>
      </c>
      <c r="D14375" s="27" t="s">
        <v>17558</v>
      </c>
      <c r="E14375" s="29">
        <v>35795</v>
      </c>
      <c r="F14375" s="27">
        <v>30</v>
      </c>
      <c r="G14375" s="18">
        <v>325074.59999999998</v>
      </c>
      <c r="H14375" s="27">
        <f t="shared" si="448"/>
        <v>0</v>
      </c>
      <c r="I14375" s="18">
        <v>211021.5</v>
      </c>
      <c r="J14375" s="27">
        <v>325074.59999999998</v>
      </c>
      <c r="K14375" s="18">
        <f t="shared" si="449"/>
        <v>0</v>
      </c>
      <c r="L14375" s="27">
        <v>221888.1</v>
      </c>
      <c r="M14375" s="36">
        <v>10866.6</v>
      </c>
      <c r="T14375" s="41">
        <v>0</v>
      </c>
      <c r="U14375" s="41">
        <v>0</v>
      </c>
      <c r="V14375" s="42" t="s">
        <v>113</v>
      </c>
      <c r="W14375" s="42">
        <v>0</v>
      </c>
      <c r="X14375" s="42">
        <v>0</v>
      </c>
    </row>
    <row r="14376" spans="1:24">
      <c r="A14376" s="27" t="s">
        <v>25729</v>
      </c>
      <c r="B14376" s="28" t="s">
        <v>25643</v>
      </c>
      <c r="C14376" s="27" t="s">
        <v>25730</v>
      </c>
      <c r="D14376" s="27" t="s">
        <v>17558</v>
      </c>
      <c r="E14376" s="29">
        <v>35795</v>
      </c>
      <c r="F14376" s="27">
        <v>30</v>
      </c>
      <c r="G14376" s="18">
        <v>325074.59999999998</v>
      </c>
      <c r="H14376" s="27">
        <f t="shared" si="448"/>
        <v>0</v>
      </c>
      <c r="I14376" s="18">
        <v>211021.48</v>
      </c>
      <c r="J14376" s="27">
        <v>325074.59999999998</v>
      </c>
      <c r="K14376" s="18">
        <f t="shared" si="449"/>
        <v>0</v>
      </c>
      <c r="L14376" s="27">
        <v>221888.08</v>
      </c>
      <c r="M14376" s="36">
        <v>10866.6</v>
      </c>
      <c r="T14376" s="41">
        <v>0</v>
      </c>
      <c r="U14376" s="41">
        <v>0</v>
      </c>
      <c r="V14376" s="42" t="s">
        <v>113</v>
      </c>
      <c r="W14376" s="42">
        <v>0</v>
      </c>
      <c r="X14376" s="42">
        <v>0</v>
      </c>
    </row>
    <row r="14377" spans="1:24">
      <c r="A14377" s="27" t="s">
        <v>25731</v>
      </c>
      <c r="B14377" s="28" t="s">
        <v>25643</v>
      </c>
      <c r="C14377" s="27" t="s">
        <v>25732</v>
      </c>
      <c r="D14377" s="27" t="s">
        <v>17558</v>
      </c>
      <c r="E14377" s="29">
        <v>35795</v>
      </c>
      <c r="F14377" s="27">
        <v>30</v>
      </c>
      <c r="G14377" s="18">
        <v>325074.59999999998</v>
      </c>
      <c r="H14377" s="27">
        <f t="shared" si="448"/>
        <v>0</v>
      </c>
      <c r="I14377" s="18">
        <v>211021.5</v>
      </c>
      <c r="J14377" s="27">
        <v>325074.59999999998</v>
      </c>
      <c r="K14377" s="18">
        <f t="shared" si="449"/>
        <v>0</v>
      </c>
      <c r="L14377" s="27">
        <v>221888.1</v>
      </c>
      <c r="M14377" s="36">
        <v>10866.6</v>
      </c>
      <c r="T14377" s="41">
        <v>0</v>
      </c>
      <c r="U14377" s="41">
        <v>0</v>
      </c>
      <c r="V14377" s="42" t="s">
        <v>113</v>
      </c>
      <c r="W14377" s="42">
        <v>0</v>
      </c>
      <c r="X14377" s="42">
        <v>0</v>
      </c>
    </row>
    <row r="14378" spans="1:24">
      <c r="A14378" s="27" t="s">
        <v>25733</v>
      </c>
      <c r="B14378" s="28" t="s">
        <v>25643</v>
      </c>
      <c r="C14378" s="27" t="s">
        <v>25734</v>
      </c>
      <c r="D14378" s="27" t="s">
        <v>17558</v>
      </c>
      <c r="E14378" s="29">
        <v>35795</v>
      </c>
      <c r="F14378" s="27">
        <v>30</v>
      </c>
      <c r="G14378" s="18">
        <v>325074.59999999998</v>
      </c>
      <c r="H14378" s="27">
        <f t="shared" si="448"/>
        <v>0</v>
      </c>
      <c r="I14378" s="18">
        <v>247458.72</v>
      </c>
      <c r="J14378" s="27">
        <v>325074.59999999998</v>
      </c>
      <c r="K14378" s="18">
        <f t="shared" si="449"/>
        <v>0</v>
      </c>
      <c r="L14378" s="27">
        <v>254276.74</v>
      </c>
      <c r="M14378" s="36">
        <v>6818.02</v>
      </c>
      <c r="T14378" s="41">
        <v>0</v>
      </c>
      <c r="U14378" s="41">
        <v>0</v>
      </c>
      <c r="V14378" s="42" t="s">
        <v>113</v>
      </c>
      <c r="W14378" s="42">
        <v>0</v>
      </c>
      <c r="X14378" s="42">
        <v>0</v>
      </c>
    </row>
    <row r="14379" spans="1:24">
      <c r="A14379" s="27" t="s">
        <v>25735</v>
      </c>
      <c r="B14379" s="28" t="s">
        <v>25643</v>
      </c>
      <c r="C14379" s="27" t="s">
        <v>25736</v>
      </c>
      <c r="D14379" s="27" t="s">
        <v>17558</v>
      </c>
      <c r="E14379" s="29">
        <v>35795</v>
      </c>
      <c r="F14379" s="27">
        <v>30</v>
      </c>
      <c r="G14379" s="18">
        <v>325074.59999999998</v>
      </c>
      <c r="H14379" s="27">
        <f t="shared" si="448"/>
        <v>0</v>
      </c>
      <c r="I14379" s="18">
        <v>192831.71</v>
      </c>
      <c r="J14379" s="27">
        <v>325074.59999999998</v>
      </c>
      <c r="K14379" s="18">
        <f t="shared" si="449"/>
        <v>0</v>
      </c>
      <c r="L14379" s="27">
        <v>205719.39</v>
      </c>
      <c r="M14379" s="36">
        <v>12887.68</v>
      </c>
      <c r="T14379" s="41">
        <v>0</v>
      </c>
      <c r="U14379" s="41">
        <v>0</v>
      </c>
      <c r="V14379" s="42" t="s">
        <v>113</v>
      </c>
      <c r="W14379" s="42">
        <v>0</v>
      </c>
      <c r="X14379" s="42">
        <v>0</v>
      </c>
    </row>
    <row r="14380" spans="1:24">
      <c r="A14380" s="27" t="s">
        <v>25737</v>
      </c>
      <c r="B14380" s="28" t="s">
        <v>25643</v>
      </c>
      <c r="C14380" s="27" t="s">
        <v>25716</v>
      </c>
      <c r="D14380" s="27" t="s">
        <v>17558</v>
      </c>
      <c r="E14380" s="29">
        <v>35795</v>
      </c>
      <c r="F14380" s="27">
        <v>30</v>
      </c>
      <c r="G14380" s="18">
        <v>305001.82</v>
      </c>
      <c r="H14380" s="27">
        <f t="shared" si="448"/>
        <v>0</v>
      </c>
      <c r="I14380" s="18">
        <v>197993.54</v>
      </c>
      <c r="J14380" s="27">
        <v>305001.82</v>
      </c>
      <c r="K14380" s="18">
        <f t="shared" si="449"/>
        <v>0</v>
      </c>
      <c r="L14380" s="27">
        <v>208188.89</v>
      </c>
      <c r="M14380" s="36">
        <v>10195.35</v>
      </c>
      <c r="T14380" s="41">
        <v>0</v>
      </c>
      <c r="U14380" s="41">
        <v>0</v>
      </c>
      <c r="V14380" s="42" t="s">
        <v>113</v>
      </c>
      <c r="W14380" s="42">
        <v>0</v>
      </c>
      <c r="X14380" s="42">
        <v>0</v>
      </c>
    </row>
    <row r="14381" spans="1:24">
      <c r="A14381" s="27" t="s">
        <v>25738</v>
      </c>
      <c r="B14381" s="28" t="s">
        <v>25643</v>
      </c>
      <c r="C14381" s="27" t="s">
        <v>25724</v>
      </c>
      <c r="D14381" s="27" t="s">
        <v>17558</v>
      </c>
      <c r="E14381" s="29">
        <v>35795</v>
      </c>
      <c r="F14381" s="27">
        <v>30</v>
      </c>
      <c r="G14381" s="18">
        <v>305001.82</v>
      </c>
      <c r="H14381" s="27">
        <f t="shared" si="448"/>
        <v>0</v>
      </c>
      <c r="I14381" s="18">
        <v>197993.54</v>
      </c>
      <c r="J14381" s="27">
        <v>305001.82</v>
      </c>
      <c r="K14381" s="18">
        <f t="shared" si="449"/>
        <v>0</v>
      </c>
      <c r="L14381" s="27">
        <v>208188.89</v>
      </c>
      <c r="M14381" s="36">
        <v>10195.35</v>
      </c>
      <c r="T14381" s="41">
        <v>0</v>
      </c>
      <c r="U14381" s="41">
        <v>0</v>
      </c>
      <c r="V14381" s="42" t="s">
        <v>113</v>
      </c>
      <c r="W14381" s="42">
        <v>0</v>
      </c>
      <c r="X14381" s="42">
        <v>0</v>
      </c>
    </row>
    <row r="14382" spans="1:24">
      <c r="A14382" s="27" t="s">
        <v>25739</v>
      </c>
      <c r="B14382" s="28" t="s">
        <v>25643</v>
      </c>
      <c r="C14382" s="27" t="s">
        <v>25726</v>
      </c>
      <c r="D14382" s="27" t="s">
        <v>17558</v>
      </c>
      <c r="E14382" s="29">
        <v>35795</v>
      </c>
      <c r="F14382" s="27">
        <v>30</v>
      </c>
      <c r="G14382" s="18">
        <v>305001.82</v>
      </c>
      <c r="H14382" s="27">
        <f t="shared" si="448"/>
        <v>0</v>
      </c>
      <c r="I14382" s="18">
        <v>197993.54</v>
      </c>
      <c r="J14382" s="27">
        <v>305001.82</v>
      </c>
      <c r="K14382" s="18">
        <f t="shared" si="449"/>
        <v>0</v>
      </c>
      <c r="L14382" s="27">
        <v>208188.89</v>
      </c>
      <c r="M14382" s="36">
        <v>10195.35</v>
      </c>
      <c r="T14382" s="41">
        <v>0</v>
      </c>
      <c r="U14382" s="41">
        <v>0</v>
      </c>
      <c r="V14382" s="42" t="s">
        <v>113</v>
      </c>
      <c r="W14382" s="42">
        <v>0</v>
      </c>
      <c r="X14382" s="42">
        <v>0</v>
      </c>
    </row>
    <row r="14383" spans="1:24">
      <c r="A14383" s="27" t="s">
        <v>25740</v>
      </c>
      <c r="B14383" s="28" t="s">
        <v>25643</v>
      </c>
      <c r="C14383" s="27" t="s">
        <v>25695</v>
      </c>
      <c r="D14383" s="27" t="s">
        <v>17558</v>
      </c>
      <c r="E14383" s="29">
        <v>35795</v>
      </c>
      <c r="F14383" s="27">
        <v>30</v>
      </c>
      <c r="G14383" s="18">
        <v>305001.82</v>
      </c>
      <c r="H14383" s="27">
        <f t="shared" si="448"/>
        <v>0</v>
      </c>
      <c r="I14383" s="18">
        <v>197993.54</v>
      </c>
      <c r="J14383" s="27">
        <v>305001.82</v>
      </c>
      <c r="K14383" s="18">
        <f t="shared" si="449"/>
        <v>0</v>
      </c>
      <c r="L14383" s="27">
        <v>208188.89</v>
      </c>
      <c r="M14383" s="36">
        <v>10195.35</v>
      </c>
      <c r="T14383" s="41">
        <v>0</v>
      </c>
      <c r="U14383" s="41">
        <v>0</v>
      </c>
      <c r="V14383" s="42" t="s">
        <v>113</v>
      </c>
      <c r="W14383" s="42">
        <v>0</v>
      </c>
      <c r="X14383" s="42">
        <v>0</v>
      </c>
    </row>
    <row r="14384" spans="1:24">
      <c r="A14384" s="27" t="s">
        <v>25741</v>
      </c>
      <c r="B14384" s="28" t="s">
        <v>25643</v>
      </c>
      <c r="C14384" s="27" t="s">
        <v>25688</v>
      </c>
      <c r="D14384" s="27" t="s">
        <v>17558</v>
      </c>
      <c r="E14384" s="29">
        <v>35795</v>
      </c>
      <c r="F14384" s="27">
        <v>30</v>
      </c>
      <c r="G14384" s="18">
        <v>305001.82</v>
      </c>
      <c r="H14384" s="27">
        <f t="shared" si="448"/>
        <v>0</v>
      </c>
      <c r="I14384" s="18">
        <v>197993.54</v>
      </c>
      <c r="J14384" s="27">
        <v>305001.82</v>
      </c>
      <c r="K14384" s="18">
        <f t="shared" si="449"/>
        <v>0</v>
      </c>
      <c r="L14384" s="27">
        <v>208188.89</v>
      </c>
      <c r="M14384" s="36">
        <v>10195.35</v>
      </c>
      <c r="T14384" s="41">
        <v>0</v>
      </c>
      <c r="U14384" s="41">
        <v>0</v>
      </c>
      <c r="V14384" s="42" t="s">
        <v>113</v>
      </c>
      <c r="W14384" s="42">
        <v>0</v>
      </c>
      <c r="X14384" s="42">
        <v>0</v>
      </c>
    </row>
    <row r="14385" spans="1:24">
      <c r="A14385" s="27" t="s">
        <v>25742</v>
      </c>
      <c r="B14385" s="28" t="s">
        <v>25643</v>
      </c>
      <c r="C14385" s="27" t="s">
        <v>25743</v>
      </c>
      <c r="D14385" s="27" t="s">
        <v>17558</v>
      </c>
      <c r="E14385" s="29">
        <v>35795</v>
      </c>
      <c r="F14385" s="27">
        <v>30</v>
      </c>
      <c r="G14385" s="18">
        <v>305001.82</v>
      </c>
      <c r="H14385" s="27">
        <f t="shared" si="448"/>
        <v>0</v>
      </c>
      <c r="I14385" s="18">
        <v>197993.54</v>
      </c>
      <c r="J14385" s="27">
        <v>305001.82</v>
      </c>
      <c r="K14385" s="18">
        <f t="shared" si="449"/>
        <v>0</v>
      </c>
      <c r="L14385" s="27">
        <v>208188.89</v>
      </c>
      <c r="M14385" s="36">
        <v>10195.35</v>
      </c>
      <c r="T14385" s="41">
        <v>0</v>
      </c>
      <c r="U14385" s="41">
        <v>0</v>
      </c>
      <c r="V14385" s="42" t="s">
        <v>113</v>
      </c>
      <c r="W14385" s="42">
        <v>0</v>
      </c>
      <c r="X14385" s="42">
        <v>0</v>
      </c>
    </row>
    <row r="14386" spans="1:24">
      <c r="A14386" s="27" t="s">
        <v>25744</v>
      </c>
      <c r="B14386" s="28" t="s">
        <v>25643</v>
      </c>
      <c r="C14386" s="27" t="s">
        <v>25745</v>
      </c>
      <c r="D14386" s="27" t="s">
        <v>17558</v>
      </c>
      <c r="E14386" s="29">
        <v>35795</v>
      </c>
      <c r="F14386" s="27">
        <v>30</v>
      </c>
      <c r="G14386" s="18">
        <v>305001.82</v>
      </c>
      <c r="H14386" s="27">
        <f t="shared" si="448"/>
        <v>0</v>
      </c>
      <c r="I14386" s="18">
        <v>197993.54</v>
      </c>
      <c r="J14386" s="27">
        <v>305001.82</v>
      </c>
      <c r="K14386" s="18">
        <f t="shared" si="449"/>
        <v>0</v>
      </c>
      <c r="L14386" s="27">
        <v>208188.89</v>
      </c>
      <c r="M14386" s="36">
        <v>10195.35</v>
      </c>
      <c r="T14386" s="41">
        <v>0</v>
      </c>
      <c r="U14386" s="41">
        <v>0</v>
      </c>
      <c r="V14386" s="42" t="s">
        <v>113</v>
      </c>
      <c r="W14386" s="42">
        <v>0</v>
      </c>
      <c r="X14386" s="42">
        <v>0</v>
      </c>
    </row>
    <row r="14387" spans="1:24">
      <c r="A14387" s="27" t="s">
        <v>25746</v>
      </c>
      <c r="B14387" s="28" t="s">
        <v>25643</v>
      </c>
      <c r="C14387" s="27" t="s">
        <v>25682</v>
      </c>
      <c r="D14387" s="27" t="s">
        <v>17558</v>
      </c>
      <c r="E14387" s="29">
        <v>35795</v>
      </c>
      <c r="F14387" s="27">
        <v>30</v>
      </c>
      <c r="G14387" s="18">
        <v>305001.82</v>
      </c>
      <c r="H14387" s="27">
        <f t="shared" si="448"/>
        <v>0</v>
      </c>
      <c r="I14387" s="18">
        <v>197993.54</v>
      </c>
      <c r="J14387" s="27">
        <v>305001.82</v>
      </c>
      <c r="K14387" s="18">
        <f t="shared" si="449"/>
        <v>0</v>
      </c>
      <c r="L14387" s="27">
        <v>208188.89</v>
      </c>
      <c r="M14387" s="36">
        <v>10195.35</v>
      </c>
      <c r="T14387" s="41">
        <v>0</v>
      </c>
      <c r="U14387" s="41">
        <v>0</v>
      </c>
      <c r="V14387" s="42" t="s">
        <v>113</v>
      </c>
      <c r="W14387" s="42">
        <v>0</v>
      </c>
      <c r="X14387" s="42">
        <v>0</v>
      </c>
    </row>
    <row r="14388" spans="1:24">
      <c r="A14388" s="27" t="s">
        <v>25747</v>
      </c>
      <c r="B14388" s="28" t="s">
        <v>25643</v>
      </c>
      <c r="C14388" s="27" t="s">
        <v>25684</v>
      </c>
      <c r="D14388" s="27" t="s">
        <v>17558</v>
      </c>
      <c r="E14388" s="29">
        <v>35795</v>
      </c>
      <c r="F14388" s="27">
        <v>30</v>
      </c>
      <c r="G14388" s="18">
        <v>305001.82</v>
      </c>
      <c r="H14388" s="27">
        <f t="shared" si="448"/>
        <v>0</v>
      </c>
      <c r="I14388" s="18">
        <v>197993.54</v>
      </c>
      <c r="J14388" s="27">
        <v>305001.82</v>
      </c>
      <c r="K14388" s="18">
        <f t="shared" si="449"/>
        <v>0</v>
      </c>
      <c r="L14388" s="27">
        <v>208188.89</v>
      </c>
      <c r="M14388" s="36">
        <v>10195.35</v>
      </c>
      <c r="T14388" s="41">
        <v>0</v>
      </c>
      <c r="U14388" s="41">
        <v>0</v>
      </c>
      <c r="V14388" s="42" t="s">
        <v>113</v>
      </c>
      <c r="W14388" s="42">
        <v>0</v>
      </c>
      <c r="X14388" s="42">
        <v>0</v>
      </c>
    </row>
    <row r="14389" spans="1:24">
      <c r="A14389" s="27" t="s">
        <v>25748</v>
      </c>
      <c r="B14389" s="28" t="s">
        <v>25643</v>
      </c>
      <c r="C14389" s="27" t="s">
        <v>25680</v>
      </c>
      <c r="D14389" s="27" t="s">
        <v>17558</v>
      </c>
      <c r="E14389" s="29">
        <v>35795</v>
      </c>
      <c r="F14389" s="27">
        <v>30</v>
      </c>
      <c r="G14389" s="18">
        <v>305001.82</v>
      </c>
      <c r="H14389" s="27">
        <f t="shared" si="448"/>
        <v>0</v>
      </c>
      <c r="I14389" s="18">
        <v>197993.54</v>
      </c>
      <c r="J14389" s="27">
        <v>305001.82</v>
      </c>
      <c r="K14389" s="18">
        <f t="shared" si="449"/>
        <v>0</v>
      </c>
      <c r="L14389" s="27">
        <v>208188.89</v>
      </c>
      <c r="M14389" s="36">
        <v>10195.35</v>
      </c>
      <c r="T14389" s="41">
        <v>0</v>
      </c>
      <c r="U14389" s="41">
        <v>0</v>
      </c>
      <c r="V14389" s="42" t="s">
        <v>113</v>
      </c>
      <c r="W14389" s="42">
        <v>0</v>
      </c>
      <c r="X14389" s="42">
        <v>0</v>
      </c>
    </row>
    <row r="14390" spans="1:24">
      <c r="A14390" s="27" t="s">
        <v>25749</v>
      </c>
      <c r="B14390" s="28" t="s">
        <v>25643</v>
      </c>
      <c r="C14390" s="27" t="s">
        <v>25650</v>
      </c>
      <c r="D14390" s="27" t="s">
        <v>17558</v>
      </c>
      <c r="E14390" s="29">
        <v>35795</v>
      </c>
      <c r="F14390" s="27">
        <v>30</v>
      </c>
      <c r="G14390" s="18">
        <v>305001.82</v>
      </c>
      <c r="H14390" s="27">
        <f t="shared" si="448"/>
        <v>0</v>
      </c>
      <c r="I14390" s="18">
        <v>197993.54</v>
      </c>
      <c r="J14390" s="27">
        <v>305001.82</v>
      </c>
      <c r="K14390" s="18">
        <f t="shared" si="449"/>
        <v>0</v>
      </c>
      <c r="L14390" s="27">
        <v>208188.89</v>
      </c>
      <c r="M14390" s="36">
        <v>10195.35</v>
      </c>
      <c r="T14390" s="41">
        <v>0</v>
      </c>
      <c r="U14390" s="41">
        <v>0</v>
      </c>
      <c r="V14390" s="42" t="s">
        <v>113</v>
      </c>
      <c r="W14390" s="42">
        <v>0</v>
      </c>
      <c r="X14390" s="42">
        <v>0</v>
      </c>
    </row>
    <row r="14391" spans="1:24">
      <c r="A14391" s="27" t="s">
        <v>25750</v>
      </c>
      <c r="B14391" s="28" t="s">
        <v>25643</v>
      </c>
      <c r="C14391" s="27" t="s">
        <v>25751</v>
      </c>
      <c r="D14391" s="27" t="s">
        <v>17558</v>
      </c>
      <c r="E14391" s="29">
        <v>35795</v>
      </c>
      <c r="F14391" s="27">
        <v>30</v>
      </c>
      <c r="G14391" s="18">
        <v>305001.82</v>
      </c>
      <c r="H14391" s="27">
        <f t="shared" si="448"/>
        <v>0</v>
      </c>
      <c r="I14391" s="18">
        <v>197993.54</v>
      </c>
      <c r="J14391" s="27">
        <v>305001.82</v>
      </c>
      <c r="K14391" s="18">
        <f t="shared" si="449"/>
        <v>0</v>
      </c>
      <c r="L14391" s="27">
        <v>208188.89</v>
      </c>
      <c r="M14391" s="36">
        <v>10195.35</v>
      </c>
      <c r="T14391" s="41">
        <v>0</v>
      </c>
      <c r="U14391" s="41">
        <v>0</v>
      </c>
      <c r="V14391" s="42" t="s">
        <v>113</v>
      </c>
      <c r="W14391" s="42">
        <v>0</v>
      </c>
      <c r="X14391" s="42">
        <v>0</v>
      </c>
    </row>
    <row r="14392" spans="1:24">
      <c r="A14392" s="27" t="s">
        <v>25752</v>
      </c>
      <c r="B14392" s="28" t="s">
        <v>25643</v>
      </c>
      <c r="C14392" s="27" t="s">
        <v>25718</v>
      </c>
      <c r="D14392" s="27" t="s">
        <v>17558</v>
      </c>
      <c r="E14392" s="29">
        <v>35795</v>
      </c>
      <c r="F14392" s="27">
        <v>30</v>
      </c>
      <c r="G14392" s="18">
        <v>305001.82</v>
      </c>
      <c r="H14392" s="27">
        <f t="shared" si="448"/>
        <v>0</v>
      </c>
      <c r="I14392" s="18">
        <v>197993.54</v>
      </c>
      <c r="J14392" s="27">
        <v>305001.82</v>
      </c>
      <c r="K14392" s="18">
        <f t="shared" si="449"/>
        <v>0</v>
      </c>
      <c r="L14392" s="27">
        <v>208188.89</v>
      </c>
      <c r="M14392" s="36">
        <v>10195.35</v>
      </c>
      <c r="T14392" s="41">
        <v>0</v>
      </c>
      <c r="U14392" s="41">
        <v>0</v>
      </c>
      <c r="V14392" s="42" t="s">
        <v>113</v>
      </c>
      <c r="W14392" s="42">
        <v>0</v>
      </c>
      <c r="X14392" s="42">
        <v>0</v>
      </c>
    </row>
    <row r="14393" spans="1:24">
      <c r="A14393" s="27" t="s">
        <v>25753</v>
      </c>
      <c r="B14393" s="28" t="s">
        <v>25643</v>
      </c>
      <c r="C14393" s="27" t="s">
        <v>25720</v>
      </c>
      <c r="D14393" s="27" t="s">
        <v>17558</v>
      </c>
      <c r="E14393" s="29">
        <v>35795</v>
      </c>
      <c r="F14393" s="27">
        <v>30</v>
      </c>
      <c r="G14393" s="18">
        <v>305001.82</v>
      </c>
      <c r="H14393" s="27">
        <f t="shared" si="448"/>
        <v>0</v>
      </c>
      <c r="I14393" s="18">
        <v>197993.54</v>
      </c>
      <c r="J14393" s="27">
        <v>305001.82</v>
      </c>
      <c r="K14393" s="18">
        <f t="shared" si="449"/>
        <v>0</v>
      </c>
      <c r="L14393" s="27">
        <v>208188.89</v>
      </c>
      <c r="M14393" s="36">
        <v>10195.35</v>
      </c>
      <c r="T14393" s="41">
        <v>0</v>
      </c>
      <c r="U14393" s="41">
        <v>0</v>
      </c>
      <c r="V14393" s="42" t="s">
        <v>113</v>
      </c>
      <c r="W14393" s="42">
        <v>0</v>
      </c>
      <c r="X14393" s="42">
        <v>0</v>
      </c>
    </row>
    <row r="14394" spans="1:24">
      <c r="A14394" s="27" t="s">
        <v>25754</v>
      </c>
      <c r="B14394" s="28" t="s">
        <v>25643</v>
      </c>
      <c r="C14394" s="27" t="s">
        <v>25722</v>
      </c>
      <c r="D14394" s="27" t="s">
        <v>17558</v>
      </c>
      <c r="E14394" s="29">
        <v>35795</v>
      </c>
      <c r="F14394" s="27">
        <v>30</v>
      </c>
      <c r="G14394" s="18">
        <v>305001.82</v>
      </c>
      <c r="H14394" s="27">
        <f t="shared" si="448"/>
        <v>0</v>
      </c>
      <c r="I14394" s="18">
        <v>197993.54</v>
      </c>
      <c r="J14394" s="27">
        <v>305001.82</v>
      </c>
      <c r="K14394" s="18">
        <f t="shared" si="449"/>
        <v>0</v>
      </c>
      <c r="L14394" s="27">
        <v>208188.89</v>
      </c>
      <c r="M14394" s="36">
        <v>10195.35</v>
      </c>
      <c r="T14394" s="41">
        <v>0</v>
      </c>
      <c r="U14394" s="41">
        <v>0</v>
      </c>
      <c r="V14394" s="42" t="s">
        <v>113</v>
      </c>
      <c r="W14394" s="42">
        <v>0</v>
      </c>
      <c r="X14394" s="42">
        <v>0</v>
      </c>
    </row>
    <row r="14395" spans="1:24">
      <c r="A14395" s="27" t="s">
        <v>25755</v>
      </c>
      <c r="B14395" s="28" t="s">
        <v>25643</v>
      </c>
      <c r="C14395" s="27" t="s">
        <v>25756</v>
      </c>
      <c r="D14395" s="27" t="s">
        <v>17558</v>
      </c>
      <c r="E14395" s="29">
        <v>35795</v>
      </c>
      <c r="F14395" s="27">
        <v>30</v>
      </c>
      <c r="G14395" s="18">
        <v>305001.82</v>
      </c>
      <c r="H14395" s="27">
        <f t="shared" si="448"/>
        <v>0</v>
      </c>
      <c r="I14395" s="18">
        <v>197993.54</v>
      </c>
      <c r="J14395" s="27">
        <v>305001.82</v>
      </c>
      <c r="K14395" s="18">
        <f t="shared" si="449"/>
        <v>0</v>
      </c>
      <c r="L14395" s="27">
        <v>208188.89</v>
      </c>
      <c r="M14395" s="36">
        <v>10195.35</v>
      </c>
      <c r="T14395" s="41">
        <v>0</v>
      </c>
      <c r="U14395" s="41">
        <v>0</v>
      </c>
      <c r="V14395" s="42" t="s">
        <v>113</v>
      </c>
      <c r="W14395" s="42">
        <v>0</v>
      </c>
      <c r="X14395" s="42">
        <v>0</v>
      </c>
    </row>
    <row r="14396" spans="1:24">
      <c r="A14396" s="27" t="s">
        <v>25757</v>
      </c>
      <c r="B14396" s="28" t="s">
        <v>25643</v>
      </c>
      <c r="C14396" s="27" t="s">
        <v>25728</v>
      </c>
      <c r="D14396" s="27" t="s">
        <v>17558</v>
      </c>
      <c r="E14396" s="29">
        <v>35795</v>
      </c>
      <c r="F14396" s="27">
        <v>30</v>
      </c>
      <c r="G14396" s="18">
        <v>305001.82</v>
      </c>
      <c r="H14396" s="27">
        <f t="shared" si="448"/>
        <v>0</v>
      </c>
      <c r="I14396" s="18">
        <v>197993.54</v>
      </c>
      <c r="J14396" s="27">
        <v>305001.82</v>
      </c>
      <c r="K14396" s="18">
        <f t="shared" si="449"/>
        <v>0</v>
      </c>
      <c r="L14396" s="27">
        <v>208188.89</v>
      </c>
      <c r="M14396" s="36">
        <v>10195.35</v>
      </c>
      <c r="T14396" s="41">
        <v>0</v>
      </c>
      <c r="U14396" s="41">
        <v>0</v>
      </c>
      <c r="V14396" s="42" t="s">
        <v>113</v>
      </c>
      <c r="W14396" s="42">
        <v>0</v>
      </c>
      <c r="X14396" s="42">
        <v>0</v>
      </c>
    </row>
    <row r="14397" spans="1:24">
      <c r="A14397" s="27" t="s">
        <v>25758</v>
      </c>
      <c r="B14397" s="28" t="s">
        <v>25643</v>
      </c>
      <c r="C14397" s="27" t="s">
        <v>25730</v>
      </c>
      <c r="D14397" s="27" t="s">
        <v>17558</v>
      </c>
      <c r="E14397" s="29">
        <v>35795</v>
      </c>
      <c r="F14397" s="27">
        <v>30</v>
      </c>
      <c r="G14397" s="18">
        <v>305001.82</v>
      </c>
      <c r="H14397" s="27">
        <f t="shared" si="448"/>
        <v>0</v>
      </c>
      <c r="I14397" s="18">
        <v>197993.54</v>
      </c>
      <c r="J14397" s="27">
        <v>305001.82</v>
      </c>
      <c r="K14397" s="18">
        <f t="shared" si="449"/>
        <v>0</v>
      </c>
      <c r="L14397" s="27">
        <v>208188.89</v>
      </c>
      <c r="M14397" s="36">
        <v>10195.35</v>
      </c>
      <c r="T14397" s="41">
        <v>0</v>
      </c>
      <c r="U14397" s="41">
        <v>0</v>
      </c>
      <c r="V14397" s="42" t="s">
        <v>113</v>
      </c>
      <c r="W14397" s="42">
        <v>0</v>
      </c>
      <c r="X14397" s="42">
        <v>0</v>
      </c>
    </row>
    <row r="14398" spans="1:24">
      <c r="A14398" s="27" t="s">
        <v>25759</v>
      </c>
      <c r="B14398" s="28" t="s">
        <v>25643</v>
      </c>
      <c r="C14398" s="27" t="s">
        <v>25732</v>
      </c>
      <c r="D14398" s="27" t="s">
        <v>17558</v>
      </c>
      <c r="E14398" s="29">
        <v>35795</v>
      </c>
      <c r="F14398" s="27">
        <v>30</v>
      </c>
      <c r="G14398" s="18">
        <v>305001.82</v>
      </c>
      <c r="H14398" s="27">
        <f t="shared" si="448"/>
        <v>0</v>
      </c>
      <c r="I14398" s="18">
        <v>197993.54</v>
      </c>
      <c r="J14398" s="27">
        <v>305001.82</v>
      </c>
      <c r="K14398" s="18">
        <f t="shared" si="449"/>
        <v>0</v>
      </c>
      <c r="L14398" s="27">
        <v>208188.89</v>
      </c>
      <c r="M14398" s="36">
        <v>10195.35</v>
      </c>
      <c r="T14398" s="41">
        <v>0</v>
      </c>
      <c r="U14398" s="41">
        <v>0</v>
      </c>
      <c r="V14398" s="42" t="s">
        <v>113</v>
      </c>
      <c r="W14398" s="42">
        <v>0</v>
      </c>
      <c r="X14398" s="42">
        <v>0</v>
      </c>
    </row>
    <row r="14399" spans="1:24">
      <c r="A14399" s="27" t="s">
        <v>25760</v>
      </c>
      <c r="B14399" s="28" t="s">
        <v>25643</v>
      </c>
      <c r="C14399" s="27" t="s">
        <v>25734</v>
      </c>
      <c r="D14399" s="27" t="s">
        <v>17558</v>
      </c>
      <c r="E14399" s="29">
        <v>35795</v>
      </c>
      <c r="F14399" s="27">
        <v>30</v>
      </c>
      <c r="G14399" s="18">
        <v>305001.82</v>
      </c>
      <c r="H14399" s="27">
        <f t="shared" si="448"/>
        <v>0</v>
      </c>
      <c r="I14399" s="18">
        <v>203788.63</v>
      </c>
      <c r="J14399" s="27">
        <v>305001.82</v>
      </c>
      <c r="K14399" s="18">
        <f t="shared" si="449"/>
        <v>0</v>
      </c>
      <c r="L14399" s="27">
        <v>213340.09</v>
      </c>
      <c r="M14399" s="36">
        <v>9551.4599999999991</v>
      </c>
      <c r="T14399" s="41">
        <v>0</v>
      </c>
      <c r="U14399" s="41">
        <v>0</v>
      </c>
      <c r="V14399" s="42" t="s">
        <v>113</v>
      </c>
      <c r="W14399" s="42">
        <v>0</v>
      </c>
      <c r="X14399" s="42">
        <v>0</v>
      </c>
    </row>
    <row r="14400" spans="1:24">
      <c r="A14400" s="27" t="s">
        <v>25761</v>
      </c>
      <c r="B14400" s="28" t="s">
        <v>25643</v>
      </c>
      <c r="C14400" s="27" t="s">
        <v>25736</v>
      </c>
      <c r="D14400" s="27" t="s">
        <v>17558</v>
      </c>
      <c r="E14400" s="29">
        <v>35795</v>
      </c>
      <c r="F14400" s="27">
        <v>30</v>
      </c>
      <c r="G14400" s="18">
        <v>305001.82</v>
      </c>
      <c r="H14400" s="27">
        <f t="shared" si="448"/>
        <v>0</v>
      </c>
      <c r="I14400" s="18">
        <v>195095.99</v>
      </c>
      <c r="J14400" s="27">
        <v>305001.82</v>
      </c>
      <c r="K14400" s="18">
        <f t="shared" si="449"/>
        <v>0</v>
      </c>
      <c r="L14400" s="27">
        <v>205613.29</v>
      </c>
      <c r="M14400" s="36">
        <v>10517.3</v>
      </c>
      <c r="T14400" s="41">
        <v>0</v>
      </c>
      <c r="U14400" s="41">
        <v>0</v>
      </c>
      <c r="V14400" s="42" t="s">
        <v>113</v>
      </c>
      <c r="W14400" s="42">
        <v>0</v>
      </c>
      <c r="X14400" s="42">
        <v>0</v>
      </c>
    </row>
    <row r="14401" spans="1:24">
      <c r="A14401" s="27" t="s">
        <v>25762</v>
      </c>
      <c r="B14401" s="28" t="s">
        <v>25643</v>
      </c>
      <c r="C14401" s="27" t="s">
        <v>25763</v>
      </c>
      <c r="D14401" s="27" t="s">
        <v>230</v>
      </c>
      <c r="E14401" s="29">
        <v>42216</v>
      </c>
      <c r="F14401" s="27">
        <v>30</v>
      </c>
      <c r="G14401" s="18">
        <v>1314854.8899999999</v>
      </c>
      <c r="H14401" s="27">
        <f t="shared" si="448"/>
        <v>0</v>
      </c>
      <c r="I14401" s="18">
        <v>154731.56</v>
      </c>
      <c r="J14401" s="27">
        <v>1314854.8899999999</v>
      </c>
      <c r="K14401" s="18">
        <f t="shared" si="449"/>
        <v>0</v>
      </c>
      <c r="L14401" s="27">
        <v>195899.48</v>
      </c>
      <c r="M14401" s="36">
        <v>41167.919999999998</v>
      </c>
      <c r="T14401" s="41">
        <v>0</v>
      </c>
      <c r="U14401" s="41">
        <v>0</v>
      </c>
      <c r="V14401" s="42" t="s">
        <v>113</v>
      </c>
      <c r="W14401" s="42">
        <v>0</v>
      </c>
      <c r="X14401" s="42">
        <v>0</v>
      </c>
    </row>
    <row r="14402" spans="1:24">
      <c r="A14402" s="27" t="s">
        <v>25764</v>
      </c>
      <c r="B14402" s="28" t="s">
        <v>25643</v>
      </c>
      <c r="C14402" s="27" t="s">
        <v>25765</v>
      </c>
      <c r="D14402" s="27" t="s">
        <v>230</v>
      </c>
      <c r="E14402" s="29">
        <v>42216</v>
      </c>
      <c r="F14402" s="27">
        <v>30</v>
      </c>
      <c r="G14402" s="18">
        <v>1157579.0900000001</v>
      </c>
      <c r="H14402" s="27">
        <f t="shared" si="448"/>
        <v>0</v>
      </c>
      <c r="I14402" s="18">
        <v>136762.84</v>
      </c>
      <c r="J14402" s="27">
        <v>1157579.0900000001</v>
      </c>
      <c r="K14402" s="18">
        <f t="shared" si="449"/>
        <v>0</v>
      </c>
      <c r="L14402" s="27">
        <v>173214.73</v>
      </c>
      <c r="M14402" s="36">
        <v>36451.89</v>
      </c>
      <c r="T14402" s="41">
        <v>0</v>
      </c>
      <c r="U14402" s="41">
        <v>0</v>
      </c>
      <c r="V14402" s="42" t="s">
        <v>113</v>
      </c>
      <c r="W14402" s="42">
        <v>0</v>
      </c>
      <c r="X14402" s="42">
        <v>0</v>
      </c>
    </row>
    <row r="14403" spans="1:24">
      <c r="A14403" s="27" t="s">
        <v>25766</v>
      </c>
      <c r="B14403" s="28" t="s">
        <v>25643</v>
      </c>
      <c r="C14403" s="27" t="s">
        <v>25745</v>
      </c>
      <c r="D14403" s="27" t="s">
        <v>17558</v>
      </c>
      <c r="E14403" s="29">
        <v>32752</v>
      </c>
      <c r="F14403" s="27">
        <v>30</v>
      </c>
      <c r="G14403" s="18">
        <v>1105328.6000000001</v>
      </c>
      <c r="H14403" s="27">
        <f t="shared" si="448"/>
        <v>0</v>
      </c>
      <c r="I14403" s="18">
        <v>855853.45</v>
      </c>
      <c r="J14403" s="27">
        <v>1105328.6000000001</v>
      </c>
      <c r="K14403" s="18">
        <f t="shared" si="449"/>
        <v>1105328.6000000001</v>
      </c>
      <c r="L14403" s="27">
        <v>1050062.17</v>
      </c>
      <c r="M14403" s="36">
        <v>194208.72</v>
      </c>
      <c r="T14403" s="41">
        <v>0</v>
      </c>
      <c r="U14403" s="41">
        <v>0</v>
      </c>
      <c r="V14403" s="42" t="s">
        <v>113</v>
      </c>
      <c r="W14403" s="42">
        <v>1105328.6000000001</v>
      </c>
      <c r="X14403" s="42">
        <v>1105328.6000000001</v>
      </c>
    </row>
    <row r="14404" spans="1:24">
      <c r="A14404" s="27" t="s">
        <v>25767</v>
      </c>
      <c r="B14404" s="28" t="s">
        <v>25643</v>
      </c>
      <c r="C14404" s="27" t="s">
        <v>25768</v>
      </c>
      <c r="D14404" s="27" t="s">
        <v>118</v>
      </c>
      <c r="E14404" s="29">
        <v>36372</v>
      </c>
      <c r="F14404" s="27">
        <v>12</v>
      </c>
      <c r="G14404" s="18">
        <v>84635.98</v>
      </c>
      <c r="H14404" s="27">
        <f t="shared" si="448"/>
        <v>84635.98</v>
      </c>
      <c r="I14404" s="18">
        <v>80404.179999999993</v>
      </c>
      <c r="J14404" s="27">
        <v>84635.98</v>
      </c>
      <c r="K14404" s="18">
        <f t="shared" si="449"/>
        <v>84635.98</v>
      </c>
      <c r="L14404" s="27">
        <v>80404.179999999993</v>
      </c>
      <c r="M14404" s="36">
        <v>0</v>
      </c>
      <c r="T14404" s="41">
        <v>0</v>
      </c>
      <c r="U14404" s="41">
        <v>0</v>
      </c>
      <c r="V14404" s="42" t="s">
        <v>113</v>
      </c>
      <c r="W14404" s="42">
        <v>84635.98</v>
      </c>
      <c r="X14404" s="42">
        <v>84635.98</v>
      </c>
    </row>
    <row r="14405" spans="1:24">
      <c r="A14405" s="27" t="s">
        <v>25769</v>
      </c>
      <c r="B14405" s="28" t="s">
        <v>25643</v>
      </c>
      <c r="C14405" s="27" t="s">
        <v>25770</v>
      </c>
      <c r="D14405" s="27" t="s">
        <v>118</v>
      </c>
      <c r="E14405" s="29">
        <v>36372</v>
      </c>
      <c r="F14405" s="27">
        <v>12</v>
      </c>
      <c r="G14405" s="18">
        <v>65734.240000000005</v>
      </c>
      <c r="H14405" s="27">
        <f t="shared" si="448"/>
        <v>65734.240000000005</v>
      </c>
      <c r="I14405" s="18">
        <v>62447.53</v>
      </c>
      <c r="J14405" s="27">
        <v>65734.240000000005</v>
      </c>
      <c r="K14405" s="18">
        <f t="shared" si="449"/>
        <v>65734.240000000005</v>
      </c>
      <c r="L14405" s="27">
        <v>62447.53</v>
      </c>
      <c r="M14405" s="36">
        <v>0</v>
      </c>
      <c r="T14405" s="41">
        <v>0</v>
      </c>
      <c r="U14405" s="41">
        <v>0</v>
      </c>
      <c r="V14405" s="42" t="s">
        <v>113</v>
      </c>
      <c r="W14405" s="42">
        <v>65734.240000000005</v>
      </c>
      <c r="X14405" s="42">
        <v>65734.240000000005</v>
      </c>
    </row>
    <row r="14406" spans="1:24">
      <c r="A14406" s="27" t="s">
        <v>25771</v>
      </c>
      <c r="B14406" s="28" t="s">
        <v>25643</v>
      </c>
      <c r="C14406" s="27" t="s">
        <v>25772</v>
      </c>
      <c r="D14406" s="27" t="s">
        <v>118</v>
      </c>
      <c r="E14406" s="29">
        <v>36372</v>
      </c>
      <c r="F14406" s="27">
        <v>12</v>
      </c>
      <c r="G14406" s="18">
        <v>54768.56</v>
      </c>
      <c r="H14406" s="27">
        <f t="shared" ref="H14406:H14469" si="450">IFERROR(IF(ROUND((G14406-I14406)/G14406,2)&lt;=0.05,G14406,0),0)</f>
        <v>54768.56</v>
      </c>
      <c r="I14406" s="18">
        <v>52030.13</v>
      </c>
      <c r="J14406" s="27">
        <v>54768.56</v>
      </c>
      <c r="K14406" s="18">
        <f t="shared" ref="K14406:K14469" si="451">IFERROR(IF(ROUND((J14406-L14406)/J14406,2)&lt;=0.05,J14406,0),0)</f>
        <v>54768.56</v>
      </c>
      <c r="L14406" s="27">
        <v>52030.13</v>
      </c>
      <c r="M14406" s="36">
        <v>0</v>
      </c>
      <c r="T14406" s="41">
        <v>0</v>
      </c>
      <c r="U14406" s="41">
        <v>0</v>
      </c>
      <c r="V14406" s="42" t="s">
        <v>113</v>
      </c>
      <c r="W14406" s="42">
        <v>54768.56</v>
      </c>
      <c r="X14406" s="42">
        <v>54768.56</v>
      </c>
    </row>
    <row r="14407" spans="1:24">
      <c r="A14407" s="27" t="s">
        <v>25773</v>
      </c>
      <c r="B14407" s="28" t="s">
        <v>25643</v>
      </c>
      <c r="C14407" s="27" t="s">
        <v>25774</v>
      </c>
      <c r="D14407" s="27" t="s">
        <v>118</v>
      </c>
      <c r="E14407" s="29">
        <v>36372</v>
      </c>
      <c r="F14407" s="27">
        <v>12</v>
      </c>
      <c r="G14407" s="18">
        <v>59466</v>
      </c>
      <c r="H14407" s="27">
        <f t="shared" si="450"/>
        <v>59466</v>
      </c>
      <c r="I14407" s="18">
        <v>56492.7</v>
      </c>
      <c r="J14407" s="27">
        <v>59466</v>
      </c>
      <c r="K14407" s="18">
        <f t="shared" si="451"/>
        <v>59466</v>
      </c>
      <c r="L14407" s="27">
        <v>56492.7</v>
      </c>
      <c r="M14407" s="36">
        <v>0</v>
      </c>
      <c r="T14407" s="41">
        <v>0</v>
      </c>
      <c r="U14407" s="41">
        <v>0</v>
      </c>
      <c r="V14407" s="42" t="s">
        <v>113</v>
      </c>
      <c r="W14407" s="42">
        <v>59466</v>
      </c>
      <c r="X14407" s="42">
        <v>59466</v>
      </c>
    </row>
    <row r="14408" spans="1:24">
      <c r="A14408" s="27" t="s">
        <v>25775</v>
      </c>
      <c r="B14408" s="28" t="s">
        <v>25643</v>
      </c>
      <c r="C14408" s="27" t="s">
        <v>25776</v>
      </c>
      <c r="D14408" s="27" t="s">
        <v>17558</v>
      </c>
      <c r="E14408" s="29">
        <v>36372</v>
      </c>
      <c r="F14408" s="27">
        <v>12</v>
      </c>
      <c r="G14408" s="18">
        <v>80065.919999999998</v>
      </c>
      <c r="H14408" s="27">
        <f t="shared" si="450"/>
        <v>80065.919999999998</v>
      </c>
      <c r="I14408" s="18">
        <v>76062.62</v>
      </c>
      <c r="J14408" s="27">
        <v>80065.919999999998</v>
      </c>
      <c r="K14408" s="18">
        <f t="shared" si="451"/>
        <v>80065.919999999998</v>
      </c>
      <c r="L14408" s="27">
        <v>76062.62</v>
      </c>
      <c r="M14408" s="36">
        <v>0</v>
      </c>
      <c r="T14408" s="41">
        <v>0</v>
      </c>
      <c r="U14408" s="41">
        <v>0</v>
      </c>
      <c r="V14408" s="42" t="s">
        <v>113</v>
      </c>
      <c r="W14408" s="42">
        <v>80065.919999999998</v>
      </c>
      <c r="X14408" s="42">
        <v>80065.919999999998</v>
      </c>
    </row>
    <row r="14409" spans="1:24">
      <c r="A14409" s="27" t="s">
        <v>25777</v>
      </c>
      <c r="B14409" s="28" t="s">
        <v>25643</v>
      </c>
      <c r="C14409" s="27" t="s">
        <v>25778</v>
      </c>
      <c r="D14409" s="27" t="s">
        <v>118</v>
      </c>
      <c r="E14409" s="29">
        <v>36372</v>
      </c>
      <c r="F14409" s="27">
        <v>12</v>
      </c>
      <c r="G14409" s="18">
        <v>89760</v>
      </c>
      <c r="H14409" s="27">
        <f t="shared" si="450"/>
        <v>89760</v>
      </c>
      <c r="I14409" s="18">
        <v>85272</v>
      </c>
      <c r="J14409" s="27">
        <v>89760</v>
      </c>
      <c r="K14409" s="18">
        <f t="shared" si="451"/>
        <v>89760</v>
      </c>
      <c r="L14409" s="27">
        <v>85272</v>
      </c>
      <c r="M14409" s="36">
        <v>0</v>
      </c>
      <c r="T14409" s="41">
        <v>0</v>
      </c>
      <c r="U14409" s="41">
        <v>0</v>
      </c>
      <c r="V14409" s="42" t="s">
        <v>113</v>
      </c>
      <c r="W14409" s="42">
        <v>89760</v>
      </c>
      <c r="X14409" s="42">
        <v>89760</v>
      </c>
    </row>
    <row r="14410" spans="1:24">
      <c r="A14410" s="27" t="s">
        <v>25779</v>
      </c>
      <c r="B14410" s="28" t="s">
        <v>25643</v>
      </c>
      <c r="C14410" s="27" t="s">
        <v>25780</v>
      </c>
      <c r="D14410" s="27" t="s">
        <v>118</v>
      </c>
      <c r="E14410" s="29">
        <v>36372</v>
      </c>
      <c r="F14410" s="27">
        <v>12</v>
      </c>
      <c r="G14410" s="18">
        <v>49368</v>
      </c>
      <c r="H14410" s="27">
        <f t="shared" si="450"/>
        <v>49368</v>
      </c>
      <c r="I14410" s="18">
        <v>46899.6</v>
      </c>
      <c r="J14410" s="27">
        <v>49368</v>
      </c>
      <c r="K14410" s="18">
        <f t="shared" si="451"/>
        <v>49368</v>
      </c>
      <c r="L14410" s="27">
        <v>46899.6</v>
      </c>
      <c r="M14410" s="36">
        <v>0</v>
      </c>
      <c r="T14410" s="41">
        <v>0</v>
      </c>
      <c r="U14410" s="41">
        <v>0</v>
      </c>
      <c r="V14410" s="42" t="s">
        <v>113</v>
      </c>
      <c r="W14410" s="42">
        <v>49368</v>
      </c>
      <c r="X14410" s="42">
        <v>49368</v>
      </c>
    </row>
    <row r="14411" spans="1:24">
      <c r="A14411" s="27" t="s">
        <v>25781</v>
      </c>
      <c r="B14411" s="28" t="s">
        <v>25643</v>
      </c>
      <c r="C14411" s="27" t="s">
        <v>25782</v>
      </c>
      <c r="D14411" s="27" t="s">
        <v>118</v>
      </c>
      <c r="E14411" s="29">
        <v>36372</v>
      </c>
      <c r="F14411" s="27">
        <v>12</v>
      </c>
      <c r="G14411" s="18">
        <v>146234</v>
      </c>
      <c r="H14411" s="27">
        <f t="shared" si="450"/>
        <v>146234</v>
      </c>
      <c r="I14411" s="18">
        <v>138922.29999999999</v>
      </c>
      <c r="J14411" s="27">
        <v>146234</v>
      </c>
      <c r="K14411" s="18">
        <f t="shared" si="451"/>
        <v>146234</v>
      </c>
      <c r="L14411" s="27">
        <v>138922.29999999999</v>
      </c>
      <c r="M14411" s="36">
        <v>0</v>
      </c>
      <c r="T14411" s="41">
        <v>0</v>
      </c>
      <c r="U14411" s="41">
        <v>0</v>
      </c>
      <c r="V14411" s="42" t="s">
        <v>113</v>
      </c>
      <c r="W14411" s="42">
        <v>146234</v>
      </c>
      <c r="X14411" s="42">
        <v>146234</v>
      </c>
    </row>
    <row r="14412" spans="1:24">
      <c r="A14412" s="27" t="s">
        <v>25783</v>
      </c>
      <c r="B14412" s="28" t="s">
        <v>25643</v>
      </c>
      <c r="C14412" s="27" t="s">
        <v>25784</v>
      </c>
      <c r="D14412" s="27" t="s">
        <v>118</v>
      </c>
      <c r="E14412" s="29">
        <v>36372</v>
      </c>
      <c r="F14412" s="27">
        <v>12</v>
      </c>
      <c r="G14412" s="18">
        <v>42568.68</v>
      </c>
      <c r="H14412" s="27">
        <f t="shared" si="450"/>
        <v>42568.68</v>
      </c>
      <c r="I14412" s="18">
        <v>40440.25</v>
      </c>
      <c r="J14412" s="27">
        <v>42568.68</v>
      </c>
      <c r="K14412" s="18">
        <f t="shared" si="451"/>
        <v>42568.68</v>
      </c>
      <c r="L14412" s="27">
        <v>40440.25</v>
      </c>
      <c r="M14412" s="36">
        <v>0</v>
      </c>
      <c r="T14412" s="41">
        <v>0</v>
      </c>
      <c r="U14412" s="41">
        <v>0</v>
      </c>
      <c r="V14412" s="42" t="s">
        <v>113</v>
      </c>
      <c r="W14412" s="42">
        <v>42568.68</v>
      </c>
      <c r="X14412" s="42">
        <v>42568.68</v>
      </c>
    </row>
    <row r="14413" spans="1:24">
      <c r="A14413" s="27" t="s">
        <v>25785</v>
      </c>
      <c r="B14413" s="28" t="s">
        <v>25643</v>
      </c>
      <c r="C14413" s="27" t="s">
        <v>25786</v>
      </c>
      <c r="D14413" s="27" t="s">
        <v>118</v>
      </c>
      <c r="E14413" s="29">
        <v>36372</v>
      </c>
      <c r="F14413" s="27">
        <v>12</v>
      </c>
      <c r="G14413" s="18">
        <v>251043.76</v>
      </c>
      <c r="H14413" s="27">
        <f t="shared" si="450"/>
        <v>251043.76</v>
      </c>
      <c r="I14413" s="18">
        <v>238491.57</v>
      </c>
      <c r="J14413" s="27">
        <v>251043.76</v>
      </c>
      <c r="K14413" s="18">
        <f t="shared" si="451"/>
        <v>251043.76</v>
      </c>
      <c r="L14413" s="27">
        <v>238491.57</v>
      </c>
      <c r="M14413" s="36">
        <v>0</v>
      </c>
      <c r="T14413" s="41">
        <v>0</v>
      </c>
      <c r="U14413" s="41">
        <v>0</v>
      </c>
      <c r="V14413" s="42" t="s">
        <v>113</v>
      </c>
      <c r="W14413" s="42">
        <v>251043.76</v>
      </c>
      <c r="X14413" s="42">
        <v>251043.76</v>
      </c>
    </row>
    <row r="14414" spans="1:24">
      <c r="A14414" s="27" t="s">
        <v>25787</v>
      </c>
      <c r="B14414" s="28" t="s">
        <v>25643</v>
      </c>
      <c r="C14414" s="27" t="s">
        <v>25788</v>
      </c>
      <c r="D14414" s="27" t="s">
        <v>118</v>
      </c>
      <c r="E14414" s="29">
        <v>36372</v>
      </c>
      <c r="F14414" s="27">
        <v>12</v>
      </c>
      <c r="G14414" s="18">
        <v>15446.2</v>
      </c>
      <c r="H14414" s="27">
        <f t="shared" si="450"/>
        <v>15446.2</v>
      </c>
      <c r="I14414" s="18">
        <v>14673.89</v>
      </c>
      <c r="J14414" s="27">
        <v>15446.2</v>
      </c>
      <c r="K14414" s="18">
        <f t="shared" si="451"/>
        <v>15446.2</v>
      </c>
      <c r="L14414" s="27">
        <v>14673.89</v>
      </c>
      <c r="M14414" s="36">
        <v>0</v>
      </c>
      <c r="T14414" s="41">
        <v>0</v>
      </c>
      <c r="U14414" s="41">
        <v>0</v>
      </c>
      <c r="V14414" s="42" t="s">
        <v>113</v>
      </c>
      <c r="W14414" s="42">
        <v>15446.2</v>
      </c>
      <c r="X14414" s="42">
        <v>15446.2</v>
      </c>
    </row>
    <row r="14415" spans="1:24">
      <c r="A14415" s="27" t="s">
        <v>25789</v>
      </c>
      <c r="B14415" s="28" t="s">
        <v>25643</v>
      </c>
      <c r="C14415" s="27" t="s">
        <v>25790</v>
      </c>
      <c r="D14415" s="27" t="s">
        <v>17558</v>
      </c>
      <c r="E14415" s="29">
        <v>36130</v>
      </c>
      <c r="F14415" s="27">
        <v>12</v>
      </c>
      <c r="G14415" s="18">
        <v>120333.46</v>
      </c>
      <c r="H14415" s="27">
        <f t="shared" si="450"/>
        <v>0</v>
      </c>
      <c r="I14415" s="18">
        <v>80046.31</v>
      </c>
      <c r="J14415" s="27">
        <v>120333.46</v>
      </c>
      <c r="K14415" s="18">
        <f t="shared" si="451"/>
        <v>0</v>
      </c>
      <c r="L14415" s="27">
        <v>88613.93</v>
      </c>
      <c r="M14415" s="36">
        <v>8567.6200000000008</v>
      </c>
      <c r="T14415" s="41">
        <v>0</v>
      </c>
      <c r="U14415" s="41">
        <v>0</v>
      </c>
      <c r="V14415" s="42" t="s">
        <v>124</v>
      </c>
      <c r="W14415" s="42">
        <v>120333.46</v>
      </c>
      <c r="X14415" s="42">
        <v>120333.46</v>
      </c>
    </row>
    <row r="14416" spans="1:24">
      <c r="A14416" s="27" t="s">
        <v>25791</v>
      </c>
      <c r="B14416" s="28" t="s">
        <v>25643</v>
      </c>
      <c r="C14416" s="27" t="s">
        <v>25792</v>
      </c>
      <c r="D14416" s="27" t="s">
        <v>118</v>
      </c>
      <c r="E14416" s="29">
        <v>38200</v>
      </c>
      <c r="F14416" s="27">
        <v>12</v>
      </c>
      <c r="G14416" s="18">
        <v>22914.31</v>
      </c>
      <c r="H14416" s="27">
        <f t="shared" si="450"/>
        <v>22914.31</v>
      </c>
      <c r="I14416" s="18">
        <v>21768.59</v>
      </c>
      <c r="J14416" s="27">
        <v>22914.31</v>
      </c>
      <c r="K14416" s="18">
        <f t="shared" si="451"/>
        <v>22914.31</v>
      </c>
      <c r="L14416" s="27">
        <v>21768.59</v>
      </c>
      <c r="M14416" s="36">
        <v>0</v>
      </c>
      <c r="T14416" s="41">
        <v>0</v>
      </c>
      <c r="U14416" s="41">
        <v>0</v>
      </c>
      <c r="V14416" s="42" t="s">
        <v>113</v>
      </c>
      <c r="W14416" s="42">
        <v>22914.31</v>
      </c>
      <c r="X14416" s="42">
        <v>22914.31</v>
      </c>
    </row>
    <row r="14417" spans="1:24">
      <c r="A14417" s="27" t="s">
        <v>25793</v>
      </c>
      <c r="B14417" s="28" t="s">
        <v>25643</v>
      </c>
      <c r="C14417" s="27" t="s">
        <v>25794</v>
      </c>
      <c r="D14417" s="27" t="s">
        <v>17558</v>
      </c>
      <c r="E14417" s="29">
        <v>37742</v>
      </c>
      <c r="F14417" s="27">
        <v>12</v>
      </c>
      <c r="G14417" s="18">
        <v>672474.41</v>
      </c>
      <c r="H14417" s="27">
        <f t="shared" si="450"/>
        <v>672474.41</v>
      </c>
      <c r="I14417" s="18">
        <v>638850.68999999994</v>
      </c>
      <c r="J14417" s="27">
        <v>672474.41</v>
      </c>
      <c r="K14417" s="18">
        <f t="shared" si="451"/>
        <v>672474.41</v>
      </c>
      <c r="L14417" s="27">
        <v>638850.68999999994</v>
      </c>
      <c r="M14417" s="36">
        <v>0</v>
      </c>
      <c r="T14417" s="41">
        <v>0</v>
      </c>
      <c r="U14417" s="41">
        <v>0</v>
      </c>
      <c r="V14417" s="42" t="s">
        <v>113</v>
      </c>
      <c r="W14417" s="42">
        <v>672474.41</v>
      </c>
      <c r="X14417" s="42">
        <v>672474.41</v>
      </c>
    </row>
    <row r="14418" spans="1:24">
      <c r="A14418" s="27" t="s">
        <v>25795</v>
      </c>
      <c r="B14418" s="28" t="s">
        <v>25643</v>
      </c>
      <c r="C14418" s="27" t="s">
        <v>25796</v>
      </c>
      <c r="D14418" s="27" t="s">
        <v>17558</v>
      </c>
      <c r="E14418" s="29">
        <v>37742</v>
      </c>
      <c r="F14418" s="27">
        <v>12</v>
      </c>
      <c r="G14418" s="18">
        <v>398197.64</v>
      </c>
      <c r="H14418" s="27">
        <f t="shared" si="450"/>
        <v>398197.64</v>
      </c>
      <c r="I14418" s="18">
        <v>378287.76</v>
      </c>
      <c r="J14418" s="27">
        <v>398197.64</v>
      </c>
      <c r="K14418" s="18">
        <f t="shared" si="451"/>
        <v>398197.64</v>
      </c>
      <c r="L14418" s="27">
        <v>378287.76</v>
      </c>
      <c r="M14418" s="36">
        <v>0</v>
      </c>
      <c r="T14418" s="41">
        <v>0</v>
      </c>
      <c r="U14418" s="41">
        <v>0</v>
      </c>
      <c r="V14418" s="42" t="s">
        <v>113</v>
      </c>
      <c r="W14418" s="42">
        <v>398197.64</v>
      </c>
      <c r="X14418" s="42">
        <v>398197.64</v>
      </c>
    </row>
    <row r="14419" spans="1:24">
      <c r="A14419" s="27" t="s">
        <v>25797</v>
      </c>
      <c r="B14419" s="28" t="s">
        <v>25643</v>
      </c>
      <c r="C14419" s="27" t="s">
        <v>25798</v>
      </c>
      <c r="D14419" s="27" t="s">
        <v>17558</v>
      </c>
      <c r="E14419" s="29">
        <v>37742</v>
      </c>
      <c r="F14419" s="27">
        <v>12</v>
      </c>
      <c r="G14419" s="18">
        <v>207554.9</v>
      </c>
      <c r="H14419" s="27">
        <f t="shared" si="450"/>
        <v>207554.9</v>
      </c>
      <c r="I14419" s="18">
        <v>197177.15</v>
      </c>
      <c r="J14419" s="27">
        <v>207554.9</v>
      </c>
      <c r="K14419" s="18">
        <f t="shared" si="451"/>
        <v>207554.9</v>
      </c>
      <c r="L14419" s="27">
        <v>197177.15</v>
      </c>
      <c r="M14419" s="36">
        <v>0</v>
      </c>
      <c r="T14419" s="41">
        <v>0</v>
      </c>
      <c r="U14419" s="41">
        <v>0</v>
      </c>
      <c r="V14419" s="42" t="s">
        <v>113</v>
      </c>
      <c r="W14419" s="42">
        <v>207554.9</v>
      </c>
      <c r="X14419" s="42">
        <v>207554.9</v>
      </c>
    </row>
    <row r="14420" spans="1:24">
      <c r="A14420" s="27" t="s">
        <v>25799</v>
      </c>
      <c r="B14420" s="28" t="s">
        <v>25643</v>
      </c>
      <c r="C14420" s="27" t="s">
        <v>25800</v>
      </c>
      <c r="D14420" s="27" t="s">
        <v>118</v>
      </c>
      <c r="E14420" s="29">
        <v>39692</v>
      </c>
      <c r="F14420" s="27">
        <v>12</v>
      </c>
      <c r="G14420" s="18">
        <v>95933.46</v>
      </c>
      <c r="H14420" s="27">
        <f t="shared" si="450"/>
        <v>0</v>
      </c>
      <c r="I14420" s="18">
        <v>77781.48</v>
      </c>
      <c r="J14420" s="27">
        <v>95933.46</v>
      </c>
      <c r="K14420" s="18">
        <f t="shared" si="451"/>
        <v>0</v>
      </c>
      <c r="L14420" s="27">
        <v>85413.09</v>
      </c>
      <c r="M14420" s="36">
        <v>7631.61</v>
      </c>
      <c r="T14420" s="41">
        <v>0</v>
      </c>
      <c r="U14420" s="41">
        <v>0</v>
      </c>
      <c r="V14420" s="42" t="s">
        <v>113</v>
      </c>
      <c r="W14420" s="42">
        <v>95933.46</v>
      </c>
      <c r="X14420" s="42">
        <v>95933.46</v>
      </c>
    </row>
    <row r="14421" spans="1:24">
      <c r="A14421" s="27" t="s">
        <v>25801</v>
      </c>
      <c r="B14421" s="28" t="s">
        <v>25643</v>
      </c>
      <c r="C14421" s="27" t="s">
        <v>25802</v>
      </c>
      <c r="D14421" s="27" t="s">
        <v>118</v>
      </c>
      <c r="E14421" s="29">
        <v>39692</v>
      </c>
      <c r="F14421" s="27">
        <v>12</v>
      </c>
      <c r="G14421" s="18">
        <v>31548.720000000001</v>
      </c>
      <c r="H14421" s="27">
        <f t="shared" si="450"/>
        <v>0</v>
      </c>
      <c r="I14421" s="18">
        <v>25579.24</v>
      </c>
      <c r="J14421" s="27">
        <v>31548.720000000001</v>
      </c>
      <c r="K14421" s="18">
        <f t="shared" si="451"/>
        <v>0</v>
      </c>
      <c r="L14421" s="27">
        <v>28088.98</v>
      </c>
      <c r="M14421" s="36">
        <v>2509.7399999999998</v>
      </c>
      <c r="T14421" s="41">
        <v>0</v>
      </c>
      <c r="U14421" s="41">
        <v>0</v>
      </c>
      <c r="V14421" s="42" t="s">
        <v>113</v>
      </c>
      <c r="W14421" s="42">
        <v>31548.720000000001</v>
      </c>
      <c r="X14421" s="42">
        <v>31548.720000000001</v>
      </c>
    </row>
    <row r="14422" spans="1:24">
      <c r="A14422" s="27" t="s">
        <v>25803</v>
      </c>
      <c r="B14422" s="28" t="s">
        <v>25643</v>
      </c>
      <c r="C14422" s="27" t="s">
        <v>25774</v>
      </c>
      <c r="D14422" s="27" t="s">
        <v>118</v>
      </c>
      <c r="E14422" s="29">
        <v>39692</v>
      </c>
      <c r="F14422" s="27">
        <v>12</v>
      </c>
      <c r="G14422" s="18">
        <v>88057.9</v>
      </c>
      <c r="H14422" s="27">
        <f t="shared" si="450"/>
        <v>0</v>
      </c>
      <c r="I14422" s="18">
        <v>71396.08</v>
      </c>
      <c r="J14422" s="27">
        <v>88057.9</v>
      </c>
      <c r="K14422" s="18">
        <f t="shared" si="451"/>
        <v>0</v>
      </c>
      <c r="L14422" s="27">
        <v>78401.179999999993</v>
      </c>
      <c r="M14422" s="36">
        <v>7005.1</v>
      </c>
      <c r="T14422" s="41">
        <v>0</v>
      </c>
      <c r="U14422" s="41">
        <v>0</v>
      </c>
      <c r="V14422" s="42" t="s">
        <v>113</v>
      </c>
      <c r="W14422" s="42">
        <v>88057.9</v>
      </c>
      <c r="X14422" s="42">
        <v>88057.9</v>
      </c>
    </row>
    <row r="14423" spans="1:24">
      <c r="A14423" s="27" t="s">
        <v>25804</v>
      </c>
      <c r="B14423" s="28" t="s">
        <v>25643</v>
      </c>
      <c r="C14423" s="27" t="s">
        <v>25805</v>
      </c>
      <c r="D14423" s="27" t="s">
        <v>118</v>
      </c>
      <c r="E14423" s="29">
        <v>39692</v>
      </c>
      <c r="F14423" s="27">
        <v>12</v>
      </c>
      <c r="G14423" s="18">
        <v>341730.52</v>
      </c>
      <c r="H14423" s="27">
        <f t="shared" si="450"/>
        <v>0</v>
      </c>
      <c r="I14423" s="18">
        <v>277070.21999999997</v>
      </c>
      <c r="J14423" s="27">
        <v>341730.52</v>
      </c>
      <c r="K14423" s="18">
        <f t="shared" si="451"/>
        <v>0</v>
      </c>
      <c r="L14423" s="27">
        <v>304255.23</v>
      </c>
      <c r="M14423" s="36">
        <v>27185.01</v>
      </c>
      <c r="T14423" s="41">
        <v>0</v>
      </c>
      <c r="U14423" s="41">
        <v>0</v>
      </c>
      <c r="V14423" s="42" t="s">
        <v>113</v>
      </c>
      <c r="W14423" s="42">
        <v>341730.52</v>
      </c>
      <c r="X14423" s="42">
        <v>341730.52</v>
      </c>
    </row>
    <row r="14424" spans="1:24">
      <c r="A14424" s="27" t="s">
        <v>25806</v>
      </c>
      <c r="B14424" s="28" t="s">
        <v>25643</v>
      </c>
      <c r="C14424" s="27" t="s">
        <v>25807</v>
      </c>
      <c r="D14424" s="27" t="s">
        <v>17558</v>
      </c>
      <c r="E14424" s="29">
        <v>39692</v>
      </c>
      <c r="F14424" s="27">
        <v>12</v>
      </c>
      <c r="G14424" s="18">
        <v>142855.84</v>
      </c>
      <c r="H14424" s="27">
        <f t="shared" si="450"/>
        <v>0</v>
      </c>
      <c r="I14424" s="18">
        <v>115825.48</v>
      </c>
      <c r="J14424" s="27">
        <v>142855.84</v>
      </c>
      <c r="K14424" s="18">
        <f t="shared" si="451"/>
        <v>0</v>
      </c>
      <c r="L14424" s="27">
        <v>127189.81</v>
      </c>
      <c r="M14424" s="36">
        <v>11364.33</v>
      </c>
      <c r="T14424" s="41">
        <v>0</v>
      </c>
      <c r="U14424" s="41">
        <v>0</v>
      </c>
      <c r="V14424" s="42" t="s">
        <v>113</v>
      </c>
      <c r="W14424" s="42">
        <v>142855.84</v>
      </c>
      <c r="X14424" s="42">
        <v>142855.84</v>
      </c>
    </row>
    <row r="14425" spans="1:24">
      <c r="A14425" s="27" t="s">
        <v>25808</v>
      </c>
      <c r="B14425" s="28" t="s">
        <v>25643</v>
      </c>
      <c r="C14425" s="27" t="s">
        <v>25809</v>
      </c>
      <c r="D14425" s="27" t="s">
        <v>17558</v>
      </c>
      <c r="E14425" s="29">
        <v>39692</v>
      </c>
      <c r="F14425" s="27">
        <v>12</v>
      </c>
      <c r="G14425" s="18">
        <v>1336807.8799999999</v>
      </c>
      <c r="H14425" s="27">
        <f t="shared" si="450"/>
        <v>0</v>
      </c>
      <c r="I14425" s="18">
        <v>1083864.75</v>
      </c>
      <c r="J14425" s="27">
        <v>1336807.8799999999</v>
      </c>
      <c r="K14425" s="18">
        <f t="shared" si="451"/>
        <v>0</v>
      </c>
      <c r="L14425" s="27">
        <v>1190209.17</v>
      </c>
      <c r="M14425" s="36">
        <v>106344.42</v>
      </c>
      <c r="T14425" s="41">
        <v>0</v>
      </c>
      <c r="U14425" s="41">
        <v>0</v>
      </c>
      <c r="V14425" s="42" t="s">
        <v>113</v>
      </c>
      <c r="W14425" s="42">
        <v>1336807.8799999999</v>
      </c>
      <c r="X14425" s="42">
        <v>1336807.8799999999</v>
      </c>
    </row>
    <row r="14426" spans="1:24">
      <c r="A14426" s="27" t="s">
        <v>25810</v>
      </c>
      <c r="B14426" s="28" t="s">
        <v>25643</v>
      </c>
      <c r="C14426" s="27" t="s">
        <v>25811</v>
      </c>
      <c r="D14426" s="27" t="s">
        <v>118</v>
      </c>
      <c r="E14426" s="29">
        <v>39692</v>
      </c>
      <c r="F14426" s="27">
        <v>12</v>
      </c>
      <c r="G14426" s="18">
        <v>151014.76999999999</v>
      </c>
      <c r="H14426" s="27">
        <f t="shared" si="450"/>
        <v>0</v>
      </c>
      <c r="I14426" s="18">
        <v>122440.62</v>
      </c>
      <c r="J14426" s="27">
        <v>151014.76999999999</v>
      </c>
      <c r="K14426" s="18">
        <f t="shared" si="451"/>
        <v>0</v>
      </c>
      <c r="L14426" s="27">
        <v>134454</v>
      </c>
      <c r="M14426" s="36">
        <v>12013.38</v>
      </c>
      <c r="T14426" s="41">
        <v>0</v>
      </c>
      <c r="U14426" s="41">
        <v>0</v>
      </c>
      <c r="V14426" s="42" t="s">
        <v>113</v>
      </c>
      <c r="W14426" s="42">
        <v>151014.76999999999</v>
      </c>
      <c r="X14426" s="42">
        <v>151014.76999999999</v>
      </c>
    </row>
    <row r="14427" spans="1:24">
      <c r="A14427" s="27" t="s">
        <v>25812</v>
      </c>
      <c r="B14427" s="28" t="s">
        <v>25643</v>
      </c>
      <c r="C14427" s="27" t="s">
        <v>25813</v>
      </c>
      <c r="D14427" s="27" t="s">
        <v>17558</v>
      </c>
      <c r="E14427" s="29">
        <v>39692</v>
      </c>
      <c r="F14427" s="27">
        <v>12</v>
      </c>
      <c r="G14427" s="18">
        <v>132827.38</v>
      </c>
      <c r="H14427" s="27">
        <f t="shared" si="450"/>
        <v>0</v>
      </c>
      <c r="I14427" s="18">
        <v>107694.54</v>
      </c>
      <c r="J14427" s="27">
        <v>132827.38</v>
      </c>
      <c r="K14427" s="18">
        <f t="shared" si="451"/>
        <v>0</v>
      </c>
      <c r="L14427" s="27">
        <v>118261.09</v>
      </c>
      <c r="M14427" s="36">
        <v>10566.55</v>
      </c>
      <c r="T14427" s="41">
        <v>0</v>
      </c>
      <c r="U14427" s="41">
        <v>0</v>
      </c>
      <c r="V14427" s="42" t="s">
        <v>113</v>
      </c>
      <c r="W14427" s="42">
        <v>132827.38</v>
      </c>
      <c r="X14427" s="42">
        <v>132827.38</v>
      </c>
    </row>
    <row r="14428" spans="1:24">
      <c r="A14428" s="27" t="s">
        <v>25814</v>
      </c>
      <c r="B14428" s="28" t="s">
        <v>25643</v>
      </c>
      <c r="C14428" s="27" t="s">
        <v>25815</v>
      </c>
      <c r="D14428" s="27" t="s">
        <v>118</v>
      </c>
      <c r="E14428" s="29">
        <v>39692</v>
      </c>
      <c r="F14428" s="27">
        <v>12</v>
      </c>
      <c r="G14428" s="18">
        <v>33206.839999999997</v>
      </c>
      <c r="H14428" s="27">
        <f t="shared" si="450"/>
        <v>0</v>
      </c>
      <c r="I14428" s="18">
        <v>26923.64</v>
      </c>
      <c r="J14428" s="27">
        <v>33206.839999999997</v>
      </c>
      <c r="K14428" s="18">
        <f t="shared" si="451"/>
        <v>0</v>
      </c>
      <c r="L14428" s="27">
        <v>29565.27</v>
      </c>
      <c r="M14428" s="36">
        <v>2641.63</v>
      </c>
      <c r="T14428" s="41">
        <v>0</v>
      </c>
      <c r="U14428" s="41">
        <v>0</v>
      </c>
      <c r="V14428" s="42" t="s">
        <v>113</v>
      </c>
      <c r="W14428" s="42">
        <v>33206.839999999997</v>
      </c>
      <c r="X14428" s="42">
        <v>33206.839999999997</v>
      </c>
    </row>
    <row r="14429" spans="1:24">
      <c r="A14429" s="27" t="s">
        <v>25816</v>
      </c>
      <c r="B14429" s="28" t="s">
        <v>25643</v>
      </c>
      <c r="C14429" s="27" t="s">
        <v>25817</v>
      </c>
      <c r="D14429" s="27" t="s">
        <v>17558</v>
      </c>
      <c r="E14429" s="29">
        <v>39692</v>
      </c>
      <c r="F14429" s="27">
        <v>12</v>
      </c>
      <c r="G14429" s="18">
        <v>110689.48</v>
      </c>
      <c r="H14429" s="27">
        <f t="shared" si="450"/>
        <v>0</v>
      </c>
      <c r="I14429" s="18">
        <v>89745.45</v>
      </c>
      <c r="J14429" s="27">
        <v>110689.48</v>
      </c>
      <c r="K14429" s="18">
        <f t="shared" si="451"/>
        <v>0</v>
      </c>
      <c r="L14429" s="27">
        <v>98550.91</v>
      </c>
      <c r="M14429" s="36">
        <v>8805.4599999999991</v>
      </c>
      <c r="T14429" s="41">
        <v>0</v>
      </c>
      <c r="U14429" s="41">
        <v>0</v>
      </c>
      <c r="V14429" s="42" t="s">
        <v>113</v>
      </c>
      <c r="W14429" s="42">
        <v>110689.48</v>
      </c>
      <c r="X14429" s="42">
        <v>110689.48</v>
      </c>
    </row>
    <row r="14430" spans="1:24">
      <c r="A14430" s="27" t="s">
        <v>25818</v>
      </c>
      <c r="B14430" s="28" t="s">
        <v>25643</v>
      </c>
      <c r="C14430" s="27" t="s">
        <v>25819</v>
      </c>
      <c r="D14430" s="27" t="s">
        <v>220</v>
      </c>
      <c r="E14430" s="29">
        <v>38534</v>
      </c>
      <c r="F14430" s="27">
        <v>12</v>
      </c>
      <c r="G14430" s="18">
        <v>85730.7</v>
      </c>
      <c r="H14430" s="27">
        <f t="shared" si="450"/>
        <v>85730.7</v>
      </c>
      <c r="I14430" s="18">
        <v>81444.17</v>
      </c>
      <c r="J14430" s="27">
        <v>85730.7</v>
      </c>
      <c r="K14430" s="18">
        <f t="shared" si="451"/>
        <v>85730.7</v>
      </c>
      <c r="L14430" s="27">
        <v>81444.17</v>
      </c>
      <c r="M14430" s="36">
        <v>0</v>
      </c>
      <c r="T14430" s="41">
        <v>0</v>
      </c>
      <c r="U14430" s="41">
        <v>0</v>
      </c>
      <c r="V14430" s="42" t="s">
        <v>113</v>
      </c>
      <c r="W14430" s="42">
        <v>85730.7</v>
      </c>
      <c r="X14430" s="42">
        <v>85730.7</v>
      </c>
    </row>
    <row r="14431" spans="1:24">
      <c r="A14431" s="27" t="s">
        <v>25820</v>
      </c>
      <c r="B14431" s="28" t="s">
        <v>25643</v>
      </c>
      <c r="C14431" s="27" t="s">
        <v>25821</v>
      </c>
      <c r="D14431" s="27" t="s">
        <v>220</v>
      </c>
      <c r="E14431" s="29">
        <v>38534</v>
      </c>
      <c r="F14431" s="27">
        <v>12</v>
      </c>
      <c r="G14431" s="18">
        <v>651725.56000000006</v>
      </c>
      <c r="H14431" s="27">
        <f t="shared" si="450"/>
        <v>651725.56000000006</v>
      </c>
      <c r="I14431" s="18">
        <v>619139.28</v>
      </c>
      <c r="J14431" s="27">
        <v>651725.56000000006</v>
      </c>
      <c r="K14431" s="18">
        <f t="shared" si="451"/>
        <v>651725.56000000006</v>
      </c>
      <c r="L14431" s="27">
        <v>619139.28</v>
      </c>
      <c r="M14431" s="36">
        <v>0</v>
      </c>
      <c r="T14431" s="41">
        <v>0</v>
      </c>
      <c r="U14431" s="41">
        <v>0</v>
      </c>
      <c r="V14431" s="42" t="s">
        <v>113</v>
      </c>
      <c r="W14431" s="42">
        <v>651725.56000000006</v>
      </c>
      <c r="X14431" s="42">
        <v>651725.56000000006</v>
      </c>
    </row>
    <row r="14432" spans="1:24">
      <c r="A14432" s="27" t="s">
        <v>25822</v>
      </c>
      <c r="B14432" s="28" t="s">
        <v>25643</v>
      </c>
      <c r="C14432" s="27" t="s">
        <v>25823</v>
      </c>
      <c r="D14432" s="27" t="s">
        <v>220</v>
      </c>
      <c r="E14432" s="29">
        <v>38534</v>
      </c>
      <c r="F14432" s="27">
        <v>12</v>
      </c>
      <c r="G14432" s="18">
        <v>1559634.15</v>
      </c>
      <c r="H14432" s="27">
        <f t="shared" si="450"/>
        <v>1559634.15</v>
      </c>
      <c r="I14432" s="18">
        <v>1481652.44</v>
      </c>
      <c r="J14432" s="27">
        <v>1559634.15</v>
      </c>
      <c r="K14432" s="18">
        <f t="shared" si="451"/>
        <v>1559634.15</v>
      </c>
      <c r="L14432" s="27">
        <v>1481652.44</v>
      </c>
      <c r="M14432" s="36">
        <v>0</v>
      </c>
      <c r="T14432" s="41">
        <v>0</v>
      </c>
      <c r="U14432" s="41">
        <v>0</v>
      </c>
      <c r="V14432" s="42" t="s">
        <v>113</v>
      </c>
      <c r="W14432" s="42">
        <v>1559634.15</v>
      </c>
      <c r="X14432" s="42">
        <v>1559634.15</v>
      </c>
    </row>
    <row r="14433" spans="1:24">
      <c r="A14433" s="27" t="s">
        <v>25824</v>
      </c>
      <c r="B14433" s="28" t="s">
        <v>25643</v>
      </c>
      <c r="C14433" s="27" t="s">
        <v>25825</v>
      </c>
      <c r="D14433" s="27" t="s">
        <v>220</v>
      </c>
      <c r="E14433" s="29">
        <v>38534</v>
      </c>
      <c r="F14433" s="27">
        <v>12</v>
      </c>
      <c r="G14433" s="18">
        <v>1127238.47</v>
      </c>
      <c r="H14433" s="27">
        <f t="shared" si="450"/>
        <v>1127238.47</v>
      </c>
      <c r="I14433" s="18">
        <v>1070876.55</v>
      </c>
      <c r="J14433" s="27">
        <v>1127238.47</v>
      </c>
      <c r="K14433" s="18">
        <f t="shared" si="451"/>
        <v>1127238.47</v>
      </c>
      <c r="L14433" s="27">
        <v>1070876.55</v>
      </c>
      <c r="M14433" s="36">
        <v>0</v>
      </c>
      <c r="T14433" s="41">
        <v>0</v>
      </c>
      <c r="U14433" s="41">
        <v>0</v>
      </c>
      <c r="V14433" s="42" t="s">
        <v>113</v>
      </c>
      <c r="W14433" s="42">
        <v>1127238.47</v>
      </c>
      <c r="X14433" s="42">
        <v>1127238.47</v>
      </c>
    </row>
    <row r="14434" spans="1:24">
      <c r="A14434" s="27" t="s">
        <v>25826</v>
      </c>
      <c r="B14434" s="28" t="s">
        <v>25643</v>
      </c>
      <c r="C14434" s="27" t="s">
        <v>25827</v>
      </c>
      <c r="D14434" s="27" t="s">
        <v>220</v>
      </c>
      <c r="E14434" s="29">
        <v>38534</v>
      </c>
      <c r="F14434" s="27">
        <v>12</v>
      </c>
      <c r="G14434" s="18">
        <v>921102.93</v>
      </c>
      <c r="H14434" s="27">
        <f t="shared" si="450"/>
        <v>921102.93</v>
      </c>
      <c r="I14434" s="18">
        <v>875047.78</v>
      </c>
      <c r="J14434" s="27">
        <v>921102.93</v>
      </c>
      <c r="K14434" s="18">
        <f t="shared" si="451"/>
        <v>921102.93</v>
      </c>
      <c r="L14434" s="27">
        <v>875047.78</v>
      </c>
      <c r="M14434" s="36">
        <v>0</v>
      </c>
      <c r="T14434" s="41">
        <v>0</v>
      </c>
      <c r="U14434" s="41">
        <v>0</v>
      </c>
      <c r="V14434" s="42" t="s">
        <v>113</v>
      </c>
      <c r="W14434" s="42">
        <v>921102.93</v>
      </c>
      <c r="X14434" s="42">
        <v>921102.93</v>
      </c>
    </row>
    <row r="14435" spans="1:24">
      <c r="A14435" s="27" t="s">
        <v>25828</v>
      </c>
      <c r="B14435" s="28" t="s">
        <v>25643</v>
      </c>
      <c r="C14435" s="27" t="s">
        <v>25829</v>
      </c>
      <c r="D14435" s="27" t="s">
        <v>220</v>
      </c>
      <c r="E14435" s="29">
        <v>38534</v>
      </c>
      <c r="F14435" s="27">
        <v>12</v>
      </c>
      <c r="G14435" s="18">
        <v>51909.65</v>
      </c>
      <c r="H14435" s="27">
        <f t="shared" si="450"/>
        <v>51909.65</v>
      </c>
      <c r="I14435" s="18">
        <v>49314.17</v>
      </c>
      <c r="J14435" s="27">
        <v>51909.65</v>
      </c>
      <c r="K14435" s="18">
        <f t="shared" si="451"/>
        <v>51909.65</v>
      </c>
      <c r="L14435" s="27">
        <v>49314.17</v>
      </c>
      <c r="M14435" s="36">
        <v>0</v>
      </c>
      <c r="T14435" s="41">
        <v>0</v>
      </c>
      <c r="U14435" s="41">
        <v>0</v>
      </c>
      <c r="V14435" s="42" t="s">
        <v>113</v>
      </c>
      <c r="W14435" s="42">
        <v>51909.65</v>
      </c>
      <c r="X14435" s="42">
        <v>51909.65</v>
      </c>
    </row>
    <row r="14436" spans="1:24">
      <c r="A14436" s="27" t="s">
        <v>25830</v>
      </c>
      <c r="B14436" s="28" t="s">
        <v>25643</v>
      </c>
      <c r="C14436" s="27" t="s">
        <v>25831</v>
      </c>
      <c r="D14436" s="27" t="s">
        <v>220</v>
      </c>
      <c r="E14436" s="29">
        <v>38534</v>
      </c>
      <c r="F14436" s="27">
        <v>12</v>
      </c>
      <c r="G14436" s="18">
        <v>398376.39</v>
      </c>
      <c r="H14436" s="27">
        <f t="shared" si="450"/>
        <v>398376.39</v>
      </c>
      <c r="I14436" s="18">
        <v>378457.57</v>
      </c>
      <c r="J14436" s="27">
        <v>398376.39</v>
      </c>
      <c r="K14436" s="18">
        <f t="shared" si="451"/>
        <v>398376.39</v>
      </c>
      <c r="L14436" s="27">
        <v>378457.57</v>
      </c>
      <c r="M14436" s="36">
        <v>0</v>
      </c>
      <c r="T14436" s="41">
        <v>0</v>
      </c>
      <c r="U14436" s="41">
        <v>0</v>
      </c>
      <c r="V14436" s="42" t="s">
        <v>113</v>
      </c>
      <c r="W14436" s="42">
        <v>398376.39</v>
      </c>
      <c r="X14436" s="42">
        <v>398376.39</v>
      </c>
    </row>
    <row r="14437" spans="1:24">
      <c r="A14437" s="27" t="s">
        <v>25832</v>
      </c>
      <c r="B14437" s="28" t="s">
        <v>25643</v>
      </c>
      <c r="C14437" s="27" t="s">
        <v>25833</v>
      </c>
      <c r="D14437" s="27" t="s">
        <v>220</v>
      </c>
      <c r="E14437" s="29">
        <v>38534</v>
      </c>
      <c r="F14437" s="27">
        <v>12</v>
      </c>
      <c r="G14437" s="18">
        <v>167517.37</v>
      </c>
      <c r="H14437" s="27">
        <f t="shared" si="450"/>
        <v>167517.37</v>
      </c>
      <c r="I14437" s="18">
        <v>159141.5</v>
      </c>
      <c r="J14437" s="27">
        <v>167517.37</v>
      </c>
      <c r="K14437" s="18">
        <f t="shared" si="451"/>
        <v>167517.37</v>
      </c>
      <c r="L14437" s="27">
        <v>159141.5</v>
      </c>
      <c r="M14437" s="36">
        <v>0</v>
      </c>
      <c r="T14437" s="41">
        <v>0</v>
      </c>
      <c r="U14437" s="41">
        <v>0</v>
      </c>
      <c r="V14437" s="42" t="s">
        <v>113</v>
      </c>
      <c r="W14437" s="42">
        <v>167517.37</v>
      </c>
      <c r="X14437" s="42">
        <v>167517.37</v>
      </c>
    </row>
    <row r="14438" spans="1:24">
      <c r="A14438" s="27" t="s">
        <v>25834</v>
      </c>
      <c r="B14438" s="28" t="s">
        <v>25643</v>
      </c>
      <c r="C14438" s="27" t="s">
        <v>25835</v>
      </c>
      <c r="D14438" s="27" t="s">
        <v>220</v>
      </c>
      <c r="E14438" s="29">
        <v>38534</v>
      </c>
      <c r="F14438" s="27">
        <v>12</v>
      </c>
      <c r="G14438" s="18">
        <v>1150442.28</v>
      </c>
      <c r="H14438" s="27">
        <f t="shared" si="450"/>
        <v>1150442.28</v>
      </c>
      <c r="I14438" s="18">
        <v>1092920.17</v>
      </c>
      <c r="J14438" s="27">
        <v>1150442.28</v>
      </c>
      <c r="K14438" s="18">
        <f t="shared" si="451"/>
        <v>1150442.28</v>
      </c>
      <c r="L14438" s="27">
        <v>1092920.17</v>
      </c>
      <c r="M14438" s="36">
        <v>0</v>
      </c>
      <c r="T14438" s="41">
        <v>0</v>
      </c>
      <c r="U14438" s="41">
        <v>0</v>
      </c>
      <c r="V14438" s="42" t="s">
        <v>113</v>
      </c>
      <c r="W14438" s="42">
        <v>1150442.28</v>
      </c>
      <c r="X14438" s="42">
        <v>1150442.28</v>
      </c>
    </row>
    <row r="14439" spans="1:24">
      <c r="A14439" s="27" t="s">
        <v>25836</v>
      </c>
      <c r="B14439" s="28" t="s">
        <v>25643</v>
      </c>
      <c r="C14439" s="27" t="s">
        <v>25837</v>
      </c>
      <c r="D14439" s="27" t="s">
        <v>220</v>
      </c>
      <c r="E14439" s="29">
        <v>38534</v>
      </c>
      <c r="F14439" s="27">
        <v>12</v>
      </c>
      <c r="G14439" s="18">
        <v>256932.11</v>
      </c>
      <c r="H14439" s="27">
        <f t="shared" si="450"/>
        <v>256932.11</v>
      </c>
      <c r="I14439" s="18">
        <v>244085.5</v>
      </c>
      <c r="J14439" s="27">
        <v>256932.11</v>
      </c>
      <c r="K14439" s="18">
        <f t="shared" si="451"/>
        <v>256932.11</v>
      </c>
      <c r="L14439" s="27">
        <v>244085.5</v>
      </c>
      <c r="M14439" s="36">
        <v>0</v>
      </c>
      <c r="T14439" s="41">
        <v>0</v>
      </c>
      <c r="U14439" s="41">
        <v>0</v>
      </c>
      <c r="V14439" s="42" t="s">
        <v>113</v>
      </c>
      <c r="W14439" s="42">
        <v>256932.11</v>
      </c>
      <c r="X14439" s="42">
        <v>256932.11</v>
      </c>
    </row>
    <row r="14440" spans="1:24">
      <c r="A14440" s="27" t="s">
        <v>25838</v>
      </c>
      <c r="B14440" s="28" t="s">
        <v>25643</v>
      </c>
      <c r="C14440" s="27" t="s">
        <v>25839</v>
      </c>
      <c r="D14440" s="27" t="s">
        <v>17558</v>
      </c>
      <c r="E14440" s="29">
        <v>38534</v>
      </c>
      <c r="F14440" s="27">
        <v>12</v>
      </c>
      <c r="G14440" s="18">
        <v>152037.12</v>
      </c>
      <c r="H14440" s="27">
        <f t="shared" si="450"/>
        <v>152037.12</v>
      </c>
      <c r="I14440" s="18">
        <v>144435.26</v>
      </c>
      <c r="J14440" s="27">
        <v>0</v>
      </c>
      <c r="K14440" s="18">
        <f t="shared" si="451"/>
        <v>0</v>
      </c>
      <c r="L14440" s="27">
        <v>0</v>
      </c>
      <c r="M14440" s="36">
        <v>0</v>
      </c>
      <c r="N14440" s="18" t="s">
        <v>21306</v>
      </c>
      <c r="O14440" s="19">
        <v>-152037.12</v>
      </c>
      <c r="P14440" s="47">
        <v>-144435.26</v>
      </c>
      <c r="T14440" s="41">
        <v>0</v>
      </c>
      <c r="U14440" s="41">
        <v>0</v>
      </c>
      <c r="V14440" s="42" t="s">
        <v>113</v>
      </c>
      <c r="W14440" s="42">
        <v>0</v>
      </c>
      <c r="X14440" s="42">
        <v>0</v>
      </c>
    </row>
    <row r="14441" spans="1:24">
      <c r="A14441" s="27" t="s">
        <v>25840</v>
      </c>
      <c r="B14441" s="28" t="s">
        <v>25643</v>
      </c>
      <c r="C14441" s="27" t="s">
        <v>25841</v>
      </c>
      <c r="D14441" s="27" t="s">
        <v>220</v>
      </c>
      <c r="E14441" s="29">
        <v>38534</v>
      </c>
      <c r="F14441" s="27">
        <v>12</v>
      </c>
      <c r="G14441" s="18">
        <v>262952.44</v>
      </c>
      <c r="H14441" s="27">
        <f t="shared" si="450"/>
        <v>262952.44</v>
      </c>
      <c r="I14441" s="18">
        <v>249804.82</v>
      </c>
      <c r="J14441" s="27">
        <v>262952.44</v>
      </c>
      <c r="K14441" s="18">
        <f t="shared" si="451"/>
        <v>262952.44</v>
      </c>
      <c r="L14441" s="27">
        <v>249804.82</v>
      </c>
      <c r="M14441" s="36">
        <v>0</v>
      </c>
      <c r="T14441" s="41">
        <v>0</v>
      </c>
      <c r="U14441" s="41">
        <v>0</v>
      </c>
      <c r="V14441" s="42" t="s">
        <v>113</v>
      </c>
      <c r="W14441" s="42">
        <v>262952.44</v>
      </c>
      <c r="X14441" s="42">
        <v>262952.44</v>
      </c>
    </row>
    <row r="14442" spans="1:24">
      <c r="A14442" s="27" t="s">
        <v>25842</v>
      </c>
      <c r="B14442" s="28" t="s">
        <v>25643</v>
      </c>
      <c r="C14442" s="27" t="s">
        <v>25843</v>
      </c>
      <c r="D14442" s="27" t="s">
        <v>220</v>
      </c>
      <c r="E14442" s="29">
        <v>38534</v>
      </c>
      <c r="F14442" s="27">
        <v>12</v>
      </c>
      <c r="G14442" s="18">
        <v>756828.6</v>
      </c>
      <c r="H14442" s="27">
        <f t="shared" si="450"/>
        <v>756828.6</v>
      </c>
      <c r="I14442" s="18">
        <v>718987.17</v>
      </c>
      <c r="J14442" s="27">
        <v>756828.6</v>
      </c>
      <c r="K14442" s="18">
        <f t="shared" si="451"/>
        <v>756828.6</v>
      </c>
      <c r="L14442" s="27">
        <v>718987.17</v>
      </c>
      <c r="M14442" s="36">
        <v>0</v>
      </c>
      <c r="T14442" s="41">
        <v>0</v>
      </c>
      <c r="U14442" s="41">
        <v>0</v>
      </c>
      <c r="V14442" s="42" t="s">
        <v>113</v>
      </c>
      <c r="W14442" s="42">
        <v>756828.6</v>
      </c>
      <c r="X14442" s="42">
        <v>756828.6</v>
      </c>
    </row>
    <row r="14443" spans="1:24">
      <c r="A14443" s="27" t="s">
        <v>25844</v>
      </c>
      <c r="B14443" s="28" t="s">
        <v>25643</v>
      </c>
      <c r="C14443" s="27" t="s">
        <v>25845</v>
      </c>
      <c r="D14443" s="27" t="s">
        <v>220</v>
      </c>
      <c r="E14443" s="29">
        <v>38534</v>
      </c>
      <c r="F14443" s="27">
        <v>12</v>
      </c>
      <c r="G14443" s="18">
        <v>909808.17</v>
      </c>
      <c r="H14443" s="27">
        <f t="shared" si="450"/>
        <v>909808.17</v>
      </c>
      <c r="I14443" s="18">
        <v>864317.76</v>
      </c>
      <c r="J14443" s="27">
        <v>909808.17</v>
      </c>
      <c r="K14443" s="18">
        <f t="shared" si="451"/>
        <v>909808.17</v>
      </c>
      <c r="L14443" s="27">
        <v>864317.76</v>
      </c>
      <c r="M14443" s="36">
        <v>0</v>
      </c>
      <c r="T14443" s="41">
        <v>0</v>
      </c>
      <c r="U14443" s="41">
        <v>0</v>
      </c>
      <c r="V14443" s="42" t="s">
        <v>113</v>
      </c>
      <c r="W14443" s="42">
        <v>909808.17</v>
      </c>
      <c r="X14443" s="42">
        <v>909808.17</v>
      </c>
    </row>
    <row r="14444" spans="1:24">
      <c r="A14444" s="27" t="s">
        <v>25846</v>
      </c>
      <c r="B14444" s="28" t="s">
        <v>25643</v>
      </c>
      <c r="C14444" s="27" t="s">
        <v>25847</v>
      </c>
      <c r="D14444" s="27" t="s">
        <v>220</v>
      </c>
      <c r="E14444" s="29">
        <v>38534</v>
      </c>
      <c r="F14444" s="27">
        <v>12</v>
      </c>
      <c r="G14444" s="18">
        <v>44485.4</v>
      </c>
      <c r="H14444" s="27">
        <f t="shared" si="450"/>
        <v>44485.4</v>
      </c>
      <c r="I14444" s="18">
        <v>42261.13</v>
      </c>
      <c r="J14444" s="27">
        <v>44485.4</v>
      </c>
      <c r="K14444" s="18">
        <f t="shared" si="451"/>
        <v>44485.4</v>
      </c>
      <c r="L14444" s="27">
        <v>42261.13</v>
      </c>
      <c r="M14444" s="36">
        <v>0</v>
      </c>
      <c r="T14444" s="41">
        <v>0</v>
      </c>
      <c r="U14444" s="41">
        <v>0</v>
      </c>
      <c r="V14444" s="42" t="s">
        <v>113</v>
      </c>
      <c r="W14444" s="42">
        <v>44485.4</v>
      </c>
      <c r="X14444" s="42">
        <v>44485.4</v>
      </c>
    </row>
    <row r="14445" spans="1:24">
      <c r="A14445" s="27" t="s">
        <v>25848</v>
      </c>
      <c r="B14445" s="28" t="s">
        <v>25643</v>
      </c>
      <c r="C14445" s="27" t="s">
        <v>25849</v>
      </c>
      <c r="D14445" s="27" t="s">
        <v>220</v>
      </c>
      <c r="E14445" s="29">
        <v>38534</v>
      </c>
      <c r="F14445" s="27">
        <v>12</v>
      </c>
      <c r="G14445" s="18">
        <v>81527.03</v>
      </c>
      <c r="H14445" s="27">
        <f t="shared" si="450"/>
        <v>81527.03</v>
      </c>
      <c r="I14445" s="18">
        <v>77450.679999999993</v>
      </c>
      <c r="J14445" s="27">
        <v>81527.03</v>
      </c>
      <c r="K14445" s="18">
        <f t="shared" si="451"/>
        <v>81527.03</v>
      </c>
      <c r="L14445" s="27">
        <v>77450.679999999993</v>
      </c>
      <c r="M14445" s="36">
        <v>0</v>
      </c>
      <c r="T14445" s="41">
        <v>0</v>
      </c>
      <c r="U14445" s="41">
        <v>0</v>
      </c>
      <c r="V14445" s="42" t="s">
        <v>113</v>
      </c>
      <c r="W14445" s="42">
        <v>81527.03</v>
      </c>
      <c r="X14445" s="42">
        <v>81527.03</v>
      </c>
    </row>
    <row r="14446" spans="1:24">
      <c r="A14446" s="27" t="s">
        <v>25850</v>
      </c>
      <c r="B14446" s="28" t="s">
        <v>25643</v>
      </c>
      <c r="C14446" s="27" t="s">
        <v>25851</v>
      </c>
      <c r="D14446" s="27" t="s">
        <v>17558</v>
      </c>
      <c r="E14446" s="29">
        <v>38534</v>
      </c>
      <c r="F14446" s="27">
        <v>12</v>
      </c>
      <c r="G14446" s="18">
        <v>1624.92</v>
      </c>
      <c r="H14446" s="27">
        <f t="shared" si="450"/>
        <v>1624.92</v>
      </c>
      <c r="I14446" s="18">
        <v>1624.92</v>
      </c>
      <c r="J14446" s="27">
        <v>1624.92</v>
      </c>
      <c r="K14446" s="18">
        <f t="shared" si="451"/>
        <v>1624.92</v>
      </c>
      <c r="L14446" s="27">
        <v>1624.92</v>
      </c>
      <c r="M14446" s="36">
        <v>0</v>
      </c>
      <c r="T14446" s="41">
        <v>0</v>
      </c>
      <c r="U14446" s="41">
        <v>0</v>
      </c>
      <c r="V14446" s="42" t="s">
        <v>113</v>
      </c>
      <c r="W14446" s="42">
        <v>1624.92</v>
      </c>
      <c r="X14446" s="42">
        <v>1624.92</v>
      </c>
    </row>
    <row r="14447" spans="1:24">
      <c r="A14447" s="27" t="s">
        <v>25852</v>
      </c>
      <c r="B14447" s="28" t="s">
        <v>25643</v>
      </c>
      <c r="C14447" s="27" t="s">
        <v>25853</v>
      </c>
      <c r="D14447" s="27" t="s">
        <v>17558</v>
      </c>
      <c r="E14447" s="29">
        <v>38534</v>
      </c>
      <c r="F14447" s="27">
        <v>12</v>
      </c>
      <c r="G14447" s="18">
        <v>389986.44</v>
      </c>
      <c r="H14447" s="27">
        <f t="shared" si="450"/>
        <v>389986.44</v>
      </c>
      <c r="I14447" s="18">
        <v>370487.12</v>
      </c>
      <c r="J14447" s="27">
        <v>389986.44</v>
      </c>
      <c r="K14447" s="18">
        <f t="shared" si="451"/>
        <v>389986.44</v>
      </c>
      <c r="L14447" s="27">
        <v>370487.12</v>
      </c>
      <c r="M14447" s="36">
        <v>0</v>
      </c>
      <c r="T14447" s="41">
        <v>0</v>
      </c>
      <c r="U14447" s="41">
        <v>0</v>
      </c>
      <c r="V14447" s="42" t="s">
        <v>113</v>
      </c>
      <c r="W14447" s="42">
        <v>389986.44</v>
      </c>
      <c r="X14447" s="42">
        <v>389986.44</v>
      </c>
    </row>
    <row r="14448" spans="1:24">
      <c r="A14448" s="27" t="s">
        <v>25854</v>
      </c>
      <c r="B14448" s="28" t="s">
        <v>25643</v>
      </c>
      <c r="C14448" s="27" t="s">
        <v>25855</v>
      </c>
      <c r="D14448" s="27" t="s">
        <v>220</v>
      </c>
      <c r="E14448" s="29">
        <v>39692</v>
      </c>
      <c r="F14448" s="27">
        <v>12</v>
      </c>
      <c r="G14448" s="18">
        <v>208047.51</v>
      </c>
      <c r="H14448" s="27">
        <f t="shared" si="450"/>
        <v>0</v>
      </c>
      <c r="I14448" s="18">
        <v>168681.94</v>
      </c>
      <c r="J14448" s="27">
        <v>208047.51</v>
      </c>
      <c r="K14448" s="18">
        <f t="shared" si="451"/>
        <v>0</v>
      </c>
      <c r="L14448" s="27">
        <v>185232.33</v>
      </c>
      <c r="M14448" s="36">
        <v>16550.39</v>
      </c>
      <c r="T14448" s="41">
        <v>0</v>
      </c>
      <c r="U14448" s="41">
        <v>0</v>
      </c>
      <c r="V14448" s="42" t="s">
        <v>113</v>
      </c>
      <c r="W14448" s="42">
        <v>208047.51</v>
      </c>
      <c r="X14448" s="42">
        <v>208047.51</v>
      </c>
    </row>
    <row r="14449" spans="1:24">
      <c r="A14449" s="27" t="s">
        <v>25856</v>
      </c>
      <c r="B14449" s="28" t="s">
        <v>25643</v>
      </c>
      <c r="C14449" s="27" t="s">
        <v>25857</v>
      </c>
      <c r="D14449" s="27" t="s">
        <v>220</v>
      </c>
      <c r="E14449" s="29">
        <v>39387</v>
      </c>
      <c r="F14449" s="27">
        <v>12</v>
      </c>
      <c r="G14449" s="18">
        <v>216242.11</v>
      </c>
      <c r="H14449" s="27">
        <f t="shared" si="450"/>
        <v>0</v>
      </c>
      <c r="I14449" s="18">
        <v>189760.91</v>
      </c>
      <c r="J14449" s="27">
        <v>216242.11</v>
      </c>
      <c r="K14449" s="18">
        <f t="shared" si="451"/>
        <v>216242.11</v>
      </c>
      <c r="L14449" s="27">
        <v>205430</v>
      </c>
      <c r="M14449" s="36">
        <v>15669.09</v>
      </c>
      <c r="T14449" s="41">
        <v>0</v>
      </c>
      <c r="U14449" s="41">
        <v>0</v>
      </c>
      <c r="V14449" s="42" t="s">
        <v>113</v>
      </c>
      <c r="W14449" s="42">
        <v>216242.11</v>
      </c>
      <c r="X14449" s="42">
        <v>216242.11</v>
      </c>
    </row>
    <row r="14450" spans="1:24">
      <c r="A14450" s="27" t="s">
        <v>25858</v>
      </c>
      <c r="B14450" s="28" t="s">
        <v>25643</v>
      </c>
      <c r="C14450" s="27" t="s">
        <v>25859</v>
      </c>
      <c r="D14450" s="27" t="s">
        <v>220</v>
      </c>
      <c r="E14450" s="29">
        <v>39387</v>
      </c>
      <c r="F14450" s="27">
        <v>12</v>
      </c>
      <c r="G14450" s="18">
        <v>104042.67</v>
      </c>
      <c r="H14450" s="27">
        <f t="shared" si="450"/>
        <v>0</v>
      </c>
      <c r="I14450" s="18">
        <v>91301.52</v>
      </c>
      <c r="J14450" s="27">
        <v>104042.67</v>
      </c>
      <c r="K14450" s="18">
        <f t="shared" si="451"/>
        <v>104042.67</v>
      </c>
      <c r="L14450" s="27">
        <v>98840.54</v>
      </c>
      <c r="M14450" s="36">
        <v>7539.02</v>
      </c>
      <c r="T14450" s="41">
        <v>0</v>
      </c>
      <c r="U14450" s="41">
        <v>0</v>
      </c>
      <c r="V14450" s="42" t="s">
        <v>113</v>
      </c>
      <c r="W14450" s="42">
        <v>104042.67</v>
      </c>
      <c r="X14450" s="42">
        <v>104042.67</v>
      </c>
    </row>
    <row r="14451" spans="1:24">
      <c r="A14451" s="27" t="s">
        <v>25860</v>
      </c>
      <c r="B14451" s="28" t="s">
        <v>25643</v>
      </c>
      <c r="C14451" s="27" t="s">
        <v>25861</v>
      </c>
      <c r="D14451" s="27" t="s">
        <v>220</v>
      </c>
      <c r="E14451" s="29">
        <v>39387</v>
      </c>
      <c r="F14451" s="27">
        <v>12</v>
      </c>
      <c r="G14451" s="18">
        <v>170489.26</v>
      </c>
      <c r="H14451" s="27">
        <f t="shared" si="450"/>
        <v>0</v>
      </c>
      <c r="I14451" s="18">
        <v>149611</v>
      </c>
      <c r="J14451" s="27">
        <v>170489.26</v>
      </c>
      <c r="K14451" s="18">
        <f t="shared" si="451"/>
        <v>170489.26</v>
      </c>
      <c r="L14451" s="27">
        <v>161964.79999999999</v>
      </c>
      <c r="M14451" s="36">
        <v>12353.8</v>
      </c>
      <c r="T14451" s="41">
        <v>0</v>
      </c>
      <c r="U14451" s="41">
        <v>0</v>
      </c>
      <c r="V14451" s="42" t="s">
        <v>113</v>
      </c>
      <c r="W14451" s="42">
        <v>170489.26</v>
      </c>
      <c r="X14451" s="42">
        <v>170489.26</v>
      </c>
    </row>
    <row r="14452" spans="1:24">
      <c r="A14452" s="27" t="s">
        <v>25862</v>
      </c>
      <c r="B14452" s="28" t="s">
        <v>25643</v>
      </c>
      <c r="C14452" s="27" t="s">
        <v>25863</v>
      </c>
      <c r="D14452" s="27" t="s">
        <v>220</v>
      </c>
      <c r="E14452" s="29">
        <v>39387</v>
      </c>
      <c r="F14452" s="27">
        <v>12</v>
      </c>
      <c r="G14452" s="18">
        <v>51949.96</v>
      </c>
      <c r="H14452" s="27">
        <f t="shared" si="450"/>
        <v>0</v>
      </c>
      <c r="I14452" s="18">
        <v>45588.12</v>
      </c>
      <c r="J14452" s="27">
        <v>51949.96</v>
      </c>
      <c r="K14452" s="18">
        <f t="shared" si="451"/>
        <v>51949.96</v>
      </c>
      <c r="L14452" s="27">
        <v>49352.46</v>
      </c>
      <c r="M14452" s="36">
        <v>3764.34</v>
      </c>
      <c r="T14452" s="41">
        <v>0</v>
      </c>
      <c r="U14452" s="41">
        <v>0</v>
      </c>
      <c r="V14452" s="42" t="s">
        <v>113</v>
      </c>
      <c r="W14452" s="42">
        <v>51949.96</v>
      </c>
      <c r="X14452" s="42">
        <v>51949.96</v>
      </c>
    </row>
    <row r="14453" spans="1:24">
      <c r="A14453" s="27" t="s">
        <v>25864</v>
      </c>
      <c r="B14453" s="28" t="s">
        <v>25643</v>
      </c>
      <c r="C14453" s="27" t="s">
        <v>25865</v>
      </c>
      <c r="D14453" s="27" t="s">
        <v>220</v>
      </c>
      <c r="E14453" s="29">
        <v>39387</v>
      </c>
      <c r="F14453" s="27">
        <v>12</v>
      </c>
      <c r="G14453" s="18">
        <v>132607.72</v>
      </c>
      <c r="H14453" s="27">
        <f t="shared" si="450"/>
        <v>0</v>
      </c>
      <c r="I14453" s="18">
        <v>116368.47</v>
      </c>
      <c r="J14453" s="27">
        <v>132607.72</v>
      </c>
      <c r="K14453" s="18">
        <f t="shared" si="451"/>
        <v>132607.72</v>
      </c>
      <c r="L14453" s="27">
        <v>125977.33</v>
      </c>
      <c r="M14453" s="36">
        <v>9608.86</v>
      </c>
      <c r="T14453" s="41">
        <v>0</v>
      </c>
      <c r="U14453" s="41">
        <v>0</v>
      </c>
      <c r="V14453" s="42" t="s">
        <v>113</v>
      </c>
      <c r="W14453" s="42">
        <v>132607.72</v>
      </c>
      <c r="X14453" s="42">
        <v>132607.72</v>
      </c>
    </row>
    <row r="14454" spans="1:24">
      <c r="A14454" s="27" t="s">
        <v>25866</v>
      </c>
      <c r="B14454" s="28" t="s">
        <v>25643</v>
      </c>
      <c r="C14454" s="27" t="s">
        <v>25788</v>
      </c>
      <c r="D14454" s="27" t="s">
        <v>220</v>
      </c>
      <c r="E14454" s="29">
        <v>39387</v>
      </c>
      <c r="F14454" s="27">
        <v>12</v>
      </c>
      <c r="G14454" s="18">
        <v>45517.93</v>
      </c>
      <c r="H14454" s="27">
        <f t="shared" si="450"/>
        <v>0</v>
      </c>
      <c r="I14454" s="18">
        <v>39943.769999999997</v>
      </c>
      <c r="J14454" s="27">
        <v>45517.93</v>
      </c>
      <c r="K14454" s="18">
        <f t="shared" si="451"/>
        <v>45517.93</v>
      </c>
      <c r="L14454" s="27">
        <v>43242.03</v>
      </c>
      <c r="M14454" s="36">
        <v>3298.26</v>
      </c>
      <c r="T14454" s="41">
        <v>0</v>
      </c>
      <c r="U14454" s="41">
        <v>0</v>
      </c>
      <c r="V14454" s="42" t="s">
        <v>113</v>
      </c>
      <c r="W14454" s="42">
        <v>45517.93</v>
      </c>
      <c r="X14454" s="42">
        <v>45517.93</v>
      </c>
    </row>
    <row r="14455" spans="1:24">
      <c r="A14455" s="27" t="s">
        <v>25867</v>
      </c>
      <c r="B14455" s="28" t="s">
        <v>25643</v>
      </c>
      <c r="C14455" s="27" t="s">
        <v>25813</v>
      </c>
      <c r="D14455" s="27" t="s">
        <v>17558</v>
      </c>
      <c r="E14455" s="29">
        <v>39387</v>
      </c>
      <c r="F14455" s="27">
        <v>12</v>
      </c>
      <c r="G14455" s="18">
        <v>29736.67</v>
      </c>
      <c r="H14455" s="27">
        <f t="shared" si="450"/>
        <v>0</v>
      </c>
      <c r="I14455" s="18">
        <v>26095.1</v>
      </c>
      <c r="J14455" s="27">
        <v>29736.67</v>
      </c>
      <c r="K14455" s="18">
        <f t="shared" si="451"/>
        <v>29736.67</v>
      </c>
      <c r="L14455" s="27">
        <v>28249.84</v>
      </c>
      <c r="M14455" s="36">
        <v>2154.7399999999998</v>
      </c>
      <c r="T14455" s="41">
        <v>0</v>
      </c>
      <c r="U14455" s="41">
        <v>0</v>
      </c>
      <c r="V14455" s="42" t="s">
        <v>113</v>
      </c>
      <c r="W14455" s="42">
        <v>29736.67</v>
      </c>
      <c r="X14455" s="42">
        <v>29736.67</v>
      </c>
    </row>
    <row r="14456" spans="1:24">
      <c r="A14456" s="27" t="s">
        <v>25868</v>
      </c>
      <c r="B14456" s="28" t="s">
        <v>25643</v>
      </c>
      <c r="C14456" s="27" t="s">
        <v>25869</v>
      </c>
      <c r="D14456" s="27" t="s">
        <v>112</v>
      </c>
      <c r="E14456" s="29">
        <v>35765</v>
      </c>
      <c r="F14456" s="27">
        <v>12</v>
      </c>
      <c r="G14456" s="18">
        <v>62825</v>
      </c>
      <c r="H14456" s="27">
        <f t="shared" si="450"/>
        <v>62825</v>
      </c>
      <c r="I14456" s="18">
        <v>59683.75</v>
      </c>
      <c r="J14456" s="27">
        <v>62825</v>
      </c>
      <c r="K14456" s="18">
        <f t="shared" si="451"/>
        <v>62825</v>
      </c>
      <c r="L14456" s="27">
        <v>59683.75</v>
      </c>
      <c r="M14456" s="36">
        <v>0</v>
      </c>
      <c r="T14456" s="41">
        <v>0</v>
      </c>
      <c r="U14456" s="41">
        <v>0</v>
      </c>
      <c r="V14456" s="42" t="s">
        <v>113</v>
      </c>
      <c r="W14456" s="42">
        <v>62825</v>
      </c>
      <c r="X14456" s="42">
        <v>62825</v>
      </c>
    </row>
    <row r="14457" spans="1:24">
      <c r="A14457" s="27" t="s">
        <v>25870</v>
      </c>
      <c r="B14457" s="28" t="s">
        <v>25643</v>
      </c>
      <c r="C14457" s="27" t="s">
        <v>25841</v>
      </c>
      <c r="D14457" s="27" t="s">
        <v>112</v>
      </c>
      <c r="E14457" s="29">
        <v>35765</v>
      </c>
      <c r="F14457" s="27">
        <v>12</v>
      </c>
      <c r="G14457" s="18">
        <v>43362</v>
      </c>
      <c r="H14457" s="27">
        <f t="shared" si="450"/>
        <v>43362</v>
      </c>
      <c r="I14457" s="18">
        <v>41193.9</v>
      </c>
      <c r="J14457" s="27">
        <v>43362</v>
      </c>
      <c r="K14457" s="18">
        <f t="shared" si="451"/>
        <v>43362</v>
      </c>
      <c r="L14457" s="27">
        <v>41193.9</v>
      </c>
      <c r="M14457" s="36">
        <v>0</v>
      </c>
      <c r="T14457" s="41">
        <v>0</v>
      </c>
      <c r="U14457" s="41">
        <v>0</v>
      </c>
      <c r="V14457" s="42" t="s">
        <v>113</v>
      </c>
      <c r="W14457" s="42">
        <v>43362</v>
      </c>
      <c r="X14457" s="42">
        <v>43362</v>
      </c>
    </row>
    <row r="14458" spans="1:24">
      <c r="A14458" s="27" t="s">
        <v>25871</v>
      </c>
      <c r="B14458" s="28" t="s">
        <v>25643</v>
      </c>
      <c r="C14458" s="27" t="s">
        <v>25872</v>
      </c>
      <c r="D14458" s="27" t="s">
        <v>112</v>
      </c>
      <c r="E14458" s="29">
        <v>35765</v>
      </c>
      <c r="F14458" s="27">
        <v>12</v>
      </c>
      <c r="G14458" s="18">
        <v>17182</v>
      </c>
      <c r="H14458" s="27">
        <f t="shared" si="450"/>
        <v>17182</v>
      </c>
      <c r="I14458" s="18">
        <v>16322.9</v>
      </c>
      <c r="J14458" s="27">
        <v>17182</v>
      </c>
      <c r="K14458" s="18">
        <f t="shared" si="451"/>
        <v>17182</v>
      </c>
      <c r="L14458" s="27">
        <v>16322.9</v>
      </c>
      <c r="M14458" s="36">
        <v>0</v>
      </c>
      <c r="T14458" s="41">
        <v>0</v>
      </c>
      <c r="U14458" s="41">
        <v>0</v>
      </c>
      <c r="V14458" s="42" t="s">
        <v>113</v>
      </c>
      <c r="W14458" s="42">
        <v>17182</v>
      </c>
      <c r="X14458" s="42">
        <v>17182</v>
      </c>
    </row>
    <row r="14459" spans="1:24">
      <c r="A14459" s="27" t="s">
        <v>25873</v>
      </c>
      <c r="B14459" s="28" t="s">
        <v>25643</v>
      </c>
      <c r="C14459" s="27" t="s">
        <v>25874</v>
      </c>
      <c r="D14459" s="27" t="s">
        <v>112</v>
      </c>
      <c r="E14459" s="29">
        <v>35765</v>
      </c>
      <c r="F14459" s="27">
        <v>12</v>
      </c>
      <c r="G14459" s="18">
        <v>4346</v>
      </c>
      <c r="H14459" s="27">
        <f t="shared" si="450"/>
        <v>4346</v>
      </c>
      <c r="I14459" s="18">
        <v>4346</v>
      </c>
      <c r="J14459" s="27">
        <v>4346</v>
      </c>
      <c r="K14459" s="18">
        <f t="shared" si="451"/>
        <v>4346</v>
      </c>
      <c r="L14459" s="27">
        <v>4346</v>
      </c>
      <c r="M14459" s="36">
        <v>0</v>
      </c>
      <c r="T14459" s="41">
        <v>0</v>
      </c>
      <c r="U14459" s="41">
        <v>0</v>
      </c>
      <c r="V14459" s="42" t="s">
        <v>113</v>
      </c>
      <c r="W14459" s="42">
        <v>4346</v>
      </c>
      <c r="X14459" s="42">
        <v>4346</v>
      </c>
    </row>
    <row r="14460" spans="1:24">
      <c r="A14460" s="27" t="s">
        <v>25875</v>
      </c>
      <c r="B14460" s="28" t="s">
        <v>25643</v>
      </c>
      <c r="C14460" s="27" t="s">
        <v>25829</v>
      </c>
      <c r="D14460" s="27" t="s">
        <v>112</v>
      </c>
      <c r="E14460" s="29">
        <v>35765</v>
      </c>
      <c r="F14460" s="27">
        <v>12</v>
      </c>
      <c r="G14460" s="18">
        <v>5775</v>
      </c>
      <c r="H14460" s="27">
        <f t="shared" si="450"/>
        <v>5775</v>
      </c>
      <c r="I14460" s="18">
        <v>5486.25</v>
      </c>
      <c r="J14460" s="27">
        <v>5775</v>
      </c>
      <c r="K14460" s="18">
        <f t="shared" si="451"/>
        <v>5775</v>
      </c>
      <c r="L14460" s="27">
        <v>5486.25</v>
      </c>
      <c r="M14460" s="36">
        <v>0</v>
      </c>
      <c r="T14460" s="41">
        <v>0</v>
      </c>
      <c r="U14460" s="41">
        <v>0</v>
      </c>
      <c r="V14460" s="42" t="s">
        <v>113</v>
      </c>
      <c r="W14460" s="42">
        <v>5775</v>
      </c>
      <c r="X14460" s="42">
        <v>5775</v>
      </c>
    </row>
    <row r="14461" spans="1:24">
      <c r="A14461" s="27" t="s">
        <v>25876</v>
      </c>
      <c r="B14461" s="28" t="s">
        <v>25643</v>
      </c>
      <c r="C14461" s="27" t="s">
        <v>25877</v>
      </c>
      <c r="D14461" s="27" t="s">
        <v>112</v>
      </c>
      <c r="E14461" s="29">
        <v>35765</v>
      </c>
      <c r="F14461" s="27">
        <v>12</v>
      </c>
      <c r="G14461" s="18">
        <v>6780</v>
      </c>
      <c r="H14461" s="27">
        <f t="shared" si="450"/>
        <v>6780</v>
      </c>
      <c r="I14461" s="18">
        <v>6441</v>
      </c>
      <c r="J14461" s="27">
        <v>6780</v>
      </c>
      <c r="K14461" s="18">
        <f t="shared" si="451"/>
        <v>6780</v>
      </c>
      <c r="L14461" s="27">
        <v>6441</v>
      </c>
      <c r="M14461" s="36">
        <v>0</v>
      </c>
      <c r="T14461" s="41">
        <v>0</v>
      </c>
      <c r="U14461" s="41">
        <v>0</v>
      </c>
      <c r="V14461" s="42" t="s">
        <v>113</v>
      </c>
      <c r="W14461" s="42">
        <v>6780</v>
      </c>
      <c r="X14461" s="42">
        <v>6780</v>
      </c>
    </row>
    <row r="14462" spans="1:24">
      <c r="A14462" s="27" t="s">
        <v>25878</v>
      </c>
      <c r="B14462" s="28" t="s">
        <v>25643</v>
      </c>
      <c r="C14462" s="27" t="s">
        <v>25879</v>
      </c>
      <c r="D14462" s="27" t="s">
        <v>112</v>
      </c>
      <c r="E14462" s="29">
        <v>35765</v>
      </c>
      <c r="F14462" s="27">
        <v>12</v>
      </c>
      <c r="G14462" s="18">
        <v>67984</v>
      </c>
      <c r="H14462" s="27">
        <f t="shared" si="450"/>
        <v>67984</v>
      </c>
      <c r="I14462" s="18">
        <v>64584.800000000003</v>
      </c>
      <c r="J14462" s="27">
        <v>67984</v>
      </c>
      <c r="K14462" s="18">
        <f t="shared" si="451"/>
        <v>67984</v>
      </c>
      <c r="L14462" s="27">
        <v>64584.800000000003</v>
      </c>
      <c r="M14462" s="36">
        <v>0</v>
      </c>
      <c r="T14462" s="41">
        <v>0</v>
      </c>
      <c r="U14462" s="41">
        <v>0</v>
      </c>
      <c r="V14462" s="42" t="s">
        <v>113</v>
      </c>
      <c r="W14462" s="42">
        <v>67984</v>
      </c>
      <c r="X14462" s="42">
        <v>67984</v>
      </c>
    </row>
    <row r="14463" spans="1:24">
      <c r="A14463" s="27" t="s">
        <v>25880</v>
      </c>
      <c r="B14463" s="28" t="s">
        <v>25643</v>
      </c>
      <c r="C14463" s="27" t="s">
        <v>25881</v>
      </c>
      <c r="D14463" s="27" t="s">
        <v>112</v>
      </c>
      <c r="E14463" s="29">
        <v>35765</v>
      </c>
      <c r="F14463" s="27">
        <v>12</v>
      </c>
      <c r="G14463" s="18">
        <v>91943</v>
      </c>
      <c r="H14463" s="27">
        <f t="shared" si="450"/>
        <v>91943</v>
      </c>
      <c r="I14463" s="18">
        <v>87345.85</v>
      </c>
      <c r="J14463" s="27">
        <v>91943</v>
      </c>
      <c r="K14463" s="18">
        <f t="shared" si="451"/>
        <v>91943</v>
      </c>
      <c r="L14463" s="27">
        <v>87345.85</v>
      </c>
      <c r="M14463" s="36">
        <v>0</v>
      </c>
      <c r="T14463" s="41">
        <v>0</v>
      </c>
      <c r="U14463" s="41">
        <v>0</v>
      </c>
      <c r="V14463" s="42" t="s">
        <v>113</v>
      </c>
      <c r="W14463" s="42">
        <v>91943</v>
      </c>
      <c r="X14463" s="42">
        <v>91943</v>
      </c>
    </row>
    <row r="14464" spans="1:24">
      <c r="A14464" s="27" t="s">
        <v>25882</v>
      </c>
      <c r="B14464" s="28" t="s">
        <v>25643</v>
      </c>
      <c r="C14464" s="27" t="s">
        <v>25883</v>
      </c>
      <c r="D14464" s="27" t="s">
        <v>112</v>
      </c>
      <c r="E14464" s="29">
        <v>35765</v>
      </c>
      <c r="F14464" s="27">
        <v>12</v>
      </c>
      <c r="G14464" s="18">
        <v>102138</v>
      </c>
      <c r="H14464" s="27">
        <f t="shared" si="450"/>
        <v>102138</v>
      </c>
      <c r="I14464" s="18">
        <v>97031.1</v>
      </c>
      <c r="J14464" s="27">
        <v>102138</v>
      </c>
      <c r="K14464" s="18">
        <f t="shared" si="451"/>
        <v>102138</v>
      </c>
      <c r="L14464" s="27">
        <v>97031.1</v>
      </c>
      <c r="M14464" s="36">
        <v>0</v>
      </c>
      <c r="T14464" s="41">
        <v>0</v>
      </c>
      <c r="U14464" s="41">
        <v>0</v>
      </c>
      <c r="V14464" s="42" t="s">
        <v>113</v>
      </c>
      <c r="W14464" s="42">
        <v>102138</v>
      </c>
      <c r="X14464" s="42">
        <v>102138</v>
      </c>
    </row>
    <row r="14465" spans="1:24">
      <c r="A14465" s="27" t="s">
        <v>25884</v>
      </c>
      <c r="B14465" s="28" t="s">
        <v>25643</v>
      </c>
      <c r="C14465" s="27" t="s">
        <v>25865</v>
      </c>
      <c r="D14465" s="27" t="s">
        <v>112</v>
      </c>
      <c r="E14465" s="29">
        <v>35765</v>
      </c>
      <c r="F14465" s="27">
        <v>12</v>
      </c>
      <c r="G14465" s="18">
        <v>1439</v>
      </c>
      <c r="H14465" s="27">
        <f t="shared" si="450"/>
        <v>1439</v>
      </c>
      <c r="I14465" s="18">
        <v>1439</v>
      </c>
      <c r="J14465" s="27">
        <v>1439</v>
      </c>
      <c r="K14465" s="18">
        <f t="shared" si="451"/>
        <v>1439</v>
      </c>
      <c r="L14465" s="27">
        <v>1439</v>
      </c>
      <c r="M14465" s="36">
        <v>0</v>
      </c>
      <c r="T14465" s="41">
        <v>0</v>
      </c>
      <c r="U14465" s="41">
        <v>0</v>
      </c>
      <c r="V14465" s="42" t="s">
        <v>113</v>
      </c>
      <c r="W14465" s="42">
        <v>1439</v>
      </c>
      <c r="X14465" s="42">
        <v>1439</v>
      </c>
    </row>
    <row r="14466" spans="1:24">
      <c r="A14466" s="27" t="s">
        <v>25885</v>
      </c>
      <c r="B14466" s="28" t="s">
        <v>25643</v>
      </c>
      <c r="C14466" s="27" t="s">
        <v>25688</v>
      </c>
      <c r="D14466" s="27" t="s">
        <v>17558</v>
      </c>
      <c r="E14466" s="29">
        <v>29068</v>
      </c>
      <c r="F14466" s="27">
        <v>12</v>
      </c>
      <c r="G14466" s="18">
        <v>2562.31</v>
      </c>
      <c r="H14466" s="27">
        <f t="shared" si="450"/>
        <v>2562.31</v>
      </c>
      <c r="I14466" s="18">
        <v>2562.31</v>
      </c>
      <c r="J14466" s="27">
        <v>2562.31</v>
      </c>
      <c r="K14466" s="18">
        <f t="shared" si="451"/>
        <v>2562.31</v>
      </c>
      <c r="L14466" s="27">
        <v>2562.31</v>
      </c>
      <c r="M14466" s="36">
        <v>0</v>
      </c>
      <c r="T14466" s="41">
        <v>0</v>
      </c>
      <c r="U14466" s="41">
        <v>0</v>
      </c>
      <c r="V14466" s="42" t="s">
        <v>113</v>
      </c>
      <c r="W14466" s="42">
        <v>2562.31</v>
      </c>
      <c r="X14466" s="42">
        <v>2562.31</v>
      </c>
    </row>
    <row r="14467" spans="1:24">
      <c r="A14467" s="27" t="s">
        <v>25886</v>
      </c>
      <c r="B14467" s="28" t="s">
        <v>25643</v>
      </c>
      <c r="C14467" s="27" t="s">
        <v>25887</v>
      </c>
      <c r="D14467" s="27" t="s">
        <v>118</v>
      </c>
      <c r="E14467" s="29">
        <v>26268</v>
      </c>
      <c r="F14467" s="27">
        <v>12</v>
      </c>
      <c r="G14467" s="18">
        <v>43078</v>
      </c>
      <c r="H14467" s="27">
        <f t="shared" si="450"/>
        <v>43078</v>
      </c>
      <c r="I14467" s="18">
        <v>40924.1</v>
      </c>
      <c r="J14467" s="27">
        <v>43078</v>
      </c>
      <c r="K14467" s="18">
        <f t="shared" si="451"/>
        <v>43078</v>
      </c>
      <c r="L14467" s="27">
        <v>40924.1</v>
      </c>
      <c r="M14467" s="36">
        <v>0</v>
      </c>
      <c r="T14467" s="41">
        <v>0</v>
      </c>
      <c r="U14467" s="41">
        <v>0</v>
      </c>
      <c r="V14467" s="42" t="s">
        <v>113</v>
      </c>
      <c r="W14467" s="42">
        <v>43078</v>
      </c>
      <c r="X14467" s="42">
        <v>43078</v>
      </c>
    </row>
    <row r="14468" spans="1:24">
      <c r="A14468" s="27" t="s">
        <v>25888</v>
      </c>
      <c r="B14468" s="28" t="s">
        <v>25643</v>
      </c>
      <c r="C14468" s="27" t="s">
        <v>25889</v>
      </c>
      <c r="D14468" s="27" t="s">
        <v>118</v>
      </c>
      <c r="E14468" s="29">
        <v>26268</v>
      </c>
      <c r="F14468" s="27">
        <v>12</v>
      </c>
      <c r="G14468" s="18">
        <v>47382</v>
      </c>
      <c r="H14468" s="27">
        <f t="shared" si="450"/>
        <v>47382</v>
      </c>
      <c r="I14468" s="18">
        <v>45012.9</v>
      </c>
      <c r="J14468" s="27">
        <v>47382</v>
      </c>
      <c r="K14468" s="18">
        <f t="shared" si="451"/>
        <v>47382</v>
      </c>
      <c r="L14468" s="27">
        <v>45012.9</v>
      </c>
      <c r="M14468" s="36">
        <v>0</v>
      </c>
      <c r="T14468" s="41">
        <v>0</v>
      </c>
      <c r="U14468" s="41">
        <v>0</v>
      </c>
      <c r="V14468" s="42" t="s">
        <v>113</v>
      </c>
      <c r="W14468" s="42">
        <v>47382</v>
      </c>
      <c r="X14468" s="42">
        <v>47382</v>
      </c>
    </row>
    <row r="14469" spans="1:24">
      <c r="A14469" s="27" t="s">
        <v>25890</v>
      </c>
      <c r="B14469" s="28" t="s">
        <v>25643</v>
      </c>
      <c r="C14469" s="27" t="s">
        <v>25891</v>
      </c>
      <c r="D14469" s="27" t="s">
        <v>118</v>
      </c>
      <c r="E14469" s="29">
        <v>26268</v>
      </c>
      <c r="F14469" s="27">
        <v>12</v>
      </c>
      <c r="G14469" s="18">
        <v>50211.7</v>
      </c>
      <c r="H14469" s="27">
        <f t="shared" si="450"/>
        <v>50211.7</v>
      </c>
      <c r="I14469" s="18">
        <v>47701.11</v>
      </c>
      <c r="J14469" s="27">
        <v>50211.7</v>
      </c>
      <c r="K14469" s="18">
        <f t="shared" si="451"/>
        <v>50211.7</v>
      </c>
      <c r="L14469" s="27">
        <v>47701.11</v>
      </c>
      <c r="M14469" s="36">
        <v>0</v>
      </c>
      <c r="T14469" s="41">
        <v>0</v>
      </c>
      <c r="U14469" s="41">
        <v>0</v>
      </c>
      <c r="V14469" s="42" t="s">
        <v>113</v>
      </c>
      <c r="W14469" s="42">
        <v>50211.7</v>
      </c>
      <c r="X14469" s="42">
        <v>50211.7</v>
      </c>
    </row>
    <row r="14470" spans="1:24">
      <c r="A14470" s="27" t="s">
        <v>25892</v>
      </c>
      <c r="B14470" s="28" t="s">
        <v>25643</v>
      </c>
      <c r="C14470" s="27" t="s">
        <v>25893</v>
      </c>
      <c r="D14470" s="27" t="s">
        <v>17558</v>
      </c>
      <c r="E14470" s="29">
        <v>37408</v>
      </c>
      <c r="F14470" s="27">
        <v>12</v>
      </c>
      <c r="G14470" s="18">
        <v>91836.479999999996</v>
      </c>
      <c r="H14470" s="27">
        <f t="shared" ref="H14470:H14533" si="452">IFERROR(IF(ROUND((G14470-I14470)/G14470,2)&lt;=0.05,G14470,0),0)</f>
        <v>91836.479999999996</v>
      </c>
      <c r="I14470" s="18">
        <v>87244.66</v>
      </c>
      <c r="J14470" s="27">
        <v>91836.479999999996</v>
      </c>
      <c r="K14470" s="18">
        <f t="shared" ref="K14470:K14533" si="453">IFERROR(IF(ROUND((J14470-L14470)/J14470,2)&lt;=0.05,J14470,0),0)</f>
        <v>91836.479999999996</v>
      </c>
      <c r="L14470" s="27">
        <v>87244.66</v>
      </c>
      <c r="M14470" s="36">
        <v>0</v>
      </c>
      <c r="T14470" s="41">
        <v>0</v>
      </c>
      <c r="U14470" s="41">
        <v>0</v>
      </c>
      <c r="V14470" s="42" t="s">
        <v>113</v>
      </c>
      <c r="W14470" s="42">
        <v>91836.479999999996</v>
      </c>
      <c r="X14470" s="42">
        <v>91836.479999999996</v>
      </c>
    </row>
    <row r="14471" spans="1:24">
      <c r="A14471" s="27" t="s">
        <v>25894</v>
      </c>
      <c r="B14471" s="28" t="s">
        <v>25643</v>
      </c>
      <c r="C14471" s="27" t="s">
        <v>25895</v>
      </c>
      <c r="D14471" s="27" t="s">
        <v>112</v>
      </c>
      <c r="E14471" s="29">
        <v>37226</v>
      </c>
      <c r="F14471" s="27">
        <v>12</v>
      </c>
      <c r="G14471" s="18">
        <v>91979.91</v>
      </c>
      <c r="H14471" s="27">
        <f t="shared" si="452"/>
        <v>91979.91</v>
      </c>
      <c r="I14471" s="18">
        <v>87380.91</v>
      </c>
      <c r="J14471" s="27">
        <v>91979.91</v>
      </c>
      <c r="K14471" s="18">
        <f t="shared" si="453"/>
        <v>91979.91</v>
      </c>
      <c r="L14471" s="27">
        <v>87380.91</v>
      </c>
      <c r="M14471" s="36">
        <v>0</v>
      </c>
      <c r="T14471" s="41">
        <v>0</v>
      </c>
      <c r="U14471" s="41">
        <v>0</v>
      </c>
      <c r="V14471" s="42" t="s">
        <v>113</v>
      </c>
      <c r="W14471" s="42">
        <v>91979.91</v>
      </c>
      <c r="X14471" s="42">
        <v>91979.91</v>
      </c>
    </row>
    <row r="14472" spans="1:24">
      <c r="A14472" s="27" t="s">
        <v>25896</v>
      </c>
      <c r="B14472" s="28" t="s">
        <v>25643</v>
      </c>
      <c r="C14472" s="27" t="s">
        <v>25897</v>
      </c>
      <c r="D14472" s="27" t="s">
        <v>112</v>
      </c>
      <c r="E14472" s="29">
        <v>37226</v>
      </c>
      <c r="F14472" s="27">
        <v>12</v>
      </c>
      <c r="G14472" s="18">
        <v>20602.849999999999</v>
      </c>
      <c r="H14472" s="27">
        <f t="shared" si="452"/>
        <v>20602.849999999999</v>
      </c>
      <c r="I14472" s="18">
        <v>19572.71</v>
      </c>
      <c r="J14472" s="27">
        <v>20602.849999999999</v>
      </c>
      <c r="K14472" s="18">
        <f t="shared" si="453"/>
        <v>20602.849999999999</v>
      </c>
      <c r="L14472" s="27">
        <v>19572.71</v>
      </c>
      <c r="M14472" s="36">
        <v>0</v>
      </c>
      <c r="T14472" s="41">
        <v>0</v>
      </c>
      <c r="U14472" s="41">
        <v>0</v>
      </c>
      <c r="V14472" s="42" t="s">
        <v>113</v>
      </c>
      <c r="W14472" s="42">
        <v>20602.849999999999</v>
      </c>
      <c r="X14472" s="42">
        <v>20602.849999999999</v>
      </c>
    </row>
    <row r="14473" spans="1:24">
      <c r="A14473" s="27" t="s">
        <v>25898</v>
      </c>
      <c r="B14473" s="28" t="s">
        <v>25643</v>
      </c>
      <c r="C14473" s="27" t="s">
        <v>25895</v>
      </c>
      <c r="D14473" s="27" t="s">
        <v>112</v>
      </c>
      <c r="E14473" s="29">
        <v>37226</v>
      </c>
      <c r="F14473" s="27">
        <v>12</v>
      </c>
      <c r="G14473" s="18">
        <v>87232.39</v>
      </c>
      <c r="H14473" s="27">
        <f t="shared" si="452"/>
        <v>87232.39</v>
      </c>
      <c r="I14473" s="18">
        <v>82870.77</v>
      </c>
      <c r="J14473" s="27">
        <v>87232.39</v>
      </c>
      <c r="K14473" s="18">
        <f t="shared" si="453"/>
        <v>87232.39</v>
      </c>
      <c r="L14473" s="27">
        <v>82870.77</v>
      </c>
      <c r="M14473" s="36">
        <v>0</v>
      </c>
      <c r="T14473" s="41">
        <v>0</v>
      </c>
      <c r="U14473" s="41">
        <v>0</v>
      </c>
      <c r="V14473" s="42" t="s">
        <v>113</v>
      </c>
      <c r="W14473" s="42">
        <v>87232.39</v>
      </c>
      <c r="X14473" s="42">
        <v>87232.39</v>
      </c>
    </row>
    <row r="14474" spans="1:24">
      <c r="A14474" s="27" t="s">
        <v>25899</v>
      </c>
      <c r="B14474" s="28" t="s">
        <v>25643</v>
      </c>
      <c r="C14474" s="27" t="s">
        <v>25786</v>
      </c>
      <c r="D14474" s="27" t="s">
        <v>112</v>
      </c>
      <c r="E14474" s="29">
        <v>30651</v>
      </c>
      <c r="F14474" s="27">
        <v>12</v>
      </c>
      <c r="G14474" s="18">
        <v>10182.26</v>
      </c>
      <c r="H14474" s="27">
        <f t="shared" si="452"/>
        <v>10182.26</v>
      </c>
      <c r="I14474" s="18">
        <v>9673.15</v>
      </c>
      <c r="J14474" s="27">
        <v>10182.26</v>
      </c>
      <c r="K14474" s="18">
        <f t="shared" si="453"/>
        <v>10182.26</v>
      </c>
      <c r="L14474" s="27">
        <v>9673.15</v>
      </c>
      <c r="M14474" s="36">
        <v>0</v>
      </c>
      <c r="T14474" s="41">
        <v>0</v>
      </c>
      <c r="U14474" s="41">
        <v>0</v>
      </c>
      <c r="V14474" s="42" t="s">
        <v>113</v>
      </c>
      <c r="W14474" s="42">
        <v>10182.26</v>
      </c>
      <c r="X14474" s="42">
        <v>10182.26</v>
      </c>
    </row>
    <row r="14475" spans="1:24">
      <c r="A14475" s="27" t="s">
        <v>25900</v>
      </c>
      <c r="B14475" s="28" t="s">
        <v>25643</v>
      </c>
      <c r="C14475" s="27" t="s">
        <v>25901</v>
      </c>
      <c r="D14475" s="27" t="s">
        <v>118</v>
      </c>
      <c r="E14475" s="29">
        <v>37226</v>
      </c>
      <c r="F14475" s="27">
        <v>12</v>
      </c>
      <c r="G14475" s="18">
        <v>1632563.62</v>
      </c>
      <c r="H14475" s="27">
        <f t="shared" si="452"/>
        <v>1632563.62</v>
      </c>
      <c r="I14475" s="18">
        <v>1550935.44</v>
      </c>
      <c r="J14475" s="27">
        <v>1632563.62</v>
      </c>
      <c r="K14475" s="18">
        <f t="shared" si="453"/>
        <v>1632563.62</v>
      </c>
      <c r="L14475" s="27">
        <v>1550935.44</v>
      </c>
      <c r="M14475" s="36">
        <v>0</v>
      </c>
      <c r="T14475" s="41">
        <v>0</v>
      </c>
      <c r="U14475" s="41">
        <v>0</v>
      </c>
      <c r="V14475" s="42" t="s">
        <v>113</v>
      </c>
      <c r="W14475" s="42">
        <v>1632563.62</v>
      </c>
      <c r="X14475" s="42">
        <v>1632563.62</v>
      </c>
    </row>
    <row r="14476" spans="1:24">
      <c r="A14476" s="27" t="s">
        <v>25902</v>
      </c>
      <c r="B14476" s="28" t="s">
        <v>25643</v>
      </c>
      <c r="C14476" s="27" t="s">
        <v>25903</v>
      </c>
      <c r="D14476" s="27" t="s">
        <v>118</v>
      </c>
      <c r="E14476" s="29">
        <v>37226</v>
      </c>
      <c r="F14476" s="27">
        <v>12</v>
      </c>
      <c r="G14476" s="18">
        <v>297935.71000000002</v>
      </c>
      <c r="H14476" s="27">
        <f t="shared" si="452"/>
        <v>297935.71000000002</v>
      </c>
      <c r="I14476" s="18">
        <v>283038.92</v>
      </c>
      <c r="J14476" s="27">
        <v>297935.71000000002</v>
      </c>
      <c r="K14476" s="18">
        <f t="shared" si="453"/>
        <v>297935.71000000002</v>
      </c>
      <c r="L14476" s="27">
        <v>283038.92</v>
      </c>
      <c r="M14476" s="36">
        <v>0</v>
      </c>
      <c r="T14476" s="41">
        <v>0</v>
      </c>
      <c r="U14476" s="41">
        <v>0</v>
      </c>
      <c r="V14476" s="42" t="s">
        <v>113</v>
      </c>
      <c r="W14476" s="42">
        <v>297935.71000000002</v>
      </c>
      <c r="X14476" s="42">
        <v>297935.71000000002</v>
      </c>
    </row>
    <row r="14477" spans="1:24">
      <c r="A14477" s="27" t="s">
        <v>25904</v>
      </c>
      <c r="B14477" s="28" t="s">
        <v>25643</v>
      </c>
      <c r="C14477" s="27" t="s">
        <v>25905</v>
      </c>
      <c r="D14477" s="27" t="s">
        <v>118</v>
      </c>
      <c r="E14477" s="29">
        <v>37226</v>
      </c>
      <c r="F14477" s="27">
        <v>12</v>
      </c>
      <c r="G14477" s="18">
        <v>1532591.41</v>
      </c>
      <c r="H14477" s="27">
        <f t="shared" si="452"/>
        <v>1532591.41</v>
      </c>
      <c r="I14477" s="18">
        <v>1455961.84</v>
      </c>
      <c r="J14477" s="27">
        <v>1532591.41</v>
      </c>
      <c r="K14477" s="18">
        <f t="shared" si="453"/>
        <v>1532591.41</v>
      </c>
      <c r="L14477" s="27">
        <v>1455961.84</v>
      </c>
      <c r="M14477" s="36">
        <v>0</v>
      </c>
      <c r="T14477" s="41">
        <v>0</v>
      </c>
      <c r="U14477" s="41">
        <v>0</v>
      </c>
      <c r="V14477" s="42" t="s">
        <v>113</v>
      </c>
      <c r="W14477" s="42">
        <v>1532591.41</v>
      </c>
      <c r="X14477" s="42">
        <v>1532591.41</v>
      </c>
    </row>
    <row r="14478" spans="1:24">
      <c r="A14478" s="27" t="s">
        <v>25906</v>
      </c>
      <c r="B14478" s="28" t="s">
        <v>25643</v>
      </c>
      <c r="C14478" s="27" t="s">
        <v>25907</v>
      </c>
      <c r="D14478" s="27" t="s">
        <v>118</v>
      </c>
      <c r="E14478" s="29">
        <v>37226</v>
      </c>
      <c r="F14478" s="27">
        <v>12</v>
      </c>
      <c r="G14478" s="18">
        <v>293021.33</v>
      </c>
      <c r="H14478" s="27">
        <f t="shared" si="452"/>
        <v>293021.33</v>
      </c>
      <c r="I14478" s="18">
        <v>278370.26</v>
      </c>
      <c r="J14478" s="27">
        <v>293021.33</v>
      </c>
      <c r="K14478" s="18">
        <f t="shared" si="453"/>
        <v>293021.33</v>
      </c>
      <c r="L14478" s="27">
        <v>278370.26</v>
      </c>
      <c r="M14478" s="36">
        <v>0</v>
      </c>
      <c r="T14478" s="41">
        <v>0</v>
      </c>
      <c r="U14478" s="41">
        <v>0</v>
      </c>
      <c r="V14478" s="42" t="s">
        <v>113</v>
      </c>
      <c r="W14478" s="42">
        <v>293021.33</v>
      </c>
      <c r="X14478" s="42">
        <v>293021.33</v>
      </c>
    </row>
    <row r="14479" spans="1:24">
      <c r="A14479" s="27" t="s">
        <v>25908</v>
      </c>
      <c r="B14479" s="28" t="s">
        <v>25643</v>
      </c>
      <c r="C14479" s="27" t="s">
        <v>25909</v>
      </c>
      <c r="D14479" s="27" t="s">
        <v>17558</v>
      </c>
      <c r="E14479" s="29">
        <v>39052</v>
      </c>
      <c r="F14479" s="27">
        <v>12</v>
      </c>
      <c r="G14479" s="18">
        <v>68021.039999999994</v>
      </c>
      <c r="H14479" s="27">
        <f t="shared" si="452"/>
        <v>68021.039999999994</v>
      </c>
      <c r="I14479" s="18">
        <v>64619.99</v>
      </c>
      <c r="J14479" s="27">
        <v>68021.039999999994</v>
      </c>
      <c r="K14479" s="18">
        <f t="shared" si="453"/>
        <v>68021.039999999994</v>
      </c>
      <c r="L14479" s="27">
        <v>64619.99</v>
      </c>
      <c r="M14479" s="36">
        <v>0</v>
      </c>
      <c r="T14479" s="41">
        <v>0</v>
      </c>
      <c r="U14479" s="41">
        <v>0</v>
      </c>
      <c r="V14479" s="42" t="s">
        <v>113</v>
      </c>
      <c r="W14479" s="42">
        <v>68021.039999999994</v>
      </c>
      <c r="X14479" s="42">
        <v>68021.039999999994</v>
      </c>
    </row>
    <row r="14480" spans="1:24">
      <c r="A14480" s="27" t="s">
        <v>25910</v>
      </c>
      <c r="B14480" s="28" t="s">
        <v>25643</v>
      </c>
      <c r="C14480" s="27" t="s">
        <v>25887</v>
      </c>
      <c r="D14480" s="27" t="s">
        <v>112</v>
      </c>
      <c r="E14480" s="29">
        <v>40114</v>
      </c>
      <c r="F14480" s="27">
        <v>12</v>
      </c>
      <c r="G14480" s="18">
        <v>13402.81</v>
      </c>
      <c r="H14480" s="27">
        <f t="shared" si="452"/>
        <v>13402.81</v>
      </c>
      <c r="I14480" s="18">
        <v>12732.67</v>
      </c>
      <c r="J14480" s="27">
        <v>13402.81</v>
      </c>
      <c r="K14480" s="18">
        <f t="shared" si="453"/>
        <v>13402.81</v>
      </c>
      <c r="L14480" s="27">
        <v>12732.67</v>
      </c>
      <c r="M14480" s="36">
        <v>0</v>
      </c>
      <c r="T14480" s="41">
        <v>0</v>
      </c>
      <c r="U14480" s="41">
        <v>0</v>
      </c>
      <c r="V14480" s="42" t="s">
        <v>113</v>
      </c>
      <c r="W14480" s="42">
        <v>13402.81</v>
      </c>
      <c r="X14480" s="42">
        <v>13402.81</v>
      </c>
    </row>
    <row r="14481" spans="1:24">
      <c r="A14481" s="27" t="s">
        <v>25911</v>
      </c>
      <c r="B14481" s="28" t="s">
        <v>25643</v>
      </c>
      <c r="C14481" s="27" t="s">
        <v>25688</v>
      </c>
      <c r="D14481" s="27" t="s">
        <v>118</v>
      </c>
      <c r="E14481" s="29">
        <v>40114</v>
      </c>
      <c r="F14481" s="27">
        <v>12</v>
      </c>
      <c r="G14481" s="18">
        <v>22153.98</v>
      </c>
      <c r="H14481" s="27">
        <f t="shared" si="452"/>
        <v>22153.98</v>
      </c>
      <c r="I14481" s="18">
        <v>21046.28</v>
      </c>
      <c r="J14481" s="27">
        <v>22153.98</v>
      </c>
      <c r="K14481" s="18">
        <f t="shared" si="453"/>
        <v>22153.98</v>
      </c>
      <c r="L14481" s="27">
        <v>21046.28</v>
      </c>
      <c r="M14481" s="36">
        <v>0</v>
      </c>
      <c r="T14481" s="41">
        <v>0</v>
      </c>
      <c r="U14481" s="41">
        <v>0</v>
      </c>
      <c r="V14481" s="42" t="s">
        <v>113</v>
      </c>
      <c r="W14481" s="42">
        <v>22153.98</v>
      </c>
      <c r="X14481" s="42">
        <v>22153.98</v>
      </c>
    </row>
    <row r="14482" spans="1:24">
      <c r="A14482" s="27" t="s">
        <v>25912</v>
      </c>
      <c r="B14482" s="28" t="s">
        <v>25643</v>
      </c>
      <c r="C14482" s="27" t="s">
        <v>25913</v>
      </c>
      <c r="D14482" s="27" t="s">
        <v>118</v>
      </c>
      <c r="E14482" s="29">
        <v>40114</v>
      </c>
      <c r="F14482" s="27">
        <v>12</v>
      </c>
      <c r="G14482" s="18">
        <v>22153.98</v>
      </c>
      <c r="H14482" s="27">
        <f t="shared" si="452"/>
        <v>22153.98</v>
      </c>
      <c r="I14482" s="18">
        <v>21046.28</v>
      </c>
      <c r="J14482" s="27">
        <v>22153.98</v>
      </c>
      <c r="K14482" s="18">
        <f t="shared" si="453"/>
        <v>22153.98</v>
      </c>
      <c r="L14482" s="27">
        <v>21046.28</v>
      </c>
      <c r="M14482" s="36">
        <v>0</v>
      </c>
      <c r="T14482" s="41">
        <v>0</v>
      </c>
      <c r="U14482" s="41">
        <v>0</v>
      </c>
      <c r="V14482" s="42" t="s">
        <v>113</v>
      </c>
      <c r="W14482" s="42">
        <v>22153.98</v>
      </c>
      <c r="X14482" s="42">
        <v>22153.98</v>
      </c>
    </row>
    <row r="14483" spans="1:24">
      <c r="A14483" s="27" t="s">
        <v>25914</v>
      </c>
      <c r="B14483" s="28" t="s">
        <v>25643</v>
      </c>
      <c r="C14483" s="27" t="s">
        <v>25915</v>
      </c>
      <c r="D14483" s="27" t="s">
        <v>112</v>
      </c>
      <c r="E14483" s="29">
        <v>40114</v>
      </c>
      <c r="F14483" s="27">
        <v>12</v>
      </c>
      <c r="G14483" s="18">
        <v>6462.45</v>
      </c>
      <c r="H14483" s="27">
        <f t="shared" si="452"/>
        <v>6462.45</v>
      </c>
      <c r="I14483" s="18">
        <v>6139.33</v>
      </c>
      <c r="J14483" s="27">
        <v>6462.45</v>
      </c>
      <c r="K14483" s="18">
        <f t="shared" si="453"/>
        <v>6462.45</v>
      </c>
      <c r="L14483" s="27">
        <v>6139.33</v>
      </c>
      <c r="M14483" s="36">
        <v>0</v>
      </c>
      <c r="T14483" s="41">
        <v>0</v>
      </c>
      <c r="U14483" s="41">
        <v>0</v>
      </c>
      <c r="V14483" s="42" t="s">
        <v>113</v>
      </c>
      <c r="W14483" s="42">
        <v>6462.45</v>
      </c>
      <c r="X14483" s="42">
        <v>6462.45</v>
      </c>
    </row>
    <row r="14484" spans="1:24">
      <c r="A14484" s="27" t="s">
        <v>25916</v>
      </c>
      <c r="B14484" s="28" t="s">
        <v>25643</v>
      </c>
      <c r="C14484" s="27" t="s">
        <v>25786</v>
      </c>
      <c r="D14484" s="27" t="s">
        <v>112</v>
      </c>
      <c r="E14484" s="29">
        <v>40114</v>
      </c>
      <c r="F14484" s="27">
        <v>12</v>
      </c>
      <c r="G14484" s="18">
        <v>6462.45</v>
      </c>
      <c r="H14484" s="27">
        <f t="shared" si="452"/>
        <v>6462.45</v>
      </c>
      <c r="I14484" s="18">
        <v>6139.32</v>
      </c>
      <c r="J14484" s="27">
        <v>6462.45</v>
      </c>
      <c r="K14484" s="18">
        <f t="shared" si="453"/>
        <v>6462.45</v>
      </c>
      <c r="L14484" s="27">
        <v>6139.32</v>
      </c>
      <c r="M14484" s="36">
        <v>0</v>
      </c>
      <c r="T14484" s="41">
        <v>0</v>
      </c>
      <c r="U14484" s="41">
        <v>0</v>
      </c>
      <c r="V14484" s="42" t="s">
        <v>113</v>
      </c>
      <c r="W14484" s="42">
        <v>6462.45</v>
      </c>
      <c r="X14484" s="42">
        <v>6462.45</v>
      </c>
    </row>
    <row r="14485" spans="1:24">
      <c r="A14485" s="27" t="s">
        <v>25917</v>
      </c>
      <c r="B14485" s="28" t="s">
        <v>25643</v>
      </c>
      <c r="C14485" s="27" t="s">
        <v>25865</v>
      </c>
      <c r="D14485" s="27" t="s">
        <v>112</v>
      </c>
      <c r="E14485" s="29">
        <v>40165</v>
      </c>
      <c r="F14485" s="27">
        <v>12</v>
      </c>
      <c r="G14485" s="18">
        <v>10145.83</v>
      </c>
      <c r="H14485" s="27">
        <f t="shared" si="452"/>
        <v>10145.83</v>
      </c>
      <c r="I14485" s="18">
        <v>9638.5400000000009</v>
      </c>
      <c r="J14485" s="27">
        <v>10145.83</v>
      </c>
      <c r="K14485" s="18">
        <f t="shared" si="453"/>
        <v>10145.83</v>
      </c>
      <c r="L14485" s="27">
        <v>9638.5400000000009</v>
      </c>
      <c r="M14485" s="36">
        <v>0</v>
      </c>
      <c r="T14485" s="41">
        <v>0</v>
      </c>
      <c r="U14485" s="41">
        <v>0</v>
      </c>
      <c r="V14485" s="42" t="s">
        <v>113</v>
      </c>
      <c r="W14485" s="42">
        <v>10145.83</v>
      </c>
      <c r="X14485" s="42">
        <v>10145.83</v>
      </c>
    </row>
    <row r="14486" spans="1:24">
      <c r="A14486" s="27" t="s">
        <v>25918</v>
      </c>
      <c r="B14486" s="28" t="s">
        <v>25643</v>
      </c>
      <c r="C14486" s="27" t="s">
        <v>25897</v>
      </c>
      <c r="D14486" s="27" t="s">
        <v>112</v>
      </c>
      <c r="E14486" s="29">
        <v>40165</v>
      </c>
      <c r="F14486" s="27">
        <v>12</v>
      </c>
      <c r="G14486" s="18">
        <v>35553.81</v>
      </c>
      <c r="H14486" s="27">
        <f t="shared" si="452"/>
        <v>35553.81</v>
      </c>
      <c r="I14486" s="18">
        <v>33776.120000000003</v>
      </c>
      <c r="J14486" s="27">
        <v>35553.81</v>
      </c>
      <c r="K14486" s="18">
        <f t="shared" si="453"/>
        <v>35553.81</v>
      </c>
      <c r="L14486" s="27">
        <v>33776.120000000003</v>
      </c>
      <c r="M14486" s="36">
        <v>0</v>
      </c>
      <c r="T14486" s="41">
        <v>0</v>
      </c>
      <c r="U14486" s="41">
        <v>0</v>
      </c>
      <c r="V14486" s="42" t="s">
        <v>113</v>
      </c>
      <c r="W14486" s="42">
        <v>35553.81</v>
      </c>
      <c r="X14486" s="42">
        <v>35553.81</v>
      </c>
    </row>
    <row r="14487" spans="1:24">
      <c r="A14487" s="27" t="s">
        <v>25919</v>
      </c>
      <c r="B14487" s="28" t="s">
        <v>25643</v>
      </c>
      <c r="C14487" s="27" t="s">
        <v>25865</v>
      </c>
      <c r="D14487" s="27" t="s">
        <v>230</v>
      </c>
      <c r="E14487" s="29">
        <v>40165</v>
      </c>
      <c r="F14487" s="27">
        <v>12</v>
      </c>
      <c r="G14487" s="18">
        <v>7481.18</v>
      </c>
      <c r="H14487" s="27">
        <f t="shared" si="452"/>
        <v>7481.18</v>
      </c>
      <c r="I14487" s="18">
        <v>7107.12</v>
      </c>
      <c r="J14487" s="27">
        <v>7481.18</v>
      </c>
      <c r="K14487" s="18">
        <f t="shared" si="453"/>
        <v>7481.18</v>
      </c>
      <c r="L14487" s="27">
        <v>7107.12</v>
      </c>
      <c r="M14487" s="36">
        <v>0</v>
      </c>
      <c r="T14487" s="41">
        <v>0</v>
      </c>
      <c r="U14487" s="41">
        <v>0</v>
      </c>
      <c r="V14487" s="42" t="s">
        <v>113</v>
      </c>
      <c r="W14487" s="42">
        <v>7481.18</v>
      </c>
      <c r="X14487" s="42">
        <v>7481.18</v>
      </c>
    </row>
    <row r="14488" spans="1:24">
      <c r="A14488" s="27" t="s">
        <v>25920</v>
      </c>
      <c r="B14488" s="28" t="s">
        <v>25643</v>
      </c>
      <c r="C14488" s="27" t="s">
        <v>25921</v>
      </c>
      <c r="D14488" s="27" t="s">
        <v>112</v>
      </c>
      <c r="E14488" s="29">
        <v>40165</v>
      </c>
      <c r="F14488" s="27">
        <v>12</v>
      </c>
      <c r="G14488" s="18">
        <v>24574.5</v>
      </c>
      <c r="H14488" s="27">
        <f t="shared" si="452"/>
        <v>24574.5</v>
      </c>
      <c r="I14488" s="18">
        <v>23345.77</v>
      </c>
      <c r="J14488" s="27">
        <v>24574.5</v>
      </c>
      <c r="K14488" s="18">
        <f t="shared" si="453"/>
        <v>24574.5</v>
      </c>
      <c r="L14488" s="27">
        <v>23345.77</v>
      </c>
      <c r="M14488" s="36">
        <v>0</v>
      </c>
      <c r="T14488" s="41">
        <v>0</v>
      </c>
      <c r="U14488" s="41">
        <v>0</v>
      </c>
      <c r="V14488" s="42" t="s">
        <v>113</v>
      </c>
      <c r="W14488" s="42">
        <v>24574.5</v>
      </c>
      <c r="X14488" s="42">
        <v>24574.5</v>
      </c>
    </row>
    <row r="14489" spans="1:24">
      <c r="A14489" s="27" t="s">
        <v>25922</v>
      </c>
      <c r="B14489" s="28" t="s">
        <v>25643</v>
      </c>
      <c r="C14489" s="27" t="s">
        <v>25897</v>
      </c>
      <c r="D14489" s="27" t="s">
        <v>112</v>
      </c>
      <c r="E14489" s="29">
        <v>40165</v>
      </c>
      <c r="F14489" s="27">
        <v>12</v>
      </c>
      <c r="G14489" s="18">
        <v>21780.38</v>
      </c>
      <c r="H14489" s="27">
        <f t="shared" si="452"/>
        <v>21780.38</v>
      </c>
      <c r="I14489" s="18">
        <v>20691.36</v>
      </c>
      <c r="J14489" s="27">
        <v>21780.38</v>
      </c>
      <c r="K14489" s="18">
        <f t="shared" si="453"/>
        <v>21780.38</v>
      </c>
      <c r="L14489" s="27">
        <v>20691.36</v>
      </c>
      <c r="M14489" s="36">
        <v>0</v>
      </c>
      <c r="T14489" s="41">
        <v>0</v>
      </c>
      <c r="U14489" s="41">
        <v>0</v>
      </c>
      <c r="V14489" s="42" t="s">
        <v>113</v>
      </c>
      <c r="W14489" s="42">
        <v>21780.38</v>
      </c>
      <c r="X14489" s="42">
        <v>21780.38</v>
      </c>
    </row>
    <row r="14490" spans="1:24">
      <c r="A14490" s="27" t="s">
        <v>25923</v>
      </c>
      <c r="B14490" s="28" t="s">
        <v>25643</v>
      </c>
      <c r="C14490" s="27" t="s">
        <v>25924</v>
      </c>
      <c r="D14490" s="27" t="s">
        <v>112</v>
      </c>
      <c r="E14490" s="29">
        <v>40165</v>
      </c>
      <c r="F14490" s="27">
        <v>12</v>
      </c>
      <c r="G14490" s="18">
        <v>7597.04</v>
      </c>
      <c r="H14490" s="27">
        <f t="shared" si="452"/>
        <v>7597.04</v>
      </c>
      <c r="I14490" s="18">
        <v>7217.19</v>
      </c>
      <c r="J14490" s="27">
        <v>7597.04</v>
      </c>
      <c r="K14490" s="18">
        <f t="shared" si="453"/>
        <v>7597.04</v>
      </c>
      <c r="L14490" s="27">
        <v>7217.19</v>
      </c>
      <c r="M14490" s="36">
        <v>0</v>
      </c>
      <c r="T14490" s="41">
        <v>0</v>
      </c>
      <c r="U14490" s="41">
        <v>0</v>
      </c>
      <c r="V14490" s="42" t="s">
        <v>113</v>
      </c>
      <c r="W14490" s="42">
        <v>7597.04</v>
      </c>
      <c r="X14490" s="42">
        <v>7597.04</v>
      </c>
    </row>
    <row r="14491" spans="1:24">
      <c r="A14491" s="27" t="s">
        <v>25925</v>
      </c>
      <c r="B14491" s="28" t="s">
        <v>25643</v>
      </c>
      <c r="C14491" s="27" t="s">
        <v>25865</v>
      </c>
      <c r="D14491" s="27" t="s">
        <v>112</v>
      </c>
      <c r="E14491" s="29">
        <v>40165</v>
      </c>
      <c r="F14491" s="27">
        <v>12</v>
      </c>
      <c r="G14491" s="18">
        <v>15327.11</v>
      </c>
      <c r="H14491" s="27">
        <f t="shared" si="452"/>
        <v>15327.11</v>
      </c>
      <c r="I14491" s="18">
        <v>14560.75</v>
      </c>
      <c r="J14491" s="27">
        <v>15327.11</v>
      </c>
      <c r="K14491" s="18">
        <f t="shared" si="453"/>
        <v>15327.11</v>
      </c>
      <c r="L14491" s="27">
        <v>14560.75</v>
      </c>
      <c r="M14491" s="36">
        <v>0</v>
      </c>
      <c r="T14491" s="41">
        <v>0</v>
      </c>
      <c r="U14491" s="41">
        <v>0</v>
      </c>
      <c r="V14491" s="42" t="s">
        <v>113</v>
      </c>
      <c r="W14491" s="42">
        <v>15327.11</v>
      </c>
      <c r="X14491" s="42">
        <v>15327.11</v>
      </c>
    </row>
    <row r="14492" spans="1:24">
      <c r="A14492" s="27" t="s">
        <v>25926</v>
      </c>
      <c r="B14492" s="28" t="s">
        <v>25643</v>
      </c>
      <c r="C14492" s="27" t="s">
        <v>25921</v>
      </c>
      <c r="D14492" s="27" t="s">
        <v>112</v>
      </c>
      <c r="E14492" s="29">
        <v>40165</v>
      </c>
      <c r="F14492" s="27">
        <v>12</v>
      </c>
      <c r="G14492" s="18">
        <v>28713.16</v>
      </c>
      <c r="H14492" s="27">
        <f t="shared" si="452"/>
        <v>28713.16</v>
      </c>
      <c r="I14492" s="18">
        <v>27277.5</v>
      </c>
      <c r="J14492" s="27">
        <v>28713.16</v>
      </c>
      <c r="K14492" s="18">
        <f t="shared" si="453"/>
        <v>28713.16</v>
      </c>
      <c r="L14492" s="27">
        <v>27277.5</v>
      </c>
      <c r="M14492" s="36">
        <v>0</v>
      </c>
      <c r="T14492" s="41">
        <v>0</v>
      </c>
      <c r="U14492" s="41">
        <v>0</v>
      </c>
      <c r="V14492" s="42" t="s">
        <v>113</v>
      </c>
      <c r="W14492" s="42">
        <v>28713.16</v>
      </c>
      <c r="X14492" s="42">
        <v>28713.16</v>
      </c>
    </row>
    <row r="14493" spans="1:24">
      <c r="A14493" s="27" t="s">
        <v>25927</v>
      </c>
      <c r="B14493" s="28" t="s">
        <v>25643</v>
      </c>
      <c r="C14493" s="27" t="s">
        <v>25897</v>
      </c>
      <c r="D14493" s="27" t="s">
        <v>112</v>
      </c>
      <c r="E14493" s="29">
        <v>40165</v>
      </c>
      <c r="F14493" s="27">
        <v>12</v>
      </c>
      <c r="G14493" s="18">
        <v>35121.68</v>
      </c>
      <c r="H14493" s="27">
        <f t="shared" si="452"/>
        <v>35121.68</v>
      </c>
      <c r="I14493" s="18">
        <v>33365.599999999999</v>
      </c>
      <c r="J14493" s="27">
        <v>35121.68</v>
      </c>
      <c r="K14493" s="18">
        <f t="shared" si="453"/>
        <v>35121.68</v>
      </c>
      <c r="L14493" s="27">
        <v>33365.599999999999</v>
      </c>
      <c r="M14493" s="36">
        <v>0</v>
      </c>
      <c r="T14493" s="41">
        <v>0</v>
      </c>
      <c r="U14493" s="41">
        <v>0</v>
      </c>
      <c r="V14493" s="42" t="s">
        <v>113</v>
      </c>
      <c r="W14493" s="42">
        <v>35121.68</v>
      </c>
      <c r="X14493" s="42">
        <v>35121.68</v>
      </c>
    </row>
    <row r="14494" spans="1:24">
      <c r="A14494" s="27" t="s">
        <v>25928</v>
      </c>
      <c r="B14494" s="28" t="s">
        <v>25643</v>
      </c>
      <c r="C14494" s="27" t="s">
        <v>25929</v>
      </c>
      <c r="D14494" s="27" t="s">
        <v>112</v>
      </c>
      <c r="E14494" s="29">
        <v>40165</v>
      </c>
      <c r="F14494" s="27">
        <v>12</v>
      </c>
      <c r="G14494" s="18">
        <v>10015.219999999999</v>
      </c>
      <c r="H14494" s="27">
        <f t="shared" si="452"/>
        <v>10015.219999999999</v>
      </c>
      <c r="I14494" s="18">
        <v>9514.4599999999991</v>
      </c>
      <c r="J14494" s="27">
        <v>10015.219999999999</v>
      </c>
      <c r="K14494" s="18">
        <f t="shared" si="453"/>
        <v>10015.219999999999</v>
      </c>
      <c r="L14494" s="27">
        <v>9514.4599999999991</v>
      </c>
      <c r="M14494" s="36">
        <v>0</v>
      </c>
      <c r="T14494" s="41">
        <v>0</v>
      </c>
      <c r="U14494" s="41">
        <v>0</v>
      </c>
      <c r="V14494" s="42" t="s">
        <v>113</v>
      </c>
      <c r="W14494" s="42">
        <v>10015.219999999999</v>
      </c>
      <c r="X14494" s="42">
        <v>10015.219999999999</v>
      </c>
    </row>
    <row r="14495" spans="1:24">
      <c r="A14495" s="27" t="s">
        <v>25930</v>
      </c>
      <c r="B14495" s="28" t="s">
        <v>25643</v>
      </c>
      <c r="C14495" s="27" t="s">
        <v>25865</v>
      </c>
      <c r="D14495" s="27" t="s">
        <v>112</v>
      </c>
      <c r="E14495" s="29">
        <v>40165</v>
      </c>
      <c r="F14495" s="27">
        <v>12</v>
      </c>
      <c r="G14495" s="18">
        <v>10584.59</v>
      </c>
      <c r="H14495" s="27">
        <f t="shared" si="452"/>
        <v>10584.59</v>
      </c>
      <c r="I14495" s="18">
        <v>10055.36</v>
      </c>
      <c r="J14495" s="27">
        <v>10584.59</v>
      </c>
      <c r="K14495" s="18">
        <f t="shared" si="453"/>
        <v>10584.59</v>
      </c>
      <c r="L14495" s="27">
        <v>10055.36</v>
      </c>
      <c r="M14495" s="36">
        <v>0</v>
      </c>
      <c r="T14495" s="41">
        <v>0</v>
      </c>
      <c r="U14495" s="41">
        <v>0</v>
      </c>
      <c r="V14495" s="42" t="s">
        <v>113</v>
      </c>
      <c r="W14495" s="42">
        <v>10584.59</v>
      </c>
      <c r="X14495" s="42">
        <v>10584.59</v>
      </c>
    </row>
    <row r="14496" spans="1:24">
      <c r="A14496" s="27" t="s">
        <v>25931</v>
      </c>
      <c r="B14496" s="28" t="s">
        <v>25643</v>
      </c>
      <c r="C14496" s="27" t="s">
        <v>25932</v>
      </c>
      <c r="D14496" s="27" t="s">
        <v>17558</v>
      </c>
      <c r="E14496" s="29">
        <v>40511</v>
      </c>
      <c r="F14496" s="27">
        <v>12</v>
      </c>
      <c r="G14496" s="18">
        <v>90440.18</v>
      </c>
      <c r="H14496" s="27">
        <f t="shared" si="452"/>
        <v>0</v>
      </c>
      <c r="I14496" s="18">
        <v>62658.81</v>
      </c>
      <c r="J14496" s="27">
        <v>90440.18</v>
      </c>
      <c r="K14496" s="18">
        <f t="shared" si="453"/>
        <v>0</v>
      </c>
      <c r="L14496" s="27">
        <v>69815.539999999994</v>
      </c>
      <c r="M14496" s="36">
        <v>7156.73</v>
      </c>
      <c r="T14496" s="41">
        <v>0</v>
      </c>
      <c r="U14496" s="41">
        <v>0</v>
      </c>
      <c r="V14496" s="42" t="s">
        <v>113</v>
      </c>
      <c r="W14496" s="42">
        <v>0</v>
      </c>
      <c r="X14496" s="42">
        <v>0</v>
      </c>
    </row>
    <row r="14497" spans="1:24">
      <c r="A14497" s="27" t="s">
        <v>25933</v>
      </c>
      <c r="B14497" s="28" t="s">
        <v>25643</v>
      </c>
      <c r="C14497" s="27" t="s">
        <v>25865</v>
      </c>
      <c r="D14497" s="27" t="s">
        <v>17558</v>
      </c>
      <c r="E14497" s="29">
        <v>40543</v>
      </c>
      <c r="F14497" s="27">
        <v>12</v>
      </c>
      <c r="G14497" s="18">
        <v>1614908.87</v>
      </c>
      <c r="H14497" s="27">
        <f t="shared" si="452"/>
        <v>0</v>
      </c>
      <c r="I14497" s="18">
        <v>1001209.89</v>
      </c>
      <c r="J14497" s="27">
        <v>1614908.87</v>
      </c>
      <c r="K14497" s="18">
        <f t="shared" si="453"/>
        <v>0</v>
      </c>
      <c r="L14497" s="27">
        <v>1134448.28</v>
      </c>
      <c r="M14497" s="36">
        <v>133238.39000000001</v>
      </c>
      <c r="T14497" s="41">
        <v>0</v>
      </c>
      <c r="U14497" s="41">
        <v>0</v>
      </c>
      <c r="V14497" s="42" t="s">
        <v>113</v>
      </c>
      <c r="W14497" s="42">
        <v>0</v>
      </c>
      <c r="X14497" s="42">
        <v>0</v>
      </c>
    </row>
    <row r="14498" spans="1:24">
      <c r="A14498" s="27" t="s">
        <v>25934</v>
      </c>
      <c r="B14498" s="28" t="s">
        <v>25643</v>
      </c>
      <c r="C14498" s="27" t="s">
        <v>25805</v>
      </c>
      <c r="D14498" s="27" t="s">
        <v>17558</v>
      </c>
      <c r="E14498" s="29">
        <v>40543</v>
      </c>
      <c r="F14498" s="27">
        <v>12</v>
      </c>
      <c r="G14498" s="18">
        <v>1522628.36</v>
      </c>
      <c r="H14498" s="27">
        <f t="shared" si="452"/>
        <v>0</v>
      </c>
      <c r="I14498" s="18">
        <v>943997.88</v>
      </c>
      <c r="J14498" s="27">
        <v>1522628.36</v>
      </c>
      <c r="K14498" s="18">
        <f t="shared" si="453"/>
        <v>0</v>
      </c>
      <c r="L14498" s="27">
        <v>1069622.6499999999</v>
      </c>
      <c r="M14498" s="36">
        <v>125624.77</v>
      </c>
      <c r="T14498" s="41">
        <v>0</v>
      </c>
      <c r="U14498" s="41">
        <v>0</v>
      </c>
      <c r="V14498" s="42" t="s">
        <v>113</v>
      </c>
      <c r="W14498" s="42">
        <v>0</v>
      </c>
      <c r="X14498" s="42">
        <v>0</v>
      </c>
    </row>
    <row r="14499" spans="1:24">
      <c r="A14499" s="27" t="s">
        <v>25935</v>
      </c>
      <c r="B14499" s="28" t="s">
        <v>25643</v>
      </c>
      <c r="C14499" s="27" t="s">
        <v>25924</v>
      </c>
      <c r="D14499" s="27" t="s">
        <v>17558</v>
      </c>
      <c r="E14499" s="29">
        <v>40543</v>
      </c>
      <c r="F14499" s="27">
        <v>12</v>
      </c>
      <c r="G14499" s="18">
        <v>61520.34</v>
      </c>
      <c r="H14499" s="27">
        <f t="shared" si="452"/>
        <v>0</v>
      </c>
      <c r="I14499" s="18">
        <v>38141.339999999997</v>
      </c>
      <c r="J14499" s="27">
        <v>61520.34</v>
      </c>
      <c r="K14499" s="18">
        <f t="shared" si="453"/>
        <v>0</v>
      </c>
      <c r="L14499" s="27">
        <v>43217.09</v>
      </c>
      <c r="M14499" s="36">
        <v>5075.75</v>
      </c>
      <c r="T14499" s="41">
        <v>0</v>
      </c>
      <c r="U14499" s="41">
        <v>0</v>
      </c>
      <c r="V14499" s="42" t="s">
        <v>113</v>
      </c>
      <c r="W14499" s="42">
        <v>0</v>
      </c>
      <c r="X14499" s="42">
        <v>0</v>
      </c>
    </row>
    <row r="14500" spans="1:24">
      <c r="A14500" s="27" t="s">
        <v>25936</v>
      </c>
      <c r="B14500" s="28" t="s">
        <v>25643</v>
      </c>
      <c r="C14500" s="27" t="s">
        <v>25937</v>
      </c>
      <c r="D14500" s="27" t="s">
        <v>17558</v>
      </c>
      <c r="E14500" s="29">
        <v>40543</v>
      </c>
      <c r="F14500" s="27">
        <v>12</v>
      </c>
      <c r="G14500" s="18">
        <v>307911.82</v>
      </c>
      <c r="H14500" s="27">
        <f t="shared" si="452"/>
        <v>0</v>
      </c>
      <c r="I14500" s="18">
        <v>190898.93</v>
      </c>
      <c r="J14500" s="27">
        <v>307911.82</v>
      </c>
      <c r="K14500" s="18">
        <f t="shared" si="453"/>
        <v>0</v>
      </c>
      <c r="L14500" s="27">
        <v>216303.26</v>
      </c>
      <c r="M14500" s="36">
        <v>25404.33</v>
      </c>
      <c r="T14500" s="41">
        <v>0</v>
      </c>
      <c r="U14500" s="41">
        <v>0</v>
      </c>
      <c r="V14500" s="42" t="s">
        <v>113</v>
      </c>
      <c r="W14500" s="42">
        <v>0</v>
      </c>
      <c r="X14500" s="42">
        <v>0</v>
      </c>
    </row>
    <row r="14501" spans="1:24">
      <c r="A14501" s="27" t="s">
        <v>25938</v>
      </c>
      <c r="B14501" s="28" t="s">
        <v>25643</v>
      </c>
      <c r="C14501" s="27" t="s">
        <v>25688</v>
      </c>
      <c r="D14501" s="27" t="s">
        <v>17558</v>
      </c>
      <c r="E14501" s="29">
        <v>40543</v>
      </c>
      <c r="F14501" s="27">
        <v>12</v>
      </c>
      <c r="G14501" s="18">
        <v>230701.27</v>
      </c>
      <c r="H14501" s="27">
        <f t="shared" si="452"/>
        <v>0</v>
      </c>
      <c r="I14501" s="18">
        <v>143029.99</v>
      </c>
      <c r="J14501" s="27">
        <v>230701.27</v>
      </c>
      <c r="K14501" s="18">
        <f t="shared" si="453"/>
        <v>0</v>
      </c>
      <c r="L14501" s="27">
        <v>162064.04999999999</v>
      </c>
      <c r="M14501" s="36">
        <v>19034.060000000001</v>
      </c>
      <c r="T14501" s="41">
        <v>0</v>
      </c>
      <c r="U14501" s="41">
        <v>0</v>
      </c>
      <c r="V14501" s="42" t="s">
        <v>113</v>
      </c>
      <c r="W14501" s="42">
        <v>0</v>
      </c>
      <c r="X14501" s="42">
        <v>0</v>
      </c>
    </row>
    <row r="14502" spans="1:24">
      <c r="A14502" s="27" t="s">
        <v>25939</v>
      </c>
      <c r="B14502" s="28" t="s">
        <v>25643</v>
      </c>
      <c r="C14502" s="27" t="s">
        <v>25940</v>
      </c>
      <c r="D14502" s="27" t="s">
        <v>17558</v>
      </c>
      <c r="E14502" s="29">
        <v>40543</v>
      </c>
      <c r="F14502" s="27">
        <v>12</v>
      </c>
      <c r="G14502" s="18">
        <v>230701.27</v>
      </c>
      <c r="H14502" s="27">
        <f t="shared" si="452"/>
        <v>0</v>
      </c>
      <c r="I14502" s="18">
        <v>143029.99</v>
      </c>
      <c r="J14502" s="27">
        <v>230701.27</v>
      </c>
      <c r="K14502" s="18">
        <f t="shared" si="453"/>
        <v>0</v>
      </c>
      <c r="L14502" s="27">
        <v>162064.04999999999</v>
      </c>
      <c r="M14502" s="36">
        <v>19034.060000000001</v>
      </c>
      <c r="T14502" s="41">
        <v>0</v>
      </c>
      <c r="U14502" s="41">
        <v>0</v>
      </c>
      <c r="V14502" s="42" t="s">
        <v>113</v>
      </c>
      <c r="W14502" s="42">
        <v>0</v>
      </c>
      <c r="X14502" s="42">
        <v>0</v>
      </c>
    </row>
    <row r="14503" spans="1:24">
      <c r="A14503" s="27" t="s">
        <v>25941</v>
      </c>
      <c r="B14503" s="28" t="s">
        <v>25643</v>
      </c>
      <c r="C14503" s="27" t="s">
        <v>25942</v>
      </c>
      <c r="D14503" s="27" t="s">
        <v>17558</v>
      </c>
      <c r="E14503" s="29">
        <v>40543</v>
      </c>
      <c r="F14503" s="27">
        <v>12</v>
      </c>
      <c r="G14503" s="18">
        <v>461402.53</v>
      </c>
      <c r="H14503" s="27">
        <f t="shared" si="452"/>
        <v>0</v>
      </c>
      <c r="I14503" s="18">
        <v>286059.96000000002</v>
      </c>
      <c r="J14503" s="27">
        <v>461402.53</v>
      </c>
      <c r="K14503" s="18">
        <f t="shared" si="453"/>
        <v>0</v>
      </c>
      <c r="L14503" s="27">
        <v>324128.07</v>
      </c>
      <c r="M14503" s="36">
        <v>38068.11</v>
      </c>
      <c r="T14503" s="41">
        <v>0</v>
      </c>
      <c r="U14503" s="41">
        <v>0</v>
      </c>
      <c r="V14503" s="42" t="s">
        <v>113</v>
      </c>
      <c r="W14503" s="42">
        <v>0</v>
      </c>
      <c r="X14503" s="42">
        <v>0</v>
      </c>
    </row>
    <row r="14504" spans="1:24">
      <c r="A14504" s="27" t="s">
        <v>25943</v>
      </c>
      <c r="B14504" s="28" t="s">
        <v>25643</v>
      </c>
      <c r="C14504" s="27" t="s">
        <v>25944</v>
      </c>
      <c r="D14504" s="27" t="s">
        <v>118</v>
      </c>
      <c r="E14504" s="29">
        <v>40543</v>
      </c>
      <c r="F14504" s="27">
        <v>12</v>
      </c>
      <c r="G14504" s="18">
        <v>61210.21</v>
      </c>
      <c r="H14504" s="27">
        <f t="shared" si="452"/>
        <v>0</v>
      </c>
      <c r="I14504" s="18">
        <v>37949.06</v>
      </c>
      <c r="J14504" s="27">
        <v>61210.21</v>
      </c>
      <c r="K14504" s="18">
        <f t="shared" si="453"/>
        <v>0</v>
      </c>
      <c r="L14504" s="27">
        <v>42999.22</v>
      </c>
      <c r="M14504" s="36">
        <v>5050.16</v>
      </c>
      <c r="T14504" s="41">
        <v>0</v>
      </c>
      <c r="U14504" s="41">
        <v>0</v>
      </c>
      <c r="V14504" s="42" t="s">
        <v>113</v>
      </c>
      <c r="W14504" s="42">
        <v>0</v>
      </c>
      <c r="X14504" s="42">
        <v>0</v>
      </c>
    </row>
    <row r="14505" spans="1:24">
      <c r="A14505" s="27" t="s">
        <v>25945</v>
      </c>
      <c r="B14505" s="28" t="s">
        <v>25643</v>
      </c>
      <c r="C14505" s="27" t="s">
        <v>25946</v>
      </c>
      <c r="D14505" s="27" t="s">
        <v>17558</v>
      </c>
      <c r="E14505" s="29">
        <v>40543</v>
      </c>
      <c r="F14505" s="27">
        <v>12</v>
      </c>
      <c r="G14505" s="18">
        <v>61520.34</v>
      </c>
      <c r="H14505" s="27">
        <f t="shared" si="452"/>
        <v>0</v>
      </c>
      <c r="I14505" s="18">
        <v>38141.339999999997</v>
      </c>
      <c r="J14505" s="27">
        <v>61520.34</v>
      </c>
      <c r="K14505" s="18">
        <f t="shared" si="453"/>
        <v>0</v>
      </c>
      <c r="L14505" s="27">
        <v>43217.09</v>
      </c>
      <c r="M14505" s="36">
        <v>5075.75</v>
      </c>
      <c r="T14505" s="41">
        <v>0</v>
      </c>
      <c r="U14505" s="41">
        <v>0</v>
      </c>
      <c r="V14505" s="42" t="s">
        <v>113</v>
      </c>
      <c r="W14505" s="42">
        <v>0</v>
      </c>
      <c r="X14505" s="42">
        <v>0</v>
      </c>
    </row>
    <row r="14506" spans="1:24">
      <c r="A14506" s="27" t="s">
        <v>25947</v>
      </c>
      <c r="B14506" s="28" t="s">
        <v>25643</v>
      </c>
      <c r="C14506" s="27" t="s">
        <v>25948</v>
      </c>
      <c r="D14506" s="27" t="s">
        <v>17558</v>
      </c>
      <c r="E14506" s="29">
        <v>40543</v>
      </c>
      <c r="F14506" s="27">
        <v>12</v>
      </c>
      <c r="G14506" s="18">
        <v>61520.33</v>
      </c>
      <c r="H14506" s="27">
        <f t="shared" si="452"/>
        <v>0</v>
      </c>
      <c r="I14506" s="18">
        <v>38141.33</v>
      </c>
      <c r="J14506" s="27">
        <v>61520.33</v>
      </c>
      <c r="K14506" s="18">
        <f t="shared" si="453"/>
        <v>0</v>
      </c>
      <c r="L14506" s="27">
        <v>43217.08</v>
      </c>
      <c r="M14506" s="36">
        <v>5075.75</v>
      </c>
      <c r="T14506" s="41">
        <v>0</v>
      </c>
      <c r="U14506" s="41">
        <v>0</v>
      </c>
      <c r="V14506" s="42" t="s">
        <v>113</v>
      </c>
      <c r="W14506" s="42">
        <v>0</v>
      </c>
      <c r="X14506" s="42">
        <v>0</v>
      </c>
    </row>
    <row r="14507" spans="1:24">
      <c r="A14507" s="27" t="s">
        <v>25949</v>
      </c>
      <c r="B14507" s="28" t="s">
        <v>25643</v>
      </c>
      <c r="C14507" s="27" t="s">
        <v>25950</v>
      </c>
      <c r="D14507" s="27" t="s">
        <v>17558</v>
      </c>
      <c r="E14507" s="29">
        <v>41272</v>
      </c>
      <c r="F14507" s="27">
        <v>12</v>
      </c>
      <c r="G14507" s="18">
        <v>386578.69</v>
      </c>
      <c r="H14507" s="27">
        <f t="shared" si="452"/>
        <v>386578.69</v>
      </c>
      <c r="I14507" s="18">
        <v>386578.69</v>
      </c>
      <c r="J14507" s="27">
        <v>386578.69</v>
      </c>
      <c r="K14507" s="18">
        <f t="shared" si="453"/>
        <v>386578.69</v>
      </c>
      <c r="L14507" s="27">
        <v>367249.76</v>
      </c>
      <c r="M14507" s="36">
        <v>-19328.93</v>
      </c>
      <c r="T14507" s="41">
        <v>0</v>
      </c>
      <c r="U14507" s="41">
        <v>0</v>
      </c>
      <c r="V14507" s="42" t="s">
        <v>113</v>
      </c>
      <c r="W14507" s="42">
        <v>386578.69</v>
      </c>
      <c r="X14507" s="42">
        <v>386578.69</v>
      </c>
    </row>
    <row r="14508" spans="1:24">
      <c r="A14508" s="27" t="s">
        <v>25951</v>
      </c>
      <c r="B14508" s="28" t="s">
        <v>25643</v>
      </c>
      <c r="C14508" s="27" t="s">
        <v>25952</v>
      </c>
      <c r="D14508" s="27" t="s">
        <v>230</v>
      </c>
      <c r="E14508" s="29">
        <v>36130</v>
      </c>
      <c r="F14508" s="27">
        <v>12</v>
      </c>
      <c r="G14508" s="18">
        <v>8211.5</v>
      </c>
      <c r="H14508" s="27">
        <f t="shared" si="452"/>
        <v>0</v>
      </c>
      <c r="I14508" s="18">
        <v>5377.99</v>
      </c>
      <c r="J14508" s="27">
        <v>8211.5</v>
      </c>
      <c r="K14508" s="18">
        <f t="shared" si="453"/>
        <v>0</v>
      </c>
      <c r="L14508" s="27">
        <v>5983.72</v>
      </c>
      <c r="M14508" s="36">
        <v>605.73</v>
      </c>
      <c r="T14508" s="41">
        <v>0</v>
      </c>
      <c r="U14508" s="41">
        <v>0</v>
      </c>
      <c r="V14508" s="42" t="s">
        <v>124</v>
      </c>
      <c r="W14508" s="42">
        <v>8211.5</v>
      </c>
      <c r="X14508" s="42">
        <v>8211.5</v>
      </c>
    </row>
    <row r="14509" spans="1:24">
      <c r="A14509" s="27" t="s">
        <v>25953</v>
      </c>
      <c r="B14509" s="28" t="s">
        <v>25643</v>
      </c>
      <c r="C14509" s="27" t="s">
        <v>25954</v>
      </c>
      <c r="D14509" s="27" t="s">
        <v>230</v>
      </c>
      <c r="E14509" s="29">
        <v>36130</v>
      </c>
      <c r="F14509" s="27">
        <v>12</v>
      </c>
      <c r="G14509" s="18">
        <v>8211.5</v>
      </c>
      <c r="H14509" s="27">
        <f t="shared" si="452"/>
        <v>0</v>
      </c>
      <c r="I14509" s="18">
        <v>5377.99</v>
      </c>
      <c r="J14509" s="27">
        <v>8211.5</v>
      </c>
      <c r="K14509" s="18">
        <f t="shared" si="453"/>
        <v>0</v>
      </c>
      <c r="L14509" s="27">
        <v>5983.72</v>
      </c>
      <c r="M14509" s="36">
        <v>605.73</v>
      </c>
      <c r="T14509" s="41">
        <v>0</v>
      </c>
      <c r="U14509" s="41">
        <v>0</v>
      </c>
      <c r="V14509" s="42" t="s">
        <v>124</v>
      </c>
      <c r="W14509" s="42">
        <v>8211.5</v>
      </c>
      <c r="X14509" s="42">
        <v>8211.5</v>
      </c>
    </row>
    <row r="14510" spans="1:24">
      <c r="A14510" s="27" t="s">
        <v>25955</v>
      </c>
      <c r="B14510" s="28" t="s">
        <v>25643</v>
      </c>
      <c r="C14510" s="27" t="s">
        <v>25956</v>
      </c>
      <c r="D14510" s="27" t="s">
        <v>17578</v>
      </c>
      <c r="E14510" s="29">
        <v>38534</v>
      </c>
      <c r="F14510" s="27">
        <v>12</v>
      </c>
      <c r="G14510" s="18">
        <v>20000</v>
      </c>
      <c r="H14510" s="27">
        <f t="shared" si="452"/>
        <v>20000</v>
      </c>
      <c r="I14510" s="18">
        <v>19000</v>
      </c>
      <c r="J14510" s="27">
        <v>20000</v>
      </c>
      <c r="K14510" s="18">
        <f t="shared" si="453"/>
        <v>20000</v>
      </c>
      <c r="L14510" s="27">
        <v>19000</v>
      </c>
      <c r="M14510" s="36">
        <v>0</v>
      </c>
      <c r="T14510" s="41">
        <v>0</v>
      </c>
      <c r="U14510" s="41">
        <v>0</v>
      </c>
      <c r="V14510" s="42" t="s">
        <v>113</v>
      </c>
      <c r="W14510" s="42">
        <v>20000</v>
      </c>
      <c r="X14510" s="42">
        <v>20000</v>
      </c>
    </row>
    <row r="14511" spans="1:24">
      <c r="A14511" s="27" t="s">
        <v>25957</v>
      </c>
      <c r="B14511" s="28" t="s">
        <v>25643</v>
      </c>
      <c r="C14511" s="27" t="s">
        <v>25924</v>
      </c>
      <c r="D14511" s="27" t="s">
        <v>220</v>
      </c>
      <c r="E14511" s="29">
        <v>38534</v>
      </c>
      <c r="F14511" s="27">
        <v>12</v>
      </c>
      <c r="G14511" s="18">
        <v>13000</v>
      </c>
      <c r="H14511" s="27">
        <f t="shared" si="452"/>
        <v>13000</v>
      </c>
      <c r="I14511" s="18">
        <v>12350</v>
      </c>
      <c r="J14511" s="27">
        <v>13000</v>
      </c>
      <c r="K14511" s="18">
        <f t="shared" si="453"/>
        <v>13000</v>
      </c>
      <c r="L14511" s="27">
        <v>12350</v>
      </c>
      <c r="M14511" s="36">
        <v>0</v>
      </c>
      <c r="T14511" s="41">
        <v>0</v>
      </c>
      <c r="U14511" s="41">
        <v>0</v>
      </c>
      <c r="V14511" s="42" t="s">
        <v>113</v>
      </c>
      <c r="W14511" s="42">
        <v>13000</v>
      </c>
      <c r="X14511" s="42">
        <v>13000</v>
      </c>
    </row>
    <row r="14512" spans="1:24">
      <c r="A14512" s="27" t="s">
        <v>25958</v>
      </c>
      <c r="B14512" s="28" t="s">
        <v>25643</v>
      </c>
      <c r="C14512" s="27" t="s">
        <v>25946</v>
      </c>
      <c r="D14512" s="27" t="s">
        <v>220</v>
      </c>
      <c r="E14512" s="29">
        <v>38534</v>
      </c>
      <c r="F14512" s="27">
        <v>12</v>
      </c>
      <c r="G14512" s="18">
        <v>13000</v>
      </c>
      <c r="H14512" s="27">
        <f t="shared" si="452"/>
        <v>13000</v>
      </c>
      <c r="I14512" s="18">
        <v>12350</v>
      </c>
      <c r="J14512" s="27">
        <v>13000</v>
      </c>
      <c r="K14512" s="18">
        <f t="shared" si="453"/>
        <v>13000</v>
      </c>
      <c r="L14512" s="27">
        <v>12350</v>
      </c>
      <c r="M14512" s="36">
        <v>0</v>
      </c>
      <c r="T14512" s="41">
        <v>0</v>
      </c>
      <c r="U14512" s="41">
        <v>0</v>
      </c>
      <c r="V14512" s="42" t="s">
        <v>113</v>
      </c>
      <c r="W14512" s="42">
        <v>13000</v>
      </c>
      <c r="X14512" s="42">
        <v>13000</v>
      </c>
    </row>
    <row r="14513" spans="1:24">
      <c r="A14513" s="27" t="s">
        <v>25959</v>
      </c>
      <c r="B14513" s="28" t="s">
        <v>25643</v>
      </c>
      <c r="C14513" s="27" t="s">
        <v>25956</v>
      </c>
      <c r="D14513" s="27" t="s">
        <v>17558</v>
      </c>
      <c r="E14513" s="29">
        <v>36130</v>
      </c>
      <c r="F14513" s="27">
        <v>12</v>
      </c>
      <c r="G14513" s="18">
        <v>50000</v>
      </c>
      <c r="H14513" s="27">
        <f t="shared" si="452"/>
        <v>0</v>
      </c>
      <c r="I14513" s="18">
        <v>32730</v>
      </c>
      <c r="J14513" s="27">
        <v>50000</v>
      </c>
      <c r="K14513" s="18">
        <f t="shared" si="453"/>
        <v>0</v>
      </c>
      <c r="L14513" s="27">
        <v>36422.5</v>
      </c>
      <c r="M14513" s="36">
        <v>3692.5</v>
      </c>
      <c r="T14513" s="41">
        <v>0</v>
      </c>
      <c r="U14513" s="41">
        <v>0</v>
      </c>
      <c r="V14513" s="42" t="s">
        <v>124</v>
      </c>
      <c r="W14513" s="42">
        <v>50000</v>
      </c>
      <c r="X14513" s="42">
        <v>50000</v>
      </c>
    </row>
    <row r="14514" spans="1:24">
      <c r="A14514" s="27" t="s">
        <v>25960</v>
      </c>
      <c r="B14514" s="28" t="s">
        <v>25643</v>
      </c>
      <c r="C14514" s="27" t="s">
        <v>25924</v>
      </c>
      <c r="D14514" s="27" t="s">
        <v>118</v>
      </c>
      <c r="E14514" s="29">
        <v>36130</v>
      </c>
      <c r="F14514" s="27">
        <v>12</v>
      </c>
      <c r="G14514" s="18">
        <v>12579.6</v>
      </c>
      <c r="H14514" s="27">
        <f t="shared" si="452"/>
        <v>0</v>
      </c>
      <c r="I14514" s="18">
        <v>8238.82</v>
      </c>
      <c r="J14514" s="27">
        <v>12579.6</v>
      </c>
      <c r="K14514" s="18">
        <f t="shared" si="453"/>
        <v>0</v>
      </c>
      <c r="L14514" s="27">
        <v>9166.77</v>
      </c>
      <c r="M14514" s="36">
        <v>927.95</v>
      </c>
      <c r="T14514" s="41">
        <v>0</v>
      </c>
      <c r="U14514" s="41">
        <v>0</v>
      </c>
      <c r="V14514" s="42" t="s">
        <v>124</v>
      </c>
      <c r="W14514" s="42">
        <v>12579.6</v>
      </c>
      <c r="X14514" s="42">
        <v>12579.6</v>
      </c>
    </row>
    <row r="14515" spans="1:24">
      <c r="A14515" s="27" t="s">
        <v>25961</v>
      </c>
      <c r="B14515" s="28" t="s">
        <v>25643</v>
      </c>
      <c r="C14515" s="27" t="s">
        <v>25946</v>
      </c>
      <c r="D14515" s="27" t="s">
        <v>118</v>
      </c>
      <c r="E14515" s="29">
        <v>36130</v>
      </c>
      <c r="F14515" s="27">
        <v>12</v>
      </c>
      <c r="G14515" s="18">
        <v>12579.6</v>
      </c>
      <c r="H14515" s="27">
        <f t="shared" si="452"/>
        <v>0</v>
      </c>
      <c r="I14515" s="18">
        <v>8238.82</v>
      </c>
      <c r="J14515" s="27">
        <v>12579.6</v>
      </c>
      <c r="K14515" s="18">
        <f t="shared" si="453"/>
        <v>0</v>
      </c>
      <c r="L14515" s="27">
        <v>9166.77</v>
      </c>
      <c r="M14515" s="36">
        <v>927.95</v>
      </c>
      <c r="T14515" s="41">
        <v>0</v>
      </c>
      <c r="U14515" s="41">
        <v>0</v>
      </c>
      <c r="V14515" s="42" t="s">
        <v>124</v>
      </c>
      <c r="W14515" s="42">
        <v>12579.6</v>
      </c>
      <c r="X14515" s="42">
        <v>12579.6</v>
      </c>
    </row>
    <row r="14516" spans="1:24">
      <c r="A14516" s="27" t="s">
        <v>25962</v>
      </c>
      <c r="B14516" s="28" t="s">
        <v>25643</v>
      </c>
      <c r="C14516" s="27" t="s">
        <v>25948</v>
      </c>
      <c r="D14516" s="27" t="s">
        <v>118</v>
      </c>
      <c r="E14516" s="29">
        <v>36130</v>
      </c>
      <c r="F14516" s="27">
        <v>12</v>
      </c>
      <c r="G14516" s="18">
        <v>12579.6</v>
      </c>
      <c r="H14516" s="27">
        <f t="shared" si="452"/>
        <v>0</v>
      </c>
      <c r="I14516" s="18">
        <v>8238.82</v>
      </c>
      <c r="J14516" s="27">
        <v>12579.6</v>
      </c>
      <c r="K14516" s="18">
        <f t="shared" si="453"/>
        <v>0</v>
      </c>
      <c r="L14516" s="27">
        <v>9166.77</v>
      </c>
      <c r="M14516" s="36">
        <v>927.95</v>
      </c>
      <c r="T14516" s="41">
        <v>0</v>
      </c>
      <c r="U14516" s="41">
        <v>0</v>
      </c>
      <c r="V14516" s="42" t="s">
        <v>124</v>
      </c>
      <c r="W14516" s="42">
        <v>12579.6</v>
      </c>
      <c r="X14516" s="42">
        <v>12579.6</v>
      </c>
    </row>
    <row r="14517" spans="1:24">
      <c r="A14517" s="27" t="s">
        <v>25963</v>
      </c>
      <c r="B14517" s="28" t="s">
        <v>25643</v>
      </c>
      <c r="C14517" s="27" t="s">
        <v>25964</v>
      </c>
      <c r="D14517" s="27" t="s">
        <v>118</v>
      </c>
      <c r="E14517" s="29">
        <v>36130</v>
      </c>
      <c r="F14517" s="27">
        <v>12</v>
      </c>
      <c r="G14517" s="18">
        <v>12579.6</v>
      </c>
      <c r="H14517" s="27">
        <f t="shared" si="452"/>
        <v>0</v>
      </c>
      <c r="I14517" s="18">
        <v>8238.81</v>
      </c>
      <c r="J14517" s="27">
        <v>12579.6</v>
      </c>
      <c r="K14517" s="18">
        <f t="shared" si="453"/>
        <v>0</v>
      </c>
      <c r="L14517" s="27">
        <v>9166.76</v>
      </c>
      <c r="M14517" s="36">
        <v>927.95</v>
      </c>
      <c r="T14517" s="41">
        <v>0</v>
      </c>
      <c r="U14517" s="41">
        <v>0</v>
      </c>
      <c r="V14517" s="42" t="s">
        <v>124</v>
      </c>
      <c r="W14517" s="42">
        <v>12579.6</v>
      </c>
      <c r="X14517" s="42">
        <v>12579.6</v>
      </c>
    </row>
    <row r="14518" spans="1:24">
      <c r="A14518" s="27" t="s">
        <v>25965</v>
      </c>
      <c r="B14518" s="28" t="s">
        <v>25643</v>
      </c>
      <c r="C14518" s="27" t="s">
        <v>25966</v>
      </c>
      <c r="D14518" s="27" t="s">
        <v>118</v>
      </c>
      <c r="E14518" s="29">
        <v>36130</v>
      </c>
      <c r="F14518" s="27">
        <v>12</v>
      </c>
      <c r="G14518" s="18">
        <v>14971.62</v>
      </c>
      <c r="H14518" s="27">
        <f t="shared" si="452"/>
        <v>0</v>
      </c>
      <c r="I14518" s="18">
        <v>9805.43</v>
      </c>
      <c r="J14518" s="27">
        <v>14971.62</v>
      </c>
      <c r="K14518" s="18">
        <f t="shared" si="453"/>
        <v>0</v>
      </c>
      <c r="L14518" s="27">
        <v>10909.83</v>
      </c>
      <c r="M14518" s="36">
        <v>1104.4000000000001</v>
      </c>
      <c r="T14518" s="41">
        <v>0</v>
      </c>
      <c r="U14518" s="41">
        <v>0</v>
      </c>
      <c r="V14518" s="42" t="s">
        <v>124</v>
      </c>
      <c r="W14518" s="42">
        <v>14971.62</v>
      </c>
      <c r="X14518" s="42">
        <v>14971.62</v>
      </c>
    </row>
    <row r="14519" spans="1:24">
      <c r="A14519" s="27" t="s">
        <v>25967</v>
      </c>
      <c r="B14519" s="28" t="s">
        <v>25643</v>
      </c>
      <c r="C14519" s="27" t="s">
        <v>25968</v>
      </c>
      <c r="D14519" s="27" t="s">
        <v>220</v>
      </c>
      <c r="E14519" s="29">
        <v>41270</v>
      </c>
      <c r="F14519" s="27">
        <v>12</v>
      </c>
      <c r="G14519" s="18">
        <v>63929.45</v>
      </c>
      <c r="H14519" s="27">
        <f t="shared" si="452"/>
        <v>0</v>
      </c>
      <c r="I14519" s="18">
        <v>32265.759999999998</v>
      </c>
      <c r="J14519" s="27">
        <v>63929.45</v>
      </c>
      <c r="K14519" s="18">
        <f t="shared" si="453"/>
        <v>0</v>
      </c>
      <c r="L14519" s="27">
        <v>37010.300000000003</v>
      </c>
      <c r="M14519" s="36">
        <v>4744.54</v>
      </c>
      <c r="T14519" s="41">
        <v>0</v>
      </c>
      <c r="U14519" s="41">
        <v>0</v>
      </c>
      <c r="V14519" s="42" t="s">
        <v>113</v>
      </c>
      <c r="W14519" s="42">
        <v>0</v>
      </c>
      <c r="X14519" s="42">
        <v>0</v>
      </c>
    </row>
    <row r="14520" spans="1:24">
      <c r="A14520" s="27" t="s">
        <v>25969</v>
      </c>
      <c r="B14520" s="28" t="s">
        <v>25643</v>
      </c>
      <c r="C14520" s="27" t="s">
        <v>25970</v>
      </c>
      <c r="D14520" s="27" t="s">
        <v>220</v>
      </c>
      <c r="E14520" s="29">
        <v>41270</v>
      </c>
      <c r="F14520" s="27">
        <v>12</v>
      </c>
      <c r="G14520" s="18">
        <v>21529.119999999999</v>
      </c>
      <c r="H14520" s="27">
        <f t="shared" si="452"/>
        <v>21529.119999999999</v>
      </c>
      <c r="I14520" s="18">
        <v>21529.119999999999</v>
      </c>
      <c r="J14520" s="27">
        <v>21529.119999999999</v>
      </c>
      <c r="K14520" s="18">
        <f t="shared" si="453"/>
        <v>21529.119999999999</v>
      </c>
      <c r="L14520" s="27">
        <v>20452.66</v>
      </c>
      <c r="M14520" s="36">
        <v>-1076.46</v>
      </c>
      <c r="T14520" s="41">
        <v>0</v>
      </c>
      <c r="U14520" s="41">
        <v>0</v>
      </c>
      <c r="V14520" s="42" t="s">
        <v>113</v>
      </c>
      <c r="W14520" s="42">
        <v>21529.119999999999</v>
      </c>
      <c r="X14520" s="42">
        <v>21529.119999999999</v>
      </c>
    </row>
    <row r="14521" spans="1:24">
      <c r="A14521" s="27" t="s">
        <v>25971</v>
      </c>
      <c r="B14521" s="28" t="s">
        <v>25643</v>
      </c>
      <c r="C14521" s="27" t="s">
        <v>25972</v>
      </c>
      <c r="D14521" s="27" t="s">
        <v>118</v>
      </c>
      <c r="E14521" s="29">
        <v>36130</v>
      </c>
      <c r="F14521" s="27">
        <v>12</v>
      </c>
      <c r="G14521" s="18">
        <v>1235262.83</v>
      </c>
      <c r="H14521" s="27">
        <f t="shared" si="452"/>
        <v>0</v>
      </c>
      <c r="I14521" s="18">
        <v>809016.55</v>
      </c>
      <c r="J14521" s="27">
        <v>1235262.83</v>
      </c>
      <c r="K14521" s="18">
        <f t="shared" si="453"/>
        <v>0</v>
      </c>
      <c r="L14521" s="27">
        <v>900137.34</v>
      </c>
      <c r="M14521" s="36">
        <v>91120.79</v>
      </c>
      <c r="T14521" s="41">
        <v>0</v>
      </c>
      <c r="U14521" s="41">
        <v>0</v>
      </c>
      <c r="V14521" s="42" t="s">
        <v>124</v>
      </c>
      <c r="W14521" s="42">
        <v>1235262.83</v>
      </c>
      <c r="X14521" s="42">
        <v>1235262.83</v>
      </c>
    </row>
    <row r="14522" spans="1:24">
      <c r="A14522" s="27" t="s">
        <v>25973</v>
      </c>
      <c r="B14522" s="28" t="s">
        <v>25643</v>
      </c>
      <c r="C14522" s="27" t="s">
        <v>25974</v>
      </c>
      <c r="D14522" s="27" t="s">
        <v>118</v>
      </c>
      <c r="E14522" s="29">
        <v>36130</v>
      </c>
      <c r="F14522" s="27">
        <v>12</v>
      </c>
      <c r="G14522" s="18">
        <v>196016.86</v>
      </c>
      <c r="H14522" s="27">
        <f t="shared" si="452"/>
        <v>0</v>
      </c>
      <c r="I14522" s="18">
        <v>128378.24000000001</v>
      </c>
      <c r="J14522" s="27">
        <v>196016.86</v>
      </c>
      <c r="K14522" s="18">
        <f t="shared" si="453"/>
        <v>0</v>
      </c>
      <c r="L14522" s="27">
        <v>142837.69</v>
      </c>
      <c r="M14522" s="36">
        <v>14459.45</v>
      </c>
      <c r="T14522" s="41">
        <v>0</v>
      </c>
      <c r="U14522" s="41">
        <v>0</v>
      </c>
      <c r="V14522" s="42" t="s">
        <v>124</v>
      </c>
      <c r="W14522" s="42">
        <v>196016.86</v>
      </c>
      <c r="X14522" s="42">
        <v>196016.86</v>
      </c>
    </row>
    <row r="14523" spans="1:24">
      <c r="A14523" s="27" t="s">
        <v>25975</v>
      </c>
      <c r="B14523" s="28" t="s">
        <v>25643</v>
      </c>
      <c r="C14523" s="27" t="s">
        <v>25976</v>
      </c>
      <c r="D14523" s="27" t="s">
        <v>118</v>
      </c>
      <c r="E14523" s="29">
        <v>36130</v>
      </c>
      <c r="F14523" s="27">
        <v>12</v>
      </c>
      <c r="G14523" s="18">
        <v>111447.32</v>
      </c>
      <c r="H14523" s="27">
        <f t="shared" si="452"/>
        <v>0</v>
      </c>
      <c r="I14523" s="18">
        <v>72990.73</v>
      </c>
      <c r="J14523" s="27">
        <v>111447.32</v>
      </c>
      <c r="K14523" s="18">
        <f t="shared" si="453"/>
        <v>0</v>
      </c>
      <c r="L14523" s="27">
        <v>81211.789999999994</v>
      </c>
      <c r="M14523" s="36">
        <v>8221.06</v>
      </c>
      <c r="T14523" s="41">
        <v>0</v>
      </c>
      <c r="U14523" s="41">
        <v>0</v>
      </c>
      <c r="V14523" s="42" t="s">
        <v>124</v>
      </c>
      <c r="W14523" s="42">
        <v>111447.32</v>
      </c>
      <c r="X14523" s="42">
        <v>111447.32</v>
      </c>
    </row>
    <row r="14524" spans="1:24">
      <c r="A14524" s="27" t="s">
        <v>25977</v>
      </c>
      <c r="B14524" s="28" t="s">
        <v>25643</v>
      </c>
      <c r="C14524" s="27" t="s">
        <v>25978</v>
      </c>
      <c r="D14524" s="27" t="s">
        <v>118</v>
      </c>
      <c r="E14524" s="29">
        <v>36130</v>
      </c>
      <c r="F14524" s="27">
        <v>12</v>
      </c>
      <c r="G14524" s="18">
        <v>241672.59</v>
      </c>
      <c r="H14524" s="27">
        <f t="shared" si="452"/>
        <v>0</v>
      </c>
      <c r="I14524" s="18">
        <v>158279.78</v>
      </c>
      <c r="J14524" s="27">
        <v>241672.59</v>
      </c>
      <c r="K14524" s="18">
        <f t="shared" si="453"/>
        <v>0</v>
      </c>
      <c r="L14524" s="27">
        <v>176107.08</v>
      </c>
      <c r="M14524" s="36">
        <v>17827.3</v>
      </c>
      <c r="T14524" s="41">
        <v>0</v>
      </c>
      <c r="U14524" s="41">
        <v>0</v>
      </c>
      <c r="V14524" s="42" t="s">
        <v>124</v>
      </c>
      <c r="W14524" s="42">
        <v>241672.59</v>
      </c>
      <c r="X14524" s="42">
        <v>241672.59</v>
      </c>
    </row>
    <row r="14525" spans="1:24">
      <c r="A14525" s="27" t="s">
        <v>25979</v>
      </c>
      <c r="B14525" s="28" t="s">
        <v>25643</v>
      </c>
      <c r="C14525" s="27" t="s">
        <v>25980</v>
      </c>
      <c r="D14525" s="27" t="s">
        <v>118</v>
      </c>
      <c r="E14525" s="29">
        <v>36130</v>
      </c>
      <c r="F14525" s="27">
        <v>12</v>
      </c>
      <c r="G14525" s="18">
        <v>17692.150000000001</v>
      </c>
      <c r="H14525" s="27">
        <f t="shared" si="452"/>
        <v>0</v>
      </c>
      <c r="I14525" s="18">
        <v>11587.2</v>
      </c>
      <c r="J14525" s="27">
        <v>17692.150000000001</v>
      </c>
      <c r="K14525" s="18">
        <f t="shared" si="453"/>
        <v>0</v>
      </c>
      <c r="L14525" s="27">
        <v>12892.29</v>
      </c>
      <c r="M14525" s="36">
        <v>1305.0899999999999</v>
      </c>
      <c r="T14525" s="41">
        <v>0</v>
      </c>
      <c r="U14525" s="41">
        <v>0</v>
      </c>
      <c r="V14525" s="42" t="s">
        <v>124</v>
      </c>
      <c r="W14525" s="42">
        <v>17692.150000000001</v>
      </c>
      <c r="X14525" s="42">
        <v>17692.150000000001</v>
      </c>
    </row>
    <row r="14526" spans="1:24">
      <c r="A14526" s="27" t="s">
        <v>25981</v>
      </c>
      <c r="B14526" s="28" t="s">
        <v>25643</v>
      </c>
      <c r="C14526" s="27" t="s">
        <v>25982</v>
      </c>
      <c r="D14526" s="27" t="s">
        <v>118</v>
      </c>
      <c r="E14526" s="29">
        <v>36130</v>
      </c>
      <c r="F14526" s="27">
        <v>12</v>
      </c>
      <c r="G14526" s="18">
        <v>181833.25</v>
      </c>
      <c r="H14526" s="27">
        <f t="shared" si="452"/>
        <v>0</v>
      </c>
      <c r="I14526" s="18">
        <v>119088.92</v>
      </c>
      <c r="J14526" s="27">
        <v>181833.25</v>
      </c>
      <c r="K14526" s="18">
        <f t="shared" si="453"/>
        <v>0</v>
      </c>
      <c r="L14526" s="27">
        <v>132502.09</v>
      </c>
      <c r="M14526" s="36">
        <v>13413.17</v>
      </c>
      <c r="T14526" s="41">
        <v>0</v>
      </c>
      <c r="U14526" s="41">
        <v>0</v>
      </c>
      <c r="V14526" s="42" t="s">
        <v>124</v>
      </c>
      <c r="W14526" s="42">
        <v>181833.25</v>
      </c>
      <c r="X14526" s="42">
        <v>181833.25</v>
      </c>
    </row>
    <row r="14527" spans="1:24">
      <c r="A14527" s="27" t="s">
        <v>25983</v>
      </c>
      <c r="B14527" s="28" t="s">
        <v>25643</v>
      </c>
      <c r="C14527" s="27" t="s">
        <v>25984</v>
      </c>
      <c r="D14527" s="27" t="s">
        <v>118</v>
      </c>
      <c r="E14527" s="29">
        <v>36130</v>
      </c>
      <c r="F14527" s="27">
        <v>12</v>
      </c>
      <c r="G14527" s="18">
        <v>20833.810000000001</v>
      </c>
      <c r="H14527" s="27">
        <f t="shared" si="452"/>
        <v>0</v>
      </c>
      <c r="I14527" s="18">
        <v>13644.78</v>
      </c>
      <c r="J14527" s="27">
        <v>20833.810000000001</v>
      </c>
      <c r="K14527" s="18">
        <f t="shared" si="453"/>
        <v>0</v>
      </c>
      <c r="L14527" s="27">
        <v>15181.62</v>
      </c>
      <c r="M14527" s="36">
        <v>1536.84</v>
      </c>
      <c r="T14527" s="41">
        <v>0</v>
      </c>
      <c r="U14527" s="41">
        <v>0</v>
      </c>
      <c r="V14527" s="42" t="s">
        <v>124</v>
      </c>
      <c r="W14527" s="42">
        <v>20833.810000000001</v>
      </c>
      <c r="X14527" s="42">
        <v>20833.810000000001</v>
      </c>
    </row>
    <row r="14528" spans="1:24">
      <c r="A14528" s="27" t="s">
        <v>25985</v>
      </c>
      <c r="B14528" s="28" t="s">
        <v>25643</v>
      </c>
      <c r="C14528" s="27" t="s">
        <v>25986</v>
      </c>
      <c r="D14528" s="27" t="s">
        <v>118</v>
      </c>
      <c r="E14528" s="29">
        <v>36130</v>
      </c>
      <c r="F14528" s="27">
        <v>12</v>
      </c>
      <c r="G14528" s="18">
        <v>278663.81</v>
      </c>
      <c r="H14528" s="27">
        <f t="shared" si="452"/>
        <v>0</v>
      </c>
      <c r="I14528" s="18">
        <v>182506.6</v>
      </c>
      <c r="J14528" s="27">
        <v>278663.81</v>
      </c>
      <c r="K14528" s="18">
        <f t="shared" si="453"/>
        <v>0</v>
      </c>
      <c r="L14528" s="27">
        <v>203062.61</v>
      </c>
      <c r="M14528" s="36">
        <v>20556.009999999998</v>
      </c>
      <c r="T14528" s="41">
        <v>0</v>
      </c>
      <c r="U14528" s="41">
        <v>0</v>
      </c>
      <c r="V14528" s="42" t="s">
        <v>124</v>
      </c>
      <c r="W14528" s="42">
        <v>278663.81</v>
      </c>
      <c r="X14528" s="42">
        <v>278663.81</v>
      </c>
    </row>
    <row r="14529" spans="1:24">
      <c r="A14529" s="27" t="s">
        <v>25987</v>
      </c>
      <c r="B14529" s="28" t="s">
        <v>25643</v>
      </c>
      <c r="C14529" s="27" t="s">
        <v>25988</v>
      </c>
      <c r="D14529" s="27" t="s">
        <v>118</v>
      </c>
      <c r="E14529" s="29">
        <v>36130</v>
      </c>
      <c r="F14529" s="27">
        <v>12</v>
      </c>
      <c r="G14529" s="18">
        <v>266176.24</v>
      </c>
      <c r="H14529" s="27">
        <f t="shared" si="452"/>
        <v>0</v>
      </c>
      <c r="I14529" s="18">
        <v>174328.07</v>
      </c>
      <c r="J14529" s="27">
        <v>266176.24</v>
      </c>
      <c r="K14529" s="18">
        <f t="shared" si="453"/>
        <v>0</v>
      </c>
      <c r="L14529" s="27">
        <v>193962.91</v>
      </c>
      <c r="M14529" s="36">
        <v>19634.84</v>
      </c>
      <c r="T14529" s="41">
        <v>0</v>
      </c>
      <c r="U14529" s="41">
        <v>0</v>
      </c>
      <c r="V14529" s="42" t="s">
        <v>124</v>
      </c>
      <c r="W14529" s="42">
        <v>266176.24</v>
      </c>
      <c r="X14529" s="42">
        <v>266176.24</v>
      </c>
    </row>
    <row r="14530" spans="1:24">
      <c r="A14530" s="27" t="s">
        <v>25989</v>
      </c>
      <c r="B14530" s="28" t="s">
        <v>25643</v>
      </c>
      <c r="C14530" s="27" t="s">
        <v>25990</v>
      </c>
      <c r="D14530" s="27" t="s">
        <v>118</v>
      </c>
      <c r="E14530" s="29">
        <v>36130</v>
      </c>
      <c r="F14530" s="27">
        <v>12</v>
      </c>
      <c r="G14530" s="18">
        <v>65780.5</v>
      </c>
      <c r="H14530" s="27">
        <f t="shared" si="452"/>
        <v>0</v>
      </c>
      <c r="I14530" s="18">
        <v>43081.93</v>
      </c>
      <c r="J14530" s="27">
        <v>65780.5</v>
      </c>
      <c r="K14530" s="18">
        <f t="shared" si="453"/>
        <v>0</v>
      </c>
      <c r="L14530" s="27">
        <v>47934.32</v>
      </c>
      <c r="M14530" s="36">
        <v>4852.3900000000003</v>
      </c>
      <c r="T14530" s="41">
        <v>0</v>
      </c>
      <c r="U14530" s="41">
        <v>0</v>
      </c>
      <c r="V14530" s="42" t="s">
        <v>124</v>
      </c>
      <c r="W14530" s="42">
        <v>65780.5</v>
      </c>
      <c r="X14530" s="42">
        <v>65780.5</v>
      </c>
    </row>
    <row r="14531" spans="1:24">
      <c r="A14531" s="27" t="s">
        <v>25991</v>
      </c>
      <c r="B14531" s="28" t="s">
        <v>25643</v>
      </c>
      <c r="C14531" s="27" t="s">
        <v>25992</v>
      </c>
      <c r="D14531" s="27" t="s">
        <v>112</v>
      </c>
      <c r="E14531" s="29">
        <v>41271</v>
      </c>
      <c r="F14531" s="27">
        <v>12</v>
      </c>
      <c r="G14531" s="18">
        <v>62761.47</v>
      </c>
      <c r="H14531" s="27">
        <f t="shared" si="452"/>
        <v>0</v>
      </c>
      <c r="I14531" s="18">
        <v>28557.35</v>
      </c>
      <c r="J14531" s="27">
        <v>62761.47</v>
      </c>
      <c r="K14531" s="18">
        <f t="shared" si="453"/>
        <v>0</v>
      </c>
      <c r="L14531" s="27">
        <v>33735.03</v>
      </c>
      <c r="M14531" s="36">
        <v>5177.68</v>
      </c>
      <c r="T14531" s="41">
        <v>0</v>
      </c>
      <c r="U14531" s="41">
        <v>0</v>
      </c>
      <c r="V14531" s="42" t="s">
        <v>113</v>
      </c>
      <c r="W14531" s="42">
        <v>0</v>
      </c>
      <c r="X14531" s="42">
        <v>0</v>
      </c>
    </row>
    <row r="14532" spans="1:24">
      <c r="A14532" s="27" t="s">
        <v>25993</v>
      </c>
      <c r="B14532" s="28" t="s">
        <v>25643</v>
      </c>
      <c r="C14532" s="27" t="s">
        <v>25994</v>
      </c>
      <c r="D14532" s="27" t="s">
        <v>112</v>
      </c>
      <c r="E14532" s="29">
        <v>41271</v>
      </c>
      <c r="F14532" s="27">
        <v>12</v>
      </c>
      <c r="G14532" s="18">
        <v>7251.07</v>
      </c>
      <c r="H14532" s="27">
        <f t="shared" si="452"/>
        <v>0</v>
      </c>
      <c r="I14532" s="18">
        <v>3299.35</v>
      </c>
      <c r="J14532" s="27">
        <v>7251.07</v>
      </c>
      <c r="K14532" s="18">
        <f t="shared" si="453"/>
        <v>0</v>
      </c>
      <c r="L14532" s="27">
        <v>3897.55</v>
      </c>
      <c r="M14532" s="36">
        <v>598.20000000000005</v>
      </c>
      <c r="T14532" s="41">
        <v>0</v>
      </c>
      <c r="U14532" s="41">
        <v>0</v>
      </c>
      <c r="V14532" s="42" t="s">
        <v>113</v>
      </c>
      <c r="W14532" s="42">
        <v>0</v>
      </c>
      <c r="X14532" s="42">
        <v>0</v>
      </c>
    </row>
    <row r="14533" spans="1:24">
      <c r="A14533" s="27" t="s">
        <v>25995</v>
      </c>
      <c r="B14533" s="28" t="s">
        <v>25643</v>
      </c>
      <c r="C14533" s="27" t="s">
        <v>25996</v>
      </c>
      <c r="D14533" s="27" t="s">
        <v>112</v>
      </c>
      <c r="E14533" s="29">
        <v>41271</v>
      </c>
      <c r="F14533" s="27">
        <v>12</v>
      </c>
      <c r="G14533" s="18">
        <v>133106.95000000001</v>
      </c>
      <c r="H14533" s="27">
        <f t="shared" si="452"/>
        <v>0</v>
      </c>
      <c r="I14533" s="18">
        <v>58827.58</v>
      </c>
      <c r="J14533" s="27">
        <v>133106.95000000001</v>
      </c>
      <c r="K14533" s="18">
        <f t="shared" si="453"/>
        <v>0</v>
      </c>
      <c r="L14533" s="27">
        <v>70098.25</v>
      </c>
      <c r="M14533" s="36">
        <v>11270.67</v>
      </c>
      <c r="T14533" s="41">
        <v>0</v>
      </c>
      <c r="U14533" s="41">
        <v>0</v>
      </c>
      <c r="V14533" s="42" t="s">
        <v>113</v>
      </c>
      <c r="W14533" s="42">
        <v>0</v>
      </c>
      <c r="X14533" s="42">
        <v>0</v>
      </c>
    </row>
    <row r="14534" spans="1:24">
      <c r="A14534" s="27" t="s">
        <v>25997</v>
      </c>
      <c r="B14534" s="28" t="s">
        <v>25643</v>
      </c>
      <c r="C14534" s="27" t="s">
        <v>25998</v>
      </c>
      <c r="D14534" s="27" t="s">
        <v>112</v>
      </c>
      <c r="E14534" s="29">
        <v>41271</v>
      </c>
      <c r="F14534" s="27">
        <v>12</v>
      </c>
      <c r="G14534" s="18">
        <v>15599.7</v>
      </c>
      <c r="H14534" s="27">
        <f t="shared" ref="H14534:H14592" si="454">IFERROR(IF(ROUND((G14534-I14534)/G14534,2)&lt;=0.05,G14534,0),0)</f>
        <v>0</v>
      </c>
      <c r="I14534" s="18">
        <v>6891.93</v>
      </c>
      <c r="J14534" s="27">
        <v>15599.7</v>
      </c>
      <c r="K14534" s="18">
        <f t="shared" ref="K14534:K14592" si="455">IFERROR(IF(ROUND((J14534-L14534)/J14534,2)&lt;=0.05,J14534,0),0)</f>
        <v>0</v>
      </c>
      <c r="L14534" s="27">
        <v>8213.23</v>
      </c>
      <c r="M14534" s="36">
        <v>1321.3</v>
      </c>
      <c r="T14534" s="41">
        <v>0</v>
      </c>
      <c r="U14534" s="41">
        <v>0</v>
      </c>
      <c r="V14534" s="42" t="s">
        <v>113</v>
      </c>
      <c r="W14534" s="42">
        <v>0</v>
      </c>
      <c r="X14534" s="42">
        <v>0</v>
      </c>
    </row>
    <row r="14535" spans="1:24">
      <c r="A14535" s="27" t="s">
        <v>25999</v>
      </c>
      <c r="B14535" s="28" t="s">
        <v>25643</v>
      </c>
      <c r="C14535" s="27" t="s">
        <v>26000</v>
      </c>
      <c r="D14535" s="27" t="s">
        <v>220</v>
      </c>
      <c r="E14535" s="29">
        <v>38534</v>
      </c>
      <c r="F14535" s="27">
        <v>12</v>
      </c>
      <c r="G14535" s="18">
        <v>70000</v>
      </c>
      <c r="H14535" s="27">
        <f t="shared" si="454"/>
        <v>70000</v>
      </c>
      <c r="I14535" s="18">
        <v>66500</v>
      </c>
      <c r="J14535" s="27">
        <v>70000</v>
      </c>
      <c r="K14535" s="18">
        <f t="shared" si="455"/>
        <v>70000</v>
      </c>
      <c r="L14535" s="27">
        <v>66500</v>
      </c>
      <c r="M14535" s="36">
        <v>0</v>
      </c>
      <c r="T14535" s="41">
        <v>0</v>
      </c>
      <c r="U14535" s="41">
        <v>0</v>
      </c>
      <c r="V14535" s="42" t="s">
        <v>113</v>
      </c>
      <c r="W14535" s="42">
        <v>70000</v>
      </c>
      <c r="X14535" s="42">
        <v>70000</v>
      </c>
    </row>
    <row r="14536" spans="1:24">
      <c r="A14536" s="27" t="s">
        <v>26001</v>
      </c>
      <c r="B14536" s="28" t="s">
        <v>25643</v>
      </c>
      <c r="C14536" s="27" t="s">
        <v>26002</v>
      </c>
      <c r="D14536" s="27" t="s">
        <v>220</v>
      </c>
      <c r="E14536" s="29">
        <v>38534</v>
      </c>
      <c r="F14536" s="27">
        <v>12</v>
      </c>
      <c r="G14536" s="18">
        <v>50000</v>
      </c>
      <c r="H14536" s="27">
        <f t="shared" si="454"/>
        <v>50000</v>
      </c>
      <c r="I14536" s="18">
        <v>47500</v>
      </c>
      <c r="J14536" s="27">
        <v>50000</v>
      </c>
      <c r="K14536" s="18">
        <f t="shared" si="455"/>
        <v>50000</v>
      </c>
      <c r="L14536" s="27">
        <v>47500</v>
      </c>
      <c r="M14536" s="36">
        <v>0</v>
      </c>
      <c r="T14536" s="41">
        <v>0</v>
      </c>
      <c r="U14536" s="41">
        <v>0</v>
      </c>
      <c r="V14536" s="42" t="s">
        <v>113</v>
      </c>
      <c r="W14536" s="42">
        <v>50000</v>
      </c>
      <c r="X14536" s="42">
        <v>50000</v>
      </c>
    </row>
    <row r="14537" spans="1:24">
      <c r="A14537" s="27" t="s">
        <v>26003</v>
      </c>
      <c r="B14537" s="28" t="s">
        <v>25643</v>
      </c>
      <c r="C14537" s="27" t="s">
        <v>25924</v>
      </c>
      <c r="D14537" s="27" t="s">
        <v>118</v>
      </c>
      <c r="E14537" s="29">
        <v>36130</v>
      </c>
      <c r="F14537" s="27">
        <v>12</v>
      </c>
      <c r="G14537" s="18">
        <v>25000</v>
      </c>
      <c r="H14537" s="27">
        <f t="shared" si="454"/>
        <v>0</v>
      </c>
      <c r="I14537" s="18">
        <v>16373.38</v>
      </c>
      <c r="J14537" s="27">
        <v>25000</v>
      </c>
      <c r="K14537" s="18">
        <f t="shared" si="455"/>
        <v>0</v>
      </c>
      <c r="L14537" s="27">
        <v>18217.54</v>
      </c>
      <c r="M14537" s="36">
        <v>1844.16</v>
      </c>
      <c r="T14537" s="41">
        <v>0</v>
      </c>
      <c r="U14537" s="41">
        <v>0</v>
      </c>
      <c r="V14537" s="42" t="s">
        <v>124</v>
      </c>
      <c r="W14537" s="42">
        <v>25000</v>
      </c>
      <c r="X14537" s="42">
        <v>25000</v>
      </c>
    </row>
    <row r="14538" spans="1:24">
      <c r="A14538" s="27" t="s">
        <v>26004</v>
      </c>
      <c r="B14538" s="28" t="s">
        <v>25643</v>
      </c>
      <c r="C14538" s="27" t="s">
        <v>25946</v>
      </c>
      <c r="D14538" s="27" t="s">
        <v>118</v>
      </c>
      <c r="E14538" s="29">
        <v>36130</v>
      </c>
      <c r="F14538" s="27">
        <v>12</v>
      </c>
      <c r="G14538" s="18">
        <v>25000</v>
      </c>
      <c r="H14538" s="27">
        <f t="shared" si="454"/>
        <v>0</v>
      </c>
      <c r="I14538" s="18">
        <v>16373.36</v>
      </c>
      <c r="J14538" s="27">
        <v>25000</v>
      </c>
      <c r="K14538" s="18">
        <f t="shared" si="455"/>
        <v>0</v>
      </c>
      <c r="L14538" s="27">
        <v>18217.52</v>
      </c>
      <c r="M14538" s="36">
        <v>1844.16</v>
      </c>
      <c r="T14538" s="41">
        <v>0</v>
      </c>
      <c r="U14538" s="41">
        <v>0</v>
      </c>
      <c r="V14538" s="42" t="s">
        <v>124</v>
      </c>
      <c r="W14538" s="42">
        <v>25000</v>
      </c>
      <c r="X14538" s="42">
        <v>25000</v>
      </c>
    </row>
    <row r="14539" spans="1:24">
      <c r="A14539" s="27" t="s">
        <v>26005</v>
      </c>
      <c r="B14539" s="28" t="s">
        <v>25643</v>
      </c>
      <c r="C14539" s="27" t="s">
        <v>25966</v>
      </c>
      <c r="D14539" s="27" t="s">
        <v>118</v>
      </c>
      <c r="E14539" s="29">
        <v>36130</v>
      </c>
      <c r="F14539" s="27">
        <v>12</v>
      </c>
      <c r="G14539" s="18">
        <v>50000</v>
      </c>
      <c r="H14539" s="27">
        <f t="shared" si="454"/>
        <v>0</v>
      </c>
      <c r="I14539" s="18">
        <v>32746.74</v>
      </c>
      <c r="J14539" s="27">
        <v>50000</v>
      </c>
      <c r="K14539" s="18">
        <f t="shared" si="455"/>
        <v>0</v>
      </c>
      <c r="L14539" s="27">
        <v>36435.06</v>
      </c>
      <c r="M14539" s="36">
        <v>3688.32</v>
      </c>
      <c r="T14539" s="41">
        <v>0</v>
      </c>
      <c r="U14539" s="41">
        <v>0</v>
      </c>
      <c r="V14539" s="42" t="s">
        <v>124</v>
      </c>
      <c r="W14539" s="42">
        <v>50000</v>
      </c>
      <c r="X14539" s="42">
        <v>50000</v>
      </c>
    </row>
    <row r="14540" spans="1:24">
      <c r="A14540" s="27" t="s">
        <v>26006</v>
      </c>
      <c r="B14540" s="28" t="s">
        <v>25643</v>
      </c>
      <c r="C14540" s="27" t="s">
        <v>26007</v>
      </c>
      <c r="D14540" s="27" t="s">
        <v>230</v>
      </c>
      <c r="E14540" s="29">
        <v>36130</v>
      </c>
      <c r="F14540" s="27">
        <v>12</v>
      </c>
      <c r="G14540" s="18">
        <v>905512.32</v>
      </c>
      <c r="H14540" s="27">
        <f t="shared" si="454"/>
        <v>0</v>
      </c>
      <c r="I14540" s="18">
        <v>588714.72</v>
      </c>
      <c r="J14540" s="27">
        <v>905512.32</v>
      </c>
      <c r="K14540" s="18">
        <f t="shared" si="455"/>
        <v>0</v>
      </c>
      <c r="L14540" s="27">
        <v>656595.22</v>
      </c>
      <c r="M14540" s="36">
        <v>67880.5</v>
      </c>
      <c r="T14540" s="41">
        <v>0</v>
      </c>
      <c r="U14540" s="41">
        <v>0</v>
      </c>
      <c r="V14540" s="42" t="s">
        <v>124</v>
      </c>
      <c r="W14540" s="42">
        <v>905512.32</v>
      </c>
      <c r="X14540" s="42">
        <v>905512.32</v>
      </c>
    </row>
    <row r="14541" spans="1:24">
      <c r="A14541" s="27" t="s">
        <v>26008</v>
      </c>
      <c r="B14541" s="28" t="s">
        <v>25643</v>
      </c>
      <c r="C14541" s="27" t="s">
        <v>26009</v>
      </c>
      <c r="D14541" s="27" t="s">
        <v>17558</v>
      </c>
      <c r="E14541" s="29">
        <v>36130</v>
      </c>
      <c r="F14541" s="27">
        <v>12</v>
      </c>
      <c r="G14541" s="18">
        <v>695180.97</v>
      </c>
      <c r="H14541" s="27">
        <f t="shared" si="454"/>
        <v>0</v>
      </c>
      <c r="I14541" s="18">
        <v>451968.74</v>
      </c>
      <c r="J14541" s="27">
        <v>695180.97</v>
      </c>
      <c r="K14541" s="18">
        <f t="shared" si="455"/>
        <v>0</v>
      </c>
      <c r="L14541" s="27">
        <v>504082.04</v>
      </c>
      <c r="M14541" s="36">
        <v>52113.3</v>
      </c>
      <c r="T14541" s="41">
        <v>0</v>
      </c>
      <c r="U14541" s="41">
        <v>0</v>
      </c>
      <c r="V14541" s="42" t="s">
        <v>124</v>
      </c>
      <c r="W14541" s="42">
        <v>695180.97</v>
      </c>
      <c r="X14541" s="42">
        <v>695180.97</v>
      </c>
    </row>
    <row r="14542" spans="1:24">
      <c r="A14542" s="27" t="s">
        <v>26010</v>
      </c>
      <c r="B14542" s="28" t="s">
        <v>25643</v>
      </c>
      <c r="C14542" s="27" t="s">
        <v>26011</v>
      </c>
      <c r="D14542" s="27" t="s">
        <v>230</v>
      </c>
      <c r="E14542" s="29">
        <v>36130</v>
      </c>
      <c r="F14542" s="27">
        <v>12</v>
      </c>
      <c r="G14542" s="18">
        <v>722188.78</v>
      </c>
      <c r="H14542" s="27">
        <f t="shared" si="454"/>
        <v>0</v>
      </c>
      <c r="I14542" s="18">
        <v>469527.76</v>
      </c>
      <c r="J14542" s="27">
        <v>722188.78</v>
      </c>
      <c r="K14542" s="18">
        <f t="shared" si="455"/>
        <v>0</v>
      </c>
      <c r="L14542" s="27">
        <v>523665.66</v>
      </c>
      <c r="M14542" s="36">
        <v>54137.9</v>
      </c>
      <c r="T14542" s="41">
        <v>0</v>
      </c>
      <c r="U14542" s="41">
        <v>0</v>
      </c>
      <c r="V14542" s="42" t="s">
        <v>124</v>
      </c>
      <c r="W14542" s="42">
        <v>722188.78</v>
      </c>
      <c r="X14542" s="42">
        <v>722188.78</v>
      </c>
    </row>
    <row r="14543" spans="1:24">
      <c r="A14543" s="27" t="s">
        <v>26012</v>
      </c>
      <c r="B14543" s="28" t="s">
        <v>25643</v>
      </c>
      <c r="C14543" s="27" t="s">
        <v>26013</v>
      </c>
      <c r="D14543" s="27" t="s">
        <v>230</v>
      </c>
      <c r="E14543" s="29">
        <v>36130</v>
      </c>
      <c r="F14543" s="27">
        <v>12</v>
      </c>
      <c r="G14543" s="18">
        <v>997331.67</v>
      </c>
      <c r="H14543" s="27">
        <f t="shared" si="454"/>
        <v>0</v>
      </c>
      <c r="I14543" s="18">
        <v>648410.66</v>
      </c>
      <c r="J14543" s="27">
        <v>997331.67</v>
      </c>
      <c r="K14543" s="18">
        <f t="shared" si="455"/>
        <v>0</v>
      </c>
      <c r="L14543" s="27">
        <v>723174.27</v>
      </c>
      <c r="M14543" s="36">
        <v>74763.61</v>
      </c>
      <c r="T14543" s="41">
        <v>0</v>
      </c>
      <c r="U14543" s="41">
        <v>0</v>
      </c>
      <c r="V14543" s="42" t="s">
        <v>124</v>
      </c>
      <c r="W14543" s="42">
        <v>997331.67</v>
      </c>
      <c r="X14543" s="42">
        <v>997331.67</v>
      </c>
    </row>
    <row r="14544" spans="1:24">
      <c r="A14544" s="27" t="s">
        <v>26014</v>
      </c>
      <c r="B14544" s="28" t="s">
        <v>25643</v>
      </c>
      <c r="C14544" s="27" t="s">
        <v>26015</v>
      </c>
      <c r="D14544" s="27" t="s">
        <v>230</v>
      </c>
      <c r="E14544" s="29">
        <v>36130</v>
      </c>
      <c r="F14544" s="27">
        <v>12</v>
      </c>
      <c r="G14544" s="18">
        <v>998151.44</v>
      </c>
      <c r="H14544" s="27">
        <f t="shared" si="454"/>
        <v>0</v>
      </c>
      <c r="I14544" s="18">
        <v>648943.62</v>
      </c>
      <c r="J14544" s="27">
        <v>998151.44</v>
      </c>
      <c r="K14544" s="18">
        <f t="shared" si="455"/>
        <v>0</v>
      </c>
      <c r="L14544" s="27">
        <v>723768.68</v>
      </c>
      <c r="M14544" s="36">
        <v>74825.06</v>
      </c>
      <c r="T14544" s="41">
        <v>0</v>
      </c>
      <c r="U14544" s="41">
        <v>0</v>
      </c>
      <c r="V14544" s="42" t="s">
        <v>124</v>
      </c>
      <c r="W14544" s="42">
        <v>998151.44</v>
      </c>
      <c r="X14544" s="42">
        <v>998151.44</v>
      </c>
    </row>
    <row r="14545" spans="1:24">
      <c r="A14545" s="27" t="s">
        <v>26016</v>
      </c>
      <c r="B14545" s="28" t="s">
        <v>25643</v>
      </c>
      <c r="C14545" s="27" t="s">
        <v>26017</v>
      </c>
      <c r="D14545" s="27" t="s">
        <v>230</v>
      </c>
      <c r="E14545" s="29">
        <v>36130</v>
      </c>
      <c r="F14545" s="27">
        <v>12</v>
      </c>
      <c r="G14545" s="18">
        <v>502262.72</v>
      </c>
      <c r="H14545" s="27">
        <f t="shared" si="454"/>
        <v>0</v>
      </c>
      <c r="I14545" s="18">
        <v>326543.83</v>
      </c>
      <c r="J14545" s="27">
        <v>502262.72</v>
      </c>
      <c r="K14545" s="18">
        <f t="shared" si="455"/>
        <v>0</v>
      </c>
      <c r="L14545" s="27">
        <v>364195.27</v>
      </c>
      <c r="M14545" s="36">
        <v>37651.440000000002</v>
      </c>
      <c r="T14545" s="41">
        <v>0</v>
      </c>
      <c r="U14545" s="41">
        <v>0</v>
      </c>
      <c r="V14545" s="42" t="s">
        <v>124</v>
      </c>
      <c r="W14545" s="42">
        <v>502262.72</v>
      </c>
      <c r="X14545" s="42">
        <v>502262.72</v>
      </c>
    </row>
    <row r="14546" spans="1:24">
      <c r="A14546" s="27" t="s">
        <v>26018</v>
      </c>
      <c r="B14546" s="28" t="s">
        <v>25643</v>
      </c>
      <c r="C14546" s="27" t="s">
        <v>26019</v>
      </c>
      <c r="D14546" s="27" t="s">
        <v>220</v>
      </c>
      <c r="E14546" s="29">
        <v>41269</v>
      </c>
      <c r="F14546" s="27">
        <v>12</v>
      </c>
      <c r="G14546" s="18">
        <v>496173</v>
      </c>
      <c r="H14546" s="27">
        <f t="shared" si="454"/>
        <v>0</v>
      </c>
      <c r="I14546" s="18">
        <v>217073.46</v>
      </c>
      <c r="J14546" s="27">
        <v>0</v>
      </c>
      <c r="K14546" s="18">
        <f t="shared" si="455"/>
        <v>0</v>
      </c>
      <c r="L14546" s="27">
        <v>0</v>
      </c>
      <c r="M14546" s="36">
        <v>31786.36</v>
      </c>
      <c r="N14546" s="18" t="s">
        <v>21306</v>
      </c>
      <c r="O14546" s="19">
        <v>-496173</v>
      </c>
      <c r="P14546" s="47">
        <v>-248859.82</v>
      </c>
      <c r="T14546" s="41">
        <v>0</v>
      </c>
      <c r="U14546" s="41">
        <v>0</v>
      </c>
      <c r="V14546" s="42" t="s">
        <v>113</v>
      </c>
      <c r="W14546" s="42">
        <v>0</v>
      </c>
      <c r="X14546" s="42">
        <v>0</v>
      </c>
    </row>
    <row r="14547" spans="1:24">
      <c r="A14547" s="27" t="s">
        <v>26020</v>
      </c>
      <c r="B14547" s="28" t="s">
        <v>25643</v>
      </c>
      <c r="C14547" s="27" t="s">
        <v>26021</v>
      </c>
      <c r="D14547" s="27" t="s">
        <v>17578</v>
      </c>
      <c r="E14547" s="29">
        <v>41269</v>
      </c>
      <c r="F14547" s="27">
        <v>12</v>
      </c>
      <c r="G14547" s="18">
        <v>32028.86</v>
      </c>
      <c r="H14547" s="27">
        <f t="shared" si="454"/>
        <v>0</v>
      </c>
      <c r="I14547" s="18">
        <v>14012.49</v>
      </c>
      <c r="J14547" s="27">
        <v>32028.86</v>
      </c>
      <c r="K14547" s="18">
        <f t="shared" si="455"/>
        <v>0</v>
      </c>
      <c r="L14547" s="27">
        <v>16748.310000000001</v>
      </c>
      <c r="M14547" s="36">
        <v>2735.82</v>
      </c>
      <c r="T14547" s="41">
        <v>0</v>
      </c>
      <c r="U14547" s="41">
        <v>0</v>
      </c>
      <c r="V14547" s="42" t="s">
        <v>113</v>
      </c>
      <c r="W14547" s="42">
        <v>0</v>
      </c>
      <c r="X14547" s="42">
        <v>0</v>
      </c>
    </row>
    <row r="14548" spans="1:24">
      <c r="A14548" s="27" t="s">
        <v>26022</v>
      </c>
      <c r="B14548" s="28" t="s">
        <v>25643</v>
      </c>
      <c r="C14548" s="27" t="s">
        <v>26023</v>
      </c>
      <c r="D14548" s="27" t="s">
        <v>220</v>
      </c>
      <c r="E14548" s="29">
        <v>41269</v>
      </c>
      <c r="F14548" s="27">
        <v>12</v>
      </c>
      <c r="G14548" s="18">
        <v>3009516.69</v>
      </c>
      <c r="H14548" s="27">
        <f t="shared" si="454"/>
        <v>0</v>
      </c>
      <c r="I14548" s="18">
        <v>1316650.08</v>
      </c>
      <c r="J14548" s="27">
        <v>3009516.69</v>
      </c>
      <c r="K14548" s="18">
        <f t="shared" si="455"/>
        <v>0</v>
      </c>
      <c r="L14548" s="27">
        <v>1573715.21</v>
      </c>
      <c r="M14548" s="36">
        <v>257065.13</v>
      </c>
      <c r="T14548" s="41">
        <v>0</v>
      </c>
      <c r="U14548" s="41">
        <v>0</v>
      </c>
      <c r="V14548" s="42" t="s">
        <v>113</v>
      </c>
      <c r="W14548" s="42">
        <v>0</v>
      </c>
      <c r="X14548" s="42">
        <v>0</v>
      </c>
    </row>
    <row r="14549" spans="1:24">
      <c r="A14549" s="27" t="s">
        <v>26024</v>
      </c>
      <c r="B14549" s="28" t="s">
        <v>25643</v>
      </c>
      <c r="C14549" s="27" t="s">
        <v>26025</v>
      </c>
      <c r="D14549" s="27" t="s">
        <v>220</v>
      </c>
      <c r="E14549" s="29">
        <v>41269</v>
      </c>
      <c r="F14549" s="27">
        <v>12</v>
      </c>
      <c r="G14549" s="18">
        <v>3291775.61</v>
      </c>
      <c r="H14549" s="27">
        <f t="shared" si="454"/>
        <v>0</v>
      </c>
      <c r="I14549" s="18">
        <v>1440137.1</v>
      </c>
      <c r="J14549" s="27">
        <v>3291775.61</v>
      </c>
      <c r="K14549" s="18">
        <f t="shared" si="455"/>
        <v>0</v>
      </c>
      <c r="L14549" s="27">
        <v>1721312.06</v>
      </c>
      <c r="M14549" s="36">
        <v>281174.96000000002</v>
      </c>
      <c r="T14549" s="41">
        <v>0</v>
      </c>
      <c r="U14549" s="41">
        <v>0</v>
      </c>
      <c r="V14549" s="42" t="s">
        <v>113</v>
      </c>
      <c r="W14549" s="42">
        <v>0</v>
      </c>
      <c r="X14549" s="42">
        <v>0</v>
      </c>
    </row>
    <row r="14550" spans="1:24">
      <c r="A14550" s="27" t="s">
        <v>26026</v>
      </c>
      <c r="B14550" s="28" t="s">
        <v>25643</v>
      </c>
      <c r="C14550" s="27" t="s">
        <v>26027</v>
      </c>
      <c r="D14550" s="27" t="s">
        <v>220</v>
      </c>
      <c r="E14550" s="29">
        <v>41269</v>
      </c>
      <c r="F14550" s="27">
        <v>12</v>
      </c>
      <c r="G14550" s="18">
        <v>5156385.22</v>
      </c>
      <c r="H14550" s="27">
        <f t="shared" si="454"/>
        <v>0</v>
      </c>
      <c r="I14550" s="18">
        <v>2255895.4500000002</v>
      </c>
      <c r="J14550" s="27">
        <v>5156385.22</v>
      </c>
      <c r="K14550" s="18">
        <f t="shared" si="455"/>
        <v>0</v>
      </c>
      <c r="L14550" s="27">
        <v>2696340.54</v>
      </c>
      <c r="M14550" s="36">
        <v>440445.09</v>
      </c>
      <c r="T14550" s="41">
        <v>0</v>
      </c>
      <c r="U14550" s="41">
        <v>0</v>
      </c>
      <c r="V14550" s="42" t="s">
        <v>113</v>
      </c>
      <c r="W14550" s="42">
        <v>0</v>
      </c>
      <c r="X14550" s="42">
        <v>0</v>
      </c>
    </row>
    <row r="14551" spans="1:24">
      <c r="A14551" s="27" t="s">
        <v>26028</v>
      </c>
      <c r="B14551" s="28" t="s">
        <v>25643</v>
      </c>
      <c r="C14551" s="27" t="s">
        <v>26029</v>
      </c>
      <c r="D14551" s="27" t="s">
        <v>220</v>
      </c>
      <c r="E14551" s="29">
        <v>41269</v>
      </c>
      <c r="F14551" s="27">
        <v>12</v>
      </c>
      <c r="G14551" s="18">
        <v>3919497.99</v>
      </c>
      <c r="H14551" s="27">
        <f t="shared" si="454"/>
        <v>0</v>
      </c>
      <c r="I14551" s="18">
        <v>1714762.83</v>
      </c>
      <c r="J14551" s="27">
        <v>3919497.99</v>
      </c>
      <c r="K14551" s="18">
        <f t="shared" si="455"/>
        <v>0</v>
      </c>
      <c r="L14551" s="27">
        <v>2049556.21</v>
      </c>
      <c r="M14551" s="36">
        <v>334793.38</v>
      </c>
      <c r="T14551" s="41">
        <v>0</v>
      </c>
      <c r="U14551" s="41">
        <v>0</v>
      </c>
      <c r="V14551" s="42" t="s">
        <v>113</v>
      </c>
      <c r="W14551" s="42">
        <v>0</v>
      </c>
      <c r="X14551" s="42">
        <v>0</v>
      </c>
    </row>
    <row r="14552" spans="1:24">
      <c r="A14552" s="27" t="s">
        <v>26030</v>
      </c>
      <c r="B14552" s="28" t="s">
        <v>25643</v>
      </c>
      <c r="C14552" s="27" t="s">
        <v>26031</v>
      </c>
      <c r="D14552" s="27" t="s">
        <v>220</v>
      </c>
      <c r="E14552" s="29">
        <v>41269</v>
      </c>
      <c r="F14552" s="27">
        <v>12</v>
      </c>
      <c r="G14552" s="18">
        <v>671125.14</v>
      </c>
      <c r="H14552" s="27">
        <f t="shared" si="454"/>
        <v>0</v>
      </c>
      <c r="I14552" s="18">
        <v>293614.24</v>
      </c>
      <c r="J14552" s="27">
        <v>671125.14</v>
      </c>
      <c r="K14552" s="18">
        <f t="shared" si="455"/>
        <v>0</v>
      </c>
      <c r="L14552" s="27">
        <v>350940.01</v>
      </c>
      <c r="M14552" s="36">
        <v>57325.77</v>
      </c>
      <c r="T14552" s="41">
        <v>0</v>
      </c>
      <c r="U14552" s="41">
        <v>0</v>
      </c>
      <c r="V14552" s="42" t="s">
        <v>113</v>
      </c>
      <c r="W14552" s="42">
        <v>0</v>
      </c>
      <c r="X14552" s="42">
        <v>0</v>
      </c>
    </row>
    <row r="14553" spans="1:24">
      <c r="A14553" s="27" t="s">
        <v>26032</v>
      </c>
      <c r="B14553" s="28" t="s">
        <v>25643</v>
      </c>
      <c r="C14553" s="27" t="s">
        <v>26033</v>
      </c>
      <c r="D14553" s="27" t="s">
        <v>220</v>
      </c>
      <c r="E14553" s="29">
        <v>41269</v>
      </c>
      <c r="F14553" s="27">
        <v>12</v>
      </c>
      <c r="G14553" s="18">
        <v>449507.24</v>
      </c>
      <c r="H14553" s="27">
        <f t="shared" si="454"/>
        <v>0</v>
      </c>
      <c r="I14553" s="18">
        <v>196657.41</v>
      </c>
      <c r="J14553" s="27">
        <v>449507.24</v>
      </c>
      <c r="K14553" s="18">
        <f t="shared" si="455"/>
        <v>0</v>
      </c>
      <c r="L14553" s="27">
        <v>235053.16</v>
      </c>
      <c r="M14553" s="36">
        <v>38395.75</v>
      </c>
      <c r="T14553" s="41">
        <v>0</v>
      </c>
      <c r="U14553" s="41">
        <v>0</v>
      </c>
      <c r="V14553" s="42" t="s">
        <v>113</v>
      </c>
      <c r="W14553" s="42">
        <v>0</v>
      </c>
      <c r="X14553" s="42">
        <v>0</v>
      </c>
    </row>
    <row r="14554" spans="1:24">
      <c r="A14554" s="27" t="s">
        <v>26034</v>
      </c>
      <c r="B14554" s="28" t="s">
        <v>25643</v>
      </c>
      <c r="C14554" s="27" t="s">
        <v>26035</v>
      </c>
      <c r="D14554" s="27" t="s">
        <v>220</v>
      </c>
      <c r="E14554" s="29">
        <v>41269</v>
      </c>
      <c r="F14554" s="27">
        <v>12</v>
      </c>
      <c r="G14554" s="18">
        <v>449507.24</v>
      </c>
      <c r="H14554" s="27">
        <f t="shared" si="454"/>
        <v>0</v>
      </c>
      <c r="I14554" s="18">
        <v>196657.41</v>
      </c>
      <c r="J14554" s="27">
        <v>449507.24</v>
      </c>
      <c r="K14554" s="18">
        <f t="shared" si="455"/>
        <v>0</v>
      </c>
      <c r="L14554" s="27">
        <v>235053.16</v>
      </c>
      <c r="M14554" s="36">
        <v>38395.75</v>
      </c>
      <c r="T14554" s="41">
        <v>0</v>
      </c>
      <c r="U14554" s="41">
        <v>0</v>
      </c>
      <c r="V14554" s="42" t="s">
        <v>113</v>
      </c>
      <c r="W14554" s="42">
        <v>0</v>
      </c>
      <c r="X14554" s="42">
        <v>0</v>
      </c>
    </row>
    <row r="14555" spans="1:24">
      <c r="A14555" s="27" t="s">
        <v>26036</v>
      </c>
      <c r="B14555" s="28" t="s">
        <v>25643</v>
      </c>
      <c r="C14555" s="27" t="s">
        <v>26037</v>
      </c>
      <c r="D14555" s="27" t="s">
        <v>220</v>
      </c>
      <c r="E14555" s="29">
        <v>41269</v>
      </c>
      <c r="F14555" s="27">
        <v>12</v>
      </c>
      <c r="G14555" s="18">
        <v>449237.59</v>
      </c>
      <c r="H14555" s="27">
        <f t="shared" si="454"/>
        <v>0</v>
      </c>
      <c r="I14555" s="18">
        <v>196539.43</v>
      </c>
      <c r="J14555" s="27">
        <v>449237.59</v>
      </c>
      <c r="K14555" s="18">
        <f t="shared" si="455"/>
        <v>0</v>
      </c>
      <c r="L14555" s="27">
        <v>234912.14</v>
      </c>
      <c r="M14555" s="36">
        <v>38372.71</v>
      </c>
      <c r="T14555" s="41">
        <v>0</v>
      </c>
      <c r="U14555" s="41">
        <v>0</v>
      </c>
      <c r="V14555" s="42" t="s">
        <v>113</v>
      </c>
      <c r="W14555" s="42">
        <v>0</v>
      </c>
      <c r="X14555" s="42">
        <v>0</v>
      </c>
    </row>
    <row r="14556" spans="1:24">
      <c r="A14556" s="27" t="s">
        <v>26038</v>
      </c>
      <c r="B14556" s="28" t="s">
        <v>25643</v>
      </c>
      <c r="C14556" s="27" t="s">
        <v>25829</v>
      </c>
      <c r="D14556" s="27" t="s">
        <v>220</v>
      </c>
      <c r="E14556" s="29">
        <v>41269</v>
      </c>
      <c r="F14556" s="27">
        <v>12</v>
      </c>
      <c r="G14556" s="18">
        <v>165278.57</v>
      </c>
      <c r="H14556" s="27">
        <f t="shared" si="454"/>
        <v>0</v>
      </c>
      <c r="I14556" s="18">
        <v>72308.639999999999</v>
      </c>
      <c r="J14556" s="27">
        <v>165278.57</v>
      </c>
      <c r="K14556" s="18">
        <f t="shared" si="455"/>
        <v>0</v>
      </c>
      <c r="L14556" s="27">
        <v>86426.31</v>
      </c>
      <c r="M14556" s="36">
        <v>14117.67</v>
      </c>
      <c r="T14556" s="41">
        <v>0</v>
      </c>
      <c r="U14556" s="41">
        <v>0</v>
      </c>
      <c r="V14556" s="42" t="s">
        <v>113</v>
      </c>
      <c r="W14556" s="42">
        <v>0</v>
      </c>
      <c r="X14556" s="42">
        <v>0</v>
      </c>
    </row>
    <row r="14557" spans="1:24">
      <c r="A14557" s="27" t="s">
        <v>26039</v>
      </c>
      <c r="B14557" s="28" t="s">
        <v>25643</v>
      </c>
      <c r="C14557" s="27" t="s">
        <v>26040</v>
      </c>
      <c r="D14557" s="27" t="s">
        <v>220</v>
      </c>
      <c r="E14557" s="29">
        <v>41269</v>
      </c>
      <c r="F14557" s="27">
        <v>12</v>
      </c>
      <c r="G14557" s="18">
        <v>288837.27</v>
      </c>
      <c r="H14557" s="27">
        <f t="shared" si="454"/>
        <v>0</v>
      </c>
      <c r="I14557" s="18">
        <v>126365</v>
      </c>
      <c r="J14557" s="27">
        <v>288837.27</v>
      </c>
      <c r="K14557" s="18">
        <f t="shared" si="455"/>
        <v>0</v>
      </c>
      <c r="L14557" s="27">
        <v>151036.74</v>
      </c>
      <c r="M14557" s="36">
        <v>24671.74</v>
      </c>
      <c r="T14557" s="41">
        <v>0</v>
      </c>
      <c r="U14557" s="41">
        <v>0</v>
      </c>
      <c r="V14557" s="42" t="s">
        <v>113</v>
      </c>
      <c r="W14557" s="42">
        <v>0</v>
      </c>
      <c r="X14557" s="42">
        <v>0</v>
      </c>
    </row>
    <row r="14558" spans="1:24">
      <c r="A14558" s="27" t="s">
        <v>26041</v>
      </c>
      <c r="B14558" s="28" t="s">
        <v>25643</v>
      </c>
      <c r="C14558" s="27" t="s">
        <v>26042</v>
      </c>
      <c r="D14558" s="27" t="s">
        <v>118</v>
      </c>
      <c r="E14558" s="29">
        <v>41270</v>
      </c>
      <c r="F14558" s="27">
        <v>12</v>
      </c>
      <c r="G14558" s="18">
        <v>838132.4</v>
      </c>
      <c r="H14558" s="27">
        <f t="shared" si="454"/>
        <v>0</v>
      </c>
      <c r="I14558" s="18">
        <v>385119.61</v>
      </c>
      <c r="J14558" s="27">
        <v>838132.4</v>
      </c>
      <c r="K14558" s="18">
        <f t="shared" si="455"/>
        <v>0</v>
      </c>
      <c r="L14558" s="27">
        <v>453637.31</v>
      </c>
      <c r="M14558" s="36">
        <v>68517.7</v>
      </c>
      <c r="T14558" s="41">
        <v>0</v>
      </c>
      <c r="U14558" s="41">
        <v>0</v>
      </c>
      <c r="V14558" s="42" t="s">
        <v>113</v>
      </c>
      <c r="W14558" s="42">
        <v>0</v>
      </c>
      <c r="X14558" s="42">
        <v>0</v>
      </c>
    </row>
    <row r="14559" spans="1:24">
      <c r="A14559" s="27" t="s">
        <v>26043</v>
      </c>
      <c r="B14559" s="28" t="s">
        <v>25643</v>
      </c>
      <c r="C14559" s="27" t="s">
        <v>26040</v>
      </c>
      <c r="D14559" s="27" t="s">
        <v>118</v>
      </c>
      <c r="E14559" s="29">
        <v>41270</v>
      </c>
      <c r="F14559" s="27">
        <v>12</v>
      </c>
      <c r="G14559" s="18">
        <v>80088.679999999993</v>
      </c>
      <c r="H14559" s="27">
        <f t="shared" si="454"/>
        <v>0</v>
      </c>
      <c r="I14559" s="18">
        <v>36800.54</v>
      </c>
      <c r="J14559" s="27">
        <v>80088.679999999993</v>
      </c>
      <c r="K14559" s="18">
        <f t="shared" si="455"/>
        <v>0</v>
      </c>
      <c r="L14559" s="27">
        <v>43347.83</v>
      </c>
      <c r="M14559" s="36">
        <v>6547.29</v>
      </c>
      <c r="T14559" s="41">
        <v>0</v>
      </c>
      <c r="U14559" s="41">
        <v>0</v>
      </c>
      <c r="V14559" s="42" t="s">
        <v>113</v>
      </c>
      <c r="W14559" s="42">
        <v>0</v>
      </c>
      <c r="X14559" s="42">
        <v>0</v>
      </c>
    </row>
    <row r="14560" spans="1:24">
      <c r="A14560" s="27" t="s">
        <v>26044</v>
      </c>
      <c r="B14560" s="28" t="s">
        <v>25643</v>
      </c>
      <c r="C14560" s="27" t="s">
        <v>26019</v>
      </c>
      <c r="D14560" s="27" t="s">
        <v>118</v>
      </c>
      <c r="E14560" s="29">
        <v>41270</v>
      </c>
      <c r="F14560" s="27">
        <v>12</v>
      </c>
      <c r="G14560" s="18">
        <v>138953.91</v>
      </c>
      <c r="H14560" s="27">
        <f t="shared" si="454"/>
        <v>0</v>
      </c>
      <c r="I14560" s="18">
        <v>63848.94</v>
      </c>
      <c r="J14560" s="27">
        <v>138953.91</v>
      </c>
      <c r="K14560" s="18">
        <f t="shared" si="455"/>
        <v>0</v>
      </c>
      <c r="L14560" s="27">
        <v>75208.490000000005</v>
      </c>
      <c r="M14560" s="36">
        <v>11359.55</v>
      </c>
      <c r="T14560" s="41">
        <v>0</v>
      </c>
      <c r="U14560" s="41">
        <v>0</v>
      </c>
      <c r="V14560" s="42" t="s">
        <v>113</v>
      </c>
      <c r="W14560" s="42">
        <v>0</v>
      </c>
      <c r="X14560" s="42">
        <v>0</v>
      </c>
    </row>
    <row r="14561" spans="1:24">
      <c r="A14561" s="27" t="s">
        <v>26045</v>
      </c>
      <c r="B14561" s="28" t="s">
        <v>25643</v>
      </c>
      <c r="C14561" s="27" t="s">
        <v>26046</v>
      </c>
      <c r="D14561" s="27" t="s">
        <v>17578</v>
      </c>
      <c r="E14561" s="29">
        <v>41270</v>
      </c>
      <c r="F14561" s="27">
        <v>12</v>
      </c>
      <c r="G14561" s="18">
        <v>416861.77</v>
      </c>
      <c r="H14561" s="27">
        <f t="shared" si="454"/>
        <v>0</v>
      </c>
      <c r="I14561" s="18">
        <v>191546.87</v>
      </c>
      <c r="J14561" s="27">
        <v>416861.77</v>
      </c>
      <c r="K14561" s="18">
        <f t="shared" si="455"/>
        <v>0</v>
      </c>
      <c r="L14561" s="27">
        <v>225625.51</v>
      </c>
      <c r="M14561" s="36">
        <v>34078.639999999999</v>
      </c>
      <c r="T14561" s="41">
        <v>0</v>
      </c>
      <c r="U14561" s="41">
        <v>0</v>
      </c>
      <c r="V14561" s="42" t="s">
        <v>113</v>
      </c>
      <c r="W14561" s="42">
        <v>0</v>
      </c>
      <c r="X14561" s="42">
        <v>0</v>
      </c>
    </row>
    <row r="14562" spans="1:24">
      <c r="A14562" s="27" t="s">
        <v>26047</v>
      </c>
      <c r="B14562" s="28" t="s">
        <v>25643</v>
      </c>
      <c r="C14562" s="27" t="s">
        <v>26048</v>
      </c>
      <c r="D14562" s="27" t="s">
        <v>118</v>
      </c>
      <c r="E14562" s="29">
        <v>41270</v>
      </c>
      <c r="F14562" s="27">
        <v>12</v>
      </c>
      <c r="G14562" s="18">
        <v>435383.99</v>
      </c>
      <c r="H14562" s="27">
        <f t="shared" si="454"/>
        <v>0</v>
      </c>
      <c r="I14562" s="18">
        <v>200057.78</v>
      </c>
      <c r="J14562" s="27">
        <v>435383.99</v>
      </c>
      <c r="K14562" s="18">
        <f t="shared" si="455"/>
        <v>0</v>
      </c>
      <c r="L14562" s="27">
        <v>235650.62</v>
      </c>
      <c r="M14562" s="36">
        <v>35592.839999999997</v>
      </c>
      <c r="T14562" s="41">
        <v>0</v>
      </c>
      <c r="U14562" s="41">
        <v>0</v>
      </c>
      <c r="V14562" s="42" t="s">
        <v>113</v>
      </c>
      <c r="W14562" s="42">
        <v>0</v>
      </c>
      <c r="X14562" s="42">
        <v>0</v>
      </c>
    </row>
    <row r="14563" spans="1:24">
      <c r="A14563" s="27" t="s">
        <v>26049</v>
      </c>
      <c r="B14563" s="28" t="s">
        <v>25643</v>
      </c>
      <c r="C14563" s="27" t="s">
        <v>25841</v>
      </c>
      <c r="D14563" s="27" t="s">
        <v>118</v>
      </c>
      <c r="E14563" s="29">
        <v>41270</v>
      </c>
      <c r="F14563" s="27">
        <v>12</v>
      </c>
      <c r="G14563" s="18">
        <v>693360.02</v>
      </c>
      <c r="H14563" s="27">
        <f t="shared" si="454"/>
        <v>0</v>
      </c>
      <c r="I14563" s="18">
        <v>318597.09000000003</v>
      </c>
      <c r="J14563" s="27">
        <v>693360.02</v>
      </c>
      <c r="K14563" s="18">
        <f t="shared" si="455"/>
        <v>0</v>
      </c>
      <c r="L14563" s="27">
        <v>375279.58</v>
      </c>
      <c r="M14563" s="36">
        <v>56682.49</v>
      </c>
      <c r="T14563" s="41">
        <v>0</v>
      </c>
      <c r="U14563" s="41">
        <v>0</v>
      </c>
      <c r="V14563" s="42" t="s">
        <v>113</v>
      </c>
      <c r="W14563" s="42">
        <v>0</v>
      </c>
      <c r="X14563" s="42">
        <v>0</v>
      </c>
    </row>
    <row r="14564" spans="1:24">
      <c r="A14564" s="27" t="s">
        <v>26050</v>
      </c>
      <c r="B14564" s="28" t="s">
        <v>25643</v>
      </c>
      <c r="C14564" s="27" t="s">
        <v>26027</v>
      </c>
      <c r="D14564" s="27" t="s">
        <v>118</v>
      </c>
      <c r="E14564" s="29">
        <v>41270</v>
      </c>
      <c r="F14564" s="27">
        <v>12</v>
      </c>
      <c r="G14564" s="18">
        <v>138953.91</v>
      </c>
      <c r="H14564" s="27">
        <f t="shared" si="454"/>
        <v>0</v>
      </c>
      <c r="I14564" s="18">
        <v>63848.95</v>
      </c>
      <c r="J14564" s="27">
        <v>138953.91</v>
      </c>
      <c r="K14564" s="18">
        <f t="shared" si="455"/>
        <v>0</v>
      </c>
      <c r="L14564" s="27">
        <v>75208.490000000005</v>
      </c>
      <c r="M14564" s="36">
        <v>11359.54</v>
      </c>
      <c r="T14564" s="41">
        <v>0</v>
      </c>
      <c r="U14564" s="41">
        <v>0</v>
      </c>
      <c r="V14564" s="42" t="s">
        <v>113</v>
      </c>
      <c r="W14564" s="42">
        <v>0</v>
      </c>
      <c r="X14564" s="42">
        <v>0</v>
      </c>
    </row>
    <row r="14565" spans="1:24">
      <c r="A14565" s="27" t="s">
        <v>26051</v>
      </c>
      <c r="B14565" s="28" t="s">
        <v>25643</v>
      </c>
      <c r="C14565" s="27" t="s">
        <v>26029</v>
      </c>
      <c r="D14565" s="27" t="s">
        <v>118</v>
      </c>
      <c r="E14565" s="29">
        <v>41270</v>
      </c>
      <c r="F14565" s="27">
        <v>12</v>
      </c>
      <c r="G14565" s="18">
        <v>138953.91</v>
      </c>
      <c r="H14565" s="27">
        <f t="shared" si="454"/>
        <v>0</v>
      </c>
      <c r="I14565" s="18">
        <v>63848.94</v>
      </c>
      <c r="J14565" s="27">
        <v>138953.91</v>
      </c>
      <c r="K14565" s="18">
        <f t="shared" si="455"/>
        <v>0</v>
      </c>
      <c r="L14565" s="27">
        <v>75208.490000000005</v>
      </c>
      <c r="M14565" s="36">
        <v>11359.55</v>
      </c>
      <c r="T14565" s="41">
        <v>0</v>
      </c>
      <c r="U14565" s="41">
        <v>0</v>
      </c>
      <c r="V14565" s="42" t="s">
        <v>113</v>
      </c>
      <c r="W14565" s="42">
        <v>0</v>
      </c>
      <c r="X14565" s="42">
        <v>0</v>
      </c>
    </row>
    <row r="14566" spans="1:24">
      <c r="A14566" s="27" t="s">
        <v>26052</v>
      </c>
      <c r="B14566" s="28" t="s">
        <v>25643</v>
      </c>
      <c r="C14566" s="27" t="s">
        <v>26031</v>
      </c>
      <c r="D14566" s="27" t="s">
        <v>118</v>
      </c>
      <c r="E14566" s="29">
        <v>41270</v>
      </c>
      <c r="F14566" s="27">
        <v>12</v>
      </c>
      <c r="G14566" s="18">
        <v>138953.91</v>
      </c>
      <c r="H14566" s="27">
        <f t="shared" si="454"/>
        <v>0</v>
      </c>
      <c r="I14566" s="18">
        <v>63848.95</v>
      </c>
      <c r="J14566" s="27">
        <v>138953.91</v>
      </c>
      <c r="K14566" s="18">
        <f t="shared" si="455"/>
        <v>0</v>
      </c>
      <c r="L14566" s="27">
        <v>75208.490000000005</v>
      </c>
      <c r="M14566" s="36">
        <v>11359.54</v>
      </c>
      <c r="T14566" s="41">
        <v>0</v>
      </c>
      <c r="U14566" s="41">
        <v>0</v>
      </c>
      <c r="V14566" s="42" t="s">
        <v>113</v>
      </c>
      <c r="W14566" s="42">
        <v>0</v>
      </c>
      <c r="X14566" s="42">
        <v>0</v>
      </c>
    </row>
    <row r="14567" spans="1:24">
      <c r="A14567" s="27" t="s">
        <v>26053</v>
      </c>
      <c r="B14567" s="28" t="s">
        <v>25643</v>
      </c>
      <c r="C14567" s="27" t="s">
        <v>26033</v>
      </c>
      <c r="D14567" s="27" t="s">
        <v>118</v>
      </c>
      <c r="E14567" s="29">
        <v>41270</v>
      </c>
      <c r="F14567" s="27">
        <v>12</v>
      </c>
      <c r="G14567" s="18">
        <v>138953.91</v>
      </c>
      <c r="H14567" s="27">
        <f t="shared" si="454"/>
        <v>0</v>
      </c>
      <c r="I14567" s="18">
        <v>63848.94</v>
      </c>
      <c r="J14567" s="27">
        <v>138953.91</v>
      </c>
      <c r="K14567" s="18">
        <f t="shared" si="455"/>
        <v>0</v>
      </c>
      <c r="L14567" s="27">
        <v>75208.490000000005</v>
      </c>
      <c r="M14567" s="36">
        <v>11359.55</v>
      </c>
      <c r="T14567" s="41">
        <v>0</v>
      </c>
      <c r="U14567" s="41">
        <v>0</v>
      </c>
      <c r="V14567" s="42" t="s">
        <v>113</v>
      </c>
      <c r="W14567" s="42">
        <v>0</v>
      </c>
      <c r="X14567" s="42">
        <v>0</v>
      </c>
    </row>
    <row r="14568" spans="1:24">
      <c r="A14568" s="27" t="s">
        <v>26054</v>
      </c>
      <c r="B14568" s="28" t="s">
        <v>25643</v>
      </c>
      <c r="C14568" s="27" t="s">
        <v>26035</v>
      </c>
      <c r="D14568" s="27" t="s">
        <v>118</v>
      </c>
      <c r="E14568" s="29">
        <v>41270</v>
      </c>
      <c r="F14568" s="27">
        <v>12</v>
      </c>
      <c r="G14568" s="18">
        <v>138953.91</v>
      </c>
      <c r="H14568" s="27">
        <f t="shared" si="454"/>
        <v>0</v>
      </c>
      <c r="I14568" s="18">
        <v>63848.94</v>
      </c>
      <c r="J14568" s="27">
        <v>138953.91</v>
      </c>
      <c r="K14568" s="18">
        <f t="shared" si="455"/>
        <v>0</v>
      </c>
      <c r="L14568" s="27">
        <v>75208.490000000005</v>
      </c>
      <c r="M14568" s="36">
        <v>11359.55</v>
      </c>
      <c r="T14568" s="41">
        <v>0</v>
      </c>
      <c r="U14568" s="41">
        <v>0</v>
      </c>
      <c r="V14568" s="42" t="s">
        <v>113</v>
      </c>
      <c r="W14568" s="42">
        <v>0</v>
      </c>
      <c r="X14568" s="42">
        <v>0</v>
      </c>
    </row>
    <row r="14569" spans="1:24">
      <c r="A14569" s="27" t="s">
        <v>26055</v>
      </c>
      <c r="B14569" s="28" t="s">
        <v>25643</v>
      </c>
      <c r="C14569" s="27" t="s">
        <v>26037</v>
      </c>
      <c r="D14569" s="27" t="s">
        <v>118</v>
      </c>
      <c r="E14569" s="29">
        <v>41270</v>
      </c>
      <c r="F14569" s="27">
        <v>12</v>
      </c>
      <c r="G14569" s="18">
        <v>137951.34</v>
      </c>
      <c r="H14569" s="27">
        <f t="shared" si="454"/>
        <v>0</v>
      </c>
      <c r="I14569" s="18">
        <v>63388.26</v>
      </c>
      <c r="J14569" s="27">
        <v>137951.34</v>
      </c>
      <c r="K14569" s="18">
        <f t="shared" si="455"/>
        <v>0</v>
      </c>
      <c r="L14569" s="27">
        <v>74665.850000000006</v>
      </c>
      <c r="M14569" s="36">
        <v>11277.59</v>
      </c>
      <c r="T14569" s="41">
        <v>0</v>
      </c>
      <c r="U14569" s="41">
        <v>0</v>
      </c>
      <c r="V14569" s="42" t="s">
        <v>113</v>
      </c>
      <c r="W14569" s="42">
        <v>0</v>
      </c>
      <c r="X14569" s="42">
        <v>0</v>
      </c>
    </row>
    <row r="14570" spans="1:24">
      <c r="A14570" s="27" t="s">
        <v>26056</v>
      </c>
      <c r="B14570" s="28" t="s">
        <v>25643</v>
      </c>
      <c r="C14570" s="27" t="s">
        <v>25829</v>
      </c>
      <c r="D14570" s="27" t="s">
        <v>118</v>
      </c>
      <c r="E14570" s="29">
        <v>41270</v>
      </c>
      <c r="F14570" s="27">
        <v>12</v>
      </c>
      <c r="G14570" s="18">
        <v>28553.84</v>
      </c>
      <c r="H14570" s="27">
        <f t="shared" si="454"/>
        <v>0</v>
      </c>
      <c r="I14570" s="18">
        <v>13120.42</v>
      </c>
      <c r="J14570" s="27">
        <v>28553.84</v>
      </c>
      <c r="K14570" s="18">
        <f t="shared" si="455"/>
        <v>0</v>
      </c>
      <c r="L14570" s="27">
        <v>15454.71</v>
      </c>
      <c r="M14570" s="36">
        <v>2334.29</v>
      </c>
      <c r="T14570" s="41">
        <v>0</v>
      </c>
      <c r="U14570" s="41">
        <v>0</v>
      </c>
      <c r="V14570" s="42" t="s">
        <v>113</v>
      </c>
      <c r="W14570" s="42">
        <v>0</v>
      </c>
      <c r="X14570" s="42">
        <v>0</v>
      </c>
    </row>
    <row r="14571" spans="1:24">
      <c r="A14571" s="27" t="s">
        <v>26057</v>
      </c>
      <c r="B14571" s="28" t="s">
        <v>25643</v>
      </c>
      <c r="C14571" s="27" t="s">
        <v>26058</v>
      </c>
      <c r="D14571" s="27" t="s">
        <v>230</v>
      </c>
      <c r="E14571" s="29">
        <v>41271</v>
      </c>
      <c r="F14571" s="27">
        <v>12</v>
      </c>
      <c r="G14571" s="18">
        <v>190719</v>
      </c>
      <c r="H14571" s="27">
        <f t="shared" si="454"/>
        <v>0</v>
      </c>
      <c r="I14571" s="18">
        <v>104421.02</v>
      </c>
      <c r="J14571" s="27">
        <v>190719</v>
      </c>
      <c r="K14571" s="18">
        <f t="shared" si="455"/>
        <v>0</v>
      </c>
      <c r="L14571" s="27">
        <v>117214.69</v>
      </c>
      <c r="M14571" s="36">
        <v>12793.67</v>
      </c>
      <c r="T14571" s="41">
        <v>0</v>
      </c>
      <c r="U14571" s="41">
        <v>0</v>
      </c>
      <c r="V14571" s="42" t="s">
        <v>113</v>
      </c>
      <c r="W14571" s="42">
        <v>0</v>
      </c>
      <c r="X14571" s="42">
        <v>0</v>
      </c>
    </row>
    <row r="14572" spans="1:24">
      <c r="A14572" s="27" t="s">
        <v>26059</v>
      </c>
      <c r="B14572" s="28" t="s">
        <v>25643</v>
      </c>
      <c r="C14572" s="27" t="s">
        <v>25966</v>
      </c>
      <c r="D14572" s="27" t="s">
        <v>17558</v>
      </c>
      <c r="E14572" s="29">
        <v>39813</v>
      </c>
      <c r="F14572" s="27">
        <v>12</v>
      </c>
      <c r="G14572" s="18">
        <v>60000</v>
      </c>
      <c r="H14572" s="27">
        <f t="shared" si="454"/>
        <v>60000</v>
      </c>
      <c r="I14572" s="18">
        <v>57000</v>
      </c>
      <c r="J14572" s="27">
        <v>60000</v>
      </c>
      <c r="K14572" s="18">
        <f t="shared" si="455"/>
        <v>60000</v>
      </c>
      <c r="L14572" s="27">
        <v>57000</v>
      </c>
      <c r="M14572" s="36">
        <v>0</v>
      </c>
      <c r="T14572" s="41">
        <v>0</v>
      </c>
      <c r="U14572" s="41">
        <v>0</v>
      </c>
      <c r="V14572" s="42" t="s">
        <v>113</v>
      </c>
      <c r="W14572" s="42">
        <v>60000</v>
      </c>
      <c r="X14572" s="42">
        <v>60000</v>
      </c>
    </row>
    <row r="14573" spans="1:24">
      <c r="A14573" s="27" t="s">
        <v>26060</v>
      </c>
      <c r="B14573" s="28" t="s">
        <v>25643</v>
      </c>
      <c r="C14573" s="27" t="s">
        <v>25924</v>
      </c>
      <c r="D14573" s="27" t="s">
        <v>17558</v>
      </c>
      <c r="E14573" s="29">
        <v>39813</v>
      </c>
      <c r="F14573" s="27">
        <v>12</v>
      </c>
      <c r="G14573" s="18">
        <v>22584.04</v>
      </c>
      <c r="H14573" s="27">
        <f t="shared" si="454"/>
        <v>22584.04</v>
      </c>
      <c r="I14573" s="18">
        <v>21454.84</v>
      </c>
      <c r="J14573" s="27">
        <v>22584.04</v>
      </c>
      <c r="K14573" s="18">
        <f t="shared" si="455"/>
        <v>22584.04</v>
      </c>
      <c r="L14573" s="27">
        <v>21454.84</v>
      </c>
      <c r="M14573" s="36">
        <v>0</v>
      </c>
      <c r="T14573" s="41">
        <v>0</v>
      </c>
      <c r="U14573" s="41">
        <v>0</v>
      </c>
      <c r="V14573" s="42" t="s">
        <v>113</v>
      </c>
      <c r="W14573" s="42">
        <v>22584.04</v>
      </c>
      <c r="X14573" s="42">
        <v>22584.04</v>
      </c>
    </row>
    <row r="14574" spans="1:24">
      <c r="A14574" s="27" t="s">
        <v>26061</v>
      </c>
      <c r="B14574" s="28" t="s">
        <v>25643</v>
      </c>
      <c r="C14574" s="27" t="s">
        <v>25946</v>
      </c>
      <c r="D14574" s="27" t="s">
        <v>17558</v>
      </c>
      <c r="E14574" s="29">
        <v>39813</v>
      </c>
      <c r="F14574" s="27">
        <v>12</v>
      </c>
      <c r="G14574" s="18">
        <v>22584.04</v>
      </c>
      <c r="H14574" s="27">
        <f t="shared" si="454"/>
        <v>22584.04</v>
      </c>
      <c r="I14574" s="18">
        <v>21454.84</v>
      </c>
      <c r="J14574" s="27">
        <v>22584.04</v>
      </c>
      <c r="K14574" s="18">
        <f t="shared" si="455"/>
        <v>22584.04</v>
      </c>
      <c r="L14574" s="27">
        <v>21454.84</v>
      </c>
      <c r="M14574" s="36">
        <v>0</v>
      </c>
      <c r="T14574" s="41">
        <v>0</v>
      </c>
      <c r="U14574" s="41">
        <v>0</v>
      </c>
      <c r="V14574" s="42" t="s">
        <v>113</v>
      </c>
      <c r="W14574" s="42">
        <v>22584.04</v>
      </c>
      <c r="X14574" s="42">
        <v>22584.04</v>
      </c>
    </row>
    <row r="14575" spans="1:24">
      <c r="A14575" s="27" t="s">
        <v>26062</v>
      </c>
      <c r="B14575" s="28" t="s">
        <v>25643</v>
      </c>
      <c r="C14575" s="27" t="s">
        <v>25948</v>
      </c>
      <c r="D14575" s="27" t="s">
        <v>17558</v>
      </c>
      <c r="E14575" s="29">
        <v>39813</v>
      </c>
      <c r="F14575" s="27">
        <v>12</v>
      </c>
      <c r="G14575" s="18">
        <v>22584.04</v>
      </c>
      <c r="H14575" s="27">
        <f t="shared" si="454"/>
        <v>22584.04</v>
      </c>
      <c r="I14575" s="18">
        <v>21454.84</v>
      </c>
      <c r="J14575" s="27">
        <v>22584.04</v>
      </c>
      <c r="K14575" s="18">
        <f t="shared" si="455"/>
        <v>22584.04</v>
      </c>
      <c r="L14575" s="27">
        <v>21454.84</v>
      </c>
      <c r="M14575" s="36">
        <v>0</v>
      </c>
      <c r="T14575" s="41">
        <v>0</v>
      </c>
      <c r="U14575" s="41">
        <v>0</v>
      </c>
      <c r="V14575" s="42" t="s">
        <v>113</v>
      </c>
      <c r="W14575" s="42">
        <v>22584.04</v>
      </c>
      <c r="X14575" s="42">
        <v>22584.04</v>
      </c>
    </row>
    <row r="14576" spans="1:24">
      <c r="A14576" s="27" t="s">
        <v>26063</v>
      </c>
      <c r="B14576" s="28" t="s">
        <v>25643</v>
      </c>
      <c r="C14576" s="27" t="s">
        <v>25964</v>
      </c>
      <c r="D14576" s="27" t="s">
        <v>17558</v>
      </c>
      <c r="E14576" s="29">
        <v>39813</v>
      </c>
      <c r="F14576" s="27">
        <v>12</v>
      </c>
      <c r="G14576" s="18">
        <v>22584.04</v>
      </c>
      <c r="H14576" s="27">
        <f t="shared" si="454"/>
        <v>22584.04</v>
      </c>
      <c r="I14576" s="18">
        <v>21454.84</v>
      </c>
      <c r="J14576" s="27">
        <v>22584.04</v>
      </c>
      <c r="K14576" s="18">
        <f t="shared" si="455"/>
        <v>22584.04</v>
      </c>
      <c r="L14576" s="27">
        <v>21454.84</v>
      </c>
      <c r="M14576" s="36">
        <v>0</v>
      </c>
      <c r="T14576" s="41">
        <v>0</v>
      </c>
      <c r="U14576" s="41">
        <v>0</v>
      </c>
      <c r="V14576" s="42" t="s">
        <v>113</v>
      </c>
      <c r="W14576" s="42">
        <v>22584.04</v>
      </c>
      <c r="X14576" s="42">
        <v>22584.04</v>
      </c>
    </row>
    <row r="14577" spans="1:24">
      <c r="A14577" s="27" t="s">
        <v>26064</v>
      </c>
      <c r="B14577" s="28" t="s">
        <v>25643</v>
      </c>
      <c r="C14577" s="27" t="s">
        <v>25966</v>
      </c>
      <c r="D14577" s="27" t="s">
        <v>17558</v>
      </c>
      <c r="E14577" s="29">
        <v>39813</v>
      </c>
      <c r="F14577" s="27">
        <v>12</v>
      </c>
      <c r="G14577" s="18">
        <v>62000</v>
      </c>
      <c r="H14577" s="27">
        <f t="shared" si="454"/>
        <v>62000</v>
      </c>
      <c r="I14577" s="18">
        <v>58900</v>
      </c>
      <c r="J14577" s="27">
        <v>62000</v>
      </c>
      <c r="K14577" s="18">
        <f t="shared" si="455"/>
        <v>62000</v>
      </c>
      <c r="L14577" s="27">
        <v>58900</v>
      </c>
      <c r="M14577" s="36">
        <v>0</v>
      </c>
      <c r="T14577" s="41">
        <v>0</v>
      </c>
      <c r="U14577" s="41">
        <v>0</v>
      </c>
      <c r="V14577" s="42" t="s">
        <v>113</v>
      </c>
      <c r="W14577" s="42">
        <v>62000</v>
      </c>
      <c r="X14577" s="42">
        <v>62000</v>
      </c>
    </row>
    <row r="14578" spans="1:24">
      <c r="A14578" s="27" t="s">
        <v>26065</v>
      </c>
      <c r="B14578" s="28" t="s">
        <v>25643</v>
      </c>
      <c r="C14578" s="27" t="s">
        <v>25924</v>
      </c>
      <c r="D14578" s="27" t="s">
        <v>17558</v>
      </c>
      <c r="E14578" s="29">
        <v>39813</v>
      </c>
      <c r="F14578" s="27">
        <v>12</v>
      </c>
      <c r="G14578" s="18">
        <v>22579.599999999999</v>
      </c>
      <c r="H14578" s="27">
        <f t="shared" si="454"/>
        <v>22579.599999999999</v>
      </c>
      <c r="I14578" s="18">
        <v>21450.62</v>
      </c>
      <c r="J14578" s="27">
        <v>22579.599999999999</v>
      </c>
      <c r="K14578" s="18">
        <f t="shared" si="455"/>
        <v>22579.599999999999</v>
      </c>
      <c r="L14578" s="27">
        <v>21450.62</v>
      </c>
      <c r="M14578" s="36">
        <v>0</v>
      </c>
      <c r="T14578" s="41">
        <v>0</v>
      </c>
      <c r="U14578" s="41">
        <v>0</v>
      </c>
      <c r="V14578" s="42" t="s">
        <v>113</v>
      </c>
      <c r="W14578" s="42">
        <v>22579.599999999999</v>
      </c>
      <c r="X14578" s="42">
        <v>22579.599999999999</v>
      </c>
    </row>
    <row r="14579" spans="1:24">
      <c r="A14579" s="27" t="s">
        <v>26066</v>
      </c>
      <c r="B14579" s="28" t="s">
        <v>25643</v>
      </c>
      <c r="C14579" s="27" t="s">
        <v>25946</v>
      </c>
      <c r="D14579" s="27" t="s">
        <v>17558</v>
      </c>
      <c r="E14579" s="29">
        <v>39813</v>
      </c>
      <c r="F14579" s="27">
        <v>12</v>
      </c>
      <c r="G14579" s="18">
        <v>22579.599999999999</v>
      </c>
      <c r="H14579" s="27">
        <f t="shared" si="454"/>
        <v>22579.599999999999</v>
      </c>
      <c r="I14579" s="18">
        <v>21450.62</v>
      </c>
      <c r="J14579" s="27">
        <v>22579.599999999999</v>
      </c>
      <c r="K14579" s="18">
        <f t="shared" si="455"/>
        <v>22579.599999999999</v>
      </c>
      <c r="L14579" s="27">
        <v>21450.62</v>
      </c>
      <c r="M14579" s="36">
        <v>0</v>
      </c>
      <c r="T14579" s="41">
        <v>0</v>
      </c>
      <c r="U14579" s="41">
        <v>0</v>
      </c>
      <c r="V14579" s="42" t="s">
        <v>113</v>
      </c>
      <c r="W14579" s="42">
        <v>22579.599999999999</v>
      </c>
      <c r="X14579" s="42">
        <v>22579.599999999999</v>
      </c>
    </row>
    <row r="14580" spans="1:24">
      <c r="A14580" s="27" t="s">
        <v>26067</v>
      </c>
      <c r="B14580" s="28" t="s">
        <v>25643</v>
      </c>
      <c r="C14580" s="27" t="s">
        <v>25948</v>
      </c>
      <c r="D14580" s="27" t="s">
        <v>17558</v>
      </c>
      <c r="E14580" s="29">
        <v>39813</v>
      </c>
      <c r="F14580" s="27">
        <v>12</v>
      </c>
      <c r="G14580" s="18">
        <v>22579.599999999999</v>
      </c>
      <c r="H14580" s="27">
        <f t="shared" si="454"/>
        <v>22579.599999999999</v>
      </c>
      <c r="I14580" s="18">
        <v>21450.62</v>
      </c>
      <c r="J14580" s="27">
        <v>22579.599999999999</v>
      </c>
      <c r="K14580" s="18">
        <f t="shared" si="455"/>
        <v>22579.599999999999</v>
      </c>
      <c r="L14580" s="27">
        <v>21450.62</v>
      </c>
      <c r="M14580" s="36">
        <v>0</v>
      </c>
      <c r="T14580" s="41">
        <v>0</v>
      </c>
      <c r="U14580" s="41">
        <v>0</v>
      </c>
      <c r="V14580" s="42" t="s">
        <v>113</v>
      </c>
      <c r="W14580" s="42">
        <v>22579.599999999999</v>
      </c>
      <c r="X14580" s="42">
        <v>22579.599999999999</v>
      </c>
    </row>
    <row r="14581" spans="1:24">
      <c r="A14581" s="27" t="s">
        <v>26068</v>
      </c>
      <c r="B14581" s="28" t="s">
        <v>25643</v>
      </c>
      <c r="C14581" s="27" t="s">
        <v>25964</v>
      </c>
      <c r="D14581" s="27" t="s">
        <v>17558</v>
      </c>
      <c r="E14581" s="29">
        <v>39813</v>
      </c>
      <c r="F14581" s="27">
        <v>12</v>
      </c>
      <c r="G14581" s="18">
        <v>22579.599999999999</v>
      </c>
      <c r="H14581" s="27">
        <f t="shared" si="454"/>
        <v>22579.599999999999</v>
      </c>
      <c r="I14581" s="18">
        <v>21450.62</v>
      </c>
      <c r="J14581" s="27">
        <v>22579.599999999999</v>
      </c>
      <c r="K14581" s="18">
        <f t="shared" si="455"/>
        <v>22579.599999999999</v>
      </c>
      <c r="L14581" s="27">
        <v>21450.62</v>
      </c>
      <c r="M14581" s="36">
        <v>0</v>
      </c>
      <c r="T14581" s="41">
        <v>0</v>
      </c>
      <c r="U14581" s="41">
        <v>0</v>
      </c>
      <c r="V14581" s="42" t="s">
        <v>113</v>
      </c>
      <c r="W14581" s="42">
        <v>22579.599999999999</v>
      </c>
      <c r="X14581" s="42">
        <v>22579.599999999999</v>
      </c>
    </row>
    <row r="14582" spans="1:24">
      <c r="A14582" s="27" t="s">
        <v>26069</v>
      </c>
      <c r="B14582" s="28" t="s">
        <v>25643</v>
      </c>
      <c r="C14582" s="27" t="s">
        <v>25688</v>
      </c>
      <c r="D14582" s="27" t="s">
        <v>17558</v>
      </c>
      <c r="E14582" s="29">
        <v>35794</v>
      </c>
      <c r="F14582" s="27">
        <v>12</v>
      </c>
      <c r="G14582" s="18">
        <v>92786.92</v>
      </c>
      <c r="H14582" s="27">
        <f t="shared" si="454"/>
        <v>0</v>
      </c>
      <c r="I14582" s="18">
        <v>86713.59</v>
      </c>
      <c r="J14582" s="27">
        <v>92786.92</v>
      </c>
      <c r="K14582" s="18">
        <f t="shared" si="455"/>
        <v>92786.92</v>
      </c>
      <c r="L14582" s="27">
        <v>88147.57</v>
      </c>
      <c r="M14582" s="36">
        <v>1433.98</v>
      </c>
      <c r="T14582" s="41">
        <v>0</v>
      </c>
      <c r="U14582" s="41">
        <v>0</v>
      </c>
      <c r="V14582" s="42" t="s">
        <v>113</v>
      </c>
      <c r="W14582" s="42">
        <v>92786.92</v>
      </c>
      <c r="X14582" s="42">
        <v>92786.92</v>
      </c>
    </row>
    <row r="14583" spans="1:24">
      <c r="A14583" s="27" t="s">
        <v>26070</v>
      </c>
      <c r="B14583" s="28" t="s">
        <v>25643</v>
      </c>
      <c r="C14583" s="27" t="s">
        <v>26071</v>
      </c>
      <c r="D14583" s="27" t="s">
        <v>17558</v>
      </c>
      <c r="E14583" s="29">
        <v>36891</v>
      </c>
      <c r="F14583" s="27">
        <v>12</v>
      </c>
      <c r="G14583" s="18">
        <v>214029.67</v>
      </c>
      <c r="H14583" s="27">
        <f t="shared" si="454"/>
        <v>214029.67</v>
      </c>
      <c r="I14583" s="18">
        <v>203328.19</v>
      </c>
      <c r="J14583" s="27">
        <v>214029.67</v>
      </c>
      <c r="K14583" s="18">
        <f t="shared" si="455"/>
        <v>214029.67</v>
      </c>
      <c r="L14583" s="27">
        <v>203328.19</v>
      </c>
      <c r="M14583" s="36">
        <v>0</v>
      </c>
      <c r="T14583" s="41">
        <v>0</v>
      </c>
      <c r="U14583" s="41">
        <v>0</v>
      </c>
      <c r="V14583" s="42" t="s">
        <v>113</v>
      </c>
      <c r="W14583" s="42">
        <v>214029.67</v>
      </c>
      <c r="X14583" s="42">
        <v>214029.67</v>
      </c>
    </row>
    <row r="14584" spans="1:24">
      <c r="A14584" s="27" t="s">
        <v>26072</v>
      </c>
      <c r="B14584" s="28" t="s">
        <v>25643</v>
      </c>
      <c r="C14584" s="27" t="s">
        <v>26073</v>
      </c>
      <c r="D14584" s="27" t="s">
        <v>17558</v>
      </c>
      <c r="E14584" s="29">
        <v>32752</v>
      </c>
      <c r="F14584" s="27">
        <v>12</v>
      </c>
      <c r="G14584" s="18">
        <v>420923.77</v>
      </c>
      <c r="H14584" s="27">
        <f t="shared" si="454"/>
        <v>420923.77</v>
      </c>
      <c r="I14584" s="18">
        <v>399877.58</v>
      </c>
      <c r="J14584" s="27">
        <v>420923.77</v>
      </c>
      <c r="K14584" s="18">
        <f t="shared" si="455"/>
        <v>420923.77</v>
      </c>
      <c r="L14584" s="27">
        <v>399877.58</v>
      </c>
      <c r="M14584" s="36">
        <v>0</v>
      </c>
      <c r="T14584" s="41">
        <v>0</v>
      </c>
      <c r="U14584" s="41">
        <v>0</v>
      </c>
      <c r="V14584" s="42" t="s">
        <v>113</v>
      </c>
      <c r="W14584" s="42">
        <v>420923.77</v>
      </c>
      <c r="X14584" s="42">
        <v>420923.77</v>
      </c>
    </row>
    <row r="14585" spans="1:24">
      <c r="A14585" s="27" t="s">
        <v>26074</v>
      </c>
      <c r="B14585" s="28" t="s">
        <v>25643</v>
      </c>
      <c r="C14585" s="27" t="s">
        <v>25682</v>
      </c>
      <c r="D14585" s="27" t="s">
        <v>17558</v>
      </c>
      <c r="E14585" s="29">
        <v>32752</v>
      </c>
      <c r="F14585" s="27">
        <v>12</v>
      </c>
      <c r="G14585" s="18">
        <v>1207153.75</v>
      </c>
      <c r="H14585" s="27">
        <f t="shared" si="454"/>
        <v>0</v>
      </c>
      <c r="I14585" s="18">
        <v>1025589.91</v>
      </c>
      <c r="J14585" s="27">
        <v>1207153.75</v>
      </c>
      <c r="K14585" s="18">
        <f t="shared" si="455"/>
        <v>1207153.75</v>
      </c>
      <c r="L14585" s="27">
        <v>1146796.06</v>
      </c>
      <c r="M14585" s="36">
        <v>121206.15</v>
      </c>
      <c r="T14585" s="41">
        <v>0</v>
      </c>
      <c r="U14585" s="41">
        <v>0</v>
      </c>
      <c r="V14585" s="42" t="s">
        <v>113</v>
      </c>
      <c r="W14585" s="42">
        <v>1207153.75</v>
      </c>
      <c r="X14585" s="42">
        <v>1207153.75</v>
      </c>
    </row>
    <row r="14586" spans="1:24">
      <c r="A14586" s="27" t="s">
        <v>26075</v>
      </c>
      <c r="B14586" s="28" t="s">
        <v>25643</v>
      </c>
      <c r="C14586" s="27" t="s">
        <v>26076</v>
      </c>
      <c r="D14586" s="27" t="s">
        <v>17558</v>
      </c>
      <c r="E14586" s="29">
        <v>32752</v>
      </c>
      <c r="F14586" s="27">
        <v>12</v>
      </c>
      <c r="G14586" s="18">
        <v>434552.69</v>
      </c>
      <c r="H14586" s="27">
        <f t="shared" si="454"/>
        <v>434552.69</v>
      </c>
      <c r="I14586" s="18">
        <v>412825.05</v>
      </c>
      <c r="J14586" s="27">
        <v>434552.69</v>
      </c>
      <c r="K14586" s="18">
        <f t="shared" si="455"/>
        <v>434552.69</v>
      </c>
      <c r="L14586" s="27">
        <v>412825.05</v>
      </c>
      <c r="M14586" s="36">
        <v>0</v>
      </c>
      <c r="T14586" s="41">
        <v>0</v>
      </c>
      <c r="U14586" s="41">
        <v>0</v>
      </c>
      <c r="V14586" s="42" t="s">
        <v>113</v>
      </c>
      <c r="W14586" s="42">
        <v>434552.69</v>
      </c>
      <c r="X14586" s="42">
        <v>434552.69</v>
      </c>
    </row>
    <row r="14587" spans="1:24">
      <c r="A14587" s="27" t="s">
        <v>26077</v>
      </c>
      <c r="B14587" s="28" t="s">
        <v>25643</v>
      </c>
      <c r="C14587" s="27" t="s">
        <v>25684</v>
      </c>
      <c r="D14587" s="27" t="s">
        <v>17558</v>
      </c>
      <c r="E14587" s="29">
        <v>32752</v>
      </c>
      <c r="F14587" s="27">
        <v>12</v>
      </c>
      <c r="G14587" s="18">
        <v>488982.53</v>
      </c>
      <c r="H14587" s="27">
        <f t="shared" si="454"/>
        <v>488982.53</v>
      </c>
      <c r="I14587" s="18">
        <v>464533.4</v>
      </c>
      <c r="J14587" s="27">
        <v>488982.53</v>
      </c>
      <c r="K14587" s="18">
        <f t="shared" si="455"/>
        <v>488982.53</v>
      </c>
      <c r="L14587" s="27">
        <v>464533.4</v>
      </c>
      <c r="M14587" s="36">
        <v>0</v>
      </c>
      <c r="T14587" s="41">
        <v>0</v>
      </c>
      <c r="U14587" s="41">
        <v>0</v>
      </c>
      <c r="V14587" s="42" t="s">
        <v>113</v>
      </c>
      <c r="W14587" s="42">
        <v>488982.53</v>
      </c>
      <c r="X14587" s="42">
        <v>488982.53</v>
      </c>
    </row>
    <row r="14588" spans="1:24">
      <c r="A14588" s="27" t="s">
        <v>26078</v>
      </c>
      <c r="B14588" s="28" t="s">
        <v>25643</v>
      </c>
      <c r="C14588" s="27" t="s">
        <v>26079</v>
      </c>
      <c r="D14588" s="27" t="s">
        <v>17558</v>
      </c>
      <c r="E14588" s="29">
        <v>32752</v>
      </c>
      <c r="F14588" s="27">
        <v>12</v>
      </c>
      <c r="G14588" s="18">
        <v>125012.23</v>
      </c>
      <c r="H14588" s="27">
        <f t="shared" si="454"/>
        <v>125012.23</v>
      </c>
      <c r="I14588" s="18">
        <v>118761.62</v>
      </c>
      <c r="J14588" s="27">
        <v>125012.23</v>
      </c>
      <c r="K14588" s="18">
        <f t="shared" si="455"/>
        <v>125012.23</v>
      </c>
      <c r="L14588" s="27">
        <v>118761.62</v>
      </c>
      <c r="M14588" s="36">
        <v>0</v>
      </c>
      <c r="T14588" s="41">
        <v>0</v>
      </c>
      <c r="U14588" s="41">
        <v>0</v>
      </c>
      <c r="V14588" s="42" t="s">
        <v>113</v>
      </c>
      <c r="W14588" s="42">
        <v>125012.23</v>
      </c>
      <c r="X14588" s="42">
        <v>125012.23</v>
      </c>
    </row>
    <row r="14589" spans="1:24">
      <c r="A14589" s="27" t="s">
        <v>26080</v>
      </c>
      <c r="B14589" s="28" t="s">
        <v>25643</v>
      </c>
      <c r="C14589" s="27" t="s">
        <v>26081</v>
      </c>
      <c r="D14589" s="27" t="s">
        <v>17558</v>
      </c>
      <c r="E14589" s="29">
        <v>32752</v>
      </c>
      <c r="F14589" s="27">
        <v>12</v>
      </c>
      <c r="G14589" s="18">
        <v>107208.58</v>
      </c>
      <c r="H14589" s="27">
        <f t="shared" si="454"/>
        <v>107208.58</v>
      </c>
      <c r="I14589" s="18">
        <v>101848.15</v>
      </c>
      <c r="J14589" s="27">
        <v>107208.58</v>
      </c>
      <c r="K14589" s="18">
        <f t="shared" si="455"/>
        <v>107208.58</v>
      </c>
      <c r="L14589" s="27">
        <v>101848.15</v>
      </c>
      <c r="M14589" s="36">
        <v>0</v>
      </c>
      <c r="T14589" s="41">
        <v>0</v>
      </c>
      <c r="U14589" s="41">
        <v>0</v>
      </c>
      <c r="V14589" s="42" t="s">
        <v>113</v>
      </c>
      <c r="W14589" s="42">
        <v>107208.58</v>
      </c>
      <c r="X14589" s="42">
        <v>107208.58</v>
      </c>
    </row>
    <row r="14590" spans="1:24">
      <c r="A14590" s="27" t="s">
        <v>26082</v>
      </c>
      <c r="B14590" s="28" t="s">
        <v>26083</v>
      </c>
      <c r="C14590" s="27" t="s">
        <v>26083</v>
      </c>
      <c r="D14590" s="27" t="s">
        <v>17558</v>
      </c>
      <c r="E14590" s="29">
        <v>35156</v>
      </c>
      <c r="F14590" s="27">
        <v>0</v>
      </c>
      <c r="G14590" s="18">
        <v>246868</v>
      </c>
      <c r="H14590" s="27">
        <f t="shared" si="454"/>
        <v>0</v>
      </c>
      <c r="I14590" s="18">
        <v>0</v>
      </c>
      <c r="J14590" s="27">
        <v>246868</v>
      </c>
      <c r="K14590" s="18">
        <f t="shared" si="455"/>
        <v>0</v>
      </c>
      <c r="L14590" s="27">
        <v>0</v>
      </c>
      <c r="M14590" s="36">
        <v>0</v>
      </c>
      <c r="T14590" s="41">
        <v>0</v>
      </c>
      <c r="U14590" s="41">
        <v>0</v>
      </c>
      <c r="V14590" s="42" t="s">
        <v>124</v>
      </c>
      <c r="W14590" s="42">
        <v>0</v>
      </c>
      <c r="X14590" s="42">
        <v>0</v>
      </c>
    </row>
    <row r="14591" spans="1:24">
      <c r="A14591" s="27" t="s">
        <v>26084</v>
      </c>
      <c r="B14591" s="28" t="s">
        <v>12240</v>
      </c>
      <c r="C14591" s="27" t="s">
        <v>26085</v>
      </c>
      <c r="D14591" s="27" t="s">
        <v>230</v>
      </c>
      <c r="E14591" s="29">
        <v>41225</v>
      </c>
      <c r="F14591" s="27">
        <v>12</v>
      </c>
      <c r="G14591" s="18">
        <v>0</v>
      </c>
      <c r="H14591" s="27">
        <f t="shared" si="454"/>
        <v>0</v>
      </c>
      <c r="I14591" s="18">
        <v>0</v>
      </c>
      <c r="J14591" s="27">
        <v>0</v>
      </c>
      <c r="K14591" s="18">
        <f t="shared" si="455"/>
        <v>0</v>
      </c>
      <c r="L14591" s="27">
        <v>0</v>
      </c>
      <c r="M14591" s="36">
        <v>0</v>
      </c>
      <c r="T14591" s="41">
        <v>0</v>
      </c>
      <c r="U14591" s="41">
        <v>0</v>
      </c>
      <c r="V14591" s="42" t="s">
        <v>113</v>
      </c>
      <c r="W14591" s="42">
        <v>0</v>
      </c>
      <c r="X14591" s="42">
        <v>0</v>
      </c>
    </row>
    <row r="14592" spans="1:24" s="10" customFormat="1">
      <c r="A14592" s="48" t="s">
        <v>26086</v>
      </c>
      <c r="B14592" s="49" t="s">
        <v>5102</v>
      </c>
      <c r="C14592" s="48" t="s">
        <v>26087</v>
      </c>
      <c r="D14592" s="48" t="s">
        <v>5104</v>
      </c>
      <c r="E14592" s="50">
        <v>41225</v>
      </c>
      <c r="F14592" s="48">
        <v>12</v>
      </c>
      <c r="G14592" s="51">
        <v>0</v>
      </c>
      <c r="H14592" s="48">
        <f t="shared" si="454"/>
        <v>0</v>
      </c>
      <c r="I14592" s="51">
        <v>0</v>
      </c>
      <c r="J14592" s="48">
        <v>0</v>
      </c>
      <c r="K14592" s="51">
        <f t="shared" si="455"/>
        <v>0</v>
      </c>
      <c r="L14592" s="48">
        <v>0</v>
      </c>
      <c r="M14592" s="52">
        <v>0</v>
      </c>
      <c r="N14592" s="51"/>
      <c r="O14592" s="53"/>
      <c r="T14592" s="41">
        <v>0</v>
      </c>
      <c r="U14592" s="41">
        <v>0</v>
      </c>
      <c r="V14592" s="42" t="s">
        <v>113</v>
      </c>
      <c r="W14592" s="42">
        <v>0</v>
      </c>
      <c r="X14592" s="42">
        <v>0</v>
      </c>
    </row>
  </sheetData>
  <mergeCells count="13">
    <mergeCell ref="T3:U3"/>
    <mergeCell ref="A3:A4"/>
    <mergeCell ref="B3:B4"/>
    <mergeCell ref="C3:C4"/>
    <mergeCell ref="D3:D4"/>
    <mergeCell ref="E3:E4"/>
    <mergeCell ref="F3:F4"/>
    <mergeCell ref="A1:S1"/>
    <mergeCell ref="I2:L2"/>
    <mergeCell ref="G3:I3"/>
    <mergeCell ref="J3:M3"/>
    <mergeCell ref="N3:P3"/>
    <mergeCell ref="Q3:S3"/>
  </mergeCells>
  <phoneticPr fontId="3" type="noConversion"/>
  <conditionalFormatting sqref="V1:V1048576">
    <cfRule type="containsText" dxfId="2" priority="6" stopIfTrue="1" operator="containsText" text="1">
      <formula>NOT(ISERROR(SEARCH("1",V1)))</formula>
    </cfRule>
  </conditionalFormatting>
  <conditionalFormatting sqref="V3:V4">
    <cfRule type="cellIs" dxfId="1" priority="7" stopIfTrue="1" operator="equal">
      <formula>1</formula>
    </cfRule>
    <cfRule type="cellIs" dxfId="0" priority="8" stopIfTrue="1" operator="equal">
      <formula>1</formula>
    </cfRule>
  </conditionalFormatting>
  <dataValidations count="5">
    <dataValidation type="list" allowBlank="1" showInputMessage="1" showErrorMessage="1" sqref="N5:N14592 N14593:N39361" xr:uid="{00000000-0002-0000-0200-000000000000}">
      <formula1>"工程项目,零购项目,用户资产,盘盈资产,子分公司间划转资产,非货币性交易,捐赠增加,省外划拨,省内地市间划拨,地市内划拨,拆分合并重分类"</formula1>
    </dataValidation>
    <dataValidation type="list" showInputMessage="1" showErrorMessage="1" sqref="B5:B14592" xr:uid="{00000000-0002-0000-0200-000001000000}">
      <formula1>"输电线路,变电设备,配电线路,配电设备-其他,配电设备-电动汽车充换电设备,用电计量设备,通信线路及设备,自动化控制设备、信息设备及仪器仪表,发电及供热设备,水工机械设备,制造及检修维护设备,生产管理用工器具,运输设备,辅助生产用设备及器具,房屋,建筑物,土地"</formula1>
    </dataValidation>
    <dataValidation type="list" allowBlank="1" showInputMessage="1" showErrorMessage="1" sqref="B14593:B39361" xr:uid="{00000000-0002-0000-0200-000002000000}">
      <formula1>"输电线路,变电设备,配电线路,配电设备-其他,配电设备-电动汽车充换电设备,用电计量设备,通信线路及设备,自动化控制设备、信息设备及仪器仪表,发电及供热设备,水工机械设备,制造及检修维护设备,生产管理用工器具,运输设备,辅助生产用设备及器具,房屋,建筑物,土地"</formula1>
    </dataValidation>
    <dataValidation type="list" allowBlank="1" showInputMessage="1" showErrorMessage="1" sqref="D14593:D39361" xr:uid="{00000000-0002-0000-0200-000003000000}">
      <formula1>"500kV,220kV,110kV,35kV,10kV,10kV以下"</formula1>
    </dataValidation>
    <dataValidation type="list" allowBlank="1" showInputMessage="1" showErrorMessage="1" sqref="Q5:Q14592 Q14593:Q39361" xr:uid="{00000000-0002-0000-0200-000004000000}">
      <formula1>"报废,出售,省外划拨,省内地市间划拨,地市内划拨,拆分合并重分类,子分公司间划转资产"</formula1>
    </dataValidation>
  </dataValidations>
  <pageMargins left="0.74791666666666701" right="0.74791666666666701" top="0.98402777777777795" bottom="0.98402777777777795" header="0.51180555555555596" footer="0.51180555555555596"/>
  <pageSetup paperSize="9" fitToWidth="0" fitToHeight="0" orientation="portrait" useFirstPageNumber="1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autoPageBreaks="0"/>
  </sheetPr>
  <dimension ref="A1:G22"/>
  <sheetViews>
    <sheetView workbookViewId="0">
      <selection activeCell="C33" sqref="C33"/>
    </sheetView>
  </sheetViews>
  <sheetFormatPr baseColWidth="10" defaultColWidth="9" defaultRowHeight="15"/>
  <cols>
    <col min="1" max="2" width="22.1640625" customWidth="1"/>
    <col min="3" max="7" width="19.6640625" customWidth="1"/>
  </cols>
  <sheetData>
    <row r="1" spans="1:7" ht="32.25" customHeight="1">
      <c r="A1" s="115" t="s">
        <v>26088</v>
      </c>
      <c r="B1" s="115"/>
      <c r="C1" s="115"/>
      <c r="D1" s="115"/>
      <c r="E1" s="115"/>
      <c r="F1" s="115"/>
      <c r="G1" s="115"/>
    </row>
    <row r="2" spans="1:7">
      <c r="A2" s="116" t="s">
        <v>26089</v>
      </c>
      <c r="B2" s="116" t="s">
        <v>26090</v>
      </c>
      <c r="C2" s="116" t="s">
        <v>26091</v>
      </c>
      <c r="D2" s="109" t="s">
        <v>26092</v>
      </c>
      <c r="E2" s="110"/>
      <c r="F2" s="109" t="s">
        <v>26093</v>
      </c>
      <c r="G2" s="110"/>
    </row>
    <row r="3" spans="1:7">
      <c r="A3" s="117"/>
      <c r="B3" s="117"/>
      <c r="C3" s="117"/>
      <c r="D3" s="1" t="s">
        <v>9</v>
      </c>
      <c r="E3" s="1" t="s">
        <v>20</v>
      </c>
      <c r="F3" s="1" t="s">
        <v>9</v>
      </c>
      <c r="G3" s="1" t="s">
        <v>20</v>
      </c>
    </row>
    <row r="4" spans="1:7">
      <c r="A4" s="5"/>
      <c r="B4" s="5"/>
      <c r="C4" s="5"/>
      <c r="D4" s="6"/>
      <c r="E4" s="6"/>
      <c r="F4" s="6"/>
      <c r="G4" s="6"/>
    </row>
    <row r="5" spans="1:7">
      <c r="A5" s="5"/>
      <c r="B5" s="5"/>
      <c r="C5" s="5"/>
      <c r="D5" s="6"/>
      <c r="E5" s="6"/>
      <c r="F5" s="6"/>
      <c r="G5" s="6"/>
    </row>
    <row r="6" spans="1:7">
      <c r="A6" s="5"/>
      <c r="B6" s="5"/>
      <c r="C6" s="5"/>
      <c r="D6" s="6"/>
      <c r="E6" s="6"/>
      <c r="F6" s="6"/>
      <c r="G6" s="6"/>
    </row>
    <row r="7" spans="1:7">
      <c r="A7" s="5"/>
      <c r="B7" s="5"/>
      <c r="C7" s="5"/>
      <c r="D7" s="6"/>
      <c r="E7" s="6"/>
      <c r="F7" s="6"/>
      <c r="G7" s="6"/>
    </row>
    <row r="8" spans="1:7">
      <c r="A8" s="5"/>
      <c r="B8" s="5"/>
      <c r="C8" s="5"/>
      <c r="D8" s="6"/>
      <c r="E8" s="6"/>
      <c r="F8" s="6"/>
      <c r="G8" s="6"/>
    </row>
    <row r="9" spans="1:7">
      <c r="A9" s="5"/>
      <c r="B9" s="5"/>
      <c r="C9" s="5"/>
      <c r="D9" s="6"/>
      <c r="E9" s="6"/>
      <c r="F9" s="6"/>
      <c r="G9" s="6"/>
    </row>
    <row r="10" spans="1:7">
      <c r="A10" s="5"/>
      <c r="B10" s="5"/>
      <c r="C10" s="5"/>
      <c r="D10" s="6"/>
      <c r="E10" s="6"/>
      <c r="F10" s="6"/>
      <c r="G10" s="6"/>
    </row>
    <row r="11" spans="1:7">
      <c r="A11" s="5"/>
      <c r="B11" s="5"/>
      <c r="C11" s="5"/>
      <c r="D11" s="6"/>
      <c r="E11" s="6"/>
      <c r="F11" s="6"/>
      <c r="G11" s="6"/>
    </row>
    <row r="12" spans="1:7">
      <c r="A12" s="5"/>
      <c r="B12" s="5"/>
      <c r="C12" s="5"/>
      <c r="D12" s="6"/>
      <c r="E12" s="6"/>
      <c r="F12" s="6"/>
      <c r="G12" s="6"/>
    </row>
    <row r="13" spans="1:7">
      <c r="A13" s="5"/>
      <c r="B13" s="5"/>
      <c r="C13" s="5"/>
      <c r="D13" s="6"/>
      <c r="E13" s="6"/>
      <c r="F13" s="6"/>
      <c r="G13" s="6"/>
    </row>
    <row r="14" spans="1:7">
      <c r="A14" s="5"/>
      <c r="B14" s="5"/>
      <c r="C14" s="5"/>
      <c r="D14" s="6"/>
      <c r="E14" s="6"/>
      <c r="F14" s="6"/>
      <c r="G14" s="6"/>
    </row>
    <row r="15" spans="1:7">
      <c r="A15" s="5"/>
      <c r="B15" s="5"/>
      <c r="C15" s="5"/>
      <c r="D15" s="6"/>
      <c r="E15" s="6"/>
      <c r="F15" s="6"/>
      <c r="G15" s="6"/>
    </row>
    <row r="16" spans="1:7">
      <c r="A16" s="5"/>
      <c r="B16" s="5"/>
      <c r="C16" s="5"/>
      <c r="D16" s="6"/>
      <c r="E16" s="6"/>
      <c r="F16" s="6"/>
      <c r="G16" s="6"/>
    </row>
    <row r="17" spans="1:7">
      <c r="A17" s="5"/>
      <c r="B17" s="5"/>
      <c r="C17" s="5"/>
      <c r="D17" s="6"/>
      <c r="E17" s="6"/>
      <c r="F17" s="6"/>
      <c r="G17" s="6"/>
    </row>
    <row r="18" spans="1:7">
      <c r="A18" s="5"/>
      <c r="B18" s="5"/>
      <c r="C18" s="5"/>
      <c r="D18" s="6"/>
      <c r="E18" s="6"/>
      <c r="F18" s="6"/>
      <c r="G18" s="6"/>
    </row>
    <row r="19" spans="1:7">
      <c r="A19" s="5"/>
      <c r="B19" s="5"/>
      <c r="C19" s="5"/>
      <c r="D19" s="6"/>
      <c r="E19" s="6"/>
      <c r="F19" s="6"/>
      <c r="G19" s="6"/>
    </row>
    <row r="20" spans="1:7">
      <c r="A20" s="5"/>
      <c r="B20" s="5"/>
      <c r="C20" s="5"/>
      <c r="D20" s="6"/>
      <c r="E20" s="6"/>
      <c r="F20" s="6"/>
      <c r="G20" s="6"/>
    </row>
    <row r="21" spans="1:7">
      <c r="A21" s="1" t="s">
        <v>11</v>
      </c>
      <c r="B21" s="5"/>
      <c r="C21" s="5"/>
      <c r="D21" s="6">
        <f>SUM(D4:D20)</f>
        <v>0</v>
      </c>
      <c r="E21" s="6">
        <f>SUM(E4:E20)</f>
        <v>0</v>
      </c>
      <c r="F21" s="6">
        <f>SUM(F4:F20)</f>
        <v>0</v>
      </c>
      <c r="G21" s="6">
        <f>SUM(G4:G20)</f>
        <v>0</v>
      </c>
    </row>
    <row r="22" spans="1:7">
      <c r="A22" s="7" t="s">
        <v>26094</v>
      </c>
      <c r="B22" s="8"/>
      <c r="C22" s="8"/>
      <c r="D22" s="9">
        <f>D21-'汇总-自动取数'!O37</f>
        <v>0</v>
      </c>
      <c r="E22" s="9">
        <f>E21-'汇总-自动取数'!AI37</f>
        <v>0</v>
      </c>
      <c r="F22" s="9">
        <f>F21-'汇总-自动取数'!G37</f>
        <v>0</v>
      </c>
      <c r="G22" s="9">
        <f>G21-'汇总-自动取数'!AA37</f>
        <v>0</v>
      </c>
    </row>
  </sheetData>
  <mergeCells count="6">
    <mergeCell ref="A1:G1"/>
    <mergeCell ref="D2:E2"/>
    <mergeCell ref="F2:G2"/>
    <mergeCell ref="A2:A3"/>
    <mergeCell ref="B2:B3"/>
    <mergeCell ref="C2:C3"/>
  </mergeCells>
  <phoneticPr fontId="3" type="noConversion"/>
  <pageMargins left="0.74791666666666701" right="0.74791666666666701" top="0.98402777777777795" bottom="0.98402777777777795" header="0.51180555555555596" footer="0.51180555555555596"/>
  <pageSetup paperSize="9" fitToWidth="0" fitToHeight="0" orientation="portrait" useFirstPageNumber="1" errors="NA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22"/>
  <sheetViews>
    <sheetView workbookViewId="0">
      <selection activeCell="C33" sqref="C33"/>
    </sheetView>
  </sheetViews>
  <sheetFormatPr baseColWidth="10" defaultColWidth="9" defaultRowHeight="15"/>
  <cols>
    <col min="1" max="1" width="22.6640625" customWidth="1"/>
    <col min="2" max="2" width="19.6640625" customWidth="1"/>
    <col min="3" max="3" width="22.33203125" customWidth="1"/>
    <col min="4" max="7" width="19.6640625" customWidth="1"/>
  </cols>
  <sheetData>
    <row r="1" spans="1:7" ht="32.25" customHeight="1">
      <c r="A1" s="115" t="s">
        <v>26095</v>
      </c>
      <c r="B1" s="115"/>
      <c r="C1" s="115"/>
      <c r="D1" s="115"/>
      <c r="E1" s="115"/>
      <c r="F1" s="115"/>
      <c r="G1" s="115"/>
    </row>
    <row r="2" spans="1:7">
      <c r="A2" s="116" t="s">
        <v>26089</v>
      </c>
      <c r="B2" s="116" t="s">
        <v>26090</v>
      </c>
      <c r="C2" s="116" t="s">
        <v>26091</v>
      </c>
      <c r="D2" s="109" t="s">
        <v>26092</v>
      </c>
      <c r="E2" s="110"/>
      <c r="F2" s="109" t="s">
        <v>26093</v>
      </c>
      <c r="G2" s="110"/>
    </row>
    <row r="3" spans="1:7">
      <c r="A3" s="117"/>
      <c r="B3" s="117"/>
      <c r="C3" s="117"/>
      <c r="D3" s="1" t="s">
        <v>9</v>
      </c>
      <c r="E3" s="1" t="s">
        <v>20</v>
      </c>
      <c r="F3" s="1" t="s">
        <v>9</v>
      </c>
      <c r="G3" s="1" t="s">
        <v>20</v>
      </c>
    </row>
    <row r="4" spans="1:7">
      <c r="A4" s="10"/>
      <c r="B4" s="10"/>
      <c r="C4" s="10"/>
      <c r="D4" s="11"/>
      <c r="E4" s="11"/>
      <c r="F4" s="11"/>
      <c r="G4" s="11"/>
    </row>
    <row r="5" spans="1:7">
      <c r="A5" s="10"/>
      <c r="B5" s="10"/>
      <c r="C5" s="10"/>
      <c r="D5" s="11"/>
      <c r="E5" s="11"/>
      <c r="F5" s="11"/>
      <c r="G5" s="11"/>
    </row>
    <row r="6" spans="1:7">
      <c r="A6" s="2"/>
      <c r="B6" s="2"/>
      <c r="C6" s="2"/>
      <c r="D6" s="12"/>
      <c r="E6" s="12"/>
      <c r="F6" s="12"/>
      <c r="G6" s="12"/>
    </row>
    <row r="7" spans="1:7">
      <c r="A7" s="5"/>
      <c r="B7" s="5"/>
      <c r="C7" s="5"/>
      <c r="D7" s="13"/>
      <c r="E7" s="13"/>
      <c r="F7" s="13"/>
      <c r="G7" s="13"/>
    </row>
    <row r="8" spans="1:7">
      <c r="A8" s="5"/>
      <c r="B8" s="5"/>
      <c r="C8" s="5"/>
      <c r="D8" s="13"/>
      <c r="E8" s="13"/>
      <c r="F8" s="13"/>
      <c r="G8" s="13"/>
    </row>
    <row r="9" spans="1:7">
      <c r="A9" s="5"/>
      <c r="B9" s="5"/>
      <c r="C9" s="5"/>
      <c r="D9" s="13"/>
      <c r="E9" s="13"/>
      <c r="F9" s="13"/>
      <c r="G9" s="13"/>
    </row>
    <row r="10" spans="1:7">
      <c r="A10" s="5"/>
      <c r="B10" s="5"/>
      <c r="C10" s="5"/>
      <c r="D10" s="13"/>
      <c r="E10" s="13"/>
      <c r="F10" s="13"/>
      <c r="G10" s="13"/>
    </row>
    <row r="11" spans="1:7">
      <c r="A11" s="5"/>
      <c r="B11" s="5"/>
      <c r="C11" s="5"/>
      <c r="D11" s="13"/>
      <c r="E11" s="13"/>
      <c r="F11" s="13"/>
      <c r="G11" s="13"/>
    </row>
    <row r="12" spans="1:7">
      <c r="A12" s="5"/>
      <c r="B12" s="5"/>
      <c r="C12" s="5"/>
      <c r="D12" s="13"/>
      <c r="E12" s="13"/>
      <c r="F12" s="13"/>
      <c r="G12" s="13"/>
    </row>
    <row r="13" spans="1:7">
      <c r="A13" s="5"/>
      <c r="B13" s="5"/>
      <c r="C13" s="5"/>
      <c r="D13" s="6"/>
      <c r="E13" s="6"/>
      <c r="F13" s="6"/>
      <c r="G13" s="6"/>
    </row>
    <row r="14" spans="1:7">
      <c r="A14" s="5"/>
      <c r="B14" s="5"/>
      <c r="C14" s="5"/>
      <c r="D14" s="6"/>
      <c r="E14" s="6"/>
      <c r="F14" s="6"/>
      <c r="G14" s="6"/>
    </row>
    <row r="15" spans="1:7">
      <c r="A15" s="5"/>
      <c r="B15" s="5"/>
      <c r="C15" s="5"/>
      <c r="D15" s="6"/>
      <c r="E15" s="6"/>
      <c r="F15" s="6"/>
      <c r="G15" s="6"/>
    </row>
    <row r="16" spans="1:7">
      <c r="A16" s="5"/>
      <c r="B16" s="5"/>
      <c r="C16" s="5"/>
      <c r="D16" s="6"/>
      <c r="E16" s="6"/>
      <c r="F16" s="6"/>
      <c r="G16" s="6"/>
    </row>
    <row r="17" spans="1:7">
      <c r="A17" s="5"/>
      <c r="B17" s="5"/>
      <c r="C17" s="5"/>
      <c r="D17" s="6"/>
      <c r="E17" s="6"/>
      <c r="F17" s="6"/>
      <c r="G17" s="6"/>
    </row>
    <row r="18" spans="1:7">
      <c r="A18" s="5"/>
      <c r="B18" s="5"/>
      <c r="C18" s="5"/>
      <c r="D18" s="6"/>
      <c r="E18" s="6"/>
      <c r="F18" s="6"/>
      <c r="G18" s="6"/>
    </row>
    <row r="19" spans="1:7">
      <c r="A19" s="5"/>
      <c r="B19" s="5"/>
      <c r="C19" s="5"/>
      <c r="D19" s="6"/>
      <c r="E19" s="6"/>
      <c r="F19" s="6"/>
      <c r="G19" s="6"/>
    </row>
    <row r="20" spans="1:7">
      <c r="A20" s="5"/>
      <c r="B20" s="5"/>
      <c r="C20" s="5"/>
      <c r="D20" s="6"/>
      <c r="E20" s="6"/>
      <c r="F20" s="6"/>
      <c r="G20" s="6"/>
    </row>
    <row r="21" spans="1:7">
      <c r="A21" s="1" t="s">
        <v>11</v>
      </c>
      <c r="B21" s="5"/>
      <c r="C21" s="5"/>
      <c r="D21" s="6">
        <f>SUM(D4:D20)</f>
        <v>0</v>
      </c>
      <c r="E21" s="6">
        <f>SUM(E4:E20)</f>
        <v>0</v>
      </c>
      <c r="F21" s="6">
        <f>SUM(F4:F20)</f>
        <v>0</v>
      </c>
      <c r="G21" s="6">
        <f>SUM(G4:G20)</f>
        <v>0</v>
      </c>
    </row>
    <row r="22" spans="1:7">
      <c r="A22" s="7" t="s">
        <v>26094</v>
      </c>
      <c r="B22" s="8"/>
      <c r="C22" s="8"/>
      <c r="D22" s="9">
        <f>D21-'汇总-自动取数'!P37</f>
        <v>0</v>
      </c>
      <c r="E22" s="9">
        <f>E21-'汇总-自动取数'!AJ37</f>
        <v>0</v>
      </c>
      <c r="F22" s="9">
        <f>F21-'汇总-自动取数'!H37</f>
        <v>0</v>
      </c>
      <c r="G22" s="9">
        <f>G21-'汇总-自动取数'!AB37</f>
        <v>0</v>
      </c>
    </row>
  </sheetData>
  <mergeCells count="6">
    <mergeCell ref="A1:G1"/>
    <mergeCell ref="D2:E2"/>
    <mergeCell ref="F2:G2"/>
    <mergeCell ref="A2:A3"/>
    <mergeCell ref="B2:B3"/>
    <mergeCell ref="C2:C3"/>
  </mergeCells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2"/>
  <sheetViews>
    <sheetView topLeftCell="C1" workbookViewId="0">
      <selection activeCell="F4" sqref="F4:G4"/>
    </sheetView>
  </sheetViews>
  <sheetFormatPr baseColWidth="10" defaultColWidth="9" defaultRowHeight="15"/>
  <cols>
    <col min="1" max="1" width="39.1640625" customWidth="1"/>
    <col min="2" max="2" width="51" customWidth="1"/>
    <col min="3" max="3" width="25.6640625" customWidth="1"/>
    <col min="4" max="7" width="19.6640625" customWidth="1"/>
  </cols>
  <sheetData>
    <row r="1" spans="1:7" ht="32.25" customHeight="1">
      <c r="A1" s="115" t="s">
        <v>26096</v>
      </c>
      <c r="B1" s="115"/>
      <c r="C1" s="115"/>
      <c r="D1" s="115"/>
      <c r="E1" s="115"/>
      <c r="F1" s="115"/>
      <c r="G1" s="115"/>
    </row>
    <row r="2" spans="1:7">
      <c r="A2" s="116" t="s">
        <v>26089</v>
      </c>
      <c r="B2" s="116" t="s">
        <v>26090</v>
      </c>
      <c r="C2" s="116" t="s">
        <v>26091</v>
      </c>
      <c r="D2" s="109" t="s">
        <v>26092</v>
      </c>
      <c r="E2" s="110"/>
      <c r="F2" s="109" t="s">
        <v>26093</v>
      </c>
      <c r="G2" s="110"/>
    </row>
    <row r="3" spans="1:7">
      <c r="A3" s="117"/>
      <c r="B3" s="117"/>
      <c r="C3" s="117"/>
      <c r="D3" s="1" t="s">
        <v>9</v>
      </c>
      <c r="E3" s="1" t="s">
        <v>20</v>
      </c>
      <c r="F3" s="1" t="s">
        <v>9</v>
      </c>
      <c r="G3" s="1" t="s">
        <v>20</v>
      </c>
    </row>
    <row r="4" spans="1:7" ht="17.25" customHeight="1">
      <c r="A4" s="2" t="s">
        <v>26097</v>
      </c>
      <c r="B4" s="2" t="s">
        <v>26098</v>
      </c>
      <c r="C4" s="2" t="s">
        <v>26097</v>
      </c>
      <c r="F4" s="3">
        <v>61896.24</v>
      </c>
      <c r="G4" s="4">
        <v>61896.24</v>
      </c>
    </row>
    <row r="5" spans="1:7">
      <c r="A5" s="5"/>
      <c r="B5" s="5"/>
      <c r="C5" s="5"/>
      <c r="D5" s="6"/>
      <c r="E5" s="6"/>
      <c r="F5" s="6"/>
      <c r="G5" s="6"/>
    </row>
    <row r="6" spans="1:7">
      <c r="A6" s="5"/>
      <c r="B6" s="5"/>
      <c r="C6" s="5"/>
      <c r="D6" s="6"/>
      <c r="E6" s="6"/>
      <c r="F6" s="6"/>
      <c r="G6" s="6"/>
    </row>
    <row r="7" spans="1:7">
      <c r="A7" s="5"/>
      <c r="B7" s="5"/>
      <c r="C7" s="5"/>
      <c r="D7" s="6"/>
      <c r="E7" s="6"/>
      <c r="F7" s="6"/>
      <c r="G7" s="6"/>
    </row>
    <row r="8" spans="1:7">
      <c r="A8" s="5"/>
      <c r="B8" s="5"/>
      <c r="C8" s="5"/>
      <c r="D8" s="6"/>
      <c r="E8" s="6"/>
      <c r="F8" s="6"/>
      <c r="G8" s="6"/>
    </row>
    <row r="9" spans="1:7">
      <c r="A9" s="5"/>
      <c r="B9" s="5"/>
      <c r="C9" s="5"/>
      <c r="D9" s="6"/>
      <c r="E9" s="6"/>
      <c r="F9" s="6"/>
      <c r="G9" s="6"/>
    </row>
    <row r="10" spans="1:7">
      <c r="A10" s="5"/>
      <c r="B10" s="5"/>
      <c r="C10" s="5"/>
      <c r="D10" s="6"/>
      <c r="E10" s="6"/>
      <c r="F10" s="6"/>
      <c r="G10" s="6"/>
    </row>
    <row r="11" spans="1:7">
      <c r="A11" s="5"/>
      <c r="B11" s="5"/>
      <c r="C11" s="5"/>
      <c r="D11" s="6"/>
      <c r="E11" s="6"/>
      <c r="F11" s="6"/>
      <c r="G11" s="6"/>
    </row>
    <row r="12" spans="1:7">
      <c r="A12" s="5"/>
      <c r="B12" s="5"/>
      <c r="C12" s="5"/>
      <c r="D12" s="6"/>
      <c r="E12" s="6"/>
      <c r="F12" s="6"/>
      <c r="G12" s="6"/>
    </row>
    <row r="13" spans="1:7">
      <c r="A13" s="5"/>
      <c r="B13" s="5"/>
      <c r="C13" s="5"/>
      <c r="D13" s="6"/>
      <c r="E13" s="6"/>
      <c r="F13" s="6"/>
      <c r="G13" s="6"/>
    </row>
    <row r="14" spans="1:7">
      <c r="A14" s="5"/>
      <c r="B14" s="5"/>
      <c r="C14" s="5"/>
      <c r="D14" s="6"/>
      <c r="E14" s="6"/>
      <c r="F14" s="6"/>
      <c r="G14" s="6"/>
    </row>
    <row r="15" spans="1:7">
      <c r="A15" s="5"/>
      <c r="B15" s="5"/>
      <c r="C15" s="5"/>
      <c r="D15" s="6"/>
      <c r="E15" s="6"/>
      <c r="F15" s="6"/>
      <c r="G15" s="6"/>
    </row>
    <row r="16" spans="1:7">
      <c r="A16" s="5"/>
      <c r="B16" s="5"/>
      <c r="C16" s="5"/>
      <c r="D16" s="6"/>
      <c r="E16" s="6"/>
      <c r="F16" s="6"/>
      <c r="G16" s="6"/>
    </row>
    <row r="17" spans="1:7">
      <c r="A17" s="5"/>
      <c r="B17" s="5"/>
      <c r="C17" s="5"/>
      <c r="D17" s="6"/>
      <c r="E17" s="6"/>
      <c r="F17" s="6"/>
      <c r="G17" s="6"/>
    </row>
    <row r="18" spans="1:7">
      <c r="A18" s="5"/>
      <c r="B18" s="5"/>
      <c r="C18" s="5"/>
      <c r="D18" s="6"/>
      <c r="E18" s="6"/>
      <c r="F18" s="6"/>
      <c r="G18" s="6"/>
    </row>
    <row r="19" spans="1:7">
      <c r="A19" s="5"/>
      <c r="B19" s="5"/>
      <c r="C19" s="5"/>
      <c r="D19" s="6"/>
      <c r="E19" s="6"/>
      <c r="F19" s="6"/>
      <c r="G19" s="6"/>
    </row>
    <row r="20" spans="1:7">
      <c r="A20" s="5"/>
      <c r="B20" s="5"/>
      <c r="C20" s="5"/>
      <c r="D20" s="6"/>
      <c r="E20" s="6"/>
      <c r="F20" s="6"/>
      <c r="G20" s="6"/>
    </row>
    <row r="21" spans="1:7">
      <c r="A21" s="1" t="s">
        <v>11</v>
      </c>
      <c r="B21" s="5"/>
      <c r="C21" s="5"/>
      <c r="D21" s="6"/>
      <c r="E21" s="6"/>
      <c r="F21" s="6">
        <f>SUM(F4:F20)</f>
        <v>61896.24</v>
      </c>
      <c r="G21" s="6">
        <f>SUM(G4:G20)</f>
        <v>61896.24</v>
      </c>
    </row>
    <row r="22" spans="1:7">
      <c r="A22" s="7" t="s">
        <v>26094</v>
      </c>
      <c r="B22" s="8"/>
      <c r="C22" s="8"/>
      <c r="D22" s="9">
        <f>D21-'汇总-自动取数'!N37</f>
        <v>0</v>
      </c>
      <c r="E22" s="9">
        <f>E21-'汇总-自动取数'!AH37</f>
        <v>0</v>
      </c>
      <c r="F22" s="9">
        <f>F21-'汇总-自动取数'!F37</f>
        <v>61896.24</v>
      </c>
      <c r="G22" s="9">
        <f>G21-'汇总-自动取数'!Z37</f>
        <v>61896.24</v>
      </c>
    </row>
  </sheetData>
  <mergeCells count="6">
    <mergeCell ref="A1:G1"/>
    <mergeCell ref="D2:E2"/>
    <mergeCell ref="F2:G2"/>
    <mergeCell ref="A2:A3"/>
    <mergeCell ref="B2:B3"/>
    <mergeCell ref="C2:C3"/>
  </mergeCells>
  <phoneticPr fontId="3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F13" sqref="F13"/>
    </sheetView>
  </sheetViews>
  <sheetFormatPr baseColWidth="10" defaultColWidth="9" defaultRowHeight="15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汇总-自动取数</vt:lpstr>
      <vt:lpstr>汇总表2</vt:lpstr>
      <vt:lpstr>卡片数据</vt:lpstr>
      <vt:lpstr>省外划拨</vt:lpstr>
      <vt:lpstr>省内地市间划拨</vt:lpstr>
      <vt:lpstr>子分公司间划转资产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Microsoft Office User</cp:lastModifiedBy>
  <cp:lastPrinted>2018-12-29T00:58:00Z</cp:lastPrinted>
  <dcterms:created xsi:type="dcterms:W3CDTF">2017-01-06T03:03:00Z</dcterms:created>
  <dcterms:modified xsi:type="dcterms:W3CDTF">2020-04-12T03:10:16Z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2052-11.1.0.8567</vt:lpwstr>
  </property>
</Properties>
</file>